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474E35FD-FCD1-4DF7-BFCE-92B916A18C06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</calcChain>
</file>

<file path=xl/sharedStrings.xml><?xml version="1.0" encoding="utf-8"?>
<sst xmlns="http://schemas.openxmlformats.org/spreadsheetml/2006/main" count="15640" uniqueCount="82">
  <si>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</si>
  <si>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</si>
  <si>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</si>
  <si>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</si>
  <si>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</si>
  <si>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</si>
  <si>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</si>
  <si>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</si>
  <si>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</si>
  <si>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</si>
  <si>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</si>
  <si>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</si>
  <si>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</si>
  <si>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</si>
  <si>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</si>
  <si>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</si>
  <si>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</si>
  <si>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</si>
  <si>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</si>
  <si>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</si>
  <si>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</si>
  <si>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</si>
  <si>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</si>
  <si>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</si>
  <si>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</si>
  <si>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</si>
  <si>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</si>
  <si>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</si>
  <si>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</si>
  <si>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</si>
  <si>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</si>
  <si>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</si>
  <si>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</si>
  <si>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</si>
  <si>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</si>
  <si>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</si>
  <si>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</si>
  <si>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</si>
  <si>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</si>
  <si>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</si>
  <si>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</si>
  <si>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Kooper</t>
  </si>
  <si>
    <t>mcp_road_part_02</t>
  </si>
  <si>
    <t>Plane_01</t>
  </si>
  <si>
    <t>Building 07 (16)</t>
  </si>
  <si>
    <t>mcp_roads_turn_01 (1)</t>
  </si>
  <si>
    <t>Plane_01 (1)</t>
  </si>
  <si>
    <t>Building 18 (9)</t>
  </si>
  <si>
    <t>FAR</t>
  </si>
  <si>
    <t>mcp_roads_T_cross_01</t>
  </si>
  <si>
    <t>mcp_road_part_01</t>
  </si>
  <si>
    <t>mcp_roads_cross_01</t>
  </si>
  <si>
    <t>Building 02 (8)</t>
  </si>
  <si>
    <t>Building 07 (4)</t>
  </si>
  <si>
    <t>Floor 02</t>
  </si>
  <si>
    <t>Pilar 02</t>
  </si>
  <si>
    <t>Building 01 (9)</t>
  </si>
  <si>
    <t>Building 15 (33)</t>
  </si>
  <si>
    <t>Stand 03 (2)</t>
  </si>
  <si>
    <t>Building 24</t>
  </si>
  <si>
    <t>Box001</t>
  </si>
  <si>
    <t>Tong (3)</t>
  </si>
  <si>
    <t>Building 24 (1)</t>
  </si>
  <si>
    <t>mcp_roads_cross_02</t>
  </si>
  <si>
    <t>Building 15 (32)</t>
  </si>
  <si>
    <t>mcp_roads_turn_01</t>
  </si>
  <si>
    <t>Building 13 (1)</t>
  </si>
  <si>
    <t>mcp_road_part_02 (1)</t>
  </si>
  <si>
    <t>mcp_road_part_02 (3)</t>
  </si>
  <si>
    <t>mcp_road_part_02 (2)</t>
  </si>
  <si>
    <t>Shurbs (1)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</si>
  <si>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</si>
  <si>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</si>
  <si>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</si>
  <si>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</si>
  <si>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</si>
  <si>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</si>
  <si>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07 (18)</t>
  </si>
  <si>
    <t>Building 15 (22)</t>
  </si>
  <si>
    <t>Building 14 (9)</t>
  </si>
  <si>
    <t>Building 23 (3)</t>
  </si>
  <si>
    <t>Building 04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</si>
</sst>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801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"20190312154800068"</f>
        <v>20190312154800068</v>
      </c>
      <c r="B2" t="str">
        <f>"1552376880056341"</f>
        <v>1552376880056341</v>
      </c>
      <c r="C2" t="s">
        <v>40</v>
      </c>
      <c r="D2">
        <v>5.3266799999999996</v>
      </c>
      <c r="E2">
        <v>0.54635859999999903</v>
      </c>
      <c r="F2" t="s">
        <v>41</v>
      </c>
      <c r="G2">
        <v>-475.94510000000002</v>
      </c>
      <c r="H2">
        <v>0.91658200000000001</v>
      </c>
      <c r="I2">
        <v>367.10919999999999</v>
      </c>
      <c r="J2">
        <v>-476.60270000000003</v>
      </c>
      <c r="K2">
        <v>1.109372</v>
      </c>
      <c r="L2">
        <v>367.21620000000001</v>
      </c>
      <c r="M2">
        <v>0.99996879999999999</v>
      </c>
      <c r="N2">
        <v>0</v>
      </c>
      <c r="O2" s="1">
        <v>-4.003376E-5</v>
      </c>
      <c r="P2">
        <v>0.99858119999999995</v>
      </c>
      <c r="Q2">
        <v>2.2700830000000002E-2</v>
      </c>
      <c r="R2">
        <v>-4.8172090000000001E-2</v>
      </c>
      <c r="S2">
        <v>3</v>
      </c>
      <c r="T2">
        <v>-0.86581849999999905</v>
      </c>
      <c r="U2">
        <v>-0.47665410000000002</v>
      </c>
      <c r="V2">
        <v>4.8133469999999998E-2</v>
      </c>
      <c r="W2">
        <v>3.0594650000000001E-2</v>
      </c>
      <c r="X2">
        <v>0.99837229999999999</v>
      </c>
      <c r="Y2">
        <v>0.1508697</v>
      </c>
      <c r="Z2">
        <v>-2.1198990000000001E-2</v>
      </c>
      <c r="AA2">
        <v>0.98832629999999999</v>
      </c>
      <c r="AB2">
        <v>1</v>
      </c>
      <c r="AC2">
        <v>0.65760000000000196</v>
      </c>
      <c r="AD2">
        <v>-0.19278999999999999</v>
      </c>
      <c r="AE2">
        <v>-0.107000000000027</v>
      </c>
      <c r="AF2">
        <v>9.8708510097555296E-2</v>
      </c>
      <c r="AG2">
        <v>-0.19278999999999999</v>
      </c>
      <c r="AH2">
        <v>0.60679545981051997</v>
      </c>
      <c r="AI2">
        <v>107.41122377443401</v>
      </c>
      <c r="AJ2">
        <v>80.760523804338504</v>
      </c>
      <c r="AK2">
        <v>0.64429192460587204</v>
      </c>
      <c r="AL2">
        <v>88.246782194269898</v>
      </c>
      <c r="AM2">
        <v>87.239796327426504</v>
      </c>
      <c r="AN2">
        <v>1.00000005647507</v>
      </c>
    </row>
    <row r="3" spans="1:40" x14ac:dyDescent="0.25">
      <c r="A3" t="str">
        <f>"20190312154800088"</f>
        <v>20190312154800088</v>
      </c>
      <c r="B3" t="str">
        <f>"1552376880085621"</f>
        <v>1552376880085621</v>
      </c>
      <c r="C3" t="s">
        <v>40</v>
      </c>
      <c r="D3">
        <v>5.3034039999999996</v>
      </c>
      <c r="E3">
        <v>0.54640929999999999</v>
      </c>
      <c r="F3" t="s">
        <v>41</v>
      </c>
      <c r="G3">
        <v>-475.92450000000002</v>
      </c>
      <c r="H3">
        <v>0.91465560000000001</v>
      </c>
      <c r="I3">
        <v>367.10700000000003</v>
      </c>
      <c r="J3">
        <v>-476.58940000000001</v>
      </c>
      <c r="K3">
        <v>1.1092139999999999</v>
      </c>
      <c r="L3">
        <v>367.21620000000001</v>
      </c>
      <c r="M3">
        <v>0.9999768</v>
      </c>
      <c r="N3">
        <v>0</v>
      </c>
      <c r="O3" s="1">
        <v>-5.2552600000000002E-5</v>
      </c>
      <c r="P3">
        <v>0.99850130000000004</v>
      </c>
      <c r="Q3">
        <v>2.341321E-2</v>
      </c>
      <c r="R3">
        <v>-4.9467770000000001E-2</v>
      </c>
      <c r="S3">
        <v>3.000702</v>
      </c>
      <c r="T3">
        <v>-0.86145590000000005</v>
      </c>
      <c r="U3">
        <v>-0.47994999999999999</v>
      </c>
      <c r="V3">
        <v>4.9416880000000003E-2</v>
      </c>
      <c r="W3">
        <v>3.021097E-2</v>
      </c>
      <c r="X3">
        <v>0.99832120000000002</v>
      </c>
      <c r="Y3">
        <v>0.15190290000000001</v>
      </c>
      <c r="Z3">
        <v>-2.1230880000000001E-2</v>
      </c>
      <c r="AA3">
        <v>0.98816729999999997</v>
      </c>
      <c r="AB3">
        <v>1</v>
      </c>
      <c r="AC3">
        <v>0.66489999999998795</v>
      </c>
      <c r="AD3">
        <v>-0.19455839999999899</v>
      </c>
      <c r="AE3">
        <v>-0.109200000000043</v>
      </c>
      <c r="AF3">
        <v>0.10076400589717301</v>
      </c>
      <c r="AG3">
        <v>-0.19455839999999899</v>
      </c>
      <c r="AH3">
        <v>0.61373637000316505</v>
      </c>
      <c r="AI3">
        <v>107.370644051735</v>
      </c>
      <c r="AJ3">
        <v>80.676288382767396</v>
      </c>
      <c r="AK3">
        <v>0.65167375868579103</v>
      </c>
      <c r="AL3">
        <v>88.268775462921994</v>
      </c>
      <c r="AM3">
        <v>87.166173043486694</v>
      </c>
      <c r="AN3">
        <v>0.99999997455335699</v>
      </c>
    </row>
    <row r="4" spans="1:40" x14ac:dyDescent="0.25">
      <c r="A4" t="str">
        <f>"20190312154800111"</f>
        <v>20190312154800111</v>
      </c>
      <c r="B4" t="str">
        <f>"1552376880106117"</f>
        <v>1552376880106117</v>
      </c>
      <c r="C4" t="s">
        <v>40</v>
      </c>
      <c r="D4">
        <v>5.430682</v>
      </c>
      <c r="E4">
        <v>0.5463578</v>
      </c>
      <c r="F4" t="s">
        <v>41</v>
      </c>
      <c r="G4">
        <v>-475.91039999999998</v>
      </c>
      <c r="H4">
        <v>0.91465689999999999</v>
      </c>
      <c r="I4">
        <v>367.10640000000001</v>
      </c>
      <c r="J4">
        <v>-476.57299999999998</v>
      </c>
      <c r="K4">
        <v>1.10907</v>
      </c>
      <c r="L4">
        <v>367.21620000000001</v>
      </c>
      <c r="M4">
        <v>0.99998379999999998</v>
      </c>
      <c r="N4">
        <v>0</v>
      </c>
      <c r="O4" s="1">
        <v>-6.77838E-5</v>
      </c>
      <c r="P4">
        <v>0.9984497</v>
      </c>
      <c r="Q4">
        <v>2.368454E-2</v>
      </c>
      <c r="R4">
        <v>-5.0376450000000003E-2</v>
      </c>
      <c r="S4">
        <v>3.0006710000000001</v>
      </c>
      <c r="T4">
        <v>-0.85996879999999998</v>
      </c>
      <c r="U4">
        <v>-0.48425289999999999</v>
      </c>
      <c r="V4">
        <v>5.0310210000000001E-2</v>
      </c>
      <c r="W4">
        <v>2.9376880000000001E-2</v>
      </c>
      <c r="X4">
        <v>0.99830149999999995</v>
      </c>
      <c r="Y4">
        <v>0.1532406</v>
      </c>
      <c r="Z4">
        <v>-2.1376079999999999E-2</v>
      </c>
      <c r="AA4">
        <v>0.98795770000000005</v>
      </c>
      <c r="AB4">
        <v>1</v>
      </c>
      <c r="AC4">
        <v>0.66260000000005403</v>
      </c>
      <c r="AD4">
        <v>-0.19441310000000001</v>
      </c>
      <c r="AE4">
        <v>-0.109800000000006</v>
      </c>
      <c r="AF4">
        <v>0.101269859056585</v>
      </c>
      <c r="AG4">
        <v>-0.19441310000000001</v>
      </c>
      <c r="AH4">
        <v>0.61138089316031796</v>
      </c>
      <c r="AI4">
        <v>107.41745288382501</v>
      </c>
      <c r="AJ4">
        <v>80.594854746296704</v>
      </c>
      <c r="AK4">
        <v>0.64949105792648099</v>
      </c>
      <c r="AL4">
        <v>88.3165865729421</v>
      </c>
      <c r="AM4">
        <v>87.114973688890601</v>
      </c>
      <c r="AN4">
        <v>1.0000000016055099</v>
      </c>
    </row>
    <row r="5" spans="1:40" x14ac:dyDescent="0.25">
      <c r="A5" t="str">
        <f>"20190312154800134"</f>
        <v>20190312154800134</v>
      </c>
      <c r="B5" t="str">
        <f>"1552376880125636"</f>
        <v>1552376880125636</v>
      </c>
      <c r="C5" t="s">
        <v>40</v>
      </c>
      <c r="D5">
        <v>5.3827680000000004</v>
      </c>
      <c r="E5">
        <v>0.51806730000000001</v>
      </c>
      <c r="F5" t="s">
        <v>41</v>
      </c>
      <c r="G5">
        <v>-475.89400000000001</v>
      </c>
      <c r="H5">
        <v>0.9146396</v>
      </c>
      <c r="I5">
        <v>367.10559999999998</v>
      </c>
      <c r="J5">
        <v>-476.55290000000002</v>
      </c>
      <c r="K5">
        <v>1.1089500000000001</v>
      </c>
      <c r="L5">
        <v>367.21609999999998</v>
      </c>
      <c r="M5">
        <v>0.99998940000000003</v>
      </c>
      <c r="N5">
        <v>0</v>
      </c>
      <c r="O5" s="1">
        <v>-8.6501209999999897E-5</v>
      </c>
      <c r="P5">
        <v>0.99839480000000003</v>
      </c>
      <c r="Q5">
        <v>2.3356129999999999E-2</v>
      </c>
      <c r="R5">
        <v>-5.1603049999999998E-2</v>
      </c>
      <c r="S5">
        <v>3.0004580000000001</v>
      </c>
      <c r="T5">
        <v>-0.85924509999999898</v>
      </c>
      <c r="U5">
        <v>-0.48605350000000003</v>
      </c>
      <c r="V5">
        <v>5.1518029999999999E-2</v>
      </c>
      <c r="W5">
        <v>2.7951719999999999E-2</v>
      </c>
      <c r="X5">
        <v>0.99828079999999997</v>
      </c>
      <c r="Y5">
        <v>0.15379949999999901</v>
      </c>
      <c r="Z5">
        <v>-2.143202E-2</v>
      </c>
      <c r="AA5">
        <v>0.98786960000000001</v>
      </c>
      <c r="AB5">
        <v>2</v>
      </c>
      <c r="AC5">
        <v>0.65890000000001603</v>
      </c>
      <c r="AD5">
        <v>-0.19431039999999999</v>
      </c>
      <c r="AE5">
        <v>-0.110500000000001</v>
      </c>
      <c r="AF5">
        <v>0.10182947927810899</v>
      </c>
      <c r="AG5">
        <v>-0.19431039999999999</v>
      </c>
      <c r="AH5">
        <v>0.60752075690233898</v>
      </c>
      <c r="AI5">
        <v>107.507419277088</v>
      </c>
      <c r="AJ5">
        <v>80.484829275137898</v>
      </c>
      <c r="AK5">
        <v>0.64591581840469103</v>
      </c>
      <c r="AL5">
        <v>88.398275766183303</v>
      </c>
      <c r="AM5">
        <v>87.045771660185807</v>
      </c>
      <c r="AN5">
        <v>0.99999998085733899</v>
      </c>
    </row>
    <row r="6" spans="1:40" x14ac:dyDescent="0.25">
      <c r="A6" t="str">
        <f>"20190312154800156"</f>
        <v>20190312154800156</v>
      </c>
      <c r="B6" t="str">
        <f>"1552376880146132"</f>
        <v>1552376880146132</v>
      </c>
      <c r="C6" t="s">
        <v>40</v>
      </c>
      <c r="D6">
        <v>5.3846720000000001</v>
      </c>
      <c r="E6">
        <v>0.51754319999999998</v>
      </c>
      <c r="F6" t="s">
        <v>41</v>
      </c>
      <c r="G6">
        <v>-475.87009999999998</v>
      </c>
      <c r="H6">
        <v>0.92873329999999998</v>
      </c>
      <c r="I6">
        <v>367.15550000000002</v>
      </c>
      <c r="J6">
        <v>-476.5308</v>
      </c>
      <c r="K6">
        <v>1.1088639999999901</v>
      </c>
      <c r="L6">
        <v>367.21609999999998</v>
      </c>
      <c r="M6">
        <v>0.99999329999999997</v>
      </c>
      <c r="N6">
        <v>0</v>
      </c>
      <c r="O6">
        <v>-1.067884E-4</v>
      </c>
      <c r="P6">
        <v>0.99838070000000001</v>
      </c>
      <c r="Q6">
        <v>2.2196859999999999E-2</v>
      </c>
      <c r="R6">
        <v>-5.2376899999999997E-2</v>
      </c>
      <c r="S6">
        <v>3.009674</v>
      </c>
      <c r="T6">
        <v>-0.7944137</v>
      </c>
      <c r="U6">
        <v>-0.26586910000000002</v>
      </c>
      <c r="V6">
        <v>5.2271739999999997E-2</v>
      </c>
      <c r="W6">
        <v>2.5835810000000001E-2</v>
      </c>
      <c r="X6">
        <v>0.99829860000000004</v>
      </c>
      <c r="Y6">
        <v>8.5003640000000005E-2</v>
      </c>
      <c r="Z6">
        <v>-1.0981579999999999E-2</v>
      </c>
      <c r="AA6">
        <v>0.99632010000000004</v>
      </c>
      <c r="AB6">
        <v>2</v>
      </c>
      <c r="AC6">
        <v>0.66070000000001905</v>
      </c>
      <c r="AD6">
        <v>-0.18013069999999901</v>
      </c>
      <c r="AE6">
        <v>-6.05999999999653E-2</v>
      </c>
      <c r="AF6">
        <v>5.63740895487072E-2</v>
      </c>
      <c r="AG6">
        <v>-0.18013069999999901</v>
      </c>
      <c r="AH6">
        <v>0.61534887913105996</v>
      </c>
      <c r="AI6">
        <v>106.25185939611001</v>
      </c>
      <c r="AJ6">
        <v>84.765560947779093</v>
      </c>
      <c r="AK6">
        <v>0.64364536050746701</v>
      </c>
      <c r="AL6">
        <v>88.519552338202899</v>
      </c>
      <c r="AM6">
        <v>87.002682822266294</v>
      </c>
      <c r="AN6">
        <v>0.99999995932147101</v>
      </c>
    </row>
    <row r="7" spans="1:40" x14ac:dyDescent="0.25">
      <c r="A7" t="str">
        <f>"20190312154800179"</f>
        <v>20190312154800179</v>
      </c>
      <c r="B7" t="str">
        <f>"1552376880176389"</f>
        <v>1552376880176389</v>
      </c>
      <c r="C7" t="s">
        <v>40</v>
      </c>
      <c r="D7">
        <v>5.5080400000000003</v>
      </c>
      <c r="E7">
        <v>0.51791860000000001</v>
      </c>
      <c r="F7" t="s">
        <v>41</v>
      </c>
      <c r="G7">
        <v>-475.84949999999998</v>
      </c>
      <c r="H7">
        <v>0.92816100000000001</v>
      </c>
      <c r="I7">
        <v>367.15559999999999</v>
      </c>
      <c r="J7">
        <v>-476.50529999999998</v>
      </c>
      <c r="K7">
        <v>1.1087990000000001</v>
      </c>
      <c r="L7">
        <v>367.21609999999998</v>
      </c>
      <c r="M7">
        <v>0.99999610000000005</v>
      </c>
      <c r="N7">
        <v>0</v>
      </c>
      <c r="O7">
        <v>-1.287464E-4</v>
      </c>
      <c r="P7">
        <v>0.9983765</v>
      </c>
      <c r="Q7">
        <v>2.1014350000000001E-2</v>
      </c>
      <c r="R7">
        <v>-5.2941670000000003E-2</v>
      </c>
      <c r="S7">
        <v>3.008759</v>
      </c>
      <c r="T7">
        <v>-0.7980891</v>
      </c>
      <c r="U7">
        <v>-0.2637024</v>
      </c>
      <c r="V7">
        <v>5.2814380000000001E-2</v>
      </c>
      <c r="W7">
        <v>2.3795090000000001E-2</v>
      </c>
      <c r="X7">
        <v>0.99832080000000001</v>
      </c>
      <c r="Y7">
        <v>8.4293190000000004E-2</v>
      </c>
      <c r="Z7">
        <v>-1.0936100000000001E-2</v>
      </c>
      <c r="AA7">
        <v>0.99638099999999996</v>
      </c>
      <c r="AB7">
        <v>2</v>
      </c>
      <c r="AC7">
        <v>0.65579999999999905</v>
      </c>
      <c r="AD7">
        <v>-0.18063799999999899</v>
      </c>
      <c r="AE7">
        <v>-6.0499999999990402E-2</v>
      </c>
      <c r="AF7">
        <v>5.6188471458238597E-2</v>
      </c>
      <c r="AG7">
        <v>-0.18063799999999899</v>
      </c>
      <c r="AH7">
        <v>0.60992288242780701</v>
      </c>
      <c r="AI7">
        <v>106.431658165635</v>
      </c>
      <c r="AJ7">
        <v>84.736546067572704</v>
      </c>
      <c r="AK7">
        <v>0.63858684129713905</v>
      </c>
      <c r="AL7">
        <v>88.636513069674294</v>
      </c>
      <c r="AM7">
        <v>86.971692106961598</v>
      </c>
      <c r="AN7">
        <v>0.99999999237776604</v>
      </c>
    </row>
    <row r="8" spans="1:40" x14ac:dyDescent="0.25">
      <c r="A8" t="str">
        <f>"20190312154800198"</f>
        <v>20190312154800198</v>
      </c>
      <c r="B8" t="str">
        <f>"1552376880195908"</f>
        <v>1552376880195908</v>
      </c>
      <c r="C8" t="s">
        <v>40</v>
      </c>
      <c r="D8">
        <v>5.3806710000000004</v>
      </c>
      <c r="E8">
        <v>0.51772790000000002</v>
      </c>
      <c r="F8" t="s">
        <v>41</v>
      </c>
      <c r="G8">
        <v>-475.8263</v>
      </c>
      <c r="H8">
        <v>0.92838880000000001</v>
      </c>
      <c r="I8">
        <v>367.15530000000001</v>
      </c>
      <c r="J8">
        <v>-476.48140000000001</v>
      </c>
      <c r="K8">
        <v>1.1087579999999999</v>
      </c>
      <c r="L8">
        <v>367.21600000000001</v>
      </c>
      <c r="M8">
        <v>0.99999769999999999</v>
      </c>
      <c r="N8">
        <v>0</v>
      </c>
      <c r="O8">
        <v>-1.4891709999999999E-4</v>
      </c>
      <c r="P8">
        <v>0.99835629999999997</v>
      </c>
      <c r="Q8">
        <v>1.988591E-2</v>
      </c>
      <c r="R8">
        <v>-5.375332E-2</v>
      </c>
      <c r="S8">
        <v>3.0074459999999998</v>
      </c>
      <c r="T8">
        <v>-0.79908780000000001</v>
      </c>
      <c r="U8">
        <v>-0.26867679999999999</v>
      </c>
      <c r="V8">
        <v>5.3605960000000001E-2</v>
      </c>
      <c r="W8">
        <v>2.2026489999999999E-2</v>
      </c>
      <c r="X8">
        <v>0.99831919999999996</v>
      </c>
      <c r="Y8">
        <v>8.5882920000000001E-2</v>
      </c>
      <c r="Z8">
        <v>-1.1155119999999999E-2</v>
      </c>
      <c r="AA8">
        <v>0.99624279999999998</v>
      </c>
      <c r="AB8">
        <v>2</v>
      </c>
      <c r="AC8">
        <v>0.65510000000000401</v>
      </c>
      <c r="AD8">
        <v>-0.18036919999999901</v>
      </c>
      <c r="AE8">
        <v>-6.0699999999996999E-2</v>
      </c>
      <c r="AF8">
        <v>5.6365885096063099E-2</v>
      </c>
      <c r="AG8">
        <v>-0.18036919999999901</v>
      </c>
      <c r="AH8">
        <v>0.60931207200471404</v>
      </c>
      <c r="AI8">
        <v>106.423540334954</v>
      </c>
      <c r="AJ8">
        <v>84.714757627794597</v>
      </c>
      <c r="AK8">
        <v>0.63794307144288398</v>
      </c>
      <c r="AL8">
        <v>88.737873008451302</v>
      </c>
      <c r="AM8">
        <v>86.926385408478595</v>
      </c>
      <c r="AN8">
        <v>0.99999999514894</v>
      </c>
    </row>
    <row r="9" spans="1:40" x14ac:dyDescent="0.25">
      <c r="A9" t="str">
        <f>"20190312154800222"</f>
        <v>20190312154800222</v>
      </c>
      <c r="B9" t="str">
        <f>"1552376880216404"</f>
        <v>1552376880216404</v>
      </c>
      <c r="C9" t="s">
        <v>40</v>
      </c>
      <c r="D9">
        <v>5.3712859999999996</v>
      </c>
      <c r="E9">
        <v>0.51738799999999996</v>
      </c>
      <c r="F9" t="s">
        <v>41</v>
      </c>
      <c r="G9">
        <v>-475.80119999999999</v>
      </c>
      <c r="H9">
        <v>0.92786170000000001</v>
      </c>
      <c r="I9">
        <v>367.15440000000001</v>
      </c>
      <c r="J9">
        <v>-476.45</v>
      </c>
      <c r="K9">
        <v>1.108711</v>
      </c>
      <c r="L9">
        <v>367.21600000000001</v>
      </c>
      <c r="M9">
        <v>0.99999890000000002</v>
      </c>
      <c r="N9">
        <v>0</v>
      </c>
      <c r="O9">
        <v>-1.7485530000000001E-4</v>
      </c>
      <c r="P9">
        <v>0.99832259999999995</v>
      </c>
      <c r="Q9">
        <v>2.0859490000000001E-2</v>
      </c>
      <c r="R9">
        <v>-5.4005640000000001E-2</v>
      </c>
      <c r="S9">
        <v>3.0062869999999999</v>
      </c>
      <c r="T9">
        <v>-0.79946390000000001</v>
      </c>
      <c r="U9">
        <v>-0.27066040000000002</v>
      </c>
      <c r="V9">
        <v>5.3832489999999997E-2</v>
      </c>
      <c r="W9">
        <v>2.2306329999999999E-2</v>
      </c>
      <c r="X9">
        <v>0.99830079999999999</v>
      </c>
      <c r="Y9">
        <v>8.6517499999999997E-2</v>
      </c>
      <c r="Z9">
        <v>-1.124003E-2</v>
      </c>
      <c r="AA9">
        <v>0.99618689999999999</v>
      </c>
      <c r="AB9">
        <v>3</v>
      </c>
      <c r="AC9">
        <v>0.64879999999999405</v>
      </c>
      <c r="AD9">
        <v>-0.18084929999999999</v>
      </c>
      <c r="AE9">
        <v>-6.1599999999998503E-2</v>
      </c>
      <c r="AF9">
        <v>5.7090353977145201E-2</v>
      </c>
      <c r="AG9">
        <v>-0.18084929999999999</v>
      </c>
      <c r="AH9">
        <v>0.60242173813866096</v>
      </c>
      <c r="AI9">
        <v>106.639551652157</v>
      </c>
      <c r="AJ9">
        <v>84.5863567380581</v>
      </c>
      <c r="AK9">
        <v>0.63156767524132496</v>
      </c>
      <c r="AL9">
        <v>88.721835420904895</v>
      </c>
      <c r="AM9">
        <v>86.9133650993559</v>
      </c>
      <c r="AN9">
        <v>0.99999999830915398</v>
      </c>
    </row>
    <row r="10" spans="1:40" x14ac:dyDescent="0.25">
      <c r="A10" t="str">
        <f>"20190312154800244"</f>
        <v>20190312154800244</v>
      </c>
      <c r="B10" t="str">
        <f>"1552376880235924"</f>
        <v>1552376880235924</v>
      </c>
      <c r="C10" t="s">
        <v>40</v>
      </c>
      <c r="D10">
        <v>5.372058</v>
      </c>
      <c r="E10">
        <v>0.51707479999999995</v>
      </c>
      <c r="F10" t="s">
        <v>41</v>
      </c>
      <c r="G10">
        <v>-475.77249999999998</v>
      </c>
      <c r="H10">
        <v>0.9300543</v>
      </c>
      <c r="I10">
        <v>367.1551</v>
      </c>
      <c r="J10">
        <v>-476.41640000000001</v>
      </c>
      <c r="K10">
        <v>1.108673</v>
      </c>
      <c r="L10">
        <v>367.21600000000001</v>
      </c>
      <c r="M10">
        <v>0.99999979999999999</v>
      </c>
      <c r="N10">
        <v>0</v>
      </c>
      <c r="O10">
        <v>-2.016652E-4</v>
      </c>
      <c r="P10">
        <v>0.99830300000000005</v>
      </c>
      <c r="Q10">
        <v>2.187923E-2</v>
      </c>
      <c r="R10">
        <v>-5.3972449999999998E-2</v>
      </c>
      <c r="S10">
        <v>3.0069889999999999</v>
      </c>
      <c r="T10">
        <v>-0.793023699999999</v>
      </c>
      <c r="U10">
        <v>-0.26971440000000002</v>
      </c>
      <c r="V10">
        <v>5.3772540000000001E-2</v>
      </c>
      <c r="W10">
        <v>2.2712969999999999E-2</v>
      </c>
      <c r="X10">
        <v>0.99829489999999999</v>
      </c>
      <c r="Y10">
        <v>8.6218400000000001E-2</v>
      </c>
      <c r="Z10">
        <v>-1.110448E-2</v>
      </c>
      <c r="AA10">
        <v>0.99621440000000006</v>
      </c>
      <c r="AB10">
        <v>3</v>
      </c>
      <c r="AC10">
        <v>0.64390000000003</v>
      </c>
      <c r="AD10">
        <v>-0.17861869999999999</v>
      </c>
      <c r="AE10">
        <v>-6.0900000000003701E-2</v>
      </c>
      <c r="AF10">
        <v>5.6463703433741699E-2</v>
      </c>
      <c r="AG10">
        <v>-0.17861869999999999</v>
      </c>
      <c r="AH10">
        <v>0.59828177880328004</v>
      </c>
      <c r="AI10">
        <v>106.55363515488899</v>
      </c>
      <c r="AJ10">
        <v>84.608597468394507</v>
      </c>
      <c r="AK10">
        <v>0.62692413946438597</v>
      </c>
      <c r="AL10">
        <v>88.698530809463904</v>
      </c>
      <c r="AM10">
        <v>86.916777676101503</v>
      </c>
      <c r="AN10">
        <v>1.00000003621514</v>
      </c>
    </row>
    <row r="11" spans="1:40" x14ac:dyDescent="0.25">
      <c r="A11" t="str">
        <f>"20190312154800268"</f>
        <v>20190312154800268</v>
      </c>
      <c r="B11" t="str">
        <f>"1552376880256423"</f>
        <v>1552376880256423</v>
      </c>
      <c r="C11" t="s">
        <v>40</v>
      </c>
      <c r="D11">
        <v>5.3168879999999996</v>
      </c>
      <c r="E11">
        <v>0.51679379999999997</v>
      </c>
      <c r="F11" t="s">
        <v>41</v>
      </c>
      <c r="G11">
        <v>-475.74169999999998</v>
      </c>
      <c r="H11">
        <v>0.93206359999999999</v>
      </c>
      <c r="I11">
        <v>367.15519999999998</v>
      </c>
      <c r="J11">
        <v>-476.37959999999998</v>
      </c>
      <c r="K11">
        <v>1.1086290000000001</v>
      </c>
      <c r="L11">
        <v>367.21600000000001</v>
      </c>
      <c r="M11">
        <v>1</v>
      </c>
      <c r="N11">
        <v>0</v>
      </c>
      <c r="O11">
        <v>-2.3046119999999999E-4</v>
      </c>
      <c r="P11">
        <v>0.99834290000000003</v>
      </c>
      <c r="Q11">
        <v>2.2896949999999999E-2</v>
      </c>
      <c r="R11">
        <v>-5.2796339999999997E-2</v>
      </c>
      <c r="S11">
        <v>3.0078429999999998</v>
      </c>
      <c r="T11">
        <v>-0.78736459999999997</v>
      </c>
      <c r="U11">
        <v>-0.2680054</v>
      </c>
      <c r="V11">
        <v>5.2567490000000001E-2</v>
      </c>
      <c r="W11">
        <v>2.3178239999999999E-2</v>
      </c>
      <c r="X11">
        <v>0.99834840000000002</v>
      </c>
      <c r="Y11">
        <v>8.5664699999999996E-2</v>
      </c>
      <c r="Z11">
        <v>-1.094652E-2</v>
      </c>
      <c r="AA11">
        <v>0.99626389999999998</v>
      </c>
      <c r="AB11">
        <v>3</v>
      </c>
      <c r="AC11">
        <v>0.63790000000000102</v>
      </c>
      <c r="AD11">
        <v>-0.17656540000000001</v>
      </c>
      <c r="AE11">
        <v>-6.0800000000028803E-2</v>
      </c>
      <c r="AF11">
        <v>5.6372934641245397E-2</v>
      </c>
      <c r="AG11">
        <v>-0.17656540000000001</v>
      </c>
      <c r="AH11">
        <v>0.59289881040774595</v>
      </c>
      <c r="AI11">
        <v>106.51315163962499</v>
      </c>
      <c r="AJ11">
        <v>84.568633785581397</v>
      </c>
      <c r="AK11">
        <v>0.62119421087140403</v>
      </c>
      <c r="AL11">
        <v>88.671865800395494</v>
      </c>
      <c r="AM11">
        <v>86.985905468470406</v>
      </c>
      <c r="AN11">
        <v>1.00000004979847</v>
      </c>
    </row>
    <row r="12" spans="1:40" x14ac:dyDescent="0.25">
      <c r="A12" t="str">
        <f>"20190312154800288"</f>
        <v>20190312154800288</v>
      </c>
      <c r="B12" t="str">
        <f>"1552376880275941"</f>
        <v>1552376880275941</v>
      </c>
      <c r="C12" t="s">
        <v>40</v>
      </c>
      <c r="D12">
        <v>5.3360059999999896</v>
      </c>
      <c r="E12">
        <v>0.51684730000000001</v>
      </c>
      <c r="F12" t="s">
        <v>41</v>
      </c>
      <c r="G12">
        <v>-475.67770000000002</v>
      </c>
      <c r="H12">
        <v>0.92592810000000003</v>
      </c>
      <c r="I12">
        <v>367.15440000000001</v>
      </c>
      <c r="J12">
        <v>-476.3424</v>
      </c>
      <c r="K12">
        <v>1.108581</v>
      </c>
      <c r="L12">
        <v>367.21589999999998</v>
      </c>
      <c r="M12">
        <v>1</v>
      </c>
      <c r="N12">
        <v>0</v>
      </c>
      <c r="O12">
        <v>-2.5892649999999999E-4</v>
      </c>
      <c r="P12">
        <v>0.9984478</v>
      </c>
      <c r="Q12">
        <v>2.3325510000000001E-2</v>
      </c>
      <c r="R12">
        <v>-5.0578570000000003E-2</v>
      </c>
      <c r="S12">
        <v>3.009064</v>
      </c>
      <c r="T12">
        <v>-0.78322080000000005</v>
      </c>
      <c r="U12">
        <v>-0.26202389999999998</v>
      </c>
      <c r="V12">
        <v>5.0321310000000001E-2</v>
      </c>
      <c r="W12">
        <v>2.3139150000000001E-2</v>
      </c>
      <c r="X12">
        <v>0.99846500000000005</v>
      </c>
      <c r="Y12">
        <v>8.3731360000000005E-2</v>
      </c>
      <c r="Z12">
        <v>-1.063309E-2</v>
      </c>
      <c r="AA12">
        <v>0.99643159999999997</v>
      </c>
      <c r="AB12">
        <v>4</v>
      </c>
      <c r="AC12">
        <v>0.66469999999998197</v>
      </c>
      <c r="AD12">
        <v>-0.18265290000000001</v>
      </c>
      <c r="AE12">
        <v>-6.1499999999966803E-2</v>
      </c>
      <c r="AF12">
        <v>5.7056172547048603E-2</v>
      </c>
      <c r="AG12">
        <v>-0.18265290000000001</v>
      </c>
      <c r="AH12">
        <v>0.61841595221136503</v>
      </c>
      <c r="AI12">
        <v>106.388976727968</v>
      </c>
      <c r="AJ12">
        <v>84.728710938704793</v>
      </c>
      <c r="AK12">
        <v>0.64734517736182895</v>
      </c>
      <c r="AL12">
        <v>88.674106034222405</v>
      </c>
      <c r="AM12">
        <v>87.114809970482</v>
      </c>
      <c r="AN12">
        <v>1.00000000536391</v>
      </c>
    </row>
    <row r="13" spans="1:40" x14ac:dyDescent="0.25">
      <c r="A13" t="str">
        <f>"20190312154800313"</f>
        <v>20190312154800313</v>
      </c>
      <c r="B13" t="str">
        <f>"1552376880306197"</f>
        <v>1552376880306197</v>
      </c>
      <c r="C13" t="s">
        <v>40</v>
      </c>
      <c r="D13">
        <v>5.3138550000000002</v>
      </c>
      <c r="E13">
        <v>0.51663999999999999</v>
      </c>
      <c r="F13" t="s">
        <v>41</v>
      </c>
      <c r="G13">
        <v>-475.64060000000001</v>
      </c>
      <c r="H13">
        <v>0.92617579999999999</v>
      </c>
      <c r="I13">
        <v>367.15620000000001</v>
      </c>
      <c r="J13">
        <v>-476.298</v>
      </c>
      <c r="K13">
        <v>1.108528</v>
      </c>
      <c r="L13">
        <v>367.21589999999998</v>
      </c>
      <c r="M13">
        <v>0.99999990000000005</v>
      </c>
      <c r="N13">
        <v>0</v>
      </c>
      <c r="O13">
        <v>-2.9167480000000001E-4</v>
      </c>
      <c r="P13">
        <v>0.9985425</v>
      </c>
      <c r="Q13">
        <v>2.349571E-2</v>
      </c>
      <c r="R13">
        <v>-4.8591540000000003E-2</v>
      </c>
      <c r="S13">
        <v>3.0100099999999999</v>
      </c>
      <c r="T13">
        <v>-0.78236139999999998</v>
      </c>
      <c r="U13">
        <v>-0.25521850000000001</v>
      </c>
      <c r="V13">
        <v>4.8301549999999999E-2</v>
      </c>
      <c r="W13">
        <v>2.2838819999999999E-2</v>
      </c>
      <c r="X13">
        <v>0.9985716</v>
      </c>
      <c r="Y13">
        <v>8.1516240000000004E-2</v>
      </c>
      <c r="Z13">
        <v>-1.0328499999999999E-2</v>
      </c>
      <c r="AA13">
        <v>0.99661849999999996</v>
      </c>
      <c r="AB13">
        <v>4</v>
      </c>
      <c r="AC13">
        <v>0.65739999999999499</v>
      </c>
      <c r="AD13">
        <v>-0.18235219999999999</v>
      </c>
      <c r="AE13">
        <v>-5.9699999999963803E-2</v>
      </c>
      <c r="AF13">
        <v>5.5289007557671202E-2</v>
      </c>
      <c r="AG13">
        <v>-0.18235219999999999</v>
      </c>
      <c r="AH13">
        <v>0.610805300152089</v>
      </c>
      <c r="AI13">
        <v>106.55870364006201</v>
      </c>
      <c r="AJ13">
        <v>84.827783650804705</v>
      </c>
      <c r="AK13">
        <v>0.63983772465792899</v>
      </c>
      <c r="AL13">
        <v>88.691318146661501</v>
      </c>
      <c r="AM13">
        <v>87.230724754675094</v>
      </c>
      <c r="AN13">
        <v>0.999999945878976</v>
      </c>
    </row>
    <row r="14" spans="1:40" x14ac:dyDescent="0.25">
      <c r="A14" t="str">
        <f>"20190312154800334"</f>
        <v>20190312154800334</v>
      </c>
      <c r="B14" t="str">
        <f>"1552376880326693"</f>
        <v>1552376880326693</v>
      </c>
      <c r="C14" t="s">
        <v>40</v>
      </c>
      <c r="D14">
        <v>5.3888999999999996</v>
      </c>
      <c r="E14">
        <v>0.51667079999999999</v>
      </c>
      <c r="F14" t="s">
        <v>41</v>
      </c>
      <c r="G14">
        <v>-475.60070000000002</v>
      </c>
      <c r="H14">
        <v>0.92729030000000001</v>
      </c>
      <c r="I14">
        <v>367.15800000000002</v>
      </c>
      <c r="J14">
        <v>-476.25349999999997</v>
      </c>
      <c r="K14">
        <v>1.1084879999999999</v>
      </c>
      <c r="L14">
        <v>367.21589999999998</v>
      </c>
      <c r="M14">
        <v>0.99999950000000004</v>
      </c>
      <c r="N14">
        <v>0</v>
      </c>
      <c r="O14">
        <v>-3.2378380000000002E-4</v>
      </c>
      <c r="P14">
        <v>0.99865099999999996</v>
      </c>
      <c r="Q14">
        <v>2.308959E-2</v>
      </c>
      <c r="R14">
        <v>-4.6513119999999998E-2</v>
      </c>
      <c r="S14">
        <v>3.0107119999999998</v>
      </c>
      <c r="T14">
        <v>-0.78257119999999902</v>
      </c>
      <c r="U14">
        <v>-0.24804689999999999</v>
      </c>
      <c r="V14">
        <v>4.6190870000000002E-2</v>
      </c>
      <c r="W14">
        <v>2.203078E-2</v>
      </c>
      <c r="X14">
        <v>0.99868970000000001</v>
      </c>
      <c r="Y14">
        <v>7.918414E-2</v>
      </c>
      <c r="Z14">
        <v>-1.002398E-2</v>
      </c>
      <c r="AA14">
        <v>0.99680959999999996</v>
      </c>
      <c r="AB14">
        <v>4</v>
      </c>
      <c r="AC14">
        <v>0.65279999999995597</v>
      </c>
      <c r="AD14">
        <v>-0.18119769999999899</v>
      </c>
      <c r="AE14">
        <v>-5.7899999999960899E-2</v>
      </c>
      <c r="AF14">
        <v>5.3591867862412802E-2</v>
      </c>
      <c r="AG14">
        <v>-0.18119769999999899</v>
      </c>
      <c r="AH14">
        <v>0.606458737357918</v>
      </c>
      <c r="AI14">
        <v>106.574064931278</v>
      </c>
      <c r="AJ14">
        <v>84.949974070437605</v>
      </c>
      <c r="AK14">
        <v>0.63521405439743905</v>
      </c>
      <c r="AL14">
        <v>88.737627199342995</v>
      </c>
      <c r="AM14">
        <v>87.351872997379402</v>
      </c>
      <c r="AN14">
        <v>1.00000003431242</v>
      </c>
    </row>
    <row r="15" spans="1:40" x14ac:dyDescent="0.25">
      <c r="A15" t="str">
        <f>"20190312154800357"</f>
        <v>20190312154800357</v>
      </c>
      <c r="B15" t="str">
        <f>"1552376880346213"</f>
        <v>1552376880346213</v>
      </c>
      <c r="C15" t="s">
        <v>40</v>
      </c>
      <c r="D15">
        <v>5.4058039999999998</v>
      </c>
      <c r="E15">
        <v>0.53885810000000001</v>
      </c>
      <c r="F15" t="s">
        <v>41</v>
      </c>
      <c r="G15">
        <v>-475.55880000000002</v>
      </c>
      <c r="H15">
        <v>0.92775359999999996</v>
      </c>
      <c r="I15">
        <v>367.15969999999999</v>
      </c>
      <c r="J15">
        <v>-476.20209999999997</v>
      </c>
      <c r="K15">
        <v>1.108444</v>
      </c>
      <c r="L15">
        <v>367.2158</v>
      </c>
      <c r="M15">
        <v>0.99999890000000002</v>
      </c>
      <c r="N15">
        <v>0</v>
      </c>
      <c r="O15">
        <v>-3.5907289999999998E-4</v>
      </c>
      <c r="P15">
        <v>0.99868840000000003</v>
      </c>
      <c r="Q15">
        <v>2.2971060000000001E-2</v>
      </c>
      <c r="R15">
        <v>-4.5755450000000003E-2</v>
      </c>
      <c r="S15">
        <v>3.0109249999999999</v>
      </c>
      <c r="T15">
        <v>-0.7832363</v>
      </c>
      <c r="U15">
        <v>-0.24206539999999999</v>
      </c>
      <c r="V15">
        <v>4.539816E-2</v>
      </c>
      <c r="W15">
        <v>2.1510669999999999E-2</v>
      </c>
      <c r="X15">
        <v>0.99873730000000005</v>
      </c>
      <c r="Y15">
        <v>7.7236879999999994E-2</v>
      </c>
      <c r="Z15">
        <v>-9.7745499999999999E-3</v>
      </c>
      <c r="AA15">
        <v>0.99696490000000004</v>
      </c>
      <c r="AB15">
        <v>4</v>
      </c>
      <c r="AC15">
        <v>0.64329999999995302</v>
      </c>
      <c r="AD15">
        <v>-0.1806904</v>
      </c>
      <c r="AE15">
        <v>-5.6100000000014902E-2</v>
      </c>
      <c r="AF15">
        <v>5.1812193976701497E-2</v>
      </c>
      <c r="AG15">
        <v>-0.1806904</v>
      </c>
      <c r="AH15">
        <v>0.59660676276109104</v>
      </c>
      <c r="AI15">
        <v>106.79002259569</v>
      </c>
      <c r="AJ15">
        <v>85.036612574993399</v>
      </c>
      <c r="AK15">
        <v>0.62551830786085505</v>
      </c>
      <c r="AL15">
        <v>88.767434264908502</v>
      </c>
      <c r="AM15">
        <v>87.397379975070095</v>
      </c>
      <c r="AN15">
        <v>0.99999994813326099</v>
      </c>
    </row>
    <row r="16" spans="1:40" x14ac:dyDescent="0.25">
      <c r="A16" t="str">
        <f>"20190312154800379"</f>
        <v>20190312154800379</v>
      </c>
      <c r="B16" t="str">
        <f>"1552376880376469"</f>
        <v>1552376880376469</v>
      </c>
      <c r="C16" t="s">
        <v>40</v>
      </c>
      <c r="D16">
        <v>8.0634910000000009</v>
      </c>
      <c r="E16">
        <v>0.54134950000000004</v>
      </c>
      <c r="F16" t="s">
        <v>41</v>
      </c>
      <c r="G16">
        <v>-475.51850000000002</v>
      </c>
      <c r="H16">
        <v>0.91853030000000002</v>
      </c>
      <c r="I16">
        <v>367.12079999999997</v>
      </c>
      <c r="J16">
        <v>-476.15370000000001</v>
      </c>
      <c r="K16">
        <v>1.1084080000000001</v>
      </c>
      <c r="L16">
        <v>367.2158</v>
      </c>
      <c r="M16">
        <v>0.99999850000000001</v>
      </c>
      <c r="N16">
        <v>0</v>
      </c>
      <c r="O16">
        <v>-3.9116040000000002E-4</v>
      </c>
      <c r="P16">
        <v>0.99864989999999998</v>
      </c>
      <c r="Q16">
        <v>2.3535879999999999E-2</v>
      </c>
      <c r="R16">
        <v>-4.631188E-2</v>
      </c>
      <c r="S16">
        <v>3.0041500000000001</v>
      </c>
      <c r="T16">
        <v>-0.83461580000000002</v>
      </c>
      <c r="U16">
        <v>-0.41452030000000001</v>
      </c>
      <c r="V16">
        <v>4.5922449999999997E-2</v>
      </c>
      <c r="W16">
        <v>2.1746649999999999E-2</v>
      </c>
      <c r="X16">
        <v>0.99870820000000005</v>
      </c>
      <c r="Y16">
        <v>0.13142809999999999</v>
      </c>
      <c r="Z16">
        <v>-1.773131E-2</v>
      </c>
      <c r="AA16">
        <v>0.99116709999999997</v>
      </c>
      <c r="AB16">
        <v>5</v>
      </c>
      <c r="AC16">
        <v>0.63519999999999699</v>
      </c>
      <c r="AD16">
        <v>-0.18987770000000001</v>
      </c>
      <c r="AE16">
        <v>-9.5000000000027202E-2</v>
      </c>
      <c r="AF16">
        <v>8.7135720058244007E-2</v>
      </c>
      <c r="AG16">
        <v>-0.18987770000000001</v>
      </c>
      <c r="AH16">
        <v>0.58417890156546404</v>
      </c>
      <c r="AI16">
        <v>107.82140176479599</v>
      </c>
      <c r="AJ16">
        <v>81.516348421721702</v>
      </c>
      <c r="AK16">
        <v>0.62041209184024704</v>
      </c>
      <c r="AL16">
        <v>88.753910418039695</v>
      </c>
      <c r="AM16">
        <v>87.367288526896701</v>
      </c>
      <c r="AN16">
        <v>0.99999992847372998</v>
      </c>
    </row>
    <row r="17" spans="1:40" x14ac:dyDescent="0.25">
      <c r="A17" t="str">
        <f>"20190312154800400"</f>
        <v>20190312154800400</v>
      </c>
      <c r="B17" t="str">
        <f>"1552376880395989"</f>
        <v>1552376880395989</v>
      </c>
      <c r="C17" t="s">
        <v>40</v>
      </c>
      <c r="D17">
        <v>5.557671</v>
      </c>
      <c r="E17">
        <v>0.54227119999999995</v>
      </c>
      <c r="F17" t="s">
        <v>41</v>
      </c>
      <c r="G17">
        <v>-475.46230000000003</v>
      </c>
      <c r="H17">
        <v>0.9395481</v>
      </c>
      <c r="I17">
        <v>367.11410000000001</v>
      </c>
      <c r="J17">
        <v>-476.10180000000003</v>
      </c>
      <c r="K17">
        <v>1.108366</v>
      </c>
      <c r="L17">
        <v>367.21570000000003</v>
      </c>
      <c r="M17">
        <v>0.99999769999999999</v>
      </c>
      <c r="N17">
        <v>0</v>
      </c>
      <c r="O17">
        <v>-4.242397E-4</v>
      </c>
      <c r="P17">
        <v>0.99856639999999997</v>
      </c>
      <c r="Q17">
        <v>2.498703E-2</v>
      </c>
      <c r="R17">
        <v>-4.733648E-2</v>
      </c>
      <c r="S17">
        <v>3.0009160000000001</v>
      </c>
      <c r="T17">
        <v>-0.73283120000000002</v>
      </c>
      <c r="U17">
        <v>-0.43963619999999998</v>
      </c>
      <c r="V17">
        <v>4.6914020000000001E-2</v>
      </c>
      <c r="W17">
        <v>2.2884580000000002E-2</v>
      </c>
      <c r="X17">
        <v>0.99863679999999999</v>
      </c>
      <c r="Y17">
        <v>0.14050270000000001</v>
      </c>
      <c r="Z17">
        <v>-1.6719589999999999E-2</v>
      </c>
      <c r="AA17">
        <v>0.98993909999999996</v>
      </c>
      <c r="AB17">
        <v>5</v>
      </c>
      <c r="AC17">
        <v>0.63949999999999796</v>
      </c>
      <c r="AD17">
        <v>-0.16881789999999899</v>
      </c>
      <c r="AE17">
        <v>-0.10160000000001899</v>
      </c>
      <c r="AF17">
        <v>9.4879538728138105E-2</v>
      </c>
      <c r="AG17">
        <v>-0.16881789999999899</v>
      </c>
      <c r="AH17">
        <v>0.59883878644921795</v>
      </c>
      <c r="AI17">
        <v>105.559097711391</v>
      </c>
      <c r="AJ17">
        <v>80.996939263400407</v>
      </c>
      <c r="AK17">
        <v>0.62937230824500601</v>
      </c>
      <c r="AL17">
        <v>88.688695734633399</v>
      </c>
      <c r="AM17">
        <v>87.310332883979498</v>
      </c>
      <c r="AN17">
        <v>1.00000004379428</v>
      </c>
    </row>
    <row r="18" spans="1:40" x14ac:dyDescent="0.25">
      <c r="A18" t="str">
        <f>"20190312154800424"</f>
        <v>20190312154800424</v>
      </c>
      <c r="B18" t="str">
        <f>"1552376880416485"</f>
        <v>1552376880416485</v>
      </c>
      <c r="C18" t="s">
        <v>40</v>
      </c>
      <c r="D18">
        <v>5.4307369999999997</v>
      </c>
      <c r="E18">
        <v>0.54298029999999997</v>
      </c>
      <c r="F18" t="s">
        <v>41</v>
      </c>
      <c r="G18">
        <v>-475.41210000000001</v>
      </c>
      <c r="H18">
        <v>0.94214019999999998</v>
      </c>
      <c r="I18">
        <v>367.11130000000003</v>
      </c>
      <c r="J18">
        <v>-476.04250000000002</v>
      </c>
      <c r="K18">
        <v>1.1083270000000001</v>
      </c>
      <c r="L18">
        <v>367.21559999999999</v>
      </c>
      <c r="M18">
        <v>0.99999689999999997</v>
      </c>
      <c r="N18">
        <v>0</v>
      </c>
      <c r="O18">
        <v>-4.5999479999999998E-4</v>
      </c>
      <c r="P18">
        <v>0.99847030000000003</v>
      </c>
      <c r="Q18">
        <v>2.661028E-2</v>
      </c>
      <c r="R18">
        <v>-4.846259E-2</v>
      </c>
      <c r="S18">
        <v>3.0010379999999999</v>
      </c>
      <c r="T18">
        <v>-0.72337629999999997</v>
      </c>
      <c r="U18">
        <v>-0.4507446</v>
      </c>
      <c r="V18">
        <v>4.8004680000000001E-2</v>
      </c>
      <c r="W18">
        <v>2.4191230000000001E-2</v>
      </c>
      <c r="X18">
        <v>0.9985541</v>
      </c>
      <c r="Y18">
        <v>0.1440524</v>
      </c>
      <c r="Z18">
        <v>-1.6915960000000001E-2</v>
      </c>
      <c r="AA18">
        <v>0.98942549999999996</v>
      </c>
      <c r="AB18">
        <v>5</v>
      </c>
      <c r="AC18">
        <v>0.63040000000000795</v>
      </c>
      <c r="AD18">
        <v>-0.1661868</v>
      </c>
      <c r="AE18">
        <v>-0.104299999999966</v>
      </c>
      <c r="AF18">
        <v>9.7420080294906702E-2</v>
      </c>
      <c r="AG18">
        <v>-0.1661868</v>
      </c>
      <c r="AH18">
        <v>0.59050362222139996</v>
      </c>
      <c r="AI18">
        <v>105.51884550943601</v>
      </c>
      <c r="AJ18">
        <v>80.631844490694405</v>
      </c>
      <c r="AK18">
        <v>0.621130624261516</v>
      </c>
      <c r="AL18">
        <v>88.613809363125497</v>
      </c>
      <c r="AM18">
        <v>87.247670805428399</v>
      </c>
      <c r="AN18">
        <v>0.999999977768812</v>
      </c>
    </row>
    <row r="19" spans="1:40" x14ac:dyDescent="0.25">
      <c r="A19" t="str">
        <f>"20190312154800445"</f>
        <v>20190312154800445</v>
      </c>
      <c r="B19" t="str">
        <f>"1552376880436005"</f>
        <v>1552376880436005</v>
      </c>
      <c r="C19" t="s">
        <v>40</v>
      </c>
      <c r="D19">
        <v>5.4390980000000004</v>
      </c>
      <c r="E19">
        <v>0.54306239999999995</v>
      </c>
      <c r="F19" t="s">
        <v>41</v>
      </c>
      <c r="G19">
        <v>-475.35950000000003</v>
      </c>
      <c r="H19">
        <v>0.94475889999999996</v>
      </c>
      <c r="I19">
        <v>367.11070000000001</v>
      </c>
      <c r="J19">
        <v>-475.9846</v>
      </c>
      <c r="K19">
        <v>1.1082829999999999</v>
      </c>
      <c r="L19">
        <v>367.21550000000002</v>
      </c>
      <c r="M19">
        <v>0.99999640000000001</v>
      </c>
      <c r="N19">
        <v>0</v>
      </c>
      <c r="O19">
        <v>-4.9323779999999897E-4</v>
      </c>
      <c r="P19">
        <v>0.99839109999999998</v>
      </c>
      <c r="Q19">
        <v>2.804481E-2</v>
      </c>
      <c r="R19">
        <v>-4.9283680000000003E-2</v>
      </c>
      <c r="S19">
        <v>3.0014340000000002</v>
      </c>
      <c r="T19">
        <v>-0.71881200000000001</v>
      </c>
      <c r="U19">
        <v>-0.45986939999999998</v>
      </c>
      <c r="V19">
        <v>4.879265E-2</v>
      </c>
      <c r="W19">
        <v>2.5353879999999999E-2</v>
      </c>
      <c r="X19">
        <v>0.99848709999999996</v>
      </c>
      <c r="Y19">
        <v>0.14691489999999999</v>
      </c>
      <c r="Z19">
        <v>-1.7134650000000001E-2</v>
      </c>
      <c r="AA19">
        <v>0.98900069999999995</v>
      </c>
      <c r="AB19">
        <v>5</v>
      </c>
      <c r="AC19">
        <v>0.62509999999997401</v>
      </c>
      <c r="AD19">
        <v>-0.16352409999999901</v>
      </c>
      <c r="AE19">
        <v>-0.104800000000011</v>
      </c>
      <c r="AF19">
        <v>9.7970553124771001E-2</v>
      </c>
      <c r="AG19">
        <v>-0.16352409999999901</v>
      </c>
      <c r="AH19">
        <v>0.58613718702629702</v>
      </c>
      <c r="AI19">
        <v>105.385238309567</v>
      </c>
      <c r="AJ19">
        <v>80.510951999836706</v>
      </c>
      <c r="AK19">
        <v>0.61635636005113403</v>
      </c>
      <c r="AL19">
        <v>88.547174024984102</v>
      </c>
      <c r="AM19">
        <v>87.202376630958696</v>
      </c>
      <c r="AN19">
        <v>1.00000001539574</v>
      </c>
    </row>
    <row r="20" spans="1:40" x14ac:dyDescent="0.25">
      <c r="A20" t="str">
        <f>"20190312154800468"</f>
        <v>20190312154800468</v>
      </c>
      <c r="B20" t="str">
        <f>"1552376880456501"</f>
        <v>1552376880456501</v>
      </c>
      <c r="C20" t="s">
        <v>40</v>
      </c>
      <c r="D20">
        <v>5.4201569999999997</v>
      </c>
      <c r="E20">
        <v>0.54318239999999995</v>
      </c>
      <c r="F20" t="s">
        <v>41</v>
      </c>
      <c r="G20">
        <v>-475.25299999999999</v>
      </c>
      <c r="H20">
        <v>0.93585680000000004</v>
      </c>
      <c r="I20">
        <v>367.10250000000002</v>
      </c>
      <c r="J20">
        <v>-475.92090000000002</v>
      </c>
      <c r="K20">
        <v>1.1082399999999999</v>
      </c>
      <c r="L20">
        <v>367.21550000000002</v>
      </c>
      <c r="M20">
        <v>0.99999559999999998</v>
      </c>
      <c r="N20">
        <v>0</v>
      </c>
      <c r="O20">
        <v>-5.2733700000000001E-4</v>
      </c>
      <c r="P20">
        <v>0.99836460000000005</v>
      </c>
      <c r="Q20">
        <v>2.8551920000000001E-2</v>
      </c>
      <c r="R20">
        <v>-4.953229E-2</v>
      </c>
      <c r="S20">
        <v>3.0018919999999998</v>
      </c>
      <c r="T20">
        <v>-0.70756149999999995</v>
      </c>
      <c r="U20">
        <v>-0.46258539999999998</v>
      </c>
      <c r="V20">
        <v>4.9007120000000001E-2</v>
      </c>
      <c r="W20">
        <v>2.5598900000000001E-2</v>
      </c>
      <c r="X20">
        <v>0.99847030000000003</v>
      </c>
      <c r="Y20">
        <v>0.14783489999999999</v>
      </c>
      <c r="Z20">
        <v>-1.6968440000000001E-2</v>
      </c>
      <c r="AA20">
        <v>0.98886640000000003</v>
      </c>
      <c r="AB20">
        <v>6</v>
      </c>
      <c r="AC20">
        <v>0.66789999999997396</v>
      </c>
      <c r="AD20">
        <v>-0.17238319999999899</v>
      </c>
      <c r="AE20">
        <v>-0.112999999999999</v>
      </c>
      <c r="AF20">
        <v>0.10579634927727299</v>
      </c>
      <c r="AG20">
        <v>-0.17238319999999899</v>
      </c>
      <c r="AH20">
        <v>0.62733308815565803</v>
      </c>
      <c r="AI20">
        <v>105.160891533328</v>
      </c>
      <c r="AJ20">
        <v>80.427447923004195</v>
      </c>
      <c r="AK20">
        <v>0.65913248945682701</v>
      </c>
      <c r="AL20">
        <v>88.533130789671603</v>
      </c>
      <c r="AM20">
        <v>87.190052029996806</v>
      </c>
      <c r="AN20">
        <v>0.99999997073699598</v>
      </c>
    </row>
    <row r="21" spans="1:40" x14ac:dyDescent="0.25">
      <c r="A21" t="str">
        <f>"20190312154800490"</f>
        <v>20190312154800490</v>
      </c>
      <c r="B21" t="str">
        <f>"1552376880485781"</f>
        <v>1552376880485781</v>
      </c>
      <c r="C21" t="s">
        <v>40</v>
      </c>
      <c r="D21">
        <v>5.3969279999999999</v>
      </c>
      <c r="E21">
        <v>0.54340369999999905</v>
      </c>
      <c r="F21" t="s">
        <v>41</v>
      </c>
      <c r="G21">
        <v>-475.19479999999999</v>
      </c>
      <c r="H21">
        <v>0.93460600000000005</v>
      </c>
      <c r="I21">
        <v>367.10309999999998</v>
      </c>
      <c r="J21">
        <v>-475.85559999999998</v>
      </c>
      <c r="K21">
        <v>1.1082050000000001</v>
      </c>
      <c r="L21">
        <v>367.21539999999999</v>
      </c>
      <c r="M21">
        <v>0.99999490000000002</v>
      </c>
      <c r="N21">
        <v>0</v>
      </c>
      <c r="O21">
        <v>-5.6023919999999999E-4</v>
      </c>
      <c r="P21">
        <v>0.9983168</v>
      </c>
      <c r="Q21">
        <v>2.9335549999999998E-2</v>
      </c>
      <c r="R21">
        <v>-5.0031970000000002E-2</v>
      </c>
      <c r="S21">
        <v>3.002472</v>
      </c>
      <c r="T21">
        <v>-0.71797250000000001</v>
      </c>
      <c r="U21">
        <v>-0.4630127</v>
      </c>
      <c r="V21">
        <v>4.94741E-2</v>
      </c>
      <c r="W21">
        <v>2.6145640000000001E-2</v>
      </c>
      <c r="X21">
        <v>0.99843309999999996</v>
      </c>
      <c r="Y21">
        <v>0.14779929999999999</v>
      </c>
      <c r="Z21">
        <v>-1.719615E-2</v>
      </c>
      <c r="AA21">
        <v>0.98886790000000002</v>
      </c>
      <c r="AB21">
        <v>6</v>
      </c>
      <c r="AC21">
        <v>0.66079999999999395</v>
      </c>
      <c r="AD21">
        <v>-0.173598999999999</v>
      </c>
      <c r="AE21">
        <v>-0.11230000000000399</v>
      </c>
      <c r="AF21">
        <v>0.104893578591176</v>
      </c>
      <c r="AG21">
        <v>-0.173598999999999</v>
      </c>
      <c r="AH21">
        <v>0.61931926132459403</v>
      </c>
      <c r="AI21">
        <v>105.44921348068399</v>
      </c>
      <c r="AJ21">
        <v>80.387087978198707</v>
      </c>
      <c r="AK21">
        <v>0.65168675226546102</v>
      </c>
      <c r="AL21">
        <v>88.501794400306395</v>
      </c>
      <c r="AM21">
        <v>87.163214552635694</v>
      </c>
      <c r="AN21">
        <v>0.99999996811871406</v>
      </c>
    </row>
    <row r="22" spans="1:40" x14ac:dyDescent="0.25">
      <c r="A22" t="str">
        <f>"20190312154800513"</f>
        <v>20190312154800513</v>
      </c>
      <c r="B22" t="str">
        <f>"1552376880506277"</f>
        <v>1552376880506277</v>
      </c>
      <c r="C22" t="s">
        <v>40</v>
      </c>
      <c r="D22">
        <v>5.4399439999999997</v>
      </c>
      <c r="E22">
        <v>0.54364630000000003</v>
      </c>
      <c r="F22" t="s">
        <v>41</v>
      </c>
      <c r="G22">
        <v>-475.13529999999997</v>
      </c>
      <c r="H22">
        <v>0.93043790000000004</v>
      </c>
      <c r="I22">
        <v>367.10340000000002</v>
      </c>
      <c r="J22">
        <v>-475.78440000000001</v>
      </c>
      <c r="K22">
        <v>1.1081620000000001</v>
      </c>
      <c r="L22">
        <v>367.21530000000001</v>
      </c>
      <c r="M22">
        <v>0.9999941</v>
      </c>
      <c r="N22">
        <v>0</v>
      </c>
      <c r="O22">
        <v>-5.9362399999999995E-4</v>
      </c>
      <c r="P22">
        <v>0.99827589999999999</v>
      </c>
      <c r="Q22">
        <v>3.0044040000000001E-2</v>
      </c>
      <c r="R22">
        <v>-5.0429010000000003E-2</v>
      </c>
      <c r="S22">
        <v>3.0035400000000001</v>
      </c>
      <c r="T22">
        <v>-0.74136519999999995</v>
      </c>
      <c r="U22">
        <v>-0.46472170000000002</v>
      </c>
      <c r="V22">
        <v>4.9837819999999998E-2</v>
      </c>
      <c r="W22">
        <v>2.6630419999999998E-2</v>
      </c>
      <c r="X22">
        <v>0.99840220000000002</v>
      </c>
      <c r="Y22">
        <v>0.14799670000000001</v>
      </c>
      <c r="Z22">
        <v>-1.7749620000000001E-2</v>
      </c>
      <c r="AA22">
        <v>0.9888285</v>
      </c>
      <c r="AB22">
        <v>7</v>
      </c>
      <c r="AC22">
        <v>0.64910000000003198</v>
      </c>
      <c r="AD22">
        <v>-0.1777241</v>
      </c>
      <c r="AE22">
        <v>-0.11189999999999101</v>
      </c>
      <c r="AF22">
        <v>0.103946981191102</v>
      </c>
      <c r="AG22">
        <v>-0.1777241</v>
      </c>
      <c r="AH22">
        <v>0.60511219289019702</v>
      </c>
      <c r="AI22">
        <v>106.143855816249</v>
      </c>
      <c r="AJ22">
        <v>80.252787682684598</v>
      </c>
      <c r="AK22">
        <v>0.63918041005958304</v>
      </c>
      <c r="AL22">
        <v>88.474008878830304</v>
      </c>
      <c r="AM22">
        <v>87.142305431816894</v>
      </c>
      <c r="AN22">
        <v>0.99999997026828402</v>
      </c>
    </row>
    <row r="23" spans="1:40" x14ac:dyDescent="0.25">
      <c r="A23" t="str">
        <f>"20190312154800548"</f>
        <v>20190312154800548</v>
      </c>
      <c r="B23" t="str">
        <f>"1552376880536533"</f>
        <v>1552376880536533</v>
      </c>
      <c r="C23" t="s">
        <v>40</v>
      </c>
      <c r="D23">
        <v>5.4345819999999998</v>
      </c>
      <c r="E23">
        <v>0.54374109999999998</v>
      </c>
      <c r="F23" t="s">
        <v>41</v>
      </c>
      <c r="G23">
        <v>-475.07170000000002</v>
      </c>
      <c r="H23">
        <v>0.9299849</v>
      </c>
      <c r="I23">
        <v>367.10419999999999</v>
      </c>
      <c r="J23">
        <v>-475.66989999999998</v>
      </c>
      <c r="K23">
        <v>1.108117</v>
      </c>
      <c r="L23">
        <v>367.21519999999998</v>
      </c>
      <c r="M23">
        <v>0.99999300000000002</v>
      </c>
      <c r="N23">
        <v>0</v>
      </c>
      <c r="O23">
        <v>-6.42648E-4</v>
      </c>
      <c r="P23">
        <v>0.99823819999999996</v>
      </c>
      <c r="Q23">
        <v>3.022685E-2</v>
      </c>
      <c r="R23">
        <v>-5.1058640000000002E-2</v>
      </c>
      <c r="S23">
        <v>3.0042110000000002</v>
      </c>
      <c r="T23">
        <v>-0.75115259999999995</v>
      </c>
      <c r="U23">
        <v>-0.46691890000000003</v>
      </c>
      <c r="V23">
        <v>5.0418499999999998E-2</v>
      </c>
      <c r="W23">
        <v>2.6526979999999999E-2</v>
      </c>
      <c r="X23">
        <v>0.99837580000000004</v>
      </c>
      <c r="Y23">
        <v>0.14849689999999999</v>
      </c>
      <c r="Z23">
        <v>-1.8021519999999999E-2</v>
      </c>
      <c r="AA23">
        <v>0.98874870000000004</v>
      </c>
      <c r="AB23">
        <v>7</v>
      </c>
      <c r="AC23">
        <v>0.59819999999996298</v>
      </c>
      <c r="AD23">
        <v>-0.17813209999999999</v>
      </c>
      <c r="AE23">
        <v>-0.11099999999999</v>
      </c>
      <c r="AF23">
        <v>0.101882056645192</v>
      </c>
      <c r="AG23">
        <v>-0.17813209999999999</v>
      </c>
      <c r="AH23">
        <v>0.55103559640627198</v>
      </c>
      <c r="AI23">
        <v>107.63442745519001</v>
      </c>
      <c r="AJ23">
        <v>79.524766835299999</v>
      </c>
      <c r="AK23">
        <v>0.58800614539601503</v>
      </c>
      <c r="AL23">
        <v>88.479937651442796</v>
      </c>
      <c r="AM23">
        <v>87.108989153661398</v>
      </c>
      <c r="AN23">
        <v>0.99999997191790402</v>
      </c>
    </row>
    <row r="24" spans="1:40" x14ac:dyDescent="0.25">
      <c r="A24" t="str">
        <f>"20190312154800569"</f>
        <v>20190312154800569</v>
      </c>
      <c r="B24" t="str">
        <f>"1552376880565813"</f>
        <v>1552376880565813</v>
      </c>
      <c r="C24" t="s">
        <v>40</v>
      </c>
      <c r="D24">
        <v>5.4524670000000004</v>
      </c>
      <c r="E24">
        <v>0.54359290000000005</v>
      </c>
      <c r="F24" t="s">
        <v>41</v>
      </c>
      <c r="G24">
        <v>-474.93970000000002</v>
      </c>
      <c r="H24">
        <v>0.92247469999999998</v>
      </c>
      <c r="I24">
        <v>367.10090000000002</v>
      </c>
      <c r="J24">
        <v>-475.59440000000001</v>
      </c>
      <c r="K24">
        <v>1.1080989999999999</v>
      </c>
      <c r="L24">
        <v>367.21510000000001</v>
      </c>
      <c r="M24">
        <v>0.99999249999999995</v>
      </c>
      <c r="N24">
        <v>0</v>
      </c>
      <c r="O24">
        <v>-6.7126519999999995E-4</v>
      </c>
      <c r="P24">
        <v>0.99822809999999995</v>
      </c>
      <c r="Q24">
        <v>2.9808640000000001E-2</v>
      </c>
      <c r="R24">
        <v>-5.1501890000000002E-2</v>
      </c>
      <c r="S24">
        <v>3.0044559999999998</v>
      </c>
      <c r="T24">
        <v>-0.76382240000000001</v>
      </c>
      <c r="U24">
        <v>-0.46920780000000001</v>
      </c>
      <c r="V24">
        <v>5.0833110000000001E-2</v>
      </c>
      <c r="W24">
        <v>2.5977859999999998E-2</v>
      </c>
      <c r="X24">
        <v>0.99836919999999996</v>
      </c>
      <c r="Y24">
        <v>0.14902860000000001</v>
      </c>
      <c r="Z24">
        <v>-1.8372920000000001E-2</v>
      </c>
      <c r="AA24">
        <v>0.98866220000000005</v>
      </c>
      <c r="AB24">
        <v>7</v>
      </c>
      <c r="AC24">
        <v>0.65469999999999096</v>
      </c>
      <c r="AD24">
        <v>-0.18562429999999999</v>
      </c>
      <c r="AE24">
        <v>-0.114199999999982</v>
      </c>
      <c r="AF24">
        <v>0.105527922862674</v>
      </c>
      <c r="AG24">
        <v>-0.18562429999999999</v>
      </c>
      <c r="AH24">
        <v>0.60739192426146005</v>
      </c>
      <c r="AI24">
        <v>106.756952259236</v>
      </c>
      <c r="AJ24">
        <v>80.143848980057896</v>
      </c>
      <c r="AK24">
        <v>0.64383031375684696</v>
      </c>
      <c r="AL24">
        <v>88.511410736139993</v>
      </c>
      <c r="AM24">
        <v>87.085236894206503</v>
      </c>
      <c r="AN24">
        <v>0.999999956895544</v>
      </c>
    </row>
    <row r="25" spans="1:40" x14ac:dyDescent="0.25">
      <c r="A25" t="str">
        <f>"20190312154800592"</f>
        <v>20190312154800592</v>
      </c>
      <c r="B25" t="str">
        <f>"1552376880586309"</f>
        <v>1552376880586309</v>
      </c>
      <c r="C25" t="s">
        <v>40</v>
      </c>
      <c r="D25">
        <v>5.467263</v>
      </c>
      <c r="E25">
        <v>0.54362699999999997</v>
      </c>
      <c r="F25" t="s">
        <v>41</v>
      </c>
      <c r="G25">
        <v>-474.86939999999998</v>
      </c>
      <c r="H25">
        <v>0.92070890000000005</v>
      </c>
      <c r="I25">
        <v>367.10149999999999</v>
      </c>
      <c r="J25">
        <v>-475.51389999999998</v>
      </c>
      <c r="K25">
        <v>1.1080890000000001</v>
      </c>
      <c r="L25">
        <v>367.21499999999997</v>
      </c>
      <c r="M25">
        <v>0.99999210000000005</v>
      </c>
      <c r="N25">
        <v>0</v>
      </c>
      <c r="O25">
        <v>-6.9789359999999998E-4</v>
      </c>
      <c r="P25">
        <v>0.99817849999999997</v>
      </c>
      <c r="Q25">
        <v>2.9986579999999999E-2</v>
      </c>
      <c r="R25">
        <v>-5.2349779999999999E-2</v>
      </c>
      <c r="S25">
        <v>3.0042719999999998</v>
      </c>
      <c r="T25">
        <v>-0.77643899999999999</v>
      </c>
      <c r="U25">
        <v>-0.46957399999999999</v>
      </c>
      <c r="V25">
        <v>5.1654430000000001E-2</v>
      </c>
      <c r="W25">
        <v>2.6071759999999999E-2</v>
      </c>
      <c r="X25">
        <v>0.99832460000000001</v>
      </c>
      <c r="Y25">
        <v>0.1489799</v>
      </c>
      <c r="Z25">
        <v>-1.8655020000000001E-2</v>
      </c>
      <c r="AA25">
        <v>0.98866419999999999</v>
      </c>
      <c r="AB25">
        <v>8</v>
      </c>
      <c r="AC25">
        <v>0.64449999999999297</v>
      </c>
      <c r="AD25">
        <v>-0.18738009999999899</v>
      </c>
      <c r="AE25">
        <v>-0.113499999999987</v>
      </c>
      <c r="AF25">
        <v>0.10448400624524801</v>
      </c>
      <c r="AG25">
        <v>-0.18738009999999899</v>
      </c>
      <c r="AH25">
        <v>0.59573725627538399</v>
      </c>
      <c r="AI25">
        <v>107.213296511754</v>
      </c>
      <c r="AJ25">
        <v>80.052293942756606</v>
      </c>
      <c r="AK25">
        <v>0.63319119383610301</v>
      </c>
      <c r="AL25">
        <v>88.506028846804796</v>
      </c>
      <c r="AM25">
        <v>87.038093629584097</v>
      </c>
      <c r="AN25">
        <v>0.99999996188663998</v>
      </c>
    </row>
    <row r="26" spans="1:40" x14ac:dyDescent="0.25">
      <c r="A26" t="str">
        <f>"20190312154800614"</f>
        <v>20190312154800614</v>
      </c>
      <c r="B26" t="str">
        <f>"1552376880605829"</f>
        <v>1552376880605829</v>
      </c>
      <c r="C26" t="s">
        <v>40</v>
      </c>
      <c r="D26">
        <v>5.4548949999999996</v>
      </c>
      <c r="E26">
        <v>0.54373199999999999</v>
      </c>
      <c r="F26" t="s">
        <v>41</v>
      </c>
      <c r="G26">
        <v>-474.7953</v>
      </c>
      <c r="H26">
        <v>0.92213829999999997</v>
      </c>
      <c r="I26">
        <v>367.10140000000001</v>
      </c>
      <c r="J26">
        <v>-475.43169999999998</v>
      </c>
      <c r="K26">
        <v>1.1080909999999999</v>
      </c>
      <c r="L26">
        <v>367.2149</v>
      </c>
      <c r="M26">
        <v>0.99999210000000005</v>
      </c>
      <c r="N26">
        <v>0</v>
      </c>
      <c r="O26">
        <v>-7.2202020000000004E-4</v>
      </c>
      <c r="P26">
        <v>0.99812719999999999</v>
      </c>
      <c r="Q26">
        <v>3.0969969999999999E-2</v>
      </c>
      <c r="R26">
        <v>-5.2758310000000003E-2</v>
      </c>
      <c r="S26">
        <v>3.0040589999999998</v>
      </c>
      <c r="T26">
        <v>-0.77738369999999901</v>
      </c>
      <c r="U26">
        <v>-0.47216799999999998</v>
      </c>
      <c r="V26">
        <v>5.2038880000000003E-2</v>
      </c>
      <c r="W26">
        <v>2.70332E-2</v>
      </c>
      <c r="X26">
        <v>0.99827909999999997</v>
      </c>
      <c r="Y26">
        <v>0.14976429999999999</v>
      </c>
      <c r="Z26">
        <v>-1.8770249999999999E-2</v>
      </c>
      <c r="AA26">
        <v>0.98854359999999997</v>
      </c>
      <c r="AB26">
        <v>8</v>
      </c>
      <c r="AC26">
        <v>0.63639999999997998</v>
      </c>
      <c r="AD26">
        <v>-0.1859527</v>
      </c>
      <c r="AE26">
        <v>-0.113499999999987</v>
      </c>
      <c r="AF26">
        <v>0.10440167439544799</v>
      </c>
      <c r="AG26">
        <v>-0.1859527</v>
      </c>
      <c r="AH26">
        <v>0.58784046160824099</v>
      </c>
      <c r="AI26">
        <v>107.299616457242</v>
      </c>
      <c r="AJ26">
        <v>79.929161988206104</v>
      </c>
      <c r="AK26">
        <v>0.62532753382339801</v>
      </c>
      <c r="AL26">
        <v>88.450923018516903</v>
      </c>
      <c r="AM26">
        <v>87.015952894376497</v>
      </c>
      <c r="AN26">
        <v>1.00000000021535</v>
      </c>
    </row>
    <row r="27" spans="1:40" x14ac:dyDescent="0.25">
      <c r="A27" t="str">
        <f>"20190312154800637"</f>
        <v>20190312154800637</v>
      </c>
      <c r="B27" t="str">
        <f>"1552376880626325"</f>
        <v>1552376880626325</v>
      </c>
      <c r="C27" t="s">
        <v>40</v>
      </c>
      <c r="D27">
        <v>5.448264</v>
      </c>
      <c r="E27">
        <v>0.54382010000000003</v>
      </c>
      <c r="F27" t="s">
        <v>41</v>
      </c>
      <c r="G27">
        <v>-474.7192</v>
      </c>
      <c r="H27">
        <v>0.92317660000000001</v>
      </c>
      <c r="I27">
        <v>367.10199999999998</v>
      </c>
      <c r="J27">
        <v>-475.34379999999999</v>
      </c>
      <c r="K27">
        <v>1.1081019999999999</v>
      </c>
      <c r="L27">
        <v>367.21480000000003</v>
      </c>
      <c r="M27">
        <v>0.9999922</v>
      </c>
      <c r="N27">
        <v>0</v>
      </c>
      <c r="O27">
        <v>-7.4373829999999997E-4</v>
      </c>
      <c r="P27">
        <v>0.99809539999999997</v>
      </c>
      <c r="Q27">
        <v>3.2175200000000001E-2</v>
      </c>
      <c r="R27">
        <v>-5.2632150000000003E-2</v>
      </c>
      <c r="S27">
        <v>3.0047299999999999</v>
      </c>
      <c r="T27">
        <v>-0.77983049999999998</v>
      </c>
      <c r="U27">
        <v>-0.47451779999999999</v>
      </c>
      <c r="V27">
        <v>5.1891329999999999E-2</v>
      </c>
      <c r="W27">
        <v>2.8289189999999999E-2</v>
      </c>
      <c r="X27">
        <v>0.99825200000000003</v>
      </c>
      <c r="Y27">
        <v>0.15041599999999999</v>
      </c>
      <c r="Z27">
        <v>-1.8899550000000001E-2</v>
      </c>
      <c r="AA27">
        <v>0.98844209999999999</v>
      </c>
      <c r="AB27">
        <v>8</v>
      </c>
      <c r="AC27">
        <v>0.62459999999998606</v>
      </c>
      <c r="AD27">
        <v>-0.18492539999999999</v>
      </c>
      <c r="AE27">
        <v>-0.112800000000049</v>
      </c>
      <c r="AF27">
        <v>0.103545559021987</v>
      </c>
      <c r="AG27">
        <v>-0.18492539999999999</v>
      </c>
      <c r="AH27">
        <v>0.575804332204366</v>
      </c>
      <c r="AI27">
        <v>107.54122170340899</v>
      </c>
      <c r="AJ27">
        <v>79.805589745330707</v>
      </c>
      <c r="AK27">
        <v>0.613571279757822</v>
      </c>
      <c r="AL27">
        <v>88.378932576194401</v>
      </c>
      <c r="AM27">
        <v>87.024317940180097</v>
      </c>
      <c r="AN27">
        <v>1.00000002195201</v>
      </c>
    </row>
    <row r="28" spans="1:40" x14ac:dyDescent="0.25">
      <c r="A28" t="str">
        <f>"20190312154800660"</f>
        <v>20190312154800660</v>
      </c>
      <c r="B28" t="str">
        <f>"1552376880656581"</f>
        <v>1552376880656581</v>
      </c>
      <c r="C28" t="s">
        <v>40</v>
      </c>
      <c r="D28">
        <v>5.3731910000000003</v>
      </c>
      <c r="E28">
        <v>0.54366649999999905</v>
      </c>
      <c r="F28" t="s">
        <v>41</v>
      </c>
      <c r="G28">
        <v>-474.64060000000001</v>
      </c>
      <c r="H28">
        <v>0.92551240000000001</v>
      </c>
      <c r="I28">
        <v>367.1028</v>
      </c>
      <c r="J28">
        <v>-475.25290000000001</v>
      </c>
      <c r="K28">
        <v>1.108139</v>
      </c>
      <c r="L28">
        <v>367.21469999999999</v>
      </c>
      <c r="M28">
        <v>0.99999280000000002</v>
      </c>
      <c r="N28">
        <v>0</v>
      </c>
      <c r="O28">
        <v>-7.6435999999999995E-4</v>
      </c>
      <c r="P28">
        <v>0.99809579999999998</v>
      </c>
      <c r="Q28">
        <v>3.3245490000000003E-2</v>
      </c>
      <c r="R28">
        <v>-5.1962559999999998E-2</v>
      </c>
      <c r="S28">
        <v>3.0058590000000001</v>
      </c>
      <c r="T28">
        <v>-0.78059709999999904</v>
      </c>
      <c r="U28">
        <v>-0.47540280000000001</v>
      </c>
      <c r="V28">
        <v>5.1200919999999997E-2</v>
      </c>
      <c r="W28">
        <v>2.9486499999999999E-2</v>
      </c>
      <c r="X28">
        <v>0.99825299999999995</v>
      </c>
      <c r="Y28">
        <v>0.1506111</v>
      </c>
      <c r="Z28">
        <v>-1.892988E-2</v>
      </c>
      <c r="AA28">
        <v>0.98841179999999995</v>
      </c>
      <c r="AB28">
        <v>8</v>
      </c>
      <c r="AC28">
        <v>0.61230000000000395</v>
      </c>
      <c r="AD28">
        <v>-0.1826266</v>
      </c>
      <c r="AE28">
        <v>-0.11189999999999101</v>
      </c>
      <c r="AF28">
        <v>0.102599578616327</v>
      </c>
      <c r="AG28">
        <v>-0.1826266</v>
      </c>
      <c r="AH28">
        <v>0.56384619700558103</v>
      </c>
      <c r="AI28">
        <v>107.675090397311</v>
      </c>
      <c r="AJ28">
        <v>79.687079187952705</v>
      </c>
      <c r="AK28">
        <v>0.601499528210509</v>
      </c>
      <c r="AL28">
        <v>88.310303118560796</v>
      </c>
      <c r="AM28">
        <v>87.063842344899896</v>
      </c>
      <c r="AN28">
        <v>1.0000000199500401</v>
      </c>
    </row>
    <row r="29" spans="1:40" x14ac:dyDescent="0.25">
      <c r="A29" t="str">
        <f>"20190312154800680"</f>
        <v>20190312154800680</v>
      </c>
      <c r="B29" t="str">
        <f>"1552376880676102"</f>
        <v>1552376880676102</v>
      </c>
      <c r="C29" t="s">
        <v>40</v>
      </c>
      <c r="D29">
        <v>5.4690690000000002</v>
      </c>
      <c r="E29">
        <v>0.5451125</v>
      </c>
      <c r="F29" t="s">
        <v>41</v>
      </c>
      <c r="G29">
        <v>-474.55970000000002</v>
      </c>
      <c r="H29">
        <v>0.9280311</v>
      </c>
      <c r="I29">
        <v>367.10550000000001</v>
      </c>
      <c r="J29">
        <v>-475.1737</v>
      </c>
      <c r="K29">
        <v>1.1081730000000001</v>
      </c>
      <c r="L29">
        <v>367.21469999999999</v>
      </c>
      <c r="M29">
        <v>0.99999329999999997</v>
      </c>
      <c r="N29">
        <v>0</v>
      </c>
      <c r="O29">
        <v>-7.8242619999999998E-4</v>
      </c>
      <c r="P29">
        <v>0.99813529999999995</v>
      </c>
      <c r="Q29">
        <v>3.3116199999999998E-2</v>
      </c>
      <c r="R29">
        <v>-5.1277290000000003E-2</v>
      </c>
      <c r="S29">
        <v>3.0072019999999999</v>
      </c>
      <c r="T29">
        <v>-0.78143999999999902</v>
      </c>
      <c r="U29">
        <v>-0.47228999999999999</v>
      </c>
      <c r="V29">
        <v>5.0497599999999997E-2</v>
      </c>
      <c r="W29">
        <v>2.9517959999999999E-2</v>
      </c>
      <c r="X29">
        <v>0.99828790000000001</v>
      </c>
      <c r="Y29">
        <v>0.14955450000000001</v>
      </c>
      <c r="Z29">
        <v>-1.8804169999999999E-2</v>
      </c>
      <c r="AA29">
        <v>0.98857470000000003</v>
      </c>
      <c r="AB29">
        <v>9</v>
      </c>
      <c r="AC29">
        <v>0.61399999999997501</v>
      </c>
      <c r="AD29">
        <v>-0.18014189999999899</v>
      </c>
      <c r="AE29">
        <v>-0.109199999999987</v>
      </c>
      <c r="AF29">
        <v>0.100346734300252</v>
      </c>
      <c r="AG29">
        <v>-0.18014189999999899</v>
      </c>
      <c r="AH29">
        <v>0.56679270299002105</v>
      </c>
      <c r="AI29">
        <v>107.378026241383</v>
      </c>
      <c r="AJ29">
        <v>79.960211774082097</v>
      </c>
      <c r="AK29">
        <v>0.60313724755072895</v>
      </c>
      <c r="AL29">
        <v>88.308499815994097</v>
      </c>
      <c r="AM29">
        <v>87.104206729714207</v>
      </c>
      <c r="AN29">
        <v>1.0000000244273599</v>
      </c>
    </row>
    <row r="30" spans="1:40" x14ac:dyDescent="0.25">
      <c r="A30" t="str">
        <f>"20190312154800791"</f>
        <v>20190312154800791</v>
      </c>
      <c r="B30" t="str">
        <f>"1552376880786390"</f>
        <v>1552376880786390</v>
      </c>
      <c r="C30" t="s">
        <v>40</v>
      </c>
      <c r="D30">
        <v>4.4417099999999996</v>
      </c>
      <c r="E30">
        <v>0.5451125</v>
      </c>
      <c r="F30" t="s">
        <v>41</v>
      </c>
      <c r="G30">
        <v>-474.4905</v>
      </c>
      <c r="H30">
        <v>0.89862050000000004</v>
      </c>
      <c r="I30">
        <v>367.1062</v>
      </c>
      <c r="J30">
        <v>-474.68549999999999</v>
      </c>
      <c r="K30">
        <v>1.1082609999999999</v>
      </c>
      <c r="L30">
        <v>367.21409999999997</v>
      </c>
      <c r="M30">
        <v>0.99999640000000001</v>
      </c>
      <c r="N30">
        <v>0</v>
      </c>
      <c r="O30">
        <v>-9.3304640000000001E-4</v>
      </c>
      <c r="P30">
        <v>0.99839909999999998</v>
      </c>
      <c r="Q30">
        <v>2.8917579999999998E-2</v>
      </c>
      <c r="R30">
        <v>-4.8612759999999998E-2</v>
      </c>
      <c r="S30">
        <v>3.0117799999999999</v>
      </c>
      <c r="T30">
        <v>-0.92366769999999998</v>
      </c>
      <c r="U30">
        <v>-0.47662349999999998</v>
      </c>
      <c r="V30">
        <v>4.768294E-2</v>
      </c>
      <c r="W30">
        <v>2.6370629999999999E-2</v>
      </c>
      <c r="X30">
        <v>0.99851440000000002</v>
      </c>
      <c r="Y30">
        <v>0.14875350000000001</v>
      </c>
      <c r="Z30">
        <v>-2.1890630000000001E-2</v>
      </c>
      <c r="AA30">
        <v>0.98863199999999996</v>
      </c>
      <c r="AB30">
        <v>10</v>
      </c>
      <c r="AC30">
        <v>0.19499999999999301</v>
      </c>
      <c r="AD30">
        <v>-0.20964050000000001</v>
      </c>
      <c r="AE30">
        <v>-0.107899999999972</v>
      </c>
      <c r="AF30">
        <v>5.7148811096086598E-2</v>
      </c>
      <c r="AG30">
        <v>-0.20964050000000001</v>
      </c>
      <c r="AH30">
        <v>0.103508846781963</v>
      </c>
      <c r="AI30">
        <v>150.576981923067</v>
      </c>
      <c r="AJ30">
        <v>61.096242198968604</v>
      </c>
      <c r="AK30">
        <v>0.240684871174069</v>
      </c>
      <c r="AL30">
        <v>88.488899084608093</v>
      </c>
      <c r="AM30">
        <v>87.265981026112698</v>
      </c>
      <c r="AN30">
        <v>1.00000003995049</v>
      </c>
    </row>
    <row r="31" spans="1:40" x14ac:dyDescent="0.25">
      <c r="A31" t="str">
        <f>"20190312154800812"</f>
        <v>20190312154800812</v>
      </c>
      <c r="B31" t="str">
        <f>"1552376880805909"</f>
        <v>1552376880805909</v>
      </c>
      <c r="C31" t="s">
        <v>40</v>
      </c>
      <c r="D31">
        <v>5.1185530000000004</v>
      </c>
      <c r="E31">
        <v>0.49677690000000002</v>
      </c>
      <c r="F31" t="s">
        <v>41</v>
      </c>
      <c r="G31">
        <v>-473.96600000000001</v>
      </c>
      <c r="H31">
        <v>0.88436579999999998</v>
      </c>
      <c r="I31">
        <v>367.10120000000001</v>
      </c>
      <c r="J31">
        <v>-474.5829</v>
      </c>
      <c r="K31">
        <v>1.108255</v>
      </c>
      <c r="L31">
        <v>367.21390000000002</v>
      </c>
      <c r="M31">
        <v>0.99999660000000001</v>
      </c>
      <c r="N31">
        <v>0</v>
      </c>
      <c r="O31">
        <v>-9.7043270000000004E-4</v>
      </c>
      <c r="P31">
        <v>0.99840519999999999</v>
      </c>
      <c r="Q31">
        <v>2.8221079999999999E-2</v>
      </c>
      <c r="R31">
        <v>-4.8893279999999997E-2</v>
      </c>
      <c r="S31">
        <v>3.0090940000000002</v>
      </c>
      <c r="T31">
        <v>-0.93620099999999995</v>
      </c>
      <c r="U31">
        <v>-0.46945189999999998</v>
      </c>
      <c r="V31">
        <v>4.792598E-2</v>
      </c>
      <c r="W31">
        <v>2.5806249999999999E-2</v>
      </c>
      <c r="X31">
        <v>0.99851749999999995</v>
      </c>
      <c r="Y31">
        <v>0.1464683</v>
      </c>
      <c r="Z31">
        <v>-2.1840439999999999E-2</v>
      </c>
      <c r="AA31">
        <v>0.98897420000000003</v>
      </c>
      <c r="AB31">
        <v>10</v>
      </c>
      <c r="AC31">
        <v>0.61689999999998602</v>
      </c>
      <c r="AD31">
        <v>-0.22388919999999901</v>
      </c>
      <c r="AE31">
        <v>-0.11270000000001799</v>
      </c>
      <c r="AF31">
        <v>9.9428041723438595E-2</v>
      </c>
      <c r="AG31">
        <v>-0.22388919999999901</v>
      </c>
      <c r="AH31">
        <v>0.54725513785939905</v>
      </c>
      <c r="AI31">
        <v>111.92593995470401</v>
      </c>
      <c r="AJ31">
        <v>79.702541086894698</v>
      </c>
      <c r="AK31">
        <v>0.59958360156954504</v>
      </c>
      <c r="AL31">
        <v>88.521246670869601</v>
      </c>
      <c r="AM31">
        <v>87.252075551951506</v>
      </c>
      <c r="AN31">
        <v>1.0000000299521301</v>
      </c>
    </row>
    <row r="32" spans="1:40" x14ac:dyDescent="0.25">
      <c r="A32" t="str">
        <f>"20190312154800836"</f>
        <v>20190312154800836</v>
      </c>
      <c r="B32" t="str">
        <f>"1552376880826406"</f>
        <v>1552376880826406</v>
      </c>
      <c r="C32" t="s">
        <v>40</v>
      </c>
      <c r="D32">
        <v>5.4757259999999999</v>
      </c>
      <c r="E32">
        <v>0.49677690000000002</v>
      </c>
      <c r="F32" t="s">
        <v>41</v>
      </c>
      <c r="G32">
        <v>-473.87619999999998</v>
      </c>
      <c r="H32">
        <v>0.86957139999999999</v>
      </c>
      <c r="I32">
        <v>367.19490000000002</v>
      </c>
      <c r="J32">
        <v>-474.47239999999999</v>
      </c>
      <c r="K32">
        <v>1.108249</v>
      </c>
      <c r="L32">
        <v>367.21379999999999</v>
      </c>
      <c r="M32">
        <v>0.99999680000000002</v>
      </c>
      <c r="N32">
        <v>0</v>
      </c>
      <c r="O32">
        <v>-1.0113190000000001E-3</v>
      </c>
      <c r="P32">
        <v>0.99837960000000003</v>
      </c>
      <c r="Q32">
        <v>2.8409899999999998E-2</v>
      </c>
      <c r="R32">
        <v>-4.9302810000000002E-2</v>
      </c>
      <c r="S32">
        <v>3.029785</v>
      </c>
      <c r="T32">
        <v>-1.023253</v>
      </c>
      <c r="U32">
        <v>-8.1115720000000002E-2</v>
      </c>
      <c r="V32">
        <v>4.8294940000000001E-2</v>
      </c>
      <c r="W32">
        <v>2.6097019999999999E-2</v>
      </c>
      <c r="X32">
        <v>0.99849209999999999</v>
      </c>
      <c r="Y32">
        <v>2.4452339999999999E-2</v>
      </c>
      <c r="Z32">
        <v>-3.6847440000000002E-3</v>
      </c>
      <c r="AA32">
        <v>0.99969419999999998</v>
      </c>
      <c r="AB32">
        <v>10</v>
      </c>
      <c r="AC32">
        <v>0.59620000000001006</v>
      </c>
      <c r="AD32">
        <v>-0.23867759999999999</v>
      </c>
      <c r="AE32">
        <v>-1.8899999999973702E-2</v>
      </c>
      <c r="AF32">
        <v>1.57718916902705E-2</v>
      </c>
      <c r="AG32">
        <v>-0.23867759999999999</v>
      </c>
      <c r="AH32">
        <v>0.51393549520707404</v>
      </c>
      <c r="AI32">
        <v>114.90040119084</v>
      </c>
      <c r="AJ32">
        <v>88.242232122566193</v>
      </c>
      <c r="AK32">
        <v>0.56687339198712605</v>
      </c>
      <c r="AL32">
        <v>88.504581066984102</v>
      </c>
      <c r="AM32">
        <v>87.230883019732204</v>
      </c>
      <c r="AN32">
        <v>0.99999996472244601</v>
      </c>
    </row>
    <row r="33" spans="1:40" x14ac:dyDescent="0.25">
      <c r="A33" t="str">
        <f>"20190312154800858"</f>
        <v>20190312154800858</v>
      </c>
      <c r="B33" t="str">
        <f>"1552376880855686"</f>
        <v>1552376880855686</v>
      </c>
      <c r="C33" t="s">
        <v>40</v>
      </c>
      <c r="D33">
        <v>5.5434510000000001</v>
      </c>
      <c r="E33">
        <v>0.4821455</v>
      </c>
      <c r="F33" t="s">
        <v>41</v>
      </c>
      <c r="G33">
        <v>-473.77719999999999</v>
      </c>
      <c r="H33">
        <v>0.87361230000000001</v>
      </c>
      <c r="I33">
        <v>367.19450000000001</v>
      </c>
      <c r="J33">
        <v>-474.36079999999998</v>
      </c>
      <c r="K33">
        <v>1.1082379999999901</v>
      </c>
      <c r="L33">
        <v>367.21359999999999</v>
      </c>
      <c r="M33">
        <v>0.99999709999999997</v>
      </c>
      <c r="N33">
        <v>0</v>
      </c>
      <c r="O33">
        <v>-1.051894E-3</v>
      </c>
      <c r="P33">
        <v>0.99831230000000004</v>
      </c>
      <c r="Q33">
        <v>3.0080510000000001E-2</v>
      </c>
      <c r="R33">
        <v>-4.9682299999999999E-2</v>
      </c>
      <c r="S33">
        <v>3.0298769999999999</v>
      </c>
      <c r="T33">
        <v>-1.02261</v>
      </c>
      <c r="U33">
        <v>-8.2427979999999998E-2</v>
      </c>
      <c r="V33">
        <v>4.8634030000000002E-2</v>
      </c>
      <c r="W33">
        <v>2.7833509999999999E-2</v>
      </c>
      <c r="X33">
        <v>0.99842880000000001</v>
      </c>
      <c r="Y33">
        <v>2.4826819999999999E-2</v>
      </c>
      <c r="Z33">
        <v>-3.7305839999999999E-3</v>
      </c>
      <c r="AA33">
        <v>0.99968480000000004</v>
      </c>
      <c r="AB33">
        <v>11</v>
      </c>
      <c r="AC33">
        <v>0.58359999999998902</v>
      </c>
      <c r="AD33">
        <v>-0.23462569999999899</v>
      </c>
      <c r="AE33">
        <v>-1.9099999999980299E-2</v>
      </c>
      <c r="AF33">
        <v>1.59163101440268E-2</v>
      </c>
      <c r="AG33">
        <v>-0.23462569999999899</v>
      </c>
      <c r="AH33">
        <v>0.50248954109507604</v>
      </c>
      <c r="AI33">
        <v>115.01810782172799</v>
      </c>
      <c r="AJ33">
        <v>88.1857680143127</v>
      </c>
      <c r="AK33">
        <v>0.55479571640292202</v>
      </c>
      <c r="AL33">
        <v>88.405051400516498</v>
      </c>
      <c r="AM33">
        <v>87.211294474006394</v>
      </c>
      <c r="AN33">
        <v>1.0000000209112001</v>
      </c>
    </row>
    <row r="34" spans="1:40" x14ac:dyDescent="0.25">
      <c r="A34" t="str">
        <f>"20190312154800881"</f>
        <v>20190312154800881</v>
      </c>
      <c r="B34" t="str">
        <f>"1552376880876182"</f>
        <v>1552376880876182</v>
      </c>
      <c r="C34" t="s">
        <v>40</v>
      </c>
      <c r="D34">
        <v>5.8873069999999998</v>
      </c>
      <c r="E34">
        <v>0.48220089999999999</v>
      </c>
      <c r="F34" t="s">
        <v>41</v>
      </c>
      <c r="G34">
        <v>-473.60789999999997</v>
      </c>
      <c r="H34">
        <v>1.0299119999999999</v>
      </c>
      <c r="I34">
        <v>367.21530000000001</v>
      </c>
      <c r="J34">
        <v>-474.24689999999998</v>
      </c>
      <c r="K34">
        <v>1.10822</v>
      </c>
      <c r="L34">
        <v>367.21339999999998</v>
      </c>
      <c r="M34">
        <v>0.99999700000000002</v>
      </c>
      <c r="N34">
        <v>0</v>
      </c>
      <c r="O34">
        <v>-1.090836E-3</v>
      </c>
      <c r="P34">
        <v>0.99826780000000004</v>
      </c>
      <c r="Q34">
        <v>3.1135220000000002E-2</v>
      </c>
      <c r="R34">
        <v>-4.9919560000000002E-2</v>
      </c>
      <c r="S34">
        <v>3.014923</v>
      </c>
      <c r="T34">
        <v>-0.31379699999999999</v>
      </c>
      <c r="U34">
        <v>7.59887699999999E-3</v>
      </c>
      <c r="V34">
        <v>4.8832639999999997E-2</v>
      </c>
      <c r="W34">
        <v>2.892455E-2</v>
      </c>
      <c r="X34">
        <v>0.9983881</v>
      </c>
      <c r="Y34">
        <v>-3.5859830000000001E-3</v>
      </c>
      <c r="Z34">
        <v>2.9934370000000001E-4</v>
      </c>
      <c r="AA34">
        <v>0.99999349999999998</v>
      </c>
      <c r="AB34">
        <v>11</v>
      </c>
      <c r="AC34">
        <v>0.63900000000001</v>
      </c>
      <c r="AD34">
        <v>-7.8307999999999794E-2</v>
      </c>
      <c r="AE34">
        <v>1.90000000003465E-3</v>
      </c>
      <c r="AF34">
        <v>-2.5586198737932099E-3</v>
      </c>
      <c r="AG34">
        <v>-7.8307999999999794E-2</v>
      </c>
      <c r="AH34">
        <v>0.62954318504470597</v>
      </c>
      <c r="AI34">
        <v>97.090464496304193</v>
      </c>
      <c r="AJ34">
        <v>90.232862997268896</v>
      </c>
      <c r="AK34">
        <v>0.63439996156674805</v>
      </c>
      <c r="AL34">
        <v>88.3425142341449</v>
      </c>
      <c r="AM34">
        <v>87.199810175128405</v>
      </c>
      <c r="AN34">
        <v>1.0000000272718399</v>
      </c>
    </row>
    <row r="35" spans="1:40" x14ac:dyDescent="0.25">
      <c r="A35" t="str">
        <f>"20190312154800902"</f>
        <v>20190312154800902</v>
      </c>
      <c r="B35" t="str">
        <f>"1552376880895702"</f>
        <v>1552376880895702</v>
      </c>
      <c r="C35" t="s">
        <v>40</v>
      </c>
      <c r="D35">
        <v>6.065429</v>
      </c>
      <c r="E35">
        <v>0.48206490000000002</v>
      </c>
      <c r="F35" t="s">
        <v>41</v>
      </c>
      <c r="G35">
        <v>-473.48219999999998</v>
      </c>
      <c r="H35">
        <v>1.0512280000000001</v>
      </c>
      <c r="I35">
        <v>367.214</v>
      </c>
      <c r="J35">
        <v>-474.13490000000002</v>
      </c>
      <c r="K35">
        <v>1.108201</v>
      </c>
      <c r="L35">
        <v>367.2133</v>
      </c>
      <c r="M35">
        <v>0.99999700000000002</v>
      </c>
      <c r="N35">
        <v>0</v>
      </c>
      <c r="O35">
        <v>-1.125872E-3</v>
      </c>
      <c r="P35">
        <v>0.99828150000000004</v>
      </c>
      <c r="Q35">
        <v>3.0941980000000001E-2</v>
      </c>
      <c r="R35">
        <v>-4.9766209999999998E-2</v>
      </c>
      <c r="S35">
        <v>3.0123289999999998</v>
      </c>
      <c r="T35">
        <v>-0.22483980000000001</v>
      </c>
      <c r="U35">
        <v>3.6315919999999999E-3</v>
      </c>
      <c r="V35">
        <v>4.8644279999999998E-2</v>
      </c>
      <c r="W35">
        <v>2.874152E-2</v>
      </c>
      <c r="X35">
        <v>0.99840249999999997</v>
      </c>
      <c r="Y35">
        <v>-2.321858E-3</v>
      </c>
      <c r="Z35">
        <v>1.704496E-4</v>
      </c>
      <c r="AA35">
        <v>0.99999729999999998</v>
      </c>
      <c r="AB35">
        <v>11</v>
      </c>
      <c r="AC35">
        <v>0.65270000000003803</v>
      </c>
      <c r="AD35">
        <v>-5.6972999999999899E-2</v>
      </c>
      <c r="AE35">
        <v>6.9999999999481501E-4</v>
      </c>
      <c r="AF35">
        <v>-1.4240081199544E-3</v>
      </c>
      <c r="AG35">
        <v>-5.6972999999999899E-2</v>
      </c>
      <c r="AH35">
        <v>0.64776334745675601</v>
      </c>
      <c r="AI35">
        <v>95.026413004425905</v>
      </c>
      <c r="AJ35">
        <v>90.125955758616101</v>
      </c>
      <c r="AK35">
        <v>0.65026556485524201</v>
      </c>
      <c r="AL35">
        <v>88.353005309100695</v>
      </c>
      <c r="AM35">
        <v>87.210634300987607</v>
      </c>
      <c r="AN35">
        <v>0.99999994647743795</v>
      </c>
    </row>
    <row r="36" spans="1:40" x14ac:dyDescent="0.25">
      <c r="A36" t="str">
        <f>"20190312154800926"</f>
        <v>20190312154800926</v>
      </c>
      <c r="B36" t="str">
        <f>"1552376880916197"</f>
        <v>1552376880916197</v>
      </c>
      <c r="C36" t="s">
        <v>40</v>
      </c>
      <c r="D36">
        <v>5.3780659999999996</v>
      </c>
      <c r="E36">
        <v>0.48346980000000001</v>
      </c>
      <c r="F36" t="s">
        <v>42</v>
      </c>
      <c r="G36">
        <v>-455.46719999999999</v>
      </c>
      <c r="H36" s="1">
        <v>-2.3491379999999999E-6</v>
      </c>
      <c r="I36">
        <v>367.23570000000001</v>
      </c>
      <c r="J36">
        <v>-474.01280000000003</v>
      </c>
      <c r="K36">
        <v>1.1081749999999999</v>
      </c>
      <c r="L36">
        <v>367.2131</v>
      </c>
      <c r="M36">
        <v>0.99999709999999997</v>
      </c>
      <c r="N36">
        <v>0</v>
      </c>
      <c r="O36">
        <v>-1.1604569999999999E-3</v>
      </c>
      <c r="P36">
        <v>0.99828119999999998</v>
      </c>
      <c r="Q36">
        <v>3.1107909999999999E-2</v>
      </c>
      <c r="R36">
        <v>-4.9672979999999999E-2</v>
      </c>
      <c r="S36">
        <v>3.0109249999999999</v>
      </c>
      <c r="T36">
        <v>-0.1787424</v>
      </c>
      <c r="U36">
        <v>3.6315919999999999E-3</v>
      </c>
      <c r="V36">
        <v>4.851627E-2</v>
      </c>
      <c r="W36">
        <v>2.8897860000000001E-2</v>
      </c>
      <c r="X36">
        <v>0.99840430000000002</v>
      </c>
      <c r="Y36">
        <v>-2.3603970000000002E-3</v>
      </c>
      <c r="Z36">
        <v>1.3883E-4</v>
      </c>
      <c r="AA36">
        <v>0.99999720000000003</v>
      </c>
      <c r="AB36">
        <v>11</v>
      </c>
      <c r="AC36">
        <v>18.5456</v>
      </c>
      <c r="AD36">
        <v>-1.10817734913799</v>
      </c>
      <c r="AE36">
        <v>2.2600000000011201E-2</v>
      </c>
      <c r="AF36">
        <v>-4.3964426499485197E-2</v>
      </c>
      <c r="AG36">
        <v>-1.10817734913799</v>
      </c>
      <c r="AH36">
        <v>18.479578874399799</v>
      </c>
      <c r="AI36">
        <v>93.431775132073795</v>
      </c>
      <c r="AJ36">
        <v>90.136311078936203</v>
      </c>
      <c r="AK36">
        <v>18.512828667794199</v>
      </c>
      <c r="AL36">
        <v>88.344044103334895</v>
      </c>
      <c r="AM36">
        <v>87.217968125289502</v>
      </c>
      <c r="AN36">
        <v>1.00000003051289</v>
      </c>
    </row>
    <row r="37" spans="1:40" x14ac:dyDescent="0.25">
      <c r="A37" t="str">
        <f>"20190312154800950"</f>
        <v>20190312154800950</v>
      </c>
      <c r="B37" t="str">
        <f>"1552376880946454"</f>
        <v>1552376880946454</v>
      </c>
      <c r="C37" t="s">
        <v>40</v>
      </c>
      <c r="D37">
        <v>5.457554</v>
      </c>
      <c r="E37">
        <v>0.48336430000000002</v>
      </c>
      <c r="F37" t="s">
        <v>42</v>
      </c>
      <c r="G37">
        <v>-451.72579999999999</v>
      </c>
      <c r="H37" s="1">
        <v>-3.9687900000000002E-6</v>
      </c>
      <c r="I37">
        <v>367.15339999999998</v>
      </c>
      <c r="J37">
        <v>-473.88240000000002</v>
      </c>
      <c r="K37">
        <v>1.10816</v>
      </c>
      <c r="L37">
        <v>367.21289999999999</v>
      </c>
      <c r="M37">
        <v>0.99999689999999997</v>
      </c>
      <c r="N37">
        <v>0</v>
      </c>
      <c r="O37">
        <v>-1.1904190000000001E-3</v>
      </c>
      <c r="P37">
        <v>0.99829699999999999</v>
      </c>
      <c r="Q37">
        <v>3.0991149999999999E-2</v>
      </c>
      <c r="R37">
        <v>-4.9424780000000001E-2</v>
      </c>
      <c r="S37">
        <v>3.00943</v>
      </c>
      <c r="T37">
        <v>-0.1496381</v>
      </c>
      <c r="U37">
        <v>-8.0566409999999998E-3</v>
      </c>
      <c r="V37">
        <v>4.823819E-2</v>
      </c>
      <c r="W37">
        <v>2.8750100000000001E-2</v>
      </c>
      <c r="X37">
        <v>0.99842200000000003</v>
      </c>
      <c r="Y37">
        <v>1.4863369999999999E-3</v>
      </c>
      <c r="Z37" s="1">
        <v>2.222498E-5</v>
      </c>
      <c r="AA37">
        <v>0.99999890000000002</v>
      </c>
      <c r="AB37">
        <v>12</v>
      </c>
      <c r="AC37">
        <v>22.156600000000001</v>
      </c>
      <c r="AD37">
        <v>-1.10816396879</v>
      </c>
      <c r="AE37">
        <v>-5.9500000000014097E-2</v>
      </c>
      <c r="AF37">
        <v>3.3041603924374899E-2</v>
      </c>
      <c r="AG37">
        <v>-1.10816396879</v>
      </c>
      <c r="AH37">
        <v>22.101368789066001</v>
      </c>
      <c r="AI37">
        <v>92.870406832632</v>
      </c>
      <c r="AJ37">
        <v>89.914342724160306</v>
      </c>
      <c r="AK37">
        <v>22.1291577218749</v>
      </c>
      <c r="AL37">
        <v>88.352513580852005</v>
      </c>
      <c r="AM37">
        <v>87.233937981794099</v>
      </c>
      <c r="AN37">
        <v>0.99999999065424305</v>
      </c>
    </row>
    <row r="38" spans="1:40" x14ac:dyDescent="0.25">
      <c r="A38" t="str">
        <f>"20190312154800971"</f>
        <v>20190312154800971</v>
      </c>
      <c r="B38" t="str">
        <f>"1552376880965974"</f>
        <v>1552376880965974</v>
      </c>
      <c r="C38" t="s">
        <v>40</v>
      </c>
      <c r="D38">
        <v>5.4804700000000004</v>
      </c>
      <c r="E38">
        <v>0.48334959999999999</v>
      </c>
      <c r="F38" t="s">
        <v>42</v>
      </c>
      <c r="G38">
        <v>-452.41289999999998</v>
      </c>
      <c r="H38" s="1">
        <v>-3.6715720000000002E-6</v>
      </c>
      <c r="I38">
        <v>367.16730000000001</v>
      </c>
      <c r="J38">
        <v>-473.76639999999998</v>
      </c>
      <c r="K38">
        <v>1.1081460000000001</v>
      </c>
      <c r="L38">
        <v>367.21280000000002</v>
      </c>
      <c r="M38">
        <v>0.99999680000000002</v>
      </c>
      <c r="N38">
        <v>0</v>
      </c>
      <c r="O38">
        <v>-1.212404E-3</v>
      </c>
      <c r="P38">
        <v>0.99827529999999998</v>
      </c>
      <c r="Q38">
        <v>3.1923670000000001E-2</v>
      </c>
      <c r="R38">
        <v>-4.9269939999999998E-2</v>
      </c>
      <c r="S38">
        <v>3.0096129999999999</v>
      </c>
      <c r="T38">
        <v>-0.15534220000000001</v>
      </c>
      <c r="U38">
        <v>-6.3781740000000003E-3</v>
      </c>
      <c r="V38">
        <v>4.806125E-2</v>
      </c>
      <c r="W38">
        <v>2.9644739999999999E-2</v>
      </c>
      <c r="X38">
        <v>0.99840439999999997</v>
      </c>
      <c r="Y38">
        <v>9.0726239999999996E-4</v>
      </c>
      <c r="Z38" s="1">
        <v>3.9138360000000002E-5</v>
      </c>
      <c r="AA38">
        <v>0.99999959999999999</v>
      </c>
      <c r="AB38">
        <v>12</v>
      </c>
      <c r="AC38">
        <v>21.3535</v>
      </c>
      <c r="AD38">
        <v>-1.1081496715719901</v>
      </c>
      <c r="AE38">
        <v>-4.5500000000004003E-2</v>
      </c>
      <c r="AF38">
        <v>1.95581613272439E-2</v>
      </c>
      <c r="AG38">
        <v>-1.1081496715719901</v>
      </c>
      <c r="AH38">
        <v>21.296186149758999</v>
      </c>
      <c r="AI38">
        <v>92.978705199018094</v>
      </c>
      <c r="AJ38">
        <v>89.947380259725506</v>
      </c>
      <c r="AK38">
        <v>21.325006981041401</v>
      </c>
      <c r="AL38">
        <v>88.301232669698507</v>
      </c>
      <c r="AM38">
        <v>87.244019852375203</v>
      </c>
      <c r="AN38">
        <v>1.0000000201502901</v>
      </c>
    </row>
    <row r="39" spans="1:40" x14ac:dyDescent="0.25">
      <c r="A39" t="str">
        <f>"20190312154800995"</f>
        <v>20190312154800995</v>
      </c>
      <c r="B39" t="str">
        <f>"1552376880986469"</f>
        <v>1552376880986469</v>
      </c>
      <c r="C39" t="s">
        <v>40</v>
      </c>
      <c r="D39">
        <v>5.4129180000000003</v>
      </c>
      <c r="E39">
        <v>0.48326269999999999</v>
      </c>
      <c r="F39" t="s">
        <v>42</v>
      </c>
      <c r="G39">
        <v>-452.31659999999999</v>
      </c>
      <c r="H39" s="1">
        <v>-3.7116740000000001E-6</v>
      </c>
      <c r="I39">
        <v>367.17419999999998</v>
      </c>
      <c r="J39">
        <v>-473.63420000000002</v>
      </c>
      <c r="K39">
        <v>1.108131</v>
      </c>
      <c r="L39">
        <v>367.21260000000001</v>
      </c>
      <c r="M39">
        <v>0.99999660000000001</v>
      </c>
      <c r="N39">
        <v>0</v>
      </c>
      <c r="O39">
        <v>-1.2303570000000001E-3</v>
      </c>
      <c r="P39">
        <v>0.99822390000000005</v>
      </c>
      <c r="Q39">
        <v>3.2524339999999999E-2</v>
      </c>
      <c r="R39">
        <v>-4.9913800000000001E-2</v>
      </c>
      <c r="S39">
        <v>3.0098880000000001</v>
      </c>
      <c r="T39">
        <v>-0.15549769999999999</v>
      </c>
      <c r="U39">
        <v>-5.4016109999999997E-3</v>
      </c>
      <c r="V39">
        <v>4.8686960000000001E-2</v>
      </c>
      <c r="W39">
        <v>3.0191900000000001E-2</v>
      </c>
      <c r="X39">
        <v>0.99835770000000001</v>
      </c>
      <c r="Y39">
        <v>5.6514670000000001E-4</v>
      </c>
      <c r="Z39" s="1">
        <v>4.8932160000000003E-5</v>
      </c>
      <c r="AA39">
        <v>0.99999979999999999</v>
      </c>
      <c r="AB39">
        <v>12</v>
      </c>
      <c r="AC39">
        <v>21.317599999999999</v>
      </c>
      <c r="AD39">
        <v>-1.1081347116739999</v>
      </c>
      <c r="AE39">
        <v>-3.8400000000024102E-2</v>
      </c>
      <c r="AF39">
        <v>1.21388424331445E-2</v>
      </c>
      <c r="AG39">
        <v>-1.1081347116739999</v>
      </c>
      <c r="AH39">
        <v>21.260183219096302</v>
      </c>
      <c r="AI39">
        <v>92.983700925613206</v>
      </c>
      <c r="AJ39">
        <v>89.9672860597273</v>
      </c>
      <c r="AK39">
        <v>21.289046488752302</v>
      </c>
      <c r="AL39">
        <v>88.269868695039193</v>
      </c>
      <c r="AM39">
        <v>87.208065729342195</v>
      </c>
      <c r="AN39">
        <v>1.0000000340244699</v>
      </c>
    </row>
    <row r="40" spans="1:40" x14ac:dyDescent="0.25">
      <c r="A40" t="str">
        <f>"20190312154801015"</f>
        <v>20190312154801015</v>
      </c>
      <c r="B40" t="str">
        <f>"1552376881005989"</f>
        <v>1552376881005989</v>
      </c>
      <c r="C40" t="s">
        <v>40</v>
      </c>
      <c r="D40">
        <v>5.4304489999999896</v>
      </c>
      <c r="E40">
        <v>0.48324349999999999</v>
      </c>
      <c r="F40" t="s">
        <v>42</v>
      </c>
      <c r="G40">
        <v>-452.28109999999998</v>
      </c>
      <c r="H40" s="1">
        <v>-3.7280550000000002E-6</v>
      </c>
      <c r="I40">
        <v>367.16770000000002</v>
      </c>
      <c r="J40">
        <v>-473.51549999999997</v>
      </c>
      <c r="K40">
        <v>1.1081179999999999</v>
      </c>
      <c r="L40">
        <v>367.2124</v>
      </c>
      <c r="M40">
        <v>0.99999649999999995</v>
      </c>
      <c r="N40">
        <v>0</v>
      </c>
      <c r="O40">
        <v>-1.240206E-3</v>
      </c>
      <c r="P40">
        <v>0.99815949999999998</v>
      </c>
      <c r="Q40">
        <v>3.2523209999999997E-2</v>
      </c>
      <c r="R40">
        <v>-5.1186080000000002E-2</v>
      </c>
      <c r="S40">
        <v>3.0100709999999999</v>
      </c>
      <c r="T40">
        <v>-0.15620899999999999</v>
      </c>
      <c r="U40">
        <v>-6.3171390000000003E-3</v>
      </c>
      <c r="V40">
        <v>4.9949220000000003E-2</v>
      </c>
      <c r="W40">
        <v>3.0136619999999999E-2</v>
      </c>
      <c r="X40">
        <v>0.99829699999999999</v>
      </c>
      <c r="Y40">
        <v>8.5896780000000003E-4</v>
      </c>
      <c r="Z40" s="1">
        <v>4.2044620000000002E-5</v>
      </c>
      <c r="AA40">
        <v>0.99999959999999999</v>
      </c>
      <c r="AB40">
        <v>13</v>
      </c>
      <c r="AC40">
        <v>21.234399999999901</v>
      </c>
      <c r="AD40">
        <v>-1.108121728055</v>
      </c>
      <c r="AE40">
        <v>-4.4699999999977501E-2</v>
      </c>
      <c r="AF40">
        <v>1.8314986496461301E-2</v>
      </c>
      <c r="AG40">
        <v>-1.108121728055</v>
      </c>
      <c r="AH40">
        <v>21.176768738855898</v>
      </c>
      <c r="AI40">
        <v>92.995396584325903</v>
      </c>
      <c r="AJ40">
        <v>89.950447059256803</v>
      </c>
      <c r="AK40">
        <v>21.2057493011189</v>
      </c>
      <c r="AL40">
        <v>88.273037423884304</v>
      </c>
      <c r="AM40">
        <v>87.135627081202202</v>
      </c>
      <c r="AN40">
        <v>1.00000002032631</v>
      </c>
    </row>
    <row r="41" spans="1:40" x14ac:dyDescent="0.25">
      <c r="A41" t="str">
        <f>"20190312154801038"</f>
        <v>20190312154801038</v>
      </c>
      <c r="B41" t="str">
        <f>"1552376881026485"</f>
        <v>1552376881026485</v>
      </c>
      <c r="C41" t="s">
        <v>40</v>
      </c>
      <c r="D41">
        <v>5.4642359999999996</v>
      </c>
      <c r="E41">
        <v>0.48312929999999998</v>
      </c>
      <c r="F41" t="s">
        <v>42</v>
      </c>
      <c r="G41">
        <v>-452.74979999999999</v>
      </c>
      <c r="H41" s="1">
        <v>-3.5307619999999902E-6</v>
      </c>
      <c r="I41">
        <v>367.1465</v>
      </c>
      <c r="J41">
        <v>-473.37920000000003</v>
      </c>
      <c r="K41">
        <v>1.108109</v>
      </c>
      <c r="L41">
        <v>367.2122</v>
      </c>
      <c r="M41">
        <v>0.9999962</v>
      </c>
      <c r="N41">
        <v>0</v>
      </c>
      <c r="O41">
        <v>-1.245543E-3</v>
      </c>
      <c r="P41">
        <v>0.99812999999999996</v>
      </c>
      <c r="Q41">
        <v>3.2529910000000002E-2</v>
      </c>
      <c r="R41">
        <v>-5.175159E-2</v>
      </c>
      <c r="S41">
        <v>3.010284</v>
      </c>
      <c r="T41">
        <v>-0.1606369</v>
      </c>
      <c r="U41">
        <v>-9.5520020000000004E-3</v>
      </c>
      <c r="V41">
        <v>5.0509150000000003E-2</v>
      </c>
      <c r="W41">
        <v>3.0076559999999999E-2</v>
      </c>
      <c r="X41">
        <v>0.99827060000000001</v>
      </c>
      <c r="Y41">
        <v>1.926594E-3</v>
      </c>
      <c r="Z41" s="1">
        <v>1.505083E-5</v>
      </c>
      <c r="AA41">
        <v>0.99999819999999995</v>
      </c>
      <c r="AB41">
        <v>13</v>
      </c>
      <c r="AC41">
        <v>20.6294</v>
      </c>
      <c r="AD41">
        <v>-1.1081125307619999</v>
      </c>
      <c r="AE41">
        <v>-6.5699999999992501E-2</v>
      </c>
      <c r="AF41">
        <v>3.9889972249766599E-2</v>
      </c>
      <c r="AG41">
        <v>-1.1081125307619999</v>
      </c>
      <c r="AH41">
        <v>20.570114992655899</v>
      </c>
      <c r="AI41">
        <v>93.083538581267007</v>
      </c>
      <c r="AJ41">
        <v>89.888891034850104</v>
      </c>
      <c r="AK41">
        <v>20.5999790145963</v>
      </c>
      <c r="AL41">
        <v>88.276480103321504</v>
      </c>
      <c r="AM41">
        <v>87.103495410777597</v>
      </c>
      <c r="AN41">
        <v>0.99999998225975695</v>
      </c>
    </row>
    <row r="42" spans="1:40" x14ac:dyDescent="0.25">
      <c r="A42" t="str">
        <f>"20190312154801059"</f>
        <v>20190312154801059</v>
      </c>
      <c r="B42" t="str">
        <f>"1552376881055765"</f>
        <v>1552376881055765</v>
      </c>
      <c r="C42" t="s">
        <v>40</v>
      </c>
      <c r="D42">
        <v>5.442844</v>
      </c>
      <c r="E42">
        <v>0.48312850000000002</v>
      </c>
      <c r="F42" t="s">
        <v>42</v>
      </c>
      <c r="G42">
        <v>-452.98680000000002</v>
      </c>
      <c r="H42" s="1">
        <v>-3.4299029999999998E-6</v>
      </c>
      <c r="I42">
        <v>367.14170000000001</v>
      </c>
      <c r="J42">
        <v>-473.2518</v>
      </c>
      <c r="K42">
        <v>1.1081019999999999</v>
      </c>
      <c r="L42">
        <v>367.21210000000002</v>
      </c>
      <c r="M42">
        <v>0.999996</v>
      </c>
      <c r="N42">
        <v>0</v>
      </c>
      <c r="O42">
        <v>-1.246229E-3</v>
      </c>
      <c r="P42">
        <v>0.99811150000000004</v>
      </c>
      <c r="Q42">
        <v>3.210143E-2</v>
      </c>
      <c r="R42">
        <v>-5.2375560000000002E-2</v>
      </c>
      <c r="S42">
        <v>3.0103759999999999</v>
      </c>
      <c r="T42">
        <v>-0.16358210000000001</v>
      </c>
      <c r="U42">
        <v>-1.0406489999999999E-2</v>
      </c>
      <c r="V42">
        <v>5.1132080000000003E-2</v>
      </c>
      <c r="W42">
        <v>2.9582299999999999E-2</v>
      </c>
      <c r="X42">
        <v>0.99825370000000002</v>
      </c>
      <c r="Y42">
        <v>2.209206E-3</v>
      </c>
      <c r="Z42" s="1">
        <v>7.6903380000000005E-6</v>
      </c>
      <c r="AA42">
        <v>0.99999760000000004</v>
      </c>
      <c r="AB42">
        <v>13</v>
      </c>
      <c r="AC42">
        <v>20.264999999999901</v>
      </c>
      <c r="AD42">
        <v>-1.108105429903</v>
      </c>
      <c r="AE42">
        <v>-7.0400000000006402E-2</v>
      </c>
      <c r="AF42">
        <v>4.5010454297419601E-2</v>
      </c>
      <c r="AG42">
        <v>-1.108105429903</v>
      </c>
      <c r="AH42">
        <v>20.2046611017986</v>
      </c>
      <c r="AI42">
        <v>93.139179881411707</v>
      </c>
      <c r="AJ42">
        <v>89.872360898009802</v>
      </c>
      <c r="AK42">
        <v>20.2350748410602</v>
      </c>
      <c r="AL42">
        <v>88.304811797432507</v>
      </c>
      <c r="AM42">
        <v>87.067785188387703</v>
      </c>
      <c r="AN42">
        <v>1.00000002582105</v>
      </c>
    </row>
    <row r="43" spans="1:40" x14ac:dyDescent="0.25">
      <c r="A43" t="str">
        <f>"20190312154801083"</f>
        <v>20190312154801083</v>
      </c>
      <c r="B43" t="str">
        <f>"1552376881076263"</f>
        <v>1552376881076263</v>
      </c>
      <c r="C43" t="s">
        <v>40</v>
      </c>
      <c r="D43">
        <v>5.4458989999999998</v>
      </c>
      <c r="E43">
        <v>0.48318369999999999</v>
      </c>
      <c r="F43" t="s">
        <v>42</v>
      </c>
      <c r="G43">
        <v>-453.9008</v>
      </c>
      <c r="H43" s="1">
        <v>-3.0392920000000001E-6</v>
      </c>
      <c r="I43">
        <v>367.13339999999999</v>
      </c>
      <c r="J43">
        <v>-473.10579999999999</v>
      </c>
      <c r="K43">
        <v>1.1080890000000001</v>
      </c>
      <c r="L43">
        <v>367.21190000000001</v>
      </c>
      <c r="M43">
        <v>0.99999610000000005</v>
      </c>
      <c r="N43">
        <v>0</v>
      </c>
      <c r="O43">
        <v>-1.2439479999999999E-3</v>
      </c>
      <c r="P43">
        <v>0.99809579999999998</v>
      </c>
      <c r="Q43">
        <v>3.2318230000000003E-2</v>
      </c>
      <c r="R43">
        <v>-5.2542329999999998E-2</v>
      </c>
      <c r="S43">
        <v>3.0105900000000001</v>
      </c>
      <c r="T43">
        <v>-0.1723961</v>
      </c>
      <c r="U43">
        <v>-1.223755E-2</v>
      </c>
      <c r="V43">
        <v>5.1301119999999999E-2</v>
      </c>
      <c r="W43">
        <v>2.9722430000000001E-2</v>
      </c>
      <c r="X43">
        <v>0.99824080000000004</v>
      </c>
      <c r="Y43">
        <v>2.8182770000000001E-3</v>
      </c>
      <c r="Z43" s="1">
        <v>-9.4514110000000008E-6</v>
      </c>
      <c r="AA43">
        <v>0.999996</v>
      </c>
      <c r="AB43">
        <v>13</v>
      </c>
      <c r="AC43">
        <v>19.204999999999899</v>
      </c>
      <c r="AD43">
        <v>-1.108092039292</v>
      </c>
      <c r="AE43">
        <v>-7.8500000000019499E-2</v>
      </c>
      <c r="AF43">
        <v>5.4428649429885699E-2</v>
      </c>
      <c r="AG43">
        <v>-1.108092039292</v>
      </c>
      <c r="AH43">
        <v>19.141360907881101</v>
      </c>
      <c r="AI43">
        <v>93.313137532343703</v>
      </c>
      <c r="AJ43">
        <v>89.837079322261005</v>
      </c>
      <c r="AK43">
        <v>19.173485021017399</v>
      </c>
      <c r="AL43">
        <v>88.296779298008801</v>
      </c>
      <c r="AM43">
        <v>87.058070488711806</v>
      </c>
      <c r="AN43">
        <v>0.99999996127149904</v>
      </c>
    </row>
    <row r="44" spans="1:40" x14ac:dyDescent="0.25">
      <c r="A44" t="str">
        <f>"20190312154801103"</f>
        <v>20190312154801103</v>
      </c>
      <c r="B44" t="str">
        <f>"1552376881095782"</f>
        <v>1552376881095782</v>
      </c>
      <c r="C44" t="s">
        <v>40</v>
      </c>
      <c r="D44">
        <v>5.6723929999999996</v>
      </c>
      <c r="E44">
        <v>0.4831742</v>
      </c>
      <c r="F44" t="s">
        <v>42</v>
      </c>
      <c r="G44">
        <v>-454.18299999999999</v>
      </c>
      <c r="H44" s="1">
        <v>-2.9184010000000001E-6</v>
      </c>
      <c r="I44">
        <v>367.13220000000001</v>
      </c>
      <c r="J44">
        <v>-472.97739999999999</v>
      </c>
      <c r="K44">
        <v>1.1080810000000001</v>
      </c>
      <c r="L44">
        <v>367.21179999999998</v>
      </c>
      <c r="M44">
        <v>0.99999570000000004</v>
      </c>
      <c r="N44">
        <v>0</v>
      </c>
      <c r="O44">
        <v>-1.2402229999999999E-3</v>
      </c>
      <c r="P44">
        <v>0.99810019999999999</v>
      </c>
      <c r="Q44">
        <v>3.2565190000000001E-2</v>
      </c>
      <c r="R44">
        <v>-5.2302260000000003E-2</v>
      </c>
      <c r="S44">
        <v>3.0108030000000001</v>
      </c>
      <c r="T44">
        <v>-0.1763082</v>
      </c>
      <c r="U44">
        <v>-1.266479E-2</v>
      </c>
      <c r="V44">
        <v>5.1064730000000003E-2</v>
      </c>
      <c r="W44">
        <v>2.990164E-2</v>
      </c>
      <c r="X44">
        <v>0.99824760000000001</v>
      </c>
      <c r="Y44">
        <v>2.963242E-3</v>
      </c>
      <c r="Z44" s="1">
        <v>-1.412355E-5</v>
      </c>
      <c r="AA44">
        <v>0.99999559999999998</v>
      </c>
      <c r="AB44">
        <v>14</v>
      </c>
      <c r="AC44">
        <v>18.7943999999999</v>
      </c>
      <c r="AD44">
        <v>-1.1080839184009901</v>
      </c>
      <c r="AE44">
        <v>-7.9599999999970805E-2</v>
      </c>
      <c r="AF44">
        <v>5.6095620583513403E-2</v>
      </c>
      <c r="AG44">
        <v>-1.1080839184009901</v>
      </c>
      <c r="AH44">
        <v>18.729380817811499</v>
      </c>
      <c r="AI44">
        <v>93.385820853506999</v>
      </c>
      <c r="AJ44">
        <v>89.828396211838495</v>
      </c>
      <c r="AK44">
        <v>18.762214754859599</v>
      </c>
      <c r="AL44">
        <v>88.286506809102306</v>
      </c>
      <c r="AM44">
        <v>87.071622844273705</v>
      </c>
      <c r="AN44">
        <v>0.99999999281521101</v>
      </c>
    </row>
    <row r="45" spans="1:40" x14ac:dyDescent="0.25">
      <c r="A45" t="str">
        <f>"20190312154801127"</f>
        <v>20190312154801127</v>
      </c>
      <c r="B45" t="str">
        <f>"1552376881116277"</f>
        <v>1552376881116277</v>
      </c>
      <c r="C45" t="s">
        <v>40</v>
      </c>
      <c r="D45">
        <v>5.4423089999999998</v>
      </c>
      <c r="E45">
        <v>0.48320649999999998</v>
      </c>
      <c r="F45" t="s">
        <v>42</v>
      </c>
      <c r="G45">
        <v>-454.10129999999998</v>
      </c>
      <c r="H45" s="1">
        <v>-2.952627E-6</v>
      </c>
      <c r="I45">
        <v>367.13690000000003</v>
      </c>
      <c r="J45">
        <v>-472.82679999999999</v>
      </c>
      <c r="K45">
        <v>1.1080669999999999</v>
      </c>
      <c r="L45">
        <v>367.21159999999998</v>
      </c>
      <c r="M45">
        <v>0.99999559999999998</v>
      </c>
      <c r="N45">
        <v>0</v>
      </c>
      <c r="O45">
        <v>-1.2355580000000001E-3</v>
      </c>
      <c r="P45">
        <v>0.99809970000000003</v>
      </c>
      <c r="Q45">
        <v>3.3038480000000002E-2</v>
      </c>
      <c r="R45">
        <v>-5.2016600000000003E-2</v>
      </c>
      <c r="S45">
        <v>3.0108640000000002</v>
      </c>
      <c r="T45">
        <v>-0.17674679999999901</v>
      </c>
      <c r="U45">
        <v>-1.1932369999999999E-2</v>
      </c>
      <c r="V45">
        <v>5.0783750000000003E-2</v>
      </c>
      <c r="W45">
        <v>3.0296770000000001E-2</v>
      </c>
      <c r="X45">
        <v>0.99824999999999997</v>
      </c>
      <c r="Y45">
        <v>2.7249549999999998E-3</v>
      </c>
      <c r="Z45" s="1">
        <v>-7.4439089999999996E-6</v>
      </c>
      <c r="AA45">
        <v>0.99999629999999995</v>
      </c>
      <c r="AB45">
        <v>14</v>
      </c>
      <c r="AC45">
        <v>18.7255</v>
      </c>
      <c r="AD45">
        <v>-1.1080699526269999</v>
      </c>
      <c r="AE45">
        <v>-7.4699999999950195E-2</v>
      </c>
      <c r="AF45">
        <v>5.1383495521804698E-2</v>
      </c>
      <c r="AG45">
        <v>-1.1080699526269999</v>
      </c>
      <c r="AH45">
        <v>18.660238205862399</v>
      </c>
      <c r="AI45">
        <v>93.398296759962406</v>
      </c>
      <c r="AJ45">
        <v>89.842228702738396</v>
      </c>
      <c r="AK45">
        <v>18.693179215506699</v>
      </c>
      <c r="AL45">
        <v>88.263857230912393</v>
      </c>
      <c r="AM45">
        <v>87.087715202932202</v>
      </c>
      <c r="AN45">
        <v>0.99999997301824695</v>
      </c>
    </row>
    <row r="46" spans="1:40" x14ac:dyDescent="0.25">
      <c r="A46" t="str">
        <f>"20190312154801150"</f>
        <v>20190312154801150</v>
      </c>
      <c r="B46" t="str">
        <f>"1552376881146533"</f>
        <v>1552376881146533</v>
      </c>
      <c r="C46" t="s">
        <v>40</v>
      </c>
      <c r="D46">
        <v>5.4258160000000002</v>
      </c>
      <c r="E46">
        <v>0.4831532</v>
      </c>
      <c r="F46" t="s">
        <v>42</v>
      </c>
      <c r="G46">
        <v>-454.16090000000003</v>
      </c>
      <c r="H46" s="1">
        <v>-2.9267509999999998E-6</v>
      </c>
      <c r="I46">
        <v>367.1388</v>
      </c>
      <c r="J46">
        <v>-472.67919999999998</v>
      </c>
      <c r="K46">
        <v>1.1080559999999999</v>
      </c>
      <c r="L46">
        <v>367.21140000000003</v>
      </c>
      <c r="M46">
        <v>0.99999539999999998</v>
      </c>
      <c r="N46">
        <v>0</v>
      </c>
      <c r="O46">
        <v>-1.2314839999999999E-3</v>
      </c>
      <c r="P46">
        <v>0.99809570000000003</v>
      </c>
      <c r="Q46">
        <v>3.3508650000000001E-2</v>
      </c>
      <c r="R46">
        <v>-5.17933E-2</v>
      </c>
      <c r="S46">
        <v>3.0110169999999998</v>
      </c>
      <c r="T46">
        <v>-0.17874309999999999</v>
      </c>
      <c r="U46">
        <v>-1.171875E-2</v>
      </c>
      <c r="V46">
        <v>5.0564690000000002E-2</v>
      </c>
      <c r="W46">
        <v>3.0692830000000001E-2</v>
      </c>
      <c r="X46">
        <v>0.9982491</v>
      </c>
      <c r="Y46">
        <v>2.6579350000000002E-3</v>
      </c>
      <c r="Z46" s="1">
        <v>-5.7815709999999997E-6</v>
      </c>
      <c r="AA46">
        <v>0.99999649999999995</v>
      </c>
      <c r="AB46">
        <v>14</v>
      </c>
      <c r="AC46">
        <v>18.518299999999901</v>
      </c>
      <c r="AD46">
        <v>-1.1080589267509999</v>
      </c>
      <c r="AE46">
        <v>-7.2600000000022605E-2</v>
      </c>
      <c r="AF46">
        <v>4.9617223702659599E-2</v>
      </c>
      <c r="AG46">
        <v>-1.1080589267509999</v>
      </c>
      <c r="AH46">
        <v>18.452310952222199</v>
      </c>
      <c r="AI46">
        <v>93.436465214789095</v>
      </c>
      <c r="AJ46">
        <v>89.845935250872998</v>
      </c>
      <c r="AK46">
        <v>18.485617001645899</v>
      </c>
      <c r="AL46">
        <v>88.241154243449301</v>
      </c>
      <c r="AM46">
        <v>87.100253493094399</v>
      </c>
      <c r="AN46">
        <v>1.0000000516695</v>
      </c>
    </row>
    <row r="47" spans="1:40" x14ac:dyDescent="0.25">
      <c r="A47" t="str">
        <f>"20190312154801173"</f>
        <v>20190312154801173</v>
      </c>
      <c r="B47" t="str">
        <f>"1552376881166053"</f>
        <v>1552376881166053</v>
      </c>
      <c r="C47" t="s">
        <v>40</v>
      </c>
      <c r="D47">
        <v>5.3650820000000001</v>
      </c>
      <c r="E47">
        <v>0.48305559999999997</v>
      </c>
      <c r="F47" t="s">
        <v>42</v>
      </c>
      <c r="G47">
        <v>-454.0754</v>
      </c>
      <c r="H47" s="1">
        <v>-2.9619139999999999E-6</v>
      </c>
      <c r="I47">
        <v>367.1472</v>
      </c>
      <c r="J47">
        <v>-472.52370000000002</v>
      </c>
      <c r="K47">
        <v>1.1080460000000001</v>
      </c>
      <c r="L47">
        <v>367.21120000000002</v>
      </c>
      <c r="M47">
        <v>0.99999519999999997</v>
      </c>
      <c r="N47">
        <v>0</v>
      </c>
      <c r="O47">
        <v>-1.2280080000000001E-3</v>
      </c>
      <c r="P47">
        <v>0.99808039999999998</v>
      </c>
      <c r="Q47">
        <v>3.3955550000000001E-2</v>
      </c>
      <c r="R47">
        <v>-5.1795059999999997E-2</v>
      </c>
      <c r="S47">
        <v>3.0112000000000001</v>
      </c>
      <c r="T47">
        <v>-0.17934890000000001</v>
      </c>
      <c r="U47">
        <v>-1.037598E-2</v>
      </c>
      <c r="V47">
        <v>5.0569969999999999E-2</v>
      </c>
      <c r="W47">
        <v>3.1065059999999999E-2</v>
      </c>
      <c r="X47">
        <v>0.99823729999999999</v>
      </c>
      <c r="Y47">
        <v>2.216015E-3</v>
      </c>
      <c r="Z47" s="1">
        <v>7.1412359999999996E-6</v>
      </c>
      <c r="AA47">
        <v>0.99999760000000004</v>
      </c>
      <c r="AB47">
        <v>15</v>
      </c>
      <c r="AC47">
        <v>18.4483</v>
      </c>
      <c r="AD47">
        <v>-1.1080489619139999</v>
      </c>
      <c r="AE47">
        <v>-6.4000000000021304E-2</v>
      </c>
      <c r="AF47">
        <v>4.1196585592961001E-2</v>
      </c>
      <c r="AG47">
        <v>-1.1080489619139999</v>
      </c>
      <c r="AH47">
        <v>18.382052401078901</v>
      </c>
      <c r="AI47">
        <v>93.449541017891093</v>
      </c>
      <c r="AJ47">
        <v>89.871592873226604</v>
      </c>
      <c r="AK47">
        <v>18.4154641575137</v>
      </c>
      <c r="AL47">
        <v>88.219816828881093</v>
      </c>
      <c r="AM47">
        <v>87.0999169939344</v>
      </c>
      <c r="AN47">
        <v>1.0000000334649399</v>
      </c>
    </row>
    <row r="48" spans="1:40" x14ac:dyDescent="0.25">
      <c r="A48" t="str">
        <f>"20190312154801196"</f>
        <v>20190312154801196</v>
      </c>
      <c r="B48" t="str">
        <f>"1552376881186550"</f>
        <v>1552376881186550</v>
      </c>
      <c r="C48" t="s">
        <v>40</v>
      </c>
      <c r="D48">
        <v>5.3229050000000004</v>
      </c>
      <c r="E48">
        <v>0.48301230000000001</v>
      </c>
      <c r="F48" t="s">
        <v>42</v>
      </c>
      <c r="G48">
        <v>-453.9982</v>
      </c>
      <c r="H48" s="1">
        <v>-2.9941810000000002E-6</v>
      </c>
      <c r="I48">
        <v>367.15219999999999</v>
      </c>
      <c r="J48">
        <v>-472.3732</v>
      </c>
      <c r="K48">
        <v>1.108036</v>
      </c>
      <c r="L48">
        <v>367.21100000000001</v>
      </c>
      <c r="M48">
        <v>0.99999490000000002</v>
      </c>
      <c r="N48">
        <v>0</v>
      </c>
      <c r="O48">
        <v>-1.225718E-3</v>
      </c>
      <c r="P48">
        <v>0.99807080000000004</v>
      </c>
      <c r="Q48">
        <v>3.3824659999999999E-2</v>
      </c>
      <c r="R48">
        <v>-5.2063970000000001E-2</v>
      </c>
      <c r="S48">
        <v>3.011444</v>
      </c>
      <c r="T48">
        <v>-0.18012010000000001</v>
      </c>
      <c r="U48">
        <v>-9.5825200000000006E-3</v>
      </c>
      <c r="V48">
        <v>5.0841200000000003E-2</v>
      </c>
      <c r="W48">
        <v>3.086535E-2</v>
      </c>
      <c r="X48">
        <v>0.9982297</v>
      </c>
      <c r="Y48">
        <v>1.9549960000000001E-3</v>
      </c>
      <c r="Z48" s="1">
        <v>1.483346E-5</v>
      </c>
      <c r="AA48">
        <v>0.9999981</v>
      </c>
      <c r="AB48">
        <v>15</v>
      </c>
      <c r="AC48">
        <v>18.375</v>
      </c>
      <c r="AD48">
        <v>-1.108038994181</v>
      </c>
      <c r="AE48">
        <v>-5.8800000000019198E-2</v>
      </c>
      <c r="AF48">
        <v>3.6145855111007798E-2</v>
      </c>
      <c r="AG48">
        <v>-1.108038994181</v>
      </c>
      <c r="AH48">
        <v>18.308484469997101</v>
      </c>
      <c r="AI48">
        <v>93.463339301413001</v>
      </c>
      <c r="AJ48">
        <v>89.886882922646507</v>
      </c>
      <c r="AK48">
        <v>18.3420189871124</v>
      </c>
      <c r="AL48">
        <v>88.231264826973998</v>
      </c>
      <c r="AM48">
        <v>87.084367122534701</v>
      </c>
      <c r="AN48">
        <v>1.0000000157050699</v>
      </c>
    </row>
    <row r="49" spans="1:40" x14ac:dyDescent="0.25">
      <c r="A49" t="str">
        <f>"20190312154801215"</f>
        <v>20190312154801215</v>
      </c>
      <c r="B49" t="str">
        <f>"1552376881207046"</f>
        <v>1552376881207046</v>
      </c>
      <c r="C49" t="s">
        <v>40</v>
      </c>
      <c r="D49">
        <v>5.265498</v>
      </c>
      <c r="E49">
        <v>0.4829484</v>
      </c>
      <c r="F49" t="s">
        <v>42</v>
      </c>
      <c r="G49">
        <v>-454.09280000000001</v>
      </c>
      <c r="H49" s="1">
        <v>-2.9536599999999999E-6</v>
      </c>
      <c r="I49">
        <v>367.15170000000001</v>
      </c>
      <c r="J49">
        <v>-472.23630000000003</v>
      </c>
      <c r="K49">
        <v>1.1080270000000001</v>
      </c>
      <c r="L49">
        <v>367.21089999999998</v>
      </c>
      <c r="M49">
        <v>0.99999470000000001</v>
      </c>
      <c r="N49">
        <v>0</v>
      </c>
      <c r="O49">
        <v>-1.224606E-3</v>
      </c>
      <c r="P49">
        <v>0.99806030000000001</v>
      </c>
      <c r="Q49">
        <v>3.3604170000000003E-2</v>
      </c>
      <c r="R49">
        <v>-5.2409749999999998E-2</v>
      </c>
      <c r="S49">
        <v>3.0114749999999999</v>
      </c>
      <c r="T49">
        <v>-0.1825358</v>
      </c>
      <c r="U49">
        <v>-9.765625E-3</v>
      </c>
      <c r="V49">
        <v>5.1188209999999998E-2</v>
      </c>
      <c r="W49">
        <v>3.0587019999999999E-2</v>
      </c>
      <c r="X49">
        <v>0.99822049999999996</v>
      </c>
      <c r="Y49">
        <v>2.0167259999999999E-3</v>
      </c>
      <c r="Z49" s="1">
        <v>1.309547E-5</v>
      </c>
      <c r="AA49">
        <v>0.99999800000000005</v>
      </c>
      <c r="AB49">
        <v>15</v>
      </c>
      <c r="AC49">
        <v>18.1435</v>
      </c>
      <c r="AD49">
        <v>-1.10802995366</v>
      </c>
      <c r="AE49">
        <v>-5.9199999999975703E-2</v>
      </c>
      <c r="AF49">
        <v>3.6843804798766297E-2</v>
      </c>
      <c r="AG49">
        <v>-1.10802995366</v>
      </c>
      <c r="AH49">
        <v>18.0761430431223</v>
      </c>
      <c r="AI49">
        <v>93.507715834796301</v>
      </c>
      <c r="AJ49">
        <v>89.883216702380693</v>
      </c>
      <c r="AK49">
        <v>18.110108645714298</v>
      </c>
      <c r="AL49">
        <v>88.247219436258305</v>
      </c>
      <c r="AM49">
        <v>87.064474530703194</v>
      </c>
      <c r="AN49">
        <v>0.99999998262786705</v>
      </c>
    </row>
    <row r="50" spans="1:40" x14ac:dyDescent="0.25">
      <c r="A50" t="str">
        <f>"20190312154801238"</f>
        <v>20190312154801238</v>
      </c>
      <c r="B50" t="str">
        <f>"1552376881235968"</f>
        <v>1552376881235968</v>
      </c>
      <c r="C50" t="s">
        <v>40</v>
      </c>
      <c r="D50">
        <v>5.1778969999999997</v>
      </c>
      <c r="E50">
        <v>0.48286790000000002</v>
      </c>
      <c r="F50" t="s">
        <v>42</v>
      </c>
      <c r="G50">
        <v>-454.18470000000002</v>
      </c>
      <c r="H50" s="1">
        <v>-2.9145370000000002E-6</v>
      </c>
      <c r="I50">
        <v>367.15010000000001</v>
      </c>
      <c r="J50">
        <v>-472.07319999999999</v>
      </c>
      <c r="K50">
        <v>1.108006</v>
      </c>
      <c r="L50">
        <v>367.21069999999997</v>
      </c>
      <c r="M50">
        <v>0.99999459999999996</v>
      </c>
      <c r="N50">
        <v>0</v>
      </c>
      <c r="O50">
        <v>-1.223862E-3</v>
      </c>
      <c r="P50">
        <v>0.99802959999999996</v>
      </c>
      <c r="Q50">
        <v>3.3868820000000001E-2</v>
      </c>
      <c r="R50">
        <v>-5.2819619999999998E-2</v>
      </c>
      <c r="S50">
        <v>3.0115970000000001</v>
      </c>
      <c r="T50">
        <v>-0.18485460000000001</v>
      </c>
      <c r="U50">
        <v>-1.013184E-2</v>
      </c>
      <c r="V50">
        <v>5.1599150000000003E-2</v>
      </c>
      <c r="W50">
        <v>3.0787200000000001E-2</v>
      </c>
      <c r="X50">
        <v>0.9981932</v>
      </c>
      <c r="Y50">
        <v>2.1386700000000001E-3</v>
      </c>
      <c r="Z50" s="1">
        <v>9.4763889999999995E-6</v>
      </c>
      <c r="AA50">
        <v>0.99999769999999999</v>
      </c>
      <c r="AB50">
        <v>15</v>
      </c>
      <c r="AC50">
        <v>17.888499999999901</v>
      </c>
      <c r="AD50">
        <v>-1.108008914537</v>
      </c>
      <c r="AE50">
        <v>-6.05999999999653E-2</v>
      </c>
      <c r="AF50">
        <v>3.8558866829173997E-2</v>
      </c>
      <c r="AG50">
        <v>-1.108008914537</v>
      </c>
      <c r="AH50">
        <v>17.8201938361121</v>
      </c>
      <c r="AI50">
        <v>93.557899889884993</v>
      </c>
      <c r="AJ50">
        <v>89.876025092398507</v>
      </c>
      <c r="AK50">
        <v>17.8546486635137</v>
      </c>
      <c r="AL50">
        <v>88.235744583190098</v>
      </c>
      <c r="AM50">
        <v>87.040869003572794</v>
      </c>
      <c r="AN50">
        <v>0.99999999424540098</v>
      </c>
    </row>
    <row r="51" spans="1:40" x14ac:dyDescent="0.25">
      <c r="A51" t="str">
        <f>"20190312154801261"</f>
        <v>20190312154801261</v>
      </c>
      <c r="B51" t="str">
        <f>"1552376881256464"</f>
        <v>1552376881256464</v>
      </c>
      <c r="C51" t="s">
        <v>40</v>
      </c>
      <c r="D51">
        <v>5.143014</v>
      </c>
      <c r="E51">
        <v>0.48287249999999998</v>
      </c>
      <c r="F51" t="s">
        <v>42</v>
      </c>
      <c r="G51">
        <v>-454.07</v>
      </c>
      <c r="H51" s="1">
        <v>-2.9645519999999999E-6</v>
      </c>
      <c r="I51">
        <v>367.14550000000003</v>
      </c>
      <c r="J51">
        <v>-471.9162</v>
      </c>
      <c r="K51">
        <v>1.1080000000000001</v>
      </c>
      <c r="L51">
        <v>367.21050000000002</v>
      </c>
      <c r="M51">
        <v>0.99999450000000001</v>
      </c>
      <c r="N51">
        <v>0</v>
      </c>
      <c r="O51">
        <v>-1.2238240000000001E-3</v>
      </c>
      <c r="P51">
        <v>0.99802630000000003</v>
      </c>
      <c r="Q51">
        <v>3.3695530000000001E-2</v>
      </c>
      <c r="R51">
        <v>-5.2994619999999999E-2</v>
      </c>
      <c r="S51">
        <v>3.0116269999999998</v>
      </c>
      <c r="T51">
        <v>-0.1853496</v>
      </c>
      <c r="U51">
        <v>-1.089478E-2</v>
      </c>
      <c r="V51">
        <v>5.1774290000000001E-2</v>
      </c>
      <c r="W51">
        <v>3.055795E-2</v>
      </c>
      <c r="X51">
        <v>0.99819119999999995</v>
      </c>
      <c r="Y51">
        <v>2.3915130000000001E-3</v>
      </c>
      <c r="Z51" s="1">
        <v>1.72609E-6</v>
      </c>
      <c r="AA51">
        <v>0.99999709999999997</v>
      </c>
      <c r="AB51">
        <v>16</v>
      </c>
      <c r="AC51">
        <v>17.8462</v>
      </c>
      <c r="AD51">
        <v>-1.108002964552</v>
      </c>
      <c r="AE51">
        <v>-6.4999999999997699E-2</v>
      </c>
      <c r="AF51">
        <v>4.2993514878380802E-2</v>
      </c>
      <c r="AG51">
        <v>-1.108002964552</v>
      </c>
      <c r="AH51">
        <v>17.777739281276101</v>
      </c>
      <c r="AI51">
        <v>93.566353337546502</v>
      </c>
      <c r="AJ51">
        <v>89.861436704205204</v>
      </c>
      <c r="AK51">
        <v>17.812286011761799</v>
      </c>
      <c r="AL51">
        <v>88.2488858665225</v>
      </c>
      <c r="AM51">
        <v>87.030837000535698</v>
      </c>
      <c r="AN51">
        <v>1.0000000185853199</v>
      </c>
    </row>
    <row r="52" spans="1:40" x14ac:dyDescent="0.25">
      <c r="A52" t="str">
        <f>"20190312154801283"</f>
        <v>20190312154801283</v>
      </c>
      <c r="B52" t="str">
        <f>"1552376881275984"</f>
        <v>1552376881275984</v>
      </c>
      <c r="C52" t="s">
        <v>40</v>
      </c>
      <c r="D52">
        <v>5.0735780000000004</v>
      </c>
      <c r="E52">
        <v>0.48283429999999999</v>
      </c>
      <c r="F52" t="s">
        <v>42</v>
      </c>
      <c r="G52">
        <v>-454.01260000000002</v>
      </c>
      <c r="H52" s="1">
        <v>-2.9901290000000001E-6</v>
      </c>
      <c r="I52">
        <v>367.14019999999999</v>
      </c>
      <c r="J52">
        <v>-471.74740000000003</v>
      </c>
      <c r="K52">
        <v>1.1079920000000001</v>
      </c>
      <c r="L52">
        <v>367.21030000000002</v>
      </c>
      <c r="M52">
        <v>0.99999420000000006</v>
      </c>
      <c r="N52">
        <v>0</v>
      </c>
      <c r="O52">
        <v>-1.223785E-3</v>
      </c>
      <c r="P52">
        <v>0.99803169999999997</v>
      </c>
      <c r="Q52">
        <v>3.3697489999999997E-2</v>
      </c>
      <c r="R52">
        <v>-5.288897E-2</v>
      </c>
      <c r="S52">
        <v>3.0116269999999998</v>
      </c>
      <c r="T52">
        <v>-0.18637989999999999</v>
      </c>
      <c r="U52">
        <v>-1.1810299999999999E-2</v>
      </c>
      <c r="V52">
        <v>5.1668680000000002E-2</v>
      </c>
      <c r="W52">
        <v>3.0505999999999998E-2</v>
      </c>
      <c r="X52">
        <v>0.99819829999999998</v>
      </c>
      <c r="Y52">
        <v>2.6949389999999999E-3</v>
      </c>
      <c r="Z52" s="1">
        <v>-7.6467189999999995E-6</v>
      </c>
      <c r="AA52">
        <v>0.99999640000000001</v>
      </c>
      <c r="AB52">
        <v>16</v>
      </c>
      <c r="AC52">
        <v>17.7348</v>
      </c>
      <c r="AD52">
        <v>-1.107994990129</v>
      </c>
      <c r="AE52">
        <v>-7.0100000000024906E-2</v>
      </c>
      <c r="AF52">
        <v>4.8208091823298702E-2</v>
      </c>
      <c r="AG52">
        <v>-1.107994990129</v>
      </c>
      <c r="AH52">
        <v>17.6659196182359</v>
      </c>
      <c r="AI52">
        <v>93.588839785651899</v>
      </c>
      <c r="AJ52">
        <v>89.843647350192199</v>
      </c>
      <c r="AK52">
        <v>17.700697525132799</v>
      </c>
      <c r="AL52">
        <v>88.251863838285004</v>
      </c>
      <c r="AM52">
        <v>87.036903779546407</v>
      </c>
      <c r="AN52">
        <v>1.00000005732591</v>
      </c>
    </row>
    <row r="53" spans="1:40" x14ac:dyDescent="0.25">
      <c r="A53" t="str">
        <f>"20190312154801305"</f>
        <v>20190312154801305</v>
      </c>
      <c r="B53" t="str">
        <f>"1552376881296479"</f>
        <v>1552376881296479</v>
      </c>
      <c r="C53" t="s">
        <v>40</v>
      </c>
      <c r="D53">
        <v>5.0395560000000001</v>
      </c>
      <c r="E53">
        <v>0.48284139999999998</v>
      </c>
      <c r="F53" t="s">
        <v>42</v>
      </c>
      <c r="G53">
        <v>-453.82369999999997</v>
      </c>
      <c r="H53" s="1">
        <v>-3.0705800000000002E-6</v>
      </c>
      <c r="I53">
        <v>367.14330000000001</v>
      </c>
      <c r="J53">
        <v>-471.59210000000002</v>
      </c>
      <c r="K53">
        <v>1.107988</v>
      </c>
      <c r="L53">
        <v>367.21010000000001</v>
      </c>
      <c r="M53">
        <v>0.9999941</v>
      </c>
      <c r="N53">
        <v>0</v>
      </c>
      <c r="O53">
        <v>-1.223853E-3</v>
      </c>
      <c r="P53">
        <v>0.99804079999999995</v>
      </c>
      <c r="Q53">
        <v>3.3609159999999999E-2</v>
      </c>
      <c r="R53">
        <v>-5.2772380000000001E-2</v>
      </c>
      <c r="S53">
        <v>3.0115970000000001</v>
      </c>
      <c r="T53">
        <v>-0.18616820000000001</v>
      </c>
      <c r="U53">
        <v>-1.1230469999999999E-2</v>
      </c>
      <c r="V53">
        <v>5.1552340000000002E-2</v>
      </c>
      <c r="W53">
        <v>3.037397E-2</v>
      </c>
      <c r="X53">
        <v>0.99820830000000005</v>
      </c>
      <c r="Y53">
        <v>2.5027550000000002E-3</v>
      </c>
      <c r="Z53" s="1">
        <v>-1.6995110000000001E-6</v>
      </c>
      <c r="AA53">
        <v>0.99999680000000002</v>
      </c>
      <c r="AB53">
        <v>16</v>
      </c>
      <c r="AC53">
        <v>17.7684</v>
      </c>
      <c r="AD53">
        <v>-1.10799107058</v>
      </c>
      <c r="AE53">
        <v>-6.6800000000000595E-2</v>
      </c>
      <c r="AF53">
        <v>4.4879419657011803E-2</v>
      </c>
      <c r="AG53">
        <v>-1.10799107058</v>
      </c>
      <c r="AH53">
        <v>17.699645335483599</v>
      </c>
      <c r="AI53">
        <v>93.582008445946201</v>
      </c>
      <c r="AJ53">
        <v>89.854720488810102</v>
      </c>
      <c r="AK53">
        <v>17.734348123816101</v>
      </c>
      <c r="AL53">
        <v>88.259432034838298</v>
      </c>
      <c r="AM53">
        <v>87.043593362825106</v>
      </c>
      <c r="AN53">
        <v>1.0000000160009599</v>
      </c>
    </row>
    <row r="54" spans="1:40" x14ac:dyDescent="0.25">
      <c r="A54" t="str">
        <f>"20190312154801328"</f>
        <v>20190312154801328</v>
      </c>
      <c r="B54" t="str">
        <f>"1552376881316131"</f>
        <v>1552376881316131</v>
      </c>
      <c r="C54" t="s">
        <v>40</v>
      </c>
      <c r="D54">
        <v>5.0161920000000002</v>
      </c>
      <c r="E54">
        <v>0.48284129999999997</v>
      </c>
      <c r="F54" t="s">
        <v>42</v>
      </c>
      <c r="G54">
        <v>-453.70080000000002</v>
      </c>
      <c r="H54" s="1">
        <v>-3.1228270000000001E-6</v>
      </c>
      <c r="I54">
        <v>367.14600000000002</v>
      </c>
      <c r="J54">
        <v>-471.41840000000002</v>
      </c>
      <c r="K54">
        <v>1.107979</v>
      </c>
      <c r="L54">
        <v>367.2099</v>
      </c>
      <c r="M54">
        <v>0.99999389999999999</v>
      </c>
      <c r="N54">
        <v>0</v>
      </c>
      <c r="O54">
        <v>-1.223322E-3</v>
      </c>
      <c r="P54">
        <v>0.99804499999999996</v>
      </c>
      <c r="Q54">
        <v>3.3668860000000002E-2</v>
      </c>
      <c r="R54">
        <v>-5.265624E-2</v>
      </c>
      <c r="S54">
        <v>3.0116580000000002</v>
      </c>
      <c r="T54">
        <v>-0.18650890000000001</v>
      </c>
      <c r="U54">
        <v>-1.077271E-2</v>
      </c>
      <c r="V54">
        <v>5.143648E-2</v>
      </c>
      <c r="W54">
        <v>3.039209E-2</v>
      </c>
      <c r="X54">
        <v>0.99821369999999998</v>
      </c>
      <c r="Y54">
        <v>2.351494E-3</v>
      </c>
      <c r="Z54" s="1">
        <v>2.9438379999999999E-6</v>
      </c>
      <c r="AA54">
        <v>0.99999729999999998</v>
      </c>
      <c r="AB54">
        <v>16</v>
      </c>
      <c r="AC54">
        <v>17.717600000000001</v>
      </c>
      <c r="AD54">
        <v>-1.1079821228269999</v>
      </c>
      <c r="AE54">
        <v>-6.3900000000046406E-2</v>
      </c>
      <c r="AF54">
        <v>4.2061019969477198E-2</v>
      </c>
      <c r="AG54">
        <v>-1.1079821228269999</v>
      </c>
      <c r="AH54">
        <v>17.648647053091601</v>
      </c>
      <c r="AI54">
        <v>93.592304512441501</v>
      </c>
      <c r="AJ54">
        <v>89.863450475474096</v>
      </c>
      <c r="AK54">
        <v>17.683442434054001</v>
      </c>
      <c r="AL54">
        <v>88.258393311791494</v>
      </c>
      <c r="AM54">
        <v>87.050241845541805</v>
      </c>
      <c r="AN54">
        <v>0.99999999073852397</v>
      </c>
    </row>
    <row r="55" spans="1:40" x14ac:dyDescent="0.25">
      <c r="A55" t="str">
        <f>"20190312154801350"</f>
        <v>20190312154801350</v>
      </c>
      <c r="B55" t="str">
        <f>"1552376881346387"</f>
        <v>1552376881346387</v>
      </c>
      <c r="C55" t="s">
        <v>40</v>
      </c>
      <c r="D55">
        <v>4.9439580000000003</v>
      </c>
      <c r="E55">
        <v>0.48279840000000002</v>
      </c>
      <c r="F55" t="s">
        <v>42</v>
      </c>
      <c r="G55">
        <v>-453.4205</v>
      </c>
      <c r="H55" s="1">
        <v>-3.2427809999999998E-6</v>
      </c>
      <c r="I55">
        <v>367.14780000000002</v>
      </c>
      <c r="J55">
        <v>-471.25049999999999</v>
      </c>
      <c r="K55">
        <v>1.1079749999999999</v>
      </c>
      <c r="L55">
        <v>367.2097</v>
      </c>
      <c r="M55">
        <v>0.99999369999999999</v>
      </c>
      <c r="N55">
        <v>0</v>
      </c>
      <c r="O55">
        <v>-1.2229000000000001E-3</v>
      </c>
      <c r="P55">
        <v>0.99806479999999997</v>
      </c>
      <c r="Q55">
        <v>3.3654009999999998E-2</v>
      </c>
      <c r="R55">
        <v>-5.2288429999999997E-2</v>
      </c>
      <c r="S55">
        <v>3.0115970000000001</v>
      </c>
      <c r="T55">
        <v>-0.18539820000000001</v>
      </c>
      <c r="U55">
        <v>-1.037598E-2</v>
      </c>
      <c r="V55">
        <v>5.1069099999999999E-2</v>
      </c>
      <c r="W55">
        <v>3.0343950000000001E-2</v>
      </c>
      <c r="X55">
        <v>0.99823399999999995</v>
      </c>
      <c r="Y55">
        <v>2.2205290000000002E-3</v>
      </c>
      <c r="Z55" s="1">
        <v>6.9277959999999999E-6</v>
      </c>
      <c r="AA55">
        <v>0.99999760000000004</v>
      </c>
      <c r="AB55">
        <v>17</v>
      </c>
      <c r="AC55">
        <v>17.829999999999899</v>
      </c>
      <c r="AD55">
        <v>-1.1079782427810001</v>
      </c>
      <c r="AE55">
        <v>-6.1899999999979999E-2</v>
      </c>
      <c r="AF55">
        <v>3.99412928790625E-2</v>
      </c>
      <c r="AG55">
        <v>-1.1079782427810001</v>
      </c>
      <c r="AH55">
        <v>17.761476659550901</v>
      </c>
      <c r="AI55">
        <v>93.569532264357704</v>
      </c>
      <c r="AJ55">
        <v>89.8711557773821</v>
      </c>
      <c r="AK55">
        <v>17.7960463086924</v>
      </c>
      <c r="AL55">
        <v>88.2611527560111</v>
      </c>
      <c r="AM55">
        <v>87.071332846530098</v>
      </c>
      <c r="AN55">
        <v>0.99999996351620501</v>
      </c>
    </row>
    <row r="56" spans="1:40" x14ac:dyDescent="0.25">
      <c r="A56" t="str">
        <f>"20190312154801373"</f>
        <v>20190312154801373</v>
      </c>
      <c r="B56" t="str">
        <f>"1552376881365908"</f>
        <v>1552376881365908</v>
      </c>
      <c r="C56" t="s">
        <v>40</v>
      </c>
      <c r="D56">
        <v>4.937201</v>
      </c>
      <c r="E56">
        <v>0.4827651</v>
      </c>
      <c r="F56" t="s">
        <v>42</v>
      </c>
      <c r="G56">
        <v>-453.2346</v>
      </c>
      <c r="H56" s="1">
        <v>-3.3213299999999998E-6</v>
      </c>
      <c r="I56">
        <v>367.15440000000001</v>
      </c>
      <c r="J56">
        <v>-471.06310000000002</v>
      </c>
      <c r="K56">
        <v>1.107966</v>
      </c>
      <c r="L56">
        <v>367.20949999999999</v>
      </c>
      <c r="M56">
        <v>0.99999369999999999</v>
      </c>
      <c r="N56">
        <v>0</v>
      </c>
      <c r="O56">
        <v>-1.2222349999999999E-3</v>
      </c>
      <c r="P56">
        <v>0.99808699999999995</v>
      </c>
      <c r="Q56">
        <v>3.3219730000000003E-2</v>
      </c>
      <c r="R56">
        <v>-5.2144940000000001E-2</v>
      </c>
      <c r="S56">
        <v>3.0115970000000001</v>
      </c>
      <c r="T56">
        <v>-0.18521209999999999</v>
      </c>
      <c r="U56">
        <v>-9.2163090000000007E-3</v>
      </c>
      <c r="V56">
        <v>5.092613E-2</v>
      </c>
      <c r="W56">
        <v>2.9878760000000001E-2</v>
      </c>
      <c r="X56">
        <v>0.99825540000000001</v>
      </c>
      <c r="Y56">
        <v>1.8368589999999999E-3</v>
      </c>
      <c r="Z56" s="1">
        <v>1.8666649999999999E-5</v>
      </c>
      <c r="AA56">
        <v>0.99999830000000001</v>
      </c>
      <c r="AB56">
        <v>17</v>
      </c>
      <c r="AC56">
        <v>17.828499999999998</v>
      </c>
      <c r="AD56">
        <v>-1.1079693213299999</v>
      </c>
      <c r="AE56">
        <v>-5.5099999999981698E-2</v>
      </c>
      <c r="AF56">
        <v>3.3181073050539502E-2</v>
      </c>
      <c r="AG56">
        <v>-1.1079693213299999</v>
      </c>
      <c r="AH56">
        <v>17.7599635582181</v>
      </c>
      <c r="AI56">
        <v>93.569809711070803</v>
      </c>
      <c r="AJ56">
        <v>89.892953990177503</v>
      </c>
      <c r="AK56">
        <v>17.794521701632</v>
      </c>
      <c r="AL56">
        <v>88.287818381647199</v>
      </c>
      <c r="AM56">
        <v>87.079580053381903</v>
      </c>
      <c r="AN56">
        <v>1.00000002732253</v>
      </c>
    </row>
    <row r="57" spans="1:40" x14ac:dyDescent="0.25">
      <c r="A57" t="str">
        <f>"20190312154801395"</f>
        <v>20190312154801395</v>
      </c>
      <c r="B57" t="str">
        <f>"1552376881386404"</f>
        <v>1552376881386404</v>
      </c>
      <c r="C57" t="s">
        <v>40</v>
      </c>
      <c r="D57">
        <v>4.8800879999999998</v>
      </c>
      <c r="E57">
        <v>0.48273539999999998</v>
      </c>
      <c r="F57" t="s">
        <v>42</v>
      </c>
      <c r="G57">
        <v>-453.1737</v>
      </c>
      <c r="H57" s="1">
        <v>-3.346576E-6</v>
      </c>
      <c r="I57">
        <v>367.15949999999998</v>
      </c>
      <c r="J57">
        <v>-470.89069999999998</v>
      </c>
      <c r="K57">
        <v>1.1079639999999999</v>
      </c>
      <c r="L57">
        <v>367.20929999999998</v>
      </c>
      <c r="M57">
        <v>0.99999360000000004</v>
      </c>
      <c r="N57">
        <v>0</v>
      </c>
      <c r="O57">
        <v>-1.2214369999999999E-3</v>
      </c>
      <c r="P57">
        <v>0.99810929999999998</v>
      </c>
      <c r="Q57">
        <v>3.2635379999999999E-2</v>
      </c>
      <c r="R57">
        <v>-5.2088059999999999E-2</v>
      </c>
      <c r="S57">
        <v>3.0115050000000001</v>
      </c>
      <c r="T57">
        <v>-0.1865146</v>
      </c>
      <c r="U57">
        <v>-8.3923339999999996E-3</v>
      </c>
      <c r="V57">
        <v>5.0869869999999998E-2</v>
      </c>
      <c r="W57">
        <v>2.9272969999999999E-2</v>
      </c>
      <c r="X57">
        <v>0.99827619999999895</v>
      </c>
      <c r="Y57">
        <v>1.564647E-3</v>
      </c>
      <c r="Z57" s="1">
        <v>2.7170370000000001E-5</v>
      </c>
      <c r="AA57">
        <v>0.99999870000000002</v>
      </c>
      <c r="AB57">
        <v>17</v>
      </c>
      <c r="AC57">
        <v>17.716999999999899</v>
      </c>
      <c r="AD57">
        <v>-1.107967346576</v>
      </c>
      <c r="AE57">
        <v>-4.9800000000004702E-2</v>
      </c>
      <c r="AF57">
        <v>2.8049942312096201E-2</v>
      </c>
      <c r="AG57">
        <v>-1.107967346576</v>
      </c>
      <c r="AH57">
        <v>17.648028982507601</v>
      </c>
      <c r="AI57">
        <v>93.592387858760304</v>
      </c>
      <c r="AJ57">
        <v>89.9089336288868</v>
      </c>
      <c r="AK57">
        <v>17.682796877410802</v>
      </c>
      <c r="AL57">
        <v>88.322542754648495</v>
      </c>
      <c r="AM57">
        <v>87.082861452137706</v>
      </c>
      <c r="AN57">
        <v>1.00000001096643</v>
      </c>
    </row>
    <row r="58" spans="1:40" x14ac:dyDescent="0.25">
      <c r="A58" t="str">
        <f>"20190312154801418"</f>
        <v>20190312154801418</v>
      </c>
      <c r="B58" t="str">
        <f>"1552376881405924"</f>
        <v>1552376881405924</v>
      </c>
      <c r="C58" t="s">
        <v>40</v>
      </c>
      <c r="D58">
        <v>4.9669489999999996</v>
      </c>
      <c r="E58">
        <v>0.4827997</v>
      </c>
      <c r="F58" t="s">
        <v>42</v>
      </c>
      <c r="G58">
        <v>-453.17169999999999</v>
      </c>
      <c r="H58" s="1">
        <v>-3.3469550000000001E-6</v>
      </c>
      <c r="I58">
        <v>367.16210000000001</v>
      </c>
      <c r="J58">
        <v>-470.7099</v>
      </c>
      <c r="K58">
        <v>1.107958</v>
      </c>
      <c r="L58">
        <v>367.209</v>
      </c>
      <c r="M58">
        <v>0.99999360000000004</v>
      </c>
      <c r="N58">
        <v>0</v>
      </c>
      <c r="O58">
        <v>-1.220512E-3</v>
      </c>
      <c r="P58">
        <v>0.99810169999999998</v>
      </c>
      <c r="Q58">
        <v>3.2670780000000003E-2</v>
      </c>
      <c r="R58">
        <v>-5.2210069999999997E-2</v>
      </c>
      <c r="S58">
        <v>3.0113829999999999</v>
      </c>
      <c r="T58">
        <v>-0.1883013</v>
      </c>
      <c r="U58">
        <v>-7.9956049999999994E-3</v>
      </c>
      <c r="V58">
        <v>5.0993009999999998E-2</v>
      </c>
      <c r="W58">
        <v>2.9292039999999998E-2</v>
      </c>
      <c r="X58">
        <v>0.99826930000000003</v>
      </c>
      <c r="Y58">
        <v>1.434184E-3</v>
      </c>
      <c r="Z58" s="1">
        <v>3.1448429999999997E-5</v>
      </c>
      <c r="AA58">
        <v>0.99999899999999997</v>
      </c>
      <c r="AB58">
        <v>18</v>
      </c>
      <c r="AC58">
        <v>17.5382</v>
      </c>
      <c r="AD58">
        <v>-1.107961346955</v>
      </c>
      <c r="AE58">
        <v>-4.6899999999993697E-2</v>
      </c>
      <c r="AF58">
        <v>2.53929186363611E-2</v>
      </c>
      <c r="AG58">
        <v>-1.107961346955</v>
      </c>
      <c r="AH58">
        <v>17.468528190427399</v>
      </c>
      <c r="AI58">
        <v>93.629185032963605</v>
      </c>
      <c r="AJ58">
        <v>89.916712728928601</v>
      </c>
      <c r="AK58">
        <v>17.5036481993446</v>
      </c>
      <c r="AL58">
        <v>88.321449558068906</v>
      </c>
      <c r="AM58">
        <v>87.075792038963399</v>
      </c>
      <c r="AN58">
        <v>0.99999995299935396</v>
      </c>
    </row>
    <row r="59" spans="1:40" x14ac:dyDescent="0.25">
      <c r="A59" t="str">
        <f>"20190312154801438"</f>
        <v>20190312154801438</v>
      </c>
      <c r="B59" t="str">
        <f>"1552376881425951"</f>
        <v>1552376881425951</v>
      </c>
      <c r="C59" t="s">
        <v>40</v>
      </c>
      <c r="D59">
        <v>4.8604379999999896</v>
      </c>
      <c r="E59">
        <v>0.48360209999999998</v>
      </c>
      <c r="F59" t="s">
        <v>42</v>
      </c>
      <c r="G59">
        <v>-452.90320000000003</v>
      </c>
      <c r="H59" s="1">
        <v>-3.4633290000000001E-6</v>
      </c>
      <c r="I59">
        <v>367.15550000000002</v>
      </c>
      <c r="J59">
        <v>-470.5421</v>
      </c>
      <c r="K59">
        <v>1.107945</v>
      </c>
      <c r="L59">
        <v>367.2088</v>
      </c>
      <c r="M59">
        <v>0.99999360000000004</v>
      </c>
      <c r="N59">
        <v>0</v>
      </c>
      <c r="O59">
        <v>-1.219218E-3</v>
      </c>
      <c r="P59">
        <v>0.99810620000000005</v>
      </c>
      <c r="Q59">
        <v>3.2322549999999999E-2</v>
      </c>
      <c r="R59">
        <v>-5.2344269999999998E-2</v>
      </c>
      <c r="S59">
        <v>3.0113530000000002</v>
      </c>
      <c r="T59">
        <v>-0.18737029999999999</v>
      </c>
      <c r="U59">
        <v>-9.0332030000000001E-3</v>
      </c>
      <c r="V59">
        <v>5.1128319999999998E-2</v>
      </c>
      <c r="W59">
        <v>2.8934560000000002E-2</v>
      </c>
      <c r="X59">
        <v>0.99827279999999996</v>
      </c>
      <c r="Y59">
        <v>1.779398E-3</v>
      </c>
      <c r="Z59" s="1">
        <v>2.048363E-5</v>
      </c>
      <c r="AA59">
        <v>0.99999839999999995</v>
      </c>
      <c r="AB59">
        <v>18</v>
      </c>
      <c r="AC59">
        <v>17.6388999999999</v>
      </c>
      <c r="AD59">
        <v>-1.107948463329</v>
      </c>
      <c r="AE59">
        <v>-5.3299999999978802E-2</v>
      </c>
      <c r="AF59">
        <v>3.16692262647634E-2</v>
      </c>
      <c r="AG59">
        <v>-1.107948463329</v>
      </c>
      <c r="AH59">
        <v>17.569632468248599</v>
      </c>
      <c r="AI59">
        <v>93.608312366795502</v>
      </c>
      <c r="AJ59">
        <v>89.896724587518705</v>
      </c>
      <c r="AK59">
        <v>17.604560142378499</v>
      </c>
      <c r="AL59">
        <v>88.341940332685795</v>
      </c>
      <c r="AM59">
        <v>87.068056432905905</v>
      </c>
      <c r="AN59">
        <v>0.99999994854412599</v>
      </c>
    </row>
    <row r="60" spans="1:40" x14ac:dyDescent="0.25">
      <c r="A60" t="str">
        <f>"20190312154801463"</f>
        <v>20190312154801463</v>
      </c>
      <c r="B60" t="str">
        <f>"1552376881456207"</f>
        <v>1552376881456207</v>
      </c>
      <c r="C60" t="s">
        <v>40</v>
      </c>
      <c r="D60">
        <v>4.8015629999999998</v>
      </c>
      <c r="E60">
        <v>0.54264159999999995</v>
      </c>
      <c r="F60" t="s">
        <v>42</v>
      </c>
      <c r="G60">
        <v>-453.14920000000001</v>
      </c>
      <c r="H60" s="1">
        <v>-3.3644779999999898E-6</v>
      </c>
      <c r="I60">
        <v>367.11779999999999</v>
      </c>
      <c r="J60">
        <v>-470.34390000000002</v>
      </c>
      <c r="K60">
        <v>1.107944</v>
      </c>
      <c r="L60">
        <v>367.20859999999999</v>
      </c>
      <c r="M60">
        <v>0.99999349999999998</v>
      </c>
      <c r="N60">
        <v>0</v>
      </c>
      <c r="O60">
        <v>-1.2174379999999999E-3</v>
      </c>
      <c r="P60">
        <v>0.99809999999999999</v>
      </c>
      <c r="Q60">
        <v>3.2103659999999999E-2</v>
      </c>
      <c r="R60">
        <v>-5.2592630000000001E-2</v>
      </c>
      <c r="S60">
        <v>3.0110779999999999</v>
      </c>
      <c r="T60">
        <v>-0.19180820000000001</v>
      </c>
      <c r="U60">
        <v>-1.5747069999999998E-2</v>
      </c>
      <c r="V60">
        <v>5.1378519999999997E-2</v>
      </c>
      <c r="W60">
        <v>2.8711489999999999E-2</v>
      </c>
      <c r="X60">
        <v>0.99826649999999995</v>
      </c>
      <c r="Y60">
        <v>4.0065559999999997E-3</v>
      </c>
      <c r="Z60" s="1">
        <v>-5.0007270000000003E-5</v>
      </c>
      <c r="AA60">
        <v>0.99999199999999999</v>
      </c>
      <c r="AB60">
        <v>18</v>
      </c>
      <c r="AC60">
        <v>17.194700000000001</v>
      </c>
      <c r="AD60">
        <v>-1.107947364478</v>
      </c>
      <c r="AE60">
        <v>-9.0800000000001505E-2</v>
      </c>
      <c r="AF60">
        <v>6.9577458938287207E-2</v>
      </c>
      <c r="AG60">
        <v>-1.107947364478</v>
      </c>
      <c r="AH60">
        <v>17.123703524403499</v>
      </c>
      <c r="AI60">
        <v>93.701992514908397</v>
      </c>
      <c r="AJ60">
        <v>89.7671956418653</v>
      </c>
      <c r="AK60">
        <v>17.159650660107101</v>
      </c>
      <c r="AL60">
        <v>88.354726787946106</v>
      </c>
      <c r="AM60">
        <v>87.053715419192102</v>
      </c>
      <c r="AN60">
        <v>1.00000005349882</v>
      </c>
    </row>
    <row r="61" spans="1:40" x14ac:dyDescent="0.25">
      <c r="A61" t="str">
        <f>"20190312154801484"</f>
        <v>20190312154801484</v>
      </c>
      <c r="B61" t="str">
        <f>"1552376881475728"</f>
        <v>1552376881475728</v>
      </c>
      <c r="C61" t="s">
        <v>40</v>
      </c>
      <c r="D61">
        <v>4.7609309999999896</v>
      </c>
      <c r="E61">
        <v>0.54424300000000003</v>
      </c>
      <c r="F61" t="s">
        <v>41</v>
      </c>
      <c r="G61">
        <v>-469.64710000000002</v>
      </c>
      <c r="H61">
        <v>0.93343039999999999</v>
      </c>
      <c r="I61">
        <v>367.10039999999998</v>
      </c>
      <c r="J61">
        <v>-470.1617</v>
      </c>
      <c r="K61">
        <v>1.107947</v>
      </c>
      <c r="L61">
        <v>367.20839999999998</v>
      </c>
      <c r="M61">
        <v>0.99999349999999998</v>
      </c>
      <c r="N61">
        <v>0</v>
      </c>
      <c r="O61">
        <v>-1.2161209999999999E-3</v>
      </c>
      <c r="P61">
        <v>0.99808419999999998</v>
      </c>
      <c r="Q61">
        <v>3.2161090000000003E-2</v>
      </c>
      <c r="R61">
        <v>-5.2854760000000001E-2</v>
      </c>
      <c r="S61">
        <v>3.0053709999999998</v>
      </c>
      <c r="T61">
        <v>-0.7527102</v>
      </c>
      <c r="U61">
        <v>-0.4661865</v>
      </c>
      <c r="V61">
        <v>5.1641999999999903E-2</v>
      </c>
      <c r="W61">
        <v>2.8772499999999999E-2</v>
      </c>
      <c r="X61">
        <v>0.99825109999999995</v>
      </c>
      <c r="Y61">
        <v>0.1476644</v>
      </c>
      <c r="Z61">
        <v>-1.78087E-2</v>
      </c>
      <c r="AA61">
        <v>0.98887720000000001</v>
      </c>
      <c r="AB61">
        <v>18</v>
      </c>
      <c r="AC61">
        <v>0.51459999999997297</v>
      </c>
      <c r="AD61">
        <v>-0.17451659999999999</v>
      </c>
      <c r="AE61">
        <v>-0.108000000000004</v>
      </c>
      <c r="AF61">
        <v>9.6719696838475797E-2</v>
      </c>
      <c r="AG61">
        <v>-0.17451659999999999</v>
      </c>
      <c r="AH61">
        <v>0.463655781245772</v>
      </c>
      <c r="AI61">
        <v>110.226883228451</v>
      </c>
      <c r="AJ61">
        <v>78.216938167775893</v>
      </c>
      <c r="AK61">
        <v>0.50476472431689801</v>
      </c>
      <c r="AL61">
        <v>88.351229649171898</v>
      </c>
      <c r="AM61">
        <v>87.0385874660045</v>
      </c>
      <c r="AN61">
        <v>1.0000000057857299</v>
      </c>
    </row>
    <row r="62" spans="1:40" x14ac:dyDescent="0.25">
      <c r="A62" t="str">
        <f>"20190312154801507"</f>
        <v>20190312154801507</v>
      </c>
      <c r="B62" t="str">
        <f>"1552376881496226"</f>
        <v>1552376881496226</v>
      </c>
      <c r="C62" t="s">
        <v>40</v>
      </c>
      <c r="D62">
        <v>4.7725339999999896</v>
      </c>
      <c r="E62">
        <v>0.54447139999999905</v>
      </c>
      <c r="F62" t="s">
        <v>41</v>
      </c>
      <c r="G62">
        <v>-469.48039999999997</v>
      </c>
      <c r="H62">
        <v>0.92885390000000001</v>
      </c>
      <c r="I62">
        <v>367.09930000000003</v>
      </c>
      <c r="J62">
        <v>-469.96300000000002</v>
      </c>
      <c r="K62">
        <v>1.1079479999999999</v>
      </c>
      <c r="L62">
        <v>367.2081</v>
      </c>
      <c r="M62">
        <v>0.99999369999999999</v>
      </c>
      <c r="N62">
        <v>0</v>
      </c>
      <c r="O62">
        <v>-1.2147869999999999E-3</v>
      </c>
      <c r="P62">
        <v>0.99811019999999995</v>
      </c>
      <c r="Q62">
        <v>3.1944299999999898E-2</v>
      </c>
      <c r="R62">
        <v>-5.2497750000000003E-2</v>
      </c>
      <c r="S62">
        <v>3.0058590000000001</v>
      </c>
      <c r="T62">
        <v>-0.79023690000000002</v>
      </c>
      <c r="U62">
        <v>-0.47872920000000002</v>
      </c>
      <c r="V62">
        <v>5.1286129999999999E-2</v>
      </c>
      <c r="W62">
        <v>2.8570399999999999E-2</v>
      </c>
      <c r="X62">
        <v>0.99827520000000003</v>
      </c>
      <c r="Y62">
        <v>0.1511139</v>
      </c>
      <c r="Z62">
        <v>-1.9103419999999999E-2</v>
      </c>
      <c r="AA62">
        <v>0.98833170000000004</v>
      </c>
      <c r="AB62">
        <v>19</v>
      </c>
      <c r="AC62">
        <v>0.48260000000004699</v>
      </c>
      <c r="AD62">
        <v>-0.17909409999999901</v>
      </c>
      <c r="AE62">
        <v>-0.108799999999973</v>
      </c>
      <c r="AF62">
        <v>9.5674883011089895E-2</v>
      </c>
      <c r="AG62">
        <v>-0.17909409999999901</v>
      </c>
      <c r="AH62">
        <v>0.42679740867403398</v>
      </c>
      <c r="AI62">
        <v>112.26719653661701</v>
      </c>
      <c r="AJ62">
        <v>77.364925888436105</v>
      </c>
      <c r="AK62">
        <v>0.47263559741609201</v>
      </c>
      <c r="AL62">
        <v>88.3628138052525</v>
      </c>
      <c r="AM62">
        <v>87.059029770070893</v>
      </c>
      <c r="AN62">
        <v>0.99999995491078697</v>
      </c>
    </row>
    <row r="63" spans="1:40" x14ac:dyDescent="0.25">
      <c r="A63" t="str">
        <f>"20190312154801527"</f>
        <v>20190312154801527</v>
      </c>
      <c r="B63" t="str">
        <f>"1552376881516254"</f>
        <v>1552376881516254</v>
      </c>
      <c r="C63" t="s">
        <v>40</v>
      </c>
      <c r="D63">
        <v>4.7382019999999896</v>
      </c>
      <c r="E63">
        <v>0.54475340000000005</v>
      </c>
      <c r="F63" t="s">
        <v>41</v>
      </c>
      <c r="G63">
        <v>-469.15069999999997</v>
      </c>
      <c r="H63">
        <v>0.89193559999999905</v>
      </c>
      <c r="I63">
        <v>367.07819999999998</v>
      </c>
      <c r="J63">
        <v>-469.7835</v>
      </c>
      <c r="K63">
        <v>1.107945</v>
      </c>
      <c r="L63">
        <v>367.2079</v>
      </c>
      <c r="M63">
        <v>0.99999369999999999</v>
      </c>
      <c r="N63">
        <v>0</v>
      </c>
      <c r="O63">
        <v>-1.21356E-3</v>
      </c>
      <c r="P63">
        <v>0.99811689999999997</v>
      </c>
      <c r="Q63">
        <v>3.2106559999999999E-2</v>
      </c>
      <c r="R63">
        <v>-5.2266960000000001E-2</v>
      </c>
      <c r="S63">
        <v>3.0060419999999999</v>
      </c>
      <c r="T63">
        <v>-0.79943549999999997</v>
      </c>
      <c r="U63">
        <v>-0.47888180000000002</v>
      </c>
      <c r="V63">
        <v>5.1056770000000001E-2</v>
      </c>
      <c r="W63">
        <v>2.8753910000000001E-2</v>
      </c>
      <c r="X63">
        <v>0.99828170000000005</v>
      </c>
      <c r="Y63">
        <v>0.15104319999999999</v>
      </c>
      <c r="Z63">
        <v>-1.930844E-2</v>
      </c>
      <c r="AA63">
        <v>0.98833859999999996</v>
      </c>
      <c r="AB63">
        <v>19</v>
      </c>
      <c r="AC63">
        <v>0.632800000000031</v>
      </c>
      <c r="AD63">
        <v>-0.21600939999999999</v>
      </c>
      <c r="AE63">
        <v>-0.129700000000013</v>
      </c>
      <c r="AF63">
        <v>0.115964208261781</v>
      </c>
      <c r="AG63">
        <v>-0.21600939999999999</v>
      </c>
      <c r="AH63">
        <v>0.56929523125499504</v>
      </c>
      <c r="AI63">
        <v>110.395029990452</v>
      </c>
      <c r="AJ63">
        <v>78.486491460308301</v>
      </c>
      <c r="AK63">
        <v>0.61984257583342905</v>
      </c>
      <c r="AL63">
        <v>88.352295154375696</v>
      </c>
      <c r="AM63">
        <v>87.072178367033601</v>
      </c>
      <c r="AN63">
        <v>0.99999996682900505</v>
      </c>
    </row>
    <row r="64" spans="1:40" x14ac:dyDescent="0.25">
      <c r="A64" t="str">
        <f>"20190312154801550"</f>
        <v>20190312154801550</v>
      </c>
      <c r="B64" t="str">
        <f>"1552376881546506"</f>
        <v>1552376881546506</v>
      </c>
      <c r="C64" t="s">
        <v>40</v>
      </c>
      <c r="D64">
        <v>4.7731579999999996</v>
      </c>
      <c r="E64">
        <v>0.54483119999999996</v>
      </c>
      <c r="F64" t="s">
        <v>41</v>
      </c>
      <c r="G64">
        <v>-468.9753</v>
      </c>
      <c r="H64">
        <v>0.89233259999999903</v>
      </c>
      <c r="I64">
        <v>367.07870000000003</v>
      </c>
      <c r="J64">
        <v>-469.5856</v>
      </c>
      <c r="K64">
        <v>1.1079479999999999</v>
      </c>
      <c r="L64">
        <v>367.20769999999999</v>
      </c>
      <c r="M64">
        <v>0.99999380000000004</v>
      </c>
      <c r="N64">
        <v>0</v>
      </c>
      <c r="O64">
        <v>-1.2123170000000001E-3</v>
      </c>
      <c r="P64">
        <v>0.99813730000000001</v>
      </c>
      <c r="Q64">
        <v>3.2189299999999997E-2</v>
      </c>
      <c r="R64">
        <v>-5.1826980000000002E-2</v>
      </c>
      <c r="S64">
        <v>3.0062869999999999</v>
      </c>
      <c r="T64">
        <v>-0.80196769999999995</v>
      </c>
      <c r="U64">
        <v>-0.48046879999999997</v>
      </c>
      <c r="V64">
        <v>5.0617870000000002E-2</v>
      </c>
      <c r="W64">
        <v>2.886735E-2</v>
      </c>
      <c r="X64">
        <v>0.99830079999999999</v>
      </c>
      <c r="Y64">
        <v>0.15149489999999999</v>
      </c>
      <c r="Z64">
        <v>-1.9424480000000001E-2</v>
      </c>
      <c r="AA64">
        <v>0.98826720000000001</v>
      </c>
      <c r="AB64">
        <v>19</v>
      </c>
      <c r="AC64">
        <v>0.61029999999999496</v>
      </c>
      <c r="AD64">
        <v>-0.21561540000000001</v>
      </c>
      <c r="AE64">
        <v>-0.12899999999996201</v>
      </c>
      <c r="AF64">
        <v>0.114571207664162</v>
      </c>
      <c r="AG64">
        <v>-0.21561540000000001</v>
      </c>
      <c r="AH64">
        <v>0.54530376795161595</v>
      </c>
      <c r="AI64">
        <v>111.15422020192401</v>
      </c>
      <c r="AJ64">
        <v>78.134442995892499</v>
      </c>
      <c r="AK64">
        <v>0.59747197564824295</v>
      </c>
      <c r="AL64">
        <v>88.345792860020396</v>
      </c>
      <c r="AM64">
        <v>87.097359051581293</v>
      </c>
      <c r="AN64">
        <v>0.99999998996999895</v>
      </c>
    </row>
    <row r="65" spans="1:40" x14ac:dyDescent="0.25">
      <c r="A65" t="str">
        <f>"20190312154801585"</f>
        <v>20190312154801585</v>
      </c>
      <c r="B65" t="str">
        <f>"1552376881575788"</f>
        <v>1552376881575788</v>
      </c>
      <c r="C65" t="s">
        <v>40</v>
      </c>
      <c r="D65">
        <v>4.7222949999999999</v>
      </c>
      <c r="E65">
        <v>0.54486469999999998</v>
      </c>
      <c r="F65" t="s">
        <v>41</v>
      </c>
      <c r="G65">
        <v>-468.79599999999999</v>
      </c>
      <c r="H65">
        <v>0.89688469999999998</v>
      </c>
      <c r="I65">
        <v>367.08120000000002</v>
      </c>
      <c r="J65">
        <v>-469.27780000000001</v>
      </c>
      <c r="K65">
        <v>1.1079559999999999</v>
      </c>
      <c r="L65">
        <v>367.20729999999998</v>
      </c>
      <c r="M65">
        <v>0.99999389999999999</v>
      </c>
      <c r="N65">
        <v>0</v>
      </c>
      <c r="O65">
        <v>-1.2106700000000001E-3</v>
      </c>
      <c r="P65">
        <v>0.99812160000000005</v>
      </c>
      <c r="Q65">
        <v>3.2426290000000003E-2</v>
      </c>
      <c r="R65">
        <v>-5.1979610000000002E-2</v>
      </c>
      <c r="S65">
        <v>3.0065309999999998</v>
      </c>
      <c r="T65">
        <v>-0.80363269999999998</v>
      </c>
      <c r="U65">
        <v>-0.47985840000000002</v>
      </c>
      <c r="V65">
        <v>5.0772159999999997E-2</v>
      </c>
      <c r="W65">
        <v>2.916382E-2</v>
      </c>
      <c r="X65">
        <v>0.99828430000000001</v>
      </c>
      <c r="Y65">
        <v>0.15127550000000001</v>
      </c>
      <c r="Z65">
        <v>-1.943404E-2</v>
      </c>
      <c r="AA65">
        <v>0.98830059999999997</v>
      </c>
      <c r="AB65">
        <v>20</v>
      </c>
      <c r="AC65">
        <v>0.48180000000002099</v>
      </c>
      <c r="AD65">
        <v>-0.21107129999999999</v>
      </c>
      <c r="AE65">
        <v>-0.126099999999951</v>
      </c>
      <c r="AF65">
        <v>0.10640444888544801</v>
      </c>
      <c r="AG65">
        <v>-0.21107129999999999</v>
      </c>
      <c r="AH65">
        <v>0.40856642695496198</v>
      </c>
      <c r="AI65">
        <v>116.562218599613</v>
      </c>
      <c r="AJ65">
        <v>75.402512804614503</v>
      </c>
      <c r="AK65">
        <v>0.47201644638831203</v>
      </c>
      <c r="AL65">
        <v>88.328799145045394</v>
      </c>
      <c r="AM65">
        <v>87.088478576486693</v>
      </c>
      <c r="AN65">
        <v>0.99999994212727195</v>
      </c>
    </row>
    <row r="66" spans="1:40" x14ac:dyDescent="0.25">
      <c r="A66" t="str">
        <f>"20190312154801609"</f>
        <v>20190312154801609</v>
      </c>
      <c r="B66" t="str">
        <f>"1552376881596283"</f>
        <v>1552376881596283</v>
      </c>
      <c r="C66" t="s">
        <v>40</v>
      </c>
      <c r="D66">
        <v>4.7566769999999998</v>
      </c>
      <c r="E66">
        <v>0.54488319999999901</v>
      </c>
      <c r="F66" t="s">
        <v>41</v>
      </c>
      <c r="G66">
        <v>-468.60419999999999</v>
      </c>
      <c r="H66">
        <v>0.92794430000000006</v>
      </c>
      <c r="I66">
        <v>367.09969999999998</v>
      </c>
      <c r="J66">
        <v>-469.05399999999997</v>
      </c>
      <c r="K66">
        <v>1.1079619999999999</v>
      </c>
      <c r="L66">
        <v>367.20699999999999</v>
      </c>
      <c r="M66">
        <v>0.9999943</v>
      </c>
      <c r="N66">
        <v>0</v>
      </c>
      <c r="O66">
        <v>-1.209636E-3</v>
      </c>
      <c r="P66">
        <v>0.99812590000000001</v>
      </c>
      <c r="Q66">
        <v>3.2917960000000003E-2</v>
      </c>
      <c r="R66">
        <v>-5.1590839999999999E-2</v>
      </c>
      <c r="S66">
        <v>3.0067140000000001</v>
      </c>
      <c r="T66">
        <v>-0.80342849999999999</v>
      </c>
      <c r="U66">
        <v>-0.48028559999999998</v>
      </c>
      <c r="V66">
        <v>5.0384560000000002E-2</v>
      </c>
      <c r="W66">
        <v>2.970575E-2</v>
      </c>
      <c r="X66">
        <v>0.99828799999999995</v>
      </c>
      <c r="Y66">
        <v>0.15140300000000001</v>
      </c>
      <c r="Z66">
        <v>-1.9444840000000001E-2</v>
      </c>
      <c r="AA66">
        <v>0.98828079999999996</v>
      </c>
      <c r="AB66">
        <v>20</v>
      </c>
      <c r="AC66">
        <v>0.449800000000038</v>
      </c>
      <c r="AD66">
        <v>-0.180017699999999</v>
      </c>
      <c r="AE66">
        <v>-0.107300000000009</v>
      </c>
      <c r="AF66">
        <v>9.2706225843564194E-2</v>
      </c>
      <c r="AG66">
        <v>-0.180017699999999</v>
      </c>
      <c r="AH66">
        <v>0.39071650497663701</v>
      </c>
      <c r="AI66">
        <v>114.146272405646</v>
      </c>
      <c r="AJ66">
        <v>76.652128776239394</v>
      </c>
      <c r="AK66">
        <v>0.44006840818741599</v>
      </c>
      <c r="AL66">
        <v>88.297735451182206</v>
      </c>
      <c r="AM66">
        <v>87.110678319889402</v>
      </c>
      <c r="AN66">
        <v>0.99999998320672701</v>
      </c>
    </row>
    <row r="67" spans="1:40" x14ac:dyDescent="0.25">
      <c r="A67" t="str">
        <f>"20190312154801629"</f>
        <v>20190312154801629</v>
      </c>
      <c r="B67" t="str">
        <f>"1552376881616312"</f>
        <v>1552376881616312</v>
      </c>
      <c r="C67" t="s">
        <v>40</v>
      </c>
      <c r="D67">
        <v>4.7985579999999999</v>
      </c>
      <c r="E67">
        <v>0.54486659999999998</v>
      </c>
      <c r="F67" t="s">
        <v>41</v>
      </c>
      <c r="G67">
        <v>-468.25139999999999</v>
      </c>
      <c r="H67">
        <v>0.8936231</v>
      </c>
      <c r="I67">
        <v>367.07900000000001</v>
      </c>
      <c r="J67">
        <v>-468.86599999999999</v>
      </c>
      <c r="K67">
        <v>1.1079650000000001</v>
      </c>
      <c r="L67">
        <v>367.20679999999999</v>
      </c>
      <c r="M67">
        <v>0.99999420000000006</v>
      </c>
      <c r="N67">
        <v>0</v>
      </c>
      <c r="O67">
        <v>-1.208492E-3</v>
      </c>
      <c r="P67">
        <v>0.99811620000000001</v>
      </c>
      <c r="Q67">
        <v>3.3239039999999997E-2</v>
      </c>
      <c r="R67">
        <v>-5.1570190000000002E-2</v>
      </c>
      <c r="S67">
        <v>3.0073240000000001</v>
      </c>
      <c r="T67">
        <v>-0.80313679999999998</v>
      </c>
      <c r="U67">
        <v>-0.47952270000000002</v>
      </c>
      <c r="V67">
        <v>5.0364920000000001E-2</v>
      </c>
      <c r="W67">
        <v>3.0072270000000002E-2</v>
      </c>
      <c r="X67">
        <v>0.998278</v>
      </c>
      <c r="Y67">
        <v>0.15114269999999999</v>
      </c>
      <c r="Z67">
        <v>-1.9400959999999998E-2</v>
      </c>
      <c r="AA67">
        <v>0.98832149999999996</v>
      </c>
      <c r="AB67">
        <v>20</v>
      </c>
      <c r="AC67">
        <v>0.61459999999999504</v>
      </c>
      <c r="AD67">
        <v>-0.214341899999999</v>
      </c>
      <c r="AE67">
        <v>-0.12779999999997901</v>
      </c>
      <c r="AF67">
        <v>0.113790788041664</v>
      </c>
      <c r="AG67">
        <v>-0.214341899999999</v>
      </c>
      <c r="AH67">
        <v>0.55056590079374401</v>
      </c>
      <c r="AI67">
        <v>110.869558249919</v>
      </c>
      <c r="AJ67">
        <v>78.322546719235206</v>
      </c>
      <c r="AK67">
        <v>0.60167566400476902</v>
      </c>
      <c r="AL67">
        <v>88.276725985316901</v>
      </c>
      <c r="AM67">
        <v>87.111773793014393</v>
      </c>
      <c r="AN67">
        <v>0.99999996593677898</v>
      </c>
    </row>
    <row r="68" spans="1:40" x14ac:dyDescent="0.25">
      <c r="A68" t="str">
        <f>"20190312154801653"</f>
        <v>20190312154801653</v>
      </c>
      <c r="B68" t="str">
        <f>"1552376881646567"</f>
        <v>1552376881646567</v>
      </c>
      <c r="C68" t="s">
        <v>40</v>
      </c>
      <c r="D68">
        <v>4.7473539999999996</v>
      </c>
      <c r="E68">
        <v>0.54471780000000003</v>
      </c>
      <c r="F68" t="s">
        <v>41</v>
      </c>
      <c r="G68">
        <v>-468.065</v>
      </c>
      <c r="H68">
        <v>0.89420560000000004</v>
      </c>
      <c r="I68">
        <v>367.07889999999998</v>
      </c>
      <c r="J68">
        <v>-468.64839999999998</v>
      </c>
      <c r="K68">
        <v>1.107969</v>
      </c>
      <c r="L68">
        <v>367.20659999999998</v>
      </c>
      <c r="M68">
        <v>0.99999439999999995</v>
      </c>
      <c r="N68">
        <v>0</v>
      </c>
      <c r="O68">
        <v>-1.207573E-3</v>
      </c>
      <c r="P68">
        <v>0.99811309999999998</v>
      </c>
      <c r="Q68">
        <v>3.3425700000000003E-2</v>
      </c>
      <c r="R68">
        <v>-5.1506929999999999E-2</v>
      </c>
      <c r="S68">
        <v>3.0076290000000001</v>
      </c>
      <c r="T68">
        <v>-0.80266789999999999</v>
      </c>
      <c r="U68">
        <v>-0.4794312</v>
      </c>
      <c r="V68">
        <v>5.0302769999999997E-2</v>
      </c>
      <c r="W68">
        <v>3.031296E-2</v>
      </c>
      <c r="X68">
        <v>0.99827390000000005</v>
      </c>
      <c r="Y68">
        <v>0.15110670000000001</v>
      </c>
      <c r="Z68">
        <v>-1.938372E-2</v>
      </c>
      <c r="AA68">
        <v>0.98832739999999997</v>
      </c>
      <c r="AB68">
        <v>21</v>
      </c>
      <c r="AC68">
        <v>0.58339999999998304</v>
      </c>
      <c r="AD68">
        <v>-0.21376339999999899</v>
      </c>
      <c r="AE68">
        <v>-0.127700000000004</v>
      </c>
      <c r="AF68">
        <v>0.11257284212075799</v>
      </c>
      <c r="AG68">
        <v>-0.21376339999999899</v>
      </c>
      <c r="AH68">
        <v>0.51728098059133498</v>
      </c>
      <c r="AI68">
        <v>111.988511545344</v>
      </c>
      <c r="AJ68">
        <v>77.722486959631695</v>
      </c>
      <c r="AK68">
        <v>0.57091772510952699</v>
      </c>
      <c r="AL68">
        <v>88.262929253385494</v>
      </c>
      <c r="AM68">
        <v>87.115319995255206</v>
      </c>
      <c r="AN68">
        <v>1.0000000118174199</v>
      </c>
    </row>
    <row r="69" spans="1:40" x14ac:dyDescent="0.25">
      <c r="A69" t="str">
        <f>"20190312154801675"</f>
        <v>20190312154801675</v>
      </c>
      <c r="B69" t="str">
        <f>"1552376881666088"</f>
        <v>1552376881666088</v>
      </c>
      <c r="C69" t="s">
        <v>40</v>
      </c>
      <c r="D69">
        <v>4.7261379999999997</v>
      </c>
      <c r="E69">
        <v>0.54469279999999998</v>
      </c>
      <c r="F69" t="s">
        <v>41</v>
      </c>
      <c r="G69">
        <v>-467.87389999999999</v>
      </c>
      <c r="H69">
        <v>0.90133830000000004</v>
      </c>
      <c r="I69">
        <v>367.08359999999999</v>
      </c>
      <c r="J69">
        <v>-468.44049999999999</v>
      </c>
      <c r="K69">
        <v>1.107966</v>
      </c>
      <c r="L69">
        <v>367.2063</v>
      </c>
      <c r="M69">
        <v>0.99999459999999996</v>
      </c>
      <c r="N69">
        <v>0</v>
      </c>
      <c r="O69">
        <v>-1.2067759999999999E-3</v>
      </c>
      <c r="P69">
        <v>0.99810620000000005</v>
      </c>
      <c r="Q69">
        <v>3.3221399999999998E-2</v>
      </c>
      <c r="R69">
        <v>-5.177466E-2</v>
      </c>
      <c r="S69">
        <v>3.0079039999999999</v>
      </c>
      <c r="T69">
        <v>-0.80250310000000002</v>
      </c>
      <c r="U69">
        <v>-0.47808840000000002</v>
      </c>
      <c r="V69">
        <v>5.0571199999999997E-2</v>
      </c>
      <c r="W69">
        <v>3.0161400000000001E-2</v>
      </c>
      <c r="X69">
        <v>0.99826490000000001</v>
      </c>
      <c r="Y69">
        <v>0.15068019999999999</v>
      </c>
      <c r="Z69">
        <v>-1.9323449999999999E-2</v>
      </c>
      <c r="AA69">
        <v>0.98839370000000004</v>
      </c>
      <c r="AB69">
        <v>21</v>
      </c>
      <c r="AC69">
        <v>0.566599999999994</v>
      </c>
      <c r="AD69">
        <v>-0.2066277</v>
      </c>
      <c r="AE69">
        <v>-0.122700000000008</v>
      </c>
      <c r="AF69">
        <v>0.10826304694696801</v>
      </c>
      <c r="AG69">
        <v>-0.2066277</v>
      </c>
      <c r="AH69">
        <v>0.50286645978251199</v>
      </c>
      <c r="AI69">
        <v>111.88511967414399</v>
      </c>
      <c r="AJ69">
        <v>77.850138206643805</v>
      </c>
      <c r="AK69">
        <v>0.55433795658941598</v>
      </c>
      <c r="AL69">
        <v>88.271616925025498</v>
      </c>
      <c r="AM69">
        <v>87.0999266228811</v>
      </c>
      <c r="AN69">
        <v>0.99999998344570395</v>
      </c>
    </row>
    <row r="70" spans="1:40" x14ac:dyDescent="0.25">
      <c r="A70" t="str">
        <f>"20190312154801695"</f>
        <v>20190312154801695</v>
      </c>
      <c r="B70" t="str">
        <f>"1552376881686584"</f>
        <v>1552376881686584</v>
      </c>
      <c r="C70" t="s">
        <v>40</v>
      </c>
      <c r="D70">
        <v>4.7836509999999999</v>
      </c>
      <c r="E70">
        <v>0.54459399999999902</v>
      </c>
      <c r="F70" t="s">
        <v>41</v>
      </c>
      <c r="G70">
        <v>-467.68189999999998</v>
      </c>
      <c r="H70">
        <v>0.90502879999999997</v>
      </c>
      <c r="I70">
        <v>367.08530000000002</v>
      </c>
      <c r="J70">
        <v>-468.2482</v>
      </c>
      <c r="K70">
        <v>1.10796299999999</v>
      </c>
      <c r="L70">
        <v>367.20609999999999</v>
      </c>
      <c r="M70">
        <v>0.99999479999999996</v>
      </c>
      <c r="N70">
        <v>0</v>
      </c>
      <c r="O70">
        <v>-1.2061050000000001E-3</v>
      </c>
      <c r="P70">
        <v>0.99812259999999997</v>
      </c>
      <c r="Q70">
        <v>3.2768569999999997E-2</v>
      </c>
      <c r="R70">
        <v>-5.1745230000000003E-2</v>
      </c>
      <c r="S70">
        <v>3.00766</v>
      </c>
      <c r="T70">
        <v>-0.80464239999999998</v>
      </c>
      <c r="U70">
        <v>-0.47824100000000003</v>
      </c>
      <c r="V70">
        <v>5.0542570000000002E-2</v>
      </c>
      <c r="W70">
        <v>2.9759130000000002E-2</v>
      </c>
      <c r="X70">
        <v>0.99827840000000001</v>
      </c>
      <c r="Y70">
        <v>0.1507135</v>
      </c>
      <c r="Z70">
        <v>-1.9379199999999999E-2</v>
      </c>
      <c r="AA70">
        <v>0.98838749999999997</v>
      </c>
      <c r="AB70">
        <v>21</v>
      </c>
      <c r="AC70">
        <v>0.56630000000001202</v>
      </c>
      <c r="AD70">
        <v>-0.20293419999999901</v>
      </c>
      <c r="AE70">
        <v>-0.120799999999974</v>
      </c>
      <c r="AF70">
        <v>0.106977251274675</v>
      </c>
      <c r="AG70">
        <v>-0.20293419999999901</v>
      </c>
      <c r="AH70">
        <v>0.50448158290790202</v>
      </c>
      <c r="AI70">
        <v>111.480264332784</v>
      </c>
      <c r="AJ70">
        <v>78.027562142275201</v>
      </c>
      <c r="AK70">
        <v>0.55419138329027395</v>
      </c>
      <c r="AL70">
        <v>88.294675611018803</v>
      </c>
      <c r="AM70">
        <v>87.101604777802095</v>
      </c>
      <c r="AN70">
        <v>0.99999996055356</v>
      </c>
    </row>
    <row r="71" spans="1:40" x14ac:dyDescent="0.25">
      <c r="A71" t="str">
        <f>"20190312154801718"</f>
        <v>20190312154801718</v>
      </c>
      <c r="B71" t="str">
        <f>"1552376881706104"</f>
        <v>1552376881706104</v>
      </c>
      <c r="C71" t="s">
        <v>40</v>
      </c>
      <c r="D71">
        <v>4.7524879999999996</v>
      </c>
      <c r="E71">
        <v>0.54462119999999903</v>
      </c>
      <c r="F71" t="s">
        <v>41</v>
      </c>
      <c r="G71">
        <v>-467.48930000000001</v>
      </c>
      <c r="H71">
        <v>0.90478069999999999</v>
      </c>
      <c r="I71">
        <v>367.08550000000002</v>
      </c>
      <c r="J71">
        <v>-468.0249</v>
      </c>
      <c r="K71">
        <v>1.10796299999999</v>
      </c>
      <c r="L71">
        <v>367.20580000000001</v>
      </c>
      <c r="M71">
        <v>0.99999490000000002</v>
      </c>
      <c r="N71">
        <v>0</v>
      </c>
      <c r="O71">
        <v>-1.2051830000000001E-3</v>
      </c>
      <c r="P71">
        <v>0.99811079999999996</v>
      </c>
      <c r="Q71">
        <v>3.242395E-2</v>
      </c>
      <c r="R71">
        <v>-5.2187650000000002E-2</v>
      </c>
      <c r="S71">
        <v>3.0072939999999999</v>
      </c>
      <c r="T71">
        <v>-0.80522569999999904</v>
      </c>
      <c r="U71">
        <v>-0.47723389999999999</v>
      </c>
      <c r="V71">
        <v>5.0985839999999998E-2</v>
      </c>
      <c r="W71">
        <v>2.9473630000000001E-2</v>
      </c>
      <c r="X71">
        <v>0.99826440000000005</v>
      </c>
      <c r="Y71">
        <v>0.15041170000000001</v>
      </c>
      <c r="Z71">
        <v>-1.935628E-2</v>
      </c>
      <c r="AA71">
        <v>0.98843400000000003</v>
      </c>
      <c r="AB71">
        <v>21</v>
      </c>
      <c r="AC71">
        <v>0.53559999999998797</v>
      </c>
      <c r="AD71">
        <v>-0.20318229999999901</v>
      </c>
      <c r="AE71">
        <v>-0.120299999999986</v>
      </c>
      <c r="AF71">
        <v>0.105237092004625</v>
      </c>
      <c r="AG71">
        <v>-0.20318229999999901</v>
      </c>
      <c r="AH71">
        <v>0.47119200592025801</v>
      </c>
      <c r="AI71">
        <v>112.823340439067</v>
      </c>
      <c r="AJ71">
        <v>77.410052782018099</v>
      </c>
      <c r="AK71">
        <v>0.52381275185894105</v>
      </c>
      <c r="AL71">
        <v>88.311040855421695</v>
      </c>
      <c r="AM71">
        <v>87.076188164464298</v>
      </c>
      <c r="AN71">
        <v>1.00000003152662</v>
      </c>
    </row>
    <row r="72" spans="1:40" x14ac:dyDescent="0.25">
      <c r="A72" t="str">
        <f>"20190312154801742"</f>
        <v>20190312154801742</v>
      </c>
      <c r="B72" t="str">
        <f>"1552376881736360"</f>
        <v>1552376881736360</v>
      </c>
      <c r="C72" t="s">
        <v>40</v>
      </c>
      <c r="D72">
        <v>4.7611109999999996</v>
      </c>
      <c r="E72">
        <v>0.54452609999999901</v>
      </c>
      <c r="F72" t="s">
        <v>41</v>
      </c>
      <c r="G72">
        <v>-467.2919</v>
      </c>
      <c r="H72">
        <v>0.91153470000000003</v>
      </c>
      <c r="I72">
        <v>367.08870000000002</v>
      </c>
      <c r="J72">
        <v>-467.79509999999999</v>
      </c>
      <c r="K72">
        <v>1.1079650000000001</v>
      </c>
      <c r="L72">
        <v>367.20549999999997</v>
      </c>
      <c r="M72">
        <v>0.99999519999999997</v>
      </c>
      <c r="N72">
        <v>0</v>
      </c>
      <c r="O72">
        <v>-1.20426E-3</v>
      </c>
      <c r="P72">
        <v>0.99811989999999995</v>
      </c>
      <c r="Q72">
        <v>3.2390799999999997E-2</v>
      </c>
      <c r="R72">
        <v>-5.2035030000000003E-2</v>
      </c>
      <c r="S72">
        <v>3.0068359999999998</v>
      </c>
      <c r="T72">
        <v>-0.80582810000000005</v>
      </c>
      <c r="U72">
        <v>-0.47915649999999999</v>
      </c>
      <c r="V72">
        <v>5.0834219999999999E-2</v>
      </c>
      <c r="W72">
        <v>2.9502230000000001E-2</v>
      </c>
      <c r="X72">
        <v>0.99827120000000003</v>
      </c>
      <c r="Y72">
        <v>0.15102279999999901</v>
      </c>
      <c r="Z72">
        <v>-1.945241E-2</v>
      </c>
      <c r="AA72">
        <v>0.98833890000000002</v>
      </c>
      <c r="AB72">
        <v>22</v>
      </c>
      <c r="AC72">
        <v>0.50319999999999199</v>
      </c>
      <c r="AD72">
        <v>-0.196430299999999</v>
      </c>
      <c r="AE72">
        <v>-0.116799999999955</v>
      </c>
      <c r="AF72">
        <v>0.101515544527013</v>
      </c>
      <c r="AG72">
        <v>-0.196430299999999</v>
      </c>
      <c r="AH72">
        <v>0.439755022508729</v>
      </c>
      <c r="AI72">
        <v>113.520358215413</v>
      </c>
      <c r="AJ72">
        <v>77.001224862382998</v>
      </c>
      <c r="AK72">
        <v>0.49221412856637797</v>
      </c>
      <c r="AL72">
        <v>88.3094013354699</v>
      </c>
      <c r="AM72">
        <v>87.084887702559399</v>
      </c>
      <c r="AN72">
        <v>0.99999994412370896</v>
      </c>
    </row>
    <row r="73" spans="1:40" x14ac:dyDescent="0.25">
      <c r="A73" t="str">
        <f>"20190312154801765"</f>
        <v>20190312154801765</v>
      </c>
      <c r="B73" t="str">
        <f>"1552376881755880"</f>
        <v>1552376881755880</v>
      </c>
      <c r="C73" t="s">
        <v>40</v>
      </c>
      <c r="D73">
        <v>4.7159329999999997</v>
      </c>
      <c r="E73">
        <v>0.54442239999999997</v>
      </c>
      <c r="F73" t="s">
        <v>41</v>
      </c>
      <c r="G73">
        <v>-467.09190000000001</v>
      </c>
      <c r="H73">
        <v>0.91957599999999995</v>
      </c>
      <c r="I73">
        <v>367.09350000000001</v>
      </c>
      <c r="J73">
        <v>-467.56330000000003</v>
      </c>
      <c r="K73">
        <v>1.107977</v>
      </c>
      <c r="L73">
        <v>367.20519999999999</v>
      </c>
      <c r="M73">
        <v>0.99999519999999997</v>
      </c>
      <c r="N73">
        <v>0</v>
      </c>
      <c r="O73">
        <v>-1.2029790000000001E-3</v>
      </c>
      <c r="P73">
        <v>0.99813059999999998</v>
      </c>
      <c r="Q73">
        <v>3.2345869999999999E-2</v>
      </c>
      <c r="R73">
        <v>-5.1856930000000002E-2</v>
      </c>
      <c r="S73">
        <v>3.006866</v>
      </c>
      <c r="T73">
        <v>-0.80548330000000001</v>
      </c>
      <c r="U73">
        <v>-0.4786377</v>
      </c>
      <c r="V73">
        <v>5.0657359999999999E-2</v>
      </c>
      <c r="W73">
        <v>2.9519380000000001E-2</v>
      </c>
      <c r="X73">
        <v>0.99827980000000005</v>
      </c>
      <c r="Y73">
        <v>0.15086579999999999</v>
      </c>
      <c r="Z73">
        <v>-1.9424219999999999E-2</v>
      </c>
      <c r="AA73">
        <v>0.9883634</v>
      </c>
      <c r="AB73">
        <v>22</v>
      </c>
      <c r="AC73">
        <v>0.47140000000001597</v>
      </c>
      <c r="AD73">
        <v>-0.18840100000000001</v>
      </c>
      <c r="AE73">
        <v>-0.11169999999998401</v>
      </c>
      <c r="AF73">
        <v>9.6533269363393404E-2</v>
      </c>
      <c r="AG73">
        <v>-0.18840100000000001</v>
      </c>
      <c r="AH73">
        <v>0.409588424004729</v>
      </c>
      <c r="AI73">
        <v>114.11853962197</v>
      </c>
      <c r="AJ73">
        <v>76.738337538744602</v>
      </c>
      <c r="AK73">
        <v>0.46105995919583298</v>
      </c>
      <c r="AL73">
        <v>88.308418481561802</v>
      </c>
      <c r="AM73">
        <v>87.095037403117601</v>
      </c>
      <c r="AN73">
        <v>1.00000006050289</v>
      </c>
    </row>
    <row r="74" spans="1:40" x14ac:dyDescent="0.25">
      <c r="A74" t="str">
        <f>"20190312154801787"</f>
        <v>20190312154801787</v>
      </c>
      <c r="B74" t="str">
        <f>"1552376881776376"</f>
        <v>1552376881776376</v>
      </c>
      <c r="C74" t="s">
        <v>40</v>
      </c>
      <c r="D74">
        <v>4.7151940000000003</v>
      </c>
      <c r="E74">
        <v>0.5443424</v>
      </c>
      <c r="F74" t="s">
        <v>41</v>
      </c>
      <c r="G74">
        <v>-466.8895</v>
      </c>
      <c r="H74">
        <v>0.92762789999999995</v>
      </c>
      <c r="I74">
        <v>367.09780000000001</v>
      </c>
      <c r="J74">
        <v>-467.34890000000001</v>
      </c>
      <c r="K74">
        <v>1.1079829999999999</v>
      </c>
      <c r="L74">
        <v>367.20499999999998</v>
      </c>
      <c r="M74">
        <v>0.99999550000000004</v>
      </c>
      <c r="N74">
        <v>0</v>
      </c>
      <c r="O74">
        <v>-1.2026610000000001E-3</v>
      </c>
      <c r="P74">
        <v>0.99813850000000004</v>
      </c>
      <c r="Q74">
        <v>3.2687729999999998E-2</v>
      </c>
      <c r="R74">
        <v>-5.1489449999999999E-2</v>
      </c>
      <c r="S74">
        <v>3.0069270000000001</v>
      </c>
      <c r="T74">
        <v>-0.80481059999999904</v>
      </c>
      <c r="U74">
        <v>-0.47723389999999999</v>
      </c>
      <c r="V74">
        <v>5.0290010000000003E-2</v>
      </c>
      <c r="W74">
        <v>2.9919749999999998E-2</v>
      </c>
      <c r="X74">
        <v>0.99828640000000002</v>
      </c>
      <c r="Y74">
        <v>0.15043589999999901</v>
      </c>
      <c r="Z74">
        <v>-1.935272E-2</v>
      </c>
      <c r="AA74">
        <v>0.98843029999999998</v>
      </c>
      <c r="AB74">
        <v>22</v>
      </c>
      <c r="AC74">
        <v>0.45940000000001602</v>
      </c>
      <c r="AD74">
        <v>-0.18035509999999899</v>
      </c>
      <c r="AE74">
        <v>-0.10719999999997699</v>
      </c>
      <c r="AF74">
        <v>9.30470409123028E-2</v>
      </c>
      <c r="AG74">
        <v>-0.18035509999999899</v>
      </c>
      <c r="AH74">
        <v>0.40092649848732798</v>
      </c>
      <c r="AI74">
        <v>113.663013111265</v>
      </c>
      <c r="AJ74">
        <v>76.9340968452845</v>
      </c>
      <c r="AK74">
        <v>0.44936374031274001</v>
      </c>
      <c r="AL74">
        <v>88.285468741504999</v>
      </c>
      <c r="AM74">
        <v>87.116086549441803</v>
      </c>
      <c r="AN74">
        <v>1.00000000648541</v>
      </c>
    </row>
    <row r="75" spans="1:40" x14ac:dyDescent="0.25">
      <c r="A75" t="str">
        <f>"20190312154801810"</f>
        <v>20190312154801810</v>
      </c>
      <c r="B75" t="str">
        <f>"1552376881795896"</f>
        <v>1552376881795896</v>
      </c>
      <c r="C75" t="s">
        <v>40</v>
      </c>
      <c r="D75">
        <v>4.7343909999999996</v>
      </c>
      <c r="E75">
        <v>0.54425059999999903</v>
      </c>
      <c r="F75" t="s">
        <v>41</v>
      </c>
      <c r="G75">
        <v>-466.50279999999998</v>
      </c>
      <c r="H75">
        <v>0.88201079999999998</v>
      </c>
      <c r="I75">
        <v>367.07060000000001</v>
      </c>
      <c r="J75">
        <v>-467.10789999999997</v>
      </c>
      <c r="K75">
        <v>1.107985</v>
      </c>
      <c r="L75">
        <v>367.2047</v>
      </c>
      <c r="M75">
        <v>0.99999570000000004</v>
      </c>
      <c r="N75">
        <v>0</v>
      </c>
      <c r="O75">
        <v>-1.201379E-3</v>
      </c>
      <c r="P75">
        <v>0.99814239999999999</v>
      </c>
      <c r="Q75">
        <v>3.2573400000000002E-2</v>
      </c>
      <c r="R75">
        <v>-5.1489510000000002E-2</v>
      </c>
      <c r="S75">
        <v>3.007355</v>
      </c>
      <c r="T75">
        <v>-0.80326330000000001</v>
      </c>
      <c r="U75">
        <v>-0.47567749999999998</v>
      </c>
      <c r="V75">
        <v>5.0291389999999998E-2</v>
      </c>
      <c r="W75">
        <v>2.987209E-2</v>
      </c>
      <c r="X75">
        <v>0.9982877</v>
      </c>
      <c r="Y75">
        <v>0.14995320000000001</v>
      </c>
      <c r="Z75">
        <v>-1.9252209999999999E-2</v>
      </c>
      <c r="AA75">
        <v>0.98850570000000004</v>
      </c>
      <c r="AB75">
        <v>22</v>
      </c>
      <c r="AC75">
        <v>0.60509999999999298</v>
      </c>
      <c r="AD75">
        <v>-0.22597419999999999</v>
      </c>
      <c r="AE75">
        <v>-0.13409999999998901</v>
      </c>
      <c r="AF75">
        <v>0.117723340482368</v>
      </c>
      <c r="AG75">
        <v>-0.22597419999999999</v>
      </c>
      <c r="AH75">
        <v>0.53424108735220299</v>
      </c>
      <c r="AI75">
        <v>112.44414106695</v>
      </c>
      <c r="AJ75">
        <v>77.573115884410697</v>
      </c>
      <c r="AK75">
        <v>0.59189244240421901</v>
      </c>
      <c r="AL75">
        <v>88.288200580728102</v>
      </c>
      <c r="AM75">
        <v>87.116011295321201</v>
      </c>
      <c r="AN75">
        <v>0.99999994882019305</v>
      </c>
    </row>
    <row r="76" spans="1:40" x14ac:dyDescent="0.25">
      <c r="A76" t="str">
        <f>"20190312154801831"</f>
        <v>20190312154801831</v>
      </c>
      <c r="B76" t="str">
        <f>"1552376881826152"</f>
        <v>1552376881826152</v>
      </c>
      <c r="C76" t="s">
        <v>40</v>
      </c>
      <c r="D76">
        <v>4.6953420000000001</v>
      </c>
      <c r="E76">
        <v>0.54407209999999995</v>
      </c>
      <c r="F76" t="s">
        <v>41</v>
      </c>
      <c r="G76">
        <v>-466.29410000000001</v>
      </c>
      <c r="H76">
        <v>0.89076299999999997</v>
      </c>
      <c r="I76">
        <v>367.07619999999997</v>
      </c>
      <c r="J76">
        <v>-466.89260000000002</v>
      </c>
      <c r="K76">
        <v>1.107982</v>
      </c>
      <c r="L76">
        <v>367.20440000000002</v>
      </c>
      <c r="M76">
        <v>0.99999579999999999</v>
      </c>
      <c r="N76">
        <v>0</v>
      </c>
      <c r="O76">
        <v>-1.200705E-3</v>
      </c>
      <c r="P76">
        <v>0.99817800000000001</v>
      </c>
      <c r="Q76">
        <v>3.2559490000000003E-2</v>
      </c>
      <c r="R76">
        <v>-5.0798169999999997E-2</v>
      </c>
      <c r="S76">
        <v>3.007263</v>
      </c>
      <c r="T76">
        <v>-0.80271459999999994</v>
      </c>
      <c r="U76">
        <v>-0.47485349999999998</v>
      </c>
      <c r="V76">
        <v>4.9600779999999997E-2</v>
      </c>
      <c r="W76">
        <v>2.9917849999999999E-2</v>
      </c>
      <c r="X76">
        <v>0.99832089999999996</v>
      </c>
      <c r="Y76">
        <v>0.1497088</v>
      </c>
      <c r="Z76">
        <v>-1.920875E-2</v>
      </c>
      <c r="AA76">
        <v>0.98854350000000002</v>
      </c>
      <c r="AB76">
        <v>23</v>
      </c>
      <c r="AC76">
        <v>0.59850000000000103</v>
      </c>
      <c r="AD76">
        <v>-0.217219</v>
      </c>
      <c r="AE76">
        <v>-0.128200000000049</v>
      </c>
      <c r="AF76">
        <v>0.113221489262463</v>
      </c>
      <c r="AG76">
        <v>-0.217219</v>
      </c>
      <c r="AH76">
        <v>0.53168935150608598</v>
      </c>
      <c r="AI76">
        <v>111.78093479819699</v>
      </c>
      <c r="AJ76">
        <v>77.978615056890703</v>
      </c>
      <c r="AK76">
        <v>0.58540308001988905</v>
      </c>
      <c r="AL76">
        <v>88.285577584956798</v>
      </c>
      <c r="AM76">
        <v>87.1556436711532</v>
      </c>
      <c r="AN76">
        <v>0.99999996725101903</v>
      </c>
    </row>
    <row r="77" spans="1:40" x14ac:dyDescent="0.25">
      <c r="A77" t="str">
        <f>"20190312154801853"</f>
        <v>20190312154801853</v>
      </c>
      <c r="B77" t="str">
        <f>"1552376881845673"</f>
        <v>1552376881845673</v>
      </c>
      <c r="C77" t="s">
        <v>40</v>
      </c>
      <c r="D77">
        <v>4.724494</v>
      </c>
      <c r="E77">
        <v>0.54395749999999998</v>
      </c>
      <c r="F77" t="s">
        <v>41</v>
      </c>
      <c r="G77">
        <v>-466.08580000000001</v>
      </c>
      <c r="H77">
        <v>0.89312289999999905</v>
      </c>
      <c r="I77">
        <v>367.07749999999999</v>
      </c>
      <c r="J77">
        <v>-466.65660000000003</v>
      </c>
      <c r="K77">
        <v>1.10798</v>
      </c>
      <c r="L77">
        <v>367.20420000000001</v>
      </c>
      <c r="M77">
        <v>0.99999610000000005</v>
      </c>
      <c r="N77">
        <v>0</v>
      </c>
      <c r="O77">
        <v>-1.199547E-3</v>
      </c>
      <c r="P77">
        <v>0.99816519999999997</v>
      </c>
      <c r="Q77">
        <v>3.281647E-2</v>
      </c>
      <c r="R77">
        <v>-5.0890039999999997E-2</v>
      </c>
      <c r="S77">
        <v>3.0076290000000001</v>
      </c>
      <c r="T77">
        <v>-0.80104799999999998</v>
      </c>
      <c r="U77">
        <v>-0.47140500000000002</v>
      </c>
      <c r="V77">
        <v>4.9693670000000002E-2</v>
      </c>
      <c r="W77">
        <v>3.024052E-2</v>
      </c>
      <c r="X77">
        <v>0.99830660000000004</v>
      </c>
      <c r="Y77">
        <v>0.14864229999999901</v>
      </c>
      <c r="Z77">
        <v>-1.9031090000000001E-2</v>
      </c>
      <c r="AA77">
        <v>0.98870789999999997</v>
      </c>
      <c r="AB77">
        <v>23</v>
      </c>
      <c r="AC77">
        <v>0.57080000000001896</v>
      </c>
      <c r="AD77">
        <v>-0.2148571</v>
      </c>
      <c r="AE77">
        <v>-0.12670000000002801</v>
      </c>
      <c r="AF77">
        <v>0.11102325714057799</v>
      </c>
      <c r="AG77">
        <v>-0.2148571</v>
      </c>
      <c r="AH77">
        <v>0.50302583025104997</v>
      </c>
      <c r="AI77">
        <v>112.640588167639</v>
      </c>
      <c r="AJ77">
        <v>77.553738987138104</v>
      </c>
      <c r="AK77">
        <v>0.55814399839671403</v>
      </c>
      <c r="AL77">
        <v>88.267081657934597</v>
      </c>
      <c r="AM77">
        <v>87.150284914668404</v>
      </c>
      <c r="AN77">
        <v>1.0000000087457399</v>
      </c>
    </row>
    <row r="78" spans="1:40" x14ac:dyDescent="0.25">
      <c r="A78" t="str">
        <f>"20190312154801874"</f>
        <v>20190312154801874</v>
      </c>
      <c r="B78" t="str">
        <f>"1552376881866168"</f>
        <v>1552376881866168</v>
      </c>
      <c r="C78" t="s">
        <v>40</v>
      </c>
      <c r="D78">
        <v>4.7077679999999997</v>
      </c>
      <c r="E78">
        <v>0.54381029999999997</v>
      </c>
      <c r="F78" t="s">
        <v>41</v>
      </c>
      <c r="G78">
        <v>-465.87369999999999</v>
      </c>
      <c r="H78">
        <v>0.90007079999999995</v>
      </c>
      <c r="I78">
        <v>367.08159999999998</v>
      </c>
      <c r="J78">
        <v>-466.43630000000002</v>
      </c>
      <c r="K78">
        <v>1.10798</v>
      </c>
      <c r="L78">
        <v>367.20389999999998</v>
      </c>
      <c r="M78">
        <v>0.99999610000000005</v>
      </c>
      <c r="N78">
        <v>0</v>
      </c>
      <c r="O78">
        <v>-1.1985159999999999E-3</v>
      </c>
      <c r="P78">
        <v>0.99816879999999997</v>
      </c>
      <c r="Q78">
        <v>3.2334880000000003E-2</v>
      </c>
      <c r="R78">
        <v>-5.1121E-2</v>
      </c>
      <c r="S78">
        <v>3.0078130000000001</v>
      </c>
      <c r="T78">
        <v>-0.79881230000000003</v>
      </c>
      <c r="U78">
        <v>-0.4703369</v>
      </c>
      <c r="V78">
        <v>4.9925700000000003E-2</v>
      </c>
      <c r="W78">
        <v>2.9821569999999999E-2</v>
      </c>
      <c r="X78">
        <v>0.99830759999999996</v>
      </c>
      <c r="Y78">
        <v>0.14832970000000001</v>
      </c>
      <c r="Z78">
        <v>-1.8938819999999999E-2</v>
      </c>
      <c r="AA78">
        <v>0.98875659999999999</v>
      </c>
      <c r="AB78">
        <v>23</v>
      </c>
      <c r="AC78">
        <v>0.56260000000003096</v>
      </c>
      <c r="AD78">
        <v>-0.20790919999999899</v>
      </c>
      <c r="AE78">
        <v>-0.122299999999995</v>
      </c>
      <c r="AF78">
        <v>0.107594704626485</v>
      </c>
      <c r="AG78">
        <v>-0.20790919999999899</v>
      </c>
      <c r="AH78">
        <v>0.49782690539778401</v>
      </c>
      <c r="AI78">
        <v>112.205689666718</v>
      </c>
      <c r="AJ78">
        <v>77.804319222037606</v>
      </c>
      <c r="AK78">
        <v>0.55012224427506495</v>
      </c>
      <c r="AL78">
        <v>88.291096512050501</v>
      </c>
      <c r="AM78">
        <v>87.137003956393002</v>
      </c>
      <c r="AN78">
        <v>0.99999998288775704</v>
      </c>
    </row>
    <row r="79" spans="1:40" x14ac:dyDescent="0.25">
      <c r="A79" t="str">
        <f>"20190312154801898"</f>
        <v>20190312154801898</v>
      </c>
      <c r="B79" t="str">
        <f>"1552376881885688"</f>
        <v>1552376881885688</v>
      </c>
      <c r="C79" t="s">
        <v>40</v>
      </c>
      <c r="D79">
        <v>4.7623009999999999</v>
      </c>
      <c r="E79">
        <v>0.54374999999999996</v>
      </c>
      <c r="F79" t="s">
        <v>41</v>
      </c>
      <c r="G79">
        <v>-465.66129999999998</v>
      </c>
      <c r="H79">
        <v>0.90218540000000003</v>
      </c>
      <c r="I79">
        <v>367.08240000000001</v>
      </c>
      <c r="J79">
        <v>-466.18509999999998</v>
      </c>
      <c r="K79">
        <v>1.1079889999999999</v>
      </c>
      <c r="L79">
        <v>367.20359999999999</v>
      </c>
      <c r="M79">
        <v>0.99999640000000001</v>
      </c>
      <c r="N79">
        <v>0</v>
      </c>
      <c r="O79">
        <v>-1.197594E-3</v>
      </c>
      <c r="P79">
        <v>0.99816590000000005</v>
      </c>
      <c r="Q79">
        <v>3.219561E-2</v>
      </c>
      <c r="R79">
        <v>-5.1269589999999997E-2</v>
      </c>
      <c r="S79">
        <v>3.007263</v>
      </c>
      <c r="T79">
        <v>-0.79853869999999905</v>
      </c>
      <c r="U79">
        <v>-0.47061160000000002</v>
      </c>
      <c r="V79">
        <v>5.007528E-2</v>
      </c>
      <c r="W79">
        <v>2.9753410000000001E-2</v>
      </c>
      <c r="X79">
        <v>0.99830220000000003</v>
      </c>
      <c r="Y79">
        <v>0.1484441</v>
      </c>
      <c r="Z79">
        <v>-1.8950809999999998E-2</v>
      </c>
      <c r="AA79">
        <v>0.98873920000000004</v>
      </c>
      <c r="AB79">
        <v>23</v>
      </c>
      <c r="AC79">
        <v>0.52379999999999405</v>
      </c>
      <c r="AD79">
        <v>-0.2058036</v>
      </c>
      <c r="AE79">
        <v>-0.121199999999987</v>
      </c>
      <c r="AF79">
        <v>0.10516314227942999</v>
      </c>
      <c r="AG79">
        <v>-0.2058036</v>
      </c>
      <c r="AH79">
        <v>0.45698337313430198</v>
      </c>
      <c r="AI79">
        <v>113.69577680574</v>
      </c>
      <c r="AJ79">
        <v>77.040452163566002</v>
      </c>
      <c r="AK79">
        <v>0.51210175901694499</v>
      </c>
      <c r="AL79">
        <v>88.295003624938701</v>
      </c>
      <c r="AM79">
        <v>87.128425099389503</v>
      </c>
      <c r="AN79">
        <v>1.00000004079927</v>
      </c>
    </row>
    <row r="80" spans="1:40" x14ac:dyDescent="0.25">
      <c r="A80" t="str">
        <f>"20190312154801919"</f>
        <v>20190312154801919</v>
      </c>
      <c r="B80" t="str">
        <f>"1552376881906184"</f>
        <v>1552376881906184</v>
      </c>
      <c r="C80" t="s">
        <v>40</v>
      </c>
      <c r="D80">
        <v>4.7461919999999997</v>
      </c>
      <c r="E80">
        <v>0.54369449999999997</v>
      </c>
      <c r="F80" t="s">
        <v>41</v>
      </c>
      <c r="G80">
        <v>-465.44420000000002</v>
      </c>
      <c r="H80">
        <v>0.91131220000000002</v>
      </c>
      <c r="I80">
        <v>367.08760000000001</v>
      </c>
      <c r="J80">
        <v>-465.95760000000001</v>
      </c>
      <c r="K80">
        <v>1.1079939999999999</v>
      </c>
      <c r="L80">
        <v>367.20330000000001</v>
      </c>
      <c r="M80">
        <v>0.99999649999999995</v>
      </c>
      <c r="N80">
        <v>0</v>
      </c>
      <c r="O80">
        <v>-1.1964429999999999E-3</v>
      </c>
      <c r="P80">
        <v>0.99815730000000003</v>
      </c>
      <c r="Q80">
        <v>3.1986349999999997E-2</v>
      </c>
      <c r="R80">
        <v>-5.1563659999999997E-2</v>
      </c>
      <c r="S80">
        <v>3.00705</v>
      </c>
      <c r="T80">
        <v>-0.79826209999999997</v>
      </c>
      <c r="U80">
        <v>-0.47055049999999998</v>
      </c>
      <c r="V80">
        <v>5.0370430000000001E-2</v>
      </c>
      <c r="W80">
        <v>2.9609469999999999E-2</v>
      </c>
      <c r="X80">
        <v>0.99829159999999995</v>
      </c>
      <c r="Y80">
        <v>0.14843919999999999</v>
      </c>
      <c r="Z80">
        <v>-1.8945440000000001E-2</v>
      </c>
      <c r="AA80">
        <v>0.98873999999999995</v>
      </c>
      <c r="AB80">
        <v>24</v>
      </c>
      <c r="AC80">
        <v>0.51339999999998998</v>
      </c>
      <c r="AD80">
        <v>-0.19668179999999999</v>
      </c>
      <c r="AE80">
        <v>-0.11570000000000299</v>
      </c>
      <c r="AF80">
        <v>0.100981603950765</v>
      </c>
      <c r="AG80">
        <v>-0.19668179999999999</v>
      </c>
      <c r="AH80">
        <v>0.45060258930427699</v>
      </c>
      <c r="AI80">
        <v>113.070211709484</v>
      </c>
      <c r="AJ80">
        <v>77.368518090407207</v>
      </c>
      <c r="AK80">
        <v>0.501920021791747</v>
      </c>
      <c r="AL80">
        <v>88.303254361690804</v>
      </c>
      <c r="AM80">
        <v>87.111497636455496</v>
      </c>
      <c r="AN80">
        <v>1.00000000978131</v>
      </c>
    </row>
    <row r="81" spans="1:40" x14ac:dyDescent="0.25">
      <c r="A81" t="str">
        <f>"20190312154801942"</f>
        <v>20190312154801942</v>
      </c>
      <c r="B81" t="str">
        <f>"1552376881936439"</f>
        <v>1552376881936439</v>
      </c>
      <c r="C81" t="s">
        <v>40</v>
      </c>
      <c r="D81">
        <v>4.8072819999999998</v>
      </c>
      <c r="E81">
        <v>0.54357709999999904</v>
      </c>
      <c r="F81" t="s">
        <v>41</v>
      </c>
      <c r="G81">
        <v>-465.22750000000002</v>
      </c>
      <c r="H81">
        <v>0.91420219999999996</v>
      </c>
      <c r="I81">
        <v>367.08859999999999</v>
      </c>
      <c r="J81">
        <v>-465.71039999999999</v>
      </c>
      <c r="K81">
        <v>1.1080000000000001</v>
      </c>
      <c r="L81">
        <v>367.20299999999997</v>
      </c>
      <c r="M81">
        <v>0.99999660000000001</v>
      </c>
      <c r="N81">
        <v>0</v>
      </c>
      <c r="O81">
        <v>-1.1951679999999999E-3</v>
      </c>
      <c r="P81">
        <v>0.99815909999999997</v>
      </c>
      <c r="Q81">
        <v>3.1975549999999998E-2</v>
      </c>
      <c r="R81">
        <v>-5.1535699999999997E-2</v>
      </c>
      <c r="S81">
        <v>3.0067750000000002</v>
      </c>
      <c r="T81">
        <v>-0.79814350000000001</v>
      </c>
      <c r="U81">
        <v>-0.47103879999999998</v>
      </c>
      <c r="V81">
        <v>5.034375E-2</v>
      </c>
      <c r="W81">
        <v>2.9669999999999998E-2</v>
      </c>
      <c r="X81">
        <v>0.99829109999999999</v>
      </c>
      <c r="Y81">
        <v>0.14860599999999999</v>
      </c>
      <c r="Z81">
        <v>-1.896612E-2</v>
      </c>
      <c r="AA81">
        <v>0.9887146</v>
      </c>
      <c r="AB81">
        <v>24</v>
      </c>
      <c r="AC81">
        <v>0.48289999999997202</v>
      </c>
      <c r="AD81">
        <v>-0.19379779999999999</v>
      </c>
      <c r="AE81">
        <v>-0.11440000000004601</v>
      </c>
      <c r="AF81">
        <v>9.8761649675555896E-2</v>
      </c>
      <c r="AG81">
        <v>-0.19379779999999999</v>
      </c>
      <c r="AH81">
        <v>0.41912062023374003</v>
      </c>
      <c r="AI81">
        <v>114.230844659277</v>
      </c>
      <c r="AJ81">
        <v>76.740694904546402</v>
      </c>
      <c r="AK81">
        <v>0.47220074654387401</v>
      </c>
      <c r="AL81">
        <v>88.299784641172707</v>
      </c>
      <c r="AM81">
        <v>87.113023573901401</v>
      </c>
      <c r="AN81">
        <v>0.99999996120163503</v>
      </c>
    </row>
    <row r="82" spans="1:40" x14ac:dyDescent="0.25">
      <c r="A82" t="str">
        <f>"20190312154801966"</f>
        <v>20190312154801966</v>
      </c>
      <c r="B82" t="str">
        <f>"1552376881955960"</f>
        <v>1552376881955960</v>
      </c>
      <c r="C82" t="s">
        <v>40</v>
      </c>
      <c r="D82">
        <v>4.8089899999999997</v>
      </c>
      <c r="E82">
        <v>0.54346879999999997</v>
      </c>
      <c r="F82" t="s">
        <v>41</v>
      </c>
      <c r="G82">
        <v>-465.00709999999998</v>
      </c>
      <c r="H82">
        <v>0.92146810000000001</v>
      </c>
      <c r="I82">
        <v>367.09300000000002</v>
      </c>
      <c r="J82">
        <v>-465.4513</v>
      </c>
      <c r="K82">
        <v>1.108006</v>
      </c>
      <c r="L82">
        <v>367.20269999999999</v>
      </c>
      <c r="M82">
        <v>0.99999689999999997</v>
      </c>
      <c r="N82">
        <v>0</v>
      </c>
      <c r="O82">
        <v>-1.1942490000000001E-3</v>
      </c>
      <c r="P82">
        <v>0.99813770000000002</v>
      </c>
      <c r="Q82">
        <v>3.2414699999999998E-2</v>
      </c>
      <c r="R82">
        <v>-5.1681629999999999E-2</v>
      </c>
      <c r="S82">
        <v>3.0068049999999999</v>
      </c>
      <c r="T82">
        <v>-0.79742840000000004</v>
      </c>
      <c r="U82">
        <v>-0.47000120000000001</v>
      </c>
      <c r="V82">
        <v>5.0490489999999999E-2</v>
      </c>
      <c r="W82">
        <v>3.0185710000000001E-2</v>
      </c>
      <c r="X82">
        <v>0.99826820000000005</v>
      </c>
      <c r="Y82">
        <v>0.14829149999999999</v>
      </c>
      <c r="Z82">
        <v>-1.8909450000000001E-2</v>
      </c>
      <c r="AA82">
        <v>0.9887629</v>
      </c>
      <c r="AB82">
        <v>24</v>
      </c>
      <c r="AC82">
        <v>0.44420000000002302</v>
      </c>
      <c r="AD82">
        <v>-0.18653790000000001</v>
      </c>
      <c r="AE82">
        <v>-0.109699999999975</v>
      </c>
      <c r="AF82">
        <v>9.3610174178144503E-2</v>
      </c>
      <c r="AG82">
        <v>-0.18653790000000001</v>
      </c>
      <c r="AH82">
        <v>0.38100291986492202</v>
      </c>
      <c r="AI82">
        <v>115.42906389095801</v>
      </c>
      <c r="AJ82">
        <v>76.196187633011505</v>
      </c>
      <c r="AK82">
        <v>0.434422004267359</v>
      </c>
      <c r="AL82">
        <v>88.270223342649402</v>
      </c>
      <c r="AM82">
        <v>87.104556719186704</v>
      </c>
      <c r="AN82">
        <v>0.99999993289993905</v>
      </c>
    </row>
    <row r="83" spans="1:40" x14ac:dyDescent="0.25">
      <c r="A83" t="str">
        <f>"20190312154801990"</f>
        <v>20190312154801990</v>
      </c>
      <c r="B83" t="str">
        <f>"1552376881976456"</f>
        <v>1552376881976456</v>
      </c>
      <c r="C83" t="s">
        <v>40</v>
      </c>
      <c r="D83">
        <v>4.8253909999999998</v>
      </c>
      <c r="E83">
        <v>0.54345949999999998</v>
      </c>
      <c r="F83" t="s">
        <v>41</v>
      </c>
      <c r="G83">
        <v>-464.58240000000001</v>
      </c>
      <c r="H83">
        <v>0.878193</v>
      </c>
      <c r="I83">
        <v>367.06689999999998</v>
      </c>
      <c r="J83">
        <v>-465.19349999999997</v>
      </c>
      <c r="K83">
        <v>1.108015</v>
      </c>
      <c r="L83">
        <v>367.20240000000001</v>
      </c>
      <c r="M83">
        <v>0.99999700000000002</v>
      </c>
      <c r="N83">
        <v>0</v>
      </c>
      <c r="O83">
        <v>-1.192975E-3</v>
      </c>
      <c r="P83">
        <v>0.99814219999999998</v>
      </c>
      <c r="Q83">
        <v>3.2476110000000002E-2</v>
      </c>
      <c r="R83">
        <v>-5.155129E-2</v>
      </c>
      <c r="S83">
        <v>3.0071110000000001</v>
      </c>
      <c r="T83">
        <v>-0.79532530000000001</v>
      </c>
      <c r="U83">
        <v>-0.46963500000000002</v>
      </c>
      <c r="V83">
        <v>5.0361599999999999E-2</v>
      </c>
      <c r="W83">
        <v>3.0322970000000001E-2</v>
      </c>
      <c r="X83">
        <v>0.99827060000000001</v>
      </c>
      <c r="Y83">
        <v>0.14818990000000001</v>
      </c>
      <c r="Z83">
        <v>-1.8846740000000001E-2</v>
      </c>
      <c r="AA83">
        <v>0.98877930000000003</v>
      </c>
      <c r="AB83">
        <v>25</v>
      </c>
      <c r="AC83">
        <v>0.61109999999996401</v>
      </c>
      <c r="AD83">
        <v>-0.229822</v>
      </c>
      <c r="AE83">
        <v>-0.13550000000003501</v>
      </c>
      <c r="AF83">
        <v>0.11876097270265799</v>
      </c>
      <c r="AG83">
        <v>-0.229822</v>
      </c>
      <c r="AH83">
        <v>0.53864736254021495</v>
      </c>
      <c r="AI83">
        <v>112.61944385724</v>
      </c>
      <c r="AJ83">
        <v>77.566351562834001</v>
      </c>
      <c r="AK83">
        <v>0.59754773992779098</v>
      </c>
      <c r="AL83">
        <v>88.262355407117795</v>
      </c>
      <c r="AM83">
        <v>87.111942487122704</v>
      </c>
      <c r="AN83">
        <v>0.99999998204426999</v>
      </c>
    </row>
    <row r="84" spans="1:40" x14ac:dyDescent="0.25">
      <c r="A84" t="str">
        <f>"20190312154802011"</f>
        <v>20190312154802011</v>
      </c>
      <c r="B84" t="str">
        <f>"1552376882005736"</f>
        <v>1552376882005736</v>
      </c>
      <c r="C84" t="s">
        <v>40</v>
      </c>
      <c r="D84">
        <v>4.8343579999999999</v>
      </c>
      <c r="E84">
        <v>0.54339190000000004</v>
      </c>
      <c r="F84" t="s">
        <v>41</v>
      </c>
      <c r="G84">
        <v>-464.35550000000001</v>
      </c>
      <c r="H84">
        <v>0.88645819999999997</v>
      </c>
      <c r="I84">
        <v>367.07130000000001</v>
      </c>
      <c r="J84">
        <v>-464.94209999999998</v>
      </c>
      <c r="K84">
        <v>1.1080219999999901</v>
      </c>
      <c r="L84">
        <v>367.20209999999997</v>
      </c>
      <c r="M84">
        <v>0.99999729999999998</v>
      </c>
      <c r="N84">
        <v>0</v>
      </c>
      <c r="O84">
        <v>-1.1920629999999999E-3</v>
      </c>
      <c r="P84">
        <v>0.99812540000000005</v>
      </c>
      <c r="Q84">
        <v>3.2414390000000001E-2</v>
      </c>
      <c r="R84">
        <v>-5.1919470000000002E-2</v>
      </c>
      <c r="S84">
        <v>3.0072329999999998</v>
      </c>
      <c r="T84">
        <v>-0.79514619999999903</v>
      </c>
      <c r="U84">
        <v>-0.46917720000000002</v>
      </c>
      <c r="V84">
        <v>5.0730560000000001E-2</v>
      </c>
      <c r="W84">
        <v>3.033632E-2</v>
      </c>
      <c r="X84">
        <v>0.99825160000000002</v>
      </c>
      <c r="Y84">
        <v>0.14804500000000001</v>
      </c>
      <c r="Z84">
        <v>-1.8823630000000001E-2</v>
      </c>
      <c r="AA84">
        <v>0.9888015</v>
      </c>
      <c r="AB84">
        <v>25</v>
      </c>
      <c r="AC84">
        <v>0.58659999999997503</v>
      </c>
      <c r="AD84">
        <v>-0.22156379999999901</v>
      </c>
      <c r="AE84">
        <v>-0.130799999999965</v>
      </c>
      <c r="AF84">
        <v>0.114534646443387</v>
      </c>
      <c r="AG84">
        <v>-0.22156379999999901</v>
      </c>
      <c r="AH84">
        <v>0.51655267469453103</v>
      </c>
      <c r="AI84">
        <v>112.721862101358</v>
      </c>
      <c r="AJ84">
        <v>77.498131300980006</v>
      </c>
      <c r="AK84">
        <v>0.57361604618457596</v>
      </c>
      <c r="AL84">
        <v>88.261590308415407</v>
      </c>
      <c r="AM84">
        <v>87.090764890540697</v>
      </c>
      <c r="AN84">
        <v>1.0000000694658</v>
      </c>
    </row>
    <row r="85" spans="1:40" x14ac:dyDescent="0.25">
      <c r="A85" t="str">
        <f>"20190312154802032"</f>
        <v>20190312154802032</v>
      </c>
      <c r="B85" t="str">
        <f>"1552376882026232"</f>
        <v>1552376882026232</v>
      </c>
      <c r="C85" t="s">
        <v>40</v>
      </c>
      <c r="D85">
        <v>4.8711669999999998</v>
      </c>
      <c r="E85">
        <v>0.54338790000000003</v>
      </c>
      <c r="F85" t="s">
        <v>41</v>
      </c>
      <c r="G85">
        <v>-464.12759999999997</v>
      </c>
      <c r="H85">
        <v>0.8925594</v>
      </c>
      <c r="I85">
        <v>367.07470000000001</v>
      </c>
      <c r="J85">
        <v>-464.70549999999997</v>
      </c>
      <c r="K85">
        <v>1.108033</v>
      </c>
      <c r="L85">
        <v>367.20179999999999</v>
      </c>
      <c r="M85">
        <v>0.99999740000000004</v>
      </c>
      <c r="N85">
        <v>0</v>
      </c>
      <c r="O85">
        <v>-1.191157E-3</v>
      </c>
      <c r="P85">
        <v>0.99811209999999995</v>
      </c>
      <c r="Q85">
        <v>3.2675589999999997E-2</v>
      </c>
      <c r="R85">
        <v>-5.2010550000000003E-2</v>
      </c>
      <c r="S85">
        <v>3.00705</v>
      </c>
      <c r="T85">
        <v>-0.79549840000000005</v>
      </c>
      <c r="U85">
        <v>-0.46942139999999999</v>
      </c>
      <c r="V85">
        <v>5.0822539999999999E-2</v>
      </c>
      <c r="W85">
        <v>3.0668520000000001E-2</v>
      </c>
      <c r="X85">
        <v>0.99823669999999998</v>
      </c>
      <c r="Y85">
        <v>0.148125799999999</v>
      </c>
      <c r="Z85">
        <v>-1.8843370000000002E-2</v>
      </c>
      <c r="AA85">
        <v>0.98878900000000003</v>
      </c>
      <c r="AB85">
        <v>25</v>
      </c>
      <c r="AC85">
        <v>0.57789999999999897</v>
      </c>
      <c r="AD85">
        <v>-0.21547359999999999</v>
      </c>
      <c r="AE85">
        <v>-0.127099999999984</v>
      </c>
      <c r="AF85">
        <v>0.111611084607212</v>
      </c>
      <c r="AG85">
        <v>-0.21547359999999999</v>
      </c>
      <c r="AH85">
        <v>0.51037190202421701</v>
      </c>
      <c r="AI85">
        <v>112.413324444236</v>
      </c>
      <c r="AJ85">
        <v>77.664423509606806</v>
      </c>
      <c r="AK85">
        <v>0.56512422075148705</v>
      </c>
      <c r="AL85">
        <v>88.242547667127496</v>
      </c>
      <c r="AM85">
        <v>87.085455790519006</v>
      </c>
      <c r="AN85">
        <v>0.99999999895896596</v>
      </c>
    </row>
    <row r="86" spans="1:40" x14ac:dyDescent="0.25">
      <c r="A86" t="str">
        <f>"20190312154802053"</f>
        <v>20190312154802053</v>
      </c>
      <c r="B86" t="str">
        <f>"1552376882045752"</f>
        <v>1552376882045752</v>
      </c>
      <c r="C86" t="s">
        <v>40</v>
      </c>
      <c r="D86">
        <v>4.9047489999999998</v>
      </c>
      <c r="E86">
        <v>0.54331790000000002</v>
      </c>
      <c r="F86" t="s">
        <v>41</v>
      </c>
      <c r="G86">
        <v>-463.89909999999998</v>
      </c>
      <c r="H86">
        <v>0.89477189999999995</v>
      </c>
      <c r="I86">
        <v>367.07530000000003</v>
      </c>
      <c r="J86">
        <v>-464.4579</v>
      </c>
      <c r="K86">
        <v>1.108039</v>
      </c>
      <c r="L86">
        <v>367.20150000000001</v>
      </c>
      <c r="M86">
        <v>0.99999749999999998</v>
      </c>
      <c r="N86">
        <v>0</v>
      </c>
      <c r="O86">
        <v>-1.19013E-3</v>
      </c>
      <c r="P86">
        <v>0.99809899999999996</v>
      </c>
      <c r="Q86">
        <v>3.3147259999999998E-2</v>
      </c>
      <c r="R86">
        <v>-5.196365E-2</v>
      </c>
      <c r="S86">
        <v>3.007263</v>
      </c>
      <c r="T86">
        <v>-0.7953422</v>
      </c>
      <c r="U86">
        <v>-0.46972659999999999</v>
      </c>
      <c r="V86">
        <v>5.0776679999999998E-2</v>
      </c>
      <c r="W86">
        <v>3.121519E-2</v>
      </c>
      <c r="X86">
        <v>0.9982221</v>
      </c>
      <c r="Y86">
        <v>0.14821379999999901</v>
      </c>
      <c r="Z86">
        <v>-1.885001E-2</v>
      </c>
      <c r="AA86">
        <v>0.98877570000000004</v>
      </c>
      <c r="AB86">
        <v>25</v>
      </c>
      <c r="AC86">
        <v>0.55880000000001895</v>
      </c>
      <c r="AD86">
        <v>-0.21326709999999999</v>
      </c>
      <c r="AE86">
        <v>-0.12619999999998299</v>
      </c>
      <c r="AF86">
        <v>0.110254713729559</v>
      </c>
      <c r="AG86">
        <v>-0.21326709999999999</v>
      </c>
      <c r="AH86">
        <v>0.49091421872227398</v>
      </c>
      <c r="AI86">
        <v>112.970619110277</v>
      </c>
      <c r="AJ86">
        <v>77.341945650322003</v>
      </c>
      <c r="AK86">
        <v>0.54647573412338901</v>
      </c>
      <c r="AL86">
        <v>88.211210798358806</v>
      </c>
      <c r="AM86">
        <v>87.088038700803807</v>
      </c>
      <c r="AN86">
        <v>1.0000000101234801</v>
      </c>
    </row>
    <row r="87" spans="1:40" x14ac:dyDescent="0.25">
      <c r="A87" t="str">
        <f>"20190312154802076"</f>
        <v>20190312154802076</v>
      </c>
      <c r="B87" t="str">
        <f>"1552376882066248"</f>
        <v>1552376882066248</v>
      </c>
      <c r="C87" t="s">
        <v>40</v>
      </c>
      <c r="D87">
        <v>5.0508870000000003</v>
      </c>
      <c r="E87">
        <v>0.54332749999999996</v>
      </c>
      <c r="F87" t="s">
        <v>41</v>
      </c>
      <c r="G87">
        <v>-463.6678</v>
      </c>
      <c r="H87">
        <v>0.89929079999999995</v>
      </c>
      <c r="I87">
        <v>367.07830000000001</v>
      </c>
      <c r="J87">
        <v>-464.20179999999999</v>
      </c>
      <c r="K87">
        <v>1.1080429999999999</v>
      </c>
      <c r="L87">
        <v>367.20119999999997</v>
      </c>
      <c r="M87">
        <v>0.99999760000000004</v>
      </c>
      <c r="N87">
        <v>0</v>
      </c>
      <c r="O87">
        <v>-1.1889839999999999E-3</v>
      </c>
      <c r="P87">
        <v>0.99810319999999997</v>
      </c>
      <c r="Q87">
        <v>3.2922260000000002E-2</v>
      </c>
      <c r="R87">
        <v>-5.202097E-2</v>
      </c>
      <c r="S87">
        <v>3.0076900000000002</v>
      </c>
      <c r="T87">
        <v>-0.79462080000000002</v>
      </c>
      <c r="U87">
        <v>-0.46899410000000002</v>
      </c>
      <c r="V87">
        <v>5.0835320000000003E-2</v>
      </c>
      <c r="W87">
        <v>3.106888E-2</v>
      </c>
      <c r="X87">
        <v>0.99822370000000005</v>
      </c>
      <c r="Y87">
        <v>0.14797630000000001</v>
      </c>
      <c r="Z87">
        <v>-1.8800859999999999E-2</v>
      </c>
      <c r="AA87">
        <v>0.98881220000000003</v>
      </c>
      <c r="AB87">
        <v>25</v>
      </c>
      <c r="AC87">
        <v>0.53399999999999104</v>
      </c>
      <c r="AD87">
        <v>-0.208752199999999</v>
      </c>
      <c r="AE87">
        <v>-0.122899999999958</v>
      </c>
      <c r="AF87">
        <v>0.10676931881851801</v>
      </c>
      <c r="AG87">
        <v>-0.208752199999999</v>
      </c>
      <c r="AH87">
        <v>0.46644894518065999</v>
      </c>
      <c r="AI87">
        <v>113.569345119196</v>
      </c>
      <c r="AJ87">
        <v>77.107207273316106</v>
      </c>
      <c r="AK87">
        <v>0.52206492594883402</v>
      </c>
      <c r="AL87">
        <v>88.219597847413496</v>
      </c>
      <c r="AM87">
        <v>87.084686253411604</v>
      </c>
      <c r="AN87">
        <v>1.00000003015282</v>
      </c>
    </row>
    <row r="88" spans="1:40" x14ac:dyDescent="0.25">
      <c r="A88" t="str">
        <f>"20190312154802098"</f>
        <v>20190312154802098</v>
      </c>
      <c r="B88" t="str">
        <f>"1552376882085768"</f>
        <v>1552376882085768</v>
      </c>
      <c r="C88" t="s">
        <v>40</v>
      </c>
      <c r="D88">
        <v>4.9548350000000001</v>
      </c>
      <c r="E88">
        <v>0.54328299999999996</v>
      </c>
      <c r="F88" t="s">
        <v>41</v>
      </c>
      <c r="G88">
        <v>-463.4341</v>
      </c>
      <c r="H88">
        <v>0.90489229999999998</v>
      </c>
      <c r="I88">
        <v>367.08109999999999</v>
      </c>
      <c r="J88">
        <v>-463.94150000000002</v>
      </c>
      <c r="K88">
        <v>1.108047</v>
      </c>
      <c r="L88">
        <v>367.20089999999999</v>
      </c>
      <c r="M88">
        <v>0.9999979</v>
      </c>
      <c r="N88">
        <v>0</v>
      </c>
      <c r="O88">
        <v>-1.188078E-3</v>
      </c>
      <c r="P88">
        <v>0.99809380000000003</v>
      </c>
      <c r="Q88">
        <v>3.2781079999999997E-2</v>
      </c>
      <c r="R88">
        <v>-5.2291579999999997E-2</v>
      </c>
      <c r="S88">
        <v>3.0074770000000002</v>
      </c>
      <c r="T88">
        <v>-0.79589390000000004</v>
      </c>
      <c r="U88">
        <v>-0.46899410000000002</v>
      </c>
      <c r="V88">
        <v>5.1106739999999998E-2</v>
      </c>
      <c r="W88">
        <v>3.1007389999999999E-2</v>
      </c>
      <c r="X88">
        <v>0.99821170000000004</v>
      </c>
      <c r="Y88">
        <v>0.14797189999999999</v>
      </c>
      <c r="Z88">
        <v>-1.8830940000000001E-2</v>
      </c>
      <c r="AA88">
        <v>0.98881229999999998</v>
      </c>
      <c r="AB88">
        <v>26</v>
      </c>
      <c r="AC88">
        <v>0.50740000000001795</v>
      </c>
      <c r="AD88">
        <v>-0.20315469999999899</v>
      </c>
      <c r="AE88">
        <v>-0.11979999999999701</v>
      </c>
      <c r="AF88">
        <v>0.10348383632865001</v>
      </c>
      <c r="AG88">
        <v>-0.20315469999999899</v>
      </c>
      <c r="AH88">
        <v>0.44063486171118499</v>
      </c>
      <c r="AI88">
        <v>114.172365382761</v>
      </c>
      <c r="AJ88">
        <v>76.783502586005994</v>
      </c>
      <c r="AK88">
        <v>0.496124800698998</v>
      </c>
      <c r="AL88">
        <v>88.223122569565902</v>
      </c>
      <c r="AM88">
        <v>87.069112701663997</v>
      </c>
      <c r="AN88">
        <v>0.99999997756246395</v>
      </c>
    </row>
    <row r="89" spans="1:40" x14ac:dyDescent="0.25">
      <c r="A89" t="str">
        <f>"20190312154802120"</f>
        <v>20190312154802120</v>
      </c>
      <c r="B89" t="str">
        <f>"1552376882116024"</f>
        <v>1552376882116024</v>
      </c>
      <c r="C89" t="s">
        <v>40</v>
      </c>
      <c r="D89">
        <v>4.8756180000000002</v>
      </c>
      <c r="E89">
        <v>0.54326859999999999</v>
      </c>
      <c r="F89" t="s">
        <v>41</v>
      </c>
      <c r="G89">
        <v>-463.19830000000002</v>
      </c>
      <c r="H89">
        <v>0.91116980000000003</v>
      </c>
      <c r="I89">
        <v>367.08460000000002</v>
      </c>
      <c r="J89">
        <v>-463.68389999999999</v>
      </c>
      <c r="K89">
        <v>1.108053</v>
      </c>
      <c r="L89">
        <v>367.20060000000001</v>
      </c>
      <c r="M89">
        <v>0.99999800000000005</v>
      </c>
      <c r="N89">
        <v>0</v>
      </c>
      <c r="O89">
        <v>-1.1870559999999999E-3</v>
      </c>
      <c r="P89">
        <v>0.99807610000000002</v>
      </c>
      <c r="Q89">
        <v>3.3058780000000003E-2</v>
      </c>
      <c r="R89">
        <v>-5.2451770000000002E-2</v>
      </c>
      <c r="S89">
        <v>3.007263</v>
      </c>
      <c r="T89">
        <v>-0.79668470000000002</v>
      </c>
      <c r="U89">
        <v>-0.4693909</v>
      </c>
      <c r="V89">
        <v>5.1268290000000001E-2</v>
      </c>
      <c r="W89">
        <v>3.1365320000000002E-2</v>
      </c>
      <c r="X89">
        <v>0.99819230000000003</v>
      </c>
      <c r="Y89">
        <v>0.14809649999999999</v>
      </c>
      <c r="Z89">
        <v>-1.8866540000000001E-2</v>
      </c>
      <c r="AA89">
        <v>0.98879300000000003</v>
      </c>
      <c r="AB89">
        <v>26</v>
      </c>
      <c r="AC89">
        <v>0.485599999999976</v>
      </c>
      <c r="AD89">
        <v>-0.19688319999999901</v>
      </c>
      <c r="AE89">
        <v>-0.115999999999985</v>
      </c>
      <c r="AF89">
        <v>9.9889627405702605E-2</v>
      </c>
      <c r="AG89">
        <v>-0.19688319999999901</v>
      </c>
      <c r="AH89">
        <v>0.42036613560584402</v>
      </c>
      <c r="AI89">
        <v>114.49746956580999</v>
      </c>
      <c r="AJ89">
        <v>76.632986129439004</v>
      </c>
      <c r="AK89">
        <v>0.47481430061623198</v>
      </c>
      <c r="AL89">
        <v>88.202604830514602</v>
      </c>
      <c r="AM89">
        <v>87.059807263636699</v>
      </c>
      <c r="AN89">
        <v>1.00000004431875</v>
      </c>
    </row>
    <row r="90" spans="1:40" x14ac:dyDescent="0.25">
      <c r="A90" t="str">
        <f>"20190312154802143"</f>
        <v>20190312154802143</v>
      </c>
      <c r="B90" t="str">
        <f>"1552376882136522"</f>
        <v>1552376882136522</v>
      </c>
      <c r="C90" t="s">
        <v>40</v>
      </c>
      <c r="D90">
        <v>5.0123129999999998</v>
      </c>
      <c r="E90">
        <v>0.54327539999999996</v>
      </c>
      <c r="F90" t="s">
        <v>41</v>
      </c>
      <c r="G90">
        <v>-462.96080000000001</v>
      </c>
      <c r="H90">
        <v>0.91658539999999999</v>
      </c>
      <c r="I90">
        <v>367.08730000000003</v>
      </c>
      <c r="J90">
        <v>-463.41460000000001</v>
      </c>
      <c r="K90">
        <v>1.10806</v>
      </c>
      <c r="L90">
        <v>367.20030000000003</v>
      </c>
      <c r="M90">
        <v>0.99999800000000005</v>
      </c>
      <c r="N90">
        <v>0</v>
      </c>
      <c r="O90">
        <v>-1.185796E-3</v>
      </c>
      <c r="P90">
        <v>0.99805259999999996</v>
      </c>
      <c r="Q90">
        <v>3.3380750000000001E-2</v>
      </c>
      <c r="R90">
        <v>-5.269654E-2</v>
      </c>
      <c r="S90">
        <v>3.0075069999999999</v>
      </c>
      <c r="T90">
        <v>-0.7964717</v>
      </c>
      <c r="U90">
        <v>-0.46966550000000001</v>
      </c>
      <c r="V90">
        <v>5.1514230000000001E-2</v>
      </c>
      <c r="W90">
        <v>3.1771389999999997E-2</v>
      </c>
      <c r="X90">
        <v>0.99816669999999996</v>
      </c>
      <c r="Y90">
        <v>0.14817439999999901</v>
      </c>
      <c r="Z90">
        <v>-1.8870479999999999E-2</v>
      </c>
      <c r="AA90">
        <v>0.98878120000000003</v>
      </c>
      <c r="AB90">
        <v>26</v>
      </c>
      <c r="AC90">
        <v>0.45380000000000098</v>
      </c>
      <c r="AD90">
        <v>-0.19147459999999999</v>
      </c>
      <c r="AE90">
        <v>-0.112999999999999</v>
      </c>
      <c r="AF90">
        <v>9.6315826607281302E-2</v>
      </c>
      <c r="AG90">
        <v>-0.19147459999999999</v>
      </c>
      <c r="AH90">
        <v>0.38876307374185998</v>
      </c>
      <c r="AI90">
        <v>115.55102670003799</v>
      </c>
      <c r="AJ90">
        <v>76.085184088694206</v>
      </c>
      <c r="AK90">
        <v>0.44393241423151703</v>
      </c>
      <c r="AL90">
        <v>88.179326958976603</v>
      </c>
      <c r="AM90">
        <v>87.045652106318997</v>
      </c>
      <c r="AN90">
        <v>0.99999994905195599</v>
      </c>
    </row>
    <row r="91" spans="1:40" x14ac:dyDescent="0.25">
      <c r="A91" t="str">
        <f>"20190312154802165"</f>
        <v>20190312154802165</v>
      </c>
      <c r="B91" t="str">
        <f>"1552376882156041"</f>
        <v>1552376882156041</v>
      </c>
      <c r="C91" t="s">
        <v>40</v>
      </c>
      <c r="D91">
        <v>5.0050629999999998</v>
      </c>
      <c r="E91">
        <v>0.54320419999999903</v>
      </c>
      <c r="F91" t="s">
        <v>41</v>
      </c>
      <c r="G91">
        <v>-462.72050000000002</v>
      </c>
      <c r="H91">
        <v>0.92429530000000004</v>
      </c>
      <c r="I91">
        <v>367.09140000000002</v>
      </c>
      <c r="J91">
        <v>-463.15260000000001</v>
      </c>
      <c r="K91">
        <v>1.1080620000000001</v>
      </c>
      <c r="L91">
        <v>367.2</v>
      </c>
      <c r="M91">
        <v>0.99999830000000001</v>
      </c>
      <c r="N91">
        <v>0</v>
      </c>
      <c r="O91">
        <v>-1.1848990000000001E-3</v>
      </c>
      <c r="P91">
        <v>0.99805619999999995</v>
      </c>
      <c r="Q91">
        <v>3.3175419999999997E-2</v>
      </c>
      <c r="R91">
        <v>-5.2759979999999998E-2</v>
      </c>
      <c r="S91">
        <v>3.00766</v>
      </c>
      <c r="T91">
        <v>-0.79624349999999999</v>
      </c>
      <c r="U91">
        <v>-0.47027590000000002</v>
      </c>
      <c r="V91">
        <v>5.1578550000000001E-2</v>
      </c>
      <c r="W91">
        <v>3.1648900000000001E-2</v>
      </c>
      <c r="X91">
        <v>0.99816729999999998</v>
      </c>
      <c r="Y91">
        <v>0.14836070000000001</v>
      </c>
      <c r="Z91">
        <v>-1.8888390000000001E-2</v>
      </c>
      <c r="AA91">
        <v>0.98875290000000005</v>
      </c>
      <c r="AB91">
        <v>26</v>
      </c>
      <c r="AC91">
        <v>0.43209999999999099</v>
      </c>
      <c r="AD91">
        <v>-0.18376669999999901</v>
      </c>
      <c r="AE91">
        <v>-0.108599999999967</v>
      </c>
      <c r="AF91">
        <v>9.2373117418256906E-2</v>
      </c>
      <c r="AG91">
        <v>-0.18376669999999901</v>
      </c>
      <c r="AH91">
        <v>0.36938706474709299</v>
      </c>
      <c r="AI91">
        <v>115.76330219521699</v>
      </c>
      <c r="AJ91">
        <v>75.959909678672005</v>
      </c>
      <c r="AK91">
        <v>0.422788122412314</v>
      </c>
      <c r="AL91">
        <v>88.186348705301199</v>
      </c>
      <c r="AM91">
        <v>87.041971667821301</v>
      </c>
      <c r="AN91">
        <v>0.99999997924030104</v>
      </c>
    </row>
    <row r="92" spans="1:40" x14ac:dyDescent="0.25">
      <c r="A92" t="str">
        <f>"20190312154802190"</f>
        <v>20190312154802190</v>
      </c>
      <c r="B92" t="str">
        <f>"1552376882176536"</f>
        <v>1552376882176536</v>
      </c>
      <c r="C92" t="s">
        <v>40</v>
      </c>
      <c r="D92">
        <v>5.0104519999999999</v>
      </c>
      <c r="E92">
        <v>0.5431994</v>
      </c>
      <c r="F92" t="s">
        <v>41</v>
      </c>
      <c r="G92">
        <v>-462.47910000000002</v>
      </c>
      <c r="H92">
        <v>0.92950880000000002</v>
      </c>
      <c r="I92">
        <v>367.0942</v>
      </c>
      <c r="J92">
        <v>-462.8623</v>
      </c>
      <c r="K92">
        <v>1.1080719999999999</v>
      </c>
      <c r="L92">
        <v>367.19959999999998</v>
      </c>
      <c r="M92">
        <v>0.99999839999999995</v>
      </c>
      <c r="N92">
        <v>0</v>
      </c>
      <c r="O92">
        <v>-1.1834020000000001E-3</v>
      </c>
      <c r="P92">
        <v>0.99805149999999998</v>
      </c>
      <c r="Q92">
        <v>3.3080190000000002E-2</v>
      </c>
      <c r="R92">
        <v>-5.2905590000000002E-2</v>
      </c>
      <c r="S92">
        <v>3.0075069999999999</v>
      </c>
      <c r="T92">
        <v>-0.79717969999999905</v>
      </c>
      <c r="U92">
        <v>-0.47000120000000001</v>
      </c>
      <c r="V92">
        <v>5.1725689999999998E-2</v>
      </c>
      <c r="W92">
        <v>3.164604E-2</v>
      </c>
      <c r="X92">
        <v>0.99815980000000004</v>
      </c>
      <c r="Y92">
        <v>0.1482726</v>
      </c>
      <c r="Z92">
        <v>-1.8899889999999999E-2</v>
      </c>
      <c r="AA92">
        <v>0.98876589999999998</v>
      </c>
      <c r="AB92">
        <v>27</v>
      </c>
      <c r="AC92">
        <v>0.38319999999998799</v>
      </c>
      <c r="AD92">
        <v>-0.17856319999999901</v>
      </c>
      <c r="AE92">
        <v>-0.105399999999974</v>
      </c>
      <c r="AF92">
        <v>8.7319682239962407E-2</v>
      </c>
      <c r="AG92">
        <v>-0.17856319999999901</v>
      </c>
      <c r="AH92">
        <v>0.31894143611651898</v>
      </c>
      <c r="AI92">
        <v>118.368607816275</v>
      </c>
      <c r="AJ92">
        <v>74.688772667906804</v>
      </c>
      <c r="AK92">
        <v>0.37581003575316602</v>
      </c>
      <c r="AL92">
        <v>88.186512695724005</v>
      </c>
      <c r="AM92">
        <v>87.033525994100799</v>
      </c>
      <c r="AN92">
        <v>1.0000000025948399</v>
      </c>
    </row>
    <row r="93" spans="1:40" x14ac:dyDescent="0.25">
      <c r="A93" t="str">
        <f>"20190312154802211"</f>
        <v>20190312154802211</v>
      </c>
      <c r="B93" t="str">
        <f>"1552376882205816"</f>
        <v>1552376882205816</v>
      </c>
      <c r="C93" t="s">
        <v>40</v>
      </c>
      <c r="D93">
        <v>5.0216419999999999</v>
      </c>
      <c r="E93">
        <v>0.54314019999999996</v>
      </c>
      <c r="F93" t="s">
        <v>41</v>
      </c>
      <c r="G93">
        <v>-462.01339999999999</v>
      </c>
      <c r="H93">
        <v>0.88285329999999995</v>
      </c>
      <c r="I93">
        <v>367.06670000000003</v>
      </c>
      <c r="J93">
        <v>-462.59570000000002</v>
      </c>
      <c r="K93">
        <v>1.108079</v>
      </c>
      <c r="L93">
        <v>367.19929999999999</v>
      </c>
      <c r="M93">
        <v>0.99999839999999995</v>
      </c>
      <c r="N93">
        <v>0</v>
      </c>
      <c r="O93">
        <v>-1.1820330000000001E-3</v>
      </c>
      <c r="P93">
        <v>0.99803940000000002</v>
      </c>
      <c r="Q93">
        <v>3.3229349999999998E-2</v>
      </c>
      <c r="R93">
        <v>-5.3037859999999999E-2</v>
      </c>
      <c r="S93">
        <v>3.0073850000000002</v>
      </c>
      <c r="T93">
        <v>-0.79788579999999998</v>
      </c>
      <c r="U93">
        <v>-0.46997070000000002</v>
      </c>
      <c r="V93">
        <v>5.1859290000000002E-2</v>
      </c>
      <c r="W93">
        <v>3.188005E-2</v>
      </c>
      <c r="X93">
        <v>0.99814539999999996</v>
      </c>
      <c r="Y93">
        <v>0.14826149999999999</v>
      </c>
      <c r="Z93">
        <v>-1.8915749999999999E-2</v>
      </c>
      <c r="AA93">
        <v>0.98876730000000002</v>
      </c>
      <c r="AB93">
        <v>27</v>
      </c>
      <c r="AC93">
        <v>0.58230000000003201</v>
      </c>
      <c r="AD93">
        <v>-0.225225699999999</v>
      </c>
      <c r="AE93">
        <v>-0.13259999999996799</v>
      </c>
      <c r="AF93">
        <v>0.115486193505874</v>
      </c>
      <c r="AG93">
        <v>-0.225225699999999</v>
      </c>
      <c r="AH93">
        <v>0.50992983170785999</v>
      </c>
      <c r="AI93">
        <v>113.30495877417999</v>
      </c>
      <c r="AJ93">
        <v>77.239220563159705</v>
      </c>
      <c r="AK93">
        <v>0.56929088355301505</v>
      </c>
      <c r="AL93">
        <v>88.173098103274597</v>
      </c>
      <c r="AM93">
        <v>87.025834927710406</v>
      </c>
      <c r="AN93">
        <v>0.99999998154423297</v>
      </c>
    </row>
    <row r="94" spans="1:40" x14ac:dyDescent="0.25">
      <c r="A94" t="str">
        <f>"20190312154802233"</f>
        <v>20190312154802233</v>
      </c>
      <c r="B94" t="str">
        <f>"1552376882226312"</f>
        <v>1552376882226312</v>
      </c>
      <c r="C94" t="s">
        <v>40</v>
      </c>
      <c r="D94">
        <v>5.0420920000000002</v>
      </c>
      <c r="E94">
        <v>0.54309059999999998</v>
      </c>
      <c r="F94" t="s">
        <v>41</v>
      </c>
      <c r="G94">
        <v>-461.76650000000001</v>
      </c>
      <c r="H94">
        <v>0.88807549999999902</v>
      </c>
      <c r="I94">
        <v>367.06959999999998</v>
      </c>
      <c r="J94">
        <v>-462.3202</v>
      </c>
      <c r="K94">
        <v>1.108087</v>
      </c>
      <c r="L94">
        <v>367.19900000000001</v>
      </c>
      <c r="M94">
        <v>0.99999850000000001</v>
      </c>
      <c r="N94">
        <v>0</v>
      </c>
      <c r="O94">
        <v>-1.180665E-3</v>
      </c>
      <c r="P94">
        <v>0.99804440000000005</v>
      </c>
      <c r="Q94">
        <v>3.3443500000000001E-2</v>
      </c>
      <c r="R94">
        <v>-5.2811360000000002E-2</v>
      </c>
      <c r="S94">
        <v>3.0074160000000001</v>
      </c>
      <c r="T94">
        <v>-0.79795249999999995</v>
      </c>
      <c r="U94">
        <v>-0.47058109999999997</v>
      </c>
      <c r="V94">
        <v>5.1634140000000002E-2</v>
      </c>
      <c r="W94">
        <v>3.218269E-2</v>
      </c>
      <c r="X94">
        <v>0.99814740000000002</v>
      </c>
      <c r="Y94">
        <v>0.14845029999999901</v>
      </c>
      <c r="Z94">
        <v>-1.8941639999999999E-2</v>
      </c>
      <c r="AA94">
        <v>0.98873849999999996</v>
      </c>
      <c r="AB94">
        <v>27</v>
      </c>
      <c r="AC94">
        <v>0.55369999999999198</v>
      </c>
      <c r="AD94">
        <v>-0.2200115</v>
      </c>
      <c r="AE94">
        <v>-0.12940000000003199</v>
      </c>
      <c r="AF94">
        <v>0.11198154965804</v>
      </c>
      <c r="AG94">
        <v>-0.2200115</v>
      </c>
      <c r="AH94">
        <v>0.48173275151918699</v>
      </c>
      <c r="AI94">
        <v>113.981789777641</v>
      </c>
      <c r="AJ94">
        <v>76.913672368664294</v>
      </c>
      <c r="AK94">
        <v>0.54130524797226298</v>
      </c>
      <c r="AL94">
        <v>88.155749278693904</v>
      </c>
      <c r="AM94">
        <v>87.038730321653404</v>
      </c>
      <c r="AN94">
        <v>1.00000002103796</v>
      </c>
    </row>
    <row r="95" spans="1:40" x14ac:dyDescent="0.25">
      <c r="A95" t="str">
        <f>"20190312154802254"</f>
        <v>20190312154802254</v>
      </c>
      <c r="B95" t="str">
        <f>"1552376882245833"</f>
        <v>1552376882245833</v>
      </c>
      <c r="C95" t="s">
        <v>40</v>
      </c>
      <c r="D95">
        <v>4.9753259999999999</v>
      </c>
      <c r="E95">
        <v>0.5430682</v>
      </c>
      <c r="F95" t="s">
        <v>41</v>
      </c>
      <c r="G95">
        <v>-461.5172</v>
      </c>
      <c r="H95">
        <v>0.89513519999999902</v>
      </c>
      <c r="I95">
        <v>367.07319999999999</v>
      </c>
      <c r="J95">
        <v>-462.0641</v>
      </c>
      <c r="K95">
        <v>1.1080909999999999</v>
      </c>
      <c r="L95">
        <v>367.19869999999997</v>
      </c>
      <c r="M95">
        <v>0.99999870000000002</v>
      </c>
      <c r="N95">
        <v>0</v>
      </c>
      <c r="O95">
        <v>-1.179186E-3</v>
      </c>
      <c r="P95">
        <v>0.99802270000000004</v>
      </c>
      <c r="Q95">
        <v>3.4131790000000002E-2</v>
      </c>
      <c r="R95">
        <v>-5.2781769999999999E-2</v>
      </c>
      <c r="S95">
        <v>3.0077820000000002</v>
      </c>
      <c r="T95">
        <v>-0.79765929999999996</v>
      </c>
      <c r="U95">
        <v>-0.46936040000000001</v>
      </c>
      <c r="V95">
        <v>5.1606069999999997E-2</v>
      </c>
      <c r="W95">
        <v>3.2953320000000001E-2</v>
      </c>
      <c r="X95">
        <v>0.99812369999999995</v>
      </c>
      <c r="Y95">
        <v>0.1480592</v>
      </c>
      <c r="Z95">
        <v>-1.8882969999999999E-2</v>
      </c>
      <c r="AA95">
        <v>0.98879819999999996</v>
      </c>
      <c r="AB95">
        <v>27</v>
      </c>
      <c r="AC95">
        <v>0.54689999999999295</v>
      </c>
      <c r="AD95">
        <v>-0.2129558</v>
      </c>
      <c r="AE95">
        <v>-0.12549999999998801</v>
      </c>
      <c r="AF95">
        <v>0.109135426392413</v>
      </c>
      <c r="AG95">
        <v>-0.2129558</v>
      </c>
      <c r="AH95">
        <v>0.47817281243040199</v>
      </c>
      <c r="AI95">
        <v>113.469914305095</v>
      </c>
      <c r="AJ95">
        <v>77.143357991866395</v>
      </c>
      <c r="AK95">
        <v>0.534705482106827</v>
      </c>
      <c r="AL95">
        <v>88.111571983827901</v>
      </c>
      <c r="AM95">
        <v>87.040267150398407</v>
      </c>
      <c r="AN95">
        <v>1.0000000141307701</v>
      </c>
    </row>
    <row r="96" spans="1:40" x14ac:dyDescent="0.25">
      <c r="A96" t="str">
        <f>"20190312154802277"</f>
        <v>20190312154802277</v>
      </c>
      <c r="B96" t="str">
        <f>"1552376882266332"</f>
        <v>1552376882266332</v>
      </c>
      <c r="C96" t="s">
        <v>40</v>
      </c>
      <c r="D96">
        <v>5.078341</v>
      </c>
      <c r="E96">
        <v>0.54301299999999997</v>
      </c>
      <c r="F96" t="s">
        <v>41</v>
      </c>
      <c r="G96">
        <v>-461.26780000000002</v>
      </c>
      <c r="H96">
        <v>0.89747860000000002</v>
      </c>
      <c r="I96">
        <v>367.07459999999998</v>
      </c>
      <c r="J96">
        <v>-461.7799</v>
      </c>
      <c r="K96">
        <v>1.1080970000000001</v>
      </c>
      <c r="L96">
        <v>367.19839999999999</v>
      </c>
      <c r="M96">
        <v>0.99999859999999896</v>
      </c>
      <c r="N96">
        <v>0</v>
      </c>
      <c r="O96">
        <v>-1.1778239999999901E-3</v>
      </c>
      <c r="P96">
        <v>0.99803379999999997</v>
      </c>
      <c r="Q96">
        <v>3.4190869999999998E-2</v>
      </c>
      <c r="R96">
        <v>-5.253149E-2</v>
      </c>
      <c r="S96">
        <v>3.0083310000000001</v>
      </c>
      <c r="T96">
        <v>-0.79561150000000003</v>
      </c>
      <c r="U96">
        <v>-0.46914670000000003</v>
      </c>
      <c r="V96">
        <v>5.1357119999999999E-2</v>
      </c>
      <c r="W96">
        <v>3.3104399999999999E-2</v>
      </c>
      <c r="X96">
        <v>0.99813149999999995</v>
      </c>
      <c r="Y96">
        <v>0.14799329999999999</v>
      </c>
      <c r="Z96">
        <v>-1.882472E-2</v>
      </c>
      <c r="AA96">
        <v>0.98880919999999894</v>
      </c>
      <c r="AB96">
        <v>28</v>
      </c>
      <c r="AC96">
        <v>0.51209999999997502</v>
      </c>
      <c r="AD96">
        <v>-0.21061839999999901</v>
      </c>
      <c r="AE96">
        <v>-0.12380000000001699</v>
      </c>
      <c r="AF96">
        <v>0.106221099487618</v>
      </c>
      <c r="AG96">
        <v>-0.21061839999999901</v>
      </c>
      <c r="AH96">
        <v>0.44166161771384399</v>
      </c>
      <c r="AI96">
        <v>114.87509963943801</v>
      </c>
      <c r="AJ96">
        <v>76.477000601323894</v>
      </c>
      <c r="AK96">
        <v>0.50070751637710398</v>
      </c>
      <c r="AL96">
        <v>88.102910934423306</v>
      </c>
      <c r="AM96">
        <v>87.054542808493295</v>
      </c>
      <c r="AN96">
        <v>0.99999997318315104</v>
      </c>
    </row>
    <row r="97" spans="1:40" x14ac:dyDescent="0.25">
      <c r="A97" t="str">
        <f>"20190312154802299"</f>
        <v>20190312154802299</v>
      </c>
      <c r="B97" t="str">
        <f>"1552376882285848"</f>
        <v>1552376882285848</v>
      </c>
      <c r="C97" t="s">
        <v>40</v>
      </c>
      <c r="D97">
        <v>5.0622040000000004</v>
      </c>
      <c r="E97">
        <v>0.54299529999999996</v>
      </c>
      <c r="F97" t="s">
        <v>41</v>
      </c>
      <c r="G97">
        <v>-461.01429999999999</v>
      </c>
      <c r="H97">
        <v>0.90556939999999997</v>
      </c>
      <c r="I97">
        <v>367.07909999999998</v>
      </c>
      <c r="J97">
        <v>-461.50470000000001</v>
      </c>
      <c r="K97">
        <v>1.1081030000000001</v>
      </c>
      <c r="L97">
        <v>367.19799999999998</v>
      </c>
      <c r="M97">
        <v>0.99999890000000002</v>
      </c>
      <c r="N97">
        <v>0</v>
      </c>
      <c r="O97">
        <v>-1.176826E-3</v>
      </c>
      <c r="P97">
        <v>0.99803949999999997</v>
      </c>
      <c r="Q97">
        <v>3.39934E-2</v>
      </c>
      <c r="R97">
        <v>-5.2550680000000002E-2</v>
      </c>
      <c r="S97">
        <v>3.0086059999999999</v>
      </c>
      <c r="T97">
        <v>-0.79601</v>
      </c>
      <c r="U97">
        <v>-0.467804</v>
      </c>
      <c r="V97">
        <v>5.1377489999999998E-2</v>
      </c>
      <c r="W97">
        <v>3.2996699999999997E-2</v>
      </c>
      <c r="X97">
        <v>0.99813399999999997</v>
      </c>
      <c r="Y97">
        <v>0.14755979999999999</v>
      </c>
      <c r="Z97">
        <v>-1.877701E-2</v>
      </c>
      <c r="AA97">
        <v>0.9888749</v>
      </c>
      <c r="AB97">
        <v>28</v>
      </c>
      <c r="AC97">
        <v>0.49040000000002198</v>
      </c>
      <c r="AD97">
        <v>-0.20253360000000001</v>
      </c>
      <c r="AE97">
        <v>-0.118900000000053</v>
      </c>
      <c r="AF97">
        <v>0.101906102067992</v>
      </c>
      <c r="AG97">
        <v>-0.20253360000000001</v>
      </c>
      <c r="AH97">
        <v>0.42247965901504098</v>
      </c>
      <c r="AI97">
        <v>114.98679069115801</v>
      </c>
      <c r="AJ97">
        <v>76.438760394435704</v>
      </c>
      <c r="AK97">
        <v>0.47947239237428202</v>
      </c>
      <c r="AL97">
        <v>88.109085029302506</v>
      </c>
      <c r="AM97">
        <v>87.053383964648205</v>
      </c>
      <c r="AN97">
        <v>0.99999995532279395</v>
      </c>
    </row>
    <row r="98" spans="1:40" x14ac:dyDescent="0.25">
      <c r="A98" t="str">
        <f>"20190312154802321"</f>
        <v>20190312154802321</v>
      </c>
      <c r="B98" t="str">
        <f>"1552376882316105"</f>
        <v>1552376882316105</v>
      </c>
      <c r="C98" t="s">
        <v>40</v>
      </c>
      <c r="D98">
        <v>5.0690470000000003</v>
      </c>
      <c r="E98">
        <v>0.54297359999999995</v>
      </c>
      <c r="F98" t="s">
        <v>41</v>
      </c>
      <c r="G98">
        <v>-460.7602</v>
      </c>
      <c r="H98">
        <v>0.9108636</v>
      </c>
      <c r="I98">
        <v>367.0822</v>
      </c>
      <c r="J98">
        <v>-461.2183</v>
      </c>
      <c r="K98">
        <v>1.108115</v>
      </c>
      <c r="L98">
        <v>367.19760000000002</v>
      </c>
      <c r="M98">
        <v>0.99999890000000002</v>
      </c>
      <c r="N98">
        <v>0</v>
      </c>
      <c r="O98">
        <v>-1.1757099999999999E-3</v>
      </c>
      <c r="P98">
        <v>0.9980369</v>
      </c>
      <c r="Q98">
        <v>3.4009159999999997E-2</v>
      </c>
      <c r="R98">
        <v>-5.2589070000000002E-2</v>
      </c>
      <c r="S98">
        <v>3.0084529999999998</v>
      </c>
      <c r="T98">
        <v>-0.79704759999999997</v>
      </c>
      <c r="U98">
        <v>-0.46749879999999999</v>
      </c>
      <c r="V98">
        <v>5.141693E-2</v>
      </c>
      <c r="W98">
        <v>3.3106299999999998E-2</v>
      </c>
      <c r="X98">
        <v>0.99812840000000003</v>
      </c>
      <c r="Y98">
        <v>0.1474607</v>
      </c>
      <c r="Z98">
        <v>-1.8789190000000001E-2</v>
      </c>
      <c r="AA98">
        <v>0.98888949999999998</v>
      </c>
      <c r="AB98">
        <v>28</v>
      </c>
      <c r="AC98">
        <v>0.45810000000000101</v>
      </c>
      <c r="AD98">
        <v>-0.19725139999999999</v>
      </c>
      <c r="AE98">
        <v>-0.115400000000022</v>
      </c>
      <c r="AF98">
        <v>9.7809195783863101E-2</v>
      </c>
      <c r="AG98">
        <v>-0.19725139999999999</v>
      </c>
      <c r="AH98">
        <v>0.39020646150534299</v>
      </c>
      <c r="AI98">
        <v>116.12036843565799</v>
      </c>
      <c r="AJ98">
        <v>75.9281651742007</v>
      </c>
      <c r="AK98">
        <v>0.44803553004462299</v>
      </c>
      <c r="AL98">
        <v>88.102802092741896</v>
      </c>
      <c r="AM98">
        <v>87.051109466254701</v>
      </c>
      <c r="AN98">
        <v>1.0000000153384301</v>
      </c>
    </row>
    <row r="99" spans="1:40" x14ac:dyDescent="0.25">
      <c r="A99" t="str">
        <f>"20190312154802342"</f>
        <v>20190312154802342</v>
      </c>
      <c r="B99" t="str">
        <f>"1552376882336600"</f>
        <v>1552376882336600</v>
      </c>
      <c r="C99" t="s">
        <v>40</v>
      </c>
      <c r="D99">
        <v>5.0956419999999998</v>
      </c>
      <c r="E99">
        <v>0.54299069999999905</v>
      </c>
      <c r="F99" t="s">
        <v>41</v>
      </c>
      <c r="G99">
        <v>-460.50330000000002</v>
      </c>
      <c r="H99">
        <v>0.918466</v>
      </c>
      <c r="I99">
        <v>367.08589999999998</v>
      </c>
      <c r="J99">
        <v>-460.94470000000001</v>
      </c>
      <c r="K99">
        <v>1.1081240000000001</v>
      </c>
      <c r="L99">
        <v>367.19740000000002</v>
      </c>
      <c r="M99">
        <v>0.99999899999999997</v>
      </c>
      <c r="N99">
        <v>0</v>
      </c>
      <c r="O99">
        <v>-1.174839E-3</v>
      </c>
      <c r="P99">
        <v>0.99800440000000001</v>
      </c>
      <c r="Q99">
        <v>3.4576799999999998E-2</v>
      </c>
      <c r="R99">
        <v>-5.2835899999999998E-2</v>
      </c>
      <c r="S99">
        <v>3.0084230000000001</v>
      </c>
      <c r="T99">
        <v>-0.79798500000000006</v>
      </c>
      <c r="U99">
        <v>-0.467804</v>
      </c>
      <c r="V99">
        <v>5.1664599999999998E-2</v>
      </c>
      <c r="W99">
        <v>3.376349E-2</v>
      </c>
      <c r="X99">
        <v>0.99809360000000003</v>
      </c>
      <c r="Y99">
        <v>0.1475467</v>
      </c>
      <c r="Z99">
        <v>-1.8821979999999999E-2</v>
      </c>
      <c r="AA99">
        <v>0.98887599999999998</v>
      </c>
      <c r="AB99">
        <v>28</v>
      </c>
      <c r="AC99">
        <v>0.44139999999998702</v>
      </c>
      <c r="AD99">
        <v>-0.18965799999999899</v>
      </c>
      <c r="AE99">
        <v>-0.111500000000035</v>
      </c>
      <c r="AF99">
        <v>9.4569261438542898E-2</v>
      </c>
      <c r="AG99">
        <v>-0.18965799999999899</v>
      </c>
      <c r="AH99">
        <v>0.37623647257471099</v>
      </c>
      <c r="AI99">
        <v>116.05332604110301</v>
      </c>
      <c r="AJ99">
        <v>75.890661777443796</v>
      </c>
      <c r="AK99">
        <v>0.43181869513546201</v>
      </c>
      <c r="AL99">
        <v>88.065126822545096</v>
      </c>
      <c r="AM99">
        <v>87.036827092163605</v>
      </c>
      <c r="AN99">
        <v>1.0000000192555401</v>
      </c>
    </row>
    <row r="100" spans="1:40" x14ac:dyDescent="0.25">
      <c r="A100" t="str">
        <f>"20190312154802364"</f>
        <v>20190312154802364</v>
      </c>
      <c r="B100" t="str">
        <f>"1552376882356120"</f>
        <v>1552376882356120</v>
      </c>
      <c r="C100" t="s">
        <v>40</v>
      </c>
      <c r="D100">
        <v>5.104838</v>
      </c>
      <c r="E100">
        <v>0.5429891</v>
      </c>
      <c r="F100" t="s">
        <v>41</v>
      </c>
      <c r="G100">
        <v>-460.24579999999997</v>
      </c>
      <c r="H100">
        <v>0.92302689999999998</v>
      </c>
      <c r="I100">
        <v>367.08850000000001</v>
      </c>
      <c r="J100">
        <v>-460.66120000000001</v>
      </c>
      <c r="K100">
        <v>1.108136</v>
      </c>
      <c r="L100">
        <v>367.197</v>
      </c>
      <c r="M100">
        <v>0.99999910000000003</v>
      </c>
      <c r="N100">
        <v>0</v>
      </c>
      <c r="O100">
        <v>-1.1738510000000001E-3</v>
      </c>
      <c r="P100">
        <v>0.99798359999999997</v>
      </c>
      <c r="Q100">
        <v>3.4378409999999998E-2</v>
      </c>
      <c r="R100">
        <v>-5.3360860000000003E-2</v>
      </c>
      <c r="S100">
        <v>3.0087890000000002</v>
      </c>
      <c r="T100">
        <v>-0.79679299999999997</v>
      </c>
      <c r="U100">
        <v>-0.46838380000000002</v>
      </c>
      <c r="V100">
        <v>5.2190430000000003E-2</v>
      </c>
      <c r="W100">
        <v>3.3658649999999998E-2</v>
      </c>
      <c r="X100">
        <v>0.99806980000000001</v>
      </c>
      <c r="Y100">
        <v>0.1477252</v>
      </c>
      <c r="Z100">
        <v>-1.8815700000000001E-2</v>
      </c>
      <c r="AA100">
        <v>0.98884950000000005</v>
      </c>
      <c r="AB100">
        <v>28</v>
      </c>
      <c r="AC100">
        <v>0.41540000000003302</v>
      </c>
      <c r="AD100">
        <v>-0.1851091</v>
      </c>
      <c r="AE100">
        <v>-0.108499999999935</v>
      </c>
      <c r="AF100">
        <v>9.1081059173081597E-2</v>
      </c>
      <c r="AG100">
        <v>-0.1851091</v>
      </c>
      <c r="AH100">
        <v>0.35039197990545901</v>
      </c>
      <c r="AI100">
        <v>117.080651483004</v>
      </c>
      <c r="AJ100">
        <v>75.4289781993524</v>
      </c>
      <c r="AK100">
        <v>0.40661490113492899</v>
      </c>
      <c r="AL100">
        <v>88.071137159798894</v>
      </c>
      <c r="AM100">
        <v>87.006651944293793</v>
      </c>
      <c r="AN100">
        <v>1.0000000356877199</v>
      </c>
    </row>
    <row r="101" spans="1:40" x14ac:dyDescent="0.25">
      <c r="A101" t="str">
        <f>"20190312154802390"</f>
        <v>20190312154802390</v>
      </c>
      <c r="B101" t="str">
        <f>"1552376882386377"</f>
        <v>1552376882386377</v>
      </c>
      <c r="C101" t="s">
        <v>40</v>
      </c>
      <c r="D101">
        <v>5.137829</v>
      </c>
      <c r="E101">
        <v>0.54305579999999998</v>
      </c>
      <c r="F101" t="s">
        <v>41</v>
      </c>
      <c r="G101">
        <v>-459.98570000000001</v>
      </c>
      <c r="H101">
        <v>0.92896040000000002</v>
      </c>
      <c r="I101">
        <v>367.09129999999999</v>
      </c>
      <c r="J101">
        <v>-460.34480000000002</v>
      </c>
      <c r="K101">
        <v>1.1081479999999999</v>
      </c>
      <c r="L101">
        <v>367.19659999999999</v>
      </c>
      <c r="M101">
        <v>0.99999910000000003</v>
      </c>
      <c r="N101">
        <v>0</v>
      </c>
      <c r="O101">
        <v>-1.1723879999999999E-3</v>
      </c>
      <c r="P101">
        <v>0.9979306</v>
      </c>
      <c r="Q101">
        <v>3.4405829999999998E-2</v>
      </c>
      <c r="R101">
        <v>-5.4320399999999998E-2</v>
      </c>
      <c r="S101">
        <v>3.0084840000000002</v>
      </c>
      <c r="T101">
        <v>-0.79810599999999998</v>
      </c>
      <c r="U101">
        <v>-0.46908569999999999</v>
      </c>
      <c r="V101">
        <v>5.315164E-2</v>
      </c>
      <c r="W101">
        <v>3.3790170000000001E-2</v>
      </c>
      <c r="X101">
        <v>0.99801459999999997</v>
      </c>
      <c r="Y101">
        <v>0.14794299999999999</v>
      </c>
      <c r="Z101">
        <v>-1.887581E-2</v>
      </c>
      <c r="AA101">
        <v>0.98881569999999996</v>
      </c>
      <c r="AB101">
        <v>29</v>
      </c>
      <c r="AC101">
        <v>0.35910000000001202</v>
      </c>
      <c r="AD101">
        <v>-0.1791876</v>
      </c>
      <c r="AE101">
        <v>-0.10529999999999901</v>
      </c>
      <c r="AF101">
        <v>8.5317548052832301E-2</v>
      </c>
      <c r="AG101">
        <v>-0.1791876</v>
      </c>
      <c r="AH101">
        <v>0.29222309147553599</v>
      </c>
      <c r="AI101">
        <v>120.48164938801401</v>
      </c>
      <c r="AJ101">
        <v>73.724290370589799</v>
      </c>
      <c r="AK101">
        <v>0.35324441282350999</v>
      </c>
      <c r="AL101">
        <v>88.063597274919104</v>
      </c>
      <c r="AM101">
        <v>86.951457124972805</v>
      </c>
      <c r="AN101">
        <v>1.00000000711823</v>
      </c>
    </row>
    <row r="102" spans="1:40" x14ac:dyDescent="0.25">
      <c r="A102" t="str">
        <f>"20190312154802411"</f>
        <v>20190312154802411</v>
      </c>
      <c r="B102" t="str">
        <f>"1552376882405897"</f>
        <v>1552376882405897</v>
      </c>
      <c r="C102" t="s">
        <v>40</v>
      </c>
      <c r="D102">
        <v>5.1278309999999996</v>
      </c>
      <c r="E102">
        <v>0.54307510000000003</v>
      </c>
      <c r="F102" t="s">
        <v>41</v>
      </c>
      <c r="G102">
        <v>-459.48469999999998</v>
      </c>
      <c r="H102">
        <v>0.87972340000000004</v>
      </c>
      <c r="I102">
        <v>367.06099999999998</v>
      </c>
      <c r="J102">
        <v>-460.0573</v>
      </c>
      <c r="K102">
        <v>1.108158</v>
      </c>
      <c r="L102">
        <v>367.19630000000001</v>
      </c>
      <c r="M102">
        <v>0.99999919999999998</v>
      </c>
      <c r="N102">
        <v>0</v>
      </c>
      <c r="O102">
        <v>-1.171528E-3</v>
      </c>
      <c r="P102">
        <v>0.99786830000000004</v>
      </c>
      <c r="Q102">
        <v>3.4406560000000003E-2</v>
      </c>
      <c r="R102">
        <v>-5.5453559999999999E-2</v>
      </c>
      <c r="S102">
        <v>3.0080260000000001</v>
      </c>
      <c r="T102">
        <v>-0.79901619999999995</v>
      </c>
      <c r="U102">
        <v>-0.47296139999999998</v>
      </c>
      <c r="V102">
        <v>5.4285720000000003E-2</v>
      </c>
      <c r="W102">
        <v>3.3885489999999997E-2</v>
      </c>
      <c r="X102">
        <v>0.99795029999999996</v>
      </c>
      <c r="Y102">
        <v>0.1491576</v>
      </c>
      <c r="Z102">
        <v>-1.9055470000000001E-2</v>
      </c>
      <c r="AA102">
        <v>0.9886298</v>
      </c>
      <c r="AB102">
        <v>29</v>
      </c>
      <c r="AC102">
        <v>0.57260000000002198</v>
      </c>
      <c r="AD102">
        <v>-0.22843459999999999</v>
      </c>
      <c r="AE102">
        <v>-0.13530000000002901</v>
      </c>
      <c r="AF102">
        <v>0.11699358874166101</v>
      </c>
      <c r="AG102">
        <v>-0.22843459999999999</v>
      </c>
      <c r="AH102">
        <v>0.497730670705468</v>
      </c>
      <c r="AI102">
        <v>114.07393992308801</v>
      </c>
      <c r="AJ102">
        <v>76.772516393085596</v>
      </c>
      <c r="AK102">
        <v>0.56000507751691597</v>
      </c>
      <c r="AL102">
        <v>88.058132666112499</v>
      </c>
      <c r="AM102">
        <v>86.886337741340697</v>
      </c>
      <c r="AN102">
        <v>0.999999983549274</v>
      </c>
    </row>
    <row r="103" spans="1:40" x14ac:dyDescent="0.25">
      <c r="A103" t="str">
        <f>"20190312154802433"</f>
        <v>20190312154802433</v>
      </c>
      <c r="B103" t="str">
        <f>"1552376882426392"</f>
        <v>1552376882426392</v>
      </c>
      <c r="C103" t="s">
        <v>40</v>
      </c>
      <c r="D103">
        <v>5.1332810000000002</v>
      </c>
      <c r="E103">
        <v>0.54310480000000005</v>
      </c>
      <c r="F103" t="s">
        <v>41</v>
      </c>
      <c r="G103">
        <v>-459.21969999999999</v>
      </c>
      <c r="H103">
        <v>0.88552749999999902</v>
      </c>
      <c r="I103">
        <v>367.0634</v>
      </c>
      <c r="J103">
        <v>-459.77409999999998</v>
      </c>
      <c r="K103">
        <v>1.108158</v>
      </c>
      <c r="L103">
        <v>367.19600000000003</v>
      </c>
      <c r="M103">
        <v>0.99999919999999998</v>
      </c>
      <c r="N103">
        <v>0</v>
      </c>
      <c r="O103">
        <v>-1.1706729999999999E-3</v>
      </c>
      <c r="P103">
        <v>0.99784200000000001</v>
      </c>
      <c r="Q103">
        <v>3.4021990000000002E-2</v>
      </c>
      <c r="R103">
        <v>-5.6160509999999997E-2</v>
      </c>
      <c r="S103">
        <v>3.0075069999999999</v>
      </c>
      <c r="T103">
        <v>-0.79934759999999905</v>
      </c>
      <c r="U103">
        <v>-0.47692869999999998</v>
      </c>
      <c r="V103">
        <v>5.4993529999999999E-2</v>
      </c>
      <c r="W103">
        <v>3.3594310000000002E-2</v>
      </c>
      <c r="X103">
        <v>0.99792139999999996</v>
      </c>
      <c r="Y103">
        <v>0.15040999999999999</v>
      </c>
      <c r="Z103">
        <v>-1.922724E-2</v>
      </c>
      <c r="AA103">
        <v>0.98843669999999995</v>
      </c>
      <c r="AB103">
        <v>29</v>
      </c>
      <c r="AC103">
        <v>0.55439999999998602</v>
      </c>
      <c r="AD103">
        <v>-0.22263050000000001</v>
      </c>
      <c r="AE103">
        <v>-0.13259999999996799</v>
      </c>
      <c r="AF103">
        <v>0.11448774827728</v>
      </c>
      <c r="AG103">
        <v>-0.22263050000000001</v>
      </c>
      <c r="AH103">
        <v>0.48116187177054198</v>
      </c>
      <c r="AI103">
        <v>114.23379109787901</v>
      </c>
      <c r="AJ103">
        <v>76.615909430768397</v>
      </c>
      <c r="AK103">
        <v>0.54239149226511996</v>
      </c>
      <c r="AL103">
        <v>88.074825574427294</v>
      </c>
      <c r="AM103">
        <v>86.845730219328203</v>
      </c>
      <c r="AN103">
        <v>0.99999999329209799</v>
      </c>
    </row>
    <row r="104" spans="1:40" x14ac:dyDescent="0.25">
      <c r="A104" t="str">
        <f>"20190312154802455"</f>
        <v>20190312154802455</v>
      </c>
      <c r="B104" t="str">
        <f>"1552376882445913"</f>
        <v>1552376882445913</v>
      </c>
      <c r="C104" t="s">
        <v>40</v>
      </c>
      <c r="D104">
        <v>5.1309189999999996</v>
      </c>
      <c r="E104">
        <v>0.54316560000000003</v>
      </c>
      <c r="F104" t="s">
        <v>41</v>
      </c>
      <c r="G104">
        <v>-458.95359999999999</v>
      </c>
      <c r="H104">
        <v>0.88956630000000003</v>
      </c>
      <c r="I104">
        <v>367.06490000000002</v>
      </c>
      <c r="J104">
        <v>-459.47449999999998</v>
      </c>
      <c r="K104">
        <v>1.1081700000000001</v>
      </c>
      <c r="L104">
        <v>367.19560000000001</v>
      </c>
      <c r="M104">
        <v>0.99999930000000004</v>
      </c>
      <c r="N104">
        <v>0</v>
      </c>
      <c r="O104">
        <v>-1.169703E-3</v>
      </c>
      <c r="P104">
        <v>0.99781410000000004</v>
      </c>
      <c r="Q104">
        <v>3.35588E-2</v>
      </c>
      <c r="R104">
        <v>-5.692738E-2</v>
      </c>
      <c r="S104">
        <v>3.0068359999999998</v>
      </c>
      <c r="T104">
        <v>-0.80112209999999995</v>
      </c>
      <c r="U104">
        <v>-0.47964479999999998</v>
      </c>
      <c r="V104">
        <v>5.576147E-2</v>
      </c>
      <c r="W104">
        <v>3.3230210000000003E-2</v>
      </c>
      <c r="X104">
        <v>0.99789099999999997</v>
      </c>
      <c r="Y104">
        <v>0.15126329999999999</v>
      </c>
      <c r="Z104">
        <v>-1.938264E-2</v>
      </c>
      <c r="AA104">
        <v>0.9883035</v>
      </c>
      <c r="AB104">
        <v>29</v>
      </c>
      <c r="AC104">
        <v>0.52089999999998304</v>
      </c>
      <c r="AD104">
        <v>-0.21860370000000001</v>
      </c>
      <c r="AE104">
        <v>-0.13069999999998999</v>
      </c>
      <c r="AF104">
        <v>0.11159986849098499</v>
      </c>
      <c r="AG104">
        <v>-0.21860370000000001</v>
      </c>
      <c r="AH104">
        <v>0.44699146322230698</v>
      </c>
      <c r="AI104">
        <v>115.383900424492</v>
      </c>
      <c r="AJ104">
        <v>75.981612447529102</v>
      </c>
      <c r="AK104">
        <v>0.50994458178758495</v>
      </c>
      <c r="AL104">
        <v>88.095698669704603</v>
      </c>
      <c r="AM104">
        <v>86.801676983546898</v>
      </c>
      <c r="AN104">
        <v>1.0000000181371</v>
      </c>
    </row>
    <row r="105" spans="1:40" x14ac:dyDescent="0.25">
      <c r="A105" t="str">
        <f>"20190312154802478"</f>
        <v>20190312154802478</v>
      </c>
      <c r="B105" t="str">
        <f>"1552376882466421"</f>
        <v>1552376882466421</v>
      </c>
      <c r="C105" t="s">
        <v>40</v>
      </c>
      <c r="D105">
        <v>5.1181530000000004</v>
      </c>
      <c r="E105">
        <v>0.54316869999999995</v>
      </c>
      <c r="F105" t="s">
        <v>41</v>
      </c>
      <c r="G105">
        <v>-458.68459999999999</v>
      </c>
      <c r="H105">
        <v>0.89708379999999999</v>
      </c>
      <c r="I105">
        <v>367.06869999999998</v>
      </c>
      <c r="J105">
        <v>-459.16840000000002</v>
      </c>
      <c r="K105">
        <v>1.1081780000000001</v>
      </c>
      <c r="L105">
        <v>367.19529999999997</v>
      </c>
      <c r="M105">
        <v>0.99999930000000004</v>
      </c>
      <c r="N105">
        <v>0</v>
      </c>
      <c r="O105">
        <v>-1.168498E-3</v>
      </c>
      <c r="P105">
        <v>0.99777559999999998</v>
      </c>
      <c r="Q105">
        <v>3.3982419999999999E-2</v>
      </c>
      <c r="R105">
        <v>-5.7353050000000003E-2</v>
      </c>
      <c r="S105">
        <v>3.0060730000000002</v>
      </c>
      <c r="T105">
        <v>-0.80330239999999997</v>
      </c>
      <c r="U105">
        <v>-0.4826355</v>
      </c>
      <c r="V105">
        <v>5.6188259999999997E-2</v>
      </c>
      <c r="W105">
        <v>3.3754920000000001E-2</v>
      </c>
      <c r="X105">
        <v>0.9978494</v>
      </c>
      <c r="Y105">
        <v>0.15220110000000001</v>
      </c>
      <c r="Z105">
        <v>-1.9559610000000002E-2</v>
      </c>
      <c r="AA105">
        <v>0.98815600000000003</v>
      </c>
      <c r="AB105">
        <v>30</v>
      </c>
      <c r="AC105">
        <v>0.48380000000002998</v>
      </c>
      <c r="AD105">
        <v>-0.21109420000000001</v>
      </c>
      <c r="AE105">
        <v>-0.12659999999999599</v>
      </c>
      <c r="AF105">
        <v>0.106974071726206</v>
      </c>
      <c r="AG105">
        <v>-0.21109420000000001</v>
      </c>
      <c r="AH105">
        <v>0.41075901230150003</v>
      </c>
      <c r="AI105">
        <v>116.442259046582</v>
      </c>
      <c r="AJ105">
        <v>75.402695707053994</v>
      </c>
      <c r="AK105">
        <v>0.47405398372150398</v>
      </c>
      <c r="AL105">
        <v>88.065618032354493</v>
      </c>
      <c r="AM105">
        <v>86.777114826654895</v>
      </c>
      <c r="AN105">
        <v>0.99999997013319597</v>
      </c>
    </row>
    <row r="106" spans="1:40" x14ac:dyDescent="0.25">
      <c r="A106" t="str">
        <f>"20190312154802500"</f>
        <v>20190312154802500</v>
      </c>
      <c r="B106" t="str">
        <f>"1552376882495688"</f>
        <v>1552376882495688</v>
      </c>
      <c r="C106" t="s">
        <v>40</v>
      </c>
      <c r="D106">
        <v>5.1186759999999998</v>
      </c>
      <c r="E106">
        <v>0.54322579999999998</v>
      </c>
      <c r="F106" t="s">
        <v>41</v>
      </c>
      <c r="G106">
        <v>-458.41300000000001</v>
      </c>
      <c r="H106">
        <v>0.90653399999999995</v>
      </c>
      <c r="I106">
        <v>367.07339999999999</v>
      </c>
      <c r="J106">
        <v>-458.87419999999997</v>
      </c>
      <c r="K106">
        <v>1.1081840000000001</v>
      </c>
      <c r="L106">
        <v>367.19490000000002</v>
      </c>
      <c r="M106">
        <v>0.99999950000000004</v>
      </c>
      <c r="N106">
        <v>0</v>
      </c>
      <c r="O106">
        <v>-1.1674189999999901E-3</v>
      </c>
      <c r="P106">
        <v>0.99775400000000003</v>
      </c>
      <c r="Q106">
        <v>3.4573270000000003E-2</v>
      </c>
      <c r="R106">
        <v>-5.7378060000000002E-2</v>
      </c>
      <c r="S106">
        <v>3.0062259999999998</v>
      </c>
      <c r="T106">
        <v>-0.80251439999999996</v>
      </c>
      <c r="U106">
        <v>-0.48352050000000002</v>
      </c>
      <c r="V106">
        <v>5.621425E-2</v>
      </c>
      <c r="W106">
        <v>3.4443540000000002E-2</v>
      </c>
      <c r="X106">
        <v>0.99782439999999994</v>
      </c>
      <c r="Y106">
        <v>0.15247910000000001</v>
      </c>
      <c r="Z106">
        <v>-1.9576219999999998E-2</v>
      </c>
      <c r="AA106">
        <v>0.98811280000000001</v>
      </c>
      <c r="AB106">
        <v>30</v>
      </c>
      <c r="AC106">
        <v>0.46119999999996197</v>
      </c>
      <c r="AD106">
        <v>-0.20165</v>
      </c>
      <c r="AE106">
        <v>-0.121500000000025</v>
      </c>
      <c r="AF106">
        <v>0.10261735533873299</v>
      </c>
      <c r="AG106">
        <v>-0.20165</v>
      </c>
      <c r="AH106">
        <v>0.391377801918593</v>
      </c>
      <c r="AI106">
        <v>116.490964789036</v>
      </c>
      <c r="AJ106">
        <v>75.308038810380694</v>
      </c>
      <c r="AK106">
        <v>0.45207259146219603</v>
      </c>
      <c r="AL106">
        <v>88.026140044786203</v>
      </c>
      <c r="AM106">
        <v>86.7755466043387</v>
      </c>
      <c r="AN106">
        <v>0.99999996629307597</v>
      </c>
    </row>
    <row r="107" spans="1:40" x14ac:dyDescent="0.25">
      <c r="A107" t="str">
        <f>"20190312154802523"</f>
        <v>20190312154802523</v>
      </c>
      <c r="B107" t="str">
        <f>"1552376882516185"</f>
        <v>1552376882516185</v>
      </c>
      <c r="C107" t="s">
        <v>40</v>
      </c>
      <c r="D107">
        <v>5.1326809999999998</v>
      </c>
      <c r="E107">
        <v>0.5432901</v>
      </c>
      <c r="F107" t="s">
        <v>41</v>
      </c>
      <c r="G107">
        <v>-458.14109999999999</v>
      </c>
      <c r="H107">
        <v>0.91273510000000002</v>
      </c>
      <c r="I107">
        <v>367.07670000000002</v>
      </c>
      <c r="J107">
        <v>-458.57369999999997</v>
      </c>
      <c r="K107">
        <v>1.1081939999999999</v>
      </c>
      <c r="L107">
        <v>367.19459999999998</v>
      </c>
      <c r="M107">
        <v>0.99999950000000004</v>
      </c>
      <c r="N107">
        <v>0</v>
      </c>
      <c r="O107">
        <v>-1.166463E-3</v>
      </c>
      <c r="P107">
        <v>0.99777590000000005</v>
      </c>
      <c r="Q107">
        <v>3.4301030000000003E-2</v>
      </c>
      <c r="R107">
        <v>-5.7159420000000002E-2</v>
      </c>
      <c r="S107">
        <v>3.0067439999999999</v>
      </c>
      <c r="T107">
        <v>-0.80157659999999997</v>
      </c>
      <c r="U107">
        <v>-0.48431400000000002</v>
      </c>
      <c r="V107">
        <v>5.5996749999999998E-2</v>
      </c>
      <c r="W107">
        <v>3.4271030000000001E-2</v>
      </c>
      <c r="X107">
        <v>0.99784260000000002</v>
      </c>
      <c r="Y107">
        <v>0.152713299999999</v>
      </c>
      <c r="Z107">
        <v>-1.958124E-2</v>
      </c>
      <c r="AA107">
        <v>0.98807650000000002</v>
      </c>
      <c r="AB107">
        <v>30</v>
      </c>
      <c r="AC107">
        <v>0.432599999999979</v>
      </c>
      <c r="AD107">
        <v>-0.19545889999999999</v>
      </c>
      <c r="AE107">
        <v>-0.11789999999996301</v>
      </c>
      <c r="AF107">
        <v>9.8649053810595605E-2</v>
      </c>
      <c r="AG107">
        <v>-0.19545889999999999</v>
      </c>
      <c r="AH107">
        <v>0.36363564424650802</v>
      </c>
      <c r="AI107">
        <v>117.418592980139</v>
      </c>
      <c r="AJ107">
        <v>74.821801399988203</v>
      </c>
      <c r="AK107">
        <v>0.42446048010799398</v>
      </c>
      <c r="AL107">
        <v>88.036030039148301</v>
      </c>
      <c r="AM107">
        <v>86.788054709203195</v>
      </c>
      <c r="AN107">
        <v>0.99999999694129105</v>
      </c>
    </row>
    <row r="108" spans="1:40" x14ac:dyDescent="0.25">
      <c r="A108" t="str">
        <f>"20190312154802544"</f>
        <v>20190312154802544</v>
      </c>
      <c r="B108" t="str">
        <f>"1552376882535705"</f>
        <v>1552376882535705</v>
      </c>
      <c r="C108" t="s">
        <v>40</v>
      </c>
      <c r="D108">
        <v>5.1516599999999997</v>
      </c>
      <c r="E108">
        <v>0.54333529999999997</v>
      </c>
      <c r="F108" t="s">
        <v>41</v>
      </c>
      <c r="G108">
        <v>-457.86720000000003</v>
      </c>
      <c r="H108">
        <v>0.91944590000000004</v>
      </c>
      <c r="I108">
        <v>367.0804</v>
      </c>
      <c r="J108">
        <v>-458.28039999999999</v>
      </c>
      <c r="K108">
        <v>1.108201</v>
      </c>
      <c r="L108">
        <v>367.19420000000002</v>
      </c>
      <c r="M108">
        <v>0.99999930000000004</v>
      </c>
      <c r="N108">
        <v>0</v>
      </c>
      <c r="O108">
        <v>-1.165274E-3</v>
      </c>
      <c r="P108">
        <v>0.99778599999999995</v>
      </c>
      <c r="Q108">
        <v>3.4130300000000002E-2</v>
      </c>
      <c r="R108">
        <v>-5.7082389999999997E-2</v>
      </c>
      <c r="S108">
        <v>3.0065309999999998</v>
      </c>
      <c r="T108">
        <v>-0.80342089999999999</v>
      </c>
      <c r="U108">
        <v>-0.48370360000000001</v>
      </c>
      <c r="V108">
        <v>5.5920900000000003E-2</v>
      </c>
      <c r="W108">
        <v>3.4197640000000001E-2</v>
      </c>
      <c r="X108">
        <v>0.9978494</v>
      </c>
      <c r="Y108">
        <v>0.1525125</v>
      </c>
      <c r="Z108">
        <v>-1.9600530000000001E-2</v>
      </c>
      <c r="AA108">
        <v>0.98810710000000002</v>
      </c>
      <c r="AB108">
        <v>30</v>
      </c>
      <c r="AC108">
        <v>0.41319999999995999</v>
      </c>
      <c r="AD108">
        <v>-0.18875509999999901</v>
      </c>
      <c r="AE108">
        <v>-0.11380000000002601</v>
      </c>
      <c r="AF108">
        <v>9.4909302716325403E-2</v>
      </c>
      <c r="AG108">
        <v>-0.18875509999999901</v>
      </c>
      <c r="AH108">
        <v>0.34618448635718702</v>
      </c>
      <c r="AI108">
        <v>117.737209693441</v>
      </c>
      <c r="AJ108">
        <v>74.668600907886301</v>
      </c>
      <c r="AK108">
        <v>0.40556129267041602</v>
      </c>
      <c r="AL108">
        <v>88.040237498374594</v>
      </c>
      <c r="AM108">
        <v>86.792418149053105</v>
      </c>
      <c r="AN108">
        <v>1.0000000253593599</v>
      </c>
    </row>
    <row r="109" spans="1:40" x14ac:dyDescent="0.25">
      <c r="A109" t="str">
        <f>"20190312154802566"</f>
        <v>20190312154802566</v>
      </c>
      <c r="B109" t="str">
        <f>"1552376882556200"</f>
        <v>1552376882556200</v>
      </c>
      <c r="C109" t="s">
        <v>40</v>
      </c>
      <c r="D109">
        <v>5.1650530000000003</v>
      </c>
      <c r="E109">
        <v>0.54332849999999999</v>
      </c>
      <c r="F109" t="s">
        <v>41</v>
      </c>
      <c r="G109">
        <v>-457.5926</v>
      </c>
      <c r="H109">
        <v>0.92406270000000001</v>
      </c>
      <c r="I109">
        <v>367.0838</v>
      </c>
      <c r="J109">
        <v>-457.96980000000002</v>
      </c>
      <c r="K109">
        <v>1.108212</v>
      </c>
      <c r="L109">
        <v>367.19389999999999</v>
      </c>
      <c r="M109">
        <v>0.99999939999999998</v>
      </c>
      <c r="N109">
        <v>0</v>
      </c>
      <c r="O109">
        <v>-1.16409E-3</v>
      </c>
      <c r="P109">
        <v>0.9977954</v>
      </c>
      <c r="Q109">
        <v>3.4267180000000001E-2</v>
      </c>
      <c r="R109">
        <v>-5.6834929999999999E-2</v>
      </c>
      <c r="S109">
        <v>3.0065309999999998</v>
      </c>
      <c r="T109">
        <v>-0.80493409999999999</v>
      </c>
      <c r="U109">
        <v>-0.4835815</v>
      </c>
      <c r="V109">
        <v>5.5674630000000003E-2</v>
      </c>
      <c r="W109">
        <v>3.4437349999999999E-2</v>
      </c>
      <c r="X109">
        <v>0.99785489999999999</v>
      </c>
      <c r="Y109">
        <v>0.15245729999999999</v>
      </c>
      <c r="Z109">
        <v>-1.9629359999999998E-2</v>
      </c>
      <c r="AA109">
        <v>0.98811510000000002</v>
      </c>
      <c r="AB109">
        <v>30</v>
      </c>
      <c r="AC109">
        <v>0.37720000000001602</v>
      </c>
      <c r="AD109">
        <v>-0.18414929999999999</v>
      </c>
      <c r="AE109">
        <v>-0.110099999999988</v>
      </c>
      <c r="AF109">
        <v>8.9913345294695898E-2</v>
      </c>
      <c r="AG109">
        <v>-0.18414929999999999</v>
      </c>
      <c r="AH109">
        <v>0.30937951603827601</v>
      </c>
      <c r="AI109">
        <v>119.751090239338</v>
      </c>
      <c r="AJ109">
        <v>73.794827701787995</v>
      </c>
      <c r="AK109">
        <v>0.37109440752543199</v>
      </c>
      <c r="AL109">
        <v>88.026494979741102</v>
      </c>
      <c r="AM109">
        <v>86.806532279469394</v>
      </c>
      <c r="AN109">
        <v>0.99999999847733401</v>
      </c>
    </row>
    <row r="110" spans="1:40" x14ac:dyDescent="0.25">
      <c r="A110" t="str">
        <f>"20190312154802591"</f>
        <v>20190312154802591</v>
      </c>
      <c r="B110" t="str">
        <f>"1552376882586456"</f>
        <v>1552376882586456</v>
      </c>
      <c r="C110" t="s">
        <v>40</v>
      </c>
      <c r="D110">
        <v>5.170763</v>
      </c>
      <c r="E110">
        <v>0.54330730000000005</v>
      </c>
      <c r="F110" t="s">
        <v>41</v>
      </c>
      <c r="G110">
        <v>-457.06450000000001</v>
      </c>
      <c r="H110">
        <v>0.86584649999999996</v>
      </c>
      <c r="I110">
        <v>367.04880000000003</v>
      </c>
      <c r="J110">
        <v>-457.62909999999999</v>
      </c>
      <c r="K110">
        <v>1.1082289999999999</v>
      </c>
      <c r="L110">
        <v>367.19349999999997</v>
      </c>
      <c r="M110">
        <v>0.99999930000000004</v>
      </c>
      <c r="N110">
        <v>0</v>
      </c>
      <c r="O110">
        <v>-1.1627930000000001E-3</v>
      </c>
      <c r="P110">
        <v>0.99780230000000003</v>
      </c>
      <c r="Q110">
        <v>3.4446949999999997E-2</v>
      </c>
      <c r="R110">
        <v>-5.6602909999999999E-2</v>
      </c>
      <c r="S110">
        <v>3.0068359999999998</v>
      </c>
      <c r="T110">
        <v>-0.80498619999999899</v>
      </c>
      <c r="U110">
        <v>-0.48223880000000002</v>
      </c>
      <c r="V110">
        <v>5.544396E-2</v>
      </c>
      <c r="W110">
        <v>3.4729950000000002E-2</v>
      </c>
      <c r="X110">
        <v>0.99785760000000001</v>
      </c>
      <c r="Y110">
        <v>0.1520272</v>
      </c>
      <c r="Z110">
        <v>-1.9573449999999999E-2</v>
      </c>
      <c r="AA110">
        <v>0.98818249999999996</v>
      </c>
      <c r="AB110">
        <v>31</v>
      </c>
      <c r="AC110">
        <v>0.564599999999984</v>
      </c>
      <c r="AD110">
        <v>-0.2423825</v>
      </c>
      <c r="AE110">
        <v>-0.14469999999994301</v>
      </c>
      <c r="AF110">
        <v>0.12280553926919099</v>
      </c>
      <c r="AG110">
        <v>-0.2423825</v>
      </c>
      <c r="AH110">
        <v>0.48149813576276201</v>
      </c>
      <c r="AI110">
        <v>116.002073884814</v>
      </c>
      <c r="AJ110">
        <v>75.691820901841098</v>
      </c>
      <c r="AK110">
        <v>0.55287515003340704</v>
      </c>
      <c r="AL110">
        <v>88.009720195081002</v>
      </c>
      <c r="AM110">
        <v>86.819744762164007</v>
      </c>
      <c r="AN110">
        <v>0.99999999600262202</v>
      </c>
    </row>
    <row r="111" spans="1:40" x14ac:dyDescent="0.25">
      <c r="A111" t="str">
        <f>"20190312154802625"</f>
        <v>20190312154802625</v>
      </c>
      <c r="B111" t="str">
        <f>"1552376882616712"</f>
        <v>1552376882616712</v>
      </c>
      <c r="C111" t="s">
        <v>40</v>
      </c>
      <c r="D111">
        <v>5.1623400000000004</v>
      </c>
      <c r="E111">
        <v>0.54328769999999904</v>
      </c>
      <c r="F111" t="s">
        <v>41</v>
      </c>
      <c r="G111">
        <v>-456.78089999999997</v>
      </c>
      <c r="H111">
        <v>0.88117690000000004</v>
      </c>
      <c r="I111">
        <v>367.0575</v>
      </c>
      <c r="J111">
        <v>-457.15370000000001</v>
      </c>
      <c r="K111">
        <v>1.1082419999999999</v>
      </c>
      <c r="L111">
        <v>367.19290000000001</v>
      </c>
      <c r="M111">
        <v>0.99999930000000004</v>
      </c>
      <c r="N111">
        <v>0</v>
      </c>
      <c r="O111">
        <v>-1.161037E-3</v>
      </c>
      <c r="P111">
        <v>0.99780800000000003</v>
      </c>
      <c r="Q111">
        <v>3.4273430000000001E-2</v>
      </c>
      <c r="R111">
        <v>-5.661149E-2</v>
      </c>
      <c r="S111">
        <v>3.0071409999999998</v>
      </c>
      <c r="T111">
        <v>-0.80500340000000004</v>
      </c>
      <c r="U111">
        <v>-0.4810181</v>
      </c>
      <c r="V111">
        <v>5.5454089999999998E-2</v>
      </c>
      <c r="W111">
        <v>3.4713269999999997E-2</v>
      </c>
      <c r="X111">
        <v>0.99785760000000001</v>
      </c>
      <c r="Y111">
        <v>0.15163589999999999</v>
      </c>
      <c r="Z111">
        <v>-1.952185E-2</v>
      </c>
      <c r="AA111">
        <v>0.9882436</v>
      </c>
      <c r="AB111">
        <v>31</v>
      </c>
      <c r="AC111">
        <v>0.37280000000003999</v>
      </c>
      <c r="AD111">
        <v>-0.22706509999999899</v>
      </c>
      <c r="AE111">
        <v>-0.13540000000000399</v>
      </c>
      <c r="AF111">
        <v>0.101651346742489</v>
      </c>
      <c r="AG111">
        <v>-0.22706509999999899</v>
      </c>
      <c r="AH111">
        <v>0.280895002037793</v>
      </c>
      <c r="AI111">
        <v>127.239231218008</v>
      </c>
      <c r="AJ111">
        <v>70.105631333956595</v>
      </c>
      <c r="AK111">
        <v>0.375224676830274</v>
      </c>
      <c r="AL111">
        <v>88.010676430552806</v>
      </c>
      <c r="AM111">
        <v>86.819164900289294</v>
      </c>
      <c r="AN111">
        <v>0.99999997854478995</v>
      </c>
    </row>
    <row r="112" spans="1:40" x14ac:dyDescent="0.25">
      <c r="A112" t="str">
        <f>"20190312154802646"</f>
        <v>20190312154802646</v>
      </c>
      <c r="B112" t="str">
        <f>"1552376882636233"</f>
        <v>1552376882636233</v>
      </c>
      <c r="C112" t="s">
        <v>40</v>
      </c>
      <c r="D112">
        <v>5.1777670000000002</v>
      </c>
      <c r="E112">
        <v>0.54327799999999904</v>
      </c>
      <c r="F112" t="s">
        <v>41</v>
      </c>
      <c r="G112">
        <v>-456.22859999999997</v>
      </c>
      <c r="H112">
        <v>0.86032450000000005</v>
      </c>
      <c r="I112">
        <v>367.0446</v>
      </c>
      <c r="J112">
        <v>-456.85649999999998</v>
      </c>
      <c r="K112">
        <v>1.108247</v>
      </c>
      <c r="L112">
        <v>367.1925</v>
      </c>
      <c r="M112">
        <v>0.99999919999999998</v>
      </c>
      <c r="N112">
        <v>0</v>
      </c>
      <c r="O112">
        <v>-1.159871E-3</v>
      </c>
      <c r="P112">
        <v>0.99781189999999997</v>
      </c>
      <c r="Q112">
        <v>3.4266749999999999E-2</v>
      </c>
      <c r="R112">
        <v>-5.654373E-2</v>
      </c>
      <c r="S112">
        <v>3.0069889999999999</v>
      </c>
      <c r="T112">
        <v>-0.80585580000000001</v>
      </c>
      <c r="U112">
        <v>-0.48080440000000002</v>
      </c>
      <c r="V112">
        <v>5.5387619999999999E-2</v>
      </c>
      <c r="W112">
        <v>3.4804290000000002E-2</v>
      </c>
      <c r="X112">
        <v>0.99785820000000003</v>
      </c>
      <c r="Y112">
        <v>0.15156739999999999</v>
      </c>
      <c r="Z112">
        <v>-1.9534220000000001E-2</v>
      </c>
      <c r="AA112">
        <v>0.98825390000000002</v>
      </c>
      <c r="AB112">
        <v>31</v>
      </c>
      <c r="AC112">
        <v>0.627900000000011</v>
      </c>
      <c r="AD112">
        <v>-0.24792249999999999</v>
      </c>
      <c r="AE112">
        <v>-0.14789999999999201</v>
      </c>
      <c r="AF112">
        <v>0.12823104511221001</v>
      </c>
      <c r="AG112">
        <v>-0.24792249999999999</v>
      </c>
      <c r="AH112">
        <v>0.54724013953971795</v>
      </c>
      <c r="AI112">
        <v>113.801972862035</v>
      </c>
      <c r="AJ112">
        <v>76.812204241735998</v>
      </c>
      <c r="AK112">
        <v>0.61431306128086705</v>
      </c>
      <c r="AL112">
        <v>88.005458372285702</v>
      </c>
      <c r="AM112">
        <v>86.8229716970434</v>
      </c>
      <c r="AN112">
        <v>1.0000000571794501</v>
      </c>
    </row>
    <row r="113" spans="1:40" x14ac:dyDescent="0.25">
      <c r="A113" t="str">
        <f>"20190312154802667"</f>
        <v>20190312154802667</v>
      </c>
      <c r="B113" t="str">
        <f>"1552376882656729"</f>
        <v>1552376882656729</v>
      </c>
      <c r="C113" t="s">
        <v>40</v>
      </c>
      <c r="D113">
        <v>5.1831379999999996</v>
      </c>
      <c r="E113">
        <v>0.54327609999999904</v>
      </c>
      <c r="F113" t="s">
        <v>41</v>
      </c>
      <c r="G113">
        <v>-455.94479999999999</v>
      </c>
      <c r="H113">
        <v>0.86378089999999996</v>
      </c>
      <c r="I113">
        <v>367.04669999999999</v>
      </c>
      <c r="J113">
        <v>-456.5625</v>
      </c>
      <c r="K113">
        <v>1.1082540000000001</v>
      </c>
      <c r="L113">
        <v>367.19220000000001</v>
      </c>
      <c r="M113">
        <v>0.99999919999999998</v>
      </c>
      <c r="N113">
        <v>0</v>
      </c>
      <c r="O113">
        <v>-1.158828E-3</v>
      </c>
      <c r="P113">
        <v>0.99783140000000003</v>
      </c>
      <c r="Q113">
        <v>3.351055E-2</v>
      </c>
      <c r="R113">
        <v>-5.6653630000000003E-2</v>
      </c>
      <c r="S113">
        <v>3.00705</v>
      </c>
      <c r="T113">
        <v>-0.80643869999999995</v>
      </c>
      <c r="U113">
        <v>-0.4803772</v>
      </c>
      <c r="V113">
        <v>5.5498600000000002E-2</v>
      </c>
      <c r="W113">
        <v>3.414474E-2</v>
      </c>
      <c r="X113">
        <v>0.9978747</v>
      </c>
      <c r="Y113">
        <v>0.1514259</v>
      </c>
      <c r="Z113">
        <v>-1.952945E-2</v>
      </c>
      <c r="AA113">
        <v>0.98827560000000003</v>
      </c>
      <c r="AB113">
        <v>31</v>
      </c>
      <c r="AC113">
        <v>0.61770000000001302</v>
      </c>
      <c r="AD113">
        <v>-0.2444731</v>
      </c>
      <c r="AE113">
        <v>-0.145500000000026</v>
      </c>
      <c r="AF113">
        <v>0.126073823592493</v>
      </c>
      <c r="AG113">
        <v>-0.2444731</v>
      </c>
      <c r="AH113">
        <v>0.53802184722740898</v>
      </c>
      <c r="AI113">
        <v>113.865007651615</v>
      </c>
      <c r="AJ113">
        <v>76.811917747482099</v>
      </c>
      <c r="AK113">
        <v>0.60425922724674597</v>
      </c>
      <c r="AL113">
        <v>88.043270043951196</v>
      </c>
      <c r="AM113">
        <v>86.816671504370703</v>
      </c>
      <c r="AN113">
        <v>0.99999993738585602</v>
      </c>
    </row>
    <row r="114" spans="1:40" x14ac:dyDescent="0.25">
      <c r="A114" t="str">
        <f>"20190312154802689"</f>
        <v>20190312154802689</v>
      </c>
      <c r="B114" t="str">
        <f>"1552376882686008"</f>
        <v>1552376882686008</v>
      </c>
      <c r="C114" t="s">
        <v>40</v>
      </c>
      <c r="D114">
        <v>5.1768869999999998</v>
      </c>
      <c r="E114">
        <v>0.54325970000000001</v>
      </c>
      <c r="F114" t="s">
        <v>41</v>
      </c>
      <c r="G114">
        <v>-455.6601</v>
      </c>
      <c r="H114">
        <v>0.86537919999999902</v>
      </c>
      <c r="I114">
        <v>367.04750000000001</v>
      </c>
      <c r="J114">
        <v>-456.2482</v>
      </c>
      <c r="K114">
        <v>1.1082620000000001</v>
      </c>
      <c r="L114">
        <v>367.1918</v>
      </c>
      <c r="M114">
        <v>0.99999919999999998</v>
      </c>
      <c r="N114">
        <v>0</v>
      </c>
      <c r="O114">
        <v>-1.1577919999999999E-3</v>
      </c>
      <c r="P114">
        <v>0.99782150000000003</v>
      </c>
      <c r="Q114">
        <v>3.3559110000000003E-2</v>
      </c>
      <c r="R114">
        <v>-5.6801570000000003E-2</v>
      </c>
      <c r="S114">
        <v>3.0064090000000001</v>
      </c>
      <c r="T114">
        <v>-0.80913400000000002</v>
      </c>
      <c r="U114">
        <v>-0.48049930000000002</v>
      </c>
      <c r="V114">
        <v>5.5647389999999998E-2</v>
      </c>
      <c r="W114">
        <v>3.429629E-2</v>
      </c>
      <c r="X114">
        <v>0.99786129999999995</v>
      </c>
      <c r="Y114">
        <v>0.1514614</v>
      </c>
      <c r="Z114">
        <v>-1.9601380000000002E-2</v>
      </c>
      <c r="AA114">
        <v>0.98826879999999995</v>
      </c>
      <c r="AB114">
        <v>32</v>
      </c>
      <c r="AC114">
        <v>0.58809999999999696</v>
      </c>
      <c r="AD114">
        <v>-0.24288280000000001</v>
      </c>
      <c r="AE114">
        <v>-0.14429999999998699</v>
      </c>
      <c r="AF114">
        <v>0.123715658710008</v>
      </c>
      <c r="AG114">
        <v>-0.24288280000000001</v>
      </c>
      <c r="AH114">
        <v>0.50674211855941598</v>
      </c>
      <c r="AI114">
        <v>114.967948650648</v>
      </c>
      <c r="AJ114">
        <v>76.280231344654098</v>
      </c>
      <c r="AK114">
        <v>0.57540002908235599</v>
      </c>
      <c r="AL114">
        <v>88.034581943322493</v>
      </c>
      <c r="AM114">
        <v>86.808111949754803</v>
      </c>
      <c r="AN114">
        <v>1.00000002077963</v>
      </c>
    </row>
    <row r="115" spans="1:40" x14ac:dyDescent="0.25">
      <c r="A115" t="str">
        <f>"20190312154802711"</f>
        <v>20190312154802711</v>
      </c>
      <c r="B115" t="str">
        <f>"1552376882706506"</f>
        <v>1552376882706506</v>
      </c>
      <c r="C115" t="s">
        <v>40</v>
      </c>
      <c r="D115">
        <v>5.1690889999999996</v>
      </c>
      <c r="E115">
        <v>0.54324649999999997</v>
      </c>
      <c r="F115" t="s">
        <v>41</v>
      </c>
      <c r="G115">
        <v>-455.37180000000001</v>
      </c>
      <c r="H115">
        <v>0.8723708</v>
      </c>
      <c r="I115">
        <v>367.05149999999998</v>
      </c>
      <c r="J115">
        <v>-455.93650000000002</v>
      </c>
      <c r="K115">
        <v>1.1082669999999999</v>
      </c>
      <c r="L115">
        <v>367.19139999999999</v>
      </c>
      <c r="M115">
        <v>0.99999899999999997</v>
      </c>
      <c r="N115">
        <v>0</v>
      </c>
      <c r="O115">
        <v>-1.156523E-3</v>
      </c>
      <c r="P115">
        <v>0.99785210000000002</v>
      </c>
      <c r="Q115">
        <v>3.3264559999999999E-2</v>
      </c>
      <c r="R115">
        <v>-5.6436350000000003E-2</v>
      </c>
      <c r="S115">
        <v>3.0064090000000001</v>
      </c>
      <c r="T115">
        <v>-0.8093456</v>
      </c>
      <c r="U115">
        <v>-0.48062129999999997</v>
      </c>
      <c r="V115">
        <v>5.5283430000000001E-2</v>
      </c>
      <c r="W115">
        <v>3.4104240000000001E-2</v>
      </c>
      <c r="X115">
        <v>0.99788809999999994</v>
      </c>
      <c r="Y115">
        <v>0.15149789999999999</v>
      </c>
      <c r="Z115">
        <v>-1.9611400000000001E-2</v>
      </c>
      <c r="AA115">
        <v>0.988263</v>
      </c>
      <c r="AB115">
        <v>32</v>
      </c>
      <c r="AC115">
        <v>0.56470000000001597</v>
      </c>
      <c r="AD115">
        <v>-0.2358962</v>
      </c>
      <c r="AE115">
        <v>-0.13990000000001099</v>
      </c>
      <c r="AF115">
        <v>0.119585387985658</v>
      </c>
      <c r="AG115">
        <v>-0.2358962</v>
      </c>
      <c r="AH115">
        <v>0.48510388379460501</v>
      </c>
      <c r="AI115">
        <v>115.27411739091001</v>
      </c>
      <c r="AJ115">
        <v>76.151839789077798</v>
      </c>
      <c r="AK115">
        <v>0.55251557468249701</v>
      </c>
      <c r="AL115">
        <v>88.045592014406495</v>
      </c>
      <c r="AM115">
        <v>86.8290306383835</v>
      </c>
      <c r="AN115">
        <v>1.00000000847007</v>
      </c>
    </row>
    <row r="116" spans="1:40" x14ac:dyDescent="0.25">
      <c r="A116" t="str">
        <f>"20190312154802733"</f>
        <v>20190312154802733</v>
      </c>
      <c r="B116" t="str">
        <f>"1552376882726025"</f>
        <v>1552376882726025</v>
      </c>
      <c r="C116" t="s">
        <v>40</v>
      </c>
      <c r="D116">
        <v>5.1709610000000001</v>
      </c>
      <c r="E116">
        <v>0.54324399999999995</v>
      </c>
      <c r="F116" t="s">
        <v>41</v>
      </c>
      <c r="G116">
        <v>-455.08249999999998</v>
      </c>
      <c r="H116">
        <v>0.87806679999999904</v>
      </c>
      <c r="I116">
        <v>367.05470000000003</v>
      </c>
      <c r="J116">
        <v>-455.6105</v>
      </c>
      <c r="K116">
        <v>1.1082719999999999</v>
      </c>
      <c r="L116">
        <v>367.19110000000001</v>
      </c>
      <c r="M116">
        <v>0.99999899999999997</v>
      </c>
      <c r="N116">
        <v>0</v>
      </c>
      <c r="O116">
        <v>-1.1555000000000001E-3</v>
      </c>
      <c r="P116">
        <v>0.99787230000000005</v>
      </c>
      <c r="Q116">
        <v>3.2294169999999997E-2</v>
      </c>
      <c r="R116">
        <v>-5.6641699999999899E-2</v>
      </c>
      <c r="S116">
        <v>3.006348</v>
      </c>
      <c r="T116">
        <v>-0.81041790000000002</v>
      </c>
      <c r="U116">
        <v>-0.4797363</v>
      </c>
      <c r="V116">
        <v>5.5489780000000002E-2</v>
      </c>
      <c r="W116">
        <v>3.3240220000000001E-2</v>
      </c>
      <c r="X116">
        <v>0.99790579999999995</v>
      </c>
      <c r="Y116">
        <v>0.15121399999999999</v>
      </c>
      <c r="Z116">
        <v>-1.9600220000000002E-2</v>
      </c>
      <c r="AA116">
        <v>0.98830669999999998</v>
      </c>
      <c r="AB116">
        <v>32</v>
      </c>
      <c r="AC116">
        <v>0.52800000000002001</v>
      </c>
      <c r="AD116">
        <v>-0.2302052</v>
      </c>
      <c r="AE116">
        <v>-0.13639999999998001</v>
      </c>
      <c r="AF116">
        <v>0.115252005342578</v>
      </c>
      <c r="AG116">
        <v>-0.2302052</v>
      </c>
      <c r="AH116">
        <v>0.44827506167443099</v>
      </c>
      <c r="AI116">
        <v>116.44394248270299</v>
      </c>
      <c r="AJ116">
        <v>75.581471749646795</v>
      </c>
      <c r="AK116">
        <v>0.51694099253371295</v>
      </c>
      <c r="AL116">
        <v>88.095124800325095</v>
      </c>
      <c r="AM116">
        <v>86.817275357655404</v>
      </c>
      <c r="AN116">
        <v>1.00000000679186</v>
      </c>
    </row>
    <row r="117" spans="1:40" x14ac:dyDescent="0.25">
      <c r="A117" t="str">
        <f>"20190312154802757"</f>
        <v>20190312154802757</v>
      </c>
      <c r="B117" t="str">
        <f>"1552376882746524"</f>
        <v>1552376882746524</v>
      </c>
      <c r="C117" t="s">
        <v>40</v>
      </c>
      <c r="D117">
        <v>5.1945459999999999</v>
      </c>
      <c r="E117">
        <v>0.54325369999999995</v>
      </c>
      <c r="F117" t="s">
        <v>41</v>
      </c>
      <c r="G117">
        <v>-454.79070000000002</v>
      </c>
      <c r="H117">
        <v>0.8863721</v>
      </c>
      <c r="I117">
        <v>367.05990000000003</v>
      </c>
      <c r="J117">
        <v>-455.2688</v>
      </c>
      <c r="K117">
        <v>1.1082909999999999</v>
      </c>
      <c r="L117">
        <v>367.19069999999999</v>
      </c>
      <c r="M117">
        <v>0.99999879999999997</v>
      </c>
      <c r="N117">
        <v>0</v>
      </c>
      <c r="O117">
        <v>-1.1542620000000001E-3</v>
      </c>
      <c r="P117">
        <v>0.99788359999999998</v>
      </c>
      <c r="Q117">
        <v>3.1965540000000001E-2</v>
      </c>
      <c r="R117">
        <v>-5.662959E-2</v>
      </c>
      <c r="S117">
        <v>3.0054020000000001</v>
      </c>
      <c r="T117">
        <v>-0.81338379999999999</v>
      </c>
      <c r="U117">
        <v>-0.4805603</v>
      </c>
      <c r="V117">
        <v>5.5478769999999997E-2</v>
      </c>
      <c r="W117">
        <v>3.3049580000000002E-2</v>
      </c>
      <c r="X117">
        <v>0.99791280000000004</v>
      </c>
      <c r="Y117">
        <v>0.151478</v>
      </c>
      <c r="Z117">
        <v>-1.9710220000000001E-2</v>
      </c>
      <c r="AA117">
        <v>0.98826409999999998</v>
      </c>
      <c r="AB117">
        <v>32</v>
      </c>
      <c r="AC117">
        <v>0.47809999999998298</v>
      </c>
      <c r="AD117">
        <v>-0.221918899999999</v>
      </c>
      <c r="AE117">
        <v>-0.130799999999965</v>
      </c>
      <c r="AF117">
        <v>0.10849944048170899</v>
      </c>
      <c r="AG117">
        <v>-0.221918899999999</v>
      </c>
      <c r="AH117">
        <v>0.39839310431187602</v>
      </c>
      <c r="AI117">
        <v>118.25623574365</v>
      </c>
      <c r="AJ117">
        <v>74.765394002892506</v>
      </c>
      <c r="AK117">
        <v>0.468761338343199</v>
      </c>
      <c r="AL117">
        <v>88.1060537780738</v>
      </c>
      <c r="AM117">
        <v>86.817927835184705</v>
      </c>
      <c r="AN117">
        <v>1.0000000625313601</v>
      </c>
    </row>
    <row r="118" spans="1:40" x14ac:dyDescent="0.25">
      <c r="A118" t="str">
        <f>"20190312154802778"</f>
        <v>20190312154802778</v>
      </c>
      <c r="B118" t="str">
        <f>"1552376882775801"</f>
        <v>1552376882775801</v>
      </c>
      <c r="C118" t="s">
        <v>40</v>
      </c>
      <c r="D118">
        <v>5.1772410000000004</v>
      </c>
      <c r="E118">
        <v>0.54328169999999898</v>
      </c>
      <c r="F118" t="s">
        <v>41</v>
      </c>
      <c r="G118">
        <v>-454.49579999999997</v>
      </c>
      <c r="H118">
        <v>0.89876650000000002</v>
      </c>
      <c r="I118">
        <v>367.06670000000003</v>
      </c>
      <c r="J118">
        <v>-454.96</v>
      </c>
      <c r="K118">
        <v>1.1083350000000001</v>
      </c>
      <c r="L118">
        <v>367.19029999999998</v>
      </c>
      <c r="M118">
        <v>0.99999859999999896</v>
      </c>
      <c r="N118">
        <v>0</v>
      </c>
      <c r="O118">
        <v>-1.1532039999999999E-3</v>
      </c>
      <c r="P118">
        <v>0.99785880000000005</v>
      </c>
      <c r="Q118">
        <v>3.2512480000000003E-2</v>
      </c>
      <c r="R118">
        <v>-5.6753430000000001E-2</v>
      </c>
      <c r="S118">
        <v>3.0051570000000001</v>
      </c>
      <c r="T118">
        <v>-0.81463069999999904</v>
      </c>
      <c r="U118">
        <v>-0.48098750000000001</v>
      </c>
      <c r="V118">
        <v>5.5603779999999998E-2</v>
      </c>
      <c r="W118">
        <v>3.3814009999999999E-2</v>
      </c>
      <c r="X118">
        <v>0.99788019999999999</v>
      </c>
      <c r="Y118">
        <v>0.1516073</v>
      </c>
      <c r="Z118">
        <v>-1.9758120000000001E-2</v>
      </c>
      <c r="AA118">
        <v>0.98824330000000005</v>
      </c>
      <c r="AB118">
        <v>32</v>
      </c>
      <c r="AC118">
        <v>0.464200000000005</v>
      </c>
      <c r="AD118">
        <v>-0.20956849999999999</v>
      </c>
      <c r="AE118">
        <v>-0.123599999999953</v>
      </c>
      <c r="AF118">
        <v>0.10338745992795501</v>
      </c>
      <c r="AG118">
        <v>-0.20956849999999999</v>
      </c>
      <c r="AH118">
        <v>0.390097260997462</v>
      </c>
      <c r="AI118">
        <v>117.44252917339701</v>
      </c>
      <c r="AJ118">
        <v>75.156169222198301</v>
      </c>
      <c r="AK118">
        <v>0.45473486351975101</v>
      </c>
      <c r="AL118">
        <v>88.062230608026994</v>
      </c>
      <c r="AM118">
        <v>86.810668499796904</v>
      </c>
      <c r="AN118">
        <v>1.0000000305873</v>
      </c>
    </row>
    <row r="119" spans="1:40" x14ac:dyDescent="0.25">
      <c r="A119" t="str">
        <f>"20190312154802803"</f>
        <v>20190312154802803</v>
      </c>
      <c r="B119" t="str">
        <f>"1552376882796296"</f>
        <v>1552376882796296</v>
      </c>
      <c r="C119" t="s">
        <v>40</v>
      </c>
      <c r="D119">
        <v>5.1931900000000004</v>
      </c>
      <c r="E119">
        <v>0.54333690000000001</v>
      </c>
      <c r="F119" t="s">
        <v>41</v>
      </c>
      <c r="G119">
        <v>-454.20299999999997</v>
      </c>
      <c r="H119">
        <v>0.90341450000000001</v>
      </c>
      <c r="I119">
        <v>367.06880000000001</v>
      </c>
      <c r="J119">
        <v>-454.61329999999998</v>
      </c>
      <c r="K119">
        <v>1.1084259999999999</v>
      </c>
      <c r="L119">
        <v>367.18990000000002</v>
      </c>
      <c r="M119">
        <v>0.9999979</v>
      </c>
      <c r="N119">
        <v>0</v>
      </c>
      <c r="O119">
        <v>-1.1519880000000001E-3</v>
      </c>
      <c r="P119">
        <v>0.99786779999999997</v>
      </c>
      <c r="Q119">
        <v>3.2582439999999997E-2</v>
      </c>
      <c r="R119">
        <v>-5.6556049999999997E-2</v>
      </c>
      <c r="S119">
        <v>3.0055540000000001</v>
      </c>
      <c r="T119">
        <v>-0.81368660000000004</v>
      </c>
      <c r="U119">
        <v>-0.48190309999999997</v>
      </c>
      <c r="V119">
        <v>5.5407530000000003E-2</v>
      </c>
      <c r="W119">
        <v>3.4312490000000001E-2</v>
      </c>
      <c r="X119">
        <v>0.99787409999999999</v>
      </c>
      <c r="Y119">
        <v>0.15188560000000001</v>
      </c>
      <c r="Z119">
        <v>-1.977017E-2</v>
      </c>
      <c r="AA119">
        <v>0.98820039999999998</v>
      </c>
      <c r="AB119">
        <v>32</v>
      </c>
      <c r="AC119">
        <v>0.41029999999994898</v>
      </c>
      <c r="AD119">
        <v>-0.20501149999999899</v>
      </c>
      <c r="AE119">
        <v>-0.121100000000012</v>
      </c>
      <c r="AF119">
        <v>9.8098345948626903E-2</v>
      </c>
      <c r="AG119">
        <v>-0.20501149999999899</v>
      </c>
      <c r="AH119">
        <v>0.33378367799161002</v>
      </c>
      <c r="AI119">
        <v>120.51007176887001</v>
      </c>
      <c r="AJ119">
        <v>73.622044718041394</v>
      </c>
      <c r="AK119">
        <v>0.40381251132637402</v>
      </c>
      <c r="AL119">
        <v>88.033653224013307</v>
      </c>
      <c r="AM119">
        <v>86.821882538899999</v>
      </c>
      <c r="AN119">
        <v>1.0000000304007499</v>
      </c>
    </row>
    <row r="120" spans="1:40" x14ac:dyDescent="0.25">
      <c r="A120" t="str">
        <f>"20190312154802825"</f>
        <v>20190312154802825</v>
      </c>
      <c r="B120" t="str">
        <f>"1552376882815816"</f>
        <v>1552376882815816</v>
      </c>
      <c r="C120" t="s">
        <v>40</v>
      </c>
      <c r="D120">
        <v>5.1883489999999997</v>
      </c>
      <c r="E120">
        <v>0.54339499999999996</v>
      </c>
      <c r="F120" t="s">
        <v>41</v>
      </c>
      <c r="G120">
        <v>-453.90609999999998</v>
      </c>
      <c r="H120">
        <v>0.9168634</v>
      </c>
      <c r="I120">
        <v>367.07619999999997</v>
      </c>
      <c r="J120">
        <v>-454.28649999999999</v>
      </c>
      <c r="K120">
        <v>1.1085640000000001</v>
      </c>
      <c r="L120">
        <v>367.18959999999998</v>
      </c>
      <c r="M120">
        <v>0.99999649999999995</v>
      </c>
      <c r="N120">
        <v>0</v>
      </c>
      <c r="O120">
        <v>-1.151242E-3</v>
      </c>
      <c r="P120">
        <v>0.99790650000000003</v>
      </c>
      <c r="Q120">
        <v>3.1924000000000001E-2</v>
      </c>
      <c r="R120">
        <v>-5.6247650000000003E-2</v>
      </c>
      <c r="S120">
        <v>3.0057680000000002</v>
      </c>
      <c r="T120">
        <v>-0.81429530000000006</v>
      </c>
      <c r="U120">
        <v>-0.48141479999999998</v>
      </c>
      <c r="V120">
        <v>5.5100000000000003E-2</v>
      </c>
      <c r="W120">
        <v>3.430677E-2</v>
      </c>
      <c r="X120">
        <v>0.99789130000000004</v>
      </c>
      <c r="Y120">
        <v>0.15171750000000001</v>
      </c>
      <c r="Z120">
        <v>-1.9761319999999999E-2</v>
      </c>
      <c r="AA120">
        <v>0.98822639999999995</v>
      </c>
      <c r="AB120">
        <v>33</v>
      </c>
      <c r="AC120">
        <v>0.38040000000000801</v>
      </c>
      <c r="AD120">
        <v>-0.191700599999999</v>
      </c>
      <c r="AE120">
        <v>-0.11340000000001201</v>
      </c>
      <c r="AF120">
        <v>9.1598226555085593E-2</v>
      </c>
      <c r="AG120">
        <v>-0.191700599999999</v>
      </c>
      <c r="AH120">
        <v>0.30856308564560397</v>
      </c>
      <c r="AI120">
        <v>120.777212684863</v>
      </c>
      <c r="AJ120">
        <v>73.466261022795607</v>
      </c>
      <c r="AK120">
        <v>0.37463386522247699</v>
      </c>
      <c r="AL120">
        <v>88.033981100035007</v>
      </c>
      <c r="AM120">
        <v>86.839540640566597</v>
      </c>
      <c r="AN120">
        <v>1.0000000055417599</v>
      </c>
    </row>
    <row r="121" spans="1:40" x14ac:dyDescent="0.25">
      <c r="A121" t="str">
        <f>"20190312154802846"</f>
        <v>20190312154802846</v>
      </c>
      <c r="B121" t="str">
        <f>"1552376882836316"</f>
        <v>1552376882836316</v>
      </c>
      <c r="C121" t="s">
        <v>40</v>
      </c>
      <c r="D121">
        <v>5.1682649999999999</v>
      </c>
      <c r="E121">
        <v>0.54344599999999998</v>
      </c>
      <c r="F121" t="s">
        <v>41</v>
      </c>
      <c r="G121">
        <v>-453.61090000000002</v>
      </c>
      <c r="H121">
        <v>0.92487920000000001</v>
      </c>
      <c r="I121">
        <v>367.08139999999997</v>
      </c>
      <c r="J121">
        <v>-453.98149999999998</v>
      </c>
      <c r="K121">
        <v>1.108738</v>
      </c>
      <c r="L121">
        <v>367.18920000000003</v>
      </c>
      <c r="M121">
        <v>0.99999420000000006</v>
      </c>
      <c r="N121">
        <v>0</v>
      </c>
      <c r="O121">
        <v>-1.150524E-3</v>
      </c>
      <c r="P121">
        <v>0.99790889999999999</v>
      </c>
      <c r="Q121">
        <v>3.149387E-2</v>
      </c>
      <c r="R121">
        <v>-5.6449609999999997E-2</v>
      </c>
      <c r="S121">
        <v>3.0053100000000001</v>
      </c>
      <c r="T121">
        <v>-0.81709929999999997</v>
      </c>
      <c r="U121">
        <v>-0.48098750000000001</v>
      </c>
      <c r="V121">
        <v>5.5302539999999997E-2</v>
      </c>
      <c r="W121">
        <v>3.4712319999999998E-2</v>
      </c>
      <c r="X121">
        <v>0.99786609999999998</v>
      </c>
      <c r="Y121">
        <v>0.15157219999999999</v>
      </c>
      <c r="Z121">
        <v>-1.981103E-2</v>
      </c>
      <c r="AA121">
        <v>0.9882476</v>
      </c>
      <c r="AB121">
        <v>33</v>
      </c>
      <c r="AC121">
        <v>0.37059999999996701</v>
      </c>
      <c r="AD121">
        <v>-0.18385879999999999</v>
      </c>
      <c r="AE121">
        <v>-0.10780000000005401</v>
      </c>
      <c r="AF121">
        <v>8.7514286285948706E-2</v>
      </c>
      <c r="AG121">
        <v>-0.18385879999999999</v>
      </c>
      <c r="AH121">
        <v>0.30215662529238801</v>
      </c>
      <c r="AI121">
        <v>120.304896089821</v>
      </c>
      <c r="AJ121">
        <v>73.847281819772903</v>
      </c>
      <c r="AK121">
        <v>0.36436442588384399</v>
      </c>
      <c r="AL121">
        <v>88.010731006339299</v>
      </c>
      <c r="AM121">
        <v>86.827866965480197</v>
      </c>
      <c r="AN121">
        <v>1.00000003480972</v>
      </c>
    </row>
    <row r="122" spans="1:40" x14ac:dyDescent="0.25">
      <c r="A122" t="str">
        <f>"20190312154802868"</f>
        <v>20190312154802868</v>
      </c>
      <c r="B122" t="str">
        <f>"1552376882855833"</f>
        <v>1552376882855833</v>
      </c>
      <c r="C122" t="s">
        <v>40</v>
      </c>
      <c r="D122">
        <v>5.2069159999999997</v>
      </c>
      <c r="E122">
        <v>0.54351260000000001</v>
      </c>
      <c r="F122" t="s">
        <v>41</v>
      </c>
      <c r="G122">
        <v>-453.05419999999998</v>
      </c>
      <c r="H122">
        <v>0.85594869999999901</v>
      </c>
      <c r="I122">
        <v>367.04039999999998</v>
      </c>
      <c r="J122">
        <v>-453.65629999999999</v>
      </c>
      <c r="K122">
        <v>1.1088480000000001</v>
      </c>
      <c r="L122">
        <v>367.18880000000001</v>
      </c>
      <c r="M122">
        <v>0.99999179999999999</v>
      </c>
      <c r="N122">
        <v>0</v>
      </c>
      <c r="O122">
        <v>-1.1500810000000001E-3</v>
      </c>
      <c r="P122">
        <v>0.99791669999999999</v>
      </c>
      <c r="Q122">
        <v>3.1355019999999997E-2</v>
      </c>
      <c r="R122">
        <v>-5.6385709999999999E-2</v>
      </c>
      <c r="S122">
        <v>3.004883</v>
      </c>
      <c r="T122">
        <v>-0.81917790000000001</v>
      </c>
      <c r="U122">
        <v>-0.4816589</v>
      </c>
      <c r="V122">
        <v>5.5239200000000002E-2</v>
      </c>
      <c r="W122">
        <v>3.5253680000000003E-2</v>
      </c>
      <c r="X122">
        <v>0.99785060000000003</v>
      </c>
      <c r="Y122">
        <v>0.15177470000000001</v>
      </c>
      <c r="Z122">
        <v>-1.9889110000000002E-2</v>
      </c>
      <c r="AA122">
        <v>0.98821499999999995</v>
      </c>
      <c r="AB122">
        <v>33</v>
      </c>
      <c r="AC122">
        <v>0.60210000000000696</v>
      </c>
      <c r="AD122">
        <v>-0.25289929999999999</v>
      </c>
      <c r="AE122">
        <v>-0.148400000000037</v>
      </c>
      <c r="AF122">
        <v>0.12664394481541799</v>
      </c>
      <c r="AG122">
        <v>-0.25289929999999999</v>
      </c>
      <c r="AH122">
        <v>0.51638486977376596</v>
      </c>
      <c r="AI122">
        <v>115.43826821015899</v>
      </c>
      <c r="AJ122">
        <v>76.220129119437402</v>
      </c>
      <c r="AK122">
        <v>0.58876997072725201</v>
      </c>
      <c r="AL122">
        <v>87.979694307401303</v>
      </c>
      <c r="AM122">
        <v>86.831443599896303</v>
      </c>
      <c r="AN122">
        <v>1.00000000554527</v>
      </c>
    </row>
    <row r="123" spans="1:40" x14ac:dyDescent="0.25">
      <c r="A123" t="str">
        <f>"20190312154802889"</f>
        <v>20190312154802889</v>
      </c>
      <c r="B123" t="str">
        <f>"1552376882886089"</f>
        <v>1552376882886089</v>
      </c>
      <c r="C123" t="s">
        <v>40</v>
      </c>
      <c r="D123">
        <v>5.2160159999999998</v>
      </c>
      <c r="E123">
        <v>0.54359499999999905</v>
      </c>
      <c r="F123" t="s">
        <v>41</v>
      </c>
      <c r="G123">
        <v>-452.75869999999998</v>
      </c>
      <c r="H123">
        <v>0.86383399999999999</v>
      </c>
      <c r="I123">
        <v>367.0444</v>
      </c>
      <c r="J123">
        <v>-453.33280000000002</v>
      </c>
      <c r="K123">
        <v>1.1089500000000001</v>
      </c>
      <c r="L123">
        <v>367.18849999999998</v>
      </c>
      <c r="M123">
        <v>0.99998880000000001</v>
      </c>
      <c r="N123">
        <v>0</v>
      </c>
      <c r="O123">
        <v>-1.1496690000000001E-3</v>
      </c>
      <c r="P123">
        <v>0.99793509999999996</v>
      </c>
      <c r="Q123">
        <v>3.071072E-2</v>
      </c>
      <c r="R123">
        <v>-5.6413749999999999E-2</v>
      </c>
      <c r="S123">
        <v>3.0048219999999999</v>
      </c>
      <c r="T123">
        <v>-0.82027629999999996</v>
      </c>
      <c r="U123">
        <v>-0.48211670000000001</v>
      </c>
      <c r="V123">
        <v>5.5267660000000003E-2</v>
      </c>
      <c r="W123">
        <v>3.5305139999999999E-2</v>
      </c>
      <c r="X123">
        <v>0.99784720000000005</v>
      </c>
      <c r="Y123">
        <v>0.15190609999999999</v>
      </c>
      <c r="Z123">
        <v>-1.993263E-2</v>
      </c>
      <c r="AA123">
        <v>0.98819389999999996</v>
      </c>
      <c r="AB123">
        <v>33</v>
      </c>
      <c r="AC123">
        <v>0.57410000000004302</v>
      </c>
      <c r="AD123">
        <v>-0.245116</v>
      </c>
      <c r="AE123">
        <v>-0.14409999999997999</v>
      </c>
      <c r="AF123">
        <v>0.122442439667068</v>
      </c>
      <c r="AG123">
        <v>-0.245116</v>
      </c>
      <c r="AH123">
        <v>0.49020151571605602</v>
      </c>
      <c r="AI123">
        <v>115.87925445298301</v>
      </c>
      <c r="AJ123">
        <v>75.975631186599202</v>
      </c>
      <c r="AK123">
        <v>0.56157949615165104</v>
      </c>
      <c r="AL123">
        <v>87.976744020516506</v>
      </c>
      <c r="AM123">
        <v>86.829803664881894</v>
      </c>
      <c r="AN123">
        <v>1.00000000085006</v>
      </c>
    </row>
    <row r="124" spans="1:40" x14ac:dyDescent="0.25">
      <c r="A124" t="str">
        <f>"20190312154802912"</f>
        <v>20190312154802912</v>
      </c>
      <c r="B124" t="str">
        <f>"1552376882906585"</f>
        <v>1552376882906585</v>
      </c>
      <c r="C124" t="s">
        <v>40</v>
      </c>
      <c r="D124">
        <v>5.1885510000000004</v>
      </c>
      <c r="E124">
        <v>0.54366899999999996</v>
      </c>
      <c r="F124" t="s">
        <v>41</v>
      </c>
      <c r="G124">
        <v>-452.46379999999999</v>
      </c>
      <c r="H124">
        <v>0.87066849999999996</v>
      </c>
      <c r="I124">
        <v>367.04860000000002</v>
      </c>
      <c r="J124">
        <v>-453.00560000000002</v>
      </c>
      <c r="K124">
        <v>1.1090610000000001</v>
      </c>
      <c r="L124">
        <v>367.18810000000002</v>
      </c>
      <c r="M124">
        <v>0.99998489999999995</v>
      </c>
      <c r="N124">
        <v>0</v>
      </c>
      <c r="O124">
        <v>-1.1493549999999999E-3</v>
      </c>
      <c r="P124">
        <v>0.99794430000000001</v>
      </c>
      <c r="Q124">
        <v>2.9956110000000001E-2</v>
      </c>
      <c r="R124">
        <v>-5.665626E-2</v>
      </c>
      <c r="S124">
        <v>3.0042420000000001</v>
      </c>
      <c r="T124">
        <v>-0.82381090000000001</v>
      </c>
      <c r="U124">
        <v>-0.4832458</v>
      </c>
      <c r="V124">
        <v>5.5510570000000002E-2</v>
      </c>
      <c r="W124">
        <v>3.532515E-2</v>
      </c>
      <c r="X124">
        <v>0.99783299999999997</v>
      </c>
      <c r="Y124">
        <v>0.15223909999999999</v>
      </c>
      <c r="Z124">
        <v>-2.0063279999999999E-2</v>
      </c>
      <c r="AA124">
        <v>0.98814000000000002</v>
      </c>
      <c r="AB124">
        <v>33</v>
      </c>
      <c r="AC124">
        <v>0.54180000000002304</v>
      </c>
      <c r="AD124">
        <v>-0.23839250000000001</v>
      </c>
      <c r="AE124">
        <v>-0.13949999999999799</v>
      </c>
      <c r="AF124">
        <v>0.117536708739858</v>
      </c>
      <c r="AG124">
        <v>-0.23839250000000001</v>
      </c>
      <c r="AH124">
        <v>0.45868005832894798</v>
      </c>
      <c r="AI124">
        <v>116.723829560901</v>
      </c>
      <c r="AJ124">
        <v>75.627227903974699</v>
      </c>
      <c r="AK124">
        <v>0.53012570006206605</v>
      </c>
      <c r="AL124">
        <v>87.975596799961494</v>
      </c>
      <c r="AM124">
        <v>86.815853545118998</v>
      </c>
      <c r="AN124">
        <v>0.99999999274662299</v>
      </c>
    </row>
    <row r="125" spans="1:40" x14ac:dyDescent="0.25">
      <c r="A125" t="str">
        <f>"20190312154802934"</f>
        <v>20190312154802934</v>
      </c>
      <c r="B125" t="str">
        <f>"1552376882927081"</f>
        <v>1552376882927081</v>
      </c>
      <c r="C125" t="s">
        <v>40</v>
      </c>
      <c r="D125">
        <v>5.2210190000000001</v>
      </c>
      <c r="E125">
        <v>0.54374709999999904</v>
      </c>
      <c r="F125" t="s">
        <v>41</v>
      </c>
      <c r="G125">
        <v>-452.16860000000003</v>
      </c>
      <c r="H125">
        <v>0.87862269999999898</v>
      </c>
      <c r="I125">
        <v>367.05270000000002</v>
      </c>
      <c r="J125">
        <v>-452.68279999999999</v>
      </c>
      <c r="K125">
        <v>1.1091580000000001</v>
      </c>
      <c r="L125">
        <v>367.18770000000001</v>
      </c>
      <c r="M125">
        <v>0.99998050000000005</v>
      </c>
      <c r="N125">
        <v>0</v>
      </c>
      <c r="O125">
        <v>-1.1492749999999999E-3</v>
      </c>
      <c r="P125">
        <v>0.99798200000000004</v>
      </c>
      <c r="Q125">
        <v>2.9428389999999999E-2</v>
      </c>
      <c r="R125">
        <v>-5.6266040000000003E-2</v>
      </c>
      <c r="S125">
        <v>3.003479</v>
      </c>
      <c r="T125">
        <v>-0.82688320000000004</v>
      </c>
      <c r="U125">
        <v>-0.48495480000000002</v>
      </c>
      <c r="V125">
        <v>5.5120309999999999E-2</v>
      </c>
      <c r="W125">
        <v>3.5551029999999997E-2</v>
      </c>
      <c r="X125">
        <v>0.99784660000000003</v>
      </c>
      <c r="Y125">
        <v>0.1527654</v>
      </c>
      <c r="Z125">
        <v>-2.0210189999999999E-2</v>
      </c>
      <c r="AA125">
        <v>0.98805580000000004</v>
      </c>
      <c r="AB125">
        <v>33</v>
      </c>
      <c r="AC125">
        <v>0.51419999999995902</v>
      </c>
      <c r="AD125">
        <v>-0.2305353</v>
      </c>
      <c r="AE125">
        <v>-0.13499999999998999</v>
      </c>
      <c r="AF125">
        <v>0.11313455575457899</v>
      </c>
      <c r="AG125">
        <v>-0.2305353</v>
      </c>
      <c r="AH125">
        <v>0.43294220208057999</v>
      </c>
      <c r="AI125">
        <v>117.25687491456</v>
      </c>
      <c r="AJ125">
        <v>75.355200498270904</v>
      </c>
      <c r="AK125">
        <v>0.50337352194395102</v>
      </c>
      <c r="AL125">
        <v>87.962646670348093</v>
      </c>
      <c r="AM125">
        <v>86.838236707986695</v>
      </c>
      <c r="AN125">
        <v>0.99999998072005802</v>
      </c>
    </row>
    <row r="126" spans="1:40" x14ac:dyDescent="0.25">
      <c r="A126" t="str">
        <f>"20190312154802957"</f>
        <v>20190312154802957</v>
      </c>
      <c r="B126" t="str">
        <f>"1552376882946604"</f>
        <v>1552376882946604</v>
      </c>
      <c r="C126" t="s">
        <v>40</v>
      </c>
      <c r="D126">
        <v>5.2303189999999997</v>
      </c>
      <c r="E126">
        <v>0.54382790000000003</v>
      </c>
      <c r="F126" t="s">
        <v>41</v>
      </c>
      <c r="G126">
        <v>-451.87369999999999</v>
      </c>
      <c r="H126">
        <v>0.885771999999999</v>
      </c>
      <c r="I126">
        <v>367.05709999999999</v>
      </c>
      <c r="J126">
        <v>-452.35039999999998</v>
      </c>
      <c r="K126">
        <v>1.1092340000000001</v>
      </c>
      <c r="L126">
        <v>367.18740000000003</v>
      </c>
      <c r="M126">
        <v>0.99997590000000003</v>
      </c>
      <c r="N126">
        <v>0</v>
      </c>
      <c r="O126">
        <v>-1.1491030000000001E-3</v>
      </c>
      <c r="P126">
        <v>0.99801960000000001</v>
      </c>
      <c r="Q126">
        <v>2.8641980000000001E-2</v>
      </c>
      <c r="R126">
        <v>-5.6002959999999997E-2</v>
      </c>
      <c r="S126">
        <v>3.0032649999999999</v>
      </c>
      <c r="T126">
        <v>-0.82921739999999999</v>
      </c>
      <c r="U126">
        <v>-0.48413089999999998</v>
      </c>
      <c r="V126">
        <v>5.4857360000000001E-2</v>
      </c>
      <c r="W126">
        <v>3.5478120000000002E-2</v>
      </c>
      <c r="X126">
        <v>0.99786370000000002</v>
      </c>
      <c r="Y126">
        <v>0.15249070000000001</v>
      </c>
      <c r="Z126">
        <v>-2.0230069999999999E-2</v>
      </c>
      <c r="AA126">
        <v>0.98809780000000003</v>
      </c>
      <c r="AB126">
        <v>33</v>
      </c>
      <c r="AC126">
        <v>0.47669999999999302</v>
      </c>
      <c r="AD126">
        <v>-0.22346199999999999</v>
      </c>
      <c r="AE126">
        <v>-0.130300000000033</v>
      </c>
      <c r="AF126">
        <v>0.107725711437525</v>
      </c>
      <c r="AG126">
        <v>-0.22346199999999999</v>
      </c>
      <c r="AH126">
        <v>0.39590059265739502</v>
      </c>
      <c r="AI126">
        <v>118.57435497055199</v>
      </c>
      <c r="AJ126">
        <v>74.778182211895299</v>
      </c>
      <c r="AK126">
        <v>0.46720164128050501</v>
      </c>
      <c r="AL126">
        <v>87.966826772457694</v>
      </c>
      <c r="AM126">
        <v>86.853343249011999</v>
      </c>
      <c r="AN126">
        <v>0.99999999536129702</v>
      </c>
    </row>
    <row r="127" spans="1:40" x14ac:dyDescent="0.25">
      <c r="A127" t="str">
        <f>"20190312154802979"</f>
        <v>20190312154802979</v>
      </c>
      <c r="B127" t="str">
        <f>"1552376882975881"</f>
        <v>1552376882975881</v>
      </c>
      <c r="C127" t="s">
        <v>40</v>
      </c>
      <c r="D127">
        <v>5.2417360000000004</v>
      </c>
      <c r="E127">
        <v>0.54395150000000003</v>
      </c>
      <c r="F127" t="s">
        <v>41</v>
      </c>
      <c r="G127">
        <v>-451.57810000000001</v>
      </c>
      <c r="H127">
        <v>0.89510789999999996</v>
      </c>
      <c r="I127">
        <v>367.06259999999997</v>
      </c>
      <c r="J127">
        <v>-452.02510000000001</v>
      </c>
      <c r="K127">
        <v>1.1092919999999999</v>
      </c>
      <c r="L127">
        <v>367.18700000000001</v>
      </c>
      <c r="M127">
        <v>0.99997139999999995</v>
      </c>
      <c r="N127">
        <v>0</v>
      </c>
      <c r="O127">
        <v>-1.148998E-3</v>
      </c>
      <c r="P127">
        <v>0.99807999999999997</v>
      </c>
      <c r="Q127">
        <v>2.7937819999999999E-2</v>
      </c>
      <c r="R127">
        <v>-5.5283100000000002E-2</v>
      </c>
      <c r="S127">
        <v>3.0027469999999998</v>
      </c>
      <c r="T127">
        <v>-0.83265499999999903</v>
      </c>
      <c r="U127">
        <v>-0.48425289999999999</v>
      </c>
      <c r="V127">
        <v>5.4137390000000001E-2</v>
      </c>
      <c r="W127">
        <v>3.5405689999999997E-2</v>
      </c>
      <c r="X127">
        <v>0.99790559999999995</v>
      </c>
      <c r="Y127">
        <v>0.15250929999999999</v>
      </c>
      <c r="Z127">
        <v>-2.0316770000000001E-2</v>
      </c>
      <c r="AA127">
        <v>0.9880932</v>
      </c>
      <c r="AB127">
        <v>33</v>
      </c>
      <c r="AC127">
        <v>0.44700000000000201</v>
      </c>
      <c r="AD127">
        <v>-0.21418409999999999</v>
      </c>
      <c r="AE127">
        <v>-0.12439999999998</v>
      </c>
      <c r="AF127">
        <v>0.102124620803361</v>
      </c>
      <c r="AG127">
        <v>-0.21418409999999999</v>
      </c>
      <c r="AH127">
        <v>0.36859824263125801</v>
      </c>
      <c r="AI127">
        <v>119.248027200191</v>
      </c>
      <c r="AJ127">
        <v>74.513961450260396</v>
      </c>
      <c r="AK127">
        <v>0.43837076925576601</v>
      </c>
      <c r="AL127">
        <v>87.970979330574295</v>
      </c>
      <c r="AM127">
        <v>86.894690002586998</v>
      </c>
      <c r="AN127">
        <v>1.00000000319587</v>
      </c>
    </row>
    <row r="128" spans="1:40" x14ac:dyDescent="0.25">
      <c r="A128" t="str">
        <f>"20190312154803004"</f>
        <v>20190312154803004</v>
      </c>
      <c r="B128" t="str">
        <f>"1552376882996377"</f>
        <v>1552376882996377</v>
      </c>
      <c r="C128" t="s">
        <v>40</v>
      </c>
      <c r="D128">
        <v>5.2427989999999998</v>
      </c>
      <c r="E128">
        <v>0.54402659999999903</v>
      </c>
      <c r="F128" t="s">
        <v>41</v>
      </c>
      <c r="G128">
        <v>-451.28320000000002</v>
      </c>
      <c r="H128">
        <v>0.90274270000000001</v>
      </c>
      <c r="I128">
        <v>367.06740000000002</v>
      </c>
      <c r="J128">
        <v>-451.6848</v>
      </c>
      <c r="K128">
        <v>1.109335</v>
      </c>
      <c r="L128">
        <v>367.1866</v>
      </c>
      <c r="M128">
        <v>0.99996680000000004</v>
      </c>
      <c r="N128">
        <v>0</v>
      </c>
      <c r="O128">
        <v>-1.1489460000000001E-3</v>
      </c>
      <c r="P128">
        <v>0.99810900000000002</v>
      </c>
      <c r="Q128">
        <v>2.759673E-2</v>
      </c>
      <c r="R128">
        <v>-5.4927049999999998E-2</v>
      </c>
      <c r="S128">
        <v>3.0024109999999999</v>
      </c>
      <c r="T128">
        <v>-0.83608059999999995</v>
      </c>
      <c r="U128">
        <v>-0.48318480000000003</v>
      </c>
      <c r="V128">
        <v>5.3781549999999997E-2</v>
      </c>
      <c r="W128">
        <v>3.566064E-2</v>
      </c>
      <c r="X128">
        <v>0.99791569999999996</v>
      </c>
      <c r="Y128">
        <v>0.1521507</v>
      </c>
      <c r="Z128">
        <v>-2.0351370000000001E-2</v>
      </c>
      <c r="AA128">
        <v>0.98814769999999996</v>
      </c>
      <c r="AB128">
        <v>33</v>
      </c>
      <c r="AC128">
        <v>0.40159999999997298</v>
      </c>
      <c r="AD128">
        <v>-0.20659229999999901</v>
      </c>
      <c r="AE128">
        <v>-0.119199999999978</v>
      </c>
      <c r="AF128">
        <v>9.5509965941735497E-2</v>
      </c>
      <c r="AG128">
        <v>-0.20659229999999901</v>
      </c>
      <c r="AH128">
        <v>0.32314591560315697</v>
      </c>
      <c r="AI128">
        <v>121.512342458945</v>
      </c>
      <c r="AJ128">
        <v>73.534271940343302</v>
      </c>
      <c r="AK128">
        <v>0.39525411419045903</v>
      </c>
      <c r="AL128">
        <v>87.956362412540997</v>
      </c>
      <c r="AM128">
        <v>86.915092522748793</v>
      </c>
      <c r="AN128">
        <v>0.999999940336049</v>
      </c>
    </row>
    <row r="129" spans="1:40" x14ac:dyDescent="0.25">
      <c r="A129" t="str">
        <f>"20190312154803026"</f>
        <v>20190312154803026</v>
      </c>
      <c r="B129" t="str">
        <f>"1552376883015897"</f>
        <v>1552376883015897</v>
      </c>
      <c r="C129" t="s">
        <v>40</v>
      </c>
      <c r="D129">
        <v>5.2293000000000003</v>
      </c>
      <c r="E129">
        <v>0.54410319999999901</v>
      </c>
      <c r="F129" t="s">
        <v>41</v>
      </c>
      <c r="G129">
        <v>-450.98680000000002</v>
      </c>
      <c r="H129">
        <v>0.91445030000000005</v>
      </c>
      <c r="I129">
        <v>367.07420000000002</v>
      </c>
      <c r="J129">
        <v>-451.3451</v>
      </c>
      <c r="K129">
        <v>1.109367</v>
      </c>
      <c r="L129">
        <v>367.18619999999999</v>
      </c>
      <c r="M129">
        <v>0.99996229999999997</v>
      </c>
      <c r="N129">
        <v>0</v>
      </c>
      <c r="O129">
        <v>-1.148657E-3</v>
      </c>
      <c r="P129">
        <v>0.99815140000000002</v>
      </c>
      <c r="Q129">
        <v>2.6812249999999999E-2</v>
      </c>
      <c r="R129">
        <v>-5.45432E-2</v>
      </c>
      <c r="S129">
        <v>3.0023499999999999</v>
      </c>
      <c r="T129">
        <v>-0.83820280000000003</v>
      </c>
      <c r="U129">
        <v>-0.48233029999999999</v>
      </c>
      <c r="V129">
        <v>5.339795E-2</v>
      </c>
      <c r="W129">
        <v>3.5404249999999998E-2</v>
      </c>
      <c r="X129">
        <v>0.99794550000000004</v>
      </c>
      <c r="Y129">
        <v>0.1518622</v>
      </c>
      <c r="Z129">
        <v>-2.0362789999999999E-2</v>
      </c>
      <c r="AA129">
        <v>0.98819190000000001</v>
      </c>
      <c r="AB129">
        <v>33</v>
      </c>
      <c r="AC129">
        <v>0.35829999999998502</v>
      </c>
      <c r="AD129">
        <v>-0.194916699999999</v>
      </c>
      <c r="AE129">
        <v>-0.111999999999966</v>
      </c>
      <c r="AF129">
        <v>8.7892665943547096E-2</v>
      </c>
      <c r="AG129">
        <v>-0.194916699999999</v>
      </c>
      <c r="AH129">
        <v>0.28231647868764498</v>
      </c>
      <c r="AI129">
        <v>123.393312700875</v>
      </c>
      <c r="AJ129">
        <v>72.707238527333004</v>
      </c>
      <c r="AK129">
        <v>0.35414719369796699</v>
      </c>
      <c r="AL129">
        <v>87.971061905063706</v>
      </c>
      <c r="AM129">
        <v>86.937145045515507</v>
      </c>
      <c r="AN129">
        <v>1.00000001147625</v>
      </c>
    </row>
    <row r="130" spans="1:40" x14ac:dyDescent="0.25">
      <c r="A130" t="str">
        <f>"20190312154803048"</f>
        <v>20190312154803048</v>
      </c>
      <c r="B130" t="str">
        <f>"1552376883036393"</f>
        <v>1552376883036393</v>
      </c>
      <c r="C130" t="s">
        <v>40</v>
      </c>
      <c r="D130">
        <v>5.2377640000000003</v>
      </c>
      <c r="E130">
        <v>0.54417260000000001</v>
      </c>
      <c r="F130" t="s">
        <v>41</v>
      </c>
      <c r="G130">
        <v>-450.42809999999997</v>
      </c>
      <c r="H130">
        <v>0.85223309999999997</v>
      </c>
      <c r="I130">
        <v>367.03870000000001</v>
      </c>
      <c r="J130">
        <v>-451.03550000000001</v>
      </c>
      <c r="K130">
        <v>1.10938799999999</v>
      </c>
      <c r="L130">
        <v>367.1859</v>
      </c>
      <c r="M130">
        <v>0.99995849999999997</v>
      </c>
      <c r="N130">
        <v>0</v>
      </c>
      <c r="O130">
        <v>-1.1483939999999901E-3</v>
      </c>
      <c r="P130">
        <v>0.99817469999999997</v>
      </c>
      <c r="Q130">
        <v>2.6363629999999999E-2</v>
      </c>
      <c r="R130">
        <v>-5.4334729999999998E-2</v>
      </c>
      <c r="S130">
        <v>3.001862</v>
      </c>
      <c r="T130">
        <v>-0.84180339999999998</v>
      </c>
      <c r="U130">
        <v>-0.48159790000000002</v>
      </c>
      <c r="V130">
        <v>5.3189630000000002E-2</v>
      </c>
      <c r="W130">
        <v>3.5380429999999997E-2</v>
      </c>
      <c r="X130">
        <v>0.99795750000000005</v>
      </c>
      <c r="Y130">
        <v>0.15161240000000001</v>
      </c>
      <c r="Z130">
        <v>-2.0416529999999999E-2</v>
      </c>
      <c r="AA130">
        <v>0.98822920000000003</v>
      </c>
      <c r="AB130">
        <v>33</v>
      </c>
      <c r="AC130">
        <v>0.60740000000004102</v>
      </c>
      <c r="AD130">
        <v>-0.25715489999999902</v>
      </c>
      <c r="AE130">
        <v>-0.147199999999998</v>
      </c>
      <c r="AF130">
        <v>0.125290738936748</v>
      </c>
      <c r="AG130">
        <v>-0.25715489999999902</v>
      </c>
      <c r="AH130">
        <v>0.51960074594307804</v>
      </c>
      <c r="AI130">
        <v>115.69310789469</v>
      </c>
      <c r="AJ130">
        <v>76.443125739075796</v>
      </c>
      <c r="AK130">
        <v>0.59313687041182095</v>
      </c>
      <c r="AL130">
        <v>87.972427607376005</v>
      </c>
      <c r="AM130">
        <v>86.949108078371495</v>
      </c>
      <c r="AN130">
        <v>1.0000000416863799</v>
      </c>
    </row>
    <row r="131" spans="1:40" x14ac:dyDescent="0.25">
      <c r="A131" t="str">
        <f>"20190312154803069"</f>
        <v>20190312154803069</v>
      </c>
      <c r="B131" t="str">
        <f>"1552376883066649"</f>
        <v>1552376883066649</v>
      </c>
      <c r="C131" t="s">
        <v>40</v>
      </c>
      <c r="D131">
        <v>5.2289250000000003</v>
      </c>
      <c r="E131">
        <v>0.54875890000000005</v>
      </c>
      <c r="F131" t="s">
        <v>41</v>
      </c>
      <c r="G131">
        <v>-450.13499999999999</v>
      </c>
      <c r="H131">
        <v>0.85613009999999901</v>
      </c>
      <c r="I131">
        <v>367.04129999999998</v>
      </c>
      <c r="J131">
        <v>-450.71679999999998</v>
      </c>
      <c r="K131">
        <v>1.109405</v>
      </c>
      <c r="L131">
        <v>367.18549999999999</v>
      </c>
      <c r="M131">
        <v>0.99995509999999999</v>
      </c>
      <c r="N131">
        <v>0</v>
      </c>
      <c r="O131">
        <v>-1.1481589999999999E-3</v>
      </c>
      <c r="P131">
        <v>0.99816059999999995</v>
      </c>
      <c r="Q131">
        <v>2.5776739999999999E-2</v>
      </c>
      <c r="R131">
        <v>-5.4873489999999997E-2</v>
      </c>
      <c r="S131">
        <v>3.0016479999999999</v>
      </c>
      <c r="T131">
        <v>-0.84425659999999902</v>
      </c>
      <c r="U131">
        <v>-0.48104859999999999</v>
      </c>
      <c r="V131">
        <v>5.372876E-2</v>
      </c>
      <c r="W131">
        <v>3.5179340000000003E-2</v>
      </c>
      <c r="X131">
        <v>0.99793569999999998</v>
      </c>
      <c r="Y131">
        <v>0.1514211</v>
      </c>
      <c r="Z131">
        <v>-2.0449350000000002E-2</v>
      </c>
      <c r="AA131">
        <v>0.98825779999999996</v>
      </c>
      <c r="AB131">
        <v>33</v>
      </c>
      <c r="AC131">
        <v>0.58179999999998699</v>
      </c>
      <c r="AD131">
        <v>-0.25327490000000003</v>
      </c>
      <c r="AE131">
        <v>-0.14420000000001201</v>
      </c>
      <c r="AF131">
        <v>0.12178745238109</v>
      </c>
      <c r="AG131">
        <v>-0.25327490000000003</v>
      </c>
      <c r="AH131">
        <v>0.49380011881611202</v>
      </c>
      <c r="AI131">
        <v>116.472733755207</v>
      </c>
      <c r="AJ131">
        <v>76.145461620803005</v>
      </c>
      <c r="AK131">
        <v>0.56817155496407301</v>
      </c>
      <c r="AL131">
        <v>87.983956335318396</v>
      </c>
      <c r="AM131">
        <v>86.918176361031499</v>
      </c>
      <c r="AN131">
        <v>1.00000001347423</v>
      </c>
    </row>
    <row r="132" spans="1:40" x14ac:dyDescent="0.25">
      <c r="A132" t="str">
        <f>"20190312154803092"</f>
        <v>20190312154803092</v>
      </c>
      <c r="B132" t="str">
        <f>"1552376883086169"</f>
        <v>1552376883086169</v>
      </c>
      <c r="C132" t="s">
        <v>40</v>
      </c>
      <c r="D132">
        <v>5.1841470000000003</v>
      </c>
      <c r="E132">
        <v>0.54901299999999997</v>
      </c>
      <c r="F132" t="s">
        <v>41</v>
      </c>
      <c r="G132">
        <v>-449.85039999999998</v>
      </c>
      <c r="H132">
        <v>0.83966339999999995</v>
      </c>
      <c r="I132">
        <v>367.03620000000001</v>
      </c>
      <c r="J132">
        <v>-450.39010000000002</v>
      </c>
      <c r="K132">
        <v>1.109424</v>
      </c>
      <c r="L132">
        <v>367.18509999999998</v>
      </c>
      <c r="M132">
        <v>0.99995160000000005</v>
      </c>
      <c r="N132">
        <v>0</v>
      </c>
      <c r="O132">
        <v>-1.1481659999999999E-3</v>
      </c>
      <c r="P132">
        <v>0.99814119999999995</v>
      </c>
      <c r="Q132">
        <v>2.5844120000000002E-2</v>
      </c>
      <c r="R132">
        <v>-5.5192539999999998E-2</v>
      </c>
      <c r="S132">
        <v>3.001312</v>
      </c>
      <c r="T132">
        <v>-0.93447150000000001</v>
      </c>
      <c r="U132">
        <v>-0.51614380000000004</v>
      </c>
      <c r="V132">
        <v>5.4047820000000003E-2</v>
      </c>
      <c r="W132">
        <v>3.5594389999999997E-2</v>
      </c>
      <c r="X132">
        <v>0.99790380000000001</v>
      </c>
      <c r="Y132">
        <v>0.16099720000000001</v>
      </c>
      <c r="Z132">
        <v>-2.3970499999999999E-2</v>
      </c>
      <c r="AA132">
        <v>0.98666370000000003</v>
      </c>
      <c r="AB132">
        <v>33</v>
      </c>
      <c r="AC132">
        <v>0.53970000000003804</v>
      </c>
      <c r="AD132">
        <v>-0.26976059999999902</v>
      </c>
      <c r="AE132">
        <v>-0.148899999999969</v>
      </c>
      <c r="AF132">
        <v>0.12034141537698299</v>
      </c>
      <c r="AG132">
        <v>-0.26976059999999902</v>
      </c>
      <c r="AH132">
        <v>0.438148793626291</v>
      </c>
      <c r="AI132">
        <v>120.69744644351501</v>
      </c>
      <c r="AJ132">
        <v>74.641925973896804</v>
      </c>
      <c r="AK132">
        <v>0.52841953306389899</v>
      </c>
      <c r="AL132">
        <v>87.960160915257603</v>
      </c>
      <c r="AM132">
        <v>86.899812108687499</v>
      </c>
      <c r="AN132">
        <v>1.0000000607503301</v>
      </c>
    </row>
    <row r="133" spans="1:40" x14ac:dyDescent="0.25">
      <c r="A133" t="str">
        <f>"20190312154803113"</f>
        <v>20190312154803113</v>
      </c>
      <c r="B133" t="str">
        <f>"1552376883106665"</f>
        <v>1552376883106665</v>
      </c>
      <c r="C133" t="s">
        <v>40</v>
      </c>
      <c r="D133">
        <v>5.174582</v>
      </c>
      <c r="E133">
        <v>0.54891999999999996</v>
      </c>
      <c r="F133" t="s">
        <v>41</v>
      </c>
      <c r="G133">
        <v>-449.55599999999998</v>
      </c>
      <c r="H133">
        <v>0.84717039999999999</v>
      </c>
      <c r="I133">
        <v>367.04059999999998</v>
      </c>
      <c r="J133">
        <v>-450.0729</v>
      </c>
      <c r="K133">
        <v>1.109437</v>
      </c>
      <c r="L133">
        <v>367.18470000000002</v>
      </c>
      <c r="M133">
        <v>0.99994870000000002</v>
      </c>
      <c r="N133">
        <v>0</v>
      </c>
      <c r="O133">
        <v>-1.1482109999999999E-3</v>
      </c>
      <c r="P133">
        <v>0.99815710000000002</v>
      </c>
      <c r="Q133">
        <v>2.507908E-2</v>
      </c>
      <c r="R133">
        <v>-5.5259530000000001E-2</v>
      </c>
      <c r="S133">
        <v>3.001312</v>
      </c>
      <c r="T133">
        <v>-0.94364870000000001</v>
      </c>
      <c r="U133">
        <v>-0.51870729999999998</v>
      </c>
      <c r="V133">
        <v>5.4114740000000001E-2</v>
      </c>
      <c r="W133">
        <v>3.5125009999999998E-2</v>
      </c>
      <c r="X133">
        <v>0.99791680000000005</v>
      </c>
      <c r="Y133">
        <v>0.1616446</v>
      </c>
      <c r="Z133">
        <v>-2.4292379999999999E-2</v>
      </c>
      <c r="AA133">
        <v>0.98655000000000004</v>
      </c>
      <c r="AB133">
        <v>33</v>
      </c>
      <c r="AC133">
        <v>0.51690000000002101</v>
      </c>
      <c r="AD133">
        <v>-0.26226659999999902</v>
      </c>
      <c r="AE133">
        <v>-0.144100000000037</v>
      </c>
      <c r="AF133">
        <v>0.11583615812725399</v>
      </c>
      <c r="AG133">
        <v>-0.26226659999999902</v>
      </c>
      <c r="AH133">
        <v>0.41736711604777499</v>
      </c>
      <c r="AI133">
        <v>121.194729820777</v>
      </c>
      <c r="AJ133">
        <v>74.488526223847401</v>
      </c>
      <c r="AK133">
        <v>0.50635668709248804</v>
      </c>
      <c r="AL133">
        <v>87.987071224781999</v>
      </c>
      <c r="AM133">
        <v>86.896021430410599</v>
      </c>
      <c r="AN133">
        <v>1.0000000555674999</v>
      </c>
    </row>
    <row r="134" spans="1:40" x14ac:dyDescent="0.25">
      <c r="A134" t="str">
        <f>"20190312154803136"</f>
        <v>20190312154803136</v>
      </c>
      <c r="B134" t="str">
        <f>"1552376883126189"</f>
        <v>1552376883126189</v>
      </c>
      <c r="C134" t="s">
        <v>40</v>
      </c>
      <c r="D134">
        <v>5.2881429999999998</v>
      </c>
      <c r="E134">
        <v>0.54888179999999998</v>
      </c>
      <c r="F134" t="s">
        <v>41</v>
      </c>
      <c r="G134">
        <v>-449.2629</v>
      </c>
      <c r="H134">
        <v>0.85183580000000003</v>
      </c>
      <c r="I134">
        <v>367.04469999999998</v>
      </c>
      <c r="J134">
        <v>-449.7373</v>
      </c>
      <c r="K134">
        <v>1.1094550000000001</v>
      </c>
      <c r="L134">
        <v>367.18430000000001</v>
      </c>
      <c r="M134">
        <v>0.999946</v>
      </c>
      <c r="N134">
        <v>0</v>
      </c>
      <c r="O134">
        <v>-1.1481149999999999E-3</v>
      </c>
      <c r="P134">
        <v>0.99815149999999997</v>
      </c>
      <c r="Q134">
        <v>2.420141E-2</v>
      </c>
      <c r="R134">
        <v>-5.5752459999999997E-2</v>
      </c>
      <c r="S134">
        <v>3.0008240000000002</v>
      </c>
      <c r="T134">
        <v>-0.95437839999999996</v>
      </c>
      <c r="U134">
        <v>-0.51788329999999905</v>
      </c>
      <c r="V134">
        <v>5.460744E-2</v>
      </c>
      <c r="W134">
        <v>3.4531239999999998E-2</v>
      </c>
      <c r="X134">
        <v>0.99791059999999998</v>
      </c>
      <c r="Y134">
        <v>0.16125610000000001</v>
      </c>
      <c r="Z134">
        <v>-2.4500379999999999E-2</v>
      </c>
      <c r="AA134">
        <v>0.98660840000000005</v>
      </c>
      <c r="AB134">
        <v>33</v>
      </c>
      <c r="AC134">
        <v>0.47440000000000199</v>
      </c>
      <c r="AD134">
        <v>-0.25761919999999899</v>
      </c>
      <c r="AE134">
        <v>-0.13960000000002901</v>
      </c>
      <c r="AF134">
        <v>0.10937223986439</v>
      </c>
      <c r="AG134">
        <v>-0.25761919999999899</v>
      </c>
      <c r="AH134">
        <v>0.37325955626159402</v>
      </c>
      <c r="AI134">
        <v>123.518061222284</v>
      </c>
      <c r="AJ134">
        <v>73.668399104433107</v>
      </c>
      <c r="AK134">
        <v>0.46653256628256501</v>
      </c>
      <c r="AL134">
        <v>88.021112225784293</v>
      </c>
      <c r="AM134">
        <v>86.867797145568304</v>
      </c>
      <c r="AN134">
        <v>0.99999997231582505</v>
      </c>
    </row>
    <row r="135" spans="1:40" x14ac:dyDescent="0.25">
      <c r="A135" t="str">
        <f>"20190312154803158"</f>
        <v>20190312154803158</v>
      </c>
      <c r="B135" t="str">
        <f>"1552376883146685"</f>
        <v>1552376883146685</v>
      </c>
      <c r="C135" t="s">
        <v>40</v>
      </c>
      <c r="D135">
        <v>5.1962789999999996</v>
      </c>
      <c r="E135">
        <v>0.54865010000000003</v>
      </c>
      <c r="F135" t="s">
        <v>41</v>
      </c>
      <c r="G135">
        <v>-448.96620000000001</v>
      </c>
      <c r="H135">
        <v>0.86517869999999997</v>
      </c>
      <c r="I135">
        <v>367.05070000000001</v>
      </c>
      <c r="J135">
        <v>-449.42399999999998</v>
      </c>
      <c r="K135">
        <v>1.109308</v>
      </c>
      <c r="L135">
        <v>367.18400000000003</v>
      </c>
      <c r="M135">
        <v>0.99994950000000005</v>
      </c>
      <c r="N135">
        <v>0</v>
      </c>
      <c r="O135">
        <v>-1.147793E-3</v>
      </c>
      <c r="P135">
        <v>0.99814979999999998</v>
      </c>
      <c r="Q135">
        <v>2.4388119999999999E-2</v>
      </c>
      <c r="R135">
        <v>-5.5697990000000003E-2</v>
      </c>
      <c r="S135">
        <v>2.9995729999999998</v>
      </c>
      <c r="T135">
        <v>-0.95024260000000005</v>
      </c>
      <c r="U135">
        <v>-0.51919559999999998</v>
      </c>
      <c r="V135">
        <v>5.455339E-2</v>
      </c>
      <c r="W135">
        <v>3.4350609999999997E-2</v>
      </c>
      <c r="X135">
        <v>0.99791980000000002</v>
      </c>
      <c r="Y135">
        <v>0.16177910000000001</v>
      </c>
      <c r="Z135">
        <v>-2.4488220000000002E-2</v>
      </c>
      <c r="AA135">
        <v>0.98652309999999999</v>
      </c>
      <c r="AB135">
        <v>33</v>
      </c>
      <c r="AC135">
        <v>0.45780000000002002</v>
      </c>
      <c r="AD135">
        <v>-0.24412929999999899</v>
      </c>
      <c r="AE135">
        <v>-0.13330000000001899</v>
      </c>
      <c r="AF135">
        <v>0.10519725204333499</v>
      </c>
      <c r="AG135">
        <v>-0.24412929999999899</v>
      </c>
      <c r="AH135">
        <v>0.36283618500236903</v>
      </c>
      <c r="AI135">
        <v>122.871492785109</v>
      </c>
      <c r="AJ135">
        <v>73.831517765399397</v>
      </c>
      <c r="AK135">
        <v>0.44979514682022997</v>
      </c>
      <c r="AL135">
        <v>88.031467725350197</v>
      </c>
      <c r="AM135">
        <v>86.870920001087796</v>
      </c>
      <c r="AN135">
        <v>0.99999998199995199</v>
      </c>
    </row>
    <row r="136" spans="1:40" x14ac:dyDescent="0.25">
      <c r="A136" t="str">
        <f>"20190312154803181"</f>
        <v>20190312154803181</v>
      </c>
      <c r="B136" t="str">
        <f>"1552376883175961"</f>
        <v>1552376883175961</v>
      </c>
      <c r="C136" t="s">
        <v>40</v>
      </c>
      <c r="D136">
        <v>5.2841750000000003</v>
      </c>
      <c r="E136">
        <v>0.54895079999999996</v>
      </c>
      <c r="F136" t="s">
        <v>41</v>
      </c>
      <c r="G136">
        <v>-448.67009999999999</v>
      </c>
      <c r="H136">
        <v>0.86885460000000003</v>
      </c>
      <c r="I136">
        <v>367.0539</v>
      </c>
      <c r="J136">
        <v>-449.0779</v>
      </c>
      <c r="K136">
        <v>1.108995</v>
      </c>
      <c r="L136">
        <v>367.18360000000001</v>
      </c>
      <c r="M136">
        <v>0.99995979999999995</v>
      </c>
      <c r="N136">
        <v>0</v>
      </c>
      <c r="O136">
        <v>-1.1477690000000001E-3</v>
      </c>
      <c r="P136">
        <v>0.99811609999999995</v>
      </c>
      <c r="Q136">
        <v>2.5582810000000001E-2</v>
      </c>
      <c r="R136">
        <v>-5.576942E-2</v>
      </c>
      <c r="S136">
        <v>3.0000610000000001</v>
      </c>
      <c r="T136">
        <v>-0.95688450000000003</v>
      </c>
      <c r="U136">
        <v>-0.51684569999999996</v>
      </c>
      <c r="V136">
        <v>5.4624930000000002E-2</v>
      </c>
      <c r="W136">
        <v>3.445927E-2</v>
      </c>
      <c r="X136">
        <v>0.99791220000000003</v>
      </c>
      <c r="Y136">
        <v>0.16093869999999999</v>
      </c>
      <c r="Z136">
        <v>-2.4519329999999999E-2</v>
      </c>
      <c r="AA136">
        <v>0.98665979999999998</v>
      </c>
      <c r="AB136">
        <v>33</v>
      </c>
      <c r="AC136">
        <v>0.40780000000000799</v>
      </c>
      <c r="AD136">
        <v>-0.2401404</v>
      </c>
      <c r="AE136">
        <v>-0.129700000000013</v>
      </c>
      <c r="AF136">
        <v>9.8281817546155004E-2</v>
      </c>
      <c r="AG136">
        <v>-0.2401404</v>
      </c>
      <c r="AH136">
        <v>0.31024808935360998</v>
      </c>
      <c r="AI136">
        <v>126.423155326043</v>
      </c>
      <c r="AJ136">
        <v>72.422600068214706</v>
      </c>
      <c r="AK136">
        <v>0.40445099124603701</v>
      </c>
      <c r="AL136">
        <v>88.025238395561203</v>
      </c>
      <c r="AM136">
        <v>86.866800956845395</v>
      </c>
      <c r="AN136">
        <v>1.00000004158763</v>
      </c>
    </row>
    <row r="137" spans="1:40" x14ac:dyDescent="0.25">
      <c r="A137" t="str">
        <f>"20190312154803205"</f>
        <v>20190312154803205</v>
      </c>
      <c r="B137" t="str">
        <f>"1552376883196457"</f>
        <v>1552376883196457</v>
      </c>
      <c r="C137" t="s">
        <v>40</v>
      </c>
      <c r="D137">
        <v>5.2557549999999997</v>
      </c>
      <c r="E137">
        <v>0.54884960000000005</v>
      </c>
      <c r="F137" t="s">
        <v>41</v>
      </c>
      <c r="G137">
        <v>-448.36619999999999</v>
      </c>
      <c r="H137">
        <v>0.88505009999999995</v>
      </c>
      <c r="I137">
        <v>367.06009999999998</v>
      </c>
      <c r="J137">
        <v>-448.73430000000002</v>
      </c>
      <c r="K137">
        <v>1.1087129999999901</v>
      </c>
      <c r="L137">
        <v>367.1832</v>
      </c>
      <c r="M137">
        <v>0.99996980000000002</v>
      </c>
      <c r="N137">
        <v>0</v>
      </c>
      <c r="O137">
        <v>-1.1473970000000001E-3</v>
      </c>
      <c r="P137">
        <v>0.99807619999999997</v>
      </c>
      <c r="Q137">
        <v>2.6821419999999999E-2</v>
      </c>
      <c r="R137">
        <v>-5.5898530000000002E-2</v>
      </c>
      <c r="S137">
        <v>3.0008539999999999</v>
      </c>
      <c r="T137">
        <v>-0.94435190000000002</v>
      </c>
      <c r="U137">
        <v>-0.51968380000000003</v>
      </c>
      <c r="V137">
        <v>5.47546E-2</v>
      </c>
      <c r="W137">
        <v>3.4492630000000003E-2</v>
      </c>
      <c r="X137">
        <v>0.99790389999999995</v>
      </c>
      <c r="Y137">
        <v>0.16195499999999999</v>
      </c>
      <c r="Z137">
        <v>-2.4360159999999999E-2</v>
      </c>
      <c r="AA137">
        <v>0.98649739999999997</v>
      </c>
      <c r="AB137">
        <v>33</v>
      </c>
      <c r="AC137">
        <v>0.36810000000002602</v>
      </c>
      <c r="AD137">
        <v>-0.223662899999999</v>
      </c>
      <c r="AE137">
        <v>-0.123100000000022</v>
      </c>
      <c r="AF137">
        <v>9.2096183451800595E-2</v>
      </c>
      <c r="AG137">
        <v>-0.223662899999999</v>
      </c>
      <c r="AH137">
        <v>0.27644496795675999</v>
      </c>
      <c r="AI137">
        <v>127.509596886845</v>
      </c>
      <c r="AJ137">
        <v>71.574777426210005</v>
      </c>
      <c r="AK137">
        <v>0.36732631290367901</v>
      </c>
      <c r="AL137">
        <v>88.023325790620902</v>
      </c>
      <c r="AM137">
        <v>86.859352093999902</v>
      </c>
      <c r="AN137">
        <v>1.00000000069034</v>
      </c>
    </row>
    <row r="138" spans="1:40" x14ac:dyDescent="0.25">
      <c r="A138" t="str">
        <f>"20190312154803227"</f>
        <v>20190312154803227</v>
      </c>
      <c r="B138" t="str">
        <f>"1552376883215977"</f>
        <v>1552376883215977</v>
      </c>
      <c r="C138" t="s">
        <v>40</v>
      </c>
      <c r="D138">
        <v>5.2811560000000002</v>
      </c>
      <c r="E138">
        <v>0.5488558</v>
      </c>
      <c r="F138" t="s">
        <v>41</v>
      </c>
      <c r="G138">
        <v>-448.06139999999999</v>
      </c>
      <c r="H138">
        <v>0.89861199999999997</v>
      </c>
      <c r="I138">
        <v>367.06639999999999</v>
      </c>
      <c r="J138">
        <v>-448.40109999999999</v>
      </c>
      <c r="K138">
        <v>1.1084969999999901</v>
      </c>
      <c r="L138">
        <v>367.18279999999999</v>
      </c>
      <c r="M138">
        <v>0.99997800000000003</v>
      </c>
      <c r="N138">
        <v>0</v>
      </c>
      <c r="O138">
        <v>-1.147557E-3</v>
      </c>
      <c r="P138">
        <v>0.99808470000000005</v>
      </c>
      <c r="Q138">
        <v>2.7362319999999999E-2</v>
      </c>
      <c r="R138">
        <v>-5.5482980000000001E-2</v>
      </c>
      <c r="S138">
        <v>3.0018919999999998</v>
      </c>
      <c r="T138">
        <v>-0.93730630000000004</v>
      </c>
      <c r="U138">
        <v>-0.51907349999999997</v>
      </c>
      <c r="V138">
        <v>5.4338709999999998E-2</v>
      </c>
      <c r="W138">
        <v>3.3879300000000001E-2</v>
      </c>
      <c r="X138">
        <v>0.99794760000000005</v>
      </c>
      <c r="Y138">
        <v>0.1618233</v>
      </c>
      <c r="Z138">
        <v>-2.4159070000000001E-2</v>
      </c>
      <c r="AA138">
        <v>0.98652399999999996</v>
      </c>
      <c r="AB138">
        <v>33</v>
      </c>
      <c r="AC138">
        <v>0.33969999999999301</v>
      </c>
      <c r="AD138">
        <v>-0.20988499999999899</v>
      </c>
      <c r="AE138">
        <v>-0.11639999999999801</v>
      </c>
      <c r="AF138">
        <v>8.6469403048624605E-2</v>
      </c>
      <c r="AG138">
        <v>-0.20988499999999899</v>
      </c>
      <c r="AH138">
        <v>0.253298547960149</v>
      </c>
      <c r="AI138">
        <v>128.10261530956899</v>
      </c>
      <c r="AJ138">
        <v>71.151456923410706</v>
      </c>
      <c r="AK138">
        <v>0.34013060033949499</v>
      </c>
      <c r="AL138">
        <v>88.058487479879702</v>
      </c>
      <c r="AM138">
        <v>86.883295970975894</v>
      </c>
      <c r="AN138">
        <v>0.99999995735935598</v>
      </c>
    </row>
    <row r="139" spans="1:40" x14ac:dyDescent="0.25">
      <c r="A139" t="str">
        <f>"20190312154803248"</f>
        <v>20190312154803248</v>
      </c>
      <c r="B139" t="str">
        <f>"1552376883246859"</f>
        <v>1552376883246859</v>
      </c>
      <c r="C139" t="s">
        <v>40</v>
      </c>
      <c r="D139">
        <v>5.1953809999999896</v>
      </c>
      <c r="E139">
        <v>0.5487879</v>
      </c>
      <c r="F139" t="s">
        <v>41</v>
      </c>
      <c r="G139">
        <v>-447.48469999999998</v>
      </c>
      <c r="H139">
        <v>0.82400379999999995</v>
      </c>
      <c r="I139">
        <v>367.024</v>
      </c>
      <c r="J139">
        <v>-448.05680000000001</v>
      </c>
      <c r="K139">
        <v>1.108317</v>
      </c>
      <c r="L139">
        <v>367.18239999999997</v>
      </c>
      <c r="M139">
        <v>0.99998489999999995</v>
      </c>
      <c r="N139">
        <v>0</v>
      </c>
      <c r="O139">
        <v>-1.1473239999999999E-3</v>
      </c>
      <c r="P139">
        <v>0.99801220000000002</v>
      </c>
      <c r="Q139">
        <v>2.88366E-2</v>
      </c>
      <c r="R139">
        <v>-5.6037299999999998E-2</v>
      </c>
      <c r="S139">
        <v>3.0025019999999998</v>
      </c>
      <c r="T139">
        <v>-0.93219339999999995</v>
      </c>
      <c r="U139">
        <v>-0.51873779999999903</v>
      </c>
      <c r="V139">
        <v>5.4893490000000003E-2</v>
      </c>
      <c r="W139">
        <v>3.4202410000000003E-2</v>
      </c>
      <c r="X139">
        <v>0.99790630000000002</v>
      </c>
      <c r="Y139">
        <v>0.1617672</v>
      </c>
      <c r="Z139">
        <v>-2.4020340000000001E-2</v>
      </c>
      <c r="AA139">
        <v>0.98653659999999999</v>
      </c>
      <c r="AB139">
        <v>34</v>
      </c>
      <c r="AC139">
        <v>0.57210000000003403</v>
      </c>
      <c r="AD139">
        <v>-0.28431319999999899</v>
      </c>
      <c r="AE139">
        <v>-0.15839999999997101</v>
      </c>
      <c r="AF139">
        <v>0.128310534452034</v>
      </c>
      <c r="AG139">
        <v>-0.28431319999999899</v>
      </c>
      <c r="AH139">
        <v>0.46550080614980499</v>
      </c>
      <c r="AI139">
        <v>120.48999396302401</v>
      </c>
      <c r="AJ139">
        <v>74.589675503621905</v>
      </c>
      <c r="AK139">
        <v>0.56034684747192498</v>
      </c>
      <c r="AL139">
        <v>88.0399640698501</v>
      </c>
      <c r="AM139">
        <v>86.851409122255504</v>
      </c>
      <c r="AN139">
        <v>1.0000000418369299</v>
      </c>
    </row>
    <row r="140" spans="1:40" x14ac:dyDescent="0.25">
      <c r="A140" t="str">
        <f>"20190312154803270"</f>
        <v>20190312154803270</v>
      </c>
      <c r="B140" t="str">
        <f>"1552376883266380"</f>
        <v>1552376883266380</v>
      </c>
      <c r="C140" t="s">
        <v>40</v>
      </c>
      <c r="D140">
        <v>5.280354</v>
      </c>
      <c r="E140">
        <v>0.5487069</v>
      </c>
      <c r="F140" t="s">
        <v>41</v>
      </c>
      <c r="G140">
        <v>-447.17340000000002</v>
      </c>
      <c r="H140">
        <v>0.83566489999999904</v>
      </c>
      <c r="I140">
        <v>367.0292</v>
      </c>
      <c r="J140">
        <v>-447.73070000000001</v>
      </c>
      <c r="K140">
        <v>1.108185</v>
      </c>
      <c r="L140">
        <v>367.18209999999999</v>
      </c>
      <c r="M140">
        <v>0.99998989999999999</v>
      </c>
      <c r="N140">
        <v>0</v>
      </c>
      <c r="O140">
        <v>-1.1465970000000001E-3</v>
      </c>
      <c r="P140">
        <v>0.99798719999999996</v>
      </c>
      <c r="Q140">
        <v>2.8998320000000001E-2</v>
      </c>
      <c r="R140">
        <v>-5.6396229999999999E-2</v>
      </c>
      <c r="S140">
        <v>3.0036010000000002</v>
      </c>
      <c r="T140">
        <v>-0.92705970000000004</v>
      </c>
      <c r="U140">
        <v>-0.51943969999999995</v>
      </c>
      <c r="V140">
        <v>5.5253139999999999E-2</v>
      </c>
      <c r="W140">
        <v>3.3338859999999998E-2</v>
      </c>
      <c r="X140">
        <v>0.99791560000000001</v>
      </c>
      <c r="Y140">
        <v>0.16200479999999901</v>
      </c>
      <c r="Z140">
        <v>-2.3920960000000002E-2</v>
      </c>
      <c r="AA140">
        <v>0.98650000000000004</v>
      </c>
      <c r="AB140">
        <v>34</v>
      </c>
      <c r="AC140">
        <v>0.55729999999999702</v>
      </c>
      <c r="AD140">
        <v>-0.27252009999999999</v>
      </c>
      <c r="AE140">
        <v>-0.15289999999998799</v>
      </c>
      <c r="AF140">
        <v>0.124560771443783</v>
      </c>
      <c r="AG140">
        <v>-0.27252009999999999</v>
      </c>
      <c r="AH140">
        <v>0.45605609933670499</v>
      </c>
      <c r="AI140">
        <v>119.961050587397</v>
      </c>
      <c r="AJ140">
        <v>74.723620452347802</v>
      </c>
      <c r="AK140">
        <v>0.54568283501397696</v>
      </c>
      <c r="AL140">
        <v>88.089469934247802</v>
      </c>
      <c r="AM140">
        <v>86.830851639865202</v>
      </c>
      <c r="AN140">
        <v>0.99999996689465898</v>
      </c>
    </row>
    <row r="141" spans="1:40" x14ac:dyDescent="0.25">
      <c r="A141" t="str">
        <f>"20190312154803292"</f>
        <v>20190312154803292</v>
      </c>
      <c r="B141" t="str">
        <f>"1552376883285900"</f>
        <v>1552376883285900</v>
      </c>
      <c r="C141" t="s">
        <v>40</v>
      </c>
      <c r="D141">
        <v>5.2603090000000003</v>
      </c>
      <c r="E141">
        <v>0.54861939999999998</v>
      </c>
      <c r="F141" t="s">
        <v>41</v>
      </c>
      <c r="G141">
        <v>-446.86250000000001</v>
      </c>
      <c r="H141">
        <v>0.84018019999999904</v>
      </c>
      <c r="I141">
        <v>367.0317</v>
      </c>
      <c r="J141">
        <v>-447.38819999999998</v>
      </c>
      <c r="K141">
        <v>1.1080810000000001</v>
      </c>
      <c r="L141">
        <v>367.18169999999998</v>
      </c>
      <c r="M141">
        <v>0.99999369999999999</v>
      </c>
      <c r="N141">
        <v>0</v>
      </c>
      <c r="O141">
        <v>-1.145177E-3</v>
      </c>
      <c r="P141">
        <v>0.99798750000000003</v>
      </c>
      <c r="Q141">
        <v>2.957742E-2</v>
      </c>
      <c r="R141">
        <v>-5.6093379999999998E-2</v>
      </c>
      <c r="S141">
        <v>3.0036619999999998</v>
      </c>
      <c r="T141">
        <v>-0.92713820000000002</v>
      </c>
      <c r="U141">
        <v>-0.51889039999999997</v>
      </c>
      <c r="V141">
        <v>5.4951699999999902E-2</v>
      </c>
      <c r="W141">
        <v>3.29476E-2</v>
      </c>
      <c r="X141">
        <v>0.99794519999999998</v>
      </c>
      <c r="Y141">
        <v>0.16183420000000001</v>
      </c>
      <c r="Z141">
        <v>-2.3897649999999999E-2</v>
      </c>
      <c r="AA141">
        <v>0.98652859999999998</v>
      </c>
      <c r="AB141">
        <v>34</v>
      </c>
      <c r="AC141">
        <v>0.52569999999997197</v>
      </c>
      <c r="AD141">
        <v>-0.267900799999999</v>
      </c>
      <c r="AE141">
        <v>-0.14999999999997701</v>
      </c>
      <c r="AF141">
        <v>0.120467752673277</v>
      </c>
      <c r="AG141">
        <v>-0.267900799999999</v>
      </c>
      <c r="AH141">
        <v>0.42403915141722798</v>
      </c>
      <c r="AI141">
        <v>121.28846374284601</v>
      </c>
      <c r="AJ141">
        <v>74.1403730925323</v>
      </c>
      <c r="AK141">
        <v>0.51584156483307197</v>
      </c>
      <c r="AL141">
        <v>88.111899730947599</v>
      </c>
      <c r="AM141">
        <v>86.848199645394899</v>
      </c>
      <c r="AN141">
        <v>0.99999992794084203</v>
      </c>
    </row>
    <row r="142" spans="1:40" x14ac:dyDescent="0.25">
      <c r="A142" t="str">
        <f>"20190312154803316"</f>
        <v>20190312154803316</v>
      </c>
      <c r="B142" t="str">
        <f>"1552376883306396"</f>
        <v>1552376883306396</v>
      </c>
      <c r="C142" t="s">
        <v>40</v>
      </c>
      <c r="D142">
        <v>5.2113839999999998</v>
      </c>
      <c r="E142">
        <v>0.5485044</v>
      </c>
      <c r="F142" t="s">
        <v>41</v>
      </c>
      <c r="G142">
        <v>-446.5471</v>
      </c>
      <c r="H142">
        <v>0.84979380000000004</v>
      </c>
      <c r="I142">
        <v>367.03640000000001</v>
      </c>
      <c r="J142">
        <v>-447.01679999999999</v>
      </c>
      <c r="K142">
        <v>1.108012</v>
      </c>
      <c r="L142">
        <v>367.18119999999999</v>
      </c>
      <c r="M142">
        <v>0.99999640000000001</v>
      </c>
      <c r="N142">
        <v>0</v>
      </c>
      <c r="O142">
        <v>-1.14157E-3</v>
      </c>
      <c r="P142">
        <v>0.99794050000000001</v>
      </c>
      <c r="Q142">
        <v>3.1472239999999999E-2</v>
      </c>
      <c r="R142">
        <v>-5.5898749999999997E-2</v>
      </c>
      <c r="S142">
        <v>3.0042719999999998</v>
      </c>
      <c r="T142">
        <v>-0.92266320000000002</v>
      </c>
      <c r="U142">
        <v>-0.51794430000000002</v>
      </c>
      <c r="V142">
        <v>5.4760660000000003E-2</v>
      </c>
      <c r="W142">
        <v>3.3938870000000003E-2</v>
      </c>
      <c r="X142">
        <v>0.99792250000000005</v>
      </c>
      <c r="Y142">
        <v>0.16158429999999999</v>
      </c>
      <c r="Z142">
        <v>-2.374716E-2</v>
      </c>
      <c r="AA142">
        <v>0.98657320000000004</v>
      </c>
      <c r="AB142">
        <v>35</v>
      </c>
      <c r="AC142">
        <v>0.46969999999998802</v>
      </c>
      <c r="AD142">
        <v>-0.25821819999999901</v>
      </c>
      <c r="AE142">
        <v>-0.144799999999975</v>
      </c>
      <c r="AF142">
        <v>0.113059647131249</v>
      </c>
      <c r="AG142">
        <v>-0.25821819999999901</v>
      </c>
      <c r="AH142">
        <v>0.36823377754532599</v>
      </c>
      <c r="AI142">
        <v>123.835899269054</v>
      </c>
      <c r="AJ142">
        <v>72.931824898559498</v>
      </c>
      <c r="AK142">
        <v>0.46374048512716998</v>
      </c>
      <c r="AL142">
        <v>88.055072384876695</v>
      </c>
      <c r="AM142">
        <v>86.859063623672597</v>
      </c>
      <c r="AN142">
        <v>0.99999994639337897</v>
      </c>
    </row>
    <row r="143" spans="1:40" x14ac:dyDescent="0.25">
      <c r="A143" t="str">
        <f>"20190312154803337"</f>
        <v>20190312154803337</v>
      </c>
      <c r="B143" t="str">
        <f>"1552376883325921"</f>
        <v>1552376883325921</v>
      </c>
      <c r="C143" t="s">
        <v>40</v>
      </c>
      <c r="D143">
        <v>5.2641499999999999</v>
      </c>
      <c r="E143">
        <v>0.5483555</v>
      </c>
      <c r="F143" t="s">
        <v>41</v>
      </c>
      <c r="G143">
        <v>-446.22640000000001</v>
      </c>
      <c r="H143">
        <v>0.86721959999999998</v>
      </c>
      <c r="I143">
        <v>367.04500000000002</v>
      </c>
      <c r="J143">
        <v>-446.67770000000002</v>
      </c>
      <c r="K143">
        <v>1.10798</v>
      </c>
      <c r="L143">
        <v>367.18079999999998</v>
      </c>
      <c r="M143">
        <v>0.99999769999999999</v>
      </c>
      <c r="N143">
        <v>0</v>
      </c>
      <c r="O143">
        <v>-1.1360669999999999E-3</v>
      </c>
      <c r="P143">
        <v>0.99795020000000001</v>
      </c>
      <c r="Q143">
        <v>3.2025049999999999E-2</v>
      </c>
      <c r="R143">
        <v>-5.540693E-2</v>
      </c>
      <c r="S143">
        <v>3.0061040000000001</v>
      </c>
      <c r="T143">
        <v>-0.91590819999999995</v>
      </c>
      <c r="U143">
        <v>-0.51702879999999996</v>
      </c>
      <c r="V143">
        <v>5.4274129999999997E-2</v>
      </c>
      <c r="W143">
        <v>3.3818300000000003E-2</v>
      </c>
      <c r="X143">
        <v>0.99795319999999998</v>
      </c>
      <c r="Y143">
        <v>0.1613192</v>
      </c>
      <c r="Z143">
        <v>-2.353015E-2</v>
      </c>
      <c r="AA143">
        <v>0.98662169999999905</v>
      </c>
      <c r="AB143">
        <v>35</v>
      </c>
      <c r="AC143">
        <v>0.45130000000000298</v>
      </c>
      <c r="AD143">
        <v>-0.24076040000000001</v>
      </c>
      <c r="AE143">
        <v>-0.13579999999996001</v>
      </c>
      <c r="AF143">
        <v>0.10728795161265001</v>
      </c>
      <c r="AG143">
        <v>-0.24076040000000001</v>
      </c>
      <c r="AH143">
        <v>0.35802035891178802</v>
      </c>
      <c r="AI143">
        <v>122.788600878442</v>
      </c>
      <c r="AJ143">
        <v>73.318105141697401</v>
      </c>
      <c r="AK143">
        <v>0.44458390902587103</v>
      </c>
      <c r="AL143">
        <v>88.061984558763996</v>
      </c>
      <c r="AM143">
        <v>86.887010228966204</v>
      </c>
      <c r="AN143">
        <v>0.999999973996193</v>
      </c>
    </row>
    <row r="144" spans="1:40" x14ac:dyDescent="0.25">
      <c r="A144" t="str">
        <f>"20190312154803360"</f>
        <v>20190312154803360</v>
      </c>
      <c r="B144" t="str">
        <f>"1552376883356177"</f>
        <v>1552376883356177</v>
      </c>
      <c r="C144" t="s">
        <v>40</v>
      </c>
      <c r="D144">
        <v>5.2003050000000002</v>
      </c>
      <c r="E144">
        <v>0.54815709999999995</v>
      </c>
      <c r="F144" t="s">
        <v>41</v>
      </c>
      <c r="G144">
        <v>-445.90769999999998</v>
      </c>
      <c r="H144">
        <v>0.87433019999999995</v>
      </c>
      <c r="I144">
        <v>367.04899999999998</v>
      </c>
      <c r="J144">
        <v>-446.3263</v>
      </c>
      <c r="K144">
        <v>1.107974</v>
      </c>
      <c r="L144">
        <v>367.18040000000002</v>
      </c>
      <c r="M144">
        <v>0.99999870000000002</v>
      </c>
      <c r="N144">
        <v>0</v>
      </c>
      <c r="O144">
        <v>-1.1284909999999999E-3</v>
      </c>
      <c r="P144">
        <v>0.99794930000000004</v>
      </c>
      <c r="Q144">
        <v>3.285706E-2</v>
      </c>
      <c r="R144">
        <v>-5.4936749999999999E-2</v>
      </c>
      <c r="S144">
        <v>3.0068969999999999</v>
      </c>
      <c r="T144">
        <v>-0.91227320000000001</v>
      </c>
      <c r="U144">
        <v>-0.51422120000000004</v>
      </c>
      <c r="V144">
        <v>5.3811459999999998E-2</v>
      </c>
      <c r="W144">
        <v>3.4112339999999998E-2</v>
      </c>
      <c r="X144">
        <v>0.99796830000000003</v>
      </c>
      <c r="Y144">
        <v>0.1604816</v>
      </c>
      <c r="Z144">
        <v>-2.3315389999999998E-2</v>
      </c>
      <c r="AA144">
        <v>0.98676339999999996</v>
      </c>
      <c r="AB144">
        <v>35</v>
      </c>
      <c r="AC144">
        <v>0.41860000000002601</v>
      </c>
      <c r="AD144">
        <v>-0.23364380000000001</v>
      </c>
      <c r="AE144">
        <v>-0.131399999999985</v>
      </c>
      <c r="AF144">
        <v>0.102000786589619</v>
      </c>
      <c r="AG144">
        <v>-0.23364380000000001</v>
      </c>
      <c r="AH144">
        <v>0.32623106269042801</v>
      </c>
      <c r="AI144">
        <v>124.354877103454</v>
      </c>
      <c r="AJ144">
        <v>72.637402827993299</v>
      </c>
      <c r="AK144">
        <v>0.41402933713381601</v>
      </c>
      <c r="AL144">
        <v>88.045127683439205</v>
      </c>
      <c r="AM144">
        <v>86.913542575086694</v>
      </c>
      <c r="AN144">
        <v>1.0000000263862401</v>
      </c>
    </row>
    <row r="145" spans="1:40" x14ac:dyDescent="0.25">
      <c r="A145" t="str">
        <f>"20190312154803381"</f>
        <v>20190312154803381</v>
      </c>
      <c r="B145" t="str">
        <f>"1552376883376672"</f>
        <v>1552376883376672</v>
      </c>
      <c r="C145" t="s">
        <v>40</v>
      </c>
      <c r="D145">
        <v>5.250559</v>
      </c>
      <c r="E145">
        <v>0.5481703</v>
      </c>
      <c r="F145" t="s">
        <v>41</v>
      </c>
      <c r="G145">
        <v>-445.58580000000001</v>
      </c>
      <c r="H145">
        <v>0.8843046</v>
      </c>
      <c r="I145">
        <v>367.05439999999999</v>
      </c>
      <c r="J145">
        <v>-445.9821</v>
      </c>
      <c r="K145">
        <v>1.108001</v>
      </c>
      <c r="L145">
        <v>367.18</v>
      </c>
      <c r="M145">
        <v>0.99999899999999997</v>
      </c>
      <c r="N145">
        <v>0</v>
      </c>
      <c r="O145">
        <v>-1.1191040000000001E-3</v>
      </c>
      <c r="P145">
        <v>0.9979538</v>
      </c>
      <c r="Q145">
        <v>3.3171880000000001E-2</v>
      </c>
      <c r="R145">
        <v>-5.4664619999999997E-2</v>
      </c>
      <c r="S145">
        <v>3.0079039999999999</v>
      </c>
      <c r="T145">
        <v>-0.90859080000000003</v>
      </c>
      <c r="U145">
        <v>-0.51104740000000004</v>
      </c>
      <c r="V145">
        <v>5.3548529999999997E-2</v>
      </c>
      <c r="W145">
        <v>3.4052289999999999E-2</v>
      </c>
      <c r="X145">
        <v>0.99798450000000005</v>
      </c>
      <c r="Y145">
        <v>0.1595232</v>
      </c>
      <c r="Z145">
        <v>-2.3081919999999999E-2</v>
      </c>
      <c r="AA145">
        <v>0.98692429999999998</v>
      </c>
      <c r="AB145">
        <v>35</v>
      </c>
      <c r="AC145">
        <v>0.39629999999999599</v>
      </c>
      <c r="AD145">
        <v>-0.22369639999999999</v>
      </c>
      <c r="AE145">
        <v>-0.125600000000019</v>
      </c>
      <c r="AF145">
        <v>9.7055457062560094E-2</v>
      </c>
      <c r="AG145">
        <v>-0.22369639999999999</v>
      </c>
      <c r="AH145">
        <v>0.30742886009196402</v>
      </c>
      <c r="AI145">
        <v>124.755971894884</v>
      </c>
      <c r="AJ145">
        <v>72.479065220228705</v>
      </c>
      <c r="AK145">
        <v>0.392393100265571</v>
      </c>
      <c r="AL145">
        <v>88.048570307642194</v>
      </c>
      <c r="AM145">
        <v>86.928644236074703</v>
      </c>
      <c r="AN145">
        <v>1.00000003287982</v>
      </c>
    </row>
    <row r="146" spans="1:40" x14ac:dyDescent="0.25">
      <c r="A146" t="str">
        <f>"20190312154803404"</f>
        <v>20190312154803404</v>
      </c>
      <c r="B146" t="str">
        <f>"1552376883396193"</f>
        <v>1552376883396193</v>
      </c>
      <c r="C146" t="s">
        <v>40</v>
      </c>
      <c r="D146">
        <v>5.240113</v>
      </c>
      <c r="E146">
        <v>0.54815700000000001</v>
      </c>
      <c r="F146" t="s">
        <v>41</v>
      </c>
      <c r="G146">
        <v>-445.26310000000001</v>
      </c>
      <c r="H146">
        <v>0.89139369999999996</v>
      </c>
      <c r="I146">
        <v>367.05790000000002</v>
      </c>
      <c r="J146">
        <v>-445.6114</v>
      </c>
      <c r="K146">
        <v>1.1080490000000001</v>
      </c>
      <c r="L146">
        <v>367.17959999999999</v>
      </c>
      <c r="M146">
        <v>0.99999919999999998</v>
      </c>
      <c r="N146">
        <v>0</v>
      </c>
      <c r="O146">
        <v>-1.1072E-3</v>
      </c>
      <c r="P146">
        <v>0.99794070000000001</v>
      </c>
      <c r="Q146">
        <v>3.3428689999999997E-2</v>
      </c>
      <c r="R146">
        <v>-5.4743720000000003E-2</v>
      </c>
      <c r="S146">
        <v>3.0083310000000001</v>
      </c>
      <c r="T146">
        <v>-0.90631139999999999</v>
      </c>
      <c r="U146">
        <v>-0.51043700000000003</v>
      </c>
      <c r="V146">
        <v>5.3639550000000001E-2</v>
      </c>
      <c r="W146">
        <v>3.405039E-2</v>
      </c>
      <c r="X146">
        <v>0.99797959999999997</v>
      </c>
      <c r="Y146">
        <v>0.1593591</v>
      </c>
      <c r="Z146">
        <v>-2.3003160000000002E-2</v>
      </c>
      <c r="AA146">
        <v>0.98695270000000002</v>
      </c>
      <c r="AB146">
        <v>36</v>
      </c>
      <c r="AC146">
        <v>0.348299999999994</v>
      </c>
      <c r="AD146">
        <v>-0.2166553</v>
      </c>
      <c r="AE146">
        <v>-0.12169999999997499</v>
      </c>
      <c r="AF146">
        <v>9.0207919779225904E-2</v>
      </c>
      <c r="AG146">
        <v>-0.2166553</v>
      </c>
      <c r="AH146">
        <v>0.259091942177409</v>
      </c>
      <c r="AI146">
        <v>128.29862939223301</v>
      </c>
      <c r="AJ146">
        <v>70.803439745836499</v>
      </c>
      <c r="AK146">
        <v>0.349579207491303</v>
      </c>
      <c r="AL146">
        <v>88.048679083101703</v>
      </c>
      <c r="AM146">
        <v>86.923418592301601</v>
      </c>
      <c r="AN146">
        <v>0.99999995619975601</v>
      </c>
    </row>
    <row r="147" spans="1:40" x14ac:dyDescent="0.25">
      <c r="A147" t="str">
        <f>"20190312154803429"</f>
        <v>20190312154803429</v>
      </c>
      <c r="B147" t="str">
        <f>"1552376883426448"</f>
        <v>1552376883426448</v>
      </c>
      <c r="C147" t="s">
        <v>40</v>
      </c>
      <c r="D147">
        <v>5.1147179999999999</v>
      </c>
      <c r="E147">
        <v>0.54815269999999905</v>
      </c>
      <c r="F147" t="s">
        <v>41</v>
      </c>
      <c r="G147">
        <v>-444.93599999999998</v>
      </c>
      <c r="H147">
        <v>0.90511629999999998</v>
      </c>
      <c r="I147">
        <v>367.06439999999998</v>
      </c>
      <c r="J147">
        <v>-445.21589999999998</v>
      </c>
      <c r="K147">
        <v>1.108106</v>
      </c>
      <c r="L147">
        <v>367.17919999999998</v>
      </c>
      <c r="M147">
        <v>0.99999930000000004</v>
      </c>
      <c r="N147">
        <v>0</v>
      </c>
      <c r="O147">
        <v>-1.0929749999999999E-3</v>
      </c>
      <c r="P147">
        <v>0.99789360000000005</v>
      </c>
      <c r="Q147">
        <v>3.4188549999999998E-2</v>
      </c>
      <c r="R147">
        <v>-5.513465E-2</v>
      </c>
      <c r="S147">
        <v>3.0084529999999998</v>
      </c>
      <c r="T147">
        <v>-0.90397689999999997</v>
      </c>
      <c r="U147">
        <v>-0.51065059999999995</v>
      </c>
      <c r="V147">
        <v>5.404436E-2</v>
      </c>
      <c r="W147">
        <v>3.4676099999999897E-2</v>
      </c>
      <c r="X147">
        <v>0.99793620000000005</v>
      </c>
      <c r="Y147">
        <v>0.15946450000000001</v>
      </c>
      <c r="Z147">
        <v>-2.2964910000000002E-2</v>
      </c>
      <c r="AA147">
        <v>0.98693649999999999</v>
      </c>
      <c r="AB147">
        <v>36</v>
      </c>
      <c r="AC147">
        <v>0.27989999999999698</v>
      </c>
      <c r="AD147">
        <v>-0.202989699999999</v>
      </c>
      <c r="AE147">
        <v>-0.114800000000002</v>
      </c>
      <c r="AF147">
        <v>7.8949816077254403E-2</v>
      </c>
      <c r="AG147">
        <v>-0.202989699999999</v>
      </c>
      <c r="AH147">
        <v>0.19309260701818501</v>
      </c>
      <c r="AI147">
        <v>134.21778776550201</v>
      </c>
      <c r="AJ147">
        <v>67.761809136282494</v>
      </c>
      <c r="AK147">
        <v>0.29107154902154497</v>
      </c>
      <c r="AL147">
        <v>88.012807325033094</v>
      </c>
      <c r="AM147">
        <v>86.900110638587904</v>
      </c>
      <c r="AN147">
        <v>0.99999994201472797</v>
      </c>
    </row>
    <row r="148" spans="1:40" x14ac:dyDescent="0.25">
      <c r="A148" t="str">
        <f>"20190312154803451"</f>
        <v>20190312154803451</v>
      </c>
      <c r="B148" t="str">
        <f>"1552376883445969"</f>
        <v>1552376883445969</v>
      </c>
      <c r="C148" t="s">
        <v>40</v>
      </c>
      <c r="D148">
        <v>5.2125729999999999</v>
      </c>
      <c r="E148">
        <v>0.5479773</v>
      </c>
      <c r="F148" t="s">
        <v>41</v>
      </c>
      <c r="G148">
        <v>-444.30309999999997</v>
      </c>
      <c r="H148">
        <v>0.86245349999999998</v>
      </c>
      <c r="I148">
        <v>367.02210000000002</v>
      </c>
      <c r="J148">
        <v>-444.8587</v>
      </c>
      <c r="K148">
        <v>1.1081529999999999</v>
      </c>
      <c r="L148">
        <v>367.17880000000002</v>
      </c>
      <c r="M148">
        <v>0.99999930000000004</v>
      </c>
      <c r="N148">
        <v>0</v>
      </c>
      <c r="O148">
        <v>-1.0794940000000001E-3</v>
      </c>
      <c r="P148">
        <v>0.99787619999999999</v>
      </c>
      <c r="Q148">
        <v>3.4163779999999998E-2</v>
      </c>
      <c r="R148">
        <v>-5.5462949999999997E-2</v>
      </c>
      <c r="S148">
        <v>3.0055540000000001</v>
      </c>
      <c r="T148">
        <v>-0.808828199999999</v>
      </c>
      <c r="U148">
        <v>-0.51535029999999904</v>
      </c>
      <c r="V148">
        <v>5.4386179999999999E-2</v>
      </c>
      <c r="W148">
        <v>3.4609380000000002E-2</v>
      </c>
      <c r="X148">
        <v>0.99792000000000003</v>
      </c>
      <c r="Y148">
        <v>0.16235910000000001</v>
      </c>
      <c r="Z148">
        <v>-2.1033400000000001E-2</v>
      </c>
      <c r="AA148">
        <v>0.98650749999999998</v>
      </c>
      <c r="AB148">
        <v>36</v>
      </c>
      <c r="AC148">
        <v>0.55560000000002596</v>
      </c>
      <c r="AD148">
        <v>-0.24569949999999999</v>
      </c>
      <c r="AE148">
        <v>-0.15670000000000001</v>
      </c>
      <c r="AF148">
        <v>0.132159225891607</v>
      </c>
      <c r="AG148">
        <v>-0.24569949999999999</v>
      </c>
      <c r="AH148">
        <v>0.47053114696846199</v>
      </c>
      <c r="AI148">
        <v>116.68965913615899</v>
      </c>
      <c r="AJ148">
        <v>74.311411615380095</v>
      </c>
      <c r="AK148">
        <v>0.54702272855519896</v>
      </c>
      <c r="AL148">
        <v>88.016632502897806</v>
      </c>
      <c r="AM148">
        <v>86.880492505189594</v>
      </c>
      <c r="AN148">
        <v>0.99999999607948797</v>
      </c>
    </row>
    <row r="149" spans="1:40" x14ac:dyDescent="0.25">
      <c r="A149" t="str">
        <f>"20190312154803471"</f>
        <v>20190312154803471</v>
      </c>
      <c r="B149" t="str">
        <f>"1552376883466465"</f>
        <v>1552376883466465</v>
      </c>
      <c r="C149" t="s">
        <v>40</v>
      </c>
      <c r="D149">
        <v>5.200831</v>
      </c>
      <c r="E149">
        <v>0.54811109999999996</v>
      </c>
      <c r="F149" t="s">
        <v>41</v>
      </c>
      <c r="G149">
        <v>-443.97309999999999</v>
      </c>
      <c r="H149">
        <v>0.87051679999999998</v>
      </c>
      <c r="I149">
        <v>367.02719999999999</v>
      </c>
      <c r="J149">
        <v>-444.52159999999998</v>
      </c>
      <c r="K149">
        <v>1.108196</v>
      </c>
      <c r="L149">
        <v>367.17849999999999</v>
      </c>
      <c r="M149">
        <v>0.99999930000000004</v>
      </c>
      <c r="N149">
        <v>0</v>
      </c>
      <c r="O149">
        <v>-1.066263E-3</v>
      </c>
      <c r="P149">
        <v>0.99785349999999995</v>
      </c>
      <c r="Q149">
        <v>3.4105570000000002E-2</v>
      </c>
      <c r="R149">
        <v>-5.5905160000000002E-2</v>
      </c>
      <c r="S149">
        <v>3.0053709999999998</v>
      </c>
      <c r="T149">
        <v>-0.80657449999999997</v>
      </c>
      <c r="U149">
        <v>-0.51431269999999996</v>
      </c>
      <c r="V149">
        <v>5.4841630000000002E-2</v>
      </c>
      <c r="W149">
        <v>3.4558869999999998E-2</v>
      </c>
      <c r="X149">
        <v>0.99789689999999998</v>
      </c>
      <c r="Y149">
        <v>0.1620895</v>
      </c>
      <c r="Z149">
        <v>-2.0946699999999999E-2</v>
      </c>
      <c r="AA149">
        <v>0.98655369999999998</v>
      </c>
      <c r="AB149">
        <v>36</v>
      </c>
      <c r="AC149">
        <v>0.54849999999999</v>
      </c>
      <c r="AD149">
        <v>-0.23767920000000001</v>
      </c>
      <c r="AE149">
        <v>-0.151299999999992</v>
      </c>
      <c r="AF149">
        <v>0.12832339538502399</v>
      </c>
      <c r="AG149">
        <v>-0.23767920000000001</v>
      </c>
      <c r="AH149">
        <v>0.46714668170892998</v>
      </c>
      <c r="AI149">
        <v>116.133280677988</v>
      </c>
      <c r="AJ149">
        <v>74.639935267287598</v>
      </c>
      <c r="AK149">
        <v>0.53961497213054199</v>
      </c>
      <c r="AL149">
        <v>88.019528394328802</v>
      </c>
      <c r="AM149">
        <v>86.8543481694918</v>
      </c>
      <c r="AN149">
        <v>1.0000000714531601</v>
      </c>
    </row>
    <row r="150" spans="1:40" x14ac:dyDescent="0.25">
      <c r="A150" t="str">
        <f>"20190312154803493"</f>
        <v>20190312154803493</v>
      </c>
      <c r="B150" t="str">
        <f>"1552376883485985"</f>
        <v>1552376883485985</v>
      </c>
      <c r="C150" t="s">
        <v>40</v>
      </c>
      <c r="D150">
        <v>5.0544089999999997</v>
      </c>
      <c r="E150">
        <v>0.54826769999999903</v>
      </c>
      <c r="F150" t="s">
        <v>41</v>
      </c>
      <c r="G150">
        <v>-443.64389999999997</v>
      </c>
      <c r="H150">
        <v>0.87229369999999995</v>
      </c>
      <c r="I150">
        <v>367.02719999999999</v>
      </c>
      <c r="J150">
        <v>-444.15289999999999</v>
      </c>
      <c r="K150">
        <v>1.108231</v>
      </c>
      <c r="L150">
        <v>367.17809999999997</v>
      </c>
      <c r="M150">
        <v>0.99999950000000004</v>
      </c>
      <c r="N150">
        <v>0</v>
      </c>
      <c r="O150">
        <v>-1.0517289999999999E-3</v>
      </c>
      <c r="P150">
        <v>0.99781229999999999</v>
      </c>
      <c r="Q150">
        <v>3.4626190000000001E-2</v>
      </c>
      <c r="R150">
        <v>-5.6324079999999999E-2</v>
      </c>
      <c r="S150">
        <v>3.0051570000000001</v>
      </c>
      <c r="T150">
        <v>-0.80770679999999995</v>
      </c>
      <c r="U150">
        <v>-0.51678469999999999</v>
      </c>
      <c r="V150">
        <v>5.527464E-2</v>
      </c>
      <c r="W150">
        <v>3.512262E-2</v>
      </c>
      <c r="X150">
        <v>0.99785330000000005</v>
      </c>
      <c r="Y150">
        <v>0.16286149999999999</v>
      </c>
      <c r="Z150">
        <v>-2.1080209999999999E-2</v>
      </c>
      <c r="AA150">
        <v>0.98642370000000001</v>
      </c>
      <c r="AB150">
        <v>37</v>
      </c>
      <c r="AC150">
        <v>0.509000000000014</v>
      </c>
      <c r="AD150">
        <v>-0.23593729999999999</v>
      </c>
      <c r="AE150">
        <v>-0.150899999999978</v>
      </c>
      <c r="AF150">
        <v>0.12556516482718399</v>
      </c>
      <c r="AG150">
        <v>-0.23593729999999999</v>
      </c>
      <c r="AH150">
        <v>0.425183635092029</v>
      </c>
      <c r="AI150">
        <v>118.02123583340899</v>
      </c>
      <c r="AJ150">
        <v>73.547083641731604</v>
      </c>
      <c r="AK150">
        <v>0.50220926285706802</v>
      </c>
      <c r="AL150">
        <v>87.987208227556295</v>
      </c>
      <c r="AM150">
        <v>86.829423446117701</v>
      </c>
      <c r="AN150">
        <v>1.0000000462918399</v>
      </c>
    </row>
    <row r="151" spans="1:40" x14ac:dyDescent="0.25">
      <c r="A151" t="str">
        <f>"20190312154803515"</f>
        <v>20190312154803515</v>
      </c>
      <c r="B151" t="str">
        <f>"1552376883506484"</f>
        <v>1552376883506484</v>
      </c>
      <c r="C151" t="s">
        <v>40</v>
      </c>
      <c r="D151">
        <v>5.1505130000000001</v>
      </c>
      <c r="E151">
        <v>0.54792649999999998</v>
      </c>
      <c r="F151" t="s">
        <v>41</v>
      </c>
      <c r="G151">
        <v>-443.31</v>
      </c>
      <c r="H151">
        <v>0.88212199999999996</v>
      </c>
      <c r="I151">
        <v>367.03250000000003</v>
      </c>
      <c r="J151">
        <v>-443.78899999999999</v>
      </c>
      <c r="K151">
        <v>1.1082590000000001</v>
      </c>
      <c r="L151">
        <v>367.17770000000002</v>
      </c>
      <c r="M151">
        <v>0.99999930000000004</v>
      </c>
      <c r="N151">
        <v>0</v>
      </c>
      <c r="O151">
        <v>-1.0348169999999999E-3</v>
      </c>
      <c r="P151">
        <v>0.99776430000000005</v>
      </c>
      <c r="Q151">
        <v>3.5211180000000002E-2</v>
      </c>
      <c r="R151">
        <v>-5.6806309999999999E-2</v>
      </c>
      <c r="S151">
        <v>3.00528</v>
      </c>
      <c r="T151">
        <v>-0.8063129</v>
      </c>
      <c r="U151">
        <v>-0.51849369999999995</v>
      </c>
      <c r="V151">
        <v>5.577389E-2</v>
      </c>
      <c r="W151">
        <v>3.5772140000000001E-2</v>
      </c>
      <c r="X151">
        <v>0.99780239999999998</v>
      </c>
      <c r="Y151">
        <v>0.1634166</v>
      </c>
      <c r="Z151">
        <v>-2.1120360000000001E-2</v>
      </c>
      <c r="AA151">
        <v>0.98633099999999996</v>
      </c>
      <c r="AB151">
        <v>37</v>
      </c>
      <c r="AC151">
        <v>0.47899999999998399</v>
      </c>
      <c r="AD151">
        <v>-0.226137</v>
      </c>
      <c r="AE151">
        <v>-0.14519999999998801</v>
      </c>
      <c r="AF151">
        <v>0.120173883655083</v>
      </c>
      <c r="AG151">
        <v>-0.226137</v>
      </c>
      <c r="AH151">
        <v>0.397924168003993</v>
      </c>
      <c r="AI151">
        <v>118.54725393344</v>
      </c>
      <c r="AJ151">
        <v>73.195580279422501</v>
      </c>
      <c r="AK151">
        <v>0.47320539785955001</v>
      </c>
      <c r="AL151">
        <v>87.949969978745997</v>
      </c>
      <c r="AM151">
        <v>86.800682617678305</v>
      </c>
      <c r="AN151">
        <v>1.0000000011258301</v>
      </c>
    </row>
    <row r="152" spans="1:40" x14ac:dyDescent="0.25">
      <c r="A152" t="str">
        <f>"20190312154803537"</f>
        <v>20190312154803537</v>
      </c>
      <c r="B152" t="str">
        <f>"1552376883526001"</f>
        <v>1552376883526001</v>
      </c>
      <c r="C152" t="s">
        <v>40</v>
      </c>
      <c r="D152">
        <v>5.1703020000000004</v>
      </c>
      <c r="E152">
        <v>0.54790459999999996</v>
      </c>
      <c r="F152" t="s">
        <v>41</v>
      </c>
      <c r="G152">
        <v>-442.9778</v>
      </c>
      <c r="H152">
        <v>0.88419130000000001</v>
      </c>
      <c r="I152">
        <v>367.03820000000002</v>
      </c>
      <c r="J152">
        <v>-443.41609999999997</v>
      </c>
      <c r="K152">
        <v>1.108277</v>
      </c>
      <c r="L152">
        <v>367.1773</v>
      </c>
      <c r="M152">
        <v>0.99999919999999998</v>
      </c>
      <c r="N152">
        <v>0</v>
      </c>
      <c r="O152">
        <v>-1.014692E-3</v>
      </c>
      <c r="P152">
        <v>0.99773710000000004</v>
      </c>
      <c r="Q152">
        <v>3.5101340000000002E-2</v>
      </c>
      <c r="R152">
        <v>-5.7347189999999999E-2</v>
      </c>
      <c r="S152">
        <v>3.0066220000000001</v>
      </c>
      <c r="T152">
        <v>-0.83046160000000002</v>
      </c>
      <c r="U152">
        <v>-0.51571659999999997</v>
      </c>
      <c r="V152">
        <v>5.6334660000000002E-2</v>
      </c>
      <c r="W152">
        <v>3.574165E-2</v>
      </c>
      <c r="X152">
        <v>0.99777199999999999</v>
      </c>
      <c r="Y152">
        <v>0.16219220000000001</v>
      </c>
      <c r="Z152">
        <v>-2.1563780000000001E-2</v>
      </c>
      <c r="AA152">
        <v>0.9865235</v>
      </c>
      <c r="AB152">
        <v>37</v>
      </c>
      <c r="AC152">
        <v>0.43829999999996899</v>
      </c>
      <c r="AD152">
        <v>-0.224085699999999</v>
      </c>
      <c r="AE152">
        <v>-0.13909999999998399</v>
      </c>
      <c r="AF152">
        <v>0.11204730648332401</v>
      </c>
      <c r="AG152">
        <v>-0.224085699999999</v>
      </c>
      <c r="AH152">
        <v>0.35430425907457902</v>
      </c>
      <c r="AI152">
        <v>121.09125106491101</v>
      </c>
      <c r="AJ152">
        <v>72.450649376468604</v>
      </c>
      <c r="AK152">
        <v>0.43393606422265102</v>
      </c>
      <c r="AL152">
        <v>87.951718066634001</v>
      </c>
      <c r="AM152">
        <v>86.768485157723205</v>
      </c>
      <c r="AN152">
        <v>1.0000000117230099</v>
      </c>
    </row>
    <row r="153" spans="1:40" x14ac:dyDescent="0.25">
      <c r="A153" t="str">
        <f>"20190312154803560"</f>
        <v>20190312154803560</v>
      </c>
      <c r="B153" t="str">
        <f>"1552376883556256"</f>
        <v>1552376883556256</v>
      </c>
      <c r="C153" t="s">
        <v>40</v>
      </c>
      <c r="D153">
        <v>5.145435</v>
      </c>
      <c r="E153">
        <v>0.54761530000000003</v>
      </c>
      <c r="F153" t="s">
        <v>41</v>
      </c>
      <c r="G153">
        <v>-442.64120000000003</v>
      </c>
      <c r="H153">
        <v>0.89281129999999997</v>
      </c>
      <c r="I153">
        <v>367.04399999999998</v>
      </c>
      <c r="J153">
        <v>-443.04419999999999</v>
      </c>
      <c r="K153">
        <v>1.108295</v>
      </c>
      <c r="L153">
        <v>367.17689999999999</v>
      </c>
      <c r="M153">
        <v>0.99999939999999998</v>
      </c>
      <c r="N153">
        <v>0</v>
      </c>
      <c r="O153">
        <v>-9.9075760000000008E-4</v>
      </c>
      <c r="P153">
        <v>0.99771390000000004</v>
      </c>
      <c r="Q153">
        <v>3.5438879999999999E-2</v>
      </c>
      <c r="R153">
        <v>-5.7543749999999998E-2</v>
      </c>
      <c r="S153">
        <v>3.0064700000000002</v>
      </c>
      <c r="T153">
        <v>-0.83596309999999996</v>
      </c>
      <c r="U153">
        <v>-0.51718140000000001</v>
      </c>
      <c r="V153">
        <v>5.6554710000000001E-2</v>
      </c>
      <c r="W153">
        <v>3.6165759999999998E-2</v>
      </c>
      <c r="X153">
        <v>0.99774430000000003</v>
      </c>
      <c r="Y153">
        <v>0.16259860000000001</v>
      </c>
      <c r="Z153">
        <v>-2.1763279999999999E-2</v>
      </c>
      <c r="AA153">
        <v>0.98645229999999995</v>
      </c>
      <c r="AB153">
        <v>37</v>
      </c>
      <c r="AC153">
        <v>0.402999999999963</v>
      </c>
      <c r="AD153">
        <v>-0.215483699999999</v>
      </c>
      <c r="AE153">
        <v>-0.132899999999949</v>
      </c>
      <c r="AF153">
        <v>0.10533815597464501</v>
      </c>
      <c r="AG153">
        <v>-0.215483699999999</v>
      </c>
      <c r="AH153">
        <v>0.320489922569406</v>
      </c>
      <c r="AI153">
        <v>122.568014060225</v>
      </c>
      <c r="AJ153">
        <v>71.805416056819098</v>
      </c>
      <c r="AK153">
        <v>0.400303812795198</v>
      </c>
      <c r="AL153">
        <v>87.927402697142398</v>
      </c>
      <c r="AM153">
        <v>86.755799505241399</v>
      </c>
      <c r="AN153">
        <v>1.0000000428010201</v>
      </c>
    </row>
    <row r="154" spans="1:40" x14ac:dyDescent="0.25">
      <c r="A154" t="str">
        <f>"20190312154803582"</f>
        <v>20190312154803582</v>
      </c>
      <c r="B154" t="str">
        <f>"1552376883576752"</f>
        <v>1552376883576752</v>
      </c>
      <c r="C154" t="s">
        <v>40</v>
      </c>
      <c r="D154">
        <v>5.1240139999999998</v>
      </c>
      <c r="E154">
        <v>0.54757599999999995</v>
      </c>
      <c r="F154" t="s">
        <v>41</v>
      </c>
      <c r="G154">
        <v>-442.30349999999999</v>
      </c>
      <c r="H154">
        <v>0.90031090000000003</v>
      </c>
      <c r="I154">
        <v>367.04969999999997</v>
      </c>
      <c r="J154">
        <v>-442.6712</v>
      </c>
      <c r="K154">
        <v>1.1083099999999999</v>
      </c>
      <c r="L154">
        <v>367.17660000000001</v>
      </c>
      <c r="M154">
        <v>0.99999919999999998</v>
      </c>
      <c r="N154">
        <v>0</v>
      </c>
      <c r="O154">
        <v>-9.6336999999999996E-4</v>
      </c>
      <c r="P154">
        <v>0.99767640000000002</v>
      </c>
      <c r="Q154">
        <v>3.5881740000000002E-2</v>
      </c>
      <c r="R154">
        <v>-5.7919129999999999E-2</v>
      </c>
      <c r="S154">
        <v>3.0071720000000002</v>
      </c>
      <c r="T154">
        <v>-0.84446730000000003</v>
      </c>
      <c r="U154">
        <v>-0.51464840000000001</v>
      </c>
      <c r="V154">
        <v>5.695716E-2</v>
      </c>
      <c r="W154">
        <v>3.6697559999999997E-2</v>
      </c>
      <c r="X154">
        <v>0.99770190000000003</v>
      </c>
      <c r="Y154">
        <v>0.161694899999999</v>
      </c>
      <c r="Z154">
        <v>-2.1857100000000001E-2</v>
      </c>
      <c r="AA154">
        <v>0.98659870000000005</v>
      </c>
      <c r="AB154">
        <v>37</v>
      </c>
      <c r="AC154">
        <v>0.36770000000001302</v>
      </c>
      <c r="AD154">
        <v>-0.20799909999999999</v>
      </c>
      <c r="AE154">
        <v>-0.12690000000003401</v>
      </c>
      <c r="AF154">
        <v>9.8407705924886998E-2</v>
      </c>
      <c r="AG154">
        <v>-0.20799909999999999</v>
      </c>
      <c r="AH154">
        <v>0.286035198115485</v>
      </c>
      <c r="AI154">
        <v>124.513308996381</v>
      </c>
      <c r="AJ154">
        <v>71.014705636847907</v>
      </c>
      <c r="AK154">
        <v>0.36710194326259499</v>
      </c>
      <c r="AL154">
        <v>87.896912377091397</v>
      </c>
      <c r="AM154">
        <v>86.732624680100699</v>
      </c>
      <c r="AN154">
        <v>0.99999995512441298</v>
      </c>
    </row>
    <row r="155" spans="1:40" x14ac:dyDescent="0.25">
      <c r="A155" t="str">
        <f>"20190312154803607"</f>
        <v>20190312154803607</v>
      </c>
      <c r="B155" t="str">
        <f>"1552376883596273"</f>
        <v>1552376883596273</v>
      </c>
      <c r="C155" t="s">
        <v>40</v>
      </c>
      <c r="D155">
        <v>5.1301519999999998</v>
      </c>
      <c r="E155">
        <v>0.54738549999999997</v>
      </c>
      <c r="F155" t="s">
        <v>41</v>
      </c>
      <c r="G155">
        <v>-441.96339999999998</v>
      </c>
      <c r="H155">
        <v>0.90955920000000001</v>
      </c>
      <c r="I155">
        <v>367.05509999999998</v>
      </c>
      <c r="J155">
        <v>-442.27870000000001</v>
      </c>
      <c r="K155">
        <v>1.1083209999999999</v>
      </c>
      <c r="L155">
        <v>367.17619999999999</v>
      </c>
      <c r="M155">
        <v>0.99999919999999998</v>
      </c>
      <c r="N155">
        <v>0</v>
      </c>
      <c r="O155">
        <v>-9.3145809999999995E-4</v>
      </c>
      <c r="P155">
        <v>0.9976564</v>
      </c>
      <c r="Q155">
        <v>3.6579720000000003E-2</v>
      </c>
      <c r="R155">
        <v>-5.7825300000000003E-2</v>
      </c>
      <c r="S155">
        <v>3.0074160000000001</v>
      </c>
      <c r="T155">
        <v>-0.84445329999999996</v>
      </c>
      <c r="U155">
        <v>-0.51541139999999996</v>
      </c>
      <c r="V155">
        <v>5.6895000000000001E-2</v>
      </c>
      <c r="W155">
        <v>3.7489990000000001E-2</v>
      </c>
      <c r="X155">
        <v>0.99767600000000001</v>
      </c>
      <c r="Y155">
        <v>0.1619469</v>
      </c>
      <c r="Z155">
        <v>-2.1897819999999998E-2</v>
      </c>
      <c r="AA155">
        <v>0.98655649999999995</v>
      </c>
      <c r="AB155">
        <v>37</v>
      </c>
      <c r="AC155">
        <v>0.315300000000036</v>
      </c>
      <c r="AD155">
        <v>-0.19876179999999999</v>
      </c>
      <c r="AE155">
        <v>-0.121100000000012</v>
      </c>
      <c r="AF155">
        <v>8.9731704169024304E-2</v>
      </c>
      <c r="AG155">
        <v>-0.19876179999999999</v>
      </c>
      <c r="AH155">
        <v>0.23428021094566601</v>
      </c>
      <c r="AI155">
        <v>128.38871678301899</v>
      </c>
      <c r="AJ155">
        <v>69.042651834909606</v>
      </c>
      <c r="AK155">
        <v>0.32007069393036203</v>
      </c>
      <c r="AL155">
        <v>87.851478244437004</v>
      </c>
      <c r="AM155">
        <v>86.736098259144001</v>
      </c>
      <c r="AN155">
        <v>0.99999997067559898</v>
      </c>
    </row>
    <row r="156" spans="1:40" x14ac:dyDescent="0.25">
      <c r="A156" t="str">
        <f>"20190312154803630"</f>
        <v>20190312154803630</v>
      </c>
      <c r="B156" t="str">
        <f>"1552376883626529"</f>
        <v>1552376883626529</v>
      </c>
      <c r="C156" t="s">
        <v>40</v>
      </c>
      <c r="D156">
        <v>5.1227809999999998</v>
      </c>
      <c r="E156">
        <v>0.54743529999999996</v>
      </c>
      <c r="F156" t="s">
        <v>41</v>
      </c>
      <c r="G156">
        <v>-441.31360000000001</v>
      </c>
      <c r="H156">
        <v>0.83767289999999905</v>
      </c>
      <c r="I156">
        <v>367.01170000000002</v>
      </c>
      <c r="J156">
        <v>-441.87169999999998</v>
      </c>
      <c r="K156">
        <v>1.108325</v>
      </c>
      <c r="L156">
        <v>367.17590000000001</v>
      </c>
      <c r="M156">
        <v>0.99999919999999998</v>
      </c>
      <c r="N156">
        <v>0</v>
      </c>
      <c r="O156">
        <v>-8.9645899999999995E-4</v>
      </c>
      <c r="P156">
        <v>0.99764509999999995</v>
      </c>
      <c r="Q156">
        <v>3.7047070000000001E-2</v>
      </c>
      <c r="R156">
        <v>-5.772646E-2</v>
      </c>
      <c r="S156">
        <v>3.00827</v>
      </c>
      <c r="T156">
        <v>-0.84372019999999903</v>
      </c>
      <c r="U156">
        <v>-0.51327509999999998</v>
      </c>
      <c r="V156">
        <v>5.6830609999999997E-2</v>
      </c>
      <c r="W156">
        <v>3.8067509999999999E-2</v>
      </c>
      <c r="X156">
        <v>0.99765780000000004</v>
      </c>
      <c r="Y156">
        <v>0.16129019999999999</v>
      </c>
      <c r="Z156">
        <v>-2.179466E-2</v>
      </c>
      <c r="AA156">
        <v>0.9866663</v>
      </c>
      <c r="AB156">
        <v>38</v>
      </c>
      <c r="AC156">
        <v>0.55809999999996696</v>
      </c>
      <c r="AD156">
        <v>-0.27065210000000001</v>
      </c>
      <c r="AE156">
        <v>-0.16419999999999299</v>
      </c>
      <c r="AF156">
        <v>0.13457231146957699</v>
      </c>
      <c r="AG156">
        <v>-0.27065210000000001</v>
      </c>
      <c r="AH156">
        <v>0.45891728818403599</v>
      </c>
      <c r="AI156">
        <v>119.506911894639</v>
      </c>
      <c r="AJ156">
        <v>73.656820808340498</v>
      </c>
      <c r="AK156">
        <v>0.54951555359504101</v>
      </c>
      <c r="AL156">
        <v>87.818365143838406</v>
      </c>
      <c r="AM156">
        <v>86.739724807816998</v>
      </c>
      <c r="AN156">
        <v>0.99999996972570504</v>
      </c>
    </row>
    <row r="157" spans="1:40" x14ac:dyDescent="0.25">
      <c r="A157" t="str">
        <f>"20190312154803661"</f>
        <v>20190312154803661</v>
      </c>
      <c r="B157" t="str">
        <f>"1552376883655808"</f>
        <v>1552376883655808</v>
      </c>
      <c r="C157" t="s">
        <v>40</v>
      </c>
      <c r="D157">
        <v>5.1322619999999999</v>
      </c>
      <c r="E157">
        <v>0.547494699999999</v>
      </c>
      <c r="F157" t="s">
        <v>41</v>
      </c>
      <c r="G157">
        <v>-440.96620000000001</v>
      </c>
      <c r="H157">
        <v>0.85399990000000003</v>
      </c>
      <c r="I157">
        <v>367.02109999999999</v>
      </c>
      <c r="J157">
        <v>-441.33339999999998</v>
      </c>
      <c r="K157">
        <v>1.108333</v>
      </c>
      <c r="L157">
        <v>367.1755</v>
      </c>
      <c r="M157">
        <v>0.99999899999999997</v>
      </c>
      <c r="N157">
        <v>0</v>
      </c>
      <c r="O157">
        <v>-8.4767399999999998E-4</v>
      </c>
      <c r="P157">
        <v>0.99768159999999895</v>
      </c>
      <c r="Q157">
        <v>3.6050539999999999E-2</v>
      </c>
      <c r="R157">
        <v>-5.7722750000000003E-2</v>
      </c>
      <c r="S157">
        <v>3.0087280000000001</v>
      </c>
      <c r="T157">
        <v>-0.8450183</v>
      </c>
      <c r="U157">
        <v>-0.5138855</v>
      </c>
      <c r="V157">
        <v>5.6875509999999997E-2</v>
      </c>
      <c r="W157">
        <v>3.7246019999999998E-2</v>
      </c>
      <c r="X157">
        <v>0.99768630000000003</v>
      </c>
      <c r="Y157">
        <v>0.1614826</v>
      </c>
      <c r="Z157">
        <v>-2.1863130000000001E-2</v>
      </c>
      <c r="AA157">
        <v>0.98663339999999999</v>
      </c>
      <c r="AB157">
        <v>38</v>
      </c>
      <c r="AC157">
        <v>0.367199999999968</v>
      </c>
      <c r="AD157">
        <v>-0.25433309999999998</v>
      </c>
      <c r="AE157">
        <v>-0.154400000000009</v>
      </c>
      <c r="AF157">
        <v>0.10946451610364601</v>
      </c>
      <c r="AG157">
        <v>-0.25433309999999998</v>
      </c>
      <c r="AH157">
        <v>0.26095157087507398</v>
      </c>
      <c r="AI157">
        <v>131.94806650841599</v>
      </c>
      <c r="AJ157">
        <v>67.242822318705706</v>
      </c>
      <c r="AK157">
        <v>0.38047802615076798</v>
      </c>
      <c r="AL157">
        <v>87.865466574350705</v>
      </c>
      <c r="AM157">
        <v>86.737247539919906</v>
      </c>
      <c r="AN157">
        <v>1.0000000214256399</v>
      </c>
    </row>
    <row r="158" spans="1:40" x14ac:dyDescent="0.25">
      <c r="A158" t="str">
        <f>"20190312154803683"</f>
        <v>20190312154803683</v>
      </c>
      <c r="B158" t="str">
        <f>"1552376883676305"</f>
        <v>1552376883676305</v>
      </c>
      <c r="C158" t="s">
        <v>40</v>
      </c>
      <c r="D158">
        <v>5.187176</v>
      </c>
      <c r="E158">
        <v>0.54756780000000005</v>
      </c>
      <c r="F158" t="s">
        <v>41</v>
      </c>
      <c r="G158">
        <v>-440.60509999999999</v>
      </c>
      <c r="H158">
        <v>0.90223750000000003</v>
      </c>
      <c r="I158">
        <v>367.05099999999999</v>
      </c>
      <c r="J158">
        <v>-440.96199999999999</v>
      </c>
      <c r="K158">
        <v>1.108255</v>
      </c>
      <c r="L158">
        <v>367.17509999999999</v>
      </c>
      <c r="M158">
        <v>0.99999919999999998</v>
      </c>
      <c r="N158">
        <v>0</v>
      </c>
      <c r="O158">
        <v>-8.1278090000000002E-4</v>
      </c>
      <c r="P158">
        <v>0.99769649999999999</v>
      </c>
      <c r="Q158">
        <v>3.528212E-2</v>
      </c>
      <c r="R158">
        <v>-5.7940470000000001E-2</v>
      </c>
      <c r="S158">
        <v>3.0079959999999999</v>
      </c>
      <c r="T158">
        <v>-0.85110090000000005</v>
      </c>
      <c r="U158">
        <v>-0.51422120000000004</v>
      </c>
      <c r="V158">
        <v>5.7127949999999997E-2</v>
      </c>
      <c r="W158">
        <v>3.632349E-2</v>
      </c>
      <c r="X158">
        <v>0.99770590000000003</v>
      </c>
      <c r="Y158">
        <v>0.16157070000000001</v>
      </c>
      <c r="Z158">
        <v>-2.2041370000000001E-2</v>
      </c>
      <c r="AA158">
        <v>0.98661489999999996</v>
      </c>
      <c r="AB158">
        <v>38</v>
      </c>
      <c r="AC158">
        <v>0.356899999999996</v>
      </c>
      <c r="AD158">
        <v>-0.20601749999999999</v>
      </c>
      <c r="AE158">
        <v>-0.124099999999998</v>
      </c>
      <c r="AF158">
        <v>9.5439062068390104E-2</v>
      </c>
      <c r="AG158">
        <v>-0.20601749999999999</v>
      </c>
      <c r="AH158">
        <v>0.27519465568147899</v>
      </c>
      <c r="AI158">
        <v>125.271663666637</v>
      </c>
      <c r="AJ158">
        <v>70.873165024606294</v>
      </c>
      <c r="AK158">
        <v>0.35676872535354298</v>
      </c>
      <c r="AL158">
        <v>87.918359467253893</v>
      </c>
      <c r="AM158">
        <v>86.722861660888697</v>
      </c>
      <c r="AN158">
        <v>1.0000000307458901</v>
      </c>
    </row>
    <row r="159" spans="1:40" x14ac:dyDescent="0.25">
      <c r="A159" t="str">
        <f>"20190312154803708"</f>
        <v>20190312154803708</v>
      </c>
      <c r="B159" t="str">
        <f>"1552376883695825"</f>
        <v>1552376883695825</v>
      </c>
      <c r="C159" t="s">
        <v>40</v>
      </c>
      <c r="D159">
        <v>5.1722640000000002</v>
      </c>
      <c r="E159">
        <v>0.54766409999999999</v>
      </c>
      <c r="F159" t="s">
        <v>41</v>
      </c>
      <c r="G159">
        <v>-440.2577</v>
      </c>
      <c r="H159">
        <v>0.90792379999999995</v>
      </c>
      <c r="I159">
        <v>367.05399999999997</v>
      </c>
      <c r="J159">
        <v>-440.53750000000002</v>
      </c>
      <c r="K159">
        <v>1.10805</v>
      </c>
      <c r="L159">
        <v>367.17489999999998</v>
      </c>
      <c r="M159">
        <v>0.99999930000000004</v>
      </c>
      <c r="N159">
        <v>0</v>
      </c>
      <c r="O159">
        <v>-7.7290409999999996E-4</v>
      </c>
      <c r="P159">
        <v>0.99771989999999999</v>
      </c>
      <c r="Q159">
        <v>3.5131309999999999E-2</v>
      </c>
      <c r="R159">
        <v>-5.7625419999999997E-2</v>
      </c>
      <c r="S159">
        <v>3.0072019999999999</v>
      </c>
      <c r="T159">
        <v>-0.8554792</v>
      </c>
      <c r="U159">
        <v>-0.51559449999999996</v>
      </c>
      <c r="V159">
        <v>5.6852769999999997E-2</v>
      </c>
      <c r="W159">
        <v>3.6043770000000003E-2</v>
      </c>
      <c r="X159">
        <v>0.9977317</v>
      </c>
      <c r="Y159">
        <v>0.16200789999999901</v>
      </c>
      <c r="Z159">
        <v>-2.2226869999999999E-2</v>
      </c>
      <c r="AA159">
        <v>0.9865391</v>
      </c>
      <c r="AB159">
        <v>38</v>
      </c>
      <c r="AC159">
        <v>0.27980000000002198</v>
      </c>
      <c r="AD159">
        <v>-0.200126199999999</v>
      </c>
      <c r="AE159">
        <v>-0.12089999999994901</v>
      </c>
      <c r="AF159">
        <v>8.43298285910105E-2</v>
      </c>
      <c r="AG159">
        <v>-0.200126199999999</v>
      </c>
      <c r="AH159">
        <v>0.19558033186644799</v>
      </c>
      <c r="AI159">
        <v>133.21696396669799</v>
      </c>
      <c r="AJ159">
        <v>66.675384034291696</v>
      </c>
      <c r="AK159">
        <v>0.29225619262834901</v>
      </c>
      <c r="AL159">
        <v>87.934396614473002</v>
      </c>
      <c r="AM159">
        <v>86.738697324985907</v>
      </c>
      <c r="AN159">
        <v>0.99999996799868696</v>
      </c>
    </row>
    <row r="160" spans="1:40" x14ac:dyDescent="0.25">
      <c r="A160" t="str">
        <f>"20190312154803728"</f>
        <v>20190312154803728</v>
      </c>
      <c r="B160" t="str">
        <f>"1552376883716321"</f>
        <v>1552376883716321</v>
      </c>
      <c r="C160" t="s">
        <v>40</v>
      </c>
      <c r="D160">
        <v>5.1562510000000001</v>
      </c>
      <c r="E160">
        <v>0.54773629999999995</v>
      </c>
      <c r="F160" t="s">
        <v>41</v>
      </c>
      <c r="G160">
        <v>-439.58870000000002</v>
      </c>
      <c r="H160">
        <v>0.83760769999999996</v>
      </c>
      <c r="I160">
        <v>367.01220000000001</v>
      </c>
      <c r="J160">
        <v>-440.1712</v>
      </c>
      <c r="K160">
        <v>1.107766</v>
      </c>
      <c r="L160">
        <v>367.1746</v>
      </c>
      <c r="M160">
        <v>0.99999919999999998</v>
      </c>
      <c r="N160">
        <v>0</v>
      </c>
      <c r="O160">
        <v>-7.3963570000000001E-4</v>
      </c>
      <c r="P160">
        <v>0.99776929999999997</v>
      </c>
      <c r="Q160">
        <v>3.3872350000000002E-2</v>
      </c>
      <c r="R160">
        <v>-5.7526420000000002E-2</v>
      </c>
      <c r="S160">
        <v>3.0072939999999999</v>
      </c>
      <c r="T160">
        <v>-0.85721840000000005</v>
      </c>
      <c r="U160">
        <v>-0.51480099999999995</v>
      </c>
      <c r="V160">
        <v>5.6786749999999997E-2</v>
      </c>
      <c r="W160">
        <v>3.5010640000000003E-2</v>
      </c>
      <c r="X160">
        <v>0.99777229999999995</v>
      </c>
      <c r="Y160">
        <v>0.1617661</v>
      </c>
      <c r="Z160">
        <v>-2.2245859999999999E-2</v>
      </c>
      <c r="AA160">
        <v>0.98657830000000002</v>
      </c>
      <c r="AB160">
        <v>39</v>
      </c>
      <c r="AC160">
        <v>0.58249999999998103</v>
      </c>
      <c r="AD160">
        <v>-0.27015830000000002</v>
      </c>
      <c r="AE160">
        <v>-0.162399999999991</v>
      </c>
      <c r="AF160">
        <v>0.13502057085513999</v>
      </c>
      <c r="AG160">
        <v>-0.27015830000000002</v>
      </c>
      <c r="AH160">
        <v>0.48568319967010598</v>
      </c>
      <c r="AI160">
        <v>118.187748453579</v>
      </c>
      <c r="AJ160">
        <v>74.463999116486306</v>
      </c>
      <c r="AK160">
        <v>0.57193026852469497</v>
      </c>
      <c r="AL160">
        <v>87.993628106831395</v>
      </c>
      <c r="AM160">
        <v>86.742608601365305</v>
      </c>
      <c r="AN160">
        <v>1.00000002126803</v>
      </c>
    </row>
    <row r="161" spans="1:40" x14ac:dyDescent="0.25">
      <c r="A161" t="str">
        <f>"20190312154803751"</f>
        <v>20190312154803751</v>
      </c>
      <c r="B161" t="str">
        <f>"1552376883746577"</f>
        <v>1552376883746577</v>
      </c>
      <c r="C161" t="s">
        <v>40</v>
      </c>
      <c r="D161">
        <v>5.1747180000000004</v>
      </c>
      <c r="E161">
        <v>0.5477052</v>
      </c>
      <c r="F161" t="s">
        <v>41</v>
      </c>
      <c r="G161">
        <v>-439.23750000000001</v>
      </c>
      <c r="H161">
        <v>0.83988770000000001</v>
      </c>
      <c r="I161">
        <v>367.01490000000001</v>
      </c>
      <c r="J161">
        <v>-439.77609999999999</v>
      </c>
      <c r="K161">
        <v>1.107291</v>
      </c>
      <c r="L161">
        <v>367.17430000000002</v>
      </c>
      <c r="M161">
        <v>0.99999830000000001</v>
      </c>
      <c r="N161">
        <v>0</v>
      </c>
      <c r="O161">
        <v>-7.0539609999999999E-4</v>
      </c>
      <c r="P161">
        <v>0.99782090000000001</v>
      </c>
      <c r="Q161">
        <v>3.2591469999999997E-2</v>
      </c>
      <c r="R161">
        <v>-5.7372069999999997E-2</v>
      </c>
      <c r="S161">
        <v>3.0063170000000001</v>
      </c>
      <c r="T161">
        <v>-0.86241769999999995</v>
      </c>
      <c r="U161">
        <v>-0.51480099999999995</v>
      </c>
      <c r="V161">
        <v>5.6666460000000002E-2</v>
      </c>
      <c r="W161">
        <v>3.437159E-2</v>
      </c>
      <c r="X161">
        <v>0.99780139999999995</v>
      </c>
      <c r="Y161">
        <v>0.1617731</v>
      </c>
      <c r="Z161">
        <v>-2.2393110000000001E-2</v>
      </c>
      <c r="AA161">
        <v>0.9865739</v>
      </c>
      <c r="AB161">
        <v>39</v>
      </c>
      <c r="AC161">
        <v>0.53859999999997399</v>
      </c>
      <c r="AD161">
        <v>-0.26740330000000001</v>
      </c>
      <c r="AE161">
        <v>-0.15940000000000501</v>
      </c>
      <c r="AF161">
        <v>0.129638719890212</v>
      </c>
      <c r="AG161">
        <v>-0.26740330000000001</v>
      </c>
      <c r="AH161">
        <v>0.43917720467152499</v>
      </c>
      <c r="AI161">
        <v>120.283348243063</v>
      </c>
      <c r="AJ161">
        <v>73.554166529135699</v>
      </c>
      <c r="AK161">
        <v>0.53027100585338205</v>
      </c>
      <c r="AL161">
        <v>88.030265110930799</v>
      </c>
      <c r="AM161">
        <v>86.749588438273094</v>
      </c>
      <c r="AN161">
        <v>1.000000063865</v>
      </c>
    </row>
    <row r="162" spans="1:40" x14ac:dyDescent="0.25">
      <c r="A162" t="str">
        <f>"20190312154803771"</f>
        <v>20190312154803771</v>
      </c>
      <c r="B162" t="str">
        <f>"1552376883766098"</f>
        <v>1552376883766098</v>
      </c>
      <c r="C162" t="s">
        <v>40</v>
      </c>
      <c r="D162">
        <v>5.1884730000000001</v>
      </c>
      <c r="E162">
        <v>0.54771930000000002</v>
      </c>
      <c r="F162" t="s">
        <v>41</v>
      </c>
      <c r="G162">
        <v>-438.88220000000001</v>
      </c>
      <c r="H162">
        <v>0.84926569999999901</v>
      </c>
      <c r="I162">
        <v>367.02100000000002</v>
      </c>
      <c r="J162">
        <v>-439.39819999999997</v>
      </c>
      <c r="K162">
        <v>1.1066469999999999</v>
      </c>
      <c r="L162">
        <v>367.17410000000001</v>
      </c>
      <c r="M162">
        <v>0.999996</v>
      </c>
      <c r="N162">
        <v>0</v>
      </c>
      <c r="O162">
        <v>-6.7308280000000003E-4</v>
      </c>
      <c r="P162">
        <v>0.99785690000000005</v>
      </c>
      <c r="Q162">
        <v>3.1322370000000002E-2</v>
      </c>
      <c r="R162">
        <v>-5.7454860000000003E-2</v>
      </c>
      <c r="S162">
        <v>3.0053100000000001</v>
      </c>
      <c r="T162">
        <v>-0.86746610000000002</v>
      </c>
      <c r="U162">
        <v>-0.51428220000000002</v>
      </c>
      <c r="V162">
        <v>5.6781329999999998E-2</v>
      </c>
      <c r="W162">
        <v>3.4069450000000001E-2</v>
      </c>
      <c r="X162">
        <v>0.99780519999999995</v>
      </c>
      <c r="Y162">
        <v>0.16162209999999999</v>
      </c>
      <c r="Z162">
        <v>-2.2514510000000001E-2</v>
      </c>
      <c r="AA162">
        <v>0.98659589999999997</v>
      </c>
      <c r="AB162">
        <v>39</v>
      </c>
      <c r="AC162">
        <v>0.51599999999996204</v>
      </c>
      <c r="AD162">
        <v>-0.25738129999999998</v>
      </c>
      <c r="AE162">
        <v>-0.153100000000051</v>
      </c>
      <c r="AF162">
        <v>0.124323427056962</v>
      </c>
      <c r="AG162">
        <v>-0.25738129999999998</v>
      </c>
      <c r="AH162">
        <v>0.42004956313733599</v>
      </c>
      <c r="AI162">
        <v>120.43619207782299</v>
      </c>
      <c r="AJ162">
        <v>73.512656414788495</v>
      </c>
      <c r="AK162">
        <v>0.50807783222331604</v>
      </c>
      <c r="AL162">
        <v>88.047586539565998</v>
      </c>
      <c r="AM162">
        <v>86.743025995513605</v>
      </c>
      <c r="AN162">
        <v>1.0000000320034499</v>
      </c>
    </row>
    <row r="163" spans="1:40" x14ac:dyDescent="0.25">
      <c r="A163" t="str">
        <f>"20190312154803796"</f>
        <v>20190312154803796</v>
      </c>
      <c r="B163" t="str">
        <f>"1552376883786594"</f>
        <v>1552376883786594</v>
      </c>
      <c r="C163" t="s">
        <v>40</v>
      </c>
      <c r="D163">
        <v>5.1945629999999996</v>
      </c>
      <c r="E163">
        <v>0.54770359999999996</v>
      </c>
      <c r="F163" t="s">
        <v>41</v>
      </c>
      <c r="G163">
        <v>-438.52769999999998</v>
      </c>
      <c r="H163">
        <v>0.85406510000000002</v>
      </c>
      <c r="I163">
        <v>367.02480000000003</v>
      </c>
      <c r="J163">
        <v>-438.9873</v>
      </c>
      <c r="K163">
        <v>1.1057509999999999</v>
      </c>
      <c r="L163">
        <v>367.17380000000003</v>
      </c>
      <c r="M163">
        <v>0.99999070000000001</v>
      </c>
      <c r="N163">
        <v>0</v>
      </c>
      <c r="O163">
        <v>-6.3937049999999995E-4</v>
      </c>
      <c r="P163">
        <v>0.99791099999999999</v>
      </c>
      <c r="Q163">
        <v>3.0081429999999999E-2</v>
      </c>
      <c r="R163">
        <v>-5.7176709999999999E-2</v>
      </c>
      <c r="S163">
        <v>3.0041199999999999</v>
      </c>
      <c r="T163">
        <v>-0.87169470000000004</v>
      </c>
      <c r="U163">
        <v>-0.51480099999999995</v>
      </c>
      <c r="V163">
        <v>5.6536419999999997E-2</v>
      </c>
      <c r="W163">
        <v>3.4363009999999999E-2</v>
      </c>
      <c r="X163">
        <v>0.99780899999999995</v>
      </c>
      <c r="Y163">
        <v>0.16181099999999901</v>
      </c>
      <c r="Z163">
        <v>-2.266437E-2</v>
      </c>
      <c r="AA163">
        <v>0.98656149999999998</v>
      </c>
      <c r="AB163">
        <v>39</v>
      </c>
      <c r="AC163">
        <v>0.45960000000002299</v>
      </c>
      <c r="AD163">
        <v>-0.25168589999999902</v>
      </c>
      <c r="AE163">
        <v>-0.14899999999999999</v>
      </c>
      <c r="AF163">
        <v>0.116965631880355</v>
      </c>
      <c r="AG163">
        <v>-0.25168589999999902</v>
      </c>
      <c r="AH163">
        <v>0.36157583306821101</v>
      </c>
      <c r="AI163">
        <v>123.516108147316</v>
      </c>
      <c r="AJ163">
        <v>72.074201077997699</v>
      </c>
      <c r="AK163">
        <v>0.45581118279277799</v>
      </c>
      <c r="AL163">
        <v>88.030756857413294</v>
      </c>
      <c r="AM163">
        <v>86.757056295505095</v>
      </c>
      <c r="AN163">
        <v>0.99999999186183797</v>
      </c>
    </row>
    <row r="164" spans="1:40" x14ac:dyDescent="0.25">
      <c r="A164" t="str">
        <f>"20190312154803818"</f>
        <v>20190312154803818</v>
      </c>
      <c r="B164" t="str">
        <f>"1552376883806113"</f>
        <v>1552376883806113</v>
      </c>
      <c r="C164" t="s">
        <v>40</v>
      </c>
      <c r="D164">
        <v>5.2073679999999998</v>
      </c>
      <c r="E164">
        <v>0.54764849999999998</v>
      </c>
      <c r="F164" t="s">
        <v>41</v>
      </c>
      <c r="G164">
        <v>-438.1696</v>
      </c>
      <c r="H164">
        <v>0.86726530000000002</v>
      </c>
      <c r="I164">
        <v>367.03339999999997</v>
      </c>
      <c r="J164">
        <v>-438.5924</v>
      </c>
      <c r="K164">
        <v>1.1047480000000001</v>
      </c>
      <c r="L164">
        <v>367.17360000000002</v>
      </c>
      <c r="M164">
        <v>0.99997939999999996</v>
      </c>
      <c r="N164">
        <v>0</v>
      </c>
      <c r="O164">
        <v>-6.092243E-4</v>
      </c>
      <c r="P164">
        <v>0.9979325</v>
      </c>
      <c r="Q164">
        <v>2.8925180000000002E-2</v>
      </c>
      <c r="R164">
        <v>-5.7393159999999999E-2</v>
      </c>
      <c r="S164">
        <v>3.003174</v>
      </c>
      <c r="T164">
        <v>-0.87588120000000003</v>
      </c>
      <c r="U164">
        <v>-0.51455689999999998</v>
      </c>
      <c r="V164">
        <v>5.6782720000000002E-2</v>
      </c>
      <c r="W164">
        <v>3.5296080000000001E-2</v>
      </c>
      <c r="X164">
        <v>0.99776240000000005</v>
      </c>
      <c r="Y164">
        <v>0.16175059999999999</v>
      </c>
      <c r="Z164">
        <v>-2.2775900000000002E-2</v>
      </c>
      <c r="AA164">
        <v>0.98656880000000002</v>
      </c>
      <c r="AB164">
        <v>39</v>
      </c>
      <c r="AC164">
        <v>0.42279999999999501</v>
      </c>
      <c r="AD164">
        <v>-0.23748269999999999</v>
      </c>
      <c r="AE164">
        <v>-0.14020000000004901</v>
      </c>
      <c r="AF164">
        <v>0.108968901642422</v>
      </c>
      <c r="AG164">
        <v>-0.23748269999999999</v>
      </c>
      <c r="AH164">
        <v>0.32928800968517902</v>
      </c>
      <c r="AI164">
        <v>124.398836518149</v>
      </c>
      <c r="AJ164">
        <v>71.689444322263697</v>
      </c>
      <c r="AK164">
        <v>0.42036037830279899</v>
      </c>
      <c r="AL164">
        <v>87.977263338492804</v>
      </c>
      <c r="AM164">
        <v>86.742807023140898</v>
      </c>
      <c r="AN164">
        <v>0.999999948703861</v>
      </c>
    </row>
    <row r="165" spans="1:40" x14ac:dyDescent="0.25">
      <c r="A165" t="str">
        <f>"20190312154803841"</f>
        <v>20190312154803841</v>
      </c>
      <c r="B165" t="str">
        <f>"1552376883836369"</f>
        <v>1552376883836369</v>
      </c>
      <c r="C165" t="s">
        <v>40</v>
      </c>
      <c r="D165">
        <v>5.2196939999999996</v>
      </c>
      <c r="E165">
        <v>0.54749190000000003</v>
      </c>
      <c r="F165" t="s">
        <v>41</v>
      </c>
      <c r="G165">
        <v>-437.81349999999998</v>
      </c>
      <c r="H165">
        <v>0.87653139999999996</v>
      </c>
      <c r="I165">
        <v>367.03969999999998</v>
      </c>
      <c r="J165">
        <v>-438.18689999999998</v>
      </c>
      <c r="K165">
        <v>1.103469</v>
      </c>
      <c r="L165">
        <v>367.17340000000002</v>
      </c>
      <c r="M165">
        <v>0.99996280000000004</v>
      </c>
      <c r="N165">
        <v>0</v>
      </c>
      <c r="O165">
        <v>-5.7543229999999996E-4</v>
      </c>
      <c r="P165">
        <v>0.99798690000000001</v>
      </c>
      <c r="Q165">
        <v>2.7842639999999998E-2</v>
      </c>
      <c r="R165">
        <v>-5.6982579999999998E-2</v>
      </c>
      <c r="S165">
        <v>3.002075</v>
      </c>
      <c r="T165">
        <v>-0.87961579999999995</v>
      </c>
      <c r="U165">
        <v>-0.51568599999999998</v>
      </c>
      <c r="V165">
        <v>5.6405789999999997E-2</v>
      </c>
      <c r="W165">
        <v>3.6443089999999997E-2</v>
      </c>
      <c r="X165">
        <v>0.99774260000000004</v>
      </c>
      <c r="Y165">
        <v>0.16212889999999999</v>
      </c>
      <c r="Z165">
        <v>-2.2939959999999999E-2</v>
      </c>
      <c r="AA165">
        <v>0.98650289999999996</v>
      </c>
      <c r="AB165">
        <v>39</v>
      </c>
      <c r="AC165">
        <v>0.37340000000000301</v>
      </c>
      <c r="AD165">
        <v>-0.22693759999999999</v>
      </c>
      <c r="AE165">
        <v>-0.13370000000003299</v>
      </c>
      <c r="AF165">
        <v>0.10056152285301399</v>
      </c>
      <c r="AG165">
        <v>-0.22693759999999999</v>
      </c>
      <c r="AH165">
        <v>0.281360260081919</v>
      </c>
      <c r="AI165">
        <v>127.21735626746199</v>
      </c>
      <c r="AJ165">
        <v>70.332502669075893</v>
      </c>
      <c r="AK165">
        <v>0.375202465511146</v>
      </c>
      <c r="AL165">
        <v>87.911502296113298</v>
      </c>
      <c r="AM165">
        <v>86.764318465289094</v>
      </c>
      <c r="AN165">
        <v>1.00000000390451</v>
      </c>
    </row>
    <row r="166" spans="1:40" x14ac:dyDescent="0.25">
      <c r="A166" t="str">
        <f>"20190312154803862"</f>
        <v>20190312154803862</v>
      </c>
      <c r="B166" t="str">
        <f>"1552376883855889"</f>
        <v>1552376883855889</v>
      </c>
      <c r="C166" t="s">
        <v>40</v>
      </c>
      <c r="D166">
        <v>5.2062730000000004</v>
      </c>
      <c r="E166">
        <v>0.54747579999999996</v>
      </c>
      <c r="F166" t="s">
        <v>41</v>
      </c>
      <c r="G166">
        <v>-437.45519999999999</v>
      </c>
      <c r="H166">
        <v>0.88817659999999998</v>
      </c>
      <c r="I166">
        <v>367.04790000000003</v>
      </c>
      <c r="J166">
        <v>-437.80270000000002</v>
      </c>
      <c r="K166">
        <v>1.1019429999999999</v>
      </c>
      <c r="L166">
        <v>367.17320000000001</v>
      </c>
      <c r="M166">
        <v>0.99994530000000004</v>
      </c>
      <c r="N166">
        <v>0</v>
      </c>
      <c r="O166">
        <v>-5.3837820000000002E-4</v>
      </c>
      <c r="P166">
        <v>0.99802690000000005</v>
      </c>
      <c r="Q166">
        <v>2.587242E-2</v>
      </c>
      <c r="R166">
        <v>-5.721391E-2</v>
      </c>
      <c r="S166">
        <v>3.001404</v>
      </c>
      <c r="T166">
        <v>-0.88310599999999995</v>
      </c>
      <c r="U166">
        <v>-0.51309199999999999</v>
      </c>
      <c r="V166">
        <v>5.667403E-2</v>
      </c>
      <c r="W166">
        <v>3.6312039999999997E-2</v>
      </c>
      <c r="X166">
        <v>0.99773219999999996</v>
      </c>
      <c r="Y166">
        <v>0.16134899999999999</v>
      </c>
      <c r="Z166">
        <v>-2.293282E-2</v>
      </c>
      <c r="AA166">
        <v>0.98663089999999998</v>
      </c>
      <c r="AB166">
        <v>39</v>
      </c>
      <c r="AC166">
        <v>0.34750000000002501</v>
      </c>
      <c r="AD166">
        <v>-0.2137664</v>
      </c>
      <c r="AE166">
        <v>-0.12529999999998101</v>
      </c>
      <c r="AF166">
        <v>9.3726160685839596E-2</v>
      </c>
      <c r="AG166">
        <v>-0.2137664</v>
      </c>
      <c r="AH166">
        <v>0.26037413382201102</v>
      </c>
      <c r="AI166">
        <v>127.685148503417</v>
      </c>
      <c r="AJ166">
        <v>70.202784860561295</v>
      </c>
      <c r="AK166">
        <v>0.349678933493898</v>
      </c>
      <c r="AL166">
        <v>87.919015927983395</v>
      </c>
      <c r="AM166">
        <v>86.748930165014201</v>
      </c>
      <c r="AN166">
        <v>1.00000002642112</v>
      </c>
    </row>
    <row r="167" spans="1:40" x14ac:dyDescent="0.25">
      <c r="A167" t="str">
        <f>"20190312154803885"</f>
        <v>20190312154803885</v>
      </c>
      <c r="B167" t="str">
        <f>"1552376883876385"</f>
        <v>1552376883876385</v>
      </c>
      <c r="C167" t="s">
        <v>40</v>
      </c>
      <c r="D167">
        <v>5.222906</v>
      </c>
      <c r="E167">
        <v>0.54746689999999998</v>
      </c>
      <c r="F167" t="s">
        <v>41</v>
      </c>
      <c r="G167">
        <v>-437.09840000000003</v>
      </c>
      <c r="H167">
        <v>0.89315239999999996</v>
      </c>
      <c r="I167">
        <v>367.05259999999998</v>
      </c>
      <c r="J167">
        <v>-437.40800000000002</v>
      </c>
      <c r="K167">
        <v>1.1001000000000001</v>
      </c>
      <c r="L167">
        <v>367.173</v>
      </c>
      <c r="M167">
        <v>0.99992669999999995</v>
      </c>
      <c r="N167">
        <v>0</v>
      </c>
      <c r="O167">
        <v>-4.9815379999999896E-4</v>
      </c>
      <c r="P167">
        <v>0.99809709999999996</v>
      </c>
      <c r="Q167">
        <v>2.3172959999999999E-2</v>
      </c>
      <c r="R167">
        <v>-5.7143300000000001E-2</v>
      </c>
      <c r="S167">
        <v>2.999603</v>
      </c>
      <c r="T167">
        <v>-0.88937710000000003</v>
      </c>
      <c r="U167">
        <v>-0.51318359999999996</v>
      </c>
      <c r="V167">
        <v>5.6643590000000001E-2</v>
      </c>
      <c r="W167">
        <v>3.5260819999999998E-2</v>
      </c>
      <c r="X167">
        <v>0.99777159999999998</v>
      </c>
      <c r="Y167">
        <v>0.16141159999999999</v>
      </c>
      <c r="Z167">
        <v>-2.3122799999999999E-2</v>
      </c>
      <c r="AA167">
        <v>0.9866163</v>
      </c>
      <c r="AB167">
        <v>39</v>
      </c>
      <c r="AC167">
        <v>0.309599999999989</v>
      </c>
      <c r="AD167">
        <v>-0.20694760000000001</v>
      </c>
      <c r="AE167">
        <v>-0.12040000000001699</v>
      </c>
      <c r="AF167">
        <v>8.6625503424684794E-2</v>
      </c>
      <c r="AG167">
        <v>-0.20694760000000001</v>
      </c>
      <c r="AH167">
        <v>0.22308022984891199</v>
      </c>
      <c r="AI167">
        <v>130.85232299636601</v>
      </c>
      <c r="AJ167">
        <v>68.778038693080106</v>
      </c>
      <c r="AK167">
        <v>0.316379638944707</v>
      </c>
      <c r="AL167">
        <v>87.979284937171599</v>
      </c>
      <c r="AM167">
        <v>86.750800628233605</v>
      </c>
      <c r="AN167">
        <v>0.99999999374086002</v>
      </c>
    </row>
    <row r="168" spans="1:40" x14ac:dyDescent="0.25">
      <c r="A168" t="str">
        <f>"20190312154803906"</f>
        <v>20190312154803906</v>
      </c>
      <c r="B168" t="str">
        <f>"1552376883895905"</f>
        <v>1552376883895905</v>
      </c>
      <c r="C168" t="s">
        <v>40</v>
      </c>
      <c r="D168">
        <v>5.2239190000000004</v>
      </c>
      <c r="E168">
        <v>0.54744809999999999</v>
      </c>
      <c r="F168" t="s">
        <v>41</v>
      </c>
      <c r="G168">
        <v>-436.74040000000002</v>
      </c>
      <c r="H168">
        <v>0.90000820000000004</v>
      </c>
      <c r="I168">
        <v>367.05860000000001</v>
      </c>
      <c r="J168">
        <v>-437.02769999999998</v>
      </c>
      <c r="K168">
        <v>1.0980650000000001</v>
      </c>
      <c r="L168">
        <v>367.17290000000003</v>
      </c>
      <c r="M168">
        <v>0.99990889999999999</v>
      </c>
      <c r="N168">
        <v>0</v>
      </c>
      <c r="O168">
        <v>-4.6010989999999998E-4</v>
      </c>
      <c r="P168">
        <v>0.99813280000000004</v>
      </c>
      <c r="Q168">
        <v>2.2011280000000001E-2</v>
      </c>
      <c r="R168">
        <v>-5.6980160000000002E-2</v>
      </c>
      <c r="S168">
        <v>2.9972530000000002</v>
      </c>
      <c r="T168">
        <v>-0.89827279999999998</v>
      </c>
      <c r="U168">
        <v>-0.51232909999999998</v>
      </c>
      <c r="V168">
        <v>5.651817E-2</v>
      </c>
      <c r="W168">
        <v>3.5483849999999997E-2</v>
      </c>
      <c r="X168">
        <v>0.99777079999999996</v>
      </c>
      <c r="Y168">
        <v>0.161169799999999</v>
      </c>
      <c r="Z168">
        <v>-2.3338279999999999E-2</v>
      </c>
      <c r="AA168">
        <v>0.98665069999999999</v>
      </c>
      <c r="AB168">
        <v>40</v>
      </c>
      <c r="AC168">
        <v>0.28729999999995898</v>
      </c>
      <c r="AD168">
        <v>-0.19805680000000001</v>
      </c>
      <c r="AE168">
        <v>-0.114300000000014</v>
      </c>
      <c r="AF168">
        <v>8.0953170719345602E-2</v>
      </c>
      <c r="AG168">
        <v>-0.19805680000000001</v>
      </c>
      <c r="AH168">
        <v>0.20375363314255801</v>
      </c>
      <c r="AI168">
        <v>132.09316936576701</v>
      </c>
      <c r="AJ168">
        <v>68.331625565839204</v>
      </c>
      <c r="AK168">
        <v>0.29545804252811902</v>
      </c>
      <c r="AL168">
        <v>87.9664982463092</v>
      </c>
      <c r="AM168">
        <v>86.757977034557101</v>
      </c>
      <c r="AN168">
        <v>0.99999998824180503</v>
      </c>
    </row>
    <row r="169" spans="1:40" x14ac:dyDescent="0.25">
      <c r="A169" t="str">
        <f>"20190312154803929"</f>
        <v>20190312154803929</v>
      </c>
      <c r="B169" t="str">
        <f>"1552376883916405"</f>
        <v>1552376883916405</v>
      </c>
      <c r="C169" t="s">
        <v>40</v>
      </c>
      <c r="D169">
        <v>5.2060550000000001</v>
      </c>
      <c r="E169">
        <v>0.54740690000000003</v>
      </c>
      <c r="F169" t="s">
        <v>41</v>
      </c>
      <c r="G169">
        <v>-436.06639999999999</v>
      </c>
      <c r="H169">
        <v>0.80860159999999903</v>
      </c>
      <c r="I169">
        <v>367.00819999999999</v>
      </c>
      <c r="J169">
        <v>-436.63319999999999</v>
      </c>
      <c r="K169">
        <v>1.095729</v>
      </c>
      <c r="L169">
        <v>367.17270000000002</v>
      </c>
      <c r="M169">
        <v>0.99989170000000005</v>
      </c>
      <c r="N169">
        <v>0</v>
      </c>
      <c r="O169">
        <v>-4.2437559999999999E-4</v>
      </c>
      <c r="P169">
        <v>0.99814119999999995</v>
      </c>
      <c r="Q169">
        <v>2.1126300000000001E-2</v>
      </c>
      <c r="R169">
        <v>-5.7169900000000003E-2</v>
      </c>
      <c r="S169">
        <v>2.9962770000000001</v>
      </c>
      <c r="T169">
        <v>-0.90229789999999999</v>
      </c>
      <c r="U169">
        <v>-0.51193239999999995</v>
      </c>
      <c r="V169">
        <v>5.6743019999999998E-2</v>
      </c>
      <c r="W169">
        <v>3.5816470000000003E-2</v>
      </c>
      <c r="X169">
        <v>0.99774620000000003</v>
      </c>
      <c r="Y169">
        <v>0.1610694</v>
      </c>
      <c r="Z169">
        <v>-2.3441730000000001E-2</v>
      </c>
      <c r="AA169">
        <v>0.98666469999999995</v>
      </c>
      <c r="AB169">
        <v>40</v>
      </c>
      <c r="AC169">
        <v>0.56679999999999997</v>
      </c>
      <c r="AD169">
        <v>-0.28712739999999998</v>
      </c>
      <c r="AE169">
        <v>-0.16450000000003201</v>
      </c>
      <c r="AF169">
        <v>0.13282253637762301</v>
      </c>
      <c r="AG169">
        <v>-0.28712739999999998</v>
      </c>
      <c r="AH169">
        <v>0.458379061308608</v>
      </c>
      <c r="AI169">
        <v>121.03313078587399</v>
      </c>
      <c r="AJ169">
        <v>73.840223966196803</v>
      </c>
      <c r="AK169">
        <v>0.55695182363172602</v>
      </c>
      <c r="AL169">
        <v>87.9474284971635</v>
      </c>
      <c r="AM169">
        <v>86.745026676984693</v>
      </c>
      <c r="AN169">
        <v>1.0000000347282101</v>
      </c>
    </row>
    <row r="170" spans="1:40" x14ac:dyDescent="0.25">
      <c r="A170" t="str">
        <f>"20190312154803950"</f>
        <v>20190312154803950</v>
      </c>
      <c r="B170" t="str">
        <f>"1552376883946656"</f>
        <v>1552376883946656</v>
      </c>
      <c r="C170" t="s">
        <v>40</v>
      </c>
      <c r="D170">
        <v>5.2129070000000004</v>
      </c>
      <c r="E170">
        <v>0.54730590000000001</v>
      </c>
      <c r="F170" t="s">
        <v>41</v>
      </c>
      <c r="G170">
        <v>-435.70819999999998</v>
      </c>
      <c r="H170">
        <v>0.81620099999999995</v>
      </c>
      <c r="I170">
        <v>367.01440000000002</v>
      </c>
      <c r="J170">
        <v>-436.24790000000002</v>
      </c>
      <c r="K170">
        <v>1.0932550000000001</v>
      </c>
      <c r="L170">
        <v>367.17259999999999</v>
      </c>
      <c r="M170">
        <v>0.99987780000000004</v>
      </c>
      <c r="N170">
        <v>0</v>
      </c>
      <c r="O170">
        <v>-3.9261150000000002E-4</v>
      </c>
      <c r="P170">
        <v>0.99816199999999999</v>
      </c>
      <c r="Q170">
        <v>2.0447130000000001E-2</v>
      </c>
      <c r="R170">
        <v>-5.7052579999999999E-2</v>
      </c>
      <c r="S170">
        <v>2.9953919999999998</v>
      </c>
      <c r="T170">
        <v>-0.9052559</v>
      </c>
      <c r="U170">
        <v>-0.51260379999999905</v>
      </c>
      <c r="V170">
        <v>5.6657249999999999E-2</v>
      </c>
      <c r="W170">
        <v>3.6056150000000002E-2</v>
      </c>
      <c r="X170">
        <v>0.99774240000000003</v>
      </c>
      <c r="Y170">
        <v>0.16130410000000001</v>
      </c>
      <c r="Z170">
        <v>-2.3565309999999999E-2</v>
      </c>
      <c r="AA170">
        <v>0.98662329999999998</v>
      </c>
      <c r="AB170">
        <v>40</v>
      </c>
      <c r="AC170">
        <v>0.53970000000003804</v>
      </c>
      <c r="AD170">
        <v>-0.27705399999999902</v>
      </c>
      <c r="AE170">
        <v>-0.15819999999996501</v>
      </c>
      <c r="AF170">
        <v>0.127135466761745</v>
      </c>
      <c r="AG170">
        <v>-0.27705399999999902</v>
      </c>
      <c r="AH170">
        <v>0.43435497270849199</v>
      </c>
      <c r="AI170">
        <v>121.473604561423</v>
      </c>
      <c r="AJ170">
        <v>73.685274943678294</v>
      </c>
      <c r="AK170">
        <v>0.53064732934532099</v>
      </c>
      <c r="AL170">
        <v>87.933686883727205</v>
      </c>
      <c r="AM170">
        <v>86.749923830133994</v>
      </c>
      <c r="AN170">
        <v>0.99999999334407197</v>
      </c>
    </row>
    <row r="171" spans="1:40" x14ac:dyDescent="0.25">
      <c r="A171" t="str">
        <f>"20190312154803972"</f>
        <v>20190312154803972</v>
      </c>
      <c r="B171" t="str">
        <f>"1552376883966177"</f>
        <v>1552376883966177</v>
      </c>
      <c r="C171" t="s">
        <v>40</v>
      </c>
      <c r="D171">
        <v>5.2221440000000001</v>
      </c>
      <c r="E171">
        <v>0.54722990000000005</v>
      </c>
      <c r="F171" t="s">
        <v>41</v>
      </c>
      <c r="G171">
        <v>-435.35109999999997</v>
      </c>
      <c r="H171">
        <v>0.82159780000000004</v>
      </c>
      <c r="I171">
        <v>367.01909999999998</v>
      </c>
      <c r="J171">
        <v>-435.8587</v>
      </c>
      <c r="K171">
        <v>1.0905879999999999</v>
      </c>
      <c r="L171">
        <v>367.17250000000001</v>
      </c>
      <c r="M171">
        <v>0.99986640000000004</v>
      </c>
      <c r="N171">
        <v>0</v>
      </c>
      <c r="O171">
        <v>-3.6118979999999999E-4</v>
      </c>
      <c r="P171">
        <v>0.99818200000000001</v>
      </c>
      <c r="Q171">
        <v>1.9833549999999998E-2</v>
      </c>
      <c r="R171">
        <v>-5.6917009999999997E-2</v>
      </c>
      <c r="S171">
        <v>2.9948429999999999</v>
      </c>
      <c r="T171">
        <v>-0.9072211</v>
      </c>
      <c r="U171">
        <v>-0.51177980000000001</v>
      </c>
      <c r="V171">
        <v>5.6552890000000001E-2</v>
      </c>
      <c r="W171">
        <v>3.6156710000000002E-2</v>
      </c>
      <c r="X171">
        <v>0.99774470000000004</v>
      </c>
      <c r="Y171">
        <v>0.16107739999999901</v>
      </c>
      <c r="Z171">
        <v>-2.3594790000000001E-2</v>
      </c>
      <c r="AA171">
        <v>0.98665970000000003</v>
      </c>
      <c r="AB171">
        <v>40</v>
      </c>
      <c r="AC171">
        <v>0.50760000000002403</v>
      </c>
      <c r="AD171">
        <v>-0.26899019999999901</v>
      </c>
      <c r="AE171">
        <v>-0.15340000000003301</v>
      </c>
      <c r="AF171">
        <v>0.121859658438373</v>
      </c>
      <c r="AG171">
        <v>-0.26899019999999901</v>
      </c>
      <c r="AH171">
        <v>0.40375978181733002</v>
      </c>
      <c r="AI171">
        <v>122.52963911567799</v>
      </c>
      <c r="AJ171">
        <v>73.205541210196102</v>
      </c>
      <c r="AK171">
        <v>0.50022741374692203</v>
      </c>
      <c r="AL171">
        <v>87.927921498831907</v>
      </c>
      <c r="AM171">
        <v>86.755904982397894</v>
      </c>
      <c r="AN171">
        <v>1.00000001171173</v>
      </c>
    </row>
    <row r="172" spans="1:40" x14ac:dyDescent="0.25">
      <c r="A172" t="str">
        <f>"20190312154803996"</f>
        <v>20190312154803996</v>
      </c>
      <c r="B172" t="str">
        <f>"1552376883986673"</f>
        <v>1552376883986673</v>
      </c>
      <c r="C172" t="s">
        <v>40</v>
      </c>
      <c r="D172">
        <v>5.1874609999999999</v>
      </c>
      <c r="E172">
        <v>0.54717479999999996</v>
      </c>
      <c r="F172" t="s">
        <v>41</v>
      </c>
      <c r="G172">
        <v>-434.99450000000002</v>
      </c>
      <c r="H172">
        <v>0.82809599999999906</v>
      </c>
      <c r="I172">
        <v>367.02499999999998</v>
      </c>
      <c r="J172">
        <v>-435.43049999999999</v>
      </c>
      <c r="K172">
        <v>1.087566</v>
      </c>
      <c r="L172">
        <v>367.17230000000001</v>
      </c>
      <c r="M172">
        <v>0.99985380000000001</v>
      </c>
      <c r="N172">
        <v>0</v>
      </c>
      <c r="O172">
        <v>-3.2757780000000001E-4</v>
      </c>
      <c r="P172">
        <v>0.99821559999999998</v>
      </c>
      <c r="Q172">
        <v>1.8863049999999999E-2</v>
      </c>
      <c r="R172">
        <v>-5.665502E-2</v>
      </c>
      <c r="S172">
        <v>2.9943849999999999</v>
      </c>
      <c r="T172">
        <v>-0.90944340000000001</v>
      </c>
      <c r="U172">
        <v>-0.51126099999999997</v>
      </c>
      <c r="V172">
        <v>5.63245E-2</v>
      </c>
      <c r="W172">
        <v>3.5928450000000001E-2</v>
      </c>
      <c r="X172">
        <v>0.99776580000000004</v>
      </c>
      <c r="Y172">
        <v>0.1609381</v>
      </c>
      <c r="Z172">
        <v>-2.3643250000000001E-2</v>
      </c>
      <c r="AA172">
        <v>0.98668129999999998</v>
      </c>
      <c r="AB172">
        <v>40</v>
      </c>
      <c r="AC172">
        <v>0.43599999999997802</v>
      </c>
      <c r="AD172">
        <v>-0.25946999999999998</v>
      </c>
      <c r="AE172">
        <v>-0.14730000000002899</v>
      </c>
      <c r="AF172">
        <v>0.111662091382563</v>
      </c>
      <c r="AG172">
        <v>-0.25946999999999998</v>
      </c>
      <c r="AH172">
        <v>0.33087117312561398</v>
      </c>
      <c r="AI172">
        <v>126.613475786987</v>
      </c>
      <c r="AJ172">
        <v>71.351538511275393</v>
      </c>
      <c r="AK172">
        <v>0.43505038415963698</v>
      </c>
      <c r="AL172">
        <v>87.941008203629394</v>
      </c>
      <c r="AM172">
        <v>86.769046695017593</v>
      </c>
      <c r="AN172">
        <v>0.99999994723464403</v>
      </c>
    </row>
    <row r="173" spans="1:40" x14ac:dyDescent="0.25">
      <c r="A173" t="str">
        <f>"20190312154804017"</f>
        <v>20190312154804017</v>
      </c>
      <c r="B173" t="str">
        <f>"1552376884006193"</f>
        <v>1552376884006193</v>
      </c>
      <c r="C173" t="s">
        <v>40</v>
      </c>
      <c r="D173">
        <v>5.2356410000000002</v>
      </c>
      <c r="E173">
        <v>0.54718350000000004</v>
      </c>
      <c r="F173" t="s">
        <v>41</v>
      </c>
      <c r="G173">
        <v>-434.63499999999999</v>
      </c>
      <c r="H173">
        <v>0.84476450000000003</v>
      </c>
      <c r="I173">
        <v>367.03660000000002</v>
      </c>
      <c r="J173">
        <v>-435.0609</v>
      </c>
      <c r="K173">
        <v>1.0849530000000001</v>
      </c>
      <c r="L173">
        <v>367.17230000000001</v>
      </c>
      <c r="M173">
        <v>0.99984379999999995</v>
      </c>
      <c r="N173">
        <v>0</v>
      </c>
      <c r="O173">
        <v>-2.9529939999999998E-4</v>
      </c>
      <c r="P173">
        <v>0.99824659999999998</v>
      </c>
      <c r="Q173">
        <v>1.783887E-2</v>
      </c>
      <c r="R173">
        <v>-5.6441150000000002E-2</v>
      </c>
      <c r="S173">
        <v>2.9936829999999999</v>
      </c>
      <c r="T173">
        <v>-0.91364529999999999</v>
      </c>
      <c r="U173">
        <v>-0.50967410000000002</v>
      </c>
      <c r="V173">
        <v>5.6143220000000001E-2</v>
      </c>
      <c r="W173">
        <v>3.5492419999999997E-2</v>
      </c>
      <c r="X173">
        <v>0.9977916</v>
      </c>
      <c r="Y173">
        <v>0.16045229999999999</v>
      </c>
      <c r="Z173">
        <v>-2.3691650000000002E-2</v>
      </c>
      <c r="AA173">
        <v>0.98675919999999895</v>
      </c>
      <c r="AB173">
        <v>39</v>
      </c>
      <c r="AC173">
        <v>0.42590000000001199</v>
      </c>
      <c r="AD173">
        <v>-0.2401885</v>
      </c>
      <c r="AE173">
        <v>-0.135699999999985</v>
      </c>
      <c r="AF173">
        <v>0.105199554139998</v>
      </c>
      <c r="AG173">
        <v>-0.2401885</v>
      </c>
      <c r="AH173">
        <v>0.33051054152773901</v>
      </c>
      <c r="AI173">
        <v>124.702113624033</v>
      </c>
      <c r="AJ173">
        <v>72.344034313444993</v>
      </c>
      <c r="AK173">
        <v>0.42189415708737199</v>
      </c>
      <c r="AL173">
        <v>87.966006783353905</v>
      </c>
      <c r="AM173">
        <v>86.779506669681496</v>
      </c>
      <c r="AN173">
        <v>0.99999992502998902</v>
      </c>
    </row>
    <row r="174" spans="1:40" x14ac:dyDescent="0.25">
      <c r="A174" t="str">
        <f>"20190312154804043"</f>
        <v>20190312154804043</v>
      </c>
      <c r="B174" t="str">
        <f>"1552376884036449"</f>
        <v>1552376884036449</v>
      </c>
      <c r="C174" t="s">
        <v>40</v>
      </c>
      <c r="D174">
        <v>5.2105870000000003</v>
      </c>
      <c r="E174">
        <v>0.54714719999999994</v>
      </c>
      <c r="F174" t="s">
        <v>41</v>
      </c>
      <c r="G174">
        <v>-434.28280000000001</v>
      </c>
      <c r="H174">
        <v>0.84640689999999996</v>
      </c>
      <c r="I174">
        <v>367.03989999999999</v>
      </c>
      <c r="J174">
        <v>-434.62950000000001</v>
      </c>
      <c r="K174">
        <v>1.081939</v>
      </c>
      <c r="L174">
        <v>367.17219999999998</v>
      </c>
      <c r="M174">
        <v>0.99983420000000001</v>
      </c>
      <c r="N174">
        <v>0</v>
      </c>
      <c r="O174">
        <v>-2.535894E-4</v>
      </c>
      <c r="P174">
        <v>0.99824009999999996</v>
      </c>
      <c r="Q174">
        <v>1.7836919999999999E-2</v>
      </c>
      <c r="R174">
        <v>-5.6555880000000003E-2</v>
      </c>
      <c r="S174">
        <v>2.9928889999999999</v>
      </c>
      <c r="T174">
        <v>-0.91750540000000003</v>
      </c>
      <c r="U174">
        <v>-0.50872799999999996</v>
      </c>
      <c r="V174">
        <v>5.629982E-2</v>
      </c>
      <c r="W174">
        <v>3.6015650000000003E-2</v>
      </c>
      <c r="X174">
        <v>0.99776410000000004</v>
      </c>
      <c r="Y174">
        <v>0.16018089999999999</v>
      </c>
      <c r="Z174">
        <v>-2.3766019999999999E-2</v>
      </c>
      <c r="AA174">
        <v>0.9868015</v>
      </c>
      <c r="AB174">
        <v>39</v>
      </c>
      <c r="AC174">
        <v>0.34669999999999801</v>
      </c>
      <c r="AD174">
        <v>-0.23553209999999999</v>
      </c>
      <c r="AE174">
        <v>-0.13229999999998601</v>
      </c>
      <c r="AF174">
        <v>9.4244724834417995E-2</v>
      </c>
      <c r="AG174">
        <v>-0.23553209999999999</v>
      </c>
      <c r="AH174">
        <v>0.247162074673662</v>
      </c>
      <c r="AI174">
        <v>131.682223611468</v>
      </c>
      <c r="AJ174">
        <v>69.127781502034097</v>
      </c>
      <c r="AK174">
        <v>0.35418431564160802</v>
      </c>
      <c r="AL174">
        <v>87.936008880593604</v>
      </c>
      <c r="AM174">
        <v>86.770453930424296</v>
      </c>
      <c r="AN174">
        <v>0.99999999801288197</v>
      </c>
    </row>
    <row r="175" spans="1:40" x14ac:dyDescent="0.25">
      <c r="A175" t="str">
        <f>"20190312154804064"</f>
        <v>20190312154804064</v>
      </c>
      <c r="B175" t="str">
        <f>"1552376884055969"</f>
        <v>1552376884055969</v>
      </c>
      <c r="C175" t="s">
        <v>40</v>
      </c>
      <c r="D175">
        <v>5.1985320000000002</v>
      </c>
      <c r="E175">
        <v>0.54714039999999997</v>
      </c>
      <c r="F175" t="s">
        <v>41</v>
      </c>
      <c r="G175">
        <v>-433.92439999999999</v>
      </c>
      <c r="H175">
        <v>0.86551460000000002</v>
      </c>
      <c r="I175">
        <v>367.05189999999999</v>
      </c>
      <c r="J175">
        <v>-434.25119999999998</v>
      </c>
      <c r="K175">
        <v>1.079386</v>
      </c>
      <c r="L175">
        <v>367.1721</v>
      </c>
      <c r="M175">
        <v>0.99982939999999998</v>
      </c>
      <c r="N175">
        <v>0</v>
      </c>
      <c r="O175">
        <v>-2.170502E-4</v>
      </c>
      <c r="P175">
        <v>0.99820629999999999</v>
      </c>
      <c r="Q175">
        <v>1.8834199999999999E-2</v>
      </c>
      <c r="R175">
        <v>-5.6832319999999999E-2</v>
      </c>
      <c r="S175">
        <v>2.9928889999999999</v>
      </c>
      <c r="T175">
        <v>-0.91859270000000004</v>
      </c>
      <c r="U175">
        <v>-0.50888059999999902</v>
      </c>
      <c r="V175">
        <v>5.6612849999999999E-2</v>
      </c>
      <c r="W175">
        <v>3.7275089999999997E-2</v>
      </c>
      <c r="X175">
        <v>0.99770020000000004</v>
      </c>
      <c r="Y175">
        <v>0.16024479999999999</v>
      </c>
      <c r="Z175">
        <v>-2.3813279999999999E-2</v>
      </c>
      <c r="AA175">
        <v>0.98678999999999994</v>
      </c>
      <c r="AB175">
        <v>39</v>
      </c>
      <c r="AC175">
        <v>0.32679999999999099</v>
      </c>
      <c r="AD175">
        <v>-0.21387139999999999</v>
      </c>
      <c r="AE175">
        <v>-0.12020000000001101</v>
      </c>
      <c r="AF175">
        <v>8.7223427555553804E-2</v>
      </c>
      <c r="AG175">
        <v>-0.21387139999999999</v>
      </c>
      <c r="AH175">
        <v>0.237302223943442</v>
      </c>
      <c r="AI175">
        <v>130.22881691772901</v>
      </c>
      <c r="AJ175">
        <v>69.8184589514088</v>
      </c>
      <c r="AK175">
        <v>0.33115139670700799</v>
      </c>
      <c r="AL175">
        <v>87.8637999284134</v>
      </c>
      <c r="AM175">
        <v>86.752328262212401</v>
      </c>
      <c r="AN175">
        <v>1.00000006809983</v>
      </c>
    </row>
    <row r="176" spans="1:40" x14ac:dyDescent="0.25">
      <c r="A176" t="str">
        <f>"20190312154804085"</f>
        <v>20190312154804085</v>
      </c>
      <c r="B176" t="str">
        <f>"1552376884076471"</f>
        <v>1552376884076471</v>
      </c>
      <c r="C176" t="s">
        <v>40</v>
      </c>
      <c r="D176">
        <v>5.1890349999999996</v>
      </c>
      <c r="E176">
        <v>0.5471376</v>
      </c>
      <c r="F176" t="s">
        <v>41</v>
      </c>
      <c r="G176">
        <v>-433.57209999999998</v>
      </c>
      <c r="H176">
        <v>0.87158349999999996</v>
      </c>
      <c r="I176">
        <v>367.05630000000002</v>
      </c>
      <c r="J176">
        <v>-433.89019999999999</v>
      </c>
      <c r="K176">
        <v>1.077081</v>
      </c>
      <c r="L176">
        <v>367.1721</v>
      </c>
      <c r="M176">
        <v>0.99982760000000004</v>
      </c>
      <c r="N176">
        <v>0</v>
      </c>
      <c r="O176">
        <v>-1.8289289999999999E-4</v>
      </c>
      <c r="P176">
        <v>0.9981989</v>
      </c>
      <c r="Q176">
        <v>1.9588870000000001E-2</v>
      </c>
      <c r="R176">
        <v>-5.6703730000000001E-2</v>
      </c>
      <c r="S176">
        <v>2.993652</v>
      </c>
      <c r="T176">
        <v>-0.91610210000000003</v>
      </c>
      <c r="U176">
        <v>-0.50967410000000002</v>
      </c>
      <c r="V176">
        <v>5.6518310000000002E-2</v>
      </c>
      <c r="W176">
        <v>3.8123730000000002E-2</v>
      </c>
      <c r="X176">
        <v>0.99767349999999999</v>
      </c>
      <c r="Y176">
        <v>0.1605192</v>
      </c>
      <c r="Z176">
        <v>-2.3796210000000002E-2</v>
      </c>
      <c r="AA176">
        <v>0.98674580000000001</v>
      </c>
      <c r="AB176">
        <v>39</v>
      </c>
      <c r="AC176">
        <v>0.31810000000001498</v>
      </c>
      <c r="AD176">
        <v>-0.2054975</v>
      </c>
      <c r="AE176">
        <v>-0.115799999999978</v>
      </c>
      <c r="AF176">
        <v>8.4575600669840406E-2</v>
      </c>
      <c r="AG176">
        <v>-0.2054975</v>
      </c>
      <c r="AH176">
        <v>0.23245955549388</v>
      </c>
      <c r="AI176">
        <v>129.71773607627699</v>
      </c>
      <c r="AJ176">
        <v>70.007129951393907</v>
      </c>
      <c r="AK176">
        <v>0.32158933389546102</v>
      </c>
      <c r="AL176">
        <v>87.815141866013803</v>
      </c>
      <c r="AM176">
        <v>86.757653510286303</v>
      </c>
      <c r="AN176">
        <v>1.0000000753783</v>
      </c>
    </row>
    <row r="177" spans="1:40" x14ac:dyDescent="0.25">
      <c r="A177" t="str">
        <f>"20190312154804107"</f>
        <v>20190312154804107</v>
      </c>
      <c r="B177" t="str">
        <f>"1552376884095985"</f>
        <v>1552376884095985</v>
      </c>
      <c r="C177" t="s">
        <v>40</v>
      </c>
      <c r="D177">
        <v>5.2080169999999999</v>
      </c>
      <c r="E177">
        <v>0.54711669999999901</v>
      </c>
      <c r="F177" t="s">
        <v>41</v>
      </c>
      <c r="G177">
        <v>-433.22239999999999</v>
      </c>
      <c r="H177">
        <v>0.87312409999999996</v>
      </c>
      <c r="I177">
        <v>367.05829999999997</v>
      </c>
      <c r="J177">
        <v>-433.49919999999997</v>
      </c>
      <c r="K177">
        <v>1.0747799999999901</v>
      </c>
      <c r="L177">
        <v>367.1721</v>
      </c>
      <c r="M177">
        <v>0.99982819999999994</v>
      </c>
      <c r="N177">
        <v>0</v>
      </c>
      <c r="O177">
        <v>-1.4828150000000001E-4</v>
      </c>
      <c r="P177">
        <v>0.99816819999999895</v>
      </c>
      <c r="Q177">
        <v>1.967708E-2</v>
      </c>
      <c r="R177">
        <v>-5.7212180000000001E-2</v>
      </c>
      <c r="S177">
        <v>2.994415</v>
      </c>
      <c r="T177">
        <v>-0.9145626</v>
      </c>
      <c r="U177">
        <v>-0.50949100000000003</v>
      </c>
      <c r="V177">
        <v>5.7061389999999997E-2</v>
      </c>
      <c r="W177">
        <v>3.8179959999999999E-2</v>
      </c>
      <c r="X177">
        <v>0.99764039999999998</v>
      </c>
      <c r="Y177">
        <v>0.16048019999999999</v>
      </c>
      <c r="Z177">
        <v>-2.375681E-2</v>
      </c>
      <c r="AA177">
        <v>0.98675310000000005</v>
      </c>
      <c r="AB177">
        <v>39</v>
      </c>
      <c r="AC177">
        <v>0.27679999999998001</v>
      </c>
      <c r="AD177">
        <v>-0.201655899999999</v>
      </c>
      <c r="AE177">
        <v>-0.11380000000002601</v>
      </c>
      <c r="AF177">
        <v>7.8238062336109304E-2</v>
      </c>
      <c r="AG177">
        <v>-0.201655899999999</v>
      </c>
      <c r="AH177">
        <v>0.190381647911889</v>
      </c>
      <c r="AI177">
        <v>134.41298109477901</v>
      </c>
      <c r="AJ177">
        <v>67.659602056325099</v>
      </c>
      <c r="AK177">
        <v>0.28815181461265399</v>
      </c>
      <c r="AL177">
        <v>87.811917699058199</v>
      </c>
      <c r="AM177">
        <v>86.726457117442706</v>
      </c>
      <c r="AN177">
        <v>1.00000003964324</v>
      </c>
    </row>
    <row r="178" spans="1:40" x14ac:dyDescent="0.25">
      <c r="A178" t="str">
        <f>"20190312154804130"</f>
        <v>20190312154804130</v>
      </c>
      <c r="B178" t="str">
        <f>"1552376884126241"</f>
        <v>1552376884126241</v>
      </c>
      <c r="C178" t="s">
        <v>40</v>
      </c>
      <c r="D178">
        <v>5.2154619999999996</v>
      </c>
      <c r="E178">
        <v>0.54704540000000001</v>
      </c>
      <c r="F178" t="s">
        <v>41</v>
      </c>
      <c r="G178">
        <v>-432.56079999999997</v>
      </c>
      <c r="H178">
        <v>0.78805579999999997</v>
      </c>
      <c r="I178">
        <v>367.01209999999998</v>
      </c>
      <c r="J178">
        <v>-433.10079999999999</v>
      </c>
      <c r="K178">
        <v>1.072651</v>
      </c>
      <c r="L178">
        <v>367.17200000000003</v>
      </c>
      <c r="M178">
        <v>0.99983060000000001</v>
      </c>
      <c r="N178">
        <v>0</v>
      </c>
      <c r="O178">
        <v>-1.149655E-4</v>
      </c>
      <c r="P178">
        <v>0.99815050000000005</v>
      </c>
      <c r="Q178">
        <v>1.9725909999999999E-2</v>
      </c>
      <c r="R178">
        <v>-5.7503859999999997E-2</v>
      </c>
      <c r="S178">
        <v>2.9942929999999999</v>
      </c>
      <c r="T178">
        <v>-0.91495850000000001</v>
      </c>
      <c r="U178">
        <v>-0.51034550000000001</v>
      </c>
      <c r="V178">
        <v>5.7386399999999997E-2</v>
      </c>
      <c r="W178">
        <v>3.8105630000000001E-2</v>
      </c>
      <c r="X178">
        <v>0.99762459999999997</v>
      </c>
      <c r="Y178">
        <v>0.16077269999999999</v>
      </c>
      <c r="Z178">
        <v>-2.3820319999999999E-2</v>
      </c>
      <c r="AA178">
        <v>0.98670400000000003</v>
      </c>
      <c r="AB178">
        <v>39</v>
      </c>
      <c r="AC178">
        <v>0.54000000000002002</v>
      </c>
      <c r="AD178">
        <v>-0.28459519999999899</v>
      </c>
      <c r="AE178">
        <v>-0.15989999999999299</v>
      </c>
      <c r="AF178">
        <v>0.12732358977727101</v>
      </c>
      <c r="AG178">
        <v>-0.28459519999999899</v>
      </c>
      <c r="AH178">
        <v>0.43016753832712301</v>
      </c>
      <c r="AI178">
        <v>122.390481859144</v>
      </c>
      <c r="AJ178">
        <v>73.511981274509907</v>
      </c>
      <c r="AK178">
        <v>0.53127190346114395</v>
      </c>
      <c r="AL178">
        <v>87.816179596859001</v>
      </c>
      <c r="AM178">
        <v>86.707800557969804</v>
      </c>
      <c r="AN178">
        <v>1.0000000402339</v>
      </c>
    </row>
    <row r="179" spans="1:40" x14ac:dyDescent="0.25">
      <c r="A179" t="str">
        <f>"20190312154804151"</f>
        <v>20190312154804151</v>
      </c>
      <c r="B179" t="str">
        <f>"1552376884145761"</f>
        <v>1552376884145761</v>
      </c>
      <c r="C179" t="s">
        <v>40</v>
      </c>
      <c r="D179">
        <v>5.2189370000000004</v>
      </c>
      <c r="E179">
        <v>0.54696040000000001</v>
      </c>
      <c r="F179" t="s">
        <v>41</v>
      </c>
      <c r="G179">
        <v>-432.2088</v>
      </c>
      <c r="H179">
        <v>0.79973459999999996</v>
      </c>
      <c r="I179">
        <v>367.02010000000001</v>
      </c>
      <c r="J179">
        <v>-432.73480000000001</v>
      </c>
      <c r="K179">
        <v>1.070899</v>
      </c>
      <c r="L179">
        <v>367.17200000000003</v>
      </c>
      <c r="M179">
        <v>0.99983350000000004</v>
      </c>
      <c r="N179">
        <v>0</v>
      </c>
      <c r="O179" s="1">
        <v>-8.3076899999999997E-5</v>
      </c>
      <c r="P179">
        <v>0.99811499999999997</v>
      </c>
      <c r="Q179">
        <v>1.981399E-2</v>
      </c>
      <c r="R179">
        <v>-5.8084709999999998E-2</v>
      </c>
      <c r="S179">
        <v>2.9942630000000001</v>
      </c>
      <c r="T179">
        <v>-0.91610650000000005</v>
      </c>
      <c r="U179">
        <v>-0.50961299999999998</v>
      </c>
      <c r="V179">
        <v>5.7999040000000002E-2</v>
      </c>
      <c r="W179">
        <v>3.8026999999999998E-2</v>
      </c>
      <c r="X179">
        <v>0.99759219999999904</v>
      </c>
      <c r="Y179">
        <v>0.16056119999999999</v>
      </c>
      <c r="Z179">
        <v>-2.3827669999999999E-2</v>
      </c>
      <c r="AA179">
        <v>0.98673829999999996</v>
      </c>
      <c r="AB179">
        <v>39</v>
      </c>
      <c r="AC179">
        <v>0.52600000000001002</v>
      </c>
      <c r="AD179">
        <v>-0.27116440000000003</v>
      </c>
      <c r="AE179">
        <v>-0.15189999999995499</v>
      </c>
      <c r="AF179">
        <v>0.121943035549091</v>
      </c>
      <c r="AG179">
        <v>-0.27116440000000003</v>
      </c>
      <c r="AH179">
        <v>0.42239655661013298</v>
      </c>
      <c r="AI179">
        <v>121.66538879160601</v>
      </c>
      <c r="AJ179">
        <v>73.896928053391406</v>
      </c>
      <c r="AK179">
        <v>0.51654533855450102</v>
      </c>
      <c r="AL179">
        <v>87.820688095136603</v>
      </c>
      <c r="AM179">
        <v>86.6726247512958</v>
      </c>
      <c r="AN179">
        <v>1.0000000694353699</v>
      </c>
    </row>
    <row r="180" spans="1:40" x14ac:dyDescent="0.25">
      <c r="A180" t="str">
        <f>"20190312154804174"</f>
        <v>20190312154804174</v>
      </c>
      <c r="B180" t="str">
        <f>"1552376884166257"</f>
        <v>1552376884166257</v>
      </c>
      <c r="C180" t="s">
        <v>40</v>
      </c>
      <c r="D180">
        <v>5.1910470000000002</v>
      </c>
      <c r="E180">
        <v>0.54683909999999902</v>
      </c>
      <c r="F180" t="s">
        <v>41</v>
      </c>
      <c r="G180">
        <v>-431.86040000000003</v>
      </c>
      <c r="H180">
        <v>0.80333330000000003</v>
      </c>
      <c r="I180">
        <v>367.02260000000001</v>
      </c>
      <c r="J180">
        <v>-432.34629999999999</v>
      </c>
      <c r="K180">
        <v>1.069248</v>
      </c>
      <c r="L180">
        <v>367.17200000000003</v>
      </c>
      <c r="M180">
        <v>0.99983750000000005</v>
      </c>
      <c r="N180">
        <v>0</v>
      </c>
      <c r="O180" s="1">
        <v>-4.7658129999999999E-5</v>
      </c>
      <c r="P180">
        <v>0.99808839999999999</v>
      </c>
      <c r="Q180">
        <v>2.0547300000000001E-2</v>
      </c>
      <c r="R180">
        <v>-5.8288409999999999E-2</v>
      </c>
      <c r="S180">
        <v>2.9941409999999999</v>
      </c>
      <c r="T180">
        <v>-0.91631130000000005</v>
      </c>
      <c r="U180">
        <v>-0.51119999999999999</v>
      </c>
      <c r="V180">
        <v>5.82383E-2</v>
      </c>
      <c r="W180">
        <v>3.8548760000000001E-2</v>
      </c>
      <c r="X180">
        <v>0.99755819999999995</v>
      </c>
      <c r="Y180">
        <v>0.16108320000000001</v>
      </c>
      <c r="Z180">
        <v>-2.3920799999999999E-2</v>
      </c>
      <c r="AA180">
        <v>0.9866509</v>
      </c>
      <c r="AB180">
        <v>39</v>
      </c>
      <c r="AC180">
        <v>0.48589999999995798</v>
      </c>
      <c r="AD180">
        <v>-0.265914699999999</v>
      </c>
      <c r="AE180">
        <v>-0.14939999999995701</v>
      </c>
      <c r="AF180">
        <v>0.11728454554803899</v>
      </c>
      <c r="AG180">
        <v>-0.265914699999999</v>
      </c>
      <c r="AH180">
        <v>0.38151427103434898</v>
      </c>
      <c r="AI180">
        <v>123.67263796358</v>
      </c>
      <c r="AJ180">
        <v>72.911603271879798</v>
      </c>
      <c r="AK180">
        <v>0.47960341043759402</v>
      </c>
      <c r="AL180">
        <v>87.790771437271403</v>
      </c>
      <c r="AM180">
        <v>86.658815942393602</v>
      </c>
      <c r="AN180">
        <v>1.00000003443583</v>
      </c>
    </row>
    <row r="181" spans="1:40" x14ac:dyDescent="0.25">
      <c r="A181" t="str">
        <f>"20190312154804197"</f>
        <v>20190312154804197</v>
      </c>
      <c r="B181" t="str">
        <f>"1552376884185778"</f>
        <v>1552376884185778</v>
      </c>
      <c r="C181" t="s">
        <v>40</v>
      </c>
      <c r="D181">
        <v>5.1980190000000004</v>
      </c>
      <c r="E181">
        <v>0.54673909999999903</v>
      </c>
      <c r="F181" t="s">
        <v>41</v>
      </c>
      <c r="G181">
        <v>-431.50990000000002</v>
      </c>
      <c r="H181">
        <v>0.8137491</v>
      </c>
      <c r="I181">
        <v>367.0292</v>
      </c>
      <c r="J181">
        <v>-431.9418</v>
      </c>
      <c r="K181">
        <v>1.0677380000000001</v>
      </c>
      <c r="L181">
        <v>367.17200000000003</v>
      </c>
      <c r="M181">
        <v>0.99984170000000006</v>
      </c>
      <c r="N181">
        <v>0</v>
      </c>
      <c r="O181" s="1">
        <v>-8.6789079999999994E-6</v>
      </c>
      <c r="P181">
        <v>0.99807509999999999</v>
      </c>
      <c r="Q181">
        <v>2.1025329999999998E-2</v>
      </c>
      <c r="R181">
        <v>-5.8345130000000002E-2</v>
      </c>
      <c r="S181">
        <v>2.9947509999999999</v>
      </c>
      <c r="T181">
        <v>-0.91481020000000002</v>
      </c>
      <c r="U181">
        <v>-0.51126099999999997</v>
      </c>
      <c r="V181">
        <v>5.8333999999999997E-2</v>
      </c>
      <c r="W181">
        <v>3.8787950000000002E-2</v>
      </c>
      <c r="X181">
        <v>0.99754330000000002</v>
      </c>
      <c r="Y181">
        <v>0.16112979999999999</v>
      </c>
      <c r="Z181">
        <v>-2.3897140000000001E-2</v>
      </c>
      <c r="AA181">
        <v>0.98664390000000002</v>
      </c>
      <c r="AB181">
        <v>39</v>
      </c>
      <c r="AC181">
        <v>0.43189999999998402</v>
      </c>
      <c r="AD181">
        <v>-0.25398889999999902</v>
      </c>
      <c r="AE181">
        <v>-0.14279999999996501</v>
      </c>
      <c r="AF181">
        <v>0.108859306722416</v>
      </c>
      <c r="AG181">
        <v>-0.25398889999999902</v>
      </c>
      <c r="AH181">
        <v>0.32925562950463899</v>
      </c>
      <c r="AI181">
        <v>126.219455590655</v>
      </c>
      <c r="AJ181">
        <v>71.704954035089898</v>
      </c>
      <c r="AK181">
        <v>0.42984878683531402</v>
      </c>
      <c r="AL181">
        <v>87.777056521837906</v>
      </c>
      <c r="AM181">
        <v>86.653288141428902</v>
      </c>
      <c r="AN181">
        <v>0.99999999799804595</v>
      </c>
    </row>
    <row r="182" spans="1:40" x14ac:dyDescent="0.25">
      <c r="A182" t="str">
        <f>"20190312154804218"</f>
        <v>20190312154804218</v>
      </c>
      <c r="B182" t="str">
        <f>"1552376884216033"</f>
        <v>1552376884216033</v>
      </c>
      <c r="C182" t="s">
        <v>40</v>
      </c>
      <c r="D182">
        <v>5.0622490000000004</v>
      </c>
      <c r="E182">
        <v>0.5466664</v>
      </c>
      <c r="F182" t="s">
        <v>41</v>
      </c>
      <c r="G182">
        <v>-431.15800000000002</v>
      </c>
      <c r="H182">
        <v>0.82857080000000005</v>
      </c>
      <c r="I182">
        <v>367.03829999999999</v>
      </c>
      <c r="J182">
        <v>-431.57229999999998</v>
      </c>
      <c r="K182">
        <v>1.0665519999999999</v>
      </c>
      <c r="L182">
        <v>367.1721</v>
      </c>
      <c r="M182">
        <v>0.9998456</v>
      </c>
      <c r="N182">
        <v>0</v>
      </c>
      <c r="O182" s="1">
        <v>2.7000529999999999E-5</v>
      </c>
      <c r="P182">
        <v>0.99809159999999997</v>
      </c>
      <c r="Q182">
        <v>2.0903919999999999E-2</v>
      </c>
      <c r="R182">
        <v>-5.8106400000000002E-2</v>
      </c>
      <c r="S182">
        <v>2.9952390000000002</v>
      </c>
      <c r="T182">
        <v>-0.91401140000000003</v>
      </c>
      <c r="U182">
        <v>-0.50997919999999997</v>
      </c>
      <c r="V182">
        <v>5.8131160000000001E-2</v>
      </c>
      <c r="W182">
        <v>3.8442980000000002E-2</v>
      </c>
      <c r="X182">
        <v>0.99756849999999997</v>
      </c>
      <c r="Y182">
        <v>0.16075680000000001</v>
      </c>
      <c r="Z182">
        <v>-2.382958E-2</v>
      </c>
      <c r="AA182">
        <v>0.98670639999999998</v>
      </c>
      <c r="AB182">
        <v>39</v>
      </c>
      <c r="AC182">
        <v>0.41429999999996803</v>
      </c>
      <c r="AD182">
        <v>-0.237981199999999</v>
      </c>
      <c r="AE182">
        <v>-0.133800000000007</v>
      </c>
      <c r="AF182">
        <v>0.10302744223874399</v>
      </c>
      <c r="AG182">
        <v>-0.237981199999999</v>
      </c>
      <c r="AH182">
        <v>0.31898601066741999</v>
      </c>
      <c r="AI182">
        <v>125.372599136989</v>
      </c>
      <c r="AJ182">
        <v>72.100363023311104</v>
      </c>
      <c r="AK182">
        <v>0.411098261257833</v>
      </c>
      <c r="AL182">
        <v>87.796836611869395</v>
      </c>
      <c r="AM182">
        <v>86.664983131087894</v>
      </c>
      <c r="AN182">
        <v>1.0000000033332299</v>
      </c>
    </row>
    <row r="183" spans="1:40" x14ac:dyDescent="0.25">
      <c r="A183" t="str">
        <f>"20190312154804242"</f>
        <v>20190312154804242</v>
      </c>
      <c r="B183" t="str">
        <f>"1552376884236529"</f>
        <v>1552376884236529</v>
      </c>
      <c r="C183" t="s">
        <v>40</v>
      </c>
      <c r="D183">
        <v>5.1672840000000004</v>
      </c>
      <c r="E183">
        <v>0.54247429999999996</v>
      </c>
      <c r="F183" t="s">
        <v>41</v>
      </c>
      <c r="G183">
        <v>-430.81040000000002</v>
      </c>
      <c r="H183">
        <v>0.83387479999999903</v>
      </c>
      <c r="I183">
        <v>367.04219999999998</v>
      </c>
      <c r="J183">
        <v>-431.16750000000002</v>
      </c>
      <c r="K183">
        <v>1.065421</v>
      </c>
      <c r="L183">
        <v>367.1721</v>
      </c>
      <c r="M183">
        <v>0.99984989999999996</v>
      </c>
      <c r="N183">
        <v>0</v>
      </c>
      <c r="O183" s="1">
        <v>6.5339469999999998E-5</v>
      </c>
      <c r="P183">
        <v>0.99809760000000003</v>
      </c>
      <c r="Q183">
        <v>2.1023030000000002E-2</v>
      </c>
      <c r="R183">
        <v>-5.7959040000000003E-2</v>
      </c>
      <c r="S183">
        <v>2.9952390000000002</v>
      </c>
      <c r="T183">
        <v>-0.91473389999999999</v>
      </c>
      <c r="U183">
        <v>-0.50878909999999999</v>
      </c>
      <c r="V183">
        <v>5.802214E-2</v>
      </c>
      <c r="W183">
        <v>3.8319569999999997E-2</v>
      </c>
      <c r="X183">
        <v>0.99757960000000001</v>
      </c>
      <c r="Y183">
        <v>0.16041529999999901</v>
      </c>
      <c r="Z183">
        <v>-2.3809090000000002E-2</v>
      </c>
      <c r="AA183">
        <v>0.98676240000000004</v>
      </c>
      <c r="AB183">
        <v>39</v>
      </c>
      <c r="AC183">
        <v>0.35710000000000203</v>
      </c>
      <c r="AD183">
        <v>-0.23154620000000001</v>
      </c>
      <c r="AE183">
        <v>-0.12990000000002</v>
      </c>
      <c r="AF183">
        <v>9.4744650697083696E-2</v>
      </c>
      <c r="AG183">
        <v>-0.23154620000000001</v>
      </c>
      <c r="AH183">
        <v>0.260403646266681</v>
      </c>
      <c r="AI183">
        <v>129.881902408012</v>
      </c>
      <c r="AJ183">
        <v>70.006708183132105</v>
      </c>
      <c r="AK183">
        <v>0.361109748634865</v>
      </c>
      <c r="AL183">
        <v>87.803912708706207</v>
      </c>
      <c r="AM183">
        <v>86.671260546686</v>
      </c>
      <c r="AN183">
        <v>1.0000000082556599</v>
      </c>
    </row>
    <row r="184" spans="1:40" x14ac:dyDescent="0.25">
      <c r="A184" t="str">
        <f>"20190312154804265"</f>
        <v>20190312154804265</v>
      </c>
      <c r="B184" t="str">
        <f>"1552376884256050"</f>
        <v>1552376884256050</v>
      </c>
      <c r="C184" t="s">
        <v>40</v>
      </c>
      <c r="D184">
        <v>5.1619950000000001</v>
      </c>
      <c r="E184">
        <v>0.54291330000000004</v>
      </c>
      <c r="F184" t="s">
        <v>41</v>
      </c>
      <c r="G184">
        <v>-430.46600000000001</v>
      </c>
      <c r="H184">
        <v>0.83485509999999996</v>
      </c>
      <c r="I184">
        <v>367.06119999999999</v>
      </c>
      <c r="J184">
        <v>-430.77109999999999</v>
      </c>
      <c r="K184">
        <v>1.064486</v>
      </c>
      <c r="L184">
        <v>367.17219999999998</v>
      </c>
      <c r="M184">
        <v>0.99985389999999996</v>
      </c>
      <c r="N184">
        <v>0</v>
      </c>
      <c r="O184">
        <v>1.018799E-4</v>
      </c>
      <c r="P184">
        <v>0.99811479999999997</v>
      </c>
      <c r="Q184">
        <v>2.083749E-2</v>
      </c>
      <c r="R184">
        <v>-5.7733840000000002E-2</v>
      </c>
      <c r="S184">
        <v>2.9990540000000001</v>
      </c>
      <c r="T184">
        <v>-0.98563290000000003</v>
      </c>
      <c r="U184">
        <v>-0.4721069</v>
      </c>
      <c r="V184">
        <v>5.783336E-2</v>
      </c>
      <c r="W184">
        <v>3.7905019999999998E-2</v>
      </c>
      <c r="X184">
        <v>0.9976064</v>
      </c>
      <c r="Y184">
        <v>0.1479953</v>
      </c>
      <c r="Z184">
        <v>-2.359381E-2</v>
      </c>
      <c r="AA184">
        <v>0.98870659999999999</v>
      </c>
      <c r="AB184">
        <v>39</v>
      </c>
      <c r="AC184">
        <v>0.305099999999981</v>
      </c>
      <c r="AD184">
        <v>-0.2296309</v>
      </c>
      <c r="AE184">
        <v>-0.11099999999999</v>
      </c>
      <c r="AF184">
        <v>7.4008159333604301E-2</v>
      </c>
      <c r="AG184">
        <v>-0.2296309</v>
      </c>
      <c r="AH184">
        <v>0.20335793103633601</v>
      </c>
      <c r="AI184">
        <v>136.69828002147901</v>
      </c>
      <c r="AJ184">
        <v>70.002008872992704</v>
      </c>
      <c r="AK184">
        <v>0.31553447671869</v>
      </c>
      <c r="AL184">
        <v>87.827681944272996</v>
      </c>
      <c r="AM184">
        <v>86.682155584638195</v>
      </c>
      <c r="AN184">
        <v>1.0000000086955201</v>
      </c>
    </row>
    <row r="185" spans="1:40" x14ac:dyDescent="0.25">
      <c r="A185" t="str">
        <f>"20190312154804288"</f>
        <v>20190312154804288</v>
      </c>
      <c r="B185" t="str">
        <f>"1552376884276545"</f>
        <v>1552376884276545</v>
      </c>
      <c r="C185" t="s">
        <v>40</v>
      </c>
      <c r="D185">
        <v>5.1269450000000001</v>
      </c>
      <c r="E185">
        <v>0.54281499999999905</v>
      </c>
      <c r="F185" t="s">
        <v>41</v>
      </c>
      <c r="G185">
        <v>-429.80889999999999</v>
      </c>
      <c r="H185">
        <v>0.75596509999999995</v>
      </c>
      <c r="I185">
        <v>367.01929999999999</v>
      </c>
      <c r="J185">
        <v>-430.38679999999999</v>
      </c>
      <c r="K185">
        <v>1.0637209999999999</v>
      </c>
      <c r="L185">
        <v>367.17219999999998</v>
      </c>
      <c r="M185">
        <v>0.99985749999999995</v>
      </c>
      <c r="N185">
        <v>0</v>
      </c>
      <c r="O185">
        <v>1.3638340000000001E-4</v>
      </c>
      <c r="P185">
        <v>0.9981063</v>
      </c>
      <c r="Q185">
        <v>2.1013469999999999E-2</v>
      </c>
      <c r="R185">
        <v>-5.7816770000000003E-2</v>
      </c>
      <c r="S185">
        <v>2.9982600000000001</v>
      </c>
      <c r="T185">
        <v>-0.96136239999999995</v>
      </c>
      <c r="U185">
        <v>-0.47558590000000001</v>
      </c>
      <c r="V185">
        <v>5.7950630000000003E-2</v>
      </c>
      <c r="W185">
        <v>3.7871189999999999E-2</v>
      </c>
      <c r="X185">
        <v>0.99760090000000001</v>
      </c>
      <c r="Y185">
        <v>0.14947389999999999</v>
      </c>
      <c r="Z185">
        <v>-2.3284880000000001E-2</v>
      </c>
      <c r="AA185">
        <v>0.98849149999999997</v>
      </c>
      <c r="AB185">
        <v>39</v>
      </c>
      <c r="AC185">
        <v>0.57789999999999897</v>
      </c>
      <c r="AD185">
        <v>-0.30775590000000003</v>
      </c>
      <c r="AE185">
        <v>-0.15289999999998799</v>
      </c>
      <c r="AF185">
        <v>0.12092738743475499</v>
      </c>
      <c r="AG185">
        <v>-0.30775590000000003</v>
      </c>
      <c r="AH185">
        <v>0.456804489986465</v>
      </c>
      <c r="AI185">
        <v>123.07541391413</v>
      </c>
      <c r="AJ185">
        <v>75.172517635614199</v>
      </c>
      <c r="AK185">
        <v>0.56392150968765098</v>
      </c>
      <c r="AL185">
        <v>87.829621697550905</v>
      </c>
      <c r="AM185">
        <v>86.675424704515706</v>
      </c>
      <c r="AN185">
        <v>1.0000000291151101</v>
      </c>
    </row>
    <row r="186" spans="1:40" x14ac:dyDescent="0.25">
      <c r="A186" t="str">
        <f>"20190312154804308"</f>
        <v>20190312154804308</v>
      </c>
      <c r="B186" t="str">
        <f>"1552376884296065"</f>
        <v>1552376884296065</v>
      </c>
      <c r="C186" t="s">
        <v>40</v>
      </c>
      <c r="D186">
        <v>5.119891</v>
      </c>
      <c r="E186">
        <v>0.54297269999999997</v>
      </c>
      <c r="F186" t="s">
        <v>41</v>
      </c>
      <c r="G186">
        <v>-429.45929999999998</v>
      </c>
      <c r="H186">
        <v>0.7704337</v>
      </c>
      <c r="I186">
        <v>367.02499999999998</v>
      </c>
      <c r="J186">
        <v>-430.02730000000003</v>
      </c>
      <c r="K186">
        <v>1.063118</v>
      </c>
      <c r="L186">
        <v>367.17230000000001</v>
      </c>
      <c r="M186">
        <v>0.99986050000000004</v>
      </c>
      <c r="N186">
        <v>0</v>
      </c>
      <c r="O186">
        <v>1.687472E-4</v>
      </c>
      <c r="P186">
        <v>0.99808869999999905</v>
      </c>
      <c r="Q186">
        <v>2.1383050000000001E-2</v>
      </c>
      <c r="R186">
        <v>-5.7981869999999998E-2</v>
      </c>
      <c r="S186">
        <v>2.998138</v>
      </c>
      <c r="T186">
        <v>-0.94803809999999999</v>
      </c>
      <c r="U186">
        <v>-0.47521970000000002</v>
      </c>
      <c r="V186">
        <v>5.8148239999999997E-2</v>
      </c>
      <c r="W186">
        <v>3.8056550000000001E-2</v>
      </c>
      <c r="X186">
        <v>0.99758230000000003</v>
      </c>
      <c r="Y186">
        <v>0.14958389999999999</v>
      </c>
      <c r="Z186">
        <v>-2.3004899999999998E-2</v>
      </c>
      <c r="AA186">
        <v>0.98848139999999995</v>
      </c>
      <c r="AB186">
        <v>38</v>
      </c>
      <c r="AC186">
        <v>0.56800000000004003</v>
      </c>
      <c r="AD186">
        <v>-0.29268430000000001</v>
      </c>
      <c r="AE186">
        <v>-0.14730000000002899</v>
      </c>
      <c r="AF186">
        <v>0.118030830325978</v>
      </c>
      <c r="AG186">
        <v>-0.29268430000000001</v>
      </c>
      <c r="AH186">
        <v>0.45481994254297198</v>
      </c>
      <c r="AI186">
        <v>121.918126010522</v>
      </c>
      <c r="AJ186">
        <v>75.452024333696102</v>
      </c>
      <c r="AK186">
        <v>0.55358518450977601</v>
      </c>
      <c r="AL186">
        <v>87.818993587842897</v>
      </c>
      <c r="AM186">
        <v>86.664051498848494</v>
      </c>
      <c r="AN186">
        <v>0.999999982043144</v>
      </c>
    </row>
    <row r="187" spans="1:40" x14ac:dyDescent="0.25">
      <c r="A187" t="str">
        <f>"20190312154804331"</f>
        <v>20190312154804331</v>
      </c>
      <c r="B187" t="str">
        <f>"1552376884326322"</f>
        <v>1552376884326322</v>
      </c>
      <c r="C187" t="s">
        <v>40</v>
      </c>
      <c r="D187">
        <v>5.1177739999999998</v>
      </c>
      <c r="E187">
        <v>0.54317550000000003</v>
      </c>
      <c r="F187" t="s">
        <v>41</v>
      </c>
      <c r="G187">
        <v>-429.11360000000002</v>
      </c>
      <c r="H187">
        <v>0.77623399999999998</v>
      </c>
      <c r="I187">
        <v>367.02659999999997</v>
      </c>
      <c r="J187">
        <v>-429.64609999999999</v>
      </c>
      <c r="K187">
        <v>1.0625770000000001</v>
      </c>
      <c r="L187">
        <v>367.17239999999998</v>
      </c>
      <c r="M187">
        <v>0.99986359999999996</v>
      </c>
      <c r="N187">
        <v>0</v>
      </c>
      <c r="O187">
        <v>2.038055E-4</v>
      </c>
      <c r="P187">
        <v>0.99808300000000005</v>
      </c>
      <c r="Q187">
        <v>2.1745239999999999E-2</v>
      </c>
      <c r="R187">
        <v>-5.7944349999999999E-2</v>
      </c>
      <c r="S187">
        <v>2.9981990000000001</v>
      </c>
      <c r="T187">
        <v>-0.94133420000000001</v>
      </c>
      <c r="U187">
        <v>-0.47695920000000003</v>
      </c>
      <c r="V187">
        <v>5.8145750000000003E-2</v>
      </c>
      <c r="W187">
        <v>3.8236180000000002E-2</v>
      </c>
      <c r="X187">
        <v>0.99757560000000001</v>
      </c>
      <c r="Y187">
        <v>0.1502415</v>
      </c>
      <c r="Z187">
        <v>-2.2959090000000001E-2</v>
      </c>
      <c r="AA187">
        <v>0.98838269999999995</v>
      </c>
      <c r="AB187">
        <v>38</v>
      </c>
      <c r="AC187">
        <v>0.53249999999997</v>
      </c>
      <c r="AD187">
        <v>-0.28634300000000001</v>
      </c>
      <c r="AE187">
        <v>-0.14580000000000801</v>
      </c>
      <c r="AF187">
        <v>0.114979927142349</v>
      </c>
      <c r="AG187">
        <v>-0.28634300000000001</v>
      </c>
      <c r="AH187">
        <v>0.419601166656558</v>
      </c>
      <c r="AI187">
        <v>123.35109449794101</v>
      </c>
      <c r="AJ187">
        <v>74.675860328880304</v>
      </c>
      <c r="AK187">
        <v>0.52084338946962205</v>
      </c>
      <c r="AL187">
        <v>87.808694102266799</v>
      </c>
      <c r="AM187">
        <v>86.664171673241697</v>
      </c>
      <c r="AN187">
        <v>1.0000000057097</v>
      </c>
    </row>
    <row r="188" spans="1:40" x14ac:dyDescent="0.25">
      <c r="A188" t="str">
        <f>"20190312154804352"</f>
        <v>20190312154804352</v>
      </c>
      <c r="B188" t="str">
        <f>"1552376884345842"</f>
        <v>1552376884345842</v>
      </c>
      <c r="C188" t="s">
        <v>40</v>
      </c>
      <c r="D188">
        <v>5.078144</v>
      </c>
      <c r="E188">
        <v>0.54321119999999901</v>
      </c>
      <c r="F188" t="s">
        <v>41</v>
      </c>
      <c r="G188">
        <v>-428.76589999999999</v>
      </c>
      <c r="H188">
        <v>0.78809079999999998</v>
      </c>
      <c r="I188">
        <v>367.03199999999998</v>
      </c>
      <c r="J188">
        <v>-429.2697</v>
      </c>
      <c r="K188">
        <v>1.062127</v>
      </c>
      <c r="L188">
        <v>367.17250000000001</v>
      </c>
      <c r="M188">
        <v>0.99986629999999999</v>
      </c>
      <c r="N188">
        <v>0</v>
      </c>
      <c r="O188">
        <v>2.3836420000000001E-4</v>
      </c>
      <c r="P188">
        <v>0.99806119999999998</v>
      </c>
      <c r="Q188">
        <v>2.1507809999999999E-2</v>
      </c>
      <c r="R188">
        <v>-5.8406710000000001E-2</v>
      </c>
      <c r="S188">
        <v>2.9983520000000001</v>
      </c>
      <c r="T188">
        <v>-0.93503449999999999</v>
      </c>
      <c r="U188">
        <v>-0.47827150000000002</v>
      </c>
      <c r="V188">
        <v>5.8642710000000001E-2</v>
      </c>
      <c r="W188">
        <v>3.7833079999999998E-2</v>
      </c>
      <c r="X188">
        <v>0.9975619</v>
      </c>
      <c r="Y188">
        <v>0.15075759999999999</v>
      </c>
      <c r="Z188">
        <v>-2.289911E-2</v>
      </c>
      <c r="AA188">
        <v>0.98830549999999995</v>
      </c>
      <c r="AB188">
        <v>38</v>
      </c>
      <c r="AC188">
        <v>0.50380000000001202</v>
      </c>
      <c r="AD188">
        <v>-0.27403620000000001</v>
      </c>
      <c r="AE188">
        <v>-0.14050000000003099</v>
      </c>
      <c r="AF188">
        <v>0.110331936018296</v>
      </c>
      <c r="AG188">
        <v>-0.27403620000000001</v>
      </c>
      <c r="AH188">
        <v>0.39526022438151098</v>
      </c>
      <c r="AI188">
        <v>123.73412195019699</v>
      </c>
      <c r="AJ188">
        <v>74.403590731438896</v>
      </c>
      <c r="AK188">
        <v>0.49345680661442698</v>
      </c>
      <c r="AL188">
        <v>87.831806800697194</v>
      </c>
      <c r="AM188">
        <v>86.635680134477795</v>
      </c>
      <c r="AN188">
        <v>1.00000002685502</v>
      </c>
    </row>
    <row r="189" spans="1:40" x14ac:dyDescent="0.25">
      <c r="A189" t="str">
        <f>"20190312154804376"</f>
        <v>20190312154804376</v>
      </c>
      <c r="B189" t="str">
        <f>"1552376884366341"</f>
        <v>1552376884366341</v>
      </c>
      <c r="C189" t="s">
        <v>40</v>
      </c>
      <c r="D189">
        <v>5.0614790000000003</v>
      </c>
      <c r="E189">
        <v>0.54332239999999998</v>
      </c>
      <c r="F189" t="s">
        <v>41</v>
      </c>
      <c r="G189">
        <v>-428.41950000000003</v>
      </c>
      <c r="H189">
        <v>0.79786990000000002</v>
      </c>
      <c r="I189">
        <v>367.03629999999998</v>
      </c>
      <c r="J189">
        <v>-428.87920000000003</v>
      </c>
      <c r="K189">
        <v>1.0617369999999999</v>
      </c>
      <c r="L189">
        <v>367.17270000000002</v>
      </c>
      <c r="M189">
        <v>0.9998688</v>
      </c>
      <c r="N189">
        <v>0</v>
      </c>
      <c r="O189">
        <v>2.748669E-4</v>
      </c>
      <c r="P189">
        <v>0.99805379999999999</v>
      </c>
      <c r="Q189">
        <v>2.1911090000000001E-2</v>
      </c>
      <c r="R189">
        <v>-5.8382620000000003E-2</v>
      </c>
      <c r="S189">
        <v>2.997833</v>
      </c>
      <c r="T189">
        <v>-0.93174120000000005</v>
      </c>
      <c r="U189">
        <v>-0.4799194</v>
      </c>
      <c r="V189">
        <v>5.8654860000000003E-2</v>
      </c>
      <c r="W189">
        <v>3.8077989999999999E-2</v>
      </c>
      <c r="X189">
        <v>0.99755190000000005</v>
      </c>
      <c r="Y189">
        <v>0.1513668</v>
      </c>
      <c r="Z189">
        <v>-2.2927800000000002E-2</v>
      </c>
      <c r="AA189">
        <v>0.98821179999999997</v>
      </c>
      <c r="AB189">
        <v>38</v>
      </c>
      <c r="AC189">
        <v>0.459699999999998</v>
      </c>
      <c r="AD189">
        <v>-0.26386710000000002</v>
      </c>
      <c r="AE189">
        <v>-0.13640000000003699</v>
      </c>
      <c r="AF189">
        <v>0.104793406497612</v>
      </c>
      <c r="AG189">
        <v>-0.26386710000000002</v>
      </c>
      <c r="AH189">
        <v>0.35282267104986198</v>
      </c>
      <c r="AI189">
        <v>125.63750845007</v>
      </c>
      <c r="AJ189">
        <v>73.4578234211302</v>
      </c>
      <c r="AK189">
        <v>0.45287011572253599</v>
      </c>
      <c r="AL189">
        <v>87.817764444515603</v>
      </c>
      <c r="AM189">
        <v>86.634951037925902</v>
      </c>
      <c r="AN189">
        <v>1.0000000595588301</v>
      </c>
    </row>
    <row r="190" spans="1:40" x14ac:dyDescent="0.25">
      <c r="A190" t="str">
        <f>"20190312154804397"</f>
        <v>20190312154804397</v>
      </c>
      <c r="B190" t="str">
        <f>"1552376884385857"</f>
        <v>1552376884385857</v>
      </c>
      <c r="C190" t="s">
        <v>40</v>
      </c>
      <c r="D190">
        <v>5.0530900000000001</v>
      </c>
      <c r="E190">
        <v>0.54334359999999904</v>
      </c>
      <c r="F190" t="s">
        <v>41</v>
      </c>
      <c r="G190">
        <v>-428.07159999999999</v>
      </c>
      <c r="H190">
        <v>0.8119248</v>
      </c>
      <c r="I190">
        <v>367.04289999999997</v>
      </c>
      <c r="J190">
        <v>-428.50220000000002</v>
      </c>
      <c r="K190">
        <v>1.061426</v>
      </c>
      <c r="L190">
        <v>367.1728</v>
      </c>
      <c r="M190">
        <v>0.99987110000000001</v>
      </c>
      <c r="N190">
        <v>0</v>
      </c>
      <c r="O190">
        <v>3.0954600000000001E-4</v>
      </c>
      <c r="P190">
        <v>0.99802480000000005</v>
      </c>
      <c r="Q190">
        <v>2.220811E-2</v>
      </c>
      <c r="R190">
        <v>-5.876485E-2</v>
      </c>
      <c r="S190">
        <v>2.9980470000000001</v>
      </c>
      <c r="T190">
        <v>-0.92741549999999995</v>
      </c>
      <c r="U190">
        <v>-0.48159790000000002</v>
      </c>
      <c r="V190">
        <v>5.9071829999999999E-2</v>
      </c>
      <c r="W190">
        <v>3.8235230000000002E-2</v>
      </c>
      <c r="X190">
        <v>0.9975212</v>
      </c>
      <c r="Y190">
        <v>0.1519654</v>
      </c>
      <c r="Z190">
        <v>-2.292392E-2</v>
      </c>
      <c r="AA190">
        <v>0.98812</v>
      </c>
      <c r="AB190">
        <v>38</v>
      </c>
      <c r="AC190">
        <v>0.43060000000002602</v>
      </c>
      <c r="AD190">
        <v>-0.24950120000000001</v>
      </c>
      <c r="AE190">
        <v>-0.12990000000002</v>
      </c>
      <c r="AF190">
        <v>9.9434351983995001E-2</v>
      </c>
      <c r="AG190">
        <v>-0.24950120000000001</v>
      </c>
      <c r="AH190">
        <v>0.32924205306529503</v>
      </c>
      <c r="AI190">
        <v>125.95873806192201</v>
      </c>
      <c r="AJ190">
        <v>73.195165235840093</v>
      </c>
      <c r="AK190">
        <v>0.42489806855593898</v>
      </c>
      <c r="AL190">
        <v>87.808748514929704</v>
      </c>
      <c r="AM190">
        <v>86.610980831835406</v>
      </c>
      <c r="AN190">
        <v>0.99999997918106998</v>
      </c>
    </row>
    <row r="191" spans="1:40" x14ac:dyDescent="0.25">
      <c r="A191" t="str">
        <f>"20190312154804411"</f>
        <v>20190312154804411</v>
      </c>
      <c r="B191" t="str">
        <f>"1552376884406353"</f>
        <v>1552376884406353</v>
      </c>
      <c r="C191" t="s">
        <v>40</v>
      </c>
      <c r="D191">
        <v>5.0401850000000001</v>
      </c>
      <c r="E191">
        <v>0.54330509999999999</v>
      </c>
      <c r="F191" t="s">
        <v>41</v>
      </c>
      <c r="G191">
        <v>-427.72579999999999</v>
      </c>
      <c r="H191">
        <v>0.82187379999999999</v>
      </c>
      <c r="I191">
        <v>367.04750000000001</v>
      </c>
      <c r="J191">
        <v>-428.27699999999999</v>
      </c>
      <c r="K191">
        <v>1.0612649999999999</v>
      </c>
      <c r="L191">
        <v>367.17290000000003</v>
      </c>
      <c r="M191">
        <v>0.99987230000000005</v>
      </c>
      <c r="N191">
        <v>0</v>
      </c>
      <c r="O191">
        <v>3.3018929999999999E-4</v>
      </c>
      <c r="P191">
        <v>0.99803090000000005</v>
      </c>
      <c r="Q191">
        <v>2.212971E-2</v>
      </c>
      <c r="R191">
        <v>-5.8693919999999997E-2</v>
      </c>
      <c r="S191">
        <v>2.9980769999999999</v>
      </c>
      <c r="T191">
        <v>-0.92498329999999995</v>
      </c>
      <c r="U191">
        <v>-0.4829407</v>
      </c>
      <c r="V191">
        <v>5.9021410000000003E-2</v>
      </c>
      <c r="W191">
        <v>3.8079420000000003E-2</v>
      </c>
      <c r="X191">
        <v>0.99753020000000003</v>
      </c>
      <c r="Y191">
        <v>0.15242990000000001</v>
      </c>
      <c r="Z191">
        <v>-2.294125E-2</v>
      </c>
      <c r="AA191">
        <v>0.98804800000000004</v>
      </c>
      <c r="AB191">
        <v>38</v>
      </c>
      <c r="AC191">
        <v>0.55119999999999403</v>
      </c>
      <c r="AD191">
        <v>-0.239391199999999</v>
      </c>
      <c r="AE191">
        <v>-0.125400000000013</v>
      </c>
      <c r="AF191">
        <v>0.106484810999908</v>
      </c>
      <c r="AG191">
        <v>-0.239391199999999</v>
      </c>
      <c r="AH191">
        <v>0.46734410309420699</v>
      </c>
      <c r="AI191">
        <v>116.539247615382</v>
      </c>
      <c r="AJ191">
        <v>77.164233817982705</v>
      </c>
      <c r="AK191">
        <v>0.53577763326594297</v>
      </c>
      <c r="AL191">
        <v>87.817682397353295</v>
      </c>
      <c r="AM191">
        <v>86.613897231450906</v>
      </c>
      <c r="AN191">
        <v>1.0000000344889799</v>
      </c>
    </row>
    <row r="192" spans="1:40" x14ac:dyDescent="0.25">
      <c r="A192" t="str">
        <f>"20190312154804431"</f>
        <v>20190312154804431</v>
      </c>
      <c r="B192" t="str">
        <f>"1552376884425874"</f>
        <v>1552376884425874</v>
      </c>
      <c r="C192" t="s">
        <v>40</v>
      </c>
      <c r="D192">
        <v>5.0479450000000003</v>
      </c>
      <c r="E192">
        <v>0.543207</v>
      </c>
      <c r="F192" t="s">
        <v>41</v>
      </c>
      <c r="G192">
        <v>-427.3972</v>
      </c>
      <c r="H192">
        <v>0.79035719999999898</v>
      </c>
      <c r="I192">
        <v>367.03120000000001</v>
      </c>
      <c r="J192">
        <v>-427.92250000000001</v>
      </c>
      <c r="K192">
        <v>1.0610389999999901</v>
      </c>
      <c r="L192">
        <v>367.17309999999998</v>
      </c>
      <c r="M192">
        <v>0.99987400000000004</v>
      </c>
      <c r="N192">
        <v>0</v>
      </c>
      <c r="O192">
        <v>3.6326300000000001E-4</v>
      </c>
      <c r="P192">
        <v>0.99802610000000003</v>
      </c>
      <c r="Q192">
        <v>2.197462E-2</v>
      </c>
      <c r="R192">
        <v>-5.8832120000000002E-2</v>
      </c>
      <c r="S192">
        <v>2.997986</v>
      </c>
      <c r="T192">
        <v>-0.92316109999999896</v>
      </c>
      <c r="U192">
        <v>-0.4824524</v>
      </c>
      <c r="V192">
        <v>5.9192660000000001E-2</v>
      </c>
      <c r="W192">
        <v>3.7812100000000001E-2</v>
      </c>
      <c r="X192">
        <v>0.99753020000000003</v>
      </c>
      <c r="Y192">
        <v>0.15233910000000001</v>
      </c>
      <c r="Z192">
        <v>-2.2895269999999999E-2</v>
      </c>
      <c r="AA192">
        <v>0.98806300000000002</v>
      </c>
      <c r="AB192">
        <v>38</v>
      </c>
      <c r="AC192">
        <v>0.52530000000001498</v>
      </c>
      <c r="AD192">
        <v>-0.27068179999999997</v>
      </c>
      <c r="AE192">
        <v>-0.141899999999964</v>
      </c>
      <c r="AF192">
        <v>0.11390358467382999</v>
      </c>
      <c r="AG192">
        <v>-0.27068179999999997</v>
      </c>
      <c r="AH192">
        <v>0.42105232350188998</v>
      </c>
      <c r="AI192">
        <v>121.82223575890301</v>
      </c>
      <c r="AJ192">
        <v>74.862594415916405</v>
      </c>
      <c r="AK192">
        <v>0.51334951307966503</v>
      </c>
      <c r="AL192">
        <v>87.833009696611796</v>
      </c>
      <c r="AM192">
        <v>86.604095449490003</v>
      </c>
      <c r="AN192">
        <v>1.0000000129081601</v>
      </c>
    </row>
    <row r="193" spans="1:40" x14ac:dyDescent="0.25">
      <c r="A193" t="str">
        <f>"20190312154804455"</f>
        <v>20190312154804455</v>
      </c>
      <c r="B193" t="str">
        <f>"1552376884446369"</f>
        <v>1552376884446369</v>
      </c>
      <c r="C193" t="s">
        <v>40</v>
      </c>
      <c r="D193">
        <v>4.9654870000000004</v>
      </c>
      <c r="E193">
        <v>0.54327490000000001</v>
      </c>
      <c r="F193" t="s">
        <v>41</v>
      </c>
      <c r="G193">
        <v>-427.05470000000003</v>
      </c>
      <c r="H193">
        <v>0.79437089999999999</v>
      </c>
      <c r="I193">
        <v>367.03309999999999</v>
      </c>
      <c r="J193">
        <v>-427.5326</v>
      </c>
      <c r="K193">
        <v>1.0608359999999999</v>
      </c>
      <c r="L193">
        <v>367.17320000000001</v>
      </c>
      <c r="M193">
        <v>0.99987579999999998</v>
      </c>
      <c r="N193">
        <v>0</v>
      </c>
      <c r="O193">
        <v>3.9937080000000002E-4</v>
      </c>
      <c r="P193">
        <v>0.99804380000000004</v>
      </c>
      <c r="Q193">
        <v>2.1508329999999999E-2</v>
      </c>
      <c r="R193">
        <v>-5.8704979999999997E-2</v>
      </c>
      <c r="S193">
        <v>2.9978030000000002</v>
      </c>
      <c r="T193">
        <v>-0.92105910000000002</v>
      </c>
      <c r="U193">
        <v>-0.48226930000000001</v>
      </c>
      <c r="V193">
        <v>5.9101630000000002E-2</v>
      </c>
      <c r="W193">
        <v>3.7234110000000001E-2</v>
      </c>
      <c r="X193">
        <v>0.99755729999999998</v>
      </c>
      <c r="Y193">
        <v>0.15235299999999999</v>
      </c>
      <c r="Z193">
        <v>-2.285966E-2</v>
      </c>
      <c r="AA193">
        <v>0.98806170000000004</v>
      </c>
      <c r="AB193">
        <v>38</v>
      </c>
      <c r="AC193">
        <v>0.47789999999997601</v>
      </c>
      <c r="AD193">
        <v>-0.26646510000000001</v>
      </c>
      <c r="AE193">
        <v>-0.14010000000001799</v>
      </c>
      <c r="AF193">
        <v>0.109066617158598</v>
      </c>
      <c r="AG193">
        <v>-0.26646510000000001</v>
      </c>
      <c r="AH193">
        <v>0.37149123295727099</v>
      </c>
      <c r="AI193">
        <v>124.53716699035699</v>
      </c>
      <c r="AJ193">
        <v>73.638216726977205</v>
      </c>
      <c r="AK193">
        <v>0.47000522620556501</v>
      </c>
      <c r="AL193">
        <v>87.866149339921904</v>
      </c>
      <c r="AM193">
        <v>86.609397577921101</v>
      </c>
      <c r="AN193">
        <v>0.99999997419971898</v>
      </c>
    </row>
    <row r="194" spans="1:40" x14ac:dyDescent="0.25">
      <c r="A194" t="str">
        <f>"20190312154804477"</f>
        <v>20190312154804477</v>
      </c>
      <c r="B194" t="str">
        <f>"1552376884465890"</f>
        <v>1552376884465890</v>
      </c>
      <c r="C194" t="s">
        <v>40</v>
      </c>
      <c r="D194">
        <v>4.9918360000000002</v>
      </c>
      <c r="E194">
        <v>0.54331109999999905</v>
      </c>
      <c r="F194" t="s">
        <v>41</v>
      </c>
      <c r="G194">
        <v>-426.70870000000002</v>
      </c>
      <c r="H194">
        <v>0.80750269999999902</v>
      </c>
      <c r="I194">
        <v>367.04050000000001</v>
      </c>
      <c r="J194">
        <v>-427.14139999999998</v>
      </c>
      <c r="K194">
        <v>1.0606690000000001</v>
      </c>
      <c r="L194">
        <v>367.17349999999999</v>
      </c>
      <c r="M194">
        <v>0.99987740000000003</v>
      </c>
      <c r="N194">
        <v>0</v>
      </c>
      <c r="O194">
        <v>4.3556759999999997E-4</v>
      </c>
      <c r="P194">
        <v>0.99806790000000001</v>
      </c>
      <c r="Q194">
        <v>2.1131939999999998E-2</v>
      </c>
      <c r="R194">
        <v>-5.8430540000000003E-2</v>
      </c>
      <c r="S194">
        <v>2.9973749999999999</v>
      </c>
      <c r="T194">
        <v>-0.92171720000000001</v>
      </c>
      <c r="U194">
        <v>-0.48303220000000002</v>
      </c>
      <c r="V194">
        <v>5.8863319999999997E-2</v>
      </c>
      <c r="W194">
        <v>3.6756650000000002E-2</v>
      </c>
      <c r="X194">
        <v>0.99758910000000001</v>
      </c>
      <c r="Y194">
        <v>0.15263060000000001</v>
      </c>
      <c r="Z194">
        <v>-2.2930229999999999E-2</v>
      </c>
      <c r="AA194">
        <v>0.98801729999999999</v>
      </c>
      <c r="AB194">
        <v>38</v>
      </c>
      <c r="AC194">
        <v>0.43269999999995401</v>
      </c>
      <c r="AD194">
        <v>-0.25316630000000001</v>
      </c>
      <c r="AE194">
        <v>-0.13299999999998099</v>
      </c>
      <c r="AF194">
        <v>0.101455734016298</v>
      </c>
      <c r="AG194">
        <v>-0.25316630000000001</v>
      </c>
      <c r="AH194">
        <v>0.32956313980213298</v>
      </c>
      <c r="AI194">
        <v>126.285562787576</v>
      </c>
      <c r="AJ194">
        <v>72.889061945734696</v>
      </c>
      <c r="AK194">
        <v>0.42778301104265098</v>
      </c>
      <c r="AL194">
        <v>87.8935245299364</v>
      </c>
      <c r="AM194">
        <v>86.623144882586303</v>
      </c>
      <c r="AN194">
        <v>0.99999997709972699</v>
      </c>
    </row>
    <row r="195" spans="1:40" x14ac:dyDescent="0.25">
      <c r="A195" t="str">
        <f>"20190312154804499"</f>
        <v>20190312154804499</v>
      </c>
      <c r="B195" t="str">
        <f>"1552376884496145"</f>
        <v>1552376884496145</v>
      </c>
      <c r="C195" t="s">
        <v>40</v>
      </c>
      <c r="D195">
        <v>4.9259430000000002</v>
      </c>
      <c r="E195">
        <v>0.54333100000000001</v>
      </c>
      <c r="F195" t="s">
        <v>41</v>
      </c>
      <c r="G195">
        <v>-426.36290000000002</v>
      </c>
      <c r="H195">
        <v>0.82147739999999903</v>
      </c>
      <c r="I195">
        <v>367.04770000000002</v>
      </c>
      <c r="J195">
        <v>-426.77690000000001</v>
      </c>
      <c r="K195">
        <v>1.0605469999999999</v>
      </c>
      <c r="L195">
        <v>367.17360000000002</v>
      </c>
      <c r="M195">
        <v>0.99987870000000001</v>
      </c>
      <c r="N195">
        <v>0</v>
      </c>
      <c r="O195">
        <v>4.6978189999999999E-4</v>
      </c>
      <c r="P195">
        <v>0.99810540000000003</v>
      </c>
      <c r="Q195">
        <v>2.087462E-2</v>
      </c>
      <c r="R195">
        <v>-5.7880269999999998E-2</v>
      </c>
      <c r="S195">
        <v>2.9970699999999999</v>
      </c>
      <c r="T195">
        <v>-0.92084180000000004</v>
      </c>
      <c r="U195">
        <v>-0.48269649999999997</v>
      </c>
      <c r="V195">
        <v>5.8347139999999999E-2</v>
      </c>
      <c r="W195">
        <v>3.641498E-2</v>
      </c>
      <c r="X195">
        <v>0.99763199999999996</v>
      </c>
      <c r="Y195">
        <v>0.1525842</v>
      </c>
      <c r="Z195">
        <v>-2.2915080000000001E-2</v>
      </c>
      <c r="AA195">
        <v>0.98802480000000004</v>
      </c>
      <c r="AB195">
        <v>38</v>
      </c>
      <c r="AC195">
        <v>0.41399999999998699</v>
      </c>
      <c r="AD195">
        <v>-0.23906959999999999</v>
      </c>
      <c r="AE195">
        <v>-0.12590000000000101</v>
      </c>
      <c r="AF195">
        <v>9.6606743374668499E-2</v>
      </c>
      <c r="AG195">
        <v>-0.23906959999999999</v>
      </c>
      <c r="AH195">
        <v>0.31713891555563301</v>
      </c>
      <c r="AI195">
        <v>125.796020835135</v>
      </c>
      <c r="AJ195">
        <v>73.058234314714696</v>
      </c>
      <c r="AK195">
        <v>0.40873491197770401</v>
      </c>
      <c r="AL195">
        <v>87.913113991064293</v>
      </c>
      <c r="AM195">
        <v>86.652832941527507</v>
      </c>
      <c r="AN195">
        <v>1.0000000234692801</v>
      </c>
    </row>
    <row r="196" spans="1:40" x14ac:dyDescent="0.25">
      <c r="A196" t="str">
        <f>"20190312154804521"</f>
        <v>20190312154804521</v>
      </c>
      <c r="B196" t="str">
        <f>"1552376884516642"</f>
        <v>1552376884516642</v>
      </c>
      <c r="C196" t="s">
        <v>40</v>
      </c>
      <c r="D196">
        <v>4.9046329999999996</v>
      </c>
      <c r="E196">
        <v>0.54327429999999999</v>
      </c>
      <c r="F196" t="s">
        <v>41</v>
      </c>
      <c r="G196">
        <v>-426.02030000000002</v>
      </c>
      <c r="H196">
        <v>0.82844589999999996</v>
      </c>
      <c r="I196">
        <v>367.05239999999998</v>
      </c>
      <c r="J196">
        <v>-426.39800000000002</v>
      </c>
      <c r="K196">
        <v>1.060438</v>
      </c>
      <c r="L196">
        <v>367.17380000000003</v>
      </c>
      <c r="M196">
        <v>0.99987999999999999</v>
      </c>
      <c r="N196">
        <v>0</v>
      </c>
      <c r="O196">
        <v>5.0461309999999895E-4</v>
      </c>
      <c r="P196">
        <v>0.998143</v>
      </c>
      <c r="Q196">
        <v>2.0286660000000001E-2</v>
      </c>
      <c r="R196">
        <v>-5.7438900000000001E-2</v>
      </c>
      <c r="S196">
        <v>2.9970089999999998</v>
      </c>
      <c r="T196">
        <v>-0.91931799999999997</v>
      </c>
      <c r="U196">
        <v>-0.48126219999999997</v>
      </c>
      <c r="V196">
        <v>5.7940619999999998E-2</v>
      </c>
      <c r="W196">
        <v>3.5747849999999998E-2</v>
      </c>
      <c r="X196">
        <v>0.99767980000000001</v>
      </c>
      <c r="Y196">
        <v>0.1521979</v>
      </c>
      <c r="Z196">
        <v>-2.283286E-2</v>
      </c>
      <c r="AA196">
        <v>0.98808629999999997</v>
      </c>
      <c r="AB196">
        <v>38</v>
      </c>
      <c r="AC196">
        <v>0.37770000000000398</v>
      </c>
      <c r="AD196">
        <v>-0.23199209999999901</v>
      </c>
      <c r="AE196">
        <v>-0.12140000000005099</v>
      </c>
      <c r="AF196">
        <v>9.0607816157060206E-2</v>
      </c>
      <c r="AG196">
        <v>-0.23199209999999901</v>
      </c>
      <c r="AH196">
        <v>0.28141169275907901</v>
      </c>
      <c r="AI196">
        <v>128.121794090343</v>
      </c>
      <c r="AJ196">
        <v>72.152686459272303</v>
      </c>
      <c r="AK196">
        <v>0.37579602397137202</v>
      </c>
      <c r="AL196">
        <v>87.951362589362802</v>
      </c>
      <c r="AM196">
        <v>86.676259965719396</v>
      </c>
      <c r="AN196">
        <v>1.00000000377682</v>
      </c>
    </row>
    <row r="197" spans="1:40" x14ac:dyDescent="0.25">
      <c r="A197" t="str">
        <f>"20190312154804543"</f>
        <v>20190312154804543</v>
      </c>
      <c r="B197" t="str">
        <f>"1552376884536162"</f>
        <v>1552376884536162</v>
      </c>
      <c r="C197" t="s">
        <v>40</v>
      </c>
      <c r="D197">
        <v>4.9927739999999998</v>
      </c>
      <c r="E197">
        <v>0.54332760000000002</v>
      </c>
      <c r="F197" t="s">
        <v>41</v>
      </c>
      <c r="G197">
        <v>-425.67649999999998</v>
      </c>
      <c r="H197">
        <v>0.83907009999999904</v>
      </c>
      <c r="I197">
        <v>367.05799999999999</v>
      </c>
      <c r="J197">
        <v>-426.02010000000001</v>
      </c>
      <c r="K197">
        <v>1.0603479999999901</v>
      </c>
      <c r="L197">
        <v>367.17410000000001</v>
      </c>
      <c r="M197">
        <v>0.99988100000000002</v>
      </c>
      <c r="N197">
        <v>0</v>
      </c>
      <c r="O197">
        <v>5.400251E-4</v>
      </c>
      <c r="P197">
        <v>0.99817339999999999</v>
      </c>
      <c r="Q197">
        <v>2.0523799999999998E-2</v>
      </c>
      <c r="R197">
        <v>-5.6824279999999998E-2</v>
      </c>
      <c r="S197">
        <v>2.9966740000000001</v>
      </c>
      <c r="T197">
        <v>-0.91957909999999998</v>
      </c>
      <c r="U197">
        <v>-0.47955320000000001</v>
      </c>
      <c r="V197">
        <v>5.736132E-2</v>
      </c>
      <c r="W197">
        <v>3.5914149999999999E-2</v>
      </c>
      <c r="X197">
        <v>0.99770729999999996</v>
      </c>
      <c r="Y197">
        <v>0.15171490000000001</v>
      </c>
      <c r="Z197">
        <v>-2.2780990000000001E-2</v>
      </c>
      <c r="AA197">
        <v>0.98816170000000003</v>
      </c>
      <c r="AB197">
        <v>38</v>
      </c>
      <c r="AC197">
        <v>0.34360000000003699</v>
      </c>
      <c r="AD197">
        <v>-0.221277899999999</v>
      </c>
      <c r="AE197">
        <v>-0.11609999999996</v>
      </c>
      <c r="AF197">
        <v>8.4741697345607894E-2</v>
      </c>
      <c r="AG197">
        <v>-0.221277899999999</v>
      </c>
      <c r="AH197">
        <v>0.25034862325684798</v>
      </c>
      <c r="AI197">
        <v>129.93660512177499</v>
      </c>
      <c r="AJ197">
        <v>71.299309358674506</v>
      </c>
      <c r="AK197">
        <v>0.34470204157217199</v>
      </c>
      <c r="AL197">
        <v>87.941828174869798</v>
      </c>
      <c r="AM197">
        <v>86.709508381444707</v>
      </c>
      <c r="AN197">
        <v>1.0000000018378199</v>
      </c>
    </row>
    <row r="198" spans="1:40" x14ac:dyDescent="0.25">
      <c r="A198" t="str">
        <f>"20190312154804566"</f>
        <v>20190312154804566</v>
      </c>
      <c r="B198" t="str">
        <f>"1552376884556661"</f>
        <v>1552376884556661</v>
      </c>
      <c r="C198" t="s">
        <v>40</v>
      </c>
      <c r="D198">
        <v>4.8631080000000004</v>
      </c>
      <c r="E198">
        <v>0.54330859999999903</v>
      </c>
      <c r="F198" t="s">
        <v>41</v>
      </c>
      <c r="G198">
        <v>-425.3331</v>
      </c>
      <c r="H198">
        <v>0.8499776</v>
      </c>
      <c r="I198">
        <v>367.06450000000001</v>
      </c>
      <c r="J198">
        <v>-425.64060000000001</v>
      </c>
      <c r="K198">
        <v>1.0602739999999999</v>
      </c>
      <c r="L198">
        <v>367.17430000000002</v>
      </c>
      <c r="M198">
        <v>0.99988189999999999</v>
      </c>
      <c r="N198">
        <v>0</v>
      </c>
      <c r="O198">
        <v>5.7526279999999897E-4</v>
      </c>
      <c r="P198">
        <v>0.99818249999999997</v>
      </c>
      <c r="Q198">
        <v>2.0623949999999999E-2</v>
      </c>
      <c r="R198">
        <v>-5.6625799999999997E-2</v>
      </c>
      <c r="S198">
        <v>2.997131</v>
      </c>
      <c r="T198">
        <v>-0.9178077</v>
      </c>
      <c r="U198">
        <v>-0.47833249999999999</v>
      </c>
      <c r="V198">
        <v>5.7198110000000003E-2</v>
      </c>
      <c r="W198">
        <v>3.5950370000000002E-2</v>
      </c>
      <c r="X198">
        <v>0.99771540000000003</v>
      </c>
      <c r="Y198">
        <v>0.1513745</v>
      </c>
      <c r="Z198">
        <v>-2.2696230000000001E-2</v>
      </c>
      <c r="AA198">
        <v>0.98821590000000004</v>
      </c>
      <c r="AB198">
        <v>38</v>
      </c>
      <c r="AC198">
        <v>0.30750000000000399</v>
      </c>
      <c r="AD198">
        <v>-0.210296399999999</v>
      </c>
      <c r="AE198">
        <v>-0.109800000000006</v>
      </c>
      <c r="AF198">
        <v>7.7732248437276094E-2</v>
      </c>
      <c r="AG198">
        <v>-0.210296399999999</v>
      </c>
      <c r="AH198">
        <v>0.21729793128748601</v>
      </c>
      <c r="AI198">
        <v>132.34074871003901</v>
      </c>
      <c r="AJ198">
        <v>70.3167530702775</v>
      </c>
      <c r="AK198">
        <v>0.31222631093790798</v>
      </c>
      <c r="AL198">
        <v>87.939751651442407</v>
      </c>
      <c r="AM198">
        <v>86.718876902812795</v>
      </c>
      <c r="AN198">
        <v>1.0000000361439301</v>
      </c>
    </row>
    <row r="199" spans="1:40" x14ac:dyDescent="0.25">
      <c r="A199" t="str">
        <f>"20190312154804587"</f>
        <v>20190312154804587</v>
      </c>
      <c r="B199" t="str">
        <f>"1552376884576181"</f>
        <v>1552376884576181</v>
      </c>
      <c r="C199" t="s">
        <v>40</v>
      </c>
      <c r="D199">
        <v>4.8251109999999997</v>
      </c>
      <c r="E199">
        <v>0.54331019999999997</v>
      </c>
      <c r="F199" t="s">
        <v>41</v>
      </c>
      <c r="G199">
        <v>-424.68860000000001</v>
      </c>
      <c r="H199">
        <v>0.76949330000000005</v>
      </c>
      <c r="I199">
        <v>367.02260000000001</v>
      </c>
      <c r="J199">
        <v>-425.27339999999998</v>
      </c>
      <c r="K199">
        <v>1.0602229999999999</v>
      </c>
      <c r="L199">
        <v>367.1746</v>
      </c>
      <c r="M199">
        <v>0.99988279999999996</v>
      </c>
      <c r="N199">
        <v>0</v>
      </c>
      <c r="O199">
        <v>6.0917879999999999E-4</v>
      </c>
      <c r="P199">
        <v>0.99815679999999996</v>
      </c>
      <c r="Q199">
        <v>2.139564E-2</v>
      </c>
      <c r="R199">
        <v>-5.6791000000000001E-2</v>
      </c>
      <c r="S199">
        <v>2.9973139999999998</v>
      </c>
      <c r="T199">
        <v>-0.91548240000000003</v>
      </c>
      <c r="U199">
        <v>-0.47763060000000002</v>
      </c>
      <c r="V199">
        <v>5.739727E-2</v>
      </c>
      <c r="W199">
        <v>3.6666589999999999E-2</v>
      </c>
      <c r="X199">
        <v>0.99767790000000001</v>
      </c>
      <c r="Y199">
        <v>0.15121279999999901</v>
      </c>
      <c r="Z199">
        <v>-2.2626340000000002E-2</v>
      </c>
      <c r="AA199">
        <v>0.98824230000000002</v>
      </c>
      <c r="AB199">
        <v>38</v>
      </c>
      <c r="AC199">
        <v>0.58479999999997201</v>
      </c>
      <c r="AD199">
        <v>-0.29072969999999898</v>
      </c>
      <c r="AE199">
        <v>-0.15199999999998601</v>
      </c>
      <c r="AF199">
        <v>0.123714834617833</v>
      </c>
      <c r="AG199">
        <v>-0.29072969999999898</v>
      </c>
      <c r="AH199">
        <v>0.47478826619429498</v>
      </c>
      <c r="AI199">
        <v>120.64885942895999</v>
      </c>
      <c r="AJ199">
        <v>75.395281449533201</v>
      </c>
      <c r="AK199">
        <v>0.57030957951133199</v>
      </c>
      <c r="AL199">
        <v>87.898688198376703</v>
      </c>
      <c r="AM199">
        <v>86.707353858020397</v>
      </c>
      <c r="AN199">
        <v>1.00000003878704</v>
      </c>
    </row>
    <row r="200" spans="1:40" x14ac:dyDescent="0.25">
      <c r="A200" t="str">
        <f>"20190312154804611"</f>
        <v>20190312154804611</v>
      </c>
      <c r="B200" t="str">
        <f>"1552376884606434"</f>
        <v>1552376884606434</v>
      </c>
      <c r="C200" t="s">
        <v>40</v>
      </c>
      <c r="D200">
        <v>4.7702150000000003</v>
      </c>
      <c r="E200">
        <v>0.54336180000000001</v>
      </c>
      <c r="F200" t="s">
        <v>41</v>
      </c>
      <c r="G200">
        <v>-424.34710000000001</v>
      </c>
      <c r="H200">
        <v>0.77868519999999997</v>
      </c>
      <c r="I200">
        <v>367.02640000000002</v>
      </c>
      <c r="J200">
        <v>-424.8854</v>
      </c>
      <c r="K200">
        <v>1.0601750000000001</v>
      </c>
      <c r="L200">
        <v>367.1748</v>
      </c>
      <c r="M200">
        <v>0.99988370000000004</v>
      </c>
      <c r="N200">
        <v>0</v>
      </c>
      <c r="O200">
        <v>6.4533329999999999E-4</v>
      </c>
      <c r="P200">
        <v>0.99812959999999995</v>
      </c>
      <c r="Q200">
        <v>2.1887779999999999E-2</v>
      </c>
      <c r="R200">
        <v>-5.7082630000000002E-2</v>
      </c>
      <c r="S200">
        <v>2.9978940000000001</v>
      </c>
      <c r="T200">
        <v>-0.91118940000000004</v>
      </c>
      <c r="U200">
        <v>-0.4781494</v>
      </c>
      <c r="V200">
        <v>5.7724989999999997E-2</v>
      </c>
      <c r="W200">
        <v>3.7106399999999998E-2</v>
      </c>
      <c r="X200">
        <v>0.99764269999999999</v>
      </c>
      <c r="Y200">
        <v>0.15143860000000001</v>
      </c>
      <c r="Z200">
        <v>-2.256439E-2</v>
      </c>
      <c r="AA200">
        <v>0.98820909999999995</v>
      </c>
      <c r="AB200">
        <v>38</v>
      </c>
      <c r="AC200">
        <v>0.53829999999999201</v>
      </c>
      <c r="AD200">
        <v>-0.28148980000000001</v>
      </c>
      <c r="AE200">
        <v>-0.14839999999998099</v>
      </c>
      <c r="AF200">
        <v>0.118605598315566</v>
      </c>
      <c r="AG200">
        <v>-0.28148980000000001</v>
      </c>
      <c r="AH200">
        <v>0.42914379469545899</v>
      </c>
      <c r="AI200">
        <v>122.30236347404301</v>
      </c>
      <c r="AJ200">
        <v>74.550410001558603</v>
      </c>
      <c r="AK200">
        <v>0.526752495942309</v>
      </c>
      <c r="AL200">
        <v>87.873471716397006</v>
      </c>
      <c r="AM200">
        <v>86.688479046001405</v>
      </c>
      <c r="AN200">
        <v>1.0000000081273701</v>
      </c>
    </row>
    <row r="201" spans="1:40" x14ac:dyDescent="0.25">
      <c r="A201" t="str">
        <f>"20190312154804632"</f>
        <v>20190312154804632</v>
      </c>
      <c r="B201" t="str">
        <f>"1552376884625955"</f>
        <v>1552376884625955</v>
      </c>
      <c r="C201" t="s">
        <v>40</v>
      </c>
      <c r="D201">
        <v>4.9748530000000004</v>
      </c>
      <c r="E201">
        <v>0.54332080000000005</v>
      </c>
      <c r="F201" t="s">
        <v>41</v>
      </c>
      <c r="G201">
        <v>-424.00380000000001</v>
      </c>
      <c r="H201">
        <v>0.79324030000000001</v>
      </c>
      <c r="I201">
        <v>367.03359999999998</v>
      </c>
      <c r="J201">
        <v>-424.51420000000002</v>
      </c>
      <c r="K201">
        <v>1.0601400000000001</v>
      </c>
      <c r="L201">
        <v>367.17509999999999</v>
      </c>
      <c r="M201">
        <v>0.99988440000000001</v>
      </c>
      <c r="N201">
        <v>0</v>
      </c>
      <c r="O201">
        <v>6.7988140000000005E-4</v>
      </c>
      <c r="P201">
        <v>0.99812679999999998</v>
      </c>
      <c r="Q201">
        <v>2.1935300000000001E-2</v>
      </c>
      <c r="R201">
        <v>-5.7116809999999997E-2</v>
      </c>
      <c r="S201">
        <v>2.998138</v>
      </c>
      <c r="T201">
        <v>-0.90763680000000002</v>
      </c>
      <c r="U201">
        <v>-0.48001100000000002</v>
      </c>
      <c r="V201">
        <v>5.7793490000000003E-2</v>
      </c>
      <c r="W201">
        <v>3.7109740000000002E-2</v>
      </c>
      <c r="X201">
        <v>0.99763860000000004</v>
      </c>
      <c r="Y201">
        <v>0.15208169999999999</v>
      </c>
      <c r="Z201">
        <v>-2.25822E-2</v>
      </c>
      <c r="AA201">
        <v>0.98810989999999999</v>
      </c>
      <c r="AB201">
        <v>38</v>
      </c>
      <c r="AC201">
        <v>0.51040000000000396</v>
      </c>
      <c r="AD201">
        <v>-0.26689969999999902</v>
      </c>
      <c r="AE201">
        <v>-0.14150000000000701</v>
      </c>
      <c r="AF201">
        <v>0.113121842908641</v>
      </c>
      <c r="AG201">
        <v>-0.26689969999999902</v>
      </c>
      <c r="AH201">
        <v>0.40696302130871298</v>
      </c>
      <c r="AI201">
        <v>122.287808942354</v>
      </c>
      <c r="AJ201">
        <v>74.465882930697703</v>
      </c>
      <c r="AK201">
        <v>0.49965077996121798</v>
      </c>
      <c r="AL201">
        <v>87.873280195584201</v>
      </c>
      <c r="AM201">
        <v>86.684544558808796</v>
      </c>
      <c r="AN201">
        <v>0.99999999824960295</v>
      </c>
    </row>
    <row r="202" spans="1:40" x14ac:dyDescent="0.25">
      <c r="A202" t="str">
        <f>"20190312154804656"</f>
        <v>20190312154804656</v>
      </c>
      <c r="B202" t="str">
        <f>"1552376884646450"</f>
        <v>1552376884646450</v>
      </c>
      <c r="C202" t="s">
        <v>40</v>
      </c>
      <c r="D202">
        <v>4.7789950000000001</v>
      </c>
      <c r="E202">
        <v>0.53833390000000003</v>
      </c>
      <c r="F202" t="s">
        <v>41</v>
      </c>
      <c r="G202">
        <v>-423.6628</v>
      </c>
      <c r="H202">
        <v>0.80276049999999999</v>
      </c>
      <c r="I202">
        <v>367.03859999999997</v>
      </c>
      <c r="J202">
        <v>-424.12920000000003</v>
      </c>
      <c r="K202">
        <v>1.0601119999999999</v>
      </c>
      <c r="L202">
        <v>367.17540000000002</v>
      </c>
      <c r="M202">
        <v>0.99988489999999997</v>
      </c>
      <c r="N202">
        <v>0</v>
      </c>
      <c r="O202">
        <v>7.1559809999999897E-4</v>
      </c>
      <c r="P202">
        <v>0.99808200000000002</v>
      </c>
      <c r="Q202">
        <v>2.243651E-2</v>
      </c>
      <c r="R202">
        <v>-5.770078E-2</v>
      </c>
      <c r="S202">
        <v>2.9980769999999999</v>
      </c>
      <c r="T202">
        <v>-0.90631539999999999</v>
      </c>
      <c r="U202">
        <v>-0.48001100000000002</v>
      </c>
      <c r="V202">
        <v>5.8412980000000003E-2</v>
      </c>
      <c r="W202">
        <v>3.7568619999999997E-2</v>
      </c>
      <c r="X202">
        <v>0.99758539999999996</v>
      </c>
      <c r="Y202">
        <v>0.15213499999999999</v>
      </c>
      <c r="Z202">
        <v>-2.2569479999999999E-2</v>
      </c>
      <c r="AA202">
        <v>0.98810200000000004</v>
      </c>
      <c r="AB202">
        <v>38</v>
      </c>
      <c r="AC202">
        <v>0.46640000000002102</v>
      </c>
      <c r="AD202">
        <v>-0.25735150000000001</v>
      </c>
      <c r="AE202">
        <v>-0.13680000000004999</v>
      </c>
      <c r="AF202">
        <v>0.107106811058714</v>
      </c>
      <c r="AG202">
        <v>-0.25735150000000001</v>
      </c>
      <c r="AH202">
        <v>0.364200020631607</v>
      </c>
      <c r="AI202">
        <v>124.13387843721399</v>
      </c>
      <c r="AJ202">
        <v>73.612029546109994</v>
      </c>
      <c r="AK202">
        <v>0.45863200777473001</v>
      </c>
      <c r="AL202">
        <v>87.846970080354794</v>
      </c>
      <c r="AM202">
        <v>86.648908363072394</v>
      </c>
      <c r="AN202">
        <v>1.0000000538671701</v>
      </c>
    </row>
    <row r="203" spans="1:40" x14ac:dyDescent="0.25">
      <c r="A203" t="str">
        <f>"20190312154804690"</f>
        <v>20190312154804690</v>
      </c>
      <c r="B203" t="str">
        <f>"1552376884686466"</f>
        <v>1552376884686466</v>
      </c>
      <c r="C203" t="s">
        <v>40</v>
      </c>
      <c r="D203">
        <v>4.6158159999999997</v>
      </c>
      <c r="E203">
        <v>0.5386088</v>
      </c>
      <c r="F203" t="s">
        <v>41</v>
      </c>
      <c r="G203">
        <v>-423.3073</v>
      </c>
      <c r="H203">
        <v>0.84736139999999904</v>
      </c>
      <c r="I203">
        <v>367.05259999999998</v>
      </c>
      <c r="J203">
        <v>-423.56450000000001</v>
      </c>
      <c r="K203">
        <v>1.060084</v>
      </c>
      <c r="L203">
        <v>367.17579999999998</v>
      </c>
      <c r="M203">
        <v>0.99988569999999999</v>
      </c>
      <c r="N203">
        <v>0</v>
      </c>
      <c r="O203">
        <v>7.6802520000000005E-4</v>
      </c>
      <c r="P203">
        <v>0.99809720000000002</v>
      </c>
      <c r="Q203">
        <v>2.311759E-2</v>
      </c>
      <c r="R203">
        <v>-5.7167250000000003E-2</v>
      </c>
      <c r="S203">
        <v>2.9973749999999999</v>
      </c>
      <c r="T203">
        <v>-0.77584209999999998</v>
      </c>
      <c r="U203">
        <v>-0.4472351</v>
      </c>
      <c r="V203">
        <v>5.7931679999999999E-2</v>
      </c>
      <c r="W203">
        <v>3.8197120000000001E-2</v>
      </c>
      <c r="X203">
        <v>0.99758950000000002</v>
      </c>
      <c r="Y203">
        <v>0.14367639999999901</v>
      </c>
      <c r="Z203">
        <v>-1.8391810000000001E-2</v>
      </c>
      <c r="AA203">
        <v>0.98945380000000005</v>
      </c>
      <c r="AB203">
        <v>38</v>
      </c>
      <c r="AC203">
        <v>0.25720000000001098</v>
      </c>
      <c r="AD203">
        <v>-0.21272260000000001</v>
      </c>
      <c r="AE203">
        <v>-0.12319999999999701</v>
      </c>
      <c r="AF203">
        <v>7.9284660273802404E-2</v>
      </c>
      <c r="AG203">
        <v>-0.21272260000000001</v>
      </c>
      <c r="AH203">
        <v>0.16519380136359199</v>
      </c>
      <c r="AI203">
        <v>139.25905366724601</v>
      </c>
      <c r="AJ203">
        <v>64.361352073258601</v>
      </c>
      <c r="AK203">
        <v>0.28075960164248298</v>
      </c>
      <c r="AL203">
        <v>87.810933600464494</v>
      </c>
      <c r="AM203">
        <v>86.676471517341099</v>
      </c>
      <c r="AN203">
        <v>0.99999995501708205</v>
      </c>
    </row>
    <row r="204" spans="1:40" x14ac:dyDescent="0.25">
      <c r="A204" t="str">
        <f>"20190312154804710"</f>
        <v>20190312154804710</v>
      </c>
      <c r="B204" t="str">
        <f>"1552376884705986"</f>
        <v>1552376884705986</v>
      </c>
      <c r="C204" t="s">
        <v>40</v>
      </c>
      <c r="D204">
        <v>4.6129989999999896</v>
      </c>
      <c r="E204">
        <v>0.53886529999999999</v>
      </c>
      <c r="F204" t="s">
        <v>41</v>
      </c>
      <c r="G204">
        <v>-422.6447</v>
      </c>
      <c r="H204">
        <v>0.82331379999999998</v>
      </c>
      <c r="I204">
        <v>367.03829999999999</v>
      </c>
      <c r="J204">
        <v>-423.20080000000002</v>
      </c>
      <c r="K204">
        <v>1.060068</v>
      </c>
      <c r="L204">
        <v>367.17619999999999</v>
      </c>
      <c r="M204">
        <v>0.99988619999999995</v>
      </c>
      <c r="N204">
        <v>0</v>
      </c>
      <c r="O204">
        <v>8.0144210000000001E-4</v>
      </c>
      <c r="P204">
        <v>0.99811070000000002</v>
      </c>
      <c r="Q204">
        <v>2.3340699999999999E-2</v>
      </c>
      <c r="R204">
        <v>-5.6838130000000001E-2</v>
      </c>
      <c r="S204">
        <v>2.9979550000000001</v>
      </c>
      <c r="T204">
        <v>-0.77164569999999999</v>
      </c>
      <c r="U204">
        <v>-0.44805909999999899</v>
      </c>
      <c r="V204">
        <v>5.7636180000000002E-2</v>
      </c>
      <c r="W204">
        <v>3.8390559999999997E-2</v>
      </c>
      <c r="X204">
        <v>0.99759920000000002</v>
      </c>
      <c r="Y204">
        <v>0.143988</v>
      </c>
      <c r="Z204">
        <v>-1.8339359999999999E-2</v>
      </c>
      <c r="AA204">
        <v>0.98940950000000005</v>
      </c>
      <c r="AB204">
        <v>38</v>
      </c>
      <c r="AC204">
        <v>0.55610000000001403</v>
      </c>
      <c r="AD204">
        <v>-0.236754199999999</v>
      </c>
      <c r="AE204">
        <v>-0.13790000000000099</v>
      </c>
      <c r="AF204">
        <v>0.11816795605493401</v>
      </c>
      <c r="AG204">
        <v>-0.236754199999999</v>
      </c>
      <c r="AH204">
        <v>0.47489819755483198</v>
      </c>
      <c r="AI204">
        <v>115.816991428736</v>
      </c>
      <c r="AJ204">
        <v>76.026975991659896</v>
      </c>
      <c r="AK204">
        <v>0.54364006023900502</v>
      </c>
      <c r="AL204">
        <v>87.799842189011599</v>
      </c>
      <c r="AM204">
        <v>86.693418658253506</v>
      </c>
      <c r="AN204">
        <v>0.99999996409137204</v>
      </c>
    </row>
    <row r="205" spans="1:40" x14ac:dyDescent="0.25">
      <c r="A205" t="str">
        <f>"20190312154804732"</f>
        <v>20190312154804732</v>
      </c>
      <c r="B205" t="str">
        <f>"1552376884726482"</f>
        <v>1552376884726482</v>
      </c>
      <c r="C205" t="s">
        <v>40</v>
      </c>
      <c r="D205">
        <v>4.5643089999999997</v>
      </c>
      <c r="E205">
        <v>0.53875680000000004</v>
      </c>
      <c r="F205" t="s">
        <v>41</v>
      </c>
      <c r="G205">
        <v>-422.30650000000003</v>
      </c>
      <c r="H205">
        <v>0.82976870000000003</v>
      </c>
      <c r="I205">
        <v>367.0419</v>
      </c>
      <c r="J205">
        <v>-422.83600000000001</v>
      </c>
      <c r="K205">
        <v>1.0600540000000001</v>
      </c>
      <c r="L205">
        <v>367.17649999999998</v>
      </c>
      <c r="M205">
        <v>0.99988650000000001</v>
      </c>
      <c r="N205">
        <v>0</v>
      </c>
      <c r="O205">
        <v>8.3549130000000005E-4</v>
      </c>
      <c r="P205">
        <v>0.99812210000000001</v>
      </c>
      <c r="Q205">
        <v>2.3460399999999999E-2</v>
      </c>
      <c r="R205">
        <v>-5.6591570000000001E-2</v>
      </c>
      <c r="S205">
        <v>2.9981689999999999</v>
      </c>
      <c r="T205">
        <v>-0.77213549999999997</v>
      </c>
      <c r="U205">
        <v>-0.44915769999999999</v>
      </c>
      <c r="V205">
        <v>5.742336E-2</v>
      </c>
      <c r="W205">
        <v>3.8484440000000002E-2</v>
      </c>
      <c r="X205">
        <v>0.99760789999999999</v>
      </c>
      <c r="Y205">
        <v>0.14434849999999999</v>
      </c>
      <c r="Z205">
        <v>-1.8402930000000001E-2</v>
      </c>
      <c r="AA205">
        <v>0.98935569999999895</v>
      </c>
      <c r="AB205">
        <v>38</v>
      </c>
      <c r="AC205">
        <v>0.52949999999998398</v>
      </c>
      <c r="AD205">
        <v>-0.2302853</v>
      </c>
      <c r="AE205">
        <v>-0.13459999999997699</v>
      </c>
      <c r="AF205">
        <v>0.11466943740669799</v>
      </c>
      <c r="AG205">
        <v>-0.2302853</v>
      </c>
      <c r="AH205">
        <v>0.44952215734134499</v>
      </c>
      <c r="AI205">
        <v>116.39948062586799</v>
      </c>
      <c r="AJ205">
        <v>75.689507111933693</v>
      </c>
      <c r="AK205">
        <v>0.517929116011135</v>
      </c>
      <c r="AL205">
        <v>87.794459380585593</v>
      </c>
      <c r="AM205">
        <v>86.705629843306795</v>
      </c>
      <c r="AN205">
        <v>1.0000000082691001</v>
      </c>
    </row>
    <row r="206" spans="1:40" x14ac:dyDescent="0.25">
      <c r="A206" t="str">
        <f>"20190312154804754"</f>
        <v>20190312154804754</v>
      </c>
      <c r="B206" t="str">
        <f>"1552376884746002"</f>
        <v>1552376884746002</v>
      </c>
      <c r="C206" t="s">
        <v>40</v>
      </c>
      <c r="D206">
        <v>4.5496660000000002</v>
      </c>
      <c r="E206">
        <v>0.53881069999999998</v>
      </c>
      <c r="F206" t="s">
        <v>41</v>
      </c>
      <c r="G206">
        <v>-421.96820000000002</v>
      </c>
      <c r="H206">
        <v>0.83738210000000002</v>
      </c>
      <c r="I206">
        <v>367.04700000000003</v>
      </c>
      <c r="J206">
        <v>-422.46129999999999</v>
      </c>
      <c r="K206">
        <v>1.0600430000000001</v>
      </c>
      <c r="L206">
        <v>367.17680000000001</v>
      </c>
      <c r="M206">
        <v>0.99988679999999996</v>
      </c>
      <c r="N206">
        <v>0</v>
      </c>
      <c r="O206">
        <v>8.7024170000000003E-4</v>
      </c>
      <c r="P206">
        <v>0.99813019999999997</v>
      </c>
      <c r="Q206">
        <v>2.3465159999999999E-2</v>
      </c>
      <c r="R206">
        <v>-5.6442699999999998E-2</v>
      </c>
      <c r="S206">
        <v>2.9983520000000001</v>
      </c>
      <c r="T206">
        <v>-0.769347</v>
      </c>
      <c r="U206">
        <v>-0.44699100000000003</v>
      </c>
      <c r="V206">
        <v>5.7309359999999997E-2</v>
      </c>
      <c r="W206">
        <v>3.8464900000000003E-2</v>
      </c>
      <c r="X206">
        <v>0.99761520000000004</v>
      </c>
      <c r="Y206">
        <v>0.1437262</v>
      </c>
      <c r="Z206">
        <v>-1.8268949999999999E-2</v>
      </c>
      <c r="AA206">
        <v>0.98944880000000002</v>
      </c>
      <c r="AB206">
        <v>38</v>
      </c>
      <c r="AC206">
        <v>0.49309999999996901</v>
      </c>
      <c r="AD206">
        <v>-0.22266089999999999</v>
      </c>
      <c r="AE206">
        <v>-0.12980000000004499</v>
      </c>
      <c r="AF206">
        <v>0.10937305884232899</v>
      </c>
      <c r="AG206">
        <v>-0.22266089999999999</v>
      </c>
      <c r="AH206">
        <v>0.41403551593765298</v>
      </c>
      <c r="AI206">
        <v>117.47201829300801</v>
      </c>
      <c r="AJ206">
        <v>75.202566816398203</v>
      </c>
      <c r="AK206">
        <v>0.48266525755133499</v>
      </c>
      <c r="AL206">
        <v>87.795579749830907</v>
      </c>
      <c r="AM206">
        <v>86.712179651142193</v>
      </c>
      <c r="AN206">
        <v>0.99999999927332905</v>
      </c>
    </row>
    <row r="207" spans="1:40" x14ac:dyDescent="0.25">
      <c r="A207" t="str">
        <f>"20190312154804777"</f>
        <v>20190312154804777</v>
      </c>
      <c r="B207" t="str">
        <f>"1552376884766501"</f>
        <v>1552376884766501</v>
      </c>
      <c r="C207" t="s">
        <v>40</v>
      </c>
      <c r="D207">
        <v>4.5238149999999999</v>
      </c>
      <c r="E207">
        <v>0.53882319999999995</v>
      </c>
      <c r="F207" t="s">
        <v>41</v>
      </c>
      <c r="G207">
        <v>-421.62959999999998</v>
      </c>
      <c r="H207">
        <v>0.84648919999999905</v>
      </c>
      <c r="I207">
        <v>367.05250000000001</v>
      </c>
      <c r="J207">
        <v>-422.08640000000003</v>
      </c>
      <c r="K207">
        <v>1.0600369999999999</v>
      </c>
      <c r="L207">
        <v>367.17720000000003</v>
      </c>
      <c r="M207">
        <v>0.99988699999999997</v>
      </c>
      <c r="N207">
        <v>0</v>
      </c>
      <c r="O207">
        <v>9.0497370000000002E-4</v>
      </c>
      <c r="P207">
        <v>0.99811729999999999</v>
      </c>
      <c r="Q207">
        <v>2.3862270000000001E-2</v>
      </c>
      <c r="R207">
        <v>-5.650529E-2</v>
      </c>
      <c r="S207">
        <v>2.9984440000000001</v>
      </c>
      <c r="T207">
        <v>-0.76991549999999997</v>
      </c>
      <c r="U207">
        <v>-0.44729609999999898</v>
      </c>
      <c r="V207">
        <v>5.7406520000000003E-2</v>
      </c>
      <c r="W207">
        <v>3.8839890000000002E-2</v>
      </c>
      <c r="X207">
        <v>0.99759509999999996</v>
      </c>
      <c r="Y207">
        <v>0.14384350000000001</v>
      </c>
      <c r="Z207">
        <v>-1.8304839999999999E-2</v>
      </c>
      <c r="AA207">
        <v>0.98943110000000001</v>
      </c>
      <c r="AB207">
        <v>37</v>
      </c>
      <c r="AC207">
        <v>0.456800000000043</v>
      </c>
      <c r="AD207">
        <v>-0.21354780000000001</v>
      </c>
      <c r="AE207">
        <v>-0.124700000000018</v>
      </c>
      <c r="AF207">
        <v>0.103967716543482</v>
      </c>
      <c r="AG207">
        <v>-0.21354780000000001</v>
      </c>
      <c r="AH207">
        <v>0.37950134935892099</v>
      </c>
      <c r="AI207">
        <v>118.489067607967</v>
      </c>
      <c r="AJ207">
        <v>74.679228039196502</v>
      </c>
      <c r="AK207">
        <v>0.44769769167748402</v>
      </c>
      <c r="AL207">
        <v>87.774078371752296</v>
      </c>
      <c r="AM207">
        <v>86.706551660609605</v>
      </c>
      <c r="AN207">
        <v>1.0000000145688599</v>
      </c>
    </row>
    <row r="208" spans="1:40" x14ac:dyDescent="0.25">
      <c r="A208" t="str">
        <f>"20190312154804800"</f>
        <v>20190312154804800</v>
      </c>
      <c r="B208" t="str">
        <f>"1552376884796753"</f>
        <v>1552376884796753</v>
      </c>
      <c r="C208" t="s">
        <v>40</v>
      </c>
      <c r="D208">
        <v>4.5203810000000004</v>
      </c>
      <c r="E208">
        <v>0.53894809999999904</v>
      </c>
      <c r="F208" t="s">
        <v>41</v>
      </c>
      <c r="G208">
        <v>-421.29129999999998</v>
      </c>
      <c r="H208">
        <v>0.85624100000000003</v>
      </c>
      <c r="I208">
        <v>367.05860000000001</v>
      </c>
      <c r="J208">
        <v>-421.70800000000003</v>
      </c>
      <c r="K208">
        <v>1.0600320000000001</v>
      </c>
      <c r="L208">
        <v>367.17759999999998</v>
      </c>
      <c r="M208">
        <v>0.99988730000000003</v>
      </c>
      <c r="N208">
        <v>0</v>
      </c>
      <c r="O208">
        <v>9.401654E-4</v>
      </c>
      <c r="P208">
        <v>0.99808520000000001</v>
      </c>
      <c r="Q208">
        <v>2.4291259999999999E-2</v>
      </c>
      <c r="R208">
        <v>-5.6888429999999997E-2</v>
      </c>
      <c r="S208">
        <v>2.9987180000000002</v>
      </c>
      <c r="T208">
        <v>-0.76851639999999999</v>
      </c>
      <c r="U208">
        <v>-0.44741819999999999</v>
      </c>
      <c r="V208">
        <v>5.7824790000000001E-2</v>
      </c>
      <c r="W208">
        <v>3.924822E-2</v>
      </c>
      <c r="X208">
        <v>0.99755499999999997</v>
      </c>
      <c r="Y208">
        <v>0.1439182</v>
      </c>
      <c r="Z208">
        <v>-1.8289150000000001E-2</v>
      </c>
      <c r="AA208">
        <v>0.98942059999999998</v>
      </c>
      <c r="AB208">
        <v>37</v>
      </c>
      <c r="AC208">
        <v>0.41670000000004798</v>
      </c>
      <c r="AD208">
        <v>-0.203790999999999</v>
      </c>
      <c r="AE208">
        <v>-0.118999999999971</v>
      </c>
      <c r="AF208">
        <v>9.7770437287291401E-2</v>
      </c>
      <c r="AG208">
        <v>-0.203790999999999</v>
      </c>
      <c r="AH208">
        <v>0.34114568738870799</v>
      </c>
      <c r="AI208">
        <v>119.86677467005001</v>
      </c>
      <c r="AJ208">
        <v>74.007994888337905</v>
      </c>
      <c r="AK208">
        <v>0.40923124283497903</v>
      </c>
      <c r="AL208">
        <v>87.750665021072706</v>
      </c>
      <c r="AM208">
        <v>86.682475591073299</v>
      </c>
      <c r="AN208">
        <v>1.00000005356835</v>
      </c>
    </row>
    <row r="209" spans="1:40" x14ac:dyDescent="0.25">
      <c r="A209" t="str">
        <f>"20190312154804821"</f>
        <v>20190312154804821</v>
      </c>
      <c r="B209" t="str">
        <f>"1552376884816274"</f>
        <v>1552376884816274</v>
      </c>
      <c r="C209" t="s">
        <v>40</v>
      </c>
      <c r="D209">
        <v>4.5107720000000002</v>
      </c>
      <c r="E209">
        <v>0.5390781</v>
      </c>
      <c r="F209" t="s">
        <v>41</v>
      </c>
      <c r="G209">
        <v>-420.95260000000002</v>
      </c>
      <c r="H209">
        <v>0.8671468</v>
      </c>
      <c r="I209">
        <v>367.06380000000001</v>
      </c>
      <c r="J209">
        <v>-421.35</v>
      </c>
      <c r="K209">
        <v>1.06003</v>
      </c>
      <c r="L209">
        <v>367.178</v>
      </c>
      <c r="M209">
        <v>0.99988750000000004</v>
      </c>
      <c r="N209">
        <v>0</v>
      </c>
      <c r="O209">
        <v>9.7331079999999996E-4</v>
      </c>
      <c r="P209">
        <v>0.9980386</v>
      </c>
      <c r="Q209">
        <v>2.5091200000000001E-2</v>
      </c>
      <c r="R209">
        <v>-5.735171E-2</v>
      </c>
      <c r="S209">
        <v>2.9987490000000001</v>
      </c>
      <c r="T209">
        <v>-0.76579430000000004</v>
      </c>
      <c r="U209">
        <v>-0.4501038</v>
      </c>
      <c r="V209">
        <v>5.8321249999999998E-2</v>
      </c>
      <c r="W209">
        <v>4.0030580000000003E-2</v>
      </c>
      <c r="X209">
        <v>0.99749489999999996</v>
      </c>
      <c r="Y209">
        <v>0.14481959999999999</v>
      </c>
      <c r="Z209">
        <v>-1.834599E-2</v>
      </c>
      <c r="AA209">
        <v>0.98928799999999995</v>
      </c>
      <c r="AB209">
        <v>37</v>
      </c>
      <c r="AC209">
        <v>0.39740000000000397</v>
      </c>
      <c r="AD209">
        <v>-0.19288319999999901</v>
      </c>
      <c r="AE209">
        <v>-0.11420000000003901</v>
      </c>
      <c r="AF209">
        <v>9.4108179746378695E-2</v>
      </c>
      <c r="AG209">
        <v>-0.19288319999999901</v>
      </c>
      <c r="AH209">
        <v>0.32628642204070302</v>
      </c>
      <c r="AI209">
        <v>119.59630855200299</v>
      </c>
      <c r="AJ209">
        <v>73.911275470663298</v>
      </c>
      <c r="AK209">
        <v>0.39054206885499598</v>
      </c>
      <c r="AL209">
        <v>87.705803589635295</v>
      </c>
      <c r="AM209">
        <v>86.653855983174793</v>
      </c>
      <c r="AN209">
        <v>0.99999994553135196</v>
      </c>
    </row>
    <row r="210" spans="1:40" x14ac:dyDescent="0.25">
      <c r="A210" t="str">
        <f>"20190312154804844"</f>
        <v>20190312154804844</v>
      </c>
      <c r="B210" t="str">
        <f>"1552376884836690"</f>
        <v>1552376884836690</v>
      </c>
      <c r="C210" t="s">
        <v>40</v>
      </c>
      <c r="D210">
        <v>4.4359209999999996</v>
      </c>
      <c r="E210">
        <v>0.54133189999999998</v>
      </c>
      <c r="F210" t="s">
        <v>41</v>
      </c>
      <c r="G210">
        <v>-420.61619999999999</v>
      </c>
      <c r="H210">
        <v>0.87327540000000003</v>
      </c>
      <c r="I210">
        <v>367.0675</v>
      </c>
      <c r="J210">
        <v>-420.97</v>
      </c>
      <c r="K210">
        <v>1.06003</v>
      </c>
      <c r="L210">
        <v>367.17840000000001</v>
      </c>
      <c r="M210">
        <v>0.99988779999999999</v>
      </c>
      <c r="N210">
        <v>0</v>
      </c>
      <c r="O210">
        <v>1.0082979999999999E-3</v>
      </c>
      <c r="P210">
        <v>0.99803679999999995</v>
      </c>
      <c r="Q210">
        <v>2.5115780000000001E-2</v>
      </c>
      <c r="R210">
        <v>-5.7377009999999999E-2</v>
      </c>
      <c r="S210">
        <v>2.9991460000000001</v>
      </c>
      <c r="T210">
        <v>-0.76328980000000002</v>
      </c>
      <c r="U210">
        <v>-0.45193480000000003</v>
      </c>
      <c r="V210">
        <v>5.8381229999999999E-2</v>
      </c>
      <c r="W210">
        <v>4.0039159999999997E-2</v>
      </c>
      <c r="X210">
        <v>0.99749109999999996</v>
      </c>
      <c r="Y210">
        <v>0.14543629999999999</v>
      </c>
      <c r="Z210">
        <v>-1.8370270000000001E-2</v>
      </c>
      <c r="AA210">
        <v>0.98919710000000005</v>
      </c>
      <c r="AB210">
        <v>37</v>
      </c>
      <c r="AC210">
        <v>0.35380000000003498</v>
      </c>
      <c r="AD210">
        <v>-0.18675459999999999</v>
      </c>
      <c r="AE210">
        <v>-0.110900000000015</v>
      </c>
      <c r="AF210">
        <v>8.8742533780675301E-2</v>
      </c>
      <c r="AG210">
        <v>-0.18675459999999999</v>
      </c>
      <c r="AH210">
        <v>0.28211480948079198</v>
      </c>
      <c r="AI210">
        <v>122.271414704911</v>
      </c>
      <c r="AJ210">
        <v>72.538417761618405</v>
      </c>
      <c r="AK210">
        <v>0.34977318886866898</v>
      </c>
      <c r="AL210">
        <v>87.705311718911901</v>
      </c>
      <c r="AM210">
        <v>86.6504097696602</v>
      </c>
      <c r="AN210">
        <v>0.99999999846451404</v>
      </c>
    </row>
    <row r="211" spans="1:40" x14ac:dyDescent="0.25">
      <c r="A211" t="str">
        <f>"20190312154804867"</f>
        <v>20190312154804867</v>
      </c>
      <c r="B211" t="str">
        <f>"1552376884856210"</f>
        <v>1552376884856210</v>
      </c>
      <c r="C211" t="s">
        <v>40</v>
      </c>
      <c r="D211">
        <v>4.4678620000000002</v>
      </c>
      <c r="E211">
        <v>0.54274429999999996</v>
      </c>
      <c r="F211" t="s">
        <v>41</v>
      </c>
      <c r="G211">
        <v>-420.28269999999998</v>
      </c>
      <c r="H211">
        <v>0.87375579999999997</v>
      </c>
      <c r="I211">
        <v>367.07080000000002</v>
      </c>
      <c r="J211">
        <v>-420.58030000000002</v>
      </c>
      <c r="K211">
        <v>1.0600210000000001</v>
      </c>
      <c r="L211">
        <v>367.17880000000002</v>
      </c>
      <c r="M211">
        <v>0.99988790000000005</v>
      </c>
      <c r="N211">
        <v>0</v>
      </c>
      <c r="O211">
        <v>1.04476E-3</v>
      </c>
      <c r="P211">
        <v>0.99800259999999996</v>
      </c>
      <c r="Q211">
        <v>2.5735250000000001E-2</v>
      </c>
      <c r="R211">
        <v>-5.7693899999999999E-2</v>
      </c>
      <c r="S211">
        <v>2.9994809999999998</v>
      </c>
      <c r="T211">
        <v>-0.81304339999999997</v>
      </c>
      <c r="U211">
        <v>-0.46807860000000001</v>
      </c>
      <c r="V211">
        <v>5.8734689999999999E-2</v>
      </c>
      <c r="W211">
        <v>4.0643289999999999E-2</v>
      </c>
      <c r="X211">
        <v>0.9974459</v>
      </c>
      <c r="Y211">
        <v>0.14989949999999999</v>
      </c>
      <c r="Z211">
        <v>-2.0118649999999998E-2</v>
      </c>
      <c r="AA211">
        <v>0.9884965</v>
      </c>
      <c r="AB211">
        <v>37</v>
      </c>
      <c r="AC211">
        <v>0.297600000000045</v>
      </c>
      <c r="AD211">
        <v>-0.18626519999999899</v>
      </c>
      <c r="AE211">
        <v>-0.108000000000004</v>
      </c>
      <c r="AF211">
        <v>8.0459637582236301E-2</v>
      </c>
      <c r="AG211">
        <v>-0.18626519999999899</v>
      </c>
      <c r="AH211">
        <v>0.22099065086754699</v>
      </c>
      <c r="AI211">
        <v>128.37936993289199</v>
      </c>
      <c r="AJ211">
        <v>69.994135110487704</v>
      </c>
      <c r="AK211">
        <v>0.30000890950397902</v>
      </c>
      <c r="AL211">
        <v>87.670669380812498</v>
      </c>
      <c r="AM211">
        <v>86.630024441107494</v>
      </c>
      <c r="AN211">
        <v>0.99999998212911401</v>
      </c>
    </row>
    <row r="212" spans="1:40" x14ac:dyDescent="0.25">
      <c r="A212" t="str">
        <f>"20190312154804890"</f>
        <v>20190312154804890</v>
      </c>
      <c r="B212" t="str">
        <f>"1552376884886466"</f>
        <v>1552376884886466</v>
      </c>
      <c r="C212" t="s">
        <v>40</v>
      </c>
      <c r="D212">
        <v>4.4752599999999996</v>
      </c>
      <c r="E212">
        <v>0.5425584</v>
      </c>
      <c r="F212" t="s">
        <v>41</v>
      </c>
      <c r="G212">
        <v>-419.6454</v>
      </c>
      <c r="H212">
        <v>0.80437590000000003</v>
      </c>
      <c r="I212">
        <v>367.0292</v>
      </c>
      <c r="J212">
        <v>-420.21390000000002</v>
      </c>
      <c r="K212">
        <v>1.060019</v>
      </c>
      <c r="L212">
        <v>367.17919999999998</v>
      </c>
      <c r="M212">
        <v>0.99988809999999995</v>
      </c>
      <c r="N212">
        <v>0</v>
      </c>
      <c r="O212">
        <v>1.078592E-3</v>
      </c>
      <c r="P212">
        <v>0.9979943</v>
      </c>
      <c r="Q212">
        <v>2.6035840000000001E-2</v>
      </c>
      <c r="R212">
        <v>-5.7702400000000001E-2</v>
      </c>
      <c r="S212">
        <v>2.9994510000000001</v>
      </c>
      <c r="T212">
        <v>-0.820213999999999</v>
      </c>
      <c r="U212">
        <v>-0.4794312</v>
      </c>
      <c r="V212">
        <v>5.8776879999999997E-2</v>
      </c>
      <c r="W212">
        <v>4.0930580000000001E-2</v>
      </c>
      <c r="X212">
        <v>0.99743170000000003</v>
      </c>
      <c r="Y212">
        <v>0.15336929999999999</v>
      </c>
      <c r="Z212">
        <v>-2.07566E-2</v>
      </c>
      <c r="AA212">
        <v>0.98795089999999997</v>
      </c>
      <c r="AB212">
        <v>37</v>
      </c>
      <c r="AC212">
        <v>0.56850000000002798</v>
      </c>
      <c r="AD212">
        <v>-0.25564310000000001</v>
      </c>
      <c r="AE212">
        <v>-0.14999999999997701</v>
      </c>
      <c r="AF212">
        <v>0.12666671703166199</v>
      </c>
      <c r="AG212">
        <v>-0.25564310000000001</v>
      </c>
      <c r="AH212">
        <v>0.477976100744612</v>
      </c>
      <c r="AI212">
        <v>117.338916315182</v>
      </c>
      <c r="AJ212">
        <v>75.157431286824902</v>
      </c>
      <c r="AK212">
        <v>0.55664980433322098</v>
      </c>
      <c r="AL212">
        <v>87.654195244570801</v>
      </c>
      <c r="AM212">
        <v>86.6275614221978</v>
      </c>
      <c r="AN212">
        <v>1.00000001508328</v>
      </c>
    </row>
    <row r="213" spans="1:40" x14ac:dyDescent="0.25">
      <c r="A213" t="str">
        <f>"20190312154804910"</f>
        <v>20190312154804910</v>
      </c>
      <c r="B213" t="str">
        <f>"1552376884905987"</f>
        <v>1552376884905987</v>
      </c>
      <c r="C213" t="s">
        <v>40</v>
      </c>
      <c r="D213">
        <v>4.4804259999999996</v>
      </c>
      <c r="E213">
        <v>0.54245929999999998</v>
      </c>
      <c r="F213" t="s">
        <v>41</v>
      </c>
      <c r="G213">
        <v>-419.31</v>
      </c>
      <c r="H213">
        <v>0.81260480000000002</v>
      </c>
      <c r="I213">
        <v>367.03500000000003</v>
      </c>
      <c r="J213">
        <v>-419.85329999999999</v>
      </c>
      <c r="K213">
        <v>1.0600160000000001</v>
      </c>
      <c r="L213">
        <v>367.17959999999999</v>
      </c>
      <c r="M213">
        <v>0.9998882</v>
      </c>
      <c r="N213">
        <v>0</v>
      </c>
      <c r="O213">
        <v>1.1121709999999999E-3</v>
      </c>
      <c r="P213">
        <v>0.99800650000000002</v>
      </c>
      <c r="Q213">
        <v>2.6105719999999999E-2</v>
      </c>
      <c r="R213">
        <v>-5.7460289999999997E-2</v>
      </c>
      <c r="S213">
        <v>2.9998170000000002</v>
      </c>
      <c r="T213">
        <v>-0.82105049999999902</v>
      </c>
      <c r="U213">
        <v>-0.47808840000000002</v>
      </c>
      <c r="V213">
        <v>5.8568370000000002E-2</v>
      </c>
      <c r="W213">
        <v>4.098918E-2</v>
      </c>
      <c r="X213">
        <v>0.99744149999999998</v>
      </c>
      <c r="Y213">
        <v>0.1529557</v>
      </c>
      <c r="Z213">
        <v>-2.0729029999999999E-2</v>
      </c>
      <c r="AA213">
        <v>0.98801559999999999</v>
      </c>
      <c r="AB213">
        <v>37</v>
      </c>
      <c r="AC213">
        <v>0.54329999999998702</v>
      </c>
      <c r="AD213">
        <v>-0.2474112</v>
      </c>
      <c r="AE213">
        <v>-0.144599999999968</v>
      </c>
      <c r="AF213">
        <v>0.12164638693712899</v>
      </c>
      <c r="AG213">
        <v>-0.2474112</v>
      </c>
      <c r="AH213">
        <v>0.45502035471553198</v>
      </c>
      <c r="AI213">
        <v>117.712440173551</v>
      </c>
      <c r="AJ213">
        <v>75.0324246288084</v>
      </c>
      <c r="AK213">
        <v>0.53202788324085604</v>
      </c>
      <c r="AL213">
        <v>87.650834753930098</v>
      </c>
      <c r="AM213">
        <v>86.639530566715493</v>
      </c>
      <c r="AN213">
        <v>0.99999995638188799</v>
      </c>
    </row>
    <row r="214" spans="1:40" x14ac:dyDescent="0.25">
      <c r="A214" t="str">
        <f>"20190312154804933"</f>
        <v>20190312154804933</v>
      </c>
      <c r="B214" t="str">
        <f>"1552376884926483"</f>
        <v>1552376884926483</v>
      </c>
      <c r="C214" t="s">
        <v>40</v>
      </c>
      <c r="D214">
        <v>4.4677819999999997</v>
      </c>
      <c r="E214">
        <v>0.54233710000000002</v>
      </c>
      <c r="F214" t="s">
        <v>41</v>
      </c>
      <c r="G214">
        <v>-418.97539999999998</v>
      </c>
      <c r="H214">
        <v>0.81936339999999996</v>
      </c>
      <c r="I214">
        <v>367.03989999999999</v>
      </c>
      <c r="J214">
        <v>-419.48090000000002</v>
      </c>
      <c r="K214">
        <v>1.0600069999999999</v>
      </c>
      <c r="L214">
        <v>367.18009999999998</v>
      </c>
      <c r="M214">
        <v>0.99988840000000001</v>
      </c>
      <c r="N214">
        <v>0</v>
      </c>
      <c r="O214">
        <v>1.1466409999999999E-3</v>
      </c>
      <c r="P214">
        <v>0.99801359999999995</v>
      </c>
      <c r="Q214">
        <v>2.6283730000000002E-2</v>
      </c>
      <c r="R214">
        <v>-5.7255340000000002E-2</v>
      </c>
      <c r="S214">
        <v>3.000092</v>
      </c>
      <c r="T214">
        <v>-0.82237579999999999</v>
      </c>
      <c r="U214">
        <v>-0.47659299999999999</v>
      </c>
      <c r="V214">
        <v>5.8397730000000002E-2</v>
      </c>
      <c r="W214">
        <v>4.115593E-2</v>
      </c>
      <c r="X214">
        <v>0.99744469999999996</v>
      </c>
      <c r="Y214">
        <v>0.15249370000000001</v>
      </c>
      <c r="Z214">
        <v>-2.0707690000000001E-2</v>
      </c>
      <c r="AA214">
        <v>0.98808750000000001</v>
      </c>
      <c r="AB214">
        <v>37</v>
      </c>
      <c r="AC214">
        <v>0.50550000000004003</v>
      </c>
      <c r="AD214">
        <v>-0.24064360000000001</v>
      </c>
      <c r="AE214">
        <v>-0.140199999999993</v>
      </c>
      <c r="AF214">
        <v>0.116304784123808</v>
      </c>
      <c r="AG214">
        <v>-0.24064360000000001</v>
      </c>
      <c r="AH214">
        <v>0.41748471332299503</v>
      </c>
      <c r="AI214">
        <v>119.04203604294101</v>
      </c>
      <c r="AJ214">
        <v>74.432985389892096</v>
      </c>
      <c r="AK214">
        <v>0.49571123740483097</v>
      </c>
      <c r="AL214">
        <v>87.6412727576582</v>
      </c>
      <c r="AM214">
        <v>86.649309739899707</v>
      </c>
      <c r="AN214">
        <v>1.0000000175007</v>
      </c>
    </row>
    <row r="215" spans="1:40" x14ac:dyDescent="0.25">
      <c r="A215" t="str">
        <f>"20190312154804956"</f>
        <v>20190312154804956</v>
      </c>
      <c r="B215" t="str">
        <f>"1552376884946471"</f>
        <v>1552376884946471</v>
      </c>
      <c r="C215" t="s">
        <v>40</v>
      </c>
      <c r="D215">
        <v>4.5174279999999998</v>
      </c>
      <c r="E215">
        <v>0.54233900000000002</v>
      </c>
      <c r="F215" t="s">
        <v>41</v>
      </c>
      <c r="G215">
        <v>-418.63979999999998</v>
      </c>
      <c r="H215">
        <v>0.82981229999999995</v>
      </c>
      <c r="I215">
        <v>367.04680000000002</v>
      </c>
      <c r="J215">
        <v>-419.11680000000001</v>
      </c>
      <c r="K215">
        <v>1.0600050000000001</v>
      </c>
      <c r="L215">
        <v>367.18049999999999</v>
      </c>
      <c r="M215">
        <v>0.99988840000000001</v>
      </c>
      <c r="N215">
        <v>0</v>
      </c>
      <c r="O215">
        <v>1.180567E-3</v>
      </c>
      <c r="P215">
        <v>0.99803640000000005</v>
      </c>
      <c r="Q215">
        <v>2.6089190000000002E-2</v>
      </c>
      <c r="R215">
        <v>-5.6944540000000002E-2</v>
      </c>
      <c r="S215">
        <v>3.0003359999999999</v>
      </c>
      <c r="T215">
        <v>-0.8211811</v>
      </c>
      <c r="U215">
        <v>-0.47506710000000002</v>
      </c>
      <c r="V215">
        <v>5.8120980000000003E-2</v>
      </c>
      <c r="W215">
        <v>4.0952490000000001E-2</v>
      </c>
      <c r="X215">
        <v>0.99746919999999994</v>
      </c>
      <c r="Y215">
        <v>0.1520552</v>
      </c>
      <c r="Z215">
        <v>-2.062831E-2</v>
      </c>
      <c r="AA215">
        <v>0.9881567</v>
      </c>
      <c r="AB215">
        <v>37</v>
      </c>
      <c r="AC215">
        <v>0.47700000000003201</v>
      </c>
      <c r="AD215">
        <v>-0.230192699999999</v>
      </c>
      <c r="AE215">
        <v>-0.133699999999976</v>
      </c>
      <c r="AF215">
        <v>0.11042066538732601</v>
      </c>
      <c r="AG215">
        <v>-0.230192699999999</v>
      </c>
      <c r="AH215">
        <v>0.39216426444521202</v>
      </c>
      <c r="AI215">
        <v>119.466899142956</v>
      </c>
      <c r="AJ215">
        <v>74.274511890537497</v>
      </c>
      <c r="AK215">
        <v>0.467946805508622</v>
      </c>
      <c r="AL215">
        <v>87.652938757882396</v>
      </c>
      <c r="AM215">
        <v>86.665234645121302</v>
      </c>
      <c r="AN215">
        <v>0.99999997985099998</v>
      </c>
    </row>
    <row r="216" spans="1:40" x14ac:dyDescent="0.25">
      <c r="A216" t="str">
        <f>"20190312154804977"</f>
        <v>20190312154804977</v>
      </c>
      <c r="B216" t="str">
        <f>"1552376884965988"</f>
        <v>1552376884965988</v>
      </c>
      <c r="C216" t="s">
        <v>40</v>
      </c>
      <c r="D216">
        <v>4.5153019999999904</v>
      </c>
      <c r="E216">
        <v>0.54221649999999999</v>
      </c>
      <c r="F216" t="s">
        <v>41</v>
      </c>
      <c r="G216">
        <v>-418.30560000000003</v>
      </c>
      <c r="H216">
        <v>0.8375802</v>
      </c>
      <c r="I216">
        <v>367.05239999999998</v>
      </c>
      <c r="J216">
        <v>-418.75189999999998</v>
      </c>
      <c r="K216">
        <v>1.060006</v>
      </c>
      <c r="L216">
        <v>367.18099999999998</v>
      </c>
      <c r="M216">
        <v>0.99988860000000002</v>
      </c>
      <c r="N216">
        <v>0</v>
      </c>
      <c r="O216">
        <v>1.2146629999999999E-3</v>
      </c>
      <c r="P216">
        <v>0.99803359999999997</v>
      </c>
      <c r="Q216">
        <v>2.6263149999999999E-2</v>
      </c>
      <c r="R216">
        <v>-5.6915880000000002E-2</v>
      </c>
      <c r="S216">
        <v>3.0004270000000002</v>
      </c>
      <c r="T216">
        <v>-0.82268019999999997</v>
      </c>
      <c r="U216">
        <v>-0.47348020000000002</v>
      </c>
      <c r="V216">
        <v>5.8126129999999998E-2</v>
      </c>
      <c r="W216">
        <v>4.1117340000000002E-2</v>
      </c>
      <c r="X216">
        <v>0.99746219999999997</v>
      </c>
      <c r="Y216">
        <v>0.1515706</v>
      </c>
      <c r="Z216">
        <v>-2.060913E-2</v>
      </c>
      <c r="AA216">
        <v>0.98823150000000004</v>
      </c>
      <c r="AB216">
        <v>37</v>
      </c>
      <c r="AC216">
        <v>0.44629999999995101</v>
      </c>
      <c r="AD216">
        <v>-0.22242579999999901</v>
      </c>
      <c r="AE216">
        <v>-0.12860000000000499</v>
      </c>
      <c r="AF216">
        <v>0.105050065709238</v>
      </c>
      <c r="AG216">
        <v>-0.22242579999999901</v>
      </c>
      <c r="AH216">
        <v>0.36291348581930899</v>
      </c>
      <c r="AI216">
        <v>120.48622580844</v>
      </c>
      <c r="AJ216">
        <v>73.856220317396406</v>
      </c>
      <c r="AK216">
        <v>0.43842325554271999</v>
      </c>
      <c r="AL216">
        <v>87.643485778739802</v>
      </c>
      <c r="AM216">
        <v>86.664916472271301</v>
      </c>
      <c r="AN216">
        <v>1.0000000615331399</v>
      </c>
    </row>
    <row r="217" spans="1:40" x14ac:dyDescent="0.25">
      <c r="A217" t="str">
        <f>"20190312154805001"</f>
        <v>20190312154805001</v>
      </c>
      <c r="B217" t="str">
        <f>"1552376884996244"</f>
        <v>1552376884996244</v>
      </c>
      <c r="C217" t="s">
        <v>40</v>
      </c>
      <c r="D217">
        <v>4.4996700000000001</v>
      </c>
      <c r="E217">
        <v>0.54199739999999996</v>
      </c>
      <c r="F217" t="s">
        <v>41</v>
      </c>
      <c r="G217">
        <v>-417.97149999999999</v>
      </c>
      <c r="H217">
        <v>0.84626069999999998</v>
      </c>
      <c r="I217">
        <v>367.0582</v>
      </c>
      <c r="J217">
        <v>-418.3707</v>
      </c>
      <c r="K217">
        <v>1.0600099999999999</v>
      </c>
      <c r="L217">
        <v>367.18150000000003</v>
      </c>
      <c r="M217">
        <v>0.99988869999999996</v>
      </c>
      <c r="N217">
        <v>0</v>
      </c>
      <c r="O217">
        <v>1.2501319999999999E-3</v>
      </c>
      <c r="P217">
        <v>0.99802760000000001</v>
      </c>
      <c r="Q217">
        <v>2.655397E-2</v>
      </c>
      <c r="R217">
        <v>-5.688493E-2</v>
      </c>
      <c r="S217">
        <v>3.00061</v>
      </c>
      <c r="T217">
        <v>-0.82175509999999996</v>
      </c>
      <c r="U217">
        <v>-0.4724121</v>
      </c>
      <c r="V217">
        <v>5.8130569999999999E-2</v>
      </c>
      <c r="W217">
        <v>4.1398919999999999E-2</v>
      </c>
      <c r="X217">
        <v>0.99745019999999995</v>
      </c>
      <c r="Y217">
        <v>0.15127479999999999</v>
      </c>
      <c r="Z217">
        <v>-2.0556060000000001E-2</v>
      </c>
      <c r="AA217">
        <v>0.98827799999999999</v>
      </c>
      <c r="AB217">
        <v>37</v>
      </c>
      <c r="AC217">
        <v>0.39920000000000699</v>
      </c>
      <c r="AD217">
        <v>-0.2137493</v>
      </c>
      <c r="AE217">
        <v>-0.123300000000028</v>
      </c>
      <c r="AF217">
        <v>9.8118353895194799E-2</v>
      </c>
      <c r="AG217">
        <v>-0.2137493</v>
      </c>
      <c r="AH217">
        <v>0.31626819981363102</v>
      </c>
      <c r="AI217">
        <v>122.842159724479</v>
      </c>
      <c r="AJ217">
        <v>72.764133710134203</v>
      </c>
      <c r="AK217">
        <v>0.39413392246157603</v>
      </c>
      <c r="AL217">
        <v>87.627338462203198</v>
      </c>
      <c r="AM217">
        <v>86.664622259209807</v>
      </c>
      <c r="AN217">
        <v>0.99999996761286503</v>
      </c>
    </row>
    <row r="218" spans="1:40" x14ac:dyDescent="0.25">
      <c r="A218" t="str">
        <f>"20190312154805022"</f>
        <v>20190312154805022</v>
      </c>
      <c r="B218" t="str">
        <f>"1552376885016740"</f>
        <v>1552376885016740</v>
      </c>
      <c r="C218" t="s">
        <v>40</v>
      </c>
      <c r="D218">
        <v>4.5362669999999996</v>
      </c>
      <c r="E218">
        <v>0.54191579999999995</v>
      </c>
      <c r="F218" t="s">
        <v>41</v>
      </c>
      <c r="G218">
        <v>-417.63580000000002</v>
      </c>
      <c r="H218">
        <v>0.85940289999999997</v>
      </c>
      <c r="I218">
        <v>367.0659</v>
      </c>
      <c r="J218">
        <v>-418.01479999999998</v>
      </c>
      <c r="K218">
        <v>1.060011</v>
      </c>
      <c r="L218">
        <v>367.18200000000002</v>
      </c>
      <c r="M218">
        <v>0.99988869999999996</v>
      </c>
      <c r="N218">
        <v>0</v>
      </c>
      <c r="O218">
        <v>1.2836799999999999E-3</v>
      </c>
      <c r="P218">
        <v>0.99803819999999999</v>
      </c>
      <c r="Q218">
        <v>2.6391029999999999E-2</v>
      </c>
      <c r="R218">
        <v>-5.6774419999999999E-2</v>
      </c>
      <c r="S218">
        <v>3.0009160000000001</v>
      </c>
      <c r="T218">
        <v>-0.81907819999999998</v>
      </c>
      <c r="U218">
        <v>-0.47119139999999998</v>
      </c>
      <c r="V218">
        <v>5.8053790000000001E-2</v>
      </c>
      <c r="W218">
        <v>4.1228349999999997E-2</v>
      </c>
      <c r="X218">
        <v>0.99746179999999995</v>
      </c>
      <c r="Y218">
        <v>0.15094639999999901</v>
      </c>
      <c r="Z218">
        <v>-2.045522E-2</v>
      </c>
      <c r="AA218">
        <v>0.98833029999999999</v>
      </c>
      <c r="AB218">
        <v>37</v>
      </c>
      <c r="AC218">
        <v>0.37899999999996198</v>
      </c>
      <c r="AD218">
        <v>-0.20060810000000001</v>
      </c>
      <c r="AE218">
        <v>-0.11609999999996</v>
      </c>
      <c r="AF218">
        <v>9.2813825293739896E-2</v>
      </c>
      <c r="AG218">
        <v>-0.20060810000000001</v>
      </c>
      <c r="AH218">
        <v>0.301600828074788</v>
      </c>
      <c r="AI218">
        <v>122.44505920536101</v>
      </c>
      <c r="AJ218">
        <v>72.894916006155299</v>
      </c>
      <c r="AK218">
        <v>0.37392656424312098</v>
      </c>
      <c r="AL218">
        <v>87.637119904311703</v>
      </c>
      <c r="AM218">
        <v>86.669056415873399</v>
      </c>
      <c r="AN218">
        <v>1.00000003091816</v>
      </c>
    </row>
    <row r="219" spans="1:40" x14ac:dyDescent="0.25">
      <c r="A219" t="str">
        <f>"20190312154805046"</f>
        <v>20190312154805046</v>
      </c>
      <c r="B219" t="str">
        <f>"1552376885036263"</f>
        <v>1552376885036263</v>
      </c>
      <c r="C219" t="s">
        <v>40</v>
      </c>
      <c r="D219">
        <v>4.5273589999999997</v>
      </c>
      <c r="E219">
        <v>0.5418752</v>
      </c>
      <c r="F219" t="s">
        <v>41</v>
      </c>
      <c r="G219">
        <v>-417.30340000000001</v>
      </c>
      <c r="H219">
        <v>0.86567939999999999</v>
      </c>
      <c r="I219">
        <v>367.07060000000001</v>
      </c>
      <c r="J219">
        <v>-417.64190000000002</v>
      </c>
      <c r="K219">
        <v>1.0600080000000001</v>
      </c>
      <c r="L219">
        <v>367.1825</v>
      </c>
      <c r="M219">
        <v>0.99988880000000002</v>
      </c>
      <c r="N219">
        <v>0</v>
      </c>
      <c r="O219">
        <v>1.3184819999999999E-3</v>
      </c>
      <c r="P219">
        <v>0.99806079999999997</v>
      </c>
      <c r="Q219">
        <v>2.579702E-2</v>
      </c>
      <c r="R219">
        <v>-5.6653990000000001E-2</v>
      </c>
      <c r="S219">
        <v>3.0007929999999998</v>
      </c>
      <c r="T219">
        <v>-0.81970859999999901</v>
      </c>
      <c r="U219">
        <v>-0.47000120000000001</v>
      </c>
      <c r="V219">
        <v>5.7967900000000003E-2</v>
      </c>
      <c r="W219">
        <v>4.0627089999999998E-2</v>
      </c>
      <c r="X219">
        <v>0.99749140000000003</v>
      </c>
      <c r="Y219">
        <v>0.1506062</v>
      </c>
      <c r="Z219">
        <v>-2.0435720000000001E-2</v>
      </c>
      <c r="AA219">
        <v>0.9883826</v>
      </c>
      <c r="AB219">
        <v>37</v>
      </c>
      <c r="AC219">
        <v>0.33850000000001002</v>
      </c>
      <c r="AD219">
        <v>-0.19432859999999999</v>
      </c>
      <c r="AE219">
        <v>-0.11189999999999101</v>
      </c>
      <c r="AF219">
        <v>8.6612862536056795E-2</v>
      </c>
      <c r="AG219">
        <v>-0.19432859999999999</v>
      </c>
      <c r="AH219">
        <v>0.26085112988758202</v>
      </c>
      <c r="AI219">
        <v>125.261191213922</v>
      </c>
      <c r="AJ219">
        <v>71.631798330223603</v>
      </c>
      <c r="AK219">
        <v>0.33661358365086502</v>
      </c>
      <c r="AL219">
        <v>87.671598300928096</v>
      </c>
      <c r="AM219">
        <v>86.674071918009801</v>
      </c>
      <c r="AN219">
        <v>0.99999996547311798</v>
      </c>
    </row>
    <row r="220" spans="1:40" x14ac:dyDescent="0.25">
      <c r="A220" t="str">
        <f>"20190312154805068"</f>
        <v>20190312154805068</v>
      </c>
      <c r="B220" t="str">
        <f>"1552376885066516"</f>
        <v>1552376885066516</v>
      </c>
      <c r="C220" t="s">
        <v>40</v>
      </c>
      <c r="D220">
        <v>4.5673490000000001</v>
      </c>
      <c r="E220">
        <v>0.54233500000000001</v>
      </c>
      <c r="F220" t="s">
        <v>41</v>
      </c>
      <c r="G220">
        <v>-416.67320000000001</v>
      </c>
      <c r="H220">
        <v>0.79473499999999997</v>
      </c>
      <c r="I220">
        <v>367.03109999999998</v>
      </c>
      <c r="J220">
        <v>-417.255</v>
      </c>
      <c r="K220">
        <v>1.060009</v>
      </c>
      <c r="L220">
        <v>367.18299999999999</v>
      </c>
      <c r="M220">
        <v>0.99988889999999997</v>
      </c>
      <c r="N220">
        <v>0</v>
      </c>
      <c r="O220">
        <v>1.3544179999999901E-3</v>
      </c>
      <c r="P220">
        <v>0.99806090000000003</v>
      </c>
      <c r="Q220">
        <v>2.5575130000000001E-2</v>
      </c>
      <c r="R220">
        <v>-5.6750120000000001E-2</v>
      </c>
      <c r="S220">
        <v>3.0004270000000002</v>
      </c>
      <c r="T220">
        <v>-0.8217276</v>
      </c>
      <c r="U220">
        <v>-0.46914670000000003</v>
      </c>
      <c r="V220">
        <v>5.8100110000000003E-2</v>
      </c>
      <c r="W220">
        <v>4.0398400000000001E-2</v>
      </c>
      <c r="X220">
        <v>0.99749299999999996</v>
      </c>
      <c r="Y220">
        <v>0.15036479999999999</v>
      </c>
      <c r="Z220">
        <v>-2.046446E-2</v>
      </c>
      <c r="AA220">
        <v>0.98841880000000004</v>
      </c>
      <c r="AB220">
        <v>37</v>
      </c>
      <c r="AC220">
        <v>0.58179999999998699</v>
      </c>
      <c r="AD220">
        <v>-0.26527399999999901</v>
      </c>
      <c r="AE220">
        <v>-0.15190000000006801</v>
      </c>
      <c r="AF220">
        <v>0.12781223199219</v>
      </c>
      <c r="AG220">
        <v>-0.26527399999999901</v>
      </c>
      <c r="AH220">
        <v>0.486841239944656</v>
      </c>
      <c r="AI220">
        <v>117.790498868567</v>
      </c>
      <c r="AJ220">
        <v>75.289889724200705</v>
      </c>
      <c r="AK220">
        <v>0.56896454602521196</v>
      </c>
      <c r="AL220">
        <v>87.684712048132297</v>
      </c>
      <c r="AM220">
        <v>86.6665087460227</v>
      </c>
      <c r="AN220">
        <v>0.99999996927678503</v>
      </c>
    </row>
    <row r="221" spans="1:40" x14ac:dyDescent="0.25">
      <c r="A221" t="str">
        <f>"20190312154805091"</f>
        <v>20190312154805091</v>
      </c>
      <c r="B221" t="str">
        <f>"1552376885086036"</f>
        <v>1552376885086036</v>
      </c>
      <c r="C221" t="s">
        <v>40</v>
      </c>
      <c r="D221">
        <v>4.6086519999999904</v>
      </c>
      <c r="E221">
        <v>0.54255169999999997</v>
      </c>
      <c r="F221" t="s">
        <v>41</v>
      </c>
      <c r="G221">
        <v>-416.33920000000001</v>
      </c>
      <c r="H221">
        <v>0.80768619999999902</v>
      </c>
      <c r="I221">
        <v>367.03870000000001</v>
      </c>
      <c r="J221">
        <v>-416.88200000000001</v>
      </c>
      <c r="K221">
        <v>1.060011</v>
      </c>
      <c r="L221">
        <v>367.18360000000001</v>
      </c>
      <c r="M221">
        <v>0.99988880000000002</v>
      </c>
      <c r="N221">
        <v>0</v>
      </c>
      <c r="O221">
        <v>1.388802E-3</v>
      </c>
      <c r="P221">
        <v>0.99803609999999998</v>
      </c>
      <c r="Q221">
        <v>2.6449940000000002E-2</v>
      </c>
      <c r="R221">
        <v>-5.6781909999999998E-2</v>
      </c>
      <c r="S221">
        <v>3.0001220000000002</v>
      </c>
      <c r="T221">
        <v>-0.82660820000000002</v>
      </c>
      <c r="U221">
        <v>-0.47259519999999999</v>
      </c>
      <c r="V221">
        <v>5.8166250000000003E-2</v>
      </c>
      <c r="W221">
        <v>4.1265509999999998E-2</v>
      </c>
      <c r="X221">
        <v>0.9974537</v>
      </c>
      <c r="Y221">
        <v>0.15141949999999901</v>
      </c>
      <c r="Z221">
        <v>-2.0733049999999999E-2</v>
      </c>
      <c r="AA221">
        <v>0.98825209999999997</v>
      </c>
      <c r="AB221">
        <v>37</v>
      </c>
      <c r="AC221">
        <v>0.542799999999942</v>
      </c>
      <c r="AD221">
        <v>-0.25232480000000002</v>
      </c>
      <c r="AE221">
        <v>-0.144900000000006</v>
      </c>
      <c r="AF221">
        <v>0.12120463405057499</v>
      </c>
      <c r="AG221">
        <v>-0.25232480000000002</v>
      </c>
      <c r="AH221">
        <v>0.45151877293832698</v>
      </c>
      <c r="AI221">
        <v>118.356972330716</v>
      </c>
      <c r="AJ221">
        <v>74.973891884265896</v>
      </c>
      <c r="AK221">
        <v>0.531250948541371</v>
      </c>
      <c r="AL221">
        <v>87.634988952263697</v>
      </c>
      <c r="AM221">
        <v>86.662591346063707</v>
      </c>
      <c r="AN221">
        <v>1.0000000192991501</v>
      </c>
    </row>
    <row r="222" spans="1:40" x14ac:dyDescent="0.25">
      <c r="A222" t="str">
        <f>"20190312154805112"</f>
        <v>20190312154805112</v>
      </c>
      <c r="B222" t="str">
        <f>"1552376885106532"</f>
        <v>1552376885106532</v>
      </c>
      <c r="C222" t="s">
        <v>40</v>
      </c>
      <c r="D222">
        <v>4.7450530000000004</v>
      </c>
      <c r="E222">
        <v>0.542902</v>
      </c>
      <c r="F222" t="s">
        <v>41</v>
      </c>
      <c r="G222">
        <v>-416.0061</v>
      </c>
      <c r="H222">
        <v>0.81910360000000004</v>
      </c>
      <c r="I222">
        <v>367.04520000000002</v>
      </c>
      <c r="J222">
        <v>-416.54059999999998</v>
      </c>
      <c r="K222">
        <v>1.060017</v>
      </c>
      <c r="L222">
        <v>367.1841</v>
      </c>
      <c r="M222">
        <v>0.99988889999999997</v>
      </c>
      <c r="N222">
        <v>0</v>
      </c>
      <c r="O222">
        <v>1.42067E-3</v>
      </c>
      <c r="P222">
        <v>0.99800929999999999</v>
      </c>
      <c r="Q222">
        <v>2.733961E-2</v>
      </c>
      <c r="R222">
        <v>-5.6834429999999998E-2</v>
      </c>
      <c r="S222">
        <v>3.0007630000000001</v>
      </c>
      <c r="T222">
        <v>-0.82534529999999995</v>
      </c>
      <c r="U222">
        <v>-0.47409059999999997</v>
      </c>
      <c r="V222">
        <v>5.8250240000000002E-2</v>
      </c>
      <c r="W222">
        <v>4.2149279999999997E-2</v>
      </c>
      <c r="X222">
        <v>0.99741179999999996</v>
      </c>
      <c r="Y222">
        <v>0.1518999</v>
      </c>
      <c r="Z222">
        <v>-2.077056E-2</v>
      </c>
      <c r="AA222">
        <v>0.98817759999999999</v>
      </c>
      <c r="AB222">
        <v>37</v>
      </c>
      <c r="AC222">
        <v>0.53449999999997999</v>
      </c>
      <c r="AD222">
        <v>-0.240913399999999</v>
      </c>
      <c r="AE222">
        <v>-0.13889999999997801</v>
      </c>
      <c r="AF222">
        <v>0.11733087452367701</v>
      </c>
      <c r="AG222">
        <v>-0.240913399999999</v>
      </c>
      <c r="AH222">
        <v>0.44887907474164102</v>
      </c>
      <c r="AI222">
        <v>117.44080272596101</v>
      </c>
      <c r="AJ222">
        <v>75.351405169737703</v>
      </c>
      <c r="AK222">
        <v>0.52277932644373204</v>
      </c>
      <c r="AL222">
        <v>87.584308456080393</v>
      </c>
      <c r="AM222">
        <v>86.657643079167997</v>
      </c>
      <c r="AN222">
        <v>0.999999975521907</v>
      </c>
    </row>
    <row r="223" spans="1:40" x14ac:dyDescent="0.25">
      <c r="A223" t="str">
        <f>"20190312154805134"</f>
        <v>20190312154805134</v>
      </c>
      <c r="B223" t="str">
        <f>"1552376885126052"</f>
        <v>1552376885126052</v>
      </c>
      <c r="C223" t="s">
        <v>40</v>
      </c>
      <c r="D223">
        <v>4.6266150000000001</v>
      </c>
      <c r="E223">
        <v>0.54283979999999998</v>
      </c>
      <c r="F223" t="s">
        <v>41</v>
      </c>
      <c r="G223">
        <v>-415.67649999999998</v>
      </c>
      <c r="H223">
        <v>0.8226154</v>
      </c>
      <c r="I223">
        <v>367.04669999999999</v>
      </c>
      <c r="J223">
        <v>-416.17329999999998</v>
      </c>
      <c r="K223">
        <v>1.060022</v>
      </c>
      <c r="L223">
        <v>367.18459999999999</v>
      </c>
      <c r="M223">
        <v>0.99988900000000003</v>
      </c>
      <c r="N223">
        <v>0</v>
      </c>
      <c r="O223">
        <v>1.4544510000000001E-3</v>
      </c>
      <c r="P223">
        <v>0.99795290000000003</v>
      </c>
      <c r="Q223">
        <v>2.8687130000000002E-2</v>
      </c>
      <c r="R223">
        <v>-5.7158809999999997E-2</v>
      </c>
      <c r="S223">
        <v>3.0014340000000002</v>
      </c>
      <c r="T223">
        <v>-0.82469899999999996</v>
      </c>
      <c r="U223">
        <v>-0.47668460000000001</v>
      </c>
      <c r="V223">
        <v>5.860833E-2</v>
      </c>
      <c r="W223">
        <v>4.3489390000000003E-2</v>
      </c>
      <c r="X223">
        <v>0.99733329999999998</v>
      </c>
      <c r="Y223">
        <v>0.1527136</v>
      </c>
      <c r="Z223">
        <v>-2.0867279999999998E-2</v>
      </c>
      <c r="AA223">
        <v>0.98805019999999999</v>
      </c>
      <c r="AB223">
        <v>37</v>
      </c>
      <c r="AC223">
        <v>0.49680000000000701</v>
      </c>
      <c r="AD223">
        <v>-0.2374066</v>
      </c>
      <c r="AE223">
        <v>-0.13790000000000099</v>
      </c>
      <c r="AF223">
        <v>0.11437264542026</v>
      </c>
      <c r="AG223">
        <v>-0.2374066</v>
      </c>
      <c r="AH223">
        <v>0.40972660320677701</v>
      </c>
      <c r="AI223">
        <v>119.165497834761</v>
      </c>
      <c r="AJ223">
        <v>74.403253285934895</v>
      </c>
      <c r="AK223">
        <v>0.48715386185408799</v>
      </c>
      <c r="AL223">
        <v>87.507455343530694</v>
      </c>
      <c r="AM223">
        <v>86.636879061192502</v>
      </c>
      <c r="AN223">
        <v>0.99999998733842499</v>
      </c>
    </row>
    <row r="224" spans="1:40" x14ac:dyDescent="0.25">
      <c r="A224" t="str">
        <f>"20190312154805156"</f>
        <v>20190312154805156</v>
      </c>
      <c r="B224" t="str">
        <f>"1552376885146551"</f>
        <v>1552376885146551</v>
      </c>
      <c r="C224" t="s">
        <v>40</v>
      </c>
      <c r="D224">
        <v>3.1938219999999999</v>
      </c>
      <c r="E224">
        <v>0.51600409999999997</v>
      </c>
      <c r="F224" t="s">
        <v>41</v>
      </c>
      <c r="G224">
        <v>-415.34469999999999</v>
      </c>
      <c r="H224">
        <v>0.833016599999999</v>
      </c>
      <c r="I224">
        <v>367.05309999999997</v>
      </c>
      <c r="J224">
        <v>-415.81299999999999</v>
      </c>
      <c r="K224">
        <v>1.0600309999999999</v>
      </c>
      <c r="L224">
        <v>367.18520000000001</v>
      </c>
      <c r="M224">
        <v>0.99988909999999998</v>
      </c>
      <c r="N224">
        <v>0</v>
      </c>
      <c r="O224">
        <v>1.4878090000000001E-3</v>
      </c>
      <c r="P224">
        <v>0.99789309999999998</v>
      </c>
      <c r="Q224">
        <v>2.994376E-2</v>
      </c>
      <c r="R224">
        <v>-5.7559140000000002E-2</v>
      </c>
      <c r="S224">
        <v>3.0025330000000001</v>
      </c>
      <c r="T224">
        <v>-0.82254819999999995</v>
      </c>
      <c r="U224">
        <v>-0.47653200000000001</v>
      </c>
      <c r="V224">
        <v>5.9041740000000002E-2</v>
      </c>
      <c r="W224">
        <v>4.4739389999999997E-2</v>
      </c>
      <c r="X224">
        <v>0.99725249999999999</v>
      </c>
      <c r="Y224">
        <v>0.15267410000000001</v>
      </c>
      <c r="Z224">
        <v>-2.0811219999999998E-2</v>
      </c>
      <c r="AA224">
        <v>0.98805739999999997</v>
      </c>
      <c r="AB224">
        <v>37</v>
      </c>
      <c r="AC224">
        <v>0.468300000000056</v>
      </c>
      <c r="AD224">
        <v>-0.22701440000000001</v>
      </c>
      <c r="AE224">
        <v>-0.13210000000003599</v>
      </c>
      <c r="AF224">
        <v>0.109057630735687</v>
      </c>
      <c r="AG224">
        <v>-0.22701440000000001</v>
      </c>
      <c r="AH224">
        <v>0.384423758311355</v>
      </c>
      <c r="AI224">
        <v>119.601467353945</v>
      </c>
      <c r="AJ224">
        <v>74.161828206078098</v>
      </c>
      <c r="AK224">
        <v>0.45957668629214499</v>
      </c>
      <c r="AL224">
        <v>87.435765969273803</v>
      </c>
      <c r="AM224">
        <v>86.611792561025197</v>
      </c>
      <c r="AN224">
        <v>1.0000000444180199</v>
      </c>
    </row>
    <row r="225" spans="1:40" x14ac:dyDescent="0.25">
      <c r="A225" t="str">
        <f>"20190312154805357"</f>
        <v>20190312154805357</v>
      </c>
      <c r="B225" t="str">
        <f>"1552376885346631"</f>
        <v>1552376885346631</v>
      </c>
      <c r="C225" t="s">
        <v>40</v>
      </c>
      <c r="D225">
        <v>4.4442170000000001</v>
      </c>
      <c r="E225">
        <v>0.5093143</v>
      </c>
      <c r="F225" t="s">
        <v>41</v>
      </c>
      <c r="G225">
        <v>-412.13159999999999</v>
      </c>
      <c r="H225">
        <v>0.73022279999999995</v>
      </c>
      <c r="I225">
        <v>367.13749999999999</v>
      </c>
      <c r="J225">
        <v>-412.5421</v>
      </c>
      <c r="K225">
        <v>1.0600989999999999</v>
      </c>
      <c r="L225">
        <v>367.1909</v>
      </c>
      <c r="M225">
        <v>0.99988920000000003</v>
      </c>
      <c r="N225">
        <v>0</v>
      </c>
      <c r="O225">
        <v>1.793689E-3</v>
      </c>
      <c r="P225">
        <v>0.99748650000000005</v>
      </c>
      <c r="Q225">
        <v>4.8072009999999998E-2</v>
      </c>
      <c r="R225">
        <v>-5.2059429999999997E-2</v>
      </c>
      <c r="S225">
        <v>3.053436</v>
      </c>
      <c r="T225">
        <v>-1.329647</v>
      </c>
      <c r="U225">
        <v>-0.21337890000000001</v>
      </c>
      <c r="V225">
        <v>5.3845919999999999E-2</v>
      </c>
      <c r="W225">
        <v>6.2815599999999999E-2</v>
      </c>
      <c r="X225">
        <v>0.99657150000000005</v>
      </c>
      <c r="Y225">
        <v>6.5431859999999994E-2</v>
      </c>
      <c r="Z225">
        <v>-1.4360329999999999E-2</v>
      </c>
      <c r="AA225">
        <v>0.99775369999999997</v>
      </c>
      <c r="AB225">
        <v>36</v>
      </c>
      <c r="AC225">
        <v>0.41050000000001302</v>
      </c>
      <c r="AD225">
        <v>-0.32987619999999901</v>
      </c>
      <c r="AE225">
        <v>-5.3400000000010502E-2</v>
      </c>
      <c r="AF225">
        <v>3.3110468715305701E-2</v>
      </c>
      <c r="AG225">
        <v>-0.32987619999999901</v>
      </c>
      <c r="AH225">
        <v>0.25100815558316197</v>
      </c>
      <c r="AI225">
        <v>142.49348211193001</v>
      </c>
      <c r="AJ225">
        <v>82.485501877670103</v>
      </c>
      <c r="AK225">
        <v>0.41583615118727701</v>
      </c>
      <c r="AL225">
        <v>86.3985600395104</v>
      </c>
      <c r="AM225">
        <v>86.907249519535597</v>
      </c>
      <c r="AN225">
        <v>0.99999996865812701</v>
      </c>
    </row>
    <row r="226" spans="1:40" x14ac:dyDescent="0.25">
      <c r="A226" t="str">
        <f>"20190312154805380"</f>
        <v>20190312154805380</v>
      </c>
      <c r="B226" t="str">
        <f>"1552376885376884"</f>
        <v>1552376885376884</v>
      </c>
      <c r="C226" t="s">
        <v>40</v>
      </c>
      <c r="D226">
        <v>4.9988070000000002</v>
      </c>
      <c r="E226">
        <v>0.48122209999999899</v>
      </c>
      <c r="F226" t="s">
        <v>41</v>
      </c>
      <c r="G226">
        <v>-411.78719999999998</v>
      </c>
      <c r="H226">
        <v>0.7824757</v>
      </c>
      <c r="I226">
        <v>367.14609999999999</v>
      </c>
      <c r="J226">
        <v>-412.173</v>
      </c>
      <c r="K226">
        <v>1.0601290000000001</v>
      </c>
      <c r="L226">
        <v>367.19159999999999</v>
      </c>
      <c r="M226">
        <v>0.99988929999999998</v>
      </c>
      <c r="N226">
        <v>0</v>
      </c>
      <c r="O226">
        <v>1.829432E-3</v>
      </c>
      <c r="P226">
        <v>0.99737969999999998</v>
      </c>
      <c r="Q226">
        <v>5.4186489999999997E-2</v>
      </c>
      <c r="R226">
        <v>-4.7939420000000003E-2</v>
      </c>
      <c r="S226">
        <v>3.052216</v>
      </c>
      <c r="T226">
        <v>-1.122342</v>
      </c>
      <c r="U226">
        <v>-0.1805725</v>
      </c>
      <c r="V226">
        <v>4.9760800000000001E-2</v>
      </c>
      <c r="W226">
        <v>6.8923449999999997E-2</v>
      </c>
      <c r="X226">
        <v>0.99638020000000005</v>
      </c>
      <c r="Y226">
        <v>5.7043089999999998E-2</v>
      </c>
      <c r="Z226">
        <v>-1.0798250000000001E-2</v>
      </c>
      <c r="AA226">
        <v>0.99831329999999996</v>
      </c>
      <c r="AB226">
        <v>36</v>
      </c>
      <c r="AC226">
        <v>0.38580000000001702</v>
      </c>
      <c r="AD226">
        <v>-0.27765329999999999</v>
      </c>
      <c r="AE226">
        <v>-4.5500000000004003E-2</v>
      </c>
      <c r="AF226">
        <v>3.0582915401473301E-2</v>
      </c>
      <c r="AG226">
        <v>-0.27765329999999999</v>
      </c>
      <c r="AH226">
        <v>0.25529964085985801</v>
      </c>
      <c r="AI226">
        <v>137.198318187479</v>
      </c>
      <c r="AJ226">
        <v>83.168961764986605</v>
      </c>
      <c r="AK226">
        <v>0.37842380519533397</v>
      </c>
      <c r="AL226">
        <v>86.047844064781003</v>
      </c>
      <c r="AM226">
        <v>87.1409337401183</v>
      </c>
      <c r="AN226">
        <v>1.00000004106429</v>
      </c>
    </row>
    <row r="227" spans="1:40" x14ac:dyDescent="0.25">
      <c r="A227" t="str">
        <f>"20190312154805402"</f>
        <v>20190312154805402</v>
      </c>
      <c r="B227" t="str">
        <f>"1552376885396404"</f>
        <v>1552376885396404</v>
      </c>
      <c r="C227" t="s">
        <v>40</v>
      </c>
      <c r="D227">
        <v>4.9015199999999997</v>
      </c>
      <c r="E227">
        <v>0.48294740000000003</v>
      </c>
      <c r="F227" t="s">
        <v>41</v>
      </c>
      <c r="G227">
        <v>-411.38240000000002</v>
      </c>
      <c r="H227">
        <v>0.95929710000000001</v>
      </c>
      <c r="I227">
        <v>367.19819999999999</v>
      </c>
      <c r="J227">
        <v>-411.82589999999999</v>
      </c>
      <c r="K227">
        <v>1.060171</v>
      </c>
      <c r="L227">
        <v>367.19229999999999</v>
      </c>
      <c r="M227">
        <v>0.99988900000000003</v>
      </c>
      <c r="N227">
        <v>0</v>
      </c>
      <c r="O227">
        <v>1.8668739999999999E-3</v>
      </c>
      <c r="P227">
        <v>0.9971004</v>
      </c>
      <c r="Q227">
        <v>6.2654119999999994E-2</v>
      </c>
      <c r="R227">
        <v>-4.3190979999999997E-2</v>
      </c>
      <c r="S227">
        <v>3.0302730000000002</v>
      </c>
      <c r="T227">
        <v>-0.3868432</v>
      </c>
      <c r="U227">
        <v>2.7038570000000001E-2</v>
      </c>
      <c r="V227">
        <v>4.504843E-2</v>
      </c>
      <c r="W227">
        <v>7.7382210000000007E-2</v>
      </c>
      <c r="X227">
        <v>0.99598319999999996</v>
      </c>
      <c r="Y227">
        <v>-7.0136779999999998E-3</v>
      </c>
      <c r="Z227">
        <v>2.0848150000000001E-4</v>
      </c>
      <c r="AA227">
        <v>0.99997539999999996</v>
      </c>
      <c r="AB227">
        <v>36</v>
      </c>
      <c r="AC227">
        <v>0.44349999999997097</v>
      </c>
      <c r="AD227">
        <v>-0.1008739</v>
      </c>
      <c r="AE227">
        <v>5.8999999999968999E-3</v>
      </c>
      <c r="AF227">
        <v>-4.8225007815250699E-3</v>
      </c>
      <c r="AG227">
        <v>-0.1008739</v>
      </c>
      <c r="AH227">
        <v>0.42169825112873399</v>
      </c>
      <c r="AI227">
        <v>103.452010290616</v>
      </c>
      <c r="AJ227">
        <v>90.655200481544597</v>
      </c>
      <c r="AK227">
        <v>0.43362220332915402</v>
      </c>
      <c r="AL227">
        <v>85.561888962817207</v>
      </c>
      <c r="AM227">
        <v>87.410270600867705</v>
      </c>
      <c r="AN227">
        <v>0.99999995107609296</v>
      </c>
    </row>
    <row r="228" spans="1:40" x14ac:dyDescent="0.25">
      <c r="A228" t="str">
        <f>"20190312154805414"</f>
        <v>20190312154805414</v>
      </c>
      <c r="B228" t="str">
        <f>"1552376885406164"</f>
        <v>1552376885406164</v>
      </c>
      <c r="C228" t="s">
        <v>40</v>
      </c>
      <c r="D228">
        <v>4.9171500000000004</v>
      </c>
      <c r="E228">
        <v>0.48416300000000001</v>
      </c>
      <c r="F228" t="s">
        <v>42</v>
      </c>
      <c r="G228">
        <v>-398.60250000000002</v>
      </c>
      <c r="H228" s="1">
        <v>-1.0798269999999999E-6</v>
      </c>
      <c r="I228">
        <v>367.2928</v>
      </c>
      <c r="J228">
        <v>-411.62380000000002</v>
      </c>
      <c r="K228">
        <v>1.060198</v>
      </c>
      <c r="L228">
        <v>367.1927</v>
      </c>
      <c r="M228">
        <v>0.99988909999999998</v>
      </c>
      <c r="N228">
        <v>0</v>
      </c>
      <c r="O228">
        <v>1.8915500000000001E-3</v>
      </c>
      <c r="P228">
        <v>0.99688690000000002</v>
      </c>
      <c r="Q228">
        <v>6.7741410000000002E-2</v>
      </c>
      <c r="R228">
        <v>-4.0345359999999997E-2</v>
      </c>
      <c r="S228">
        <v>3.0249329999999999</v>
      </c>
      <c r="T228">
        <v>-0.2425195</v>
      </c>
      <c r="U228">
        <v>2.3010249999999999E-2</v>
      </c>
      <c r="V228">
        <v>4.2226270000000003E-2</v>
      </c>
      <c r="W228">
        <v>8.2463289999999995E-2</v>
      </c>
      <c r="X228">
        <v>0.99569909999999995</v>
      </c>
      <c r="Y228">
        <v>-5.7027010000000001E-3</v>
      </c>
      <c r="Z228" s="1">
        <v>7.6810089999999998E-5</v>
      </c>
      <c r="AA228">
        <v>0.99998370000000003</v>
      </c>
      <c r="AB228">
        <v>36</v>
      </c>
      <c r="AC228">
        <v>13.021299999999901</v>
      </c>
      <c r="AD228">
        <v>-1.060199079827</v>
      </c>
      <c r="AE228">
        <v>0.100099999999997</v>
      </c>
      <c r="AF228">
        <v>-7.49697274182822E-2</v>
      </c>
      <c r="AG228">
        <v>-1.060199079827</v>
      </c>
      <c r="AH228">
        <v>12.935716685155001</v>
      </c>
      <c r="AI228">
        <v>94.685357041125997</v>
      </c>
      <c r="AJ228">
        <v>90.332057433324906</v>
      </c>
      <c r="AK228">
        <v>12.9793069424947</v>
      </c>
      <c r="AL228">
        <v>85.269830021567401</v>
      </c>
      <c r="AM228">
        <v>87.571617569721099</v>
      </c>
      <c r="AN228">
        <v>0.99999997490827297</v>
      </c>
    </row>
    <row r="229" spans="1:40" x14ac:dyDescent="0.25">
      <c r="A229" t="str">
        <f>"20190312154805435"</f>
        <v>20190312154805435</v>
      </c>
      <c r="B229" t="str">
        <f>"1552376885426661"</f>
        <v>1552376885426661</v>
      </c>
      <c r="C229" t="s">
        <v>40</v>
      </c>
      <c r="D229">
        <v>4.9561590000000004</v>
      </c>
      <c r="E229">
        <v>0.48538140000000002</v>
      </c>
      <c r="F229" t="s">
        <v>42</v>
      </c>
      <c r="G229">
        <v>-394.39960000000002</v>
      </c>
      <c r="H229" s="1">
        <v>-2.794066E-6</v>
      </c>
      <c r="I229">
        <v>367.30950000000001</v>
      </c>
      <c r="J229">
        <v>-411.27949999999998</v>
      </c>
      <c r="K229">
        <v>1.0602720000000001</v>
      </c>
      <c r="L229">
        <v>367.19349999999997</v>
      </c>
      <c r="M229">
        <v>0.99988909999999998</v>
      </c>
      <c r="N229">
        <v>0</v>
      </c>
      <c r="O229">
        <v>1.939114E-3</v>
      </c>
      <c r="P229">
        <v>0.99597740000000001</v>
      </c>
      <c r="Q229">
        <v>8.2605369999999997E-2</v>
      </c>
      <c r="R229">
        <v>-3.4718550000000001E-2</v>
      </c>
      <c r="S229">
        <v>3.022888</v>
      </c>
      <c r="T229">
        <v>-0.1860666</v>
      </c>
      <c r="U229">
        <v>2.0507810000000001E-2</v>
      </c>
      <c r="V229">
        <v>3.6643200000000001E-2</v>
      </c>
      <c r="W229">
        <v>9.7308259999999994E-2</v>
      </c>
      <c r="X229">
        <v>0.99457949999999995</v>
      </c>
      <c r="Y229">
        <v>-4.8392409999999898E-3</v>
      </c>
      <c r="Z229" s="1">
        <v>2.953538E-5</v>
      </c>
      <c r="AA229">
        <v>0.99998830000000005</v>
      </c>
      <c r="AB229">
        <v>36</v>
      </c>
      <c r="AC229">
        <v>16.8798999999999</v>
      </c>
      <c r="AD229">
        <v>-1.06027479406599</v>
      </c>
      <c r="AE229">
        <v>0.116000000000042</v>
      </c>
      <c r="AF229">
        <v>-8.2936954028331594E-2</v>
      </c>
      <c r="AG229">
        <v>-1.06027479406599</v>
      </c>
      <c r="AH229">
        <v>16.813758418449702</v>
      </c>
      <c r="AI229">
        <v>93.608247511178902</v>
      </c>
      <c r="AJ229">
        <v>90.282619672140697</v>
      </c>
      <c r="AK229">
        <v>16.8473598326641</v>
      </c>
      <c r="AL229">
        <v>84.415810955221602</v>
      </c>
      <c r="AM229">
        <v>87.890011279297696</v>
      </c>
      <c r="AN229">
        <v>1.0000000016953501</v>
      </c>
    </row>
    <row r="230" spans="1:40" x14ac:dyDescent="0.25">
      <c r="A230" t="str">
        <f>"20190312154805457"</f>
        <v>20190312154805457</v>
      </c>
      <c r="B230" t="str">
        <f>"1552376885446183"</f>
        <v>1552376885446183</v>
      </c>
      <c r="C230" t="s">
        <v>40</v>
      </c>
      <c r="D230">
        <v>4.9401349999999997</v>
      </c>
      <c r="E230">
        <v>0.48621819999999999</v>
      </c>
      <c r="F230" t="s">
        <v>42</v>
      </c>
      <c r="G230">
        <v>-377.79320000000001</v>
      </c>
      <c r="H230" s="1">
        <v>-1.3079849999999901E-6</v>
      </c>
      <c r="I230">
        <v>367.47989999999999</v>
      </c>
      <c r="J230">
        <v>-410.91739999999999</v>
      </c>
      <c r="K230">
        <v>1.0603450000000001</v>
      </c>
      <c r="L230">
        <v>367.19420000000002</v>
      </c>
      <c r="M230">
        <v>0.99988900000000003</v>
      </c>
      <c r="N230">
        <v>0</v>
      </c>
      <c r="O230">
        <v>1.9971979999999999E-3</v>
      </c>
      <c r="P230">
        <v>0.99456630000000001</v>
      </c>
      <c r="Q230">
        <v>9.9508260000000001E-2</v>
      </c>
      <c r="R230">
        <v>-3.0599930000000001E-2</v>
      </c>
      <c r="S230">
        <v>3.0209959999999998</v>
      </c>
      <c r="T230">
        <v>-9.5653409999999994E-2</v>
      </c>
      <c r="U230">
        <v>2.5848389999999999E-2</v>
      </c>
      <c r="V230">
        <v>3.2576229999999998E-2</v>
      </c>
      <c r="W230">
        <v>0.11418499999999999</v>
      </c>
      <c r="X230">
        <v>0.99292530000000001</v>
      </c>
      <c r="Y230">
        <v>-6.5562880000000004E-3</v>
      </c>
      <c r="Z230" s="1">
        <v>4.0540780000000002E-5</v>
      </c>
      <c r="AA230">
        <v>0.99997849999999999</v>
      </c>
      <c r="AB230">
        <v>36</v>
      </c>
      <c r="AC230">
        <v>33.124199999999902</v>
      </c>
      <c r="AD230">
        <v>-1.060346307985</v>
      </c>
      <c r="AE230">
        <v>0.28569999999996298</v>
      </c>
      <c r="AF230">
        <v>-0.21931191567910199</v>
      </c>
      <c r="AG230">
        <v>-1.060346307985</v>
      </c>
      <c r="AH230">
        <v>33.090798346885599</v>
      </c>
      <c r="AI230">
        <v>91.835291307807296</v>
      </c>
      <c r="AJ230">
        <v>90.379726806745893</v>
      </c>
      <c r="AK230">
        <v>33.108508985508003</v>
      </c>
      <c r="AL230">
        <v>83.443380910607104</v>
      </c>
      <c r="AM230">
        <v>88.120894654981896</v>
      </c>
      <c r="AN230">
        <v>1.0000000381830501</v>
      </c>
    </row>
    <row r="231" spans="1:40" x14ac:dyDescent="0.25">
      <c r="A231" t="str">
        <f>"20190312154805482"</f>
        <v>20190312154805482</v>
      </c>
      <c r="B231" t="str">
        <f>"1552376885476437"</f>
        <v>1552376885476437</v>
      </c>
      <c r="C231" t="s">
        <v>40</v>
      </c>
      <c r="D231">
        <v>4.9627470000000002</v>
      </c>
      <c r="E231">
        <v>0.48710769999999998</v>
      </c>
      <c r="F231" t="s">
        <v>43</v>
      </c>
      <c r="G231">
        <v>-278.94069999999999</v>
      </c>
      <c r="H231">
        <v>-0.05</v>
      </c>
      <c r="I231">
        <v>368.5145</v>
      </c>
      <c r="J231">
        <v>-410.54340000000002</v>
      </c>
      <c r="K231">
        <v>1.0603910000000001</v>
      </c>
      <c r="L231">
        <v>367.19499999999999</v>
      </c>
      <c r="M231">
        <v>0.99988900000000003</v>
      </c>
      <c r="N231">
        <v>0</v>
      </c>
      <c r="O231">
        <v>2.0657240000000001E-3</v>
      </c>
      <c r="P231">
        <v>0.99359660000000005</v>
      </c>
      <c r="Q231">
        <v>0.109541899999999</v>
      </c>
      <c r="R231">
        <v>-2.7689479999999999E-2</v>
      </c>
      <c r="S231">
        <v>3.0198670000000001</v>
      </c>
      <c r="T231">
        <v>-2.5406720000000001E-2</v>
      </c>
      <c r="U231">
        <v>3.02124E-2</v>
      </c>
      <c r="V231">
        <v>2.972901E-2</v>
      </c>
      <c r="W231">
        <v>0.1241995</v>
      </c>
      <c r="X231">
        <v>0.99181180000000002</v>
      </c>
      <c r="Y231">
        <v>-7.9379740000000004E-3</v>
      </c>
      <c r="Z231" s="1">
        <v>1.6010000000000001E-5</v>
      </c>
      <c r="AA231">
        <v>0.99996850000000004</v>
      </c>
      <c r="AB231">
        <v>36</v>
      </c>
      <c r="AC231">
        <v>131.6027</v>
      </c>
      <c r="AD231">
        <v>-1.1103909999999999</v>
      </c>
      <c r="AE231">
        <v>1.3194999999999999</v>
      </c>
      <c r="AF231">
        <v>-1.0475381619098501</v>
      </c>
      <c r="AG231">
        <v>-1.1103909999999999</v>
      </c>
      <c r="AH231">
        <v>131.59577773724001</v>
      </c>
      <c r="AI231">
        <v>90.483428828220895</v>
      </c>
      <c r="AJ231">
        <v>90.456080346237201</v>
      </c>
      <c r="AK231">
        <v>131.60463146349599</v>
      </c>
      <c r="AL231">
        <v>82.865469638276906</v>
      </c>
      <c r="AM231">
        <v>88.283104775484404</v>
      </c>
      <c r="AN231">
        <v>0.999999988227535</v>
      </c>
    </row>
    <row r="232" spans="1:40" x14ac:dyDescent="0.25">
      <c r="A232" t="str">
        <f>"20190312154805503"</f>
        <v>20190312154805503</v>
      </c>
      <c r="B232" t="str">
        <f>"1552376885495957"</f>
        <v>1552376885495957</v>
      </c>
      <c r="C232" t="s">
        <v>40</v>
      </c>
      <c r="D232">
        <v>4.91866</v>
      </c>
      <c r="E232">
        <v>0.48722019999999999</v>
      </c>
      <c r="F232" t="s">
        <v>44</v>
      </c>
      <c r="G232">
        <v>-158.78319999999999</v>
      </c>
      <c r="H232">
        <v>1.9805269999999999</v>
      </c>
      <c r="I232">
        <v>369.79090000000002</v>
      </c>
      <c r="J232">
        <v>-410.18849999999998</v>
      </c>
      <c r="K232">
        <v>1.06040499999999</v>
      </c>
      <c r="L232">
        <v>367.19580000000002</v>
      </c>
      <c r="M232">
        <v>0.99988889999999997</v>
      </c>
      <c r="N232">
        <v>0</v>
      </c>
      <c r="O232">
        <v>2.1391779999999998E-3</v>
      </c>
      <c r="P232">
        <v>0.99353340000000001</v>
      </c>
      <c r="Q232">
        <v>0.11074199999999999</v>
      </c>
      <c r="R232">
        <v>-2.5059020000000001E-2</v>
      </c>
      <c r="S232">
        <v>3.019012</v>
      </c>
      <c r="T232">
        <v>1.103497E-2</v>
      </c>
      <c r="U232">
        <v>3.1127930000000002E-2</v>
      </c>
      <c r="V232">
        <v>2.7169209999999999E-2</v>
      </c>
      <c r="W232">
        <v>0.12539459999999999</v>
      </c>
      <c r="X232">
        <v>0.99173489999999997</v>
      </c>
      <c r="Y232">
        <v>-8.1707240000000007E-3</v>
      </c>
      <c r="Z232" s="1">
        <v>-7.1125710000000001E-6</v>
      </c>
      <c r="AA232">
        <v>0.99996660000000004</v>
      </c>
      <c r="AB232">
        <v>36</v>
      </c>
      <c r="AC232">
        <v>251.40530000000001</v>
      </c>
      <c r="AD232">
        <v>0.920122</v>
      </c>
      <c r="AE232">
        <v>2.5951</v>
      </c>
      <c r="AF232">
        <v>-2.0572072954739502</v>
      </c>
      <c r="AG232">
        <v>0.920122</v>
      </c>
      <c r="AH232">
        <v>251.40690940240799</v>
      </c>
      <c r="AI232">
        <v>89.790311622264497</v>
      </c>
      <c r="AJ232">
        <v>90.468828264269504</v>
      </c>
      <c r="AK232">
        <v>251.41700980964299</v>
      </c>
      <c r="AL232">
        <v>82.796456305573599</v>
      </c>
      <c r="AM232">
        <v>88.430738093023393</v>
      </c>
      <c r="AN232">
        <v>1.00000004177959</v>
      </c>
    </row>
    <row r="233" spans="1:40" x14ac:dyDescent="0.25">
      <c r="A233" t="str">
        <f>"20190312154805526"</f>
        <v>20190312154805526</v>
      </c>
      <c r="B233" t="str">
        <f>"1552376885516455"</f>
        <v>1552376885516455</v>
      </c>
      <c r="C233" t="s">
        <v>40</v>
      </c>
      <c r="D233">
        <v>4.8920209999999997</v>
      </c>
      <c r="E233">
        <v>0.48732180000000003</v>
      </c>
      <c r="F233" t="s">
        <v>44</v>
      </c>
      <c r="G233">
        <v>-158.19499999999999</v>
      </c>
      <c r="H233">
        <v>1.603375</v>
      </c>
      <c r="I233">
        <v>370.36900000000003</v>
      </c>
      <c r="J233">
        <v>-409.83429999999998</v>
      </c>
      <c r="K233">
        <v>1.0604089999999999</v>
      </c>
      <c r="L233">
        <v>367.19670000000002</v>
      </c>
      <c r="M233">
        <v>0.99988880000000002</v>
      </c>
      <c r="N233">
        <v>0</v>
      </c>
      <c r="O233">
        <v>2.2187510000000001E-3</v>
      </c>
      <c r="P233">
        <v>0.99374770000000001</v>
      </c>
      <c r="Q233">
        <v>0.1092404</v>
      </c>
      <c r="R233">
        <v>-2.307244E-2</v>
      </c>
      <c r="S233">
        <v>3.0197750000000001</v>
      </c>
      <c r="T233">
        <v>6.5077540000000001E-3</v>
      </c>
      <c r="U233">
        <v>3.80249E-2</v>
      </c>
      <c r="V233">
        <v>2.5260899999999999E-2</v>
      </c>
      <c r="W233">
        <v>0.1238929</v>
      </c>
      <c r="X233">
        <v>0.99197400000000002</v>
      </c>
      <c r="Y233">
        <v>-1.03721E-2</v>
      </c>
      <c r="Z233" s="1">
        <v>-6.393904E-6</v>
      </c>
      <c r="AA233">
        <v>0.99994620000000001</v>
      </c>
      <c r="AB233">
        <v>36</v>
      </c>
      <c r="AC233">
        <v>251.63929999999999</v>
      </c>
      <c r="AD233">
        <v>0.54296599999999995</v>
      </c>
      <c r="AE233">
        <v>3.1722999999999999</v>
      </c>
      <c r="AF233">
        <v>-2.61389435581283</v>
      </c>
      <c r="AG233">
        <v>0.54296599999999995</v>
      </c>
      <c r="AH233">
        <v>251.64454837734701</v>
      </c>
      <c r="AI233">
        <v>89.876381451540198</v>
      </c>
      <c r="AJ233">
        <v>90.595124073606897</v>
      </c>
      <c r="AK233">
        <v>251.65870933432799</v>
      </c>
      <c r="AL233">
        <v>82.883173273642797</v>
      </c>
      <c r="AM233">
        <v>88.541261948014807</v>
      </c>
      <c r="AN233">
        <v>0.99999999020760999</v>
      </c>
    </row>
    <row r="234" spans="1:40" x14ac:dyDescent="0.25">
      <c r="A234" t="str">
        <f>"20190312154805547"</f>
        <v>20190312154805547</v>
      </c>
      <c r="B234" t="str">
        <f>"1552376885535972"</f>
        <v>1552376885535972</v>
      </c>
      <c r="C234" t="s">
        <v>40</v>
      </c>
      <c r="D234">
        <v>4.9763900000000003</v>
      </c>
      <c r="E234">
        <v>0.48765449999999999</v>
      </c>
      <c r="F234" t="s">
        <v>44</v>
      </c>
      <c r="G234">
        <v>-158.19499999999999</v>
      </c>
      <c r="H234">
        <v>0.20049310000000001</v>
      </c>
      <c r="I234">
        <v>370.73259999999999</v>
      </c>
      <c r="J234">
        <v>-409.48689999999999</v>
      </c>
      <c r="K234">
        <v>1.060406</v>
      </c>
      <c r="L234">
        <v>367.19760000000002</v>
      </c>
      <c r="M234">
        <v>0.99988860000000002</v>
      </c>
      <c r="N234">
        <v>0</v>
      </c>
      <c r="O234">
        <v>2.301876E-3</v>
      </c>
      <c r="P234">
        <v>0.99407109999999999</v>
      </c>
      <c r="Q234">
        <v>0.1065009</v>
      </c>
      <c r="R234">
        <v>-2.191858E-2</v>
      </c>
      <c r="S234">
        <v>3.0210270000000001</v>
      </c>
      <c r="T234">
        <v>-1.032257E-2</v>
      </c>
      <c r="U234">
        <v>4.244995E-2</v>
      </c>
      <c r="V234">
        <v>2.41894E-2</v>
      </c>
      <c r="W234">
        <v>0.1211547</v>
      </c>
      <c r="X234">
        <v>0.99233879999999997</v>
      </c>
      <c r="Y234">
        <v>-1.1748120000000001E-2</v>
      </c>
      <c r="Z234" s="1">
        <v>1.2204369999999999E-5</v>
      </c>
      <c r="AA234">
        <v>0.99993100000000001</v>
      </c>
      <c r="AB234">
        <v>36</v>
      </c>
      <c r="AC234">
        <v>251.2919</v>
      </c>
      <c r="AD234">
        <v>-0.85991289999999998</v>
      </c>
      <c r="AE234">
        <v>3.5349999999999602</v>
      </c>
      <c r="AF234">
        <v>-2.95645031350027</v>
      </c>
      <c r="AG234">
        <v>-0.85991289999999998</v>
      </c>
      <c r="AH234">
        <v>251.296430053699</v>
      </c>
      <c r="AI234">
        <v>90.196046471101994</v>
      </c>
      <c r="AJ234">
        <v>90.674041850532106</v>
      </c>
      <c r="AK234">
        <v>251.31529162863399</v>
      </c>
      <c r="AL234">
        <v>83.041251317625495</v>
      </c>
      <c r="AM234">
        <v>88.603625981675506</v>
      </c>
      <c r="AN234">
        <v>0.99999994119494295</v>
      </c>
    </row>
    <row r="235" spans="1:40" x14ac:dyDescent="0.25">
      <c r="A235" t="str">
        <f>"20190312154805570"</f>
        <v>20190312154805570</v>
      </c>
      <c r="B235" t="str">
        <f>"1552376885556469"</f>
        <v>1552376885556469</v>
      </c>
      <c r="C235" t="s">
        <v>40</v>
      </c>
      <c r="D235">
        <v>4.9918310000000004</v>
      </c>
      <c r="E235">
        <v>0.4881567</v>
      </c>
      <c r="F235" t="s">
        <v>43</v>
      </c>
      <c r="G235">
        <v>-282.85849999999999</v>
      </c>
      <c r="H235">
        <v>-0.05</v>
      </c>
      <c r="I235">
        <v>368.9932</v>
      </c>
      <c r="J235">
        <v>-409.13060000000002</v>
      </c>
      <c r="K235">
        <v>1.0603940000000001</v>
      </c>
      <c r="L235">
        <v>367.19850000000002</v>
      </c>
      <c r="M235">
        <v>0.99988849999999996</v>
      </c>
      <c r="N235">
        <v>0</v>
      </c>
      <c r="O235">
        <v>2.3898650000000001E-3</v>
      </c>
      <c r="P235">
        <v>0.99439080000000002</v>
      </c>
      <c r="Q235">
        <v>0.1036088</v>
      </c>
      <c r="R235">
        <v>-2.1271149999999999E-2</v>
      </c>
      <c r="S235">
        <v>3.0216370000000001</v>
      </c>
      <c r="T235">
        <v>-2.6496769999999999E-2</v>
      </c>
      <c r="U235">
        <v>4.2846679999999998E-2</v>
      </c>
      <c r="V235">
        <v>2.3630000000000002E-2</v>
      </c>
      <c r="W235">
        <v>0.1182637</v>
      </c>
      <c r="X235">
        <v>0.9927011</v>
      </c>
      <c r="Y235">
        <v>-1.178825E-2</v>
      </c>
      <c r="Z235" s="1">
        <v>3.072459E-5</v>
      </c>
      <c r="AA235">
        <v>0.99993050000000006</v>
      </c>
      <c r="AB235">
        <v>36</v>
      </c>
      <c r="AC235">
        <v>126.27209999999999</v>
      </c>
      <c r="AD235">
        <v>-1.1103940000000001</v>
      </c>
      <c r="AE235">
        <v>1.79469999999997</v>
      </c>
      <c r="AF235">
        <v>-1.4927734014668601</v>
      </c>
      <c r="AG235">
        <v>-1.1103940000000001</v>
      </c>
      <c r="AH235">
        <v>126.266266874198</v>
      </c>
      <c r="AI235">
        <v>90.503814724762805</v>
      </c>
      <c r="AJ235">
        <v>90.677343468750607</v>
      </c>
      <c r="AK235">
        <v>126.279972670292</v>
      </c>
      <c r="AL235">
        <v>83.208094173013905</v>
      </c>
      <c r="AM235">
        <v>88.636403604078097</v>
      </c>
      <c r="AN235">
        <v>1.0000000767894399</v>
      </c>
    </row>
    <row r="236" spans="1:40" x14ac:dyDescent="0.25">
      <c r="A236" t="str">
        <f>"20190312154805592"</f>
        <v>20190312154805592</v>
      </c>
      <c r="B236" t="str">
        <f>"1552376885586724"</f>
        <v>1552376885586724</v>
      </c>
      <c r="C236" t="s">
        <v>40</v>
      </c>
      <c r="D236">
        <v>5.0252970000000001</v>
      </c>
      <c r="E236">
        <v>0.48892970000000002</v>
      </c>
      <c r="F236" t="s">
        <v>42</v>
      </c>
      <c r="G236">
        <v>-330.67939999999999</v>
      </c>
      <c r="H236" s="1">
        <v>-4.2231360000000004E-6</v>
      </c>
      <c r="I236">
        <v>368.25049999999999</v>
      </c>
      <c r="J236">
        <v>-408.76920000000001</v>
      </c>
      <c r="K236">
        <v>1.06037</v>
      </c>
      <c r="L236">
        <v>367.19940000000003</v>
      </c>
      <c r="M236">
        <v>0.9998882</v>
      </c>
      <c r="N236">
        <v>0</v>
      </c>
      <c r="O236">
        <v>2.480173E-3</v>
      </c>
      <c r="P236">
        <v>0.99503410000000003</v>
      </c>
      <c r="Q236">
        <v>9.7071320000000003E-2</v>
      </c>
      <c r="R236">
        <v>-2.2009440000000002E-2</v>
      </c>
      <c r="S236">
        <v>3.0220340000000001</v>
      </c>
      <c r="T236">
        <v>-4.084778E-2</v>
      </c>
      <c r="U236">
        <v>4.0527340000000002E-2</v>
      </c>
      <c r="V236">
        <v>2.4459979999999999E-2</v>
      </c>
      <c r="W236">
        <v>0.1117326</v>
      </c>
      <c r="X236">
        <v>0.99343720000000002</v>
      </c>
      <c r="Y236">
        <v>-1.092838E-2</v>
      </c>
      <c r="Z236" s="1">
        <v>4.0326790000000001E-5</v>
      </c>
      <c r="AA236">
        <v>0.9999403</v>
      </c>
      <c r="AB236">
        <v>36</v>
      </c>
      <c r="AC236">
        <v>78.089799999999997</v>
      </c>
      <c r="AD236">
        <v>-1.060374223136</v>
      </c>
      <c r="AE236">
        <v>1.05109999999996</v>
      </c>
      <c r="AF236">
        <v>-0.85724145808256103</v>
      </c>
      <c r="AG236">
        <v>-1.060374223136</v>
      </c>
      <c r="AH236">
        <v>78.077773066671398</v>
      </c>
      <c r="AI236">
        <v>90.778039249367794</v>
      </c>
      <c r="AJ236">
        <v>90.629043864847802</v>
      </c>
      <c r="AK236">
        <v>78.0896785975022</v>
      </c>
      <c r="AL236">
        <v>83.584797773255005</v>
      </c>
      <c r="AM236">
        <v>88.589573123678804</v>
      </c>
      <c r="AN236">
        <v>0.99999996743409902</v>
      </c>
    </row>
    <row r="237" spans="1:40" x14ac:dyDescent="0.25">
      <c r="A237" t="str">
        <f>"20190312154805616"</f>
        <v>20190312154805616</v>
      </c>
      <c r="B237" t="str">
        <f>"1552376885606244"</f>
        <v>1552376885606244</v>
      </c>
      <c r="C237" t="s">
        <v>40</v>
      </c>
      <c r="D237">
        <v>4.9884769999999996</v>
      </c>
      <c r="E237">
        <v>0.48936170000000001</v>
      </c>
      <c r="F237" t="s">
        <v>42</v>
      </c>
      <c r="G237">
        <v>-364.49200000000002</v>
      </c>
      <c r="H237" s="1">
        <v>-2.6903010000000001E-6</v>
      </c>
      <c r="I237">
        <v>367.67099999999999</v>
      </c>
      <c r="J237">
        <v>-408.39060000000001</v>
      </c>
      <c r="K237">
        <v>1.0603479999999901</v>
      </c>
      <c r="L237">
        <v>367.20049999999998</v>
      </c>
      <c r="M237">
        <v>0.99988809999999995</v>
      </c>
      <c r="N237">
        <v>0</v>
      </c>
      <c r="O237">
        <v>2.5748329999999999E-3</v>
      </c>
      <c r="P237">
        <v>0.99548760000000003</v>
      </c>
      <c r="Q237">
        <v>9.1999650000000002E-2</v>
      </c>
      <c r="R237">
        <v>-2.3248230000000002E-2</v>
      </c>
      <c r="S237">
        <v>3.0227360000000001</v>
      </c>
      <c r="T237">
        <v>-7.2389839999999997E-2</v>
      </c>
      <c r="U237">
        <v>3.2196040000000002E-2</v>
      </c>
      <c r="V237">
        <v>2.5794419999999998E-2</v>
      </c>
      <c r="W237">
        <v>0.1066638</v>
      </c>
      <c r="X237">
        <v>0.99396050000000002</v>
      </c>
      <c r="Y237">
        <v>-8.0741110000000001E-3</v>
      </c>
      <c r="Z237" s="1">
        <v>3.5005529999999998E-5</v>
      </c>
      <c r="AA237">
        <v>0.99996739999999995</v>
      </c>
      <c r="AB237">
        <v>36</v>
      </c>
      <c r="AC237">
        <v>43.898600000000002</v>
      </c>
      <c r="AD237">
        <v>-1.0603506903009901</v>
      </c>
      <c r="AE237">
        <v>0.47050000000001502</v>
      </c>
      <c r="AF237">
        <v>-0.357246192734408</v>
      </c>
      <c r="AG237">
        <v>-1.0603506903009901</v>
      </c>
      <c r="AH237">
        <v>43.874071003353698</v>
      </c>
      <c r="AI237">
        <v>91.384411812236806</v>
      </c>
      <c r="AJ237">
        <v>90.466522624328903</v>
      </c>
      <c r="AK237">
        <v>43.888336432769599</v>
      </c>
      <c r="AL237">
        <v>83.876966305278501</v>
      </c>
      <c r="AM237">
        <v>88.513442171541598</v>
      </c>
      <c r="AN237">
        <v>0.99999999694691299</v>
      </c>
    </row>
    <row r="238" spans="1:40" x14ac:dyDescent="0.25">
      <c r="A238" t="str">
        <f>"20190312154805638"</f>
        <v>20190312154805638</v>
      </c>
      <c r="B238" t="str">
        <f>"1552376885626741"</f>
        <v>1552376885626741</v>
      </c>
      <c r="C238" t="s">
        <v>40</v>
      </c>
      <c r="D238">
        <v>5.0157629999999997</v>
      </c>
      <c r="E238">
        <v>0.48971969999999998</v>
      </c>
      <c r="F238" t="s">
        <v>42</v>
      </c>
      <c r="G238">
        <v>-374.47890000000001</v>
      </c>
      <c r="H238" s="1">
        <v>-2.7287280000000002E-6</v>
      </c>
      <c r="I238">
        <v>367.48599999999999</v>
      </c>
      <c r="J238">
        <v>-408.04140000000001</v>
      </c>
      <c r="K238">
        <v>1.0603320000000001</v>
      </c>
      <c r="L238">
        <v>367.20150000000001</v>
      </c>
      <c r="M238">
        <v>0.99988809999999995</v>
      </c>
      <c r="N238">
        <v>0</v>
      </c>
      <c r="O238">
        <v>2.662083E-3</v>
      </c>
      <c r="P238">
        <v>0.99579640000000003</v>
      </c>
      <c r="Q238">
        <v>8.8044109999999995E-2</v>
      </c>
      <c r="R238">
        <v>-2.526223E-2</v>
      </c>
      <c r="S238">
        <v>3.0228579999999998</v>
      </c>
      <c r="T238">
        <v>-9.4518539999999998E-2</v>
      </c>
      <c r="U238">
        <v>2.5451660000000001E-2</v>
      </c>
      <c r="V238">
        <v>2.7896270000000001E-2</v>
      </c>
      <c r="W238">
        <v>0.1027098</v>
      </c>
      <c r="X238">
        <v>0.99432010000000004</v>
      </c>
      <c r="Y238">
        <v>-5.7556179999999997E-3</v>
      </c>
      <c r="Z238" s="1">
        <v>6.7348079999999997E-6</v>
      </c>
      <c r="AA238">
        <v>0.99998339999999997</v>
      </c>
      <c r="AB238">
        <v>36</v>
      </c>
      <c r="AC238">
        <v>33.5625</v>
      </c>
      <c r="AD238">
        <v>-1.0603347287279901</v>
      </c>
      <c r="AE238">
        <v>0.28449999999997999</v>
      </c>
      <c r="AF238">
        <v>-0.19494858306223001</v>
      </c>
      <c r="AG238">
        <v>-1.0603347287279901</v>
      </c>
      <c r="AH238">
        <v>33.529674676418701</v>
      </c>
      <c r="AI238">
        <v>91.811274328202998</v>
      </c>
      <c r="AJ238">
        <v>90.3331259631194</v>
      </c>
      <c r="AK238">
        <v>33.547002825788503</v>
      </c>
      <c r="AL238">
        <v>84.104765592998803</v>
      </c>
      <c r="AM238">
        <v>88.392952759619604</v>
      </c>
      <c r="AN238">
        <v>0.99999998307998095</v>
      </c>
    </row>
    <row r="239" spans="1:40" x14ac:dyDescent="0.25">
      <c r="A239" t="str">
        <f>"20190312154805659"</f>
        <v>20190312154805659</v>
      </c>
      <c r="B239" t="str">
        <f>"1552376885656022"</f>
        <v>1552376885656022</v>
      </c>
      <c r="C239" t="s">
        <v>40</v>
      </c>
      <c r="D239">
        <v>5.0639690000000002</v>
      </c>
      <c r="E239">
        <v>0.49024129999999999</v>
      </c>
      <c r="F239" t="s">
        <v>42</v>
      </c>
      <c r="G239">
        <v>-379.24509999999998</v>
      </c>
      <c r="H239" s="1">
        <v>-8.4223889999999898E-7</v>
      </c>
      <c r="I239">
        <v>367.3639</v>
      </c>
      <c r="J239">
        <v>-407.69600000000003</v>
      </c>
      <c r="K239">
        <v>1.0603129999999901</v>
      </c>
      <c r="L239">
        <v>367.20249999999999</v>
      </c>
      <c r="M239">
        <v>0.99988790000000005</v>
      </c>
      <c r="N239">
        <v>0</v>
      </c>
      <c r="O239">
        <v>2.7522100000000002E-3</v>
      </c>
      <c r="P239">
        <v>0.99616190000000004</v>
      </c>
      <c r="Q239">
        <v>8.313748E-2</v>
      </c>
      <c r="R239">
        <v>-2.738252E-2</v>
      </c>
      <c r="S239">
        <v>3.0229490000000001</v>
      </c>
      <c r="T239">
        <v>-0.1113107</v>
      </c>
      <c r="U239">
        <v>1.7059330000000001E-2</v>
      </c>
      <c r="V239">
        <v>3.010763E-2</v>
      </c>
      <c r="W239">
        <v>9.7805600000000006E-2</v>
      </c>
      <c r="X239">
        <v>0.99475000000000002</v>
      </c>
      <c r="Y239">
        <v>-2.8906040000000002E-3</v>
      </c>
      <c r="Z239" s="1">
        <v>-4.8116850000000003E-5</v>
      </c>
      <c r="AA239">
        <v>0.99999579999999999</v>
      </c>
      <c r="AB239">
        <v>36</v>
      </c>
      <c r="AC239">
        <v>28.450899999999901</v>
      </c>
      <c r="AD239">
        <v>-1.06031384223889</v>
      </c>
      <c r="AE239">
        <v>0.161400000000014</v>
      </c>
      <c r="AF239">
        <v>-8.2972816233042396E-2</v>
      </c>
      <c r="AG239">
        <v>-1.06031384223889</v>
      </c>
      <c r="AH239">
        <v>28.411776099416102</v>
      </c>
      <c r="AI239">
        <v>92.137250023902993</v>
      </c>
      <c r="AJ239">
        <v>90.167324233903003</v>
      </c>
      <c r="AK239">
        <v>28.4316754880121</v>
      </c>
      <c r="AL239">
        <v>84.387178793831893</v>
      </c>
      <c r="AM239">
        <v>88.266384849346906</v>
      </c>
      <c r="AN239">
        <v>0.99999998363778797</v>
      </c>
    </row>
    <row r="240" spans="1:40" x14ac:dyDescent="0.25">
      <c r="A240" t="str">
        <f>"20190312154805683"</f>
        <v>20190312154805683</v>
      </c>
      <c r="B240" t="str">
        <f>"1552376885676516"</f>
        <v>1552376885676516</v>
      </c>
      <c r="C240" t="s">
        <v>40</v>
      </c>
      <c r="D240">
        <v>5.0325829999999998</v>
      </c>
      <c r="E240">
        <v>0.49040119999999998</v>
      </c>
      <c r="F240" t="s">
        <v>42</v>
      </c>
      <c r="G240">
        <v>-383.1755</v>
      </c>
      <c r="H240" s="1">
        <v>-3.328484E-6</v>
      </c>
      <c r="I240">
        <v>367.25700000000001</v>
      </c>
      <c r="J240">
        <v>-407.33199999999999</v>
      </c>
      <c r="K240">
        <v>1.060292</v>
      </c>
      <c r="L240">
        <v>367.20359999999999</v>
      </c>
      <c r="M240">
        <v>0.99988759999999999</v>
      </c>
      <c r="N240">
        <v>0</v>
      </c>
      <c r="O240">
        <v>2.872323E-3</v>
      </c>
      <c r="P240">
        <v>0.99655280000000002</v>
      </c>
      <c r="Q240">
        <v>7.7304590000000006E-2</v>
      </c>
      <c r="R240">
        <v>-3.0114330000000002E-2</v>
      </c>
      <c r="S240">
        <v>3.0226440000000001</v>
      </c>
      <c r="T240">
        <v>-0.13070499999999999</v>
      </c>
      <c r="U240">
        <v>6.7138669999999897E-3</v>
      </c>
      <c r="V240">
        <v>3.2958220000000003E-2</v>
      </c>
      <c r="W240">
        <v>9.1976470000000005E-2</v>
      </c>
      <c r="X240">
        <v>0.99521559999999998</v>
      </c>
      <c r="Y240">
        <v>6.4816150000000002E-4</v>
      </c>
      <c r="Z240">
        <v>-1.38167199999999E-4</v>
      </c>
      <c r="AA240">
        <v>0.99999979999999999</v>
      </c>
      <c r="AB240">
        <v>36</v>
      </c>
      <c r="AC240">
        <v>24.156499999999902</v>
      </c>
      <c r="AD240">
        <v>-1.060295328484</v>
      </c>
      <c r="AE240">
        <v>5.33999999999537E-2</v>
      </c>
      <c r="AF240">
        <v>1.5962252034801099E-2</v>
      </c>
      <c r="AG240">
        <v>-1.060295328484</v>
      </c>
      <c r="AH240">
        <v>24.110104057868</v>
      </c>
      <c r="AI240">
        <v>92.518086010950995</v>
      </c>
      <c r="AJ240">
        <v>89.962066960088606</v>
      </c>
      <c r="AK240">
        <v>24.133412495093101</v>
      </c>
      <c r="AL240">
        <v>84.722677822124297</v>
      </c>
      <c r="AM240">
        <v>88.103248152720894</v>
      </c>
      <c r="AN240">
        <v>1.0000000028912901</v>
      </c>
    </row>
    <row r="241" spans="1:40" x14ac:dyDescent="0.25">
      <c r="A241" t="str">
        <f>"20190312154805716"</f>
        <v>20190312154805716</v>
      </c>
      <c r="B241" t="str">
        <f>"1552376885706773"</f>
        <v>1552376885706773</v>
      </c>
      <c r="C241" t="s">
        <v>40</v>
      </c>
      <c r="D241">
        <v>5.0243840000000004</v>
      </c>
      <c r="E241">
        <v>0.49059459999999999</v>
      </c>
      <c r="F241" t="s">
        <v>42</v>
      </c>
      <c r="G241">
        <v>-386.00880000000001</v>
      </c>
      <c r="H241" s="1">
        <v>-2.1264160000000001E-6</v>
      </c>
      <c r="I241">
        <v>367.1816</v>
      </c>
      <c r="J241">
        <v>-406.79880000000003</v>
      </c>
      <c r="K241">
        <v>1.0603279999999999</v>
      </c>
      <c r="L241">
        <v>367.2054</v>
      </c>
      <c r="M241">
        <v>0.99988679999999996</v>
      </c>
      <c r="N241">
        <v>0</v>
      </c>
      <c r="O241">
        <v>3.1739170000000001E-3</v>
      </c>
      <c r="P241">
        <v>0.99650939999999999</v>
      </c>
      <c r="Q241">
        <v>7.7542840000000002E-2</v>
      </c>
      <c r="R241">
        <v>-3.0924279999999998E-2</v>
      </c>
      <c r="S241">
        <v>3.0219420000000001</v>
      </c>
      <c r="T241">
        <v>-0.15026489999999901</v>
      </c>
      <c r="U241">
        <v>-3.112793E-3</v>
      </c>
      <c r="V241">
        <v>3.4054710000000002E-2</v>
      </c>
      <c r="W241">
        <v>9.2213400000000001E-2</v>
      </c>
      <c r="X241">
        <v>0.99515679999999995</v>
      </c>
      <c r="Y241">
        <v>4.1952109999999999E-3</v>
      </c>
      <c r="Z241">
        <v>-2.6197939999999999E-4</v>
      </c>
      <c r="AA241">
        <v>0.99999119999999997</v>
      </c>
      <c r="AB241">
        <v>36</v>
      </c>
      <c r="AC241">
        <v>20.79</v>
      </c>
      <c r="AD241">
        <v>-1.0603301264159899</v>
      </c>
      <c r="AE241">
        <v>-2.3799999999994201E-2</v>
      </c>
      <c r="AF241">
        <v>8.9559790143991097E-2</v>
      </c>
      <c r="AG241">
        <v>-1.0603301264159899</v>
      </c>
      <c r="AH241">
        <v>20.735881673199099</v>
      </c>
      <c r="AI241">
        <v>92.927245061264401</v>
      </c>
      <c r="AJ241">
        <v>89.752536874831193</v>
      </c>
      <c r="AK241">
        <v>20.7631671403452</v>
      </c>
      <c r="AL241">
        <v>84.709045021962595</v>
      </c>
      <c r="AM241">
        <v>88.040077654138301</v>
      </c>
      <c r="AN241">
        <v>1.00000004549949</v>
      </c>
    </row>
    <row r="242" spans="1:40" x14ac:dyDescent="0.25">
      <c r="A242" t="str">
        <f>"20190312154805738"</f>
        <v>20190312154805738</v>
      </c>
      <c r="B242" t="str">
        <f>"1552376885726292"</f>
        <v>1552376885726292</v>
      </c>
      <c r="C242" t="s">
        <v>40</v>
      </c>
      <c r="D242">
        <v>4.9830860000000001</v>
      </c>
      <c r="E242">
        <v>0.49078050000000001</v>
      </c>
      <c r="F242" t="s">
        <v>42</v>
      </c>
      <c r="G242">
        <v>-385.66019999999997</v>
      </c>
      <c r="H242" s="1">
        <v>-2.2807410000000001E-6</v>
      </c>
      <c r="I242">
        <v>367.15460000000002</v>
      </c>
      <c r="J242">
        <v>-406.45859999999999</v>
      </c>
      <c r="K242">
        <v>1.060378</v>
      </c>
      <c r="L242">
        <v>367.20679999999999</v>
      </c>
      <c r="M242">
        <v>0.99988589999999999</v>
      </c>
      <c r="N242">
        <v>0</v>
      </c>
      <c r="O242">
        <v>3.451544E-3</v>
      </c>
      <c r="P242">
        <v>0.99662819999999996</v>
      </c>
      <c r="Q242">
        <v>7.6266479999999998E-2</v>
      </c>
      <c r="R242">
        <v>-3.026554E-2</v>
      </c>
      <c r="S242">
        <v>3.0220950000000002</v>
      </c>
      <c r="T242">
        <v>-0.15159010000000001</v>
      </c>
      <c r="U242">
        <v>-7.2631839999999998E-3</v>
      </c>
      <c r="V242">
        <v>3.3660099999999998E-2</v>
      </c>
      <c r="W242">
        <v>9.0940359999999998E-2</v>
      </c>
      <c r="X242">
        <v>0.99528729999999999</v>
      </c>
      <c r="Y242">
        <v>5.8435589999999999E-3</v>
      </c>
      <c r="Z242">
        <v>-3.1950700000000002E-4</v>
      </c>
      <c r="AA242">
        <v>0.99998290000000001</v>
      </c>
      <c r="AB242">
        <v>35</v>
      </c>
      <c r="AC242">
        <v>20.798400000000001</v>
      </c>
      <c r="AD242">
        <v>-1.0603802807410001</v>
      </c>
      <c r="AE242">
        <v>-5.21999999999707E-2</v>
      </c>
      <c r="AF242">
        <v>0.12367258045382</v>
      </c>
      <c r="AG242">
        <v>-1.0603802807410001</v>
      </c>
      <c r="AH242">
        <v>20.744175028627701</v>
      </c>
      <c r="AI242">
        <v>92.926190304921207</v>
      </c>
      <c r="AJ242">
        <v>89.658418185257105</v>
      </c>
      <c r="AK242">
        <v>20.771627256074101</v>
      </c>
      <c r="AL242">
        <v>84.782292288413103</v>
      </c>
      <c r="AM242">
        <v>88.063024720892599</v>
      </c>
      <c r="AN242">
        <v>0.99999998047511396</v>
      </c>
    </row>
    <row r="243" spans="1:40" x14ac:dyDescent="0.25">
      <c r="A243" t="str">
        <f>"20190312154805760"</f>
        <v>20190312154805760</v>
      </c>
      <c r="B243" t="str">
        <f>"1552376885756548"</f>
        <v>1552376885756548</v>
      </c>
      <c r="C243" t="s">
        <v>40</v>
      </c>
      <c r="D243">
        <v>4.9300369999999996</v>
      </c>
      <c r="E243">
        <v>0.4910428</v>
      </c>
      <c r="F243" t="s">
        <v>42</v>
      </c>
      <c r="G243">
        <v>-385.78339999999997</v>
      </c>
      <c r="H243" s="1">
        <v>-2.2258069999999999E-6</v>
      </c>
      <c r="I243">
        <v>367.16640000000001</v>
      </c>
      <c r="J243">
        <v>-406.1053</v>
      </c>
      <c r="K243">
        <v>1.0604359999999999</v>
      </c>
      <c r="L243">
        <v>367.20830000000001</v>
      </c>
      <c r="M243">
        <v>0.99988449999999995</v>
      </c>
      <c r="N243">
        <v>0</v>
      </c>
      <c r="O243">
        <v>3.8048650000000002E-3</v>
      </c>
      <c r="P243">
        <v>0.99711229999999995</v>
      </c>
      <c r="Q243">
        <v>6.9817149999999994E-2</v>
      </c>
      <c r="R243">
        <v>-2.987623E-2</v>
      </c>
      <c r="S243">
        <v>3.02182</v>
      </c>
      <c r="T243">
        <v>-0.15498100000000001</v>
      </c>
      <c r="U243">
        <v>-5.8898930000000002E-3</v>
      </c>
      <c r="V243">
        <v>3.3614499999999999E-2</v>
      </c>
      <c r="W243">
        <v>8.4500820000000004E-2</v>
      </c>
      <c r="X243">
        <v>0.99585619999999997</v>
      </c>
      <c r="Y243">
        <v>5.7418259999999898E-3</v>
      </c>
      <c r="Z243">
        <v>-3.4217839999999998E-4</v>
      </c>
      <c r="AA243">
        <v>0.99998339999999997</v>
      </c>
      <c r="AB243">
        <v>35</v>
      </c>
      <c r="AC243">
        <v>20.321899999999999</v>
      </c>
      <c r="AD243">
        <v>-1.060438225807</v>
      </c>
      <c r="AE243">
        <v>-4.1899999999998203E-2</v>
      </c>
      <c r="AF243">
        <v>0.118906377951337</v>
      </c>
      <c r="AG243">
        <v>-1.060438225807</v>
      </c>
      <c r="AH243">
        <v>20.266408929984902</v>
      </c>
      <c r="AI243">
        <v>92.995214036755698</v>
      </c>
      <c r="AJ243">
        <v>89.663840028848199</v>
      </c>
      <c r="AK243">
        <v>20.294481980943601</v>
      </c>
      <c r="AL243">
        <v>85.152679052593697</v>
      </c>
      <c r="AM243">
        <v>88.066750978424096</v>
      </c>
      <c r="AN243">
        <v>0.99999994713467899</v>
      </c>
    </row>
    <row r="244" spans="1:40" x14ac:dyDescent="0.25">
      <c r="A244" t="str">
        <f>"20190312154805781"</f>
        <v>20190312154805781</v>
      </c>
      <c r="B244" t="str">
        <f>"1552376885776068"</f>
        <v>1552376885776068</v>
      </c>
      <c r="C244" t="s">
        <v>40</v>
      </c>
      <c r="D244">
        <v>4.9262920000000001</v>
      </c>
      <c r="E244">
        <v>0.49112460000000002</v>
      </c>
      <c r="F244" t="s">
        <v>42</v>
      </c>
      <c r="G244">
        <v>-387.72059999999999</v>
      </c>
      <c r="H244" s="1">
        <v>-1.4120950000000001E-6</v>
      </c>
      <c r="I244">
        <v>367.17200000000003</v>
      </c>
      <c r="J244">
        <v>-405.7629</v>
      </c>
      <c r="K244">
        <v>1.060505</v>
      </c>
      <c r="L244">
        <v>367.21</v>
      </c>
      <c r="M244">
        <v>0.99988310000000002</v>
      </c>
      <c r="N244">
        <v>0</v>
      </c>
      <c r="O244">
        <v>4.2041700000000001E-3</v>
      </c>
      <c r="P244">
        <v>0.99729060000000003</v>
      </c>
      <c r="Q244">
        <v>6.6917660000000004E-2</v>
      </c>
      <c r="R244">
        <v>-3.056302E-2</v>
      </c>
      <c r="S244">
        <v>3.020721</v>
      </c>
      <c r="T244">
        <v>-0.17423620000000001</v>
      </c>
      <c r="U244">
        <v>-5.9509280000000003E-3</v>
      </c>
      <c r="V244">
        <v>3.469146E-2</v>
      </c>
      <c r="W244">
        <v>8.1605490000000003E-2</v>
      </c>
      <c r="X244">
        <v>0.99606079999999997</v>
      </c>
      <c r="Y244">
        <v>6.1574079999999996E-3</v>
      </c>
      <c r="Z244">
        <v>-4.1975520000000002E-4</v>
      </c>
      <c r="AA244">
        <v>0.99998089999999995</v>
      </c>
      <c r="AB244">
        <v>35</v>
      </c>
      <c r="AC244">
        <v>18.042300000000001</v>
      </c>
      <c r="AD244">
        <v>-1.0605064120950001</v>
      </c>
      <c r="AE244">
        <v>-3.80000000000109E-2</v>
      </c>
      <c r="AF244">
        <v>0.113468730172302</v>
      </c>
      <c r="AG244">
        <v>-1.0605064120950001</v>
      </c>
      <c r="AH244">
        <v>17.979861345975198</v>
      </c>
      <c r="AI244">
        <v>93.375499795721097</v>
      </c>
      <c r="AJ244">
        <v>89.638418066006906</v>
      </c>
      <c r="AK244">
        <v>18.011467542188701</v>
      </c>
      <c r="AL244">
        <v>85.319144842236199</v>
      </c>
      <c r="AM244">
        <v>88.005271243261106</v>
      </c>
      <c r="AN244">
        <v>1.00000003534585</v>
      </c>
    </row>
    <row r="245" spans="1:40" x14ac:dyDescent="0.25">
      <c r="A245" t="str">
        <f>"20190312154805804"</f>
        <v>20190312154805804</v>
      </c>
      <c r="B245" t="str">
        <f>"1552376885796570"</f>
        <v>1552376885796570</v>
      </c>
      <c r="C245" t="s">
        <v>40</v>
      </c>
      <c r="D245">
        <v>4.9347070000000004</v>
      </c>
      <c r="E245">
        <v>0.49120029999999998</v>
      </c>
      <c r="F245" t="s">
        <v>42</v>
      </c>
      <c r="G245">
        <v>-388.15969999999999</v>
      </c>
      <c r="H245" s="1">
        <v>-1.2656E-6</v>
      </c>
      <c r="I245">
        <v>367.161</v>
      </c>
      <c r="J245">
        <v>-405.40699999999998</v>
      </c>
      <c r="K245">
        <v>1.060581</v>
      </c>
      <c r="L245">
        <v>367.21199999999999</v>
      </c>
      <c r="M245">
        <v>0.99988100000000002</v>
      </c>
      <c r="N245">
        <v>0</v>
      </c>
      <c r="O245">
        <v>4.6687539999999998E-3</v>
      </c>
      <c r="P245">
        <v>0.99688619999999994</v>
      </c>
      <c r="Q245">
        <v>7.2228470000000003E-2</v>
      </c>
      <c r="R245">
        <v>-3.1643110000000002E-2</v>
      </c>
      <c r="S245">
        <v>3.0201419999999999</v>
      </c>
      <c r="T245">
        <v>-0.1819482</v>
      </c>
      <c r="U245">
        <v>-8.3923339999999996E-3</v>
      </c>
      <c r="V245">
        <v>3.6220570000000001E-2</v>
      </c>
      <c r="W245">
        <v>8.691045E-2</v>
      </c>
      <c r="X245">
        <v>0.99555740000000004</v>
      </c>
      <c r="Y245">
        <v>7.4260580000000001E-3</v>
      </c>
      <c r="Z245">
        <v>-5.045316E-4</v>
      </c>
      <c r="AA245">
        <v>0.99997230000000004</v>
      </c>
      <c r="AB245">
        <v>35</v>
      </c>
      <c r="AC245">
        <v>17.2472999999999</v>
      </c>
      <c r="AD245">
        <v>-1.0605822655999999</v>
      </c>
      <c r="AE245">
        <v>-5.0999999999987701E-2</v>
      </c>
      <c r="AF245">
        <v>0.13103606200712201</v>
      </c>
      <c r="AG245">
        <v>-1.0605822655999999</v>
      </c>
      <c r="AH245">
        <v>17.181903689184399</v>
      </c>
      <c r="AI245">
        <v>93.532095547298397</v>
      </c>
      <c r="AJ245">
        <v>89.563047965958205</v>
      </c>
      <c r="AK245">
        <v>17.215104402124901</v>
      </c>
      <c r="AL245">
        <v>85.014107504125903</v>
      </c>
      <c r="AM245">
        <v>87.916372417788494</v>
      </c>
      <c r="AN245">
        <v>0.99999994635254197</v>
      </c>
    </row>
    <row r="246" spans="1:40" x14ac:dyDescent="0.25">
      <c r="A246" t="str">
        <f>"20190312154805825"</f>
        <v>20190312154805825</v>
      </c>
      <c r="B246" t="str">
        <f>"1552376885816088"</f>
        <v>1552376885816088</v>
      </c>
      <c r="C246" t="s">
        <v>40</v>
      </c>
      <c r="D246">
        <v>4.8973969999999998</v>
      </c>
      <c r="E246">
        <v>0.49128260000000001</v>
      </c>
      <c r="F246" t="s">
        <v>42</v>
      </c>
      <c r="G246">
        <v>-385.96440000000001</v>
      </c>
      <c r="H246" s="1">
        <v>-2.1535300000000002E-6</v>
      </c>
      <c r="I246">
        <v>367.13589999999999</v>
      </c>
      <c r="J246">
        <v>-405.06920000000002</v>
      </c>
      <c r="K246">
        <v>1.0606310000000001</v>
      </c>
      <c r="L246">
        <v>367.214</v>
      </c>
      <c r="M246">
        <v>0.99987879999999996</v>
      </c>
      <c r="N246">
        <v>0</v>
      </c>
      <c r="O246">
        <v>5.1442830000000004E-3</v>
      </c>
      <c r="P246">
        <v>0.99629979999999996</v>
      </c>
      <c r="Q246">
        <v>7.9686610000000005E-2</v>
      </c>
      <c r="R246">
        <v>-3.2199520000000002E-2</v>
      </c>
      <c r="S246">
        <v>3.0209350000000001</v>
      </c>
      <c r="T246">
        <v>-0.16478989999999999</v>
      </c>
      <c r="U246">
        <v>-1.1810299999999999E-2</v>
      </c>
      <c r="V246">
        <v>3.7235480000000001E-2</v>
      </c>
      <c r="W246">
        <v>9.4358360000000002E-2</v>
      </c>
      <c r="X246">
        <v>0.99484170000000005</v>
      </c>
      <c r="Y246">
        <v>9.0331249999999995E-3</v>
      </c>
      <c r="Z246">
        <v>-5.2662900000000003E-4</v>
      </c>
      <c r="AA246">
        <v>0.99995909999999999</v>
      </c>
      <c r="AB246">
        <v>35</v>
      </c>
      <c r="AC246">
        <v>19.104800000000001</v>
      </c>
      <c r="AD246">
        <v>-1.06063315352999</v>
      </c>
      <c r="AE246">
        <v>-7.8100000000006206E-2</v>
      </c>
      <c r="AF246">
        <v>0.175848105644025</v>
      </c>
      <c r="AG246">
        <v>-1.06063315352999</v>
      </c>
      <c r="AH246">
        <v>19.045446529132001</v>
      </c>
      <c r="AI246">
        <v>93.187350598846095</v>
      </c>
      <c r="AJ246">
        <v>89.470998593764094</v>
      </c>
      <c r="AK246">
        <v>19.075767317113399</v>
      </c>
      <c r="AL246">
        <v>84.585609314494107</v>
      </c>
      <c r="AM246">
        <v>87.856502750164196</v>
      </c>
      <c r="AN246">
        <v>0.99999999456580502</v>
      </c>
    </row>
    <row r="247" spans="1:40" x14ac:dyDescent="0.25">
      <c r="A247" t="str">
        <f>"20190312154805849"</f>
        <v>20190312154805849</v>
      </c>
      <c r="B247" t="str">
        <f>"1552376885836580"</f>
        <v>1552376885836580</v>
      </c>
      <c r="C247" t="s">
        <v>40</v>
      </c>
      <c r="D247">
        <v>4.8819650000000001</v>
      </c>
      <c r="E247">
        <v>0.49131320000000001</v>
      </c>
      <c r="F247" t="s">
        <v>42</v>
      </c>
      <c r="G247">
        <v>-382.31459999999998</v>
      </c>
      <c r="H247" s="1">
        <v>-3.7250579999999998E-6</v>
      </c>
      <c r="I247">
        <v>367.10340000000002</v>
      </c>
      <c r="J247">
        <v>-404.70699999999999</v>
      </c>
      <c r="K247">
        <v>1.0606390000000001</v>
      </c>
      <c r="L247">
        <v>367.21629999999999</v>
      </c>
      <c r="M247">
        <v>0.99987590000000004</v>
      </c>
      <c r="N247">
        <v>0</v>
      </c>
      <c r="O247">
        <v>5.6739879999999996E-3</v>
      </c>
      <c r="P247">
        <v>0.99621930000000003</v>
      </c>
      <c r="Q247">
        <v>8.0488530000000003E-2</v>
      </c>
      <c r="R247">
        <v>-3.2693010000000002E-2</v>
      </c>
      <c r="S247">
        <v>3.0219420000000001</v>
      </c>
      <c r="T247">
        <v>-0.14085810000000001</v>
      </c>
      <c r="U247">
        <v>-1.467896E-2</v>
      </c>
      <c r="V247">
        <v>3.8251350000000003E-2</v>
      </c>
      <c r="W247">
        <v>9.5157740000000005E-2</v>
      </c>
      <c r="X247">
        <v>0.99472700000000003</v>
      </c>
      <c r="Y247">
        <v>1.0514280000000001E-2</v>
      </c>
      <c r="Z247">
        <v>-5.0926819999999996E-4</v>
      </c>
      <c r="AA247">
        <v>0.99994459999999996</v>
      </c>
      <c r="AB247">
        <v>35</v>
      </c>
      <c r="AC247">
        <v>22.392399999999999</v>
      </c>
      <c r="AD247">
        <v>-1.0606427250579999</v>
      </c>
      <c r="AE247">
        <v>-0.112899999999967</v>
      </c>
      <c r="AF247">
        <v>0.239428955938562</v>
      </c>
      <c r="AG247">
        <v>-1.0606427250579999</v>
      </c>
      <c r="AH247">
        <v>22.341276170788198</v>
      </c>
      <c r="AI247">
        <v>92.717896497336696</v>
      </c>
      <c r="AJ247">
        <v>89.385991050330006</v>
      </c>
      <c r="AK247">
        <v>22.367720271735099</v>
      </c>
      <c r="AL247">
        <v>84.539601127567806</v>
      </c>
      <c r="AM247">
        <v>87.797826339025306</v>
      </c>
      <c r="AN247">
        <v>0.99999998289386405</v>
      </c>
    </row>
    <row r="248" spans="1:40" x14ac:dyDescent="0.25">
      <c r="A248" t="str">
        <f>"20190312154805870"</f>
        <v>20190312154805870</v>
      </c>
      <c r="B248" t="str">
        <f>"1552376885866836"</f>
        <v>1552376885866836</v>
      </c>
      <c r="C248" t="s">
        <v>40</v>
      </c>
      <c r="D248">
        <v>4.7415200000000004</v>
      </c>
      <c r="E248">
        <v>0.51844480000000004</v>
      </c>
      <c r="F248" t="s">
        <v>42</v>
      </c>
      <c r="G248">
        <v>-381.26209999999998</v>
      </c>
      <c r="H248" s="1">
        <v>-4.1797120000000003E-6</v>
      </c>
      <c r="I248">
        <v>367.08580000000001</v>
      </c>
      <c r="J248">
        <v>-404.35750000000002</v>
      </c>
      <c r="K248">
        <v>1.060622</v>
      </c>
      <c r="L248">
        <v>367.21879999999999</v>
      </c>
      <c r="M248">
        <v>0.99987289999999995</v>
      </c>
      <c r="N248">
        <v>0</v>
      </c>
      <c r="O248">
        <v>6.1897239999999997E-3</v>
      </c>
      <c r="P248">
        <v>0.99660519999999997</v>
      </c>
      <c r="Q248">
        <v>7.5456250000000002E-2</v>
      </c>
      <c r="R248">
        <v>-3.2935409999999998E-2</v>
      </c>
      <c r="S248">
        <v>3.021881</v>
      </c>
      <c r="T248">
        <v>-0.13670869999999999</v>
      </c>
      <c r="U248">
        <v>-1.6815190000000001E-2</v>
      </c>
      <c r="V248">
        <v>3.9011879999999999E-2</v>
      </c>
      <c r="W248">
        <v>9.0129290000000001E-2</v>
      </c>
      <c r="X248">
        <v>0.99516570000000004</v>
      </c>
      <c r="Y248">
        <v>1.173625E-2</v>
      </c>
      <c r="Z248">
        <v>-5.4523940000000002E-4</v>
      </c>
      <c r="AA248">
        <v>0.99993100000000001</v>
      </c>
      <c r="AB248">
        <v>35</v>
      </c>
      <c r="AC248">
        <v>23.095400000000001</v>
      </c>
      <c r="AD248">
        <v>-1.060626179712</v>
      </c>
      <c r="AE248">
        <v>-0.13299999999998099</v>
      </c>
      <c r="AF248">
        <v>0.27538626909757802</v>
      </c>
      <c r="AG248">
        <v>-1.060626179712</v>
      </c>
      <c r="AH248">
        <v>23.045533058541899</v>
      </c>
      <c r="AI248">
        <v>92.634880400004704</v>
      </c>
      <c r="AJ248">
        <v>89.315367539823797</v>
      </c>
      <c r="AK248">
        <v>23.071570372270799</v>
      </c>
      <c r="AL248">
        <v>84.828954873301399</v>
      </c>
      <c r="AM248">
        <v>87.755075219431603</v>
      </c>
      <c r="AN248">
        <v>0.99999999307676402</v>
      </c>
    </row>
    <row r="249" spans="1:40" x14ac:dyDescent="0.25">
      <c r="A249" t="str">
        <f>"20190312154805895"</f>
        <v>20190312154805895</v>
      </c>
      <c r="B249" t="str">
        <f>"1552376885886357"</f>
        <v>1552376885886357</v>
      </c>
      <c r="C249" t="s">
        <v>40</v>
      </c>
      <c r="D249">
        <v>4.7639889999999996</v>
      </c>
      <c r="E249">
        <v>0.54977739999999997</v>
      </c>
      <c r="F249" t="s">
        <v>41</v>
      </c>
      <c r="G249">
        <v>-403.4169</v>
      </c>
      <c r="H249">
        <v>0.97016530000000001</v>
      </c>
      <c r="I249">
        <v>367.14699999999999</v>
      </c>
      <c r="J249">
        <v>-403.97919999999999</v>
      </c>
      <c r="K249">
        <v>1.0606040000000001</v>
      </c>
      <c r="L249">
        <v>367.2217</v>
      </c>
      <c r="M249">
        <v>0.99986940000000002</v>
      </c>
      <c r="N249">
        <v>0</v>
      </c>
      <c r="O249">
        <v>6.7450710000000001E-3</v>
      </c>
      <c r="P249">
        <v>0.99700339999999998</v>
      </c>
      <c r="Q249">
        <v>7.0109199999999997E-2</v>
      </c>
      <c r="R249">
        <v>-3.2694519999999998E-2</v>
      </c>
      <c r="S249">
        <v>3.024689</v>
      </c>
      <c r="T249">
        <v>-0.29122819999999999</v>
      </c>
      <c r="U249">
        <v>-0.2295837</v>
      </c>
      <c r="V249">
        <v>3.9330219999999999E-2</v>
      </c>
      <c r="W249">
        <v>8.4785899999999997E-2</v>
      </c>
      <c r="X249">
        <v>0.99562260000000002</v>
      </c>
      <c r="Y249">
        <v>8.2002160000000004E-2</v>
      </c>
      <c r="Z249">
        <v>-4.5801349999999999E-3</v>
      </c>
      <c r="AA249">
        <v>0.9966216</v>
      </c>
      <c r="AB249">
        <v>35</v>
      </c>
      <c r="AC249">
        <v>0.56229999999999303</v>
      </c>
      <c r="AD249">
        <v>-9.0438700000000094E-2</v>
      </c>
      <c r="AE249">
        <v>-7.4700000000007094E-2</v>
      </c>
      <c r="AF249">
        <v>7.6545675543968003E-2</v>
      </c>
      <c r="AG249">
        <v>-9.0438700000000094E-2</v>
      </c>
      <c r="AH249">
        <v>0.547856801787444</v>
      </c>
      <c r="AI249">
        <v>99.285097435394206</v>
      </c>
      <c r="AJ249">
        <v>82.046214575404093</v>
      </c>
      <c r="AK249">
        <v>0.56052250103536405</v>
      </c>
      <c r="AL249">
        <v>85.136286299622199</v>
      </c>
      <c r="AM249">
        <v>87.737812963974093</v>
      </c>
      <c r="AN249">
        <v>0.99999993833740697</v>
      </c>
    </row>
    <row r="250" spans="1:40" x14ac:dyDescent="0.25">
      <c r="A250" t="str">
        <f>"20190312154805917"</f>
        <v>20190312154805917</v>
      </c>
      <c r="B250" t="str">
        <f>"1552376885906853"</f>
        <v>1552376885906853</v>
      </c>
      <c r="C250" t="s">
        <v>40</v>
      </c>
      <c r="D250">
        <v>4.6537449999999998</v>
      </c>
      <c r="E250">
        <v>0.55429849999999903</v>
      </c>
      <c r="F250" t="s">
        <v>41</v>
      </c>
      <c r="G250">
        <v>-403.15519999999998</v>
      </c>
      <c r="H250">
        <v>0.85861109999999896</v>
      </c>
      <c r="I250">
        <v>367.09550000000002</v>
      </c>
      <c r="J250">
        <v>-403.62970000000001</v>
      </c>
      <c r="K250">
        <v>1.0605800000000001</v>
      </c>
      <c r="L250">
        <v>367.22460000000001</v>
      </c>
      <c r="M250">
        <v>0.99986589999999997</v>
      </c>
      <c r="N250">
        <v>0</v>
      </c>
      <c r="O250">
        <v>7.2505209999999898E-3</v>
      </c>
      <c r="P250">
        <v>0.99748680000000001</v>
      </c>
      <c r="Q250">
        <v>6.3294320000000001E-2</v>
      </c>
      <c r="R250">
        <v>-3.1847340000000002E-2</v>
      </c>
      <c r="S250">
        <v>3.0462039999999999</v>
      </c>
      <c r="T250">
        <v>-0.74677649999999995</v>
      </c>
      <c r="U250">
        <v>-0.46560669999999998</v>
      </c>
      <c r="V250">
        <v>3.8996280000000001E-2</v>
      </c>
      <c r="W250">
        <v>7.7975030000000001E-2</v>
      </c>
      <c r="X250">
        <v>0.99619230000000003</v>
      </c>
      <c r="Y250">
        <v>0.1536004</v>
      </c>
      <c r="Z250">
        <v>-2.019257E-2</v>
      </c>
      <c r="AA250">
        <v>0.98792670000000005</v>
      </c>
      <c r="AB250">
        <v>35</v>
      </c>
      <c r="AC250">
        <v>0.47450000000003401</v>
      </c>
      <c r="AD250">
        <v>-0.20196889999999901</v>
      </c>
      <c r="AE250">
        <v>-0.129099999999994</v>
      </c>
      <c r="AF250">
        <v>0.11340703645911999</v>
      </c>
      <c r="AG250">
        <v>-0.20196889999999901</v>
      </c>
      <c r="AH250">
        <v>0.40519943411328202</v>
      </c>
      <c r="AI250">
        <v>115.64090661343199</v>
      </c>
      <c r="AJ250">
        <v>74.364153140060296</v>
      </c>
      <c r="AK250">
        <v>0.466732443581303</v>
      </c>
      <c r="AL250">
        <v>85.527819961349707</v>
      </c>
      <c r="AM250">
        <v>87.758282162031193</v>
      </c>
      <c r="AN250">
        <v>0.999999956868313</v>
      </c>
    </row>
    <row r="251" spans="1:40" x14ac:dyDescent="0.25">
      <c r="A251" t="str">
        <f>"20190312154805938"</f>
        <v>20190312154805938</v>
      </c>
      <c r="B251" t="str">
        <f>"1552376885926372"</f>
        <v>1552376885926372</v>
      </c>
      <c r="C251" t="s">
        <v>40</v>
      </c>
      <c r="D251">
        <v>4.6390940000000001</v>
      </c>
      <c r="E251">
        <v>0.55651609999999996</v>
      </c>
      <c r="F251" t="s">
        <v>41</v>
      </c>
      <c r="G251">
        <v>-402.85230000000001</v>
      </c>
      <c r="H251">
        <v>0.83500869999999905</v>
      </c>
      <c r="I251">
        <v>367.09780000000001</v>
      </c>
      <c r="J251">
        <v>-403.3021</v>
      </c>
      <c r="K251">
        <v>1.0605690000000001</v>
      </c>
      <c r="L251">
        <v>367.22739999999999</v>
      </c>
      <c r="M251">
        <v>0.99986260000000005</v>
      </c>
      <c r="N251">
        <v>0</v>
      </c>
      <c r="O251">
        <v>7.7098959999999999E-3</v>
      </c>
      <c r="P251">
        <v>0.99769410000000003</v>
      </c>
      <c r="Q251">
        <v>6.0453649999999998E-2</v>
      </c>
      <c r="R251">
        <v>-3.085504E-2</v>
      </c>
      <c r="S251">
        <v>3.0478519999999998</v>
      </c>
      <c r="T251">
        <v>-0.88438680000000003</v>
      </c>
      <c r="U251">
        <v>-0.4950562</v>
      </c>
      <c r="V251">
        <v>3.8466809999999997E-2</v>
      </c>
      <c r="W251">
        <v>7.5133340000000007E-2</v>
      </c>
      <c r="X251">
        <v>0.99643130000000002</v>
      </c>
      <c r="Y251">
        <v>0.1611416</v>
      </c>
      <c r="Z251">
        <v>-2.4945200000000001E-2</v>
      </c>
      <c r="AA251">
        <v>0.98661600000000005</v>
      </c>
      <c r="AB251">
        <v>35</v>
      </c>
      <c r="AC251">
        <v>0.44979999999998199</v>
      </c>
      <c r="AD251">
        <v>-0.22556029999999999</v>
      </c>
      <c r="AE251">
        <v>-0.12959999999998201</v>
      </c>
      <c r="AF251">
        <v>0.107989846389872</v>
      </c>
      <c r="AG251">
        <v>-0.22556029999999999</v>
      </c>
      <c r="AH251">
        <v>0.36421809237260999</v>
      </c>
      <c r="AI251">
        <v>120.699772234107</v>
      </c>
      <c r="AJ251">
        <v>73.485028084628794</v>
      </c>
      <c r="AK251">
        <v>0.44180773496051601</v>
      </c>
      <c r="AL251">
        <v>85.691116367120401</v>
      </c>
      <c r="AM251">
        <v>87.789218418048094</v>
      </c>
      <c r="AN251">
        <v>1.00000002493541</v>
      </c>
    </row>
    <row r="252" spans="1:40" x14ac:dyDescent="0.25">
      <c r="A252" t="str">
        <f>"20190312154805961"</f>
        <v>20190312154805961</v>
      </c>
      <c r="B252" t="str">
        <f>"1552376885956628"</f>
        <v>1552376885956628</v>
      </c>
      <c r="C252" t="s">
        <v>40</v>
      </c>
      <c r="D252">
        <v>4.5839879999999997</v>
      </c>
      <c r="E252">
        <v>0.55784659999999997</v>
      </c>
      <c r="F252" t="s">
        <v>41</v>
      </c>
      <c r="G252">
        <v>-402.54320000000001</v>
      </c>
      <c r="H252">
        <v>0.826012999999999</v>
      </c>
      <c r="I252">
        <v>367.101</v>
      </c>
      <c r="J252">
        <v>-402.95049999999998</v>
      </c>
      <c r="K252">
        <v>1.0605560000000001</v>
      </c>
      <c r="L252">
        <v>367.23059999999998</v>
      </c>
      <c r="M252">
        <v>0.99985889999999999</v>
      </c>
      <c r="N252">
        <v>0</v>
      </c>
      <c r="O252">
        <v>8.1786970000000004E-3</v>
      </c>
      <c r="P252">
        <v>0.99772169999999905</v>
      </c>
      <c r="Q252">
        <v>6.0237619999999999E-2</v>
      </c>
      <c r="R252">
        <v>-3.0381600000000002E-2</v>
      </c>
      <c r="S252">
        <v>3.04834</v>
      </c>
      <c r="T252">
        <v>-0.94218800000000003</v>
      </c>
      <c r="U252">
        <v>-0.50714110000000001</v>
      </c>
      <c r="V252">
        <v>3.8463450000000003E-2</v>
      </c>
      <c r="W252">
        <v>7.4912709999999993E-2</v>
      </c>
      <c r="X252">
        <v>0.996448</v>
      </c>
      <c r="Y252">
        <v>0.16433110000000001</v>
      </c>
      <c r="Z252">
        <v>-2.711357E-2</v>
      </c>
      <c r="AA252">
        <v>0.98603249999999998</v>
      </c>
      <c r="AB252">
        <v>35</v>
      </c>
      <c r="AC252">
        <v>0.40729999999996302</v>
      </c>
      <c r="AD252">
        <v>-0.234543</v>
      </c>
      <c r="AE252">
        <v>-0.12959999999998201</v>
      </c>
      <c r="AF252">
        <v>0.102164121256946</v>
      </c>
      <c r="AG252">
        <v>-0.234543</v>
      </c>
      <c r="AH252">
        <v>0.31221413753795701</v>
      </c>
      <c r="AI252">
        <v>125.525776183809</v>
      </c>
      <c r="AJ252">
        <v>71.880634649309101</v>
      </c>
      <c r="AK252">
        <v>0.403640426865019</v>
      </c>
      <c r="AL252">
        <v>85.703793084055505</v>
      </c>
      <c r="AM252">
        <v>87.789448345544301</v>
      </c>
      <c r="AN252">
        <v>0.999999983904723</v>
      </c>
    </row>
    <row r="253" spans="1:40" x14ac:dyDescent="0.25">
      <c r="A253" t="str">
        <f>"20190312154805982"</f>
        <v>20190312154805982</v>
      </c>
      <c r="B253" t="str">
        <f>"1552376885976149"</f>
        <v>1552376885976149</v>
      </c>
      <c r="C253" t="s">
        <v>40</v>
      </c>
      <c r="D253">
        <v>4.6473309999999897</v>
      </c>
      <c r="E253">
        <v>0.55852089999999999</v>
      </c>
      <c r="F253" t="s">
        <v>41</v>
      </c>
      <c r="G253">
        <v>-402.22789999999998</v>
      </c>
      <c r="H253">
        <v>0.83274789999999999</v>
      </c>
      <c r="I253">
        <v>367.108</v>
      </c>
      <c r="J253">
        <v>-402.60890000000001</v>
      </c>
      <c r="K253">
        <v>1.0605329999999999</v>
      </c>
      <c r="L253">
        <v>367.23379999999997</v>
      </c>
      <c r="M253">
        <v>0.99985550000000001</v>
      </c>
      <c r="N253">
        <v>0</v>
      </c>
      <c r="O253">
        <v>8.5996809999999996E-3</v>
      </c>
      <c r="P253">
        <v>0.99786010000000003</v>
      </c>
      <c r="Q253">
        <v>5.8497970000000003E-2</v>
      </c>
      <c r="R253">
        <v>-2.9213889999999999E-2</v>
      </c>
      <c r="S253">
        <v>3.049255</v>
      </c>
      <c r="T253">
        <v>-0.96138670000000004</v>
      </c>
      <c r="U253">
        <v>-0.51492309999999997</v>
      </c>
      <c r="V253">
        <v>3.772267E-2</v>
      </c>
      <c r="W253">
        <v>7.3168469999999999E-2</v>
      </c>
      <c r="X253">
        <v>0.99660590000000004</v>
      </c>
      <c r="Y253">
        <v>0.1667061</v>
      </c>
      <c r="Z253">
        <v>-2.8119890000000002E-2</v>
      </c>
      <c r="AA253">
        <v>0.98560559999999997</v>
      </c>
      <c r="AB253">
        <v>35</v>
      </c>
      <c r="AC253">
        <v>0.38100000000002798</v>
      </c>
      <c r="AD253">
        <v>-0.22778509999999999</v>
      </c>
      <c r="AE253">
        <v>-0.12579999999996899</v>
      </c>
      <c r="AF253">
        <v>9.7611845241284106E-2</v>
      </c>
      <c r="AG253">
        <v>-0.22778509999999999</v>
      </c>
      <c r="AH253">
        <v>0.28730533856360102</v>
      </c>
      <c r="AI253">
        <v>126.895183438939</v>
      </c>
      <c r="AJ253">
        <v>71.234833096147696</v>
      </c>
      <c r="AK253">
        <v>0.37941861008728101</v>
      </c>
      <c r="AL253">
        <v>85.804005701468398</v>
      </c>
      <c r="AM253">
        <v>87.8323242172482</v>
      </c>
      <c r="AN253">
        <v>0.99999997237443905</v>
      </c>
    </row>
    <row r="254" spans="1:40" x14ac:dyDescent="0.25">
      <c r="A254" t="str">
        <f>"20190312154806006"</f>
        <v>20190312154806006</v>
      </c>
      <c r="B254" t="str">
        <f>"1552376885996646"</f>
        <v>1552376885996646</v>
      </c>
      <c r="C254" t="s">
        <v>40</v>
      </c>
      <c r="D254">
        <v>4.6254109999999997</v>
      </c>
      <c r="E254">
        <v>0.55921489999999996</v>
      </c>
      <c r="F254" t="s">
        <v>41</v>
      </c>
      <c r="G254">
        <v>-401.9126</v>
      </c>
      <c r="H254">
        <v>0.84035849999999901</v>
      </c>
      <c r="I254">
        <v>367.1155</v>
      </c>
      <c r="J254">
        <v>-402.25450000000001</v>
      </c>
      <c r="K254">
        <v>1.060495</v>
      </c>
      <c r="L254">
        <v>367.2373</v>
      </c>
      <c r="M254">
        <v>0.99985210000000002</v>
      </c>
      <c r="N254">
        <v>0</v>
      </c>
      <c r="O254">
        <v>8.9886779999999999E-3</v>
      </c>
      <c r="P254">
        <v>0.99803149999999996</v>
      </c>
      <c r="Q254">
        <v>5.5870429999999999E-2</v>
      </c>
      <c r="R254">
        <v>-2.849693E-2</v>
      </c>
      <c r="S254">
        <v>3.0477910000000001</v>
      </c>
      <c r="T254">
        <v>-0.96382440000000003</v>
      </c>
      <c r="U254">
        <v>-0.51779169999999997</v>
      </c>
      <c r="V254">
        <v>3.7403829999999999E-2</v>
      </c>
      <c r="W254">
        <v>7.0535990000000007E-2</v>
      </c>
      <c r="X254">
        <v>0.99680769999999996</v>
      </c>
      <c r="Y254">
        <v>0.16794389999999901</v>
      </c>
      <c r="Z254">
        <v>-2.8507790000000002E-2</v>
      </c>
      <c r="AA254">
        <v>0.98538429999999999</v>
      </c>
      <c r="AB254">
        <v>35</v>
      </c>
      <c r="AC254">
        <v>0.34190000000000897</v>
      </c>
      <c r="AD254">
        <v>-0.22013650000000001</v>
      </c>
      <c r="AE254">
        <v>-0.121800000000007</v>
      </c>
      <c r="AF254">
        <v>9.1286791816915805E-2</v>
      </c>
      <c r="AG254">
        <v>-0.22013650000000001</v>
      </c>
      <c r="AH254">
        <v>0.24913973661365299</v>
      </c>
      <c r="AI254">
        <v>129.68072101843001</v>
      </c>
      <c r="AJ254">
        <v>69.876761936405998</v>
      </c>
      <c r="AK254">
        <v>0.34476653746034502</v>
      </c>
      <c r="AL254">
        <v>85.955226643535596</v>
      </c>
      <c r="AM254">
        <v>87.851063339190404</v>
      </c>
      <c r="AN254">
        <v>0.99999998158161896</v>
      </c>
    </row>
    <row r="255" spans="1:40" x14ac:dyDescent="0.25">
      <c r="A255" t="str">
        <f>"20190312154806027"</f>
        <v>20190312154806027</v>
      </c>
      <c r="B255" t="str">
        <f>"1552376886016165"</f>
        <v>1552376886016165</v>
      </c>
      <c r="C255" t="s">
        <v>40</v>
      </c>
      <c r="D255">
        <v>4.6410920000000004</v>
      </c>
      <c r="E255">
        <v>0.55973169999999905</v>
      </c>
      <c r="F255" t="s">
        <v>41</v>
      </c>
      <c r="G255">
        <v>-401.31990000000002</v>
      </c>
      <c r="H255">
        <v>0.76338009999999901</v>
      </c>
      <c r="I255">
        <v>367.07709999999997</v>
      </c>
      <c r="J255">
        <v>-401.9117</v>
      </c>
      <c r="K255">
        <v>1.060451</v>
      </c>
      <c r="L255">
        <v>367.2407</v>
      </c>
      <c r="M255">
        <v>0.99984910000000005</v>
      </c>
      <c r="N255">
        <v>0</v>
      </c>
      <c r="O255">
        <v>9.3030700000000001E-3</v>
      </c>
      <c r="P255">
        <v>0.99808819999999998</v>
      </c>
      <c r="Q255">
        <v>5.5133660000000001E-2</v>
      </c>
      <c r="R255">
        <v>-2.7938870000000001E-2</v>
      </c>
      <c r="S255">
        <v>3.045166</v>
      </c>
      <c r="T255">
        <v>-0.96806009999999998</v>
      </c>
      <c r="U255">
        <v>-0.52175899999999997</v>
      </c>
      <c r="V255">
        <v>3.7168109999999997E-2</v>
      </c>
      <c r="W255">
        <v>6.9791590000000001E-2</v>
      </c>
      <c r="X255">
        <v>0.99686889999999995</v>
      </c>
      <c r="Y255">
        <v>0.16946839999999999</v>
      </c>
      <c r="Z255">
        <v>-2.897945E-2</v>
      </c>
      <c r="AA255">
        <v>0.98510940000000002</v>
      </c>
      <c r="AB255">
        <v>35</v>
      </c>
      <c r="AC255">
        <v>0.59179999999997701</v>
      </c>
      <c r="AD255">
        <v>-0.29707090000000003</v>
      </c>
      <c r="AE255">
        <v>-0.16360000000003</v>
      </c>
      <c r="AF255">
        <v>0.137022987840109</v>
      </c>
      <c r="AG255">
        <v>-0.29707090000000003</v>
      </c>
      <c r="AH255">
        <v>0.47828841509005399</v>
      </c>
      <c r="AI255">
        <v>120.841114099576</v>
      </c>
      <c r="AJ255">
        <v>74.013727657880096</v>
      </c>
      <c r="AK255">
        <v>0.57947064363330503</v>
      </c>
      <c r="AL255">
        <v>85.997982947314</v>
      </c>
      <c r="AM255">
        <v>87.864724398014204</v>
      </c>
      <c r="AN255">
        <v>0.99999996911145395</v>
      </c>
    </row>
    <row r="256" spans="1:40" x14ac:dyDescent="0.25">
      <c r="A256" t="str">
        <f>"20190312154806050"</f>
        <v>20190312154806050</v>
      </c>
      <c r="B256" t="str">
        <f>"1552376886046421"</f>
        <v>1552376886046421</v>
      </c>
      <c r="C256" t="s">
        <v>40</v>
      </c>
      <c r="D256">
        <v>4.5998580000000002</v>
      </c>
      <c r="E256">
        <v>0.55997680000000005</v>
      </c>
      <c r="F256" t="s">
        <v>41</v>
      </c>
      <c r="G256">
        <v>-401.005</v>
      </c>
      <c r="H256">
        <v>0.77213129999999996</v>
      </c>
      <c r="I256">
        <v>367.08460000000002</v>
      </c>
      <c r="J256">
        <v>-401.55810000000002</v>
      </c>
      <c r="K256">
        <v>1.0604070000000001</v>
      </c>
      <c r="L256">
        <v>367.24430000000001</v>
      </c>
      <c r="M256">
        <v>0.99984680000000004</v>
      </c>
      <c r="N256">
        <v>0</v>
      </c>
      <c r="O256">
        <v>9.5729590000000007E-3</v>
      </c>
      <c r="P256">
        <v>0.99810790000000005</v>
      </c>
      <c r="Q256">
        <v>5.5323990000000003E-2</v>
      </c>
      <c r="R256">
        <v>-2.684226E-2</v>
      </c>
      <c r="S256">
        <v>3.0445859999999998</v>
      </c>
      <c r="T256">
        <v>-0.96817620000000004</v>
      </c>
      <c r="U256">
        <v>-0.52337650000000002</v>
      </c>
      <c r="V256">
        <v>3.6348980000000003E-2</v>
      </c>
      <c r="W256">
        <v>6.9973279999999999E-2</v>
      </c>
      <c r="X256">
        <v>0.99688639999999995</v>
      </c>
      <c r="Y256">
        <v>0.17022019999999999</v>
      </c>
      <c r="Z256">
        <v>-2.9185840000000001E-2</v>
      </c>
      <c r="AA256">
        <v>0.98497369999999995</v>
      </c>
      <c r="AB256">
        <v>35</v>
      </c>
      <c r="AC256">
        <v>0.55310000000002801</v>
      </c>
      <c r="AD256">
        <v>-0.28827569999999902</v>
      </c>
      <c r="AE256">
        <v>-0.15969999999998599</v>
      </c>
      <c r="AF256">
        <v>0.131911809003744</v>
      </c>
      <c r="AG256">
        <v>-0.28827569999999902</v>
      </c>
      <c r="AH256">
        <v>0.44097368115325197</v>
      </c>
      <c r="AI256">
        <v>122.059071915582</v>
      </c>
      <c r="AJ256">
        <v>73.346098476249907</v>
      </c>
      <c r="AK256">
        <v>0.54310348188442004</v>
      </c>
      <c r="AL256">
        <v>85.987547493939999</v>
      </c>
      <c r="AM256">
        <v>87.911777198481701</v>
      </c>
      <c r="AN256">
        <v>1.00000000138297</v>
      </c>
    </row>
    <row r="257" spans="1:40" x14ac:dyDescent="0.25">
      <c r="A257" t="str">
        <f>"20190312154806071"</f>
        <v>20190312154806071</v>
      </c>
      <c r="B257" t="str">
        <f>"1552376886065941"</f>
        <v>1552376886065941</v>
      </c>
      <c r="C257" t="s">
        <v>40</v>
      </c>
      <c r="D257">
        <v>4.6604559999999999</v>
      </c>
      <c r="E257">
        <v>0.56005329999999998</v>
      </c>
      <c r="F257" t="s">
        <v>41</v>
      </c>
      <c r="G257">
        <v>-400.6893</v>
      </c>
      <c r="H257">
        <v>0.78455909999999995</v>
      </c>
      <c r="I257">
        <v>367.09539999999998</v>
      </c>
      <c r="J257">
        <v>-401.22719999999998</v>
      </c>
      <c r="K257">
        <v>1.0604480000000001</v>
      </c>
      <c r="L257">
        <v>367.24770000000001</v>
      </c>
      <c r="M257">
        <v>0.99984059999999997</v>
      </c>
      <c r="N257">
        <v>0</v>
      </c>
      <c r="O257">
        <v>9.7753670000000001E-3</v>
      </c>
      <c r="P257">
        <v>0.99807299999999999</v>
      </c>
      <c r="Q257">
        <v>5.6241689999999997E-2</v>
      </c>
      <c r="R257">
        <v>-2.621453E-2</v>
      </c>
      <c r="S257">
        <v>3.0453190000000001</v>
      </c>
      <c r="T257">
        <v>-0.96691740000000004</v>
      </c>
      <c r="U257">
        <v>-0.52133180000000001</v>
      </c>
      <c r="V257">
        <v>3.5929349999999999E-2</v>
      </c>
      <c r="W257">
        <v>7.1170020000000001E-2</v>
      </c>
      <c r="X257">
        <v>0.99681690000000001</v>
      </c>
      <c r="Y257">
        <v>0.1697737</v>
      </c>
      <c r="Z257">
        <v>-2.91382E-2</v>
      </c>
      <c r="AA257">
        <v>0.98505220000000004</v>
      </c>
      <c r="AB257">
        <v>35</v>
      </c>
      <c r="AC257">
        <v>0.53789999999997895</v>
      </c>
      <c r="AD257">
        <v>-0.27588889999999999</v>
      </c>
      <c r="AE257">
        <v>-0.152300000000025</v>
      </c>
      <c r="AF257">
        <v>0.12669571426603199</v>
      </c>
      <c r="AG257">
        <v>-0.27588889999999999</v>
      </c>
      <c r="AH257">
        <v>0.43133662938007</v>
      </c>
      <c r="AI257">
        <v>121.536948019665</v>
      </c>
      <c r="AJ257">
        <v>73.631001073914206</v>
      </c>
      <c r="AK257">
        <v>0.52746353144226898</v>
      </c>
      <c r="AL257">
        <v>85.918807990715493</v>
      </c>
      <c r="AM257">
        <v>87.935719874515897</v>
      </c>
      <c r="AN257">
        <v>1.0000000110319101</v>
      </c>
    </row>
    <row r="258" spans="1:40" x14ac:dyDescent="0.25">
      <c r="A258" t="str">
        <f>"20190312154806096"</f>
        <v>20190312154806096</v>
      </c>
      <c r="B258" t="str">
        <f>"1552376886086437"</f>
        <v>1552376886086437</v>
      </c>
      <c r="C258" t="s">
        <v>40</v>
      </c>
      <c r="D258">
        <v>4.6349229999999997</v>
      </c>
      <c r="E258">
        <v>0.56020389999999998</v>
      </c>
      <c r="F258" t="s">
        <v>41</v>
      </c>
      <c r="G258">
        <v>-400.37869999999998</v>
      </c>
      <c r="H258">
        <v>0.79286619999999997</v>
      </c>
      <c r="I258">
        <v>367.10239999999999</v>
      </c>
      <c r="J258">
        <v>-400.85840000000002</v>
      </c>
      <c r="K258">
        <v>1.0608869999999999</v>
      </c>
      <c r="L258">
        <v>367.25150000000002</v>
      </c>
      <c r="M258">
        <v>0.99982020000000005</v>
      </c>
      <c r="N258">
        <v>0</v>
      </c>
      <c r="O258">
        <v>9.9446970000000006E-3</v>
      </c>
      <c r="P258">
        <v>0.9981565</v>
      </c>
      <c r="Q258">
        <v>5.4925580000000002E-2</v>
      </c>
      <c r="R258">
        <v>-2.582543E-2</v>
      </c>
      <c r="S258">
        <v>3.046265</v>
      </c>
      <c r="T258">
        <v>-0.96066510000000005</v>
      </c>
      <c r="U258">
        <v>-0.52023319999999995</v>
      </c>
      <c r="V258">
        <v>3.57173E-2</v>
      </c>
      <c r="W258">
        <v>7.1045410000000003E-2</v>
      </c>
      <c r="X258">
        <v>0.99683339999999998</v>
      </c>
      <c r="Y258">
        <v>0.16965469999999999</v>
      </c>
      <c r="Z258">
        <v>-2.89844E-2</v>
      </c>
      <c r="AA258">
        <v>0.98507730000000004</v>
      </c>
      <c r="AB258">
        <v>35</v>
      </c>
      <c r="AC258">
        <v>0.47970000000003599</v>
      </c>
      <c r="AD258">
        <v>-0.2680208</v>
      </c>
      <c r="AE258">
        <v>-0.14910000000003201</v>
      </c>
      <c r="AF258">
        <v>0.11976880278153</v>
      </c>
      <c r="AG258">
        <v>-0.2680208</v>
      </c>
      <c r="AH258">
        <v>0.37222967662079898</v>
      </c>
      <c r="AI258">
        <v>124.42805406152701</v>
      </c>
      <c r="AJ258">
        <v>72.163876102183394</v>
      </c>
      <c r="AK258">
        <v>0.474061860424972</v>
      </c>
      <c r="AL258">
        <v>85.925965697960606</v>
      </c>
      <c r="AM258">
        <v>87.94792645839</v>
      </c>
      <c r="AN258">
        <v>1.00000000157845</v>
      </c>
    </row>
    <row r="259" spans="1:40" x14ac:dyDescent="0.25">
      <c r="A259" t="str">
        <f>"20190312154806117"</f>
        <v>20190312154806117</v>
      </c>
      <c r="B259" t="str">
        <f>"1552376886105959"</f>
        <v>1552376886105959</v>
      </c>
      <c r="C259" t="s">
        <v>40</v>
      </c>
      <c r="D259">
        <v>4.6452049999999998</v>
      </c>
      <c r="E259">
        <v>0.56046619999999903</v>
      </c>
      <c r="F259" t="s">
        <v>41</v>
      </c>
      <c r="G259">
        <v>-400.06819999999999</v>
      </c>
      <c r="H259">
        <v>0.81106889999999998</v>
      </c>
      <c r="I259">
        <v>367.11610000000002</v>
      </c>
      <c r="J259">
        <v>-400.52859999999998</v>
      </c>
      <c r="K259">
        <v>1.0615330000000001</v>
      </c>
      <c r="L259">
        <v>367.25490000000002</v>
      </c>
      <c r="M259">
        <v>0.99980999999999998</v>
      </c>
      <c r="N259">
        <v>0</v>
      </c>
      <c r="O259">
        <v>1.003686E-2</v>
      </c>
      <c r="P259">
        <v>0.99821139999999997</v>
      </c>
      <c r="Q259">
        <v>5.3956379999999998E-2</v>
      </c>
      <c r="R259">
        <v>-2.573862E-2</v>
      </c>
      <c r="S259">
        <v>3.045013</v>
      </c>
      <c r="T259">
        <v>-0.96268589999999998</v>
      </c>
      <c r="U259">
        <v>-0.52023319999999995</v>
      </c>
      <c r="V259">
        <v>3.5730249999999998E-2</v>
      </c>
      <c r="W259">
        <v>7.0632550000000002E-2</v>
      </c>
      <c r="X259">
        <v>0.99686229999999998</v>
      </c>
      <c r="Y259">
        <v>0.16976159999999901</v>
      </c>
      <c r="Z259">
        <v>-2.9098490000000001E-2</v>
      </c>
      <c r="AA259">
        <v>0.98505540000000003</v>
      </c>
      <c r="AB259">
        <v>34</v>
      </c>
      <c r="AC259">
        <v>0.46039999999999198</v>
      </c>
      <c r="AD259">
        <v>-0.25046410000000002</v>
      </c>
      <c r="AE259">
        <v>-0.138800000000003</v>
      </c>
      <c r="AF259">
        <v>0.112809966386428</v>
      </c>
      <c r="AG259">
        <v>-0.25046410000000002</v>
      </c>
      <c r="AH259">
        <v>0.36103649349056399</v>
      </c>
      <c r="AI259">
        <v>123.511117084332</v>
      </c>
      <c r="AJ259">
        <v>72.647990503127104</v>
      </c>
      <c r="AK259">
        <v>0.45365813509390401</v>
      </c>
      <c r="AL259">
        <v>85.949680511785701</v>
      </c>
      <c r="AM259">
        <v>87.947242537988103</v>
      </c>
      <c r="AN259">
        <v>1.0000000265229201</v>
      </c>
    </row>
    <row r="260" spans="1:40" x14ac:dyDescent="0.25">
      <c r="A260" t="str">
        <f>"20190312154806141"</f>
        <v>20190312154806141</v>
      </c>
      <c r="B260" t="str">
        <f>"1552376886136213"</f>
        <v>1552376886136213</v>
      </c>
      <c r="C260" t="s">
        <v>40</v>
      </c>
      <c r="D260">
        <v>4.6569039999999999</v>
      </c>
      <c r="E260">
        <v>0.56048030000000004</v>
      </c>
      <c r="F260" t="s">
        <v>41</v>
      </c>
      <c r="G260">
        <v>-399.76220000000001</v>
      </c>
      <c r="H260">
        <v>0.81921790000000005</v>
      </c>
      <c r="I260">
        <v>367.12329999999997</v>
      </c>
      <c r="J260">
        <v>-400.17880000000002</v>
      </c>
      <c r="K260">
        <v>1.0622119999999999</v>
      </c>
      <c r="L260">
        <v>367.2586</v>
      </c>
      <c r="M260">
        <v>0.99982839999999995</v>
      </c>
      <c r="N260">
        <v>0</v>
      </c>
      <c r="O260">
        <v>1.0077040000000001E-2</v>
      </c>
      <c r="P260">
        <v>0.99828629999999996</v>
      </c>
      <c r="Q260">
        <v>5.237489E-2</v>
      </c>
      <c r="R260">
        <v>-2.610523E-2</v>
      </c>
      <c r="S260">
        <v>3.0439759999999998</v>
      </c>
      <c r="T260">
        <v>-0.96251869999999995</v>
      </c>
      <c r="U260">
        <v>-0.52145390000000003</v>
      </c>
      <c r="V260">
        <v>3.6144950000000002E-2</v>
      </c>
      <c r="W260">
        <v>6.7894940000000001E-2</v>
      </c>
      <c r="X260">
        <v>0.99703750000000002</v>
      </c>
      <c r="Y260">
        <v>0.17021500000000001</v>
      </c>
      <c r="Z260">
        <v>-2.9183870000000001E-2</v>
      </c>
      <c r="AA260">
        <v>0.98497469999999998</v>
      </c>
      <c r="AB260">
        <v>34</v>
      </c>
      <c r="AC260">
        <v>0.41660000000001601</v>
      </c>
      <c r="AD260">
        <v>-0.24299409999999999</v>
      </c>
      <c r="AE260">
        <v>-0.13530000000002901</v>
      </c>
      <c r="AF260">
        <v>0.10666513938144701</v>
      </c>
      <c r="AG260">
        <v>-0.24299409999999999</v>
      </c>
      <c r="AH260">
        <v>0.31750264134108103</v>
      </c>
      <c r="AI260">
        <v>125.960269548878</v>
      </c>
      <c r="AJ260">
        <v>71.430205105811595</v>
      </c>
      <c r="AK260">
        <v>0.41380129513165698</v>
      </c>
      <c r="AL260">
        <v>86.106911477667794</v>
      </c>
      <c r="AM260">
        <v>87.923802703166302</v>
      </c>
      <c r="AN260">
        <v>0.99999997834717702</v>
      </c>
    </row>
    <row r="261" spans="1:40" x14ac:dyDescent="0.25">
      <c r="A261" t="str">
        <f>"20190312154806161"</f>
        <v>20190312154806161</v>
      </c>
      <c r="B261" t="str">
        <f>"1552376886156710"</f>
        <v>1552376886156710</v>
      </c>
      <c r="C261" t="s">
        <v>40</v>
      </c>
      <c r="D261">
        <v>4.6553250000000004</v>
      </c>
      <c r="E261">
        <v>0.56032299999999902</v>
      </c>
      <c r="F261" t="s">
        <v>41</v>
      </c>
      <c r="G261">
        <v>-399.45150000000001</v>
      </c>
      <c r="H261">
        <v>0.83223429999999998</v>
      </c>
      <c r="I261">
        <v>367.13310000000001</v>
      </c>
      <c r="J261">
        <v>-399.85489999999999</v>
      </c>
      <c r="K261">
        <v>1.0630170000000001</v>
      </c>
      <c r="L261">
        <v>367.26190000000003</v>
      </c>
      <c r="M261">
        <v>0.99985729999999995</v>
      </c>
      <c r="N261">
        <v>0</v>
      </c>
      <c r="O261">
        <v>1.0096020000000001E-2</v>
      </c>
      <c r="P261">
        <v>0.9981179</v>
      </c>
      <c r="Q261">
        <v>5.49983E-2</v>
      </c>
      <c r="R261">
        <v>-2.7131820000000001E-2</v>
      </c>
      <c r="S261">
        <v>3.0419309999999999</v>
      </c>
      <c r="T261">
        <v>-0.96190330000000002</v>
      </c>
      <c r="U261">
        <v>-0.52471919999999905</v>
      </c>
      <c r="V261">
        <v>3.7194240000000003E-2</v>
      </c>
      <c r="W261">
        <v>6.8523390000000003E-2</v>
      </c>
      <c r="X261">
        <v>0.99695590000000001</v>
      </c>
      <c r="Y261">
        <v>0.17131859999999999</v>
      </c>
      <c r="Z261">
        <v>-2.9356960000000001E-2</v>
      </c>
      <c r="AA261">
        <v>0.98477820000000005</v>
      </c>
      <c r="AB261">
        <v>34</v>
      </c>
      <c r="AC261">
        <v>0.403399999999976</v>
      </c>
      <c r="AD261">
        <v>-0.23078270000000001</v>
      </c>
      <c r="AE261">
        <v>-0.12880000000001199</v>
      </c>
      <c r="AF261">
        <v>0.102440415165097</v>
      </c>
      <c r="AG261">
        <v>-0.23078270000000001</v>
      </c>
      <c r="AH261">
        <v>0.31000381126619703</v>
      </c>
      <c r="AI261">
        <v>125.25487339774401</v>
      </c>
      <c r="AJ261">
        <v>71.713919476577601</v>
      </c>
      <c r="AK261">
        <v>0.39982128042171</v>
      </c>
      <c r="AL261">
        <v>86.070819841279999</v>
      </c>
      <c r="AM261">
        <v>87.863410937502096</v>
      </c>
      <c r="AN261">
        <v>0.99999996650553902</v>
      </c>
    </row>
    <row r="262" spans="1:40" x14ac:dyDescent="0.25">
      <c r="A262" t="str">
        <f>"20190312154806184"</f>
        <v>20190312154806184</v>
      </c>
      <c r="B262" t="str">
        <f>"1552376886176229"</f>
        <v>1552376886176229</v>
      </c>
      <c r="C262" t="s">
        <v>40</v>
      </c>
      <c r="D262">
        <v>4.6556930000000003</v>
      </c>
      <c r="E262">
        <v>0.56007959999999901</v>
      </c>
      <c r="F262" t="s">
        <v>41</v>
      </c>
      <c r="G262">
        <v>-399.14159999999998</v>
      </c>
      <c r="H262">
        <v>0.84034109999999995</v>
      </c>
      <c r="I262">
        <v>367.13799999999998</v>
      </c>
      <c r="J262">
        <v>-399.51</v>
      </c>
      <c r="K262">
        <v>1.0642240000000001</v>
      </c>
      <c r="L262">
        <v>367.2654</v>
      </c>
      <c r="M262">
        <v>0.99988310000000002</v>
      </c>
      <c r="N262">
        <v>0</v>
      </c>
      <c r="O262">
        <v>1.01177E-2</v>
      </c>
      <c r="P262">
        <v>0.99788429999999995</v>
      </c>
      <c r="Q262">
        <v>5.8561620000000002E-2</v>
      </c>
      <c r="R262">
        <v>-2.8245860000000001E-2</v>
      </c>
      <c r="S262">
        <v>3.043701</v>
      </c>
      <c r="T262">
        <v>-0.95029680000000005</v>
      </c>
      <c r="U262">
        <v>-0.52676389999999995</v>
      </c>
      <c r="V262">
        <v>3.8333190000000003E-2</v>
      </c>
      <c r="W262">
        <v>7.0001359999999999E-2</v>
      </c>
      <c r="X262">
        <v>0.99681010000000003</v>
      </c>
      <c r="Y262">
        <v>0.1720631</v>
      </c>
      <c r="Z262">
        <v>-2.9120409999999999E-2</v>
      </c>
      <c r="AA262">
        <v>0.98465539999999996</v>
      </c>
      <c r="AB262">
        <v>34</v>
      </c>
      <c r="AC262">
        <v>0.368400000000008</v>
      </c>
      <c r="AD262">
        <v>-0.2238829</v>
      </c>
      <c r="AE262">
        <v>-0.12739999999996501</v>
      </c>
      <c r="AF262">
        <v>9.8596903331670302E-2</v>
      </c>
      <c r="AG262">
        <v>-0.2238829</v>
      </c>
      <c r="AH262">
        <v>0.27603600756381202</v>
      </c>
      <c r="AI262">
        <v>127.37266397307999</v>
      </c>
      <c r="AJ262">
        <v>70.343853746496606</v>
      </c>
      <c r="AK262">
        <v>0.36883706393307802</v>
      </c>
      <c r="AL262">
        <v>85.985934666697602</v>
      </c>
      <c r="AM262">
        <v>87.797726689643895</v>
      </c>
      <c r="AN262">
        <v>0.99999999965971698</v>
      </c>
    </row>
    <row r="263" spans="1:40" x14ac:dyDescent="0.25">
      <c r="A263" t="str">
        <f>"20190312154806206"</f>
        <v>20190312154806206</v>
      </c>
      <c r="B263" t="str">
        <f>"1552376886196728"</f>
        <v>1552376886196728</v>
      </c>
      <c r="C263" t="s">
        <v>40</v>
      </c>
      <c r="D263">
        <v>4.6043690000000002</v>
      </c>
      <c r="E263">
        <v>0.55979419999999902</v>
      </c>
      <c r="F263" t="s">
        <v>41</v>
      </c>
      <c r="G263">
        <v>-398.82960000000003</v>
      </c>
      <c r="H263">
        <v>0.85512140000000003</v>
      </c>
      <c r="I263">
        <v>367.1472</v>
      </c>
      <c r="J263">
        <v>-399.18099999999998</v>
      </c>
      <c r="K263">
        <v>1.0656369999999999</v>
      </c>
      <c r="L263">
        <v>367.2688</v>
      </c>
      <c r="M263">
        <v>0.99990210000000002</v>
      </c>
      <c r="N263">
        <v>0</v>
      </c>
      <c r="O263">
        <v>1.012737E-2</v>
      </c>
      <c r="P263">
        <v>0.99782400000000004</v>
      </c>
      <c r="Q263">
        <v>5.9466959999999999E-2</v>
      </c>
      <c r="R263">
        <v>-2.84849E-2</v>
      </c>
      <c r="S263">
        <v>3.0463260000000001</v>
      </c>
      <c r="T263">
        <v>-0.93615879999999996</v>
      </c>
      <c r="U263">
        <v>-0.52847290000000002</v>
      </c>
      <c r="V263">
        <v>3.8585830000000002E-2</v>
      </c>
      <c r="W263">
        <v>6.9107550000000004E-2</v>
      </c>
      <c r="X263">
        <v>0.99686269999999999</v>
      </c>
      <c r="Y263">
        <v>0.1726955</v>
      </c>
      <c r="Z263">
        <v>-2.877861E-2</v>
      </c>
      <c r="AA263">
        <v>0.98455479999999995</v>
      </c>
      <c r="AB263">
        <v>34</v>
      </c>
      <c r="AC263">
        <v>0.35139999999995503</v>
      </c>
      <c r="AD263">
        <v>-0.2105156</v>
      </c>
      <c r="AE263">
        <v>-0.1216</v>
      </c>
      <c r="AF263">
        <v>9.4775829343877793E-2</v>
      </c>
      <c r="AG263">
        <v>-0.2105156</v>
      </c>
      <c r="AH263">
        <v>0.26516248543416199</v>
      </c>
      <c r="AI263">
        <v>126.78153173437001</v>
      </c>
      <c r="AJ263">
        <v>70.331815793163798</v>
      </c>
      <c r="AK263">
        <v>0.35158273471944301</v>
      </c>
      <c r="AL263">
        <v>86.037270463318805</v>
      </c>
      <c r="AM263">
        <v>87.7833435991638</v>
      </c>
      <c r="AN263">
        <v>0.99999998119753997</v>
      </c>
    </row>
    <row r="264" spans="1:40" x14ac:dyDescent="0.25">
      <c r="A264" t="str">
        <f>"20190312154806228"</f>
        <v>20190312154806228</v>
      </c>
      <c r="B264" t="str">
        <f>"1552376886216245"</f>
        <v>1552376886216245</v>
      </c>
      <c r="C264" t="s">
        <v>40</v>
      </c>
      <c r="D264">
        <v>4.6108849999999997</v>
      </c>
      <c r="E264">
        <v>0.55964619999999998</v>
      </c>
      <c r="F264" t="s">
        <v>41</v>
      </c>
      <c r="G264">
        <v>-398.24759999999998</v>
      </c>
      <c r="H264">
        <v>0.78079330000000002</v>
      </c>
      <c r="I264">
        <v>367.10730000000001</v>
      </c>
      <c r="J264">
        <v>-398.83199999999999</v>
      </c>
      <c r="K264">
        <v>1.0672600000000001</v>
      </c>
      <c r="L264">
        <v>367.27229999999997</v>
      </c>
      <c r="M264">
        <v>0.99991790000000003</v>
      </c>
      <c r="N264">
        <v>0</v>
      </c>
      <c r="O264">
        <v>1.012717E-2</v>
      </c>
      <c r="P264">
        <v>0.9978165</v>
      </c>
      <c r="Q264">
        <v>5.9815420000000001E-2</v>
      </c>
      <c r="R264">
        <v>-2.8008680000000001E-2</v>
      </c>
      <c r="S264">
        <v>3.0469059999999999</v>
      </c>
      <c r="T264">
        <v>-0.92986829999999998</v>
      </c>
      <c r="U264">
        <v>-0.5266113</v>
      </c>
      <c r="V264">
        <v>3.8111600000000002E-2</v>
      </c>
      <c r="W264">
        <v>6.7646600000000001E-2</v>
      </c>
      <c r="X264">
        <v>0.99698109999999995</v>
      </c>
      <c r="Y264">
        <v>0.17221049999999999</v>
      </c>
      <c r="Z264">
        <v>-2.8517799999999999E-2</v>
      </c>
      <c r="AA264">
        <v>0.9846473</v>
      </c>
      <c r="AB264">
        <v>34</v>
      </c>
      <c r="AC264">
        <v>0.58440000000001602</v>
      </c>
      <c r="AD264">
        <v>-0.28646670000000002</v>
      </c>
      <c r="AE264">
        <v>-0.16499999999996301</v>
      </c>
      <c r="AF264">
        <v>0.13979854602599101</v>
      </c>
      <c r="AG264">
        <v>-0.28646670000000002</v>
      </c>
      <c r="AH264">
        <v>0.476627779805742</v>
      </c>
      <c r="AI264">
        <v>119.973422744465</v>
      </c>
      <c r="AJ264">
        <v>73.653186520443299</v>
      </c>
      <c r="AK264">
        <v>0.573394143815946</v>
      </c>
      <c r="AL264">
        <v>86.121172932728101</v>
      </c>
      <c r="AM264">
        <v>87.810819973110497</v>
      </c>
      <c r="AN264">
        <v>0.99999993515166197</v>
      </c>
    </row>
    <row r="265" spans="1:40" x14ac:dyDescent="0.25">
      <c r="A265" t="str">
        <f>"20190312154806241"</f>
        <v>20190312154806241</v>
      </c>
      <c r="B265" t="str">
        <f>"1552376886236740"</f>
        <v>1552376886236740</v>
      </c>
      <c r="C265" t="s">
        <v>40</v>
      </c>
      <c r="D265">
        <v>4.587847</v>
      </c>
      <c r="E265">
        <v>0.55944899999999997</v>
      </c>
      <c r="F265" t="s">
        <v>41</v>
      </c>
      <c r="G265">
        <v>-397.9366</v>
      </c>
      <c r="H265">
        <v>0.79512890000000003</v>
      </c>
      <c r="I265">
        <v>367.1182</v>
      </c>
      <c r="J265">
        <v>-398.62529999999998</v>
      </c>
      <c r="K265">
        <v>1.0682430000000001</v>
      </c>
      <c r="L265">
        <v>367.27440000000001</v>
      </c>
      <c r="M265">
        <v>0.99992559999999997</v>
      </c>
      <c r="N265">
        <v>0</v>
      </c>
      <c r="O265">
        <v>1.012208E-2</v>
      </c>
      <c r="P265">
        <v>0.99778710000000004</v>
      </c>
      <c r="Q265">
        <v>6.0397109999999997E-2</v>
      </c>
      <c r="R265">
        <v>-2.7810439999999999E-2</v>
      </c>
      <c r="S265">
        <v>3.0473330000000001</v>
      </c>
      <c r="T265">
        <v>-0.92618699999999998</v>
      </c>
      <c r="U265">
        <v>-0.52377320000000005</v>
      </c>
      <c r="V265">
        <v>3.7908320000000002E-2</v>
      </c>
      <c r="W265">
        <v>6.7197499999999993E-2</v>
      </c>
      <c r="X265">
        <v>0.99701930000000005</v>
      </c>
      <c r="Y265">
        <v>0.17139089999999901</v>
      </c>
      <c r="Z265">
        <v>-2.828551E-2</v>
      </c>
      <c r="AA265">
        <v>0.98479700000000003</v>
      </c>
      <c r="AB265">
        <v>34</v>
      </c>
      <c r="AC265">
        <v>0.68869999999998199</v>
      </c>
      <c r="AD265">
        <v>-0.27311409999999903</v>
      </c>
      <c r="AE265">
        <v>-0.156200000000012</v>
      </c>
      <c r="AF265">
        <v>0.14193418611362901</v>
      </c>
      <c r="AG265">
        <v>-0.27311409999999903</v>
      </c>
      <c r="AH265">
        <v>0.59768766397815798</v>
      </c>
      <c r="AI265">
        <v>113.969324178176</v>
      </c>
      <c r="AJ265">
        <v>76.641291005862499</v>
      </c>
      <c r="AK265">
        <v>0.67228503514373705</v>
      </c>
      <c r="AL265">
        <v>86.146963460478105</v>
      </c>
      <c r="AM265">
        <v>87.822568720530498</v>
      </c>
      <c r="AN265">
        <v>1.0000000146519801</v>
      </c>
    </row>
    <row r="266" spans="1:40" x14ac:dyDescent="0.25">
      <c r="A266" t="str">
        <f>"20190312154806262"</f>
        <v>20190312154806262</v>
      </c>
      <c r="B266" t="str">
        <f>"1552376886256261"</f>
        <v>1552376886256261</v>
      </c>
      <c r="C266" t="s">
        <v>40</v>
      </c>
      <c r="D266">
        <v>4.5739979999999996</v>
      </c>
      <c r="E266">
        <v>0.55922989999999995</v>
      </c>
      <c r="F266" t="s">
        <v>41</v>
      </c>
      <c r="G266">
        <v>-397.91410000000002</v>
      </c>
      <c r="H266">
        <v>0.85333179999999997</v>
      </c>
      <c r="I266">
        <v>367.15249999999997</v>
      </c>
      <c r="J266">
        <v>-398.3125</v>
      </c>
      <c r="K266">
        <v>1.0698970000000001</v>
      </c>
      <c r="L266">
        <v>367.27749999999997</v>
      </c>
      <c r="M266">
        <v>0.99993109999999996</v>
      </c>
      <c r="N266">
        <v>0</v>
      </c>
      <c r="O266">
        <v>1.011431E-2</v>
      </c>
      <c r="P266">
        <v>0.99778219999999995</v>
      </c>
      <c r="Q266">
        <v>6.0828130000000001E-2</v>
      </c>
      <c r="R266">
        <v>-2.7034369999999999E-2</v>
      </c>
      <c r="S266">
        <v>3.047882</v>
      </c>
      <c r="T266">
        <v>-0.92094229999999999</v>
      </c>
      <c r="U266">
        <v>-0.52145390000000003</v>
      </c>
      <c r="V266">
        <v>3.7125100000000001E-2</v>
      </c>
      <c r="W266">
        <v>6.6762650000000007E-2</v>
      </c>
      <c r="X266">
        <v>0.99707789999999996</v>
      </c>
      <c r="Y266">
        <v>0.1707436</v>
      </c>
      <c r="Z266">
        <v>-2.8031650000000002E-2</v>
      </c>
      <c r="AA266">
        <v>0.98491669999999998</v>
      </c>
      <c r="AB266">
        <v>34</v>
      </c>
      <c r="AC266">
        <v>0.39839999999998099</v>
      </c>
      <c r="AD266">
        <v>-0.21656519999999899</v>
      </c>
      <c r="AE266">
        <v>-0.125</v>
      </c>
      <c r="AF266">
        <v>0.101672687083353</v>
      </c>
      <c r="AG266">
        <v>-0.21656519999999899</v>
      </c>
      <c r="AH266">
        <v>0.31293422273069499</v>
      </c>
      <c r="AI266">
        <v>123.352090066275</v>
      </c>
      <c r="AJ266">
        <v>72.0009614456918</v>
      </c>
      <c r="AK266">
        <v>0.39391071184451598</v>
      </c>
      <c r="AL266">
        <v>86.171934288915395</v>
      </c>
      <c r="AM266">
        <v>87.867639652167597</v>
      </c>
      <c r="AN266">
        <v>0.99999993157671796</v>
      </c>
    </row>
    <row r="267" spans="1:40" x14ac:dyDescent="0.25">
      <c r="A267" t="str">
        <f>"20190312154806275"</f>
        <v>20190312154806275</v>
      </c>
      <c r="B267" t="str">
        <f>"1552376886266021"</f>
        <v>1552376886266021</v>
      </c>
      <c r="C267" t="s">
        <v>40</v>
      </c>
      <c r="D267">
        <v>4.5865099999999996</v>
      </c>
      <c r="E267">
        <v>0.55913840000000004</v>
      </c>
      <c r="F267" t="s">
        <v>41</v>
      </c>
      <c r="G267">
        <v>-397.6096</v>
      </c>
      <c r="H267">
        <v>0.85857359999999905</v>
      </c>
      <c r="I267">
        <v>367.15800000000002</v>
      </c>
      <c r="J267">
        <v>-398.12020000000001</v>
      </c>
      <c r="K267">
        <v>1.0711630000000001</v>
      </c>
      <c r="L267">
        <v>367.27940000000001</v>
      </c>
      <c r="M267">
        <v>0.99993149999999997</v>
      </c>
      <c r="N267">
        <v>0</v>
      </c>
      <c r="O267">
        <v>1.010953E-2</v>
      </c>
      <c r="P267">
        <v>0.99778480000000003</v>
      </c>
      <c r="Q267">
        <v>6.1059530000000001E-2</v>
      </c>
      <c r="R267">
        <v>-2.6408480000000002E-2</v>
      </c>
      <c r="S267">
        <v>3.0485229999999999</v>
      </c>
      <c r="T267">
        <v>-0.9165778</v>
      </c>
      <c r="U267">
        <v>-0.51724239999999999</v>
      </c>
      <c r="V267">
        <v>3.6494560000000002E-2</v>
      </c>
      <c r="W267">
        <v>6.6954860000000005E-2</v>
      </c>
      <c r="X267">
        <v>0.99708839999999999</v>
      </c>
      <c r="Y267">
        <v>0.1695092</v>
      </c>
      <c r="Z267">
        <v>-2.7720060000000001E-2</v>
      </c>
      <c r="AA267">
        <v>0.98513870000000003</v>
      </c>
      <c r="AB267">
        <v>34</v>
      </c>
      <c r="AC267">
        <v>0.51060000000001005</v>
      </c>
      <c r="AD267">
        <v>-0.21258939999999901</v>
      </c>
      <c r="AE267">
        <v>-0.121399999999994</v>
      </c>
      <c r="AF267">
        <v>0.108718006727063</v>
      </c>
      <c r="AG267">
        <v>-0.21258939999999901</v>
      </c>
      <c r="AH267">
        <v>0.43755513868106399</v>
      </c>
      <c r="AI267">
        <v>115.244838445165</v>
      </c>
      <c r="AJ267">
        <v>76.0464547325289</v>
      </c>
      <c r="AK267">
        <v>0.49846600422222498</v>
      </c>
      <c r="AL267">
        <v>86.160897193156899</v>
      </c>
      <c r="AM267">
        <v>87.903845547549693</v>
      </c>
      <c r="AN267">
        <v>1.0000000418008801</v>
      </c>
    </row>
    <row r="268" spans="1:40" x14ac:dyDescent="0.25">
      <c r="A268" t="str">
        <f>"20190312154806297"</f>
        <v>20190312154806297</v>
      </c>
      <c r="B268" t="str">
        <f>"1552376886286517"</f>
        <v>1552376886286517</v>
      </c>
      <c r="C268" t="s">
        <v>40</v>
      </c>
      <c r="D268">
        <v>4.5469809999999997</v>
      </c>
      <c r="E268">
        <v>0.55880209999999997</v>
      </c>
      <c r="F268" t="s">
        <v>41</v>
      </c>
      <c r="G268">
        <v>-397.31990000000002</v>
      </c>
      <c r="H268">
        <v>0.83120919999999898</v>
      </c>
      <c r="I268">
        <v>367.14400000000001</v>
      </c>
      <c r="J268">
        <v>-397.79989999999998</v>
      </c>
      <c r="K268">
        <v>1.0735220000000001</v>
      </c>
      <c r="L268">
        <v>367.28269999999998</v>
      </c>
      <c r="M268">
        <v>0.99993069999999895</v>
      </c>
      <c r="N268">
        <v>0</v>
      </c>
      <c r="O268">
        <v>1.0101850000000001E-2</v>
      </c>
      <c r="P268">
        <v>0.9977665</v>
      </c>
      <c r="Q268">
        <v>6.1605170000000001E-2</v>
      </c>
      <c r="R268">
        <v>-2.5833990000000001E-2</v>
      </c>
      <c r="S268">
        <v>3.0489809999999999</v>
      </c>
      <c r="T268">
        <v>-0.91420699999999999</v>
      </c>
      <c r="U268">
        <v>-0.51443479999999997</v>
      </c>
      <c r="V268">
        <v>3.5912279999999998E-2</v>
      </c>
      <c r="W268">
        <v>6.7653729999999995E-2</v>
      </c>
      <c r="X268">
        <v>0.99706229999999996</v>
      </c>
      <c r="Y268">
        <v>0.1686714</v>
      </c>
      <c r="Z268">
        <v>-2.7525040000000001E-2</v>
      </c>
      <c r="AA268">
        <v>0.98528800000000005</v>
      </c>
      <c r="AB268">
        <v>34</v>
      </c>
      <c r="AC268">
        <v>0.47999999999996101</v>
      </c>
      <c r="AD268">
        <v>-0.242312799999999</v>
      </c>
      <c r="AE268">
        <v>-0.13869999999997101</v>
      </c>
      <c r="AF268">
        <v>0.116209172148888</v>
      </c>
      <c r="AG268">
        <v>-0.242312799999999</v>
      </c>
      <c r="AH268">
        <v>0.38744596463632702</v>
      </c>
      <c r="AI268">
        <v>120.92351262957</v>
      </c>
      <c r="AJ268">
        <v>73.304095654610194</v>
      </c>
      <c r="AK268">
        <v>0.47152353095931898</v>
      </c>
      <c r="AL268">
        <v>86.120763628876404</v>
      </c>
      <c r="AM268">
        <v>87.937207151119296</v>
      </c>
      <c r="AN268">
        <v>0.99999997455949996</v>
      </c>
    </row>
    <row r="269" spans="1:40" x14ac:dyDescent="0.25">
      <c r="A269" t="str">
        <f>"20190312154806318"</f>
        <v>20190312154806318</v>
      </c>
      <c r="B269" t="str">
        <f>"1552376886306037"</f>
        <v>1552376886306037</v>
      </c>
      <c r="C269" t="s">
        <v>40</v>
      </c>
      <c r="D269">
        <v>4.5676300000000003</v>
      </c>
      <c r="E269">
        <v>0.55877250000000001</v>
      </c>
      <c r="F269" t="s">
        <v>41</v>
      </c>
      <c r="G269">
        <v>-397.01690000000002</v>
      </c>
      <c r="H269">
        <v>0.8393699</v>
      </c>
      <c r="I269">
        <v>367.15179999999998</v>
      </c>
      <c r="J269">
        <v>-397.46629999999999</v>
      </c>
      <c r="K269">
        <v>1.0761909999999999</v>
      </c>
      <c r="L269">
        <v>367.28609999999998</v>
      </c>
      <c r="M269">
        <v>0.99993069999999895</v>
      </c>
      <c r="N269">
        <v>0</v>
      </c>
      <c r="O269">
        <v>1.0096279999999999E-2</v>
      </c>
      <c r="P269">
        <v>0.99769940000000001</v>
      </c>
      <c r="Q269">
        <v>6.2883990000000001E-2</v>
      </c>
      <c r="R269">
        <v>-2.533378E-2</v>
      </c>
      <c r="S269">
        <v>3.0498349999999999</v>
      </c>
      <c r="T269">
        <v>-0.91209320000000005</v>
      </c>
      <c r="U269">
        <v>-0.5092468</v>
      </c>
      <c r="V269">
        <v>3.5406220000000002E-2</v>
      </c>
      <c r="W269">
        <v>6.8939139999999996E-2</v>
      </c>
      <c r="X269">
        <v>0.99699230000000005</v>
      </c>
      <c r="Y269">
        <v>0.16709389999999999</v>
      </c>
      <c r="Z269">
        <v>-2.7229380000000001E-2</v>
      </c>
      <c r="AA269">
        <v>0.98556489999999997</v>
      </c>
      <c r="AB269">
        <v>34</v>
      </c>
      <c r="AC269">
        <v>0.44939999999996799</v>
      </c>
      <c r="AD269">
        <v>-0.23682109999999901</v>
      </c>
      <c r="AE269">
        <v>-0.13429999999999601</v>
      </c>
      <c r="AF269">
        <v>0.11062791278006701</v>
      </c>
      <c r="AG269">
        <v>-0.23682109999999901</v>
      </c>
      <c r="AH269">
        <v>0.35700830349977702</v>
      </c>
      <c r="AI269">
        <v>122.35937186363699</v>
      </c>
      <c r="AJ269">
        <v>72.783103254131703</v>
      </c>
      <c r="AK269">
        <v>0.44246773583965798</v>
      </c>
      <c r="AL269">
        <v>86.046942494479097</v>
      </c>
      <c r="AM269">
        <v>87.966107861552103</v>
      </c>
      <c r="AN269">
        <v>0.99999992584895603</v>
      </c>
    </row>
    <row r="270" spans="1:40" x14ac:dyDescent="0.25">
      <c r="A270" t="str">
        <f>"20190312154806341"</f>
        <v>20190312154806341</v>
      </c>
      <c r="B270" t="str">
        <f>"1552376886336292"</f>
        <v>1552376886336292</v>
      </c>
      <c r="C270" t="s">
        <v>40</v>
      </c>
      <c r="D270">
        <v>4.4796279999999999</v>
      </c>
      <c r="E270">
        <v>0.55854989999999904</v>
      </c>
      <c r="F270" t="s">
        <v>41</v>
      </c>
      <c r="G270">
        <v>-396.71089999999998</v>
      </c>
      <c r="H270">
        <v>0.85182849999999999</v>
      </c>
      <c r="I270">
        <v>367.16050000000001</v>
      </c>
      <c r="J270">
        <v>-397.13600000000002</v>
      </c>
      <c r="K270">
        <v>1.078972</v>
      </c>
      <c r="L270">
        <v>367.2894</v>
      </c>
      <c r="M270">
        <v>0.99993149999999997</v>
      </c>
      <c r="N270">
        <v>0</v>
      </c>
      <c r="O270">
        <v>1.0093960000000001E-2</v>
      </c>
      <c r="P270">
        <v>0.99760199999999999</v>
      </c>
      <c r="Q270">
        <v>6.4448720000000001E-2</v>
      </c>
      <c r="R270">
        <v>-2.5242290000000001E-2</v>
      </c>
      <c r="S270">
        <v>3.0511780000000002</v>
      </c>
      <c r="T270">
        <v>-0.90611140000000001</v>
      </c>
      <c r="U270">
        <v>-0.50616459999999996</v>
      </c>
      <c r="V270">
        <v>3.5311660000000002E-2</v>
      </c>
      <c r="W270">
        <v>7.0379029999999995E-2</v>
      </c>
      <c r="X270">
        <v>0.99689510000000003</v>
      </c>
      <c r="Y270">
        <v>0.166191899999999</v>
      </c>
      <c r="Z270">
        <v>-2.6917960000000001E-2</v>
      </c>
      <c r="AA270">
        <v>0.98572590000000004</v>
      </c>
      <c r="AB270">
        <v>34</v>
      </c>
      <c r="AC270">
        <v>0.42509999999998599</v>
      </c>
      <c r="AD270">
        <v>-0.2271435</v>
      </c>
      <c r="AE270">
        <v>-0.128899999999987</v>
      </c>
      <c r="AF270">
        <v>0.105578962996183</v>
      </c>
      <c r="AG270">
        <v>-0.2271435</v>
      </c>
      <c r="AH270">
        <v>0.33593980347220498</v>
      </c>
      <c r="AI270">
        <v>122.82354442801601</v>
      </c>
      <c r="AJ270">
        <v>72.553140351449699</v>
      </c>
      <c r="AK270">
        <v>0.41904252597623398</v>
      </c>
      <c r="AL270">
        <v>85.964242191718697</v>
      </c>
      <c r="AM270">
        <v>87.971337652745703</v>
      </c>
      <c r="AN270">
        <v>0.99999998079985297</v>
      </c>
    </row>
    <row r="271" spans="1:40" x14ac:dyDescent="0.25">
      <c r="A271" t="str">
        <f>"20190312154806362"</f>
        <v>20190312154806362</v>
      </c>
      <c r="B271" t="str">
        <f>"1552376886356788"</f>
        <v>1552376886356788</v>
      </c>
      <c r="C271" t="s">
        <v>40</v>
      </c>
      <c r="D271">
        <v>4.4666670000000002</v>
      </c>
      <c r="E271">
        <v>0.55823889999999998</v>
      </c>
      <c r="F271" t="s">
        <v>41</v>
      </c>
      <c r="G271">
        <v>-396.404</v>
      </c>
      <c r="H271">
        <v>0.86385789999999996</v>
      </c>
      <c r="I271">
        <v>367.1687</v>
      </c>
      <c r="J271">
        <v>-396.80279999999999</v>
      </c>
      <c r="K271">
        <v>1.081877</v>
      </c>
      <c r="L271">
        <v>367.2928</v>
      </c>
      <c r="M271">
        <v>0.99993149999999997</v>
      </c>
      <c r="N271">
        <v>0</v>
      </c>
      <c r="O271">
        <v>1.009431E-2</v>
      </c>
      <c r="P271">
        <v>0.99749330000000003</v>
      </c>
      <c r="Q271">
        <v>6.6086989999999998E-2</v>
      </c>
      <c r="R271">
        <v>-2.529093E-2</v>
      </c>
      <c r="S271">
        <v>3.0524290000000001</v>
      </c>
      <c r="T271">
        <v>-0.89701330000000001</v>
      </c>
      <c r="U271">
        <v>-0.50277709999999998</v>
      </c>
      <c r="V271">
        <v>3.5360089999999997E-2</v>
      </c>
      <c r="W271">
        <v>7.2012339999999994E-2</v>
      </c>
      <c r="X271">
        <v>0.99677680000000002</v>
      </c>
      <c r="Y271">
        <v>0.16525020000000001</v>
      </c>
      <c r="Z271">
        <v>-2.6515839999999999E-2</v>
      </c>
      <c r="AA271">
        <v>0.98589519999999997</v>
      </c>
      <c r="AB271">
        <v>34</v>
      </c>
      <c r="AC271">
        <v>0.39879999999999399</v>
      </c>
      <c r="AD271">
        <v>-0.21801909999999999</v>
      </c>
      <c r="AE271">
        <v>-0.124099999999998</v>
      </c>
      <c r="AF271">
        <v>0.100684634120176</v>
      </c>
      <c r="AG271">
        <v>-0.21801909999999999</v>
      </c>
      <c r="AH271">
        <v>0.31240287562206698</v>
      </c>
      <c r="AI271">
        <v>123.593413169716</v>
      </c>
      <c r="AJ271">
        <v>72.136336166101501</v>
      </c>
      <c r="AK271">
        <v>0.394037155874495</v>
      </c>
      <c r="AL271">
        <v>85.870422619920006</v>
      </c>
      <c r="AM271">
        <v>87.968316773844506</v>
      </c>
      <c r="AN271">
        <v>1.0000000510476601</v>
      </c>
    </row>
    <row r="272" spans="1:40" x14ac:dyDescent="0.25">
      <c r="A272" t="str">
        <f>"20190312154806385"</f>
        <v>20190312154806385</v>
      </c>
      <c r="B272" t="str">
        <f>"1552376886376312"</f>
        <v>1552376886376312</v>
      </c>
      <c r="C272" t="s">
        <v>40</v>
      </c>
      <c r="D272">
        <v>4.4535130000000001</v>
      </c>
      <c r="E272">
        <v>0.55810959999999998</v>
      </c>
      <c r="F272" t="s">
        <v>41</v>
      </c>
      <c r="G272">
        <v>-396.09660000000002</v>
      </c>
      <c r="H272">
        <v>0.87591209999999997</v>
      </c>
      <c r="I272">
        <v>367.17680000000001</v>
      </c>
      <c r="J272">
        <v>-396.46109999999999</v>
      </c>
      <c r="K272">
        <v>1.0848960000000001</v>
      </c>
      <c r="L272">
        <v>367.29629999999997</v>
      </c>
      <c r="M272">
        <v>0.99992999999999999</v>
      </c>
      <c r="N272">
        <v>0</v>
      </c>
      <c r="O272">
        <v>1.009613E-2</v>
      </c>
      <c r="P272">
        <v>0.99743590000000004</v>
      </c>
      <c r="Q272">
        <v>6.6665489999999994E-2</v>
      </c>
      <c r="R272">
        <v>-2.6031039999999998E-2</v>
      </c>
      <c r="S272">
        <v>3.053925</v>
      </c>
      <c r="T272">
        <v>-0.89077390000000001</v>
      </c>
      <c r="U272">
        <v>-0.49960329999999997</v>
      </c>
      <c r="V272">
        <v>3.6101710000000002E-2</v>
      </c>
      <c r="W272">
        <v>7.2807040000000003E-2</v>
      </c>
      <c r="X272">
        <v>0.99669240000000003</v>
      </c>
      <c r="Y272">
        <v>0.16431809999999999</v>
      </c>
      <c r="Z272">
        <v>-2.61967E-2</v>
      </c>
      <c r="AA272">
        <v>0.98605949999999998</v>
      </c>
      <c r="AB272">
        <v>34</v>
      </c>
      <c r="AC272">
        <v>0.36449999999996402</v>
      </c>
      <c r="AD272">
        <v>-0.208983899999999</v>
      </c>
      <c r="AE272">
        <v>-0.119499999999959</v>
      </c>
      <c r="AF272">
        <v>9.4981571089080799E-2</v>
      </c>
      <c r="AG272">
        <v>-0.208983899999999</v>
      </c>
      <c r="AH272">
        <v>0.28012743431390602</v>
      </c>
      <c r="AI272">
        <v>125.242095519214</v>
      </c>
      <c r="AJ272">
        <v>71.269971026826397</v>
      </c>
      <c r="AK272">
        <v>0.36217005503085398</v>
      </c>
      <c r="AL272">
        <v>85.824769483641902</v>
      </c>
      <c r="AM272">
        <v>87.925566889519601</v>
      </c>
      <c r="AN272">
        <v>0.99999996937812197</v>
      </c>
    </row>
    <row r="273" spans="1:40" x14ac:dyDescent="0.25">
      <c r="A273" t="str">
        <f>"20190312154806407"</f>
        <v>20190312154806407</v>
      </c>
      <c r="B273" t="str">
        <f>"1552376886396806"</f>
        <v>1552376886396806</v>
      </c>
      <c r="C273" t="s">
        <v>40</v>
      </c>
      <c r="D273">
        <v>4.3831540000000002</v>
      </c>
      <c r="E273">
        <v>0.55788179999999998</v>
      </c>
      <c r="F273" t="s">
        <v>41</v>
      </c>
      <c r="G273">
        <v>-395.78840000000002</v>
      </c>
      <c r="H273">
        <v>0.88960810000000001</v>
      </c>
      <c r="I273">
        <v>367.18619999999999</v>
      </c>
      <c r="J273">
        <v>-396.12619999999998</v>
      </c>
      <c r="K273">
        <v>1.0877810000000001</v>
      </c>
      <c r="L273">
        <v>367.29969999999997</v>
      </c>
      <c r="M273">
        <v>0.99992749999999997</v>
      </c>
      <c r="N273">
        <v>0</v>
      </c>
      <c r="O273">
        <v>1.0098009999999999E-2</v>
      </c>
      <c r="P273">
        <v>0.99739560000000005</v>
      </c>
      <c r="Q273">
        <v>6.6773109999999997E-2</v>
      </c>
      <c r="R273">
        <v>-2.726547E-2</v>
      </c>
      <c r="S273">
        <v>3.0538940000000001</v>
      </c>
      <c r="T273">
        <v>-0.88657559999999902</v>
      </c>
      <c r="U273">
        <v>-0.49972529999999998</v>
      </c>
      <c r="V273">
        <v>3.733831E-2</v>
      </c>
      <c r="W273">
        <v>7.3320629999999998E-2</v>
      </c>
      <c r="X273">
        <v>0.99660919999999997</v>
      </c>
      <c r="Y273">
        <v>0.16442100000000001</v>
      </c>
      <c r="Z273">
        <v>-2.60933E-2</v>
      </c>
      <c r="AA273">
        <v>0.98604510000000001</v>
      </c>
      <c r="AB273">
        <v>34</v>
      </c>
      <c r="AC273">
        <v>0.33779999999995802</v>
      </c>
      <c r="AD273">
        <v>-0.19817289999999901</v>
      </c>
      <c r="AE273">
        <v>-0.113499999999987</v>
      </c>
      <c r="AF273">
        <v>8.9291609549194698E-2</v>
      </c>
      <c r="AG273">
        <v>-0.19817289999999901</v>
      </c>
      <c r="AH273">
        <v>0.25712095280046199</v>
      </c>
      <c r="AI273">
        <v>126.05776688219601</v>
      </c>
      <c r="AJ273">
        <v>70.849177780914601</v>
      </c>
      <c r="AK273">
        <v>0.33668482917903098</v>
      </c>
      <c r="AL273">
        <v>85.795264131252296</v>
      </c>
      <c r="AM273">
        <v>87.854397228148599</v>
      </c>
      <c r="AN273">
        <v>0.99999998085094599</v>
      </c>
    </row>
    <row r="274" spans="1:40" x14ac:dyDescent="0.25">
      <c r="A274" t="str">
        <f>"20190312154806420"</f>
        <v>20190312154806420</v>
      </c>
      <c r="B274" t="str">
        <f>"1552376886416326"</f>
        <v>1552376886416326</v>
      </c>
      <c r="C274" t="s">
        <v>40</v>
      </c>
      <c r="D274">
        <v>4.3977349999999999</v>
      </c>
      <c r="E274">
        <v>0.55778399999999995</v>
      </c>
      <c r="F274" t="s">
        <v>41</v>
      </c>
      <c r="G274">
        <v>-395.20920000000001</v>
      </c>
      <c r="H274">
        <v>0.82173989999999997</v>
      </c>
      <c r="I274">
        <v>367.14909999999998</v>
      </c>
      <c r="J274">
        <v>-395.92439999999999</v>
      </c>
      <c r="K274">
        <v>1.0894429999999999</v>
      </c>
      <c r="L274">
        <v>367.30169999999998</v>
      </c>
      <c r="M274">
        <v>0.99992550000000002</v>
      </c>
      <c r="N274">
        <v>0</v>
      </c>
      <c r="O274">
        <v>1.009966E-2</v>
      </c>
      <c r="P274">
        <v>0.99739100000000003</v>
      </c>
      <c r="Q274">
        <v>6.6708089999999998E-2</v>
      </c>
      <c r="R274">
        <v>-2.7592709999999999E-2</v>
      </c>
      <c r="S274">
        <v>3.053436</v>
      </c>
      <c r="T274">
        <v>-0.88598250000000001</v>
      </c>
      <c r="U274">
        <v>-0.50036619999999998</v>
      </c>
      <c r="V274">
        <v>3.7667140000000002E-2</v>
      </c>
      <c r="W274">
        <v>7.3556999999999997E-2</v>
      </c>
      <c r="X274">
        <v>0.9965794</v>
      </c>
      <c r="Y274">
        <v>0.16464609999999999</v>
      </c>
      <c r="Z274">
        <v>-2.6112079999999999E-2</v>
      </c>
      <c r="AA274">
        <v>0.98600699999999997</v>
      </c>
      <c r="AB274">
        <v>34</v>
      </c>
      <c r="AC274">
        <v>0.71519999999998096</v>
      </c>
      <c r="AD274">
        <v>-0.26770310000000003</v>
      </c>
      <c r="AE274">
        <v>-0.15260000000000601</v>
      </c>
      <c r="AF274">
        <v>0.14093044476955899</v>
      </c>
      <c r="AG274">
        <v>-0.26770310000000003</v>
      </c>
      <c r="AH274">
        <v>0.62929441877707104</v>
      </c>
      <c r="AI274">
        <v>112.544289682615</v>
      </c>
      <c r="AJ274">
        <v>77.376894558720593</v>
      </c>
      <c r="AK274">
        <v>0.69823907475629599</v>
      </c>
      <c r="AL274">
        <v>85.781684425920403</v>
      </c>
      <c r="AM274">
        <v>87.835454625764001</v>
      </c>
      <c r="AN274">
        <v>0.99999997309456901</v>
      </c>
    </row>
    <row r="275" spans="1:40" x14ac:dyDescent="0.25">
      <c r="A275" t="str">
        <f>"20190312154806442"</f>
        <v>20190312154806442</v>
      </c>
      <c r="B275" t="str">
        <f>"1552376886436820"</f>
        <v>1552376886436820</v>
      </c>
      <c r="C275" t="s">
        <v>40</v>
      </c>
      <c r="D275">
        <v>4.3861299999999996</v>
      </c>
      <c r="E275">
        <v>0.55774080000000004</v>
      </c>
      <c r="F275" t="s">
        <v>41</v>
      </c>
      <c r="G275">
        <v>-395.18799999999999</v>
      </c>
      <c r="H275">
        <v>0.87631479999999995</v>
      </c>
      <c r="I275">
        <v>367.18079999999998</v>
      </c>
      <c r="J275">
        <v>-395.59539999999998</v>
      </c>
      <c r="K275">
        <v>1.0920209999999999</v>
      </c>
      <c r="L275">
        <v>367.30500000000001</v>
      </c>
      <c r="M275">
        <v>0.99992159999999997</v>
      </c>
      <c r="N275">
        <v>0</v>
      </c>
      <c r="O275">
        <v>1.01014E-2</v>
      </c>
      <c r="P275">
        <v>0.99738919999999998</v>
      </c>
      <c r="Q275">
        <v>6.6352930000000004E-2</v>
      </c>
      <c r="R275">
        <v>-2.8498530000000001E-2</v>
      </c>
      <c r="S275">
        <v>3.0531009999999998</v>
      </c>
      <c r="T275">
        <v>-0.88364909999999997</v>
      </c>
      <c r="U275">
        <v>-0.50027469999999996</v>
      </c>
      <c r="V275">
        <v>3.857493E-2</v>
      </c>
      <c r="W275">
        <v>7.3735319999999993E-2</v>
      </c>
      <c r="X275">
        <v>0.99653150000000001</v>
      </c>
      <c r="Y275">
        <v>0.16467010000000001</v>
      </c>
      <c r="Z275">
        <v>-2.605263E-2</v>
      </c>
      <c r="AA275">
        <v>0.98600460000000001</v>
      </c>
      <c r="AB275">
        <v>34</v>
      </c>
      <c r="AC275">
        <v>0.40739999999993798</v>
      </c>
      <c r="AD275">
        <v>-0.21570619999999899</v>
      </c>
      <c r="AE275">
        <v>-0.12420000000002999</v>
      </c>
      <c r="AF275">
        <v>0.10211628115523801</v>
      </c>
      <c r="AG275">
        <v>-0.21570619999999899</v>
      </c>
      <c r="AH275">
        <v>0.32321898320836201</v>
      </c>
      <c r="AI275">
        <v>122.47122658040399</v>
      </c>
      <c r="AJ275">
        <v>72.466835214807702</v>
      </c>
      <c r="AK275">
        <v>0.401780301535134</v>
      </c>
      <c r="AL275">
        <v>85.771439636496297</v>
      </c>
      <c r="AM275">
        <v>87.783233382337301</v>
      </c>
      <c r="AN275">
        <v>0.99999997656612805</v>
      </c>
    </row>
    <row r="276" spans="1:40" x14ac:dyDescent="0.25">
      <c r="A276" t="str">
        <f>"20190312154806463"</f>
        <v>20190312154806463</v>
      </c>
      <c r="B276" t="str">
        <f>"1552376886456847"</f>
        <v>1552376886456847</v>
      </c>
      <c r="C276" t="s">
        <v>40</v>
      </c>
      <c r="D276">
        <v>4.3913929999999999</v>
      </c>
      <c r="E276">
        <v>0.5576875</v>
      </c>
      <c r="F276" t="s">
        <v>41</v>
      </c>
      <c r="G276">
        <v>-394.8818</v>
      </c>
      <c r="H276">
        <v>0.88566449999999997</v>
      </c>
      <c r="I276">
        <v>367.18689999999998</v>
      </c>
      <c r="J276">
        <v>-395.27179999999998</v>
      </c>
      <c r="K276">
        <v>1.094355</v>
      </c>
      <c r="L276">
        <v>367.3082</v>
      </c>
      <c r="M276">
        <v>0.99991739999999996</v>
      </c>
      <c r="N276">
        <v>0</v>
      </c>
      <c r="O276">
        <v>1.010173E-2</v>
      </c>
      <c r="P276">
        <v>0.99741800000000003</v>
      </c>
      <c r="Q276">
        <v>6.5520499999999995E-2</v>
      </c>
      <c r="R276">
        <v>-2.9407309999999999E-2</v>
      </c>
      <c r="S276">
        <v>3.052216</v>
      </c>
      <c r="T276">
        <v>-0.88263670000000005</v>
      </c>
      <c r="U276">
        <v>-0.50259399999999999</v>
      </c>
      <c r="V276">
        <v>3.9484419999999999E-2</v>
      </c>
      <c r="W276">
        <v>7.3458549999999997E-2</v>
      </c>
      <c r="X276">
        <v>0.99651630000000002</v>
      </c>
      <c r="Y276">
        <v>0.16542809999999999</v>
      </c>
      <c r="Z276">
        <v>-2.6136429999999999E-2</v>
      </c>
      <c r="AA276">
        <v>0.98587550000000002</v>
      </c>
      <c r="AB276">
        <v>34</v>
      </c>
      <c r="AC276">
        <v>0.38999999999998602</v>
      </c>
      <c r="AD276">
        <v>-0.208690499999999</v>
      </c>
      <c r="AE276">
        <v>-0.121300000000019</v>
      </c>
      <c r="AF276">
        <v>9.9306630499762599E-2</v>
      </c>
      <c r="AG276">
        <v>-0.208690499999999</v>
      </c>
      <c r="AH276">
        <v>0.30827125061421801</v>
      </c>
      <c r="AI276">
        <v>122.79616747860899</v>
      </c>
      <c r="AJ276">
        <v>72.144152036467602</v>
      </c>
      <c r="AK276">
        <v>0.385285213324779</v>
      </c>
      <c r="AL276">
        <v>85.787340429661697</v>
      </c>
      <c r="AM276">
        <v>87.730987590932898</v>
      </c>
      <c r="AN276">
        <v>0.99999995707826295</v>
      </c>
    </row>
    <row r="277" spans="1:40" x14ac:dyDescent="0.25">
      <c r="A277" t="str">
        <f>"20190312154806476"</f>
        <v>20190312154806476</v>
      </c>
      <c r="B277" t="str">
        <f>"1552376886466607"</f>
        <v>1552376886466607</v>
      </c>
      <c r="C277" t="s">
        <v>40</v>
      </c>
      <c r="D277">
        <v>4.353796</v>
      </c>
      <c r="E277">
        <v>0.55760900000000002</v>
      </c>
      <c r="F277" t="s">
        <v>41</v>
      </c>
      <c r="G277">
        <v>-394.57650000000001</v>
      </c>
      <c r="H277">
        <v>0.89322639999999998</v>
      </c>
      <c r="I277">
        <v>367.19279999999998</v>
      </c>
      <c r="J277">
        <v>-395.0795</v>
      </c>
      <c r="K277">
        <v>1.0956220000000001</v>
      </c>
      <c r="L277">
        <v>367.31020000000001</v>
      </c>
      <c r="M277">
        <v>0.99991459999999999</v>
      </c>
      <c r="N277">
        <v>0</v>
      </c>
      <c r="O277">
        <v>1.0101840000000001E-2</v>
      </c>
      <c r="P277">
        <v>0.99745399999999995</v>
      </c>
      <c r="Q277">
        <v>6.462917E-2</v>
      </c>
      <c r="R277">
        <v>-3.01429E-2</v>
      </c>
      <c r="S277">
        <v>3.0508120000000001</v>
      </c>
      <c r="T277">
        <v>-0.88257529999999995</v>
      </c>
      <c r="U277">
        <v>-0.50521850000000001</v>
      </c>
      <c r="V277">
        <v>4.0220369999999998E-2</v>
      </c>
      <c r="W277">
        <v>7.2900240000000005E-2</v>
      </c>
      <c r="X277">
        <v>0.99652790000000002</v>
      </c>
      <c r="Y277">
        <v>0.16628799999999999</v>
      </c>
      <c r="Z277">
        <v>-2.6265529999999999E-2</v>
      </c>
      <c r="AA277">
        <v>0.98572740000000003</v>
      </c>
      <c r="AB277">
        <v>34</v>
      </c>
      <c r="AC277">
        <v>0.50299999999998501</v>
      </c>
      <c r="AD277">
        <v>-0.20239559999999901</v>
      </c>
      <c r="AE277">
        <v>-0.11740000000003099</v>
      </c>
      <c r="AF277">
        <v>0.106173259875059</v>
      </c>
      <c r="AG277">
        <v>-0.20239559999999901</v>
      </c>
      <c r="AH277">
        <v>0.43499755283254798</v>
      </c>
      <c r="AI277">
        <v>114.323472182133</v>
      </c>
      <c r="AJ277">
        <v>76.283554319229594</v>
      </c>
      <c r="AK277">
        <v>0.491385399642849</v>
      </c>
      <c r="AL277">
        <v>85.819415372319895</v>
      </c>
      <c r="AM277">
        <v>87.688767795307697</v>
      </c>
      <c r="AN277">
        <v>0.99999998931670198</v>
      </c>
    </row>
    <row r="278" spans="1:40" x14ac:dyDescent="0.25">
      <c r="A278" t="str">
        <f>"20190312154806488"</f>
        <v>20190312154806488</v>
      </c>
      <c r="B278" t="str">
        <f>"1552376886476368"</f>
        <v>1552376886476368</v>
      </c>
      <c r="C278" t="s">
        <v>40</v>
      </c>
      <c r="D278">
        <v>4.3338720000000004</v>
      </c>
      <c r="E278">
        <v>0.55753050000000004</v>
      </c>
      <c r="F278" t="s">
        <v>41</v>
      </c>
      <c r="G278">
        <v>-394.28519999999997</v>
      </c>
      <c r="H278">
        <v>0.86540219999999901</v>
      </c>
      <c r="I278">
        <v>367.17759999999998</v>
      </c>
      <c r="J278">
        <v>-394.8895</v>
      </c>
      <c r="K278">
        <v>1.0968119999999999</v>
      </c>
      <c r="L278">
        <v>367.31209999999999</v>
      </c>
      <c r="M278">
        <v>0.99991180000000002</v>
      </c>
      <c r="N278">
        <v>0</v>
      </c>
      <c r="O278">
        <v>1.0101799999999999E-2</v>
      </c>
      <c r="P278">
        <v>0.9974769</v>
      </c>
      <c r="Q278">
        <v>6.4179349999999996E-2</v>
      </c>
      <c r="R278">
        <v>-3.0351590000000001E-2</v>
      </c>
      <c r="S278">
        <v>3.0496219999999998</v>
      </c>
      <c r="T278">
        <v>-0.88392709999999997</v>
      </c>
      <c r="U278">
        <v>-0.5068665</v>
      </c>
      <c r="V278">
        <v>4.0429279999999998E-2</v>
      </c>
      <c r="W278">
        <v>7.2777079999999994E-2</v>
      </c>
      <c r="X278">
        <v>0.99652839999999998</v>
      </c>
      <c r="Y278">
        <v>0.16682130000000001</v>
      </c>
      <c r="Z278">
        <v>-2.6388089999999999E-2</v>
      </c>
      <c r="AA278">
        <v>0.98563400000000001</v>
      </c>
      <c r="AB278">
        <v>34</v>
      </c>
      <c r="AC278">
        <v>0.60430000000002304</v>
      </c>
      <c r="AD278">
        <v>-0.2314098</v>
      </c>
      <c r="AE278">
        <v>-0.13450000000000201</v>
      </c>
      <c r="AF278">
        <v>0.12336172140875799</v>
      </c>
      <c r="AG278">
        <v>-0.2314098</v>
      </c>
      <c r="AH278">
        <v>0.52899849317995795</v>
      </c>
      <c r="AI278">
        <v>113.07489906958</v>
      </c>
      <c r="AJ278">
        <v>76.873297595946397</v>
      </c>
      <c r="AK278">
        <v>0.59043036476085697</v>
      </c>
      <c r="AL278">
        <v>85.826490512695699</v>
      </c>
      <c r="AM278">
        <v>87.676777229539596</v>
      </c>
      <c r="AN278">
        <v>0.99999994103059997</v>
      </c>
    </row>
    <row r="279" spans="1:40" x14ac:dyDescent="0.25">
      <c r="A279" t="str">
        <f>"20190312154806509"</f>
        <v>20190312154806509</v>
      </c>
      <c r="B279" t="str">
        <f>"1552376886495888"</f>
        <v>1552376886495888</v>
      </c>
      <c r="C279" t="s">
        <v>40</v>
      </c>
      <c r="D279">
        <v>4.3069249999999997</v>
      </c>
      <c r="E279">
        <v>0.55739719999999904</v>
      </c>
      <c r="F279" t="s">
        <v>41</v>
      </c>
      <c r="G279">
        <v>-393.99430000000001</v>
      </c>
      <c r="H279">
        <v>0.83723210000000003</v>
      </c>
      <c r="I279">
        <v>367.16320000000002</v>
      </c>
      <c r="J279">
        <v>-394.58440000000002</v>
      </c>
      <c r="K279">
        <v>1.098562</v>
      </c>
      <c r="L279">
        <v>367.3152</v>
      </c>
      <c r="M279">
        <v>0.99990730000000005</v>
      </c>
      <c r="N279">
        <v>0</v>
      </c>
      <c r="O279">
        <v>1.010164E-2</v>
      </c>
      <c r="P279">
        <v>0.99749929999999998</v>
      </c>
      <c r="Q279">
        <v>6.3351740000000004E-2</v>
      </c>
      <c r="R279">
        <v>-3.133035E-2</v>
      </c>
      <c r="S279">
        <v>3.049042</v>
      </c>
      <c r="T279">
        <v>-0.88413909999999996</v>
      </c>
      <c r="U279">
        <v>-0.50698849999999995</v>
      </c>
      <c r="V279">
        <v>4.140833E-2</v>
      </c>
      <c r="W279">
        <v>7.2459389999999999E-2</v>
      </c>
      <c r="X279">
        <v>0.99651140000000005</v>
      </c>
      <c r="Y279">
        <v>0.16688149999999999</v>
      </c>
      <c r="Z279">
        <v>-2.6407320000000001E-2</v>
      </c>
      <c r="AA279">
        <v>0.98562320000000003</v>
      </c>
      <c r="AB279">
        <v>34</v>
      </c>
      <c r="AC279">
        <v>0.59010000000000595</v>
      </c>
      <c r="AD279">
        <v>-0.2613299</v>
      </c>
      <c r="AE279">
        <v>-0.15199999999998601</v>
      </c>
      <c r="AF279">
        <v>0.13341573062095199</v>
      </c>
      <c r="AG279">
        <v>-0.2613299</v>
      </c>
      <c r="AH279">
        <v>0.49710679785441703</v>
      </c>
      <c r="AI279">
        <v>116.91843476915</v>
      </c>
      <c r="AJ279">
        <v>74.976735089318197</v>
      </c>
      <c r="AK279">
        <v>0.57724192699786203</v>
      </c>
      <c r="AL279">
        <v>85.844741205527598</v>
      </c>
      <c r="AM279">
        <v>87.620540585277396</v>
      </c>
      <c r="AN279">
        <v>0.99999999166125997</v>
      </c>
    </row>
    <row r="280" spans="1:40" x14ac:dyDescent="0.25">
      <c r="A280" t="str">
        <f>"20190312154806531"</f>
        <v>20190312154806531</v>
      </c>
      <c r="B280" t="str">
        <f>"1552376886526143"</f>
        <v>1552376886526143</v>
      </c>
      <c r="C280" t="s">
        <v>40</v>
      </c>
      <c r="D280">
        <v>4.3379589999999997</v>
      </c>
      <c r="E280">
        <v>0.55717150000000004</v>
      </c>
      <c r="F280" t="s">
        <v>41</v>
      </c>
      <c r="G280">
        <v>-393.6918</v>
      </c>
      <c r="H280">
        <v>0.8395492</v>
      </c>
      <c r="I280">
        <v>367.16559999999998</v>
      </c>
      <c r="J280">
        <v>-394.25119999999998</v>
      </c>
      <c r="K280">
        <v>1.10025</v>
      </c>
      <c r="L280">
        <v>367.31849999999997</v>
      </c>
      <c r="M280">
        <v>0.99990239999999997</v>
      </c>
      <c r="N280">
        <v>0</v>
      </c>
      <c r="O280">
        <v>1.0101499999999999E-2</v>
      </c>
      <c r="P280">
        <v>0.99747960000000002</v>
      </c>
      <c r="Q280">
        <v>6.3215439999999998E-2</v>
      </c>
      <c r="R280">
        <v>-3.222713E-2</v>
      </c>
      <c r="S280">
        <v>3.0476990000000002</v>
      </c>
      <c r="T280">
        <v>-0.88438269999999997</v>
      </c>
      <c r="U280">
        <v>-0.50939939999999995</v>
      </c>
      <c r="V280">
        <v>4.2304620000000001E-2</v>
      </c>
      <c r="W280">
        <v>7.2851260000000001E-2</v>
      </c>
      <c r="X280">
        <v>0.99644520000000003</v>
      </c>
      <c r="Y280">
        <v>0.16766979999999901</v>
      </c>
      <c r="Z280">
        <v>-2.6535050000000001E-2</v>
      </c>
      <c r="AA280">
        <v>0.98548599999999997</v>
      </c>
      <c r="AB280">
        <v>34</v>
      </c>
      <c r="AC280">
        <v>0.55939999999998202</v>
      </c>
      <c r="AD280">
        <v>-0.26070079999999901</v>
      </c>
      <c r="AE280">
        <v>-0.15289999999998799</v>
      </c>
      <c r="AF280">
        <v>0.131889439950403</v>
      </c>
      <c r="AG280">
        <v>-0.26070079999999901</v>
      </c>
      <c r="AH280">
        <v>0.46404673314135098</v>
      </c>
      <c r="AI280">
        <v>118.386617760108</v>
      </c>
      <c r="AJ280">
        <v>74.134009598700104</v>
      </c>
      <c r="AK280">
        <v>0.54836037605778098</v>
      </c>
      <c r="AL280">
        <v>85.822229295538605</v>
      </c>
      <c r="AM280">
        <v>87.568936626806504</v>
      </c>
      <c r="AN280">
        <v>1.0000000117799801</v>
      </c>
    </row>
    <row r="281" spans="1:40" x14ac:dyDescent="0.25">
      <c r="A281" t="str">
        <f>"20190312154806551"</f>
        <v>20190312154806551</v>
      </c>
      <c r="B281" t="str">
        <f>"1552376886545969"</f>
        <v>1552376886545969</v>
      </c>
      <c r="C281" t="s">
        <v>40</v>
      </c>
      <c r="D281">
        <v>4.3474579999999996</v>
      </c>
      <c r="E281">
        <v>0.55701659999999997</v>
      </c>
      <c r="F281" t="s">
        <v>41</v>
      </c>
      <c r="G281">
        <v>-393.38630000000001</v>
      </c>
      <c r="H281">
        <v>0.85018159999999898</v>
      </c>
      <c r="I281">
        <v>367.17340000000002</v>
      </c>
      <c r="J281">
        <v>-393.92970000000003</v>
      </c>
      <c r="K281">
        <v>1.101685</v>
      </c>
      <c r="L281">
        <v>367.32170000000002</v>
      </c>
      <c r="M281">
        <v>0.99989749999999999</v>
      </c>
      <c r="N281">
        <v>0</v>
      </c>
      <c r="O281">
        <v>1.0101600000000001E-2</v>
      </c>
      <c r="P281">
        <v>0.99746509999999999</v>
      </c>
      <c r="Q281">
        <v>6.3167769999999998E-2</v>
      </c>
      <c r="R281">
        <v>-3.276279E-2</v>
      </c>
      <c r="S281">
        <v>3.0469360000000001</v>
      </c>
      <c r="T281">
        <v>-0.88104459999999996</v>
      </c>
      <c r="U281">
        <v>-0.51077269999999997</v>
      </c>
      <c r="V281">
        <v>4.2840179999999999E-2</v>
      </c>
      <c r="W281">
        <v>7.3280219999999993E-2</v>
      </c>
      <c r="X281">
        <v>0.99639089999999997</v>
      </c>
      <c r="Y281">
        <v>0.16817199999999999</v>
      </c>
      <c r="Z281">
        <v>-2.6514860000000001E-2</v>
      </c>
      <c r="AA281">
        <v>0.98540099999999997</v>
      </c>
      <c r="AB281">
        <v>34</v>
      </c>
      <c r="AC281">
        <v>0.54340000000001898</v>
      </c>
      <c r="AD281">
        <v>-0.25150339999999999</v>
      </c>
      <c r="AE281">
        <v>-0.14830000000000601</v>
      </c>
      <c r="AF281">
        <v>0.128219405866627</v>
      </c>
      <c r="AG281">
        <v>-0.25150339999999999</v>
      </c>
      <c r="AH281">
        <v>0.451800683448499</v>
      </c>
      <c r="AI281">
        <v>118.169982701861</v>
      </c>
      <c r="AJ281">
        <v>74.156249093150194</v>
      </c>
      <c r="AK281">
        <v>0.53274574969386901</v>
      </c>
      <c r="AL281">
        <v>85.797585984349098</v>
      </c>
      <c r="AM281">
        <v>87.538063944827599</v>
      </c>
      <c r="AN281">
        <v>1.00000004863424</v>
      </c>
    </row>
    <row r="282" spans="1:40" x14ac:dyDescent="0.25">
      <c r="A282" t="str">
        <f>"20190312154806576"</f>
        <v>20190312154806576</v>
      </c>
      <c r="B282" t="str">
        <f>"1552376886566464"</f>
        <v>1552376886566464</v>
      </c>
      <c r="C282" t="s">
        <v>40</v>
      </c>
      <c r="D282">
        <v>4.3536590000000004</v>
      </c>
      <c r="E282">
        <v>0.55689129999999998</v>
      </c>
      <c r="F282" t="s">
        <v>41</v>
      </c>
      <c r="G282">
        <v>-393.08260000000001</v>
      </c>
      <c r="H282">
        <v>0.85721150000000002</v>
      </c>
      <c r="I282">
        <v>367.17939999999999</v>
      </c>
      <c r="J282">
        <v>-393.57580000000002</v>
      </c>
      <c r="K282">
        <v>1.1030519999999999</v>
      </c>
      <c r="L282">
        <v>367.32530000000003</v>
      </c>
      <c r="M282">
        <v>0.99989260000000002</v>
      </c>
      <c r="N282">
        <v>0</v>
      </c>
      <c r="O282">
        <v>1.0101540000000001E-2</v>
      </c>
      <c r="P282">
        <v>0.99746710000000005</v>
      </c>
      <c r="Q282">
        <v>6.27138E-2</v>
      </c>
      <c r="R282">
        <v>-3.3567319999999998E-2</v>
      </c>
      <c r="S282">
        <v>3.04657</v>
      </c>
      <c r="T282">
        <v>-0.87926029999999999</v>
      </c>
      <c r="U282">
        <v>-0.51077269999999997</v>
      </c>
      <c r="V282">
        <v>4.364473E-2</v>
      </c>
      <c r="W282">
        <v>7.3309699999999894E-2</v>
      </c>
      <c r="X282">
        <v>0.99635370000000001</v>
      </c>
      <c r="Y282">
        <v>0.16821610000000001</v>
      </c>
      <c r="Z282">
        <v>-2.647244E-2</v>
      </c>
      <c r="AA282">
        <v>0.98539460000000001</v>
      </c>
      <c r="AB282">
        <v>34</v>
      </c>
      <c r="AC282">
        <v>0.49320000000000103</v>
      </c>
      <c r="AD282">
        <v>-0.24584049999999999</v>
      </c>
      <c r="AE282">
        <v>-0.14590000000004</v>
      </c>
      <c r="AF282">
        <v>0.122815422022664</v>
      </c>
      <c r="AG282">
        <v>-0.24584049999999999</v>
      </c>
      <c r="AH282">
        <v>0.40025512324544399</v>
      </c>
      <c r="AI282">
        <v>120.42096900695999</v>
      </c>
      <c r="AJ282">
        <v>72.941742748575706</v>
      </c>
      <c r="AK282">
        <v>0.48551554353190501</v>
      </c>
      <c r="AL282">
        <v>85.795891871061201</v>
      </c>
      <c r="AM282">
        <v>87.491793105858306</v>
      </c>
      <c r="AN282">
        <v>0.99999993503727402</v>
      </c>
    </row>
    <row r="283" spans="1:40" x14ac:dyDescent="0.25">
      <c r="A283" t="str">
        <f>"20190312154806597"</f>
        <v>20190312154806597</v>
      </c>
      <c r="B283" t="str">
        <f>"1552376886585985"</f>
        <v>1552376886585985</v>
      </c>
      <c r="C283" t="s">
        <v>40</v>
      </c>
      <c r="D283">
        <v>4.351566</v>
      </c>
      <c r="E283">
        <v>0.55677989999999999</v>
      </c>
      <c r="F283" t="s">
        <v>41</v>
      </c>
      <c r="G283">
        <v>-392.77600000000001</v>
      </c>
      <c r="H283">
        <v>0.87226199999999998</v>
      </c>
      <c r="I283">
        <v>367.19040000000001</v>
      </c>
      <c r="J283">
        <v>-393.24270000000001</v>
      </c>
      <c r="K283">
        <v>1.104166</v>
      </c>
      <c r="L283">
        <v>367.32870000000003</v>
      </c>
      <c r="M283">
        <v>0.99988809999999995</v>
      </c>
      <c r="N283">
        <v>0</v>
      </c>
      <c r="O283">
        <v>1.0101570000000001E-2</v>
      </c>
      <c r="P283">
        <v>0.9974653</v>
      </c>
      <c r="Q283">
        <v>6.240855E-2</v>
      </c>
      <c r="R283">
        <v>-3.4184579999999999E-2</v>
      </c>
      <c r="S283">
        <v>3.0456240000000001</v>
      </c>
      <c r="T283">
        <v>-0.87883480000000003</v>
      </c>
      <c r="U283">
        <v>-0.51232909999999998</v>
      </c>
      <c r="V283">
        <v>4.4262070000000001E-2</v>
      </c>
      <c r="W283">
        <v>7.3420029999999997E-2</v>
      </c>
      <c r="X283">
        <v>0.99631840000000005</v>
      </c>
      <c r="Y283">
        <v>0.16873829999999901</v>
      </c>
      <c r="Z283">
        <v>-2.654024E-2</v>
      </c>
      <c r="AA283">
        <v>0.9853035</v>
      </c>
      <c r="AB283">
        <v>34</v>
      </c>
      <c r="AC283">
        <v>0.466700000000003</v>
      </c>
      <c r="AD283">
        <v>-0.231903999999999</v>
      </c>
      <c r="AE283">
        <v>-0.13830000000001499</v>
      </c>
      <c r="AF283">
        <v>0.11655262498292</v>
      </c>
      <c r="AG283">
        <v>-0.231903999999999</v>
      </c>
      <c r="AH283">
        <v>0.37920699765602001</v>
      </c>
      <c r="AI283">
        <v>120.308904413948</v>
      </c>
      <c r="AJ283">
        <v>72.914726237030806</v>
      </c>
      <c r="AK283">
        <v>0.459523586639143</v>
      </c>
      <c r="AL283">
        <v>85.789553590145402</v>
      </c>
      <c r="AM283">
        <v>87.456271633442398</v>
      </c>
      <c r="AN283">
        <v>0.99999999291222297</v>
      </c>
    </row>
    <row r="284" spans="1:40" x14ac:dyDescent="0.25">
      <c r="A284" t="str">
        <f>"20190312154806620"</f>
        <v>20190312154806620</v>
      </c>
      <c r="B284" t="str">
        <f>"1552376886616241"</f>
        <v>1552376886616241</v>
      </c>
      <c r="C284" t="s">
        <v>40</v>
      </c>
      <c r="D284">
        <v>4.377078</v>
      </c>
      <c r="E284">
        <v>0.55662259999999997</v>
      </c>
      <c r="F284" t="s">
        <v>41</v>
      </c>
      <c r="G284">
        <v>-392.47179999999997</v>
      </c>
      <c r="H284">
        <v>0.88182519999999998</v>
      </c>
      <c r="I284">
        <v>367.19850000000002</v>
      </c>
      <c r="J284">
        <v>-392.90589999999997</v>
      </c>
      <c r="K284">
        <v>1.1051310000000001</v>
      </c>
      <c r="L284">
        <v>367.33210000000003</v>
      </c>
      <c r="M284">
        <v>0.99988370000000004</v>
      </c>
      <c r="N284">
        <v>0</v>
      </c>
      <c r="O284">
        <v>1.010195E-2</v>
      </c>
      <c r="P284">
        <v>0.99746939999999995</v>
      </c>
      <c r="Q284">
        <v>6.222478E-2</v>
      </c>
      <c r="R284">
        <v>-3.4396789999999997E-2</v>
      </c>
      <c r="S284">
        <v>3.0449519999999999</v>
      </c>
      <c r="T284">
        <v>-0.87836829999999999</v>
      </c>
      <c r="U284">
        <v>-0.51309199999999999</v>
      </c>
      <c r="V284">
        <v>4.4474659999999999E-2</v>
      </c>
      <c r="W284">
        <v>7.3619290000000004E-2</v>
      </c>
      <c r="X284">
        <v>0.99629429999999997</v>
      </c>
      <c r="Y284">
        <v>0.169008299999999</v>
      </c>
      <c r="Z284">
        <v>-2.6569760000000001E-2</v>
      </c>
      <c r="AA284">
        <v>0.98525640000000003</v>
      </c>
      <c r="AB284">
        <v>34</v>
      </c>
      <c r="AC284">
        <v>0.43409999999999999</v>
      </c>
      <c r="AD284">
        <v>-0.223305799999999</v>
      </c>
      <c r="AE284">
        <v>-0.133600000000001</v>
      </c>
      <c r="AF284">
        <v>0.11111875741219</v>
      </c>
      <c r="AG284">
        <v>-0.223305799999999</v>
      </c>
      <c r="AH284">
        <v>0.34849005222113499</v>
      </c>
      <c r="AI284">
        <v>121.40395582364999</v>
      </c>
      <c r="AJ284">
        <v>72.314714457919294</v>
      </c>
      <c r="AK284">
        <v>0.42855358481706701</v>
      </c>
      <c r="AL284">
        <v>85.778106152301405</v>
      </c>
      <c r="AM284">
        <v>87.444008565999297</v>
      </c>
      <c r="AN284">
        <v>1.0000000637273501</v>
      </c>
    </row>
    <row r="285" spans="1:40" x14ac:dyDescent="0.25">
      <c r="A285" t="str">
        <f>"20190312154806642"</f>
        <v>20190312154806642</v>
      </c>
      <c r="B285" t="str">
        <f>"1552376886636737"</f>
        <v>1552376886636737</v>
      </c>
      <c r="C285" t="s">
        <v>40</v>
      </c>
      <c r="D285">
        <v>4.3690389999999999</v>
      </c>
      <c r="E285">
        <v>0.55649839999999995</v>
      </c>
      <c r="F285" t="s">
        <v>41</v>
      </c>
      <c r="G285">
        <v>-392.16759999999999</v>
      </c>
      <c r="H285">
        <v>0.89259059999999901</v>
      </c>
      <c r="I285">
        <v>367.20749999999998</v>
      </c>
      <c r="J285">
        <v>-392.56900000000002</v>
      </c>
      <c r="K285">
        <v>1.105955</v>
      </c>
      <c r="L285">
        <v>367.33550000000002</v>
      </c>
      <c r="M285">
        <v>0.99987959999999998</v>
      </c>
      <c r="N285">
        <v>0</v>
      </c>
      <c r="O285">
        <v>1.010205E-2</v>
      </c>
      <c r="P285">
        <v>0.99746279999999998</v>
      </c>
      <c r="Q285">
        <v>6.231225E-2</v>
      </c>
      <c r="R285">
        <v>-3.442506E-2</v>
      </c>
      <c r="S285">
        <v>3.0445859999999998</v>
      </c>
      <c r="T285">
        <v>-0.87648199999999998</v>
      </c>
      <c r="U285">
        <v>-0.51315310000000003</v>
      </c>
      <c r="V285">
        <v>4.4503130000000002E-2</v>
      </c>
      <c r="W285">
        <v>7.4052989999999999E-2</v>
      </c>
      <c r="X285">
        <v>0.99626079999999995</v>
      </c>
      <c r="Y285">
        <v>0.1690729</v>
      </c>
      <c r="Z285">
        <v>-2.6526959999999999E-2</v>
      </c>
      <c r="AA285">
        <v>0.98524650000000003</v>
      </c>
      <c r="AB285">
        <v>34</v>
      </c>
      <c r="AC285">
        <v>0.40140000000002302</v>
      </c>
      <c r="AD285">
        <v>-0.21336440000000001</v>
      </c>
      <c r="AE285">
        <v>-0.128000000000042</v>
      </c>
      <c r="AF285">
        <v>0.10509527405253501</v>
      </c>
      <c r="AG285">
        <v>-0.21336440000000001</v>
      </c>
      <c r="AH285">
        <v>0.31842178061315302</v>
      </c>
      <c r="AI285">
        <v>122.468868787422</v>
      </c>
      <c r="AJ285">
        <v>71.734499813412796</v>
      </c>
      <c r="AK285">
        <v>0.39744410196201002</v>
      </c>
      <c r="AL285">
        <v>85.753188594074999</v>
      </c>
      <c r="AM285">
        <v>87.442288658327797</v>
      </c>
      <c r="AN285">
        <v>0.99999997776218796</v>
      </c>
    </row>
    <row r="286" spans="1:40" x14ac:dyDescent="0.25">
      <c r="A286" t="str">
        <f>"20190312154806664"</f>
        <v>20190312154806664</v>
      </c>
      <c r="B286" t="str">
        <f>"1552376886656257"</f>
        <v>1552376886656257</v>
      </c>
      <c r="C286" t="s">
        <v>40</v>
      </c>
      <c r="D286">
        <v>4.4207359999999998</v>
      </c>
      <c r="E286">
        <v>0.55637689999999995</v>
      </c>
      <c r="F286" t="s">
        <v>41</v>
      </c>
      <c r="G286">
        <v>-391.86360000000002</v>
      </c>
      <c r="H286">
        <v>0.90341260000000001</v>
      </c>
      <c r="I286">
        <v>367.21609999999998</v>
      </c>
      <c r="J286">
        <v>-392.24200000000002</v>
      </c>
      <c r="K286">
        <v>1.106636</v>
      </c>
      <c r="L286">
        <v>367.33879999999999</v>
      </c>
      <c r="M286">
        <v>0.99987599999999999</v>
      </c>
      <c r="N286">
        <v>0</v>
      </c>
      <c r="O286">
        <v>1.010206E-2</v>
      </c>
      <c r="P286">
        <v>0.99743720000000002</v>
      </c>
      <c r="Q286">
        <v>6.2511440000000001E-2</v>
      </c>
      <c r="R286">
        <v>-3.4804330000000001E-2</v>
      </c>
      <c r="S286">
        <v>3.0445250000000001</v>
      </c>
      <c r="T286">
        <v>-0.87409029999999999</v>
      </c>
      <c r="U286">
        <v>-0.51306149999999995</v>
      </c>
      <c r="V286">
        <v>4.4882369999999998E-2</v>
      </c>
      <c r="W286">
        <v>7.4554179999999998E-2</v>
      </c>
      <c r="X286">
        <v>0.99620640000000005</v>
      </c>
      <c r="Y286">
        <v>0.1690845</v>
      </c>
      <c r="Z286">
        <v>-2.645952E-2</v>
      </c>
      <c r="AA286">
        <v>0.98524639999999997</v>
      </c>
      <c r="AB286">
        <v>34</v>
      </c>
      <c r="AC286">
        <v>0.378399999999942</v>
      </c>
      <c r="AD286">
        <v>-0.203223399999999</v>
      </c>
      <c r="AE286">
        <v>-0.122700000000008</v>
      </c>
      <c r="AF286">
        <v>0.100331091799625</v>
      </c>
      <c r="AG286">
        <v>-0.203223399999999</v>
      </c>
      <c r="AH286">
        <v>0.29908300512621799</v>
      </c>
      <c r="AI286">
        <v>122.78989959182999</v>
      </c>
      <c r="AJ286">
        <v>71.455335386049697</v>
      </c>
      <c r="AK286">
        <v>0.37525554259010502</v>
      </c>
      <c r="AL286">
        <v>85.724392896531199</v>
      </c>
      <c r="AM286">
        <v>87.420381390504502</v>
      </c>
      <c r="AN286">
        <v>0.99999997214662395</v>
      </c>
    </row>
    <row r="287" spans="1:40" x14ac:dyDescent="0.25">
      <c r="A287" t="str">
        <f>"20190312154806677"</f>
        <v>20190312154806677</v>
      </c>
      <c r="B287" t="str">
        <f>"1552376886666016"</f>
        <v>1552376886666016</v>
      </c>
      <c r="C287" t="s">
        <v>40</v>
      </c>
      <c r="D287">
        <v>4.4142960000000002</v>
      </c>
      <c r="E287">
        <v>0.55631049999999904</v>
      </c>
      <c r="F287" t="s">
        <v>41</v>
      </c>
      <c r="G287">
        <v>-391.56099999999998</v>
      </c>
      <c r="H287">
        <v>0.91155410000000003</v>
      </c>
      <c r="I287">
        <v>367.22370000000001</v>
      </c>
      <c r="J287">
        <v>-392.04360000000003</v>
      </c>
      <c r="K287">
        <v>1.106989</v>
      </c>
      <c r="L287">
        <v>367.3408</v>
      </c>
      <c r="M287">
        <v>0.99987389999999998</v>
      </c>
      <c r="N287">
        <v>0</v>
      </c>
      <c r="O287">
        <v>1.010205E-2</v>
      </c>
      <c r="P287">
        <v>0.99741999999999997</v>
      </c>
      <c r="Q287">
        <v>6.2692999999999999E-2</v>
      </c>
      <c r="R287">
        <v>-3.496701E-2</v>
      </c>
      <c r="S287">
        <v>3.044403</v>
      </c>
      <c r="T287">
        <v>-0.87215769999999904</v>
      </c>
      <c r="U287">
        <v>-0.51379390000000003</v>
      </c>
      <c r="V287">
        <v>4.5044790000000001E-2</v>
      </c>
      <c r="W287">
        <v>7.4901770000000006E-2</v>
      </c>
      <c r="X287">
        <v>0.99617299999999998</v>
      </c>
      <c r="Y287">
        <v>0.16934170000000001</v>
      </c>
      <c r="Z287">
        <v>-2.643964E-2</v>
      </c>
      <c r="AA287">
        <v>0.98520269999999999</v>
      </c>
      <c r="AB287">
        <v>34</v>
      </c>
      <c r="AC287">
        <v>0.48260000000004699</v>
      </c>
      <c r="AD287">
        <v>-0.19543489999999999</v>
      </c>
      <c r="AE287">
        <v>-0.117099999999993</v>
      </c>
      <c r="AF287">
        <v>0.10561274693520201</v>
      </c>
      <c r="AG287">
        <v>-0.19543489999999999</v>
      </c>
      <c r="AH287">
        <v>0.41683460619996299</v>
      </c>
      <c r="AI287">
        <v>114.441485245246</v>
      </c>
      <c r="AJ287">
        <v>75.782254702157005</v>
      </c>
      <c r="AK287">
        <v>0.47233456509034699</v>
      </c>
      <c r="AL287">
        <v>85.704421636571396</v>
      </c>
      <c r="AM287">
        <v>87.410972278883904</v>
      </c>
      <c r="AN287">
        <v>0.99999997709213795</v>
      </c>
    </row>
    <row r="288" spans="1:40" x14ac:dyDescent="0.25">
      <c r="A288" t="str">
        <f>"20190312154806691"</f>
        <v>20190312154806691</v>
      </c>
      <c r="B288" t="str">
        <f>"1552376886686513"</f>
        <v>1552376886686513</v>
      </c>
      <c r="C288" t="s">
        <v>40</v>
      </c>
      <c r="D288">
        <v>4.4033009999999999</v>
      </c>
      <c r="E288">
        <v>0.5561526</v>
      </c>
      <c r="F288" t="s">
        <v>41</v>
      </c>
      <c r="G288">
        <v>-391.27190000000002</v>
      </c>
      <c r="H288">
        <v>0.88622630000000002</v>
      </c>
      <c r="I288">
        <v>367.21030000000002</v>
      </c>
      <c r="J288">
        <v>-391.8467</v>
      </c>
      <c r="K288">
        <v>1.107313</v>
      </c>
      <c r="L288">
        <v>367.34280000000001</v>
      </c>
      <c r="M288">
        <v>0.99987199999999998</v>
      </c>
      <c r="N288">
        <v>0</v>
      </c>
      <c r="O288">
        <v>1.010172E-2</v>
      </c>
      <c r="P288">
        <v>0.99741139999999995</v>
      </c>
      <c r="Q288">
        <v>6.2656489999999995E-2</v>
      </c>
      <c r="R288">
        <v>-3.5283580000000002E-2</v>
      </c>
      <c r="S288">
        <v>3.044495</v>
      </c>
      <c r="T288">
        <v>-0.87093480000000001</v>
      </c>
      <c r="U288">
        <v>-0.5138855</v>
      </c>
      <c r="V288">
        <v>4.5360850000000001E-2</v>
      </c>
      <c r="W288">
        <v>7.5021599999999994E-2</v>
      </c>
      <c r="X288">
        <v>0.99614970000000003</v>
      </c>
      <c r="Y288">
        <v>0.16938349999999999</v>
      </c>
      <c r="Z288">
        <v>-2.6408890000000001E-2</v>
      </c>
      <c r="AA288">
        <v>0.98519639999999997</v>
      </c>
      <c r="AB288">
        <v>33</v>
      </c>
      <c r="AC288">
        <v>0.57479999999998199</v>
      </c>
      <c r="AD288">
        <v>-0.221086699999999</v>
      </c>
      <c r="AE288">
        <v>-0.13249999999999301</v>
      </c>
      <c r="AF288">
        <v>0.12126513096585199</v>
      </c>
      <c r="AG288">
        <v>-0.221086699999999</v>
      </c>
      <c r="AH288">
        <v>0.50279999725102897</v>
      </c>
      <c r="AI288">
        <v>113.14451424468299</v>
      </c>
      <c r="AJ288">
        <v>76.440375587569903</v>
      </c>
      <c r="AK288">
        <v>0.56248768710140595</v>
      </c>
      <c r="AL288">
        <v>85.697536765166504</v>
      </c>
      <c r="AM288">
        <v>87.392770261271295</v>
      </c>
      <c r="AN288">
        <v>1.0000000359946799</v>
      </c>
    </row>
    <row r="289" spans="1:40" x14ac:dyDescent="0.25">
      <c r="A289" t="str">
        <f>"20190312154806709"</f>
        <v>20190312154806709</v>
      </c>
      <c r="B289" t="str">
        <f>"1552376886706033"</f>
        <v>1552376886706033</v>
      </c>
      <c r="C289" t="s">
        <v>40</v>
      </c>
      <c r="D289">
        <v>4.4199250000000001</v>
      </c>
      <c r="E289">
        <v>0.55597089999999905</v>
      </c>
      <c r="F289" t="s">
        <v>41</v>
      </c>
      <c r="G289">
        <v>-390.98320000000001</v>
      </c>
      <c r="H289">
        <v>0.86056569999999899</v>
      </c>
      <c r="I289">
        <v>367.1968</v>
      </c>
      <c r="J289">
        <v>-391.5616</v>
      </c>
      <c r="K289">
        <v>1.1077269999999999</v>
      </c>
      <c r="L289">
        <v>367.34570000000002</v>
      </c>
      <c r="M289">
        <v>0.99986949999999997</v>
      </c>
      <c r="N289">
        <v>0</v>
      </c>
      <c r="O289">
        <v>1.0101580000000001E-2</v>
      </c>
      <c r="P289">
        <v>0.99743320000000002</v>
      </c>
      <c r="Q289">
        <v>6.2056930000000003E-2</v>
      </c>
      <c r="R289">
        <v>-3.5721740000000002E-2</v>
      </c>
      <c r="S289">
        <v>3.0442809999999998</v>
      </c>
      <c r="T289">
        <v>-0.86996130000000005</v>
      </c>
      <c r="U289">
        <v>-0.51348879999999997</v>
      </c>
      <c r="V289">
        <v>4.579917E-2</v>
      </c>
      <c r="W289">
        <v>7.4631680000000006E-2</v>
      </c>
      <c r="X289">
        <v>0.99615889999999996</v>
      </c>
      <c r="Y289">
        <v>0.16928779999999999</v>
      </c>
      <c r="Z289">
        <v>-2.6369170000000001E-2</v>
      </c>
      <c r="AA289">
        <v>0.98521380000000003</v>
      </c>
      <c r="AB289">
        <v>33</v>
      </c>
      <c r="AC289">
        <v>0.57839999999998704</v>
      </c>
      <c r="AD289">
        <v>-0.2471613</v>
      </c>
      <c r="AE289">
        <v>-0.14890000000002601</v>
      </c>
      <c r="AF289">
        <v>0.13211127190129801</v>
      </c>
      <c r="AG289">
        <v>-0.2471613</v>
      </c>
      <c r="AH289">
        <v>0.49252093773590699</v>
      </c>
      <c r="AI289">
        <v>115.85923531860399</v>
      </c>
      <c r="AJ289">
        <v>74.984731360257797</v>
      </c>
      <c r="AK289">
        <v>0.56667360136971801</v>
      </c>
      <c r="AL289">
        <v>85.719940199828301</v>
      </c>
      <c r="AM289">
        <v>87.367636255108096</v>
      </c>
      <c r="AN289">
        <v>1.0000000028407601</v>
      </c>
    </row>
    <row r="290" spans="1:40" x14ac:dyDescent="0.25">
      <c r="A290" t="str">
        <f>"20190312154806733"</f>
        <v>20190312154806733</v>
      </c>
      <c r="B290" t="str">
        <f>"1552376886726530"</f>
        <v>1552376886726530</v>
      </c>
      <c r="C290" t="s">
        <v>40</v>
      </c>
      <c r="D290">
        <v>4.433662</v>
      </c>
      <c r="E290">
        <v>0.55581049999999999</v>
      </c>
      <c r="F290" t="s">
        <v>41</v>
      </c>
      <c r="G290">
        <v>-390.68610000000001</v>
      </c>
      <c r="H290">
        <v>0.85735059999999996</v>
      </c>
      <c r="I290">
        <v>367.19779999999997</v>
      </c>
      <c r="J290">
        <v>-391.2217</v>
      </c>
      <c r="K290">
        <v>1.1081460000000001</v>
      </c>
      <c r="L290">
        <v>367.34910000000002</v>
      </c>
      <c r="M290">
        <v>0.99986660000000005</v>
      </c>
      <c r="N290">
        <v>0</v>
      </c>
      <c r="O290">
        <v>1.010163E-2</v>
      </c>
      <c r="P290">
        <v>0.99746869999999999</v>
      </c>
      <c r="Q290">
        <v>6.1464919999999999E-2</v>
      </c>
      <c r="R290">
        <v>-3.575797E-2</v>
      </c>
      <c r="S290">
        <v>3.043488</v>
      </c>
      <c r="T290">
        <v>-0.87038419999999905</v>
      </c>
      <c r="U290">
        <v>-0.51318359999999996</v>
      </c>
      <c r="V290">
        <v>4.5835840000000003E-2</v>
      </c>
      <c r="W290">
        <v>7.4263629999999997E-2</v>
      </c>
      <c r="X290">
        <v>0.99618470000000003</v>
      </c>
      <c r="Y290">
        <v>0.16922599999999999</v>
      </c>
      <c r="Z290">
        <v>-2.6379650000000001E-2</v>
      </c>
      <c r="AA290">
        <v>0.98522419999999999</v>
      </c>
      <c r="AB290">
        <v>33</v>
      </c>
      <c r="AC290">
        <v>0.53559999999998797</v>
      </c>
      <c r="AD290">
        <v>-0.250795399999999</v>
      </c>
      <c r="AE290">
        <v>-0.15130000000004801</v>
      </c>
      <c r="AF290">
        <v>0.13025428591097199</v>
      </c>
      <c r="AG290">
        <v>-0.250795399999999</v>
      </c>
      <c r="AH290">
        <v>0.44390644318398798</v>
      </c>
      <c r="AI290">
        <v>118.462888541994</v>
      </c>
      <c r="AJ290">
        <v>73.646869236118405</v>
      </c>
      <c r="AK290">
        <v>0.52622945751791295</v>
      </c>
      <c r="AL290">
        <v>85.741086512925506</v>
      </c>
      <c r="AM290">
        <v>87.365599703331</v>
      </c>
      <c r="AN290">
        <v>0.99999998374168597</v>
      </c>
    </row>
    <row r="291" spans="1:40" x14ac:dyDescent="0.25">
      <c r="A291" t="str">
        <f>"20190312154806752"</f>
        <v>20190312154806752</v>
      </c>
      <c r="B291" t="str">
        <f>"1552376886746050"</f>
        <v>1552376886746050</v>
      </c>
      <c r="C291" t="s">
        <v>40</v>
      </c>
      <c r="D291">
        <v>4.4457909999999998</v>
      </c>
      <c r="E291">
        <v>0.55564899999999995</v>
      </c>
      <c r="F291" t="s">
        <v>41</v>
      </c>
      <c r="G291">
        <v>-390.38389999999998</v>
      </c>
      <c r="H291">
        <v>0.86816689999999996</v>
      </c>
      <c r="I291">
        <v>367.2081</v>
      </c>
      <c r="J291">
        <v>-390.91230000000002</v>
      </c>
      <c r="K291">
        <v>1.108468</v>
      </c>
      <c r="L291">
        <v>367.35219999999998</v>
      </c>
      <c r="M291">
        <v>0.99986419999999998</v>
      </c>
      <c r="N291">
        <v>0</v>
      </c>
      <c r="O291">
        <v>1.0101799999999999E-2</v>
      </c>
      <c r="P291">
        <v>0.99749730000000003</v>
      </c>
      <c r="Q291">
        <v>6.1266500000000002E-2</v>
      </c>
      <c r="R291">
        <v>-3.5299129999999998E-2</v>
      </c>
      <c r="S291">
        <v>3.042999</v>
      </c>
      <c r="T291">
        <v>-0.87158259999999899</v>
      </c>
      <c r="U291">
        <v>-0.51138309999999998</v>
      </c>
      <c r="V291">
        <v>4.5377220000000003E-2</v>
      </c>
      <c r="W291">
        <v>7.4248419999999996E-2</v>
      </c>
      <c r="X291">
        <v>0.99620679999999995</v>
      </c>
      <c r="Y291">
        <v>0.16868449999999999</v>
      </c>
      <c r="Z291">
        <v>-2.6344360000000001E-2</v>
      </c>
      <c r="AA291">
        <v>0.98531789999999997</v>
      </c>
      <c r="AB291">
        <v>33</v>
      </c>
      <c r="AC291">
        <v>0.52840000000003295</v>
      </c>
      <c r="AD291">
        <v>-0.24030109999999999</v>
      </c>
      <c r="AE291">
        <v>-0.14409999999997999</v>
      </c>
      <c r="AF291">
        <v>0.125308876725684</v>
      </c>
      <c r="AG291">
        <v>-0.24030109999999999</v>
      </c>
      <c r="AH291">
        <v>0.44185916134619602</v>
      </c>
      <c r="AI291">
        <v>117.618925617165</v>
      </c>
      <c r="AJ291">
        <v>74.166949386193807</v>
      </c>
      <c r="AK291">
        <v>0.51834973879903401</v>
      </c>
      <c r="AL291">
        <v>85.741960268185593</v>
      </c>
      <c r="AM291">
        <v>87.391979940218704</v>
      </c>
      <c r="AN291">
        <v>0.99999995416683096</v>
      </c>
    </row>
    <row r="292" spans="1:40" x14ac:dyDescent="0.25">
      <c r="A292" t="str">
        <f>"20190312154806776"</f>
        <v>20190312154806776</v>
      </c>
      <c r="B292" t="str">
        <f>"1552376886766548"</f>
        <v>1552376886766548</v>
      </c>
      <c r="C292" t="s">
        <v>40</v>
      </c>
      <c r="D292">
        <v>4.495908</v>
      </c>
      <c r="E292">
        <v>0.55548260000000005</v>
      </c>
      <c r="F292" t="s">
        <v>41</v>
      </c>
      <c r="G292">
        <v>-390.08499999999998</v>
      </c>
      <c r="H292">
        <v>0.87149789999999905</v>
      </c>
      <c r="I292">
        <v>367.21370000000002</v>
      </c>
      <c r="J292">
        <v>-390.57010000000002</v>
      </c>
      <c r="K292">
        <v>1.1087670000000001</v>
      </c>
      <c r="L292">
        <v>367.35570000000001</v>
      </c>
      <c r="M292">
        <v>0.99986189999999997</v>
      </c>
      <c r="N292">
        <v>0</v>
      </c>
      <c r="O292">
        <v>1.0101789999999999E-2</v>
      </c>
      <c r="P292">
        <v>0.99751120000000004</v>
      </c>
      <c r="Q292">
        <v>6.1243680000000002E-2</v>
      </c>
      <c r="R292">
        <v>-3.4939419999999999E-2</v>
      </c>
      <c r="S292">
        <v>3.0431210000000002</v>
      </c>
      <c r="T292">
        <v>-0.87174339999999995</v>
      </c>
      <c r="U292">
        <v>-0.50799559999999999</v>
      </c>
      <c r="V292">
        <v>4.5017969999999997E-2</v>
      </c>
      <c r="W292">
        <v>7.440534E-2</v>
      </c>
      <c r="X292">
        <v>0.99621139999999997</v>
      </c>
      <c r="Y292">
        <v>0.1676482</v>
      </c>
      <c r="Z292">
        <v>-2.6205740000000002E-2</v>
      </c>
      <c r="AA292">
        <v>0.98549850000000006</v>
      </c>
      <c r="AB292">
        <v>33</v>
      </c>
      <c r="AC292">
        <v>0.485100000000045</v>
      </c>
      <c r="AD292">
        <v>-0.23726910000000001</v>
      </c>
      <c r="AE292">
        <v>-0.14199999999999499</v>
      </c>
      <c r="AF292">
        <v>0.12036991416383699</v>
      </c>
      <c r="AG292">
        <v>-0.23726910000000001</v>
      </c>
      <c r="AH292">
        <v>0.39631271756856101</v>
      </c>
      <c r="AI292">
        <v>119.806323914134</v>
      </c>
      <c r="AJ292">
        <v>73.105174649994794</v>
      </c>
      <c r="AK292">
        <v>0.47733563889280001</v>
      </c>
      <c r="AL292">
        <v>85.7329445129362</v>
      </c>
      <c r="AM292">
        <v>87.412611311275199</v>
      </c>
      <c r="AN292">
        <v>0.99999996286669701</v>
      </c>
    </row>
    <row r="293" spans="1:40" x14ac:dyDescent="0.25">
      <c r="A293" t="str">
        <f>"20190312154806797"</f>
        <v>20190312154806797</v>
      </c>
      <c r="B293" t="str">
        <f>"1552376886786065"</f>
        <v>1552376886786065</v>
      </c>
      <c r="C293" t="s">
        <v>40</v>
      </c>
      <c r="D293">
        <v>4.45289</v>
      </c>
      <c r="E293">
        <v>0.55533279999999996</v>
      </c>
      <c r="F293" t="s">
        <v>41</v>
      </c>
      <c r="G293">
        <v>-389.78300000000002</v>
      </c>
      <c r="H293">
        <v>0.88338320000000004</v>
      </c>
      <c r="I293">
        <v>367.2251</v>
      </c>
      <c r="J293">
        <v>-390.25220000000002</v>
      </c>
      <c r="K293">
        <v>1.1089960000000001</v>
      </c>
      <c r="L293">
        <v>367.35890000000001</v>
      </c>
      <c r="M293">
        <v>0.99985979999999997</v>
      </c>
      <c r="N293">
        <v>0</v>
      </c>
      <c r="O293">
        <v>1.010192E-2</v>
      </c>
      <c r="P293">
        <v>0.99751199999999995</v>
      </c>
      <c r="Q293">
        <v>6.1615540000000003E-2</v>
      </c>
      <c r="R293">
        <v>-3.4255519999999998E-2</v>
      </c>
      <c r="S293">
        <v>3.043304</v>
      </c>
      <c r="T293">
        <v>-0.87144270000000001</v>
      </c>
      <c r="U293">
        <v>-0.50479129999999905</v>
      </c>
      <c r="V293">
        <v>4.4334079999999998E-2</v>
      </c>
      <c r="W293">
        <v>7.4926030000000005E-2</v>
      </c>
      <c r="X293">
        <v>0.99620310000000001</v>
      </c>
      <c r="Y293">
        <v>0.16667119999999999</v>
      </c>
      <c r="Z293">
        <v>-2.606147E-2</v>
      </c>
      <c r="AA293">
        <v>0.98566810000000005</v>
      </c>
      <c r="AB293">
        <v>33</v>
      </c>
      <c r="AC293">
        <v>0.46920000000000001</v>
      </c>
      <c r="AD293">
        <v>-0.225612799999999</v>
      </c>
      <c r="AE293">
        <v>-0.133800000000007</v>
      </c>
      <c r="AF293">
        <v>0.114129697948683</v>
      </c>
      <c r="AG293">
        <v>-0.225612799999999</v>
      </c>
      <c r="AH293">
        <v>0.385413480768937</v>
      </c>
      <c r="AI293">
        <v>119.304905548619</v>
      </c>
      <c r="AJ293">
        <v>73.504780275843402</v>
      </c>
      <c r="AK293">
        <v>0.46094498005307</v>
      </c>
      <c r="AL293">
        <v>85.703027902456995</v>
      </c>
      <c r="AM293">
        <v>87.451844189234095</v>
      </c>
      <c r="AN293">
        <v>1.0000000185353</v>
      </c>
    </row>
    <row r="294" spans="1:40" x14ac:dyDescent="0.25">
      <c r="A294" t="str">
        <f>"20190312154806811"</f>
        <v>20190312154806811</v>
      </c>
      <c r="B294" t="str">
        <f>"1552376886806561"</f>
        <v>1552376886806561</v>
      </c>
      <c r="C294" t="s">
        <v>40</v>
      </c>
      <c r="D294">
        <v>4.6103459999999998</v>
      </c>
      <c r="E294">
        <v>0.55530139999999995</v>
      </c>
      <c r="F294" t="s">
        <v>41</v>
      </c>
      <c r="G294">
        <v>-389.48379999999997</v>
      </c>
      <c r="H294">
        <v>0.88923129999999995</v>
      </c>
      <c r="I294">
        <v>367.23230000000001</v>
      </c>
      <c r="J294">
        <v>-390.0591</v>
      </c>
      <c r="K294">
        <v>1.109118</v>
      </c>
      <c r="L294">
        <v>367.36079999999998</v>
      </c>
      <c r="M294">
        <v>0.99985869999999999</v>
      </c>
      <c r="N294">
        <v>0</v>
      </c>
      <c r="O294">
        <v>1.01022E-2</v>
      </c>
      <c r="P294">
        <v>0.99752929999999995</v>
      </c>
      <c r="Q294">
        <v>6.1397279999999999E-2</v>
      </c>
      <c r="R294">
        <v>-3.414474E-2</v>
      </c>
      <c r="S294">
        <v>3.0440369999999999</v>
      </c>
      <c r="T294">
        <v>-0.87068449999999997</v>
      </c>
      <c r="U294">
        <v>-0.50067139999999999</v>
      </c>
      <c r="V294">
        <v>4.422384E-2</v>
      </c>
      <c r="W294">
        <v>7.4790019999999999E-2</v>
      </c>
      <c r="X294">
        <v>0.99621820000000005</v>
      </c>
      <c r="Y294">
        <v>0.1653974</v>
      </c>
      <c r="Z294">
        <v>-2.5859E-2</v>
      </c>
      <c r="AA294">
        <v>0.98588790000000004</v>
      </c>
      <c r="AB294">
        <v>33</v>
      </c>
      <c r="AC294">
        <v>0.57530000000002701</v>
      </c>
      <c r="AD294">
        <v>-0.21988669999999999</v>
      </c>
      <c r="AE294">
        <v>-0.128499999999974</v>
      </c>
      <c r="AF294">
        <v>0.117900577507775</v>
      </c>
      <c r="AG294">
        <v>-0.21988669999999999</v>
      </c>
      <c r="AH294">
        <v>0.50386279067735595</v>
      </c>
      <c r="AI294">
        <v>113.021805738683</v>
      </c>
      <c r="AJ294">
        <v>76.830115547200705</v>
      </c>
      <c r="AK294">
        <v>0.56225298473439</v>
      </c>
      <c r="AL294">
        <v>85.710842542009701</v>
      </c>
      <c r="AM294">
        <v>87.458210525131804</v>
      </c>
      <c r="AN294">
        <v>0.99999999856359301</v>
      </c>
    </row>
    <row r="295" spans="1:40" x14ac:dyDescent="0.25">
      <c r="A295" t="str">
        <f>"20190312154806823"</f>
        <v>20190312154806823</v>
      </c>
      <c r="B295" t="str">
        <f>"1552376886817297"</f>
        <v>1552376886817297</v>
      </c>
      <c r="C295" t="s">
        <v>40</v>
      </c>
      <c r="D295">
        <v>4.4823500000000003</v>
      </c>
      <c r="E295">
        <v>0.5552125</v>
      </c>
      <c r="F295" t="s">
        <v>41</v>
      </c>
      <c r="G295">
        <v>-389.1977</v>
      </c>
      <c r="H295">
        <v>0.86254249999999899</v>
      </c>
      <c r="I295">
        <v>367.21929999999998</v>
      </c>
      <c r="J295">
        <v>-389.87209999999999</v>
      </c>
      <c r="K295">
        <v>1.1092249999999999</v>
      </c>
      <c r="L295">
        <v>367.36270000000002</v>
      </c>
      <c r="M295">
        <v>0.99985769999999996</v>
      </c>
      <c r="N295">
        <v>0</v>
      </c>
      <c r="O295">
        <v>1.010222E-2</v>
      </c>
      <c r="P295">
        <v>0.99756180000000005</v>
      </c>
      <c r="Q295">
        <v>6.0889600000000002E-2</v>
      </c>
      <c r="R295">
        <v>-3.4101180000000002E-2</v>
      </c>
      <c r="S295">
        <v>3.0439759999999998</v>
      </c>
      <c r="T295">
        <v>-0.87127399999999999</v>
      </c>
      <c r="U295">
        <v>-0.49981690000000001</v>
      </c>
      <c r="V295">
        <v>4.4180650000000002E-2</v>
      </c>
      <c r="W295">
        <v>7.4357790000000007E-2</v>
      </c>
      <c r="X295">
        <v>0.99625249999999999</v>
      </c>
      <c r="Y295">
        <v>0.1651318</v>
      </c>
      <c r="Z295">
        <v>-2.5839870000000001E-2</v>
      </c>
      <c r="AA295">
        <v>0.9859329</v>
      </c>
      <c r="AB295">
        <v>33</v>
      </c>
      <c r="AC295">
        <v>0.67439999999999101</v>
      </c>
      <c r="AD295">
        <v>-0.2466825</v>
      </c>
      <c r="AE295">
        <v>-0.14340000000004199</v>
      </c>
      <c r="AF295">
        <v>0.13316062819118901</v>
      </c>
      <c r="AG295">
        <v>-0.2466825</v>
      </c>
      <c r="AH295">
        <v>0.59655326100651496</v>
      </c>
      <c r="AI295">
        <v>111.97805807440901</v>
      </c>
      <c r="AJ295">
        <v>77.416907764964293</v>
      </c>
      <c r="AK295">
        <v>0.65913564759010701</v>
      </c>
      <c r="AL295">
        <v>85.735676770454006</v>
      </c>
      <c r="AM295">
        <v>87.460776954736602</v>
      </c>
      <c r="AN295">
        <v>1.0000000272621701</v>
      </c>
    </row>
    <row r="296" spans="1:40" x14ac:dyDescent="0.25">
      <c r="A296" t="str">
        <f>"20190312154806842"</f>
        <v>20190312154806842</v>
      </c>
      <c r="B296" t="str">
        <f>"1552376886836817"</f>
        <v>1552376886836817</v>
      </c>
      <c r="C296" t="s">
        <v>40</v>
      </c>
      <c r="D296">
        <v>4.5055310000000004</v>
      </c>
      <c r="E296">
        <v>0.55506279999999997</v>
      </c>
      <c r="F296" t="s">
        <v>41</v>
      </c>
      <c r="G296">
        <v>-389.17880000000002</v>
      </c>
      <c r="H296">
        <v>0.91045929999999997</v>
      </c>
      <c r="I296">
        <v>367.24900000000002</v>
      </c>
      <c r="J296">
        <v>-389.5883</v>
      </c>
      <c r="K296">
        <v>1.1093599999999999</v>
      </c>
      <c r="L296">
        <v>367.3655</v>
      </c>
      <c r="M296">
        <v>0.99985619999999997</v>
      </c>
      <c r="N296">
        <v>0</v>
      </c>
      <c r="O296">
        <v>1.010235E-2</v>
      </c>
      <c r="P296">
        <v>0.99758420000000003</v>
      </c>
      <c r="Q296">
        <v>6.0515140000000002E-2</v>
      </c>
      <c r="R296">
        <v>-3.411115E-2</v>
      </c>
      <c r="S296">
        <v>3.0435789999999998</v>
      </c>
      <c r="T296">
        <v>-0.87256049999999996</v>
      </c>
      <c r="U296">
        <v>-0.49874879999999999</v>
      </c>
      <c r="V296">
        <v>4.4191109999999999E-2</v>
      </c>
      <c r="W296">
        <v>7.4086260000000001E-2</v>
      </c>
      <c r="X296">
        <v>0.9962723</v>
      </c>
      <c r="Y296">
        <v>0.16480620000000001</v>
      </c>
      <c r="Z296">
        <v>-2.583504E-2</v>
      </c>
      <c r="AA296">
        <v>0.98598750000000002</v>
      </c>
      <c r="AB296">
        <v>33</v>
      </c>
      <c r="AC296">
        <v>0.40949999999997899</v>
      </c>
      <c r="AD296">
        <v>-0.19890070000000001</v>
      </c>
      <c r="AE296">
        <v>-0.116499999999973</v>
      </c>
      <c r="AF296">
        <v>9.9019767894468202E-2</v>
      </c>
      <c r="AG296">
        <v>-0.19890070000000001</v>
      </c>
      <c r="AH296">
        <v>0.33515314083060299</v>
      </c>
      <c r="AI296">
        <v>119.646020673436</v>
      </c>
      <c r="AJ296">
        <v>73.540417723846602</v>
      </c>
      <c r="AK296">
        <v>0.40211196289464302</v>
      </c>
      <c r="AL296">
        <v>85.751277471033504</v>
      </c>
      <c r="AM296">
        <v>87.460226978101801</v>
      </c>
      <c r="AN296">
        <v>1.00000006193555</v>
      </c>
    </row>
    <row r="297" spans="1:40" x14ac:dyDescent="0.25">
      <c r="A297" t="str">
        <f>"20190312154806854"</f>
        <v>20190312154806854</v>
      </c>
      <c r="B297" t="str">
        <f>"1552376886846579"</f>
        <v>1552376886846579</v>
      </c>
      <c r="C297" t="s">
        <v>40</v>
      </c>
      <c r="D297">
        <v>4.4686079999999997</v>
      </c>
      <c r="E297">
        <v>0.55499989999999999</v>
      </c>
      <c r="F297" t="s">
        <v>41</v>
      </c>
      <c r="G297">
        <v>-388.88380000000001</v>
      </c>
      <c r="H297">
        <v>0.90720179999999995</v>
      </c>
      <c r="I297">
        <v>367.25</v>
      </c>
      <c r="J297">
        <v>-389.41289999999998</v>
      </c>
      <c r="K297">
        <v>1.109432</v>
      </c>
      <c r="L297">
        <v>367.3673</v>
      </c>
      <c r="M297">
        <v>0.99985559999999996</v>
      </c>
      <c r="N297">
        <v>0</v>
      </c>
      <c r="O297">
        <v>1.0102420000000001E-2</v>
      </c>
      <c r="P297">
        <v>0.99758979999999997</v>
      </c>
      <c r="Q297">
        <v>6.0456540000000003E-2</v>
      </c>
      <c r="R297">
        <v>-3.4054380000000002E-2</v>
      </c>
      <c r="S297">
        <v>3.0432130000000002</v>
      </c>
      <c r="T297">
        <v>-0.87331159999999997</v>
      </c>
      <c r="U297">
        <v>-0.49765009999999998</v>
      </c>
      <c r="V297">
        <v>4.4134369999999999E-2</v>
      </c>
      <c r="W297">
        <v>7.4085310000000001E-2</v>
      </c>
      <c r="X297">
        <v>0.99627480000000002</v>
      </c>
      <c r="Y297">
        <v>0.16447779999999901</v>
      </c>
      <c r="Z297">
        <v>-2.5814210000000001E-2</v>
      </c>
      <c r="AA297">
        <v>0.98604290000000006</v>
      </c>
      <c r="AB297">
        <v>33</v>
      </c>
      <c r="AC297">
        <v>0.52909999999997104</v>
      </c>
      <c r="AD297">
        <v>-0.202230199999999</v>
      </c>
      <c r="AE297">
        <v>-0.1173</v>
      </c>
      <c r="AF297">
        <v>0.10764999766666</v>
      </c>
      <c r="AG297">
        <v>-0.202230199999999</v>
      </c>
      <c r="AH297">
        <v>0.46336648593957602</v>
      </c>
      <c r="AI297">
        <v>113.031080453355</v>
      </c>
      <c r="AJ297">
        <v>76.920970321137403</v>
      </c>
      <c r="AK297">
        <v>0.51690818921899795</v>
      </c>
      <c r="AL297">
        <v>85.751331688123997</v>
      </c>
      <c r="AM297">
        <v>87.463490061904807</v>
      </c>
      <c r="AN297">
        <v>0.99999997644406602</v>
      </c>
    </row>
    <row r="298" spans="1:40" x14ac:dyDescent="0.25">
      <c r="A298" t="str">
        <f>"20190312154806867"</f>
        <v>20190312154806867</v>
      </c>
      <c r="B298" t="str">
        <f>"1552376886856337"</f>
        <v>1552376886856337</v>
      </c>
      <c r="C298" t="s">
        <v>40</v>
      </c>
      <c r="D298">
        <v>4.5744059999999998</v>
      </c>
      <c r="E298">
        <v>0.55496190000000001</v>
      </c>
      <c r="F298" t="s">
        <v>41</v>
      </c>
      <c r="G298">
        <v>-388.60019999999997</v>
      </c>
      <c r="H298">
        <v>0.87596010000000002</v>
      </c>
      <c r="I298">
        <v>367.2346</v>
      </c>
      <c r="J298">
        <v>-389.2294</v>
      </c>
      <c r="K298">
        <v>1.109505</v>
      </c>
      <c r="L298">
        <v>367.36919999999998</v>
      </c>
      <c r="M298">
        <v>0.99985460000000004</v>
      </c>
      <c r="N298">
        <v>0</v>
      </c>
      <c r="O298">
        <v>1.0102740000000001E-2</v>
      </c>
      <c r="P298">
        <v>0.99759640000000005</v>
      </c>
      <c r="Q298">
        <v>6.0157000000000002E-2</v>
      </c>
      <c r="R298">
        <v>-3.4389820000000001E-2</v>
      </c>
      <c r="S298">
        <v>3.0432429999999999</v>
      </c>
      <c r="T298">
        <v>-0.87425509999999995</v>
      </c>
      <c r="U298">
        <v>-0.49676510000000001</v>
      </c>
      <c r="V298">
        <v>4.4469969999999998E-2</v>
      </c>
      <c r="W298">
        <v>7.3843270000000003E-2</v>
      </c>
      <c r="X298">
        <v>0.99627790000000005</v>
      </c>
      <c r="Y298">
        <v>0.1641936</v>
      </c>
      <c r="Z298">
        <v>-2.5801689999999999E-2</v>
      </c>
      <c r="AA298">
        <v>0.98609060000000004</v>
      </c>
      <c r="AB298">
        <v>33</v>
      </c>
      <c r="AC298">
        <v>0.62920000000002496</v>
      </c>
      <c r="AD298">
        <v>-0.233544899999999</v>
      </c>
      <c r="AE298">
        <v>-0.13459999999997699</v>
      </c>
      <c r="AF298">
        <v>0.124542652330062</v>
      </c>
      <c r="AG298">
        <v>-0.233544899999999</v>
      </c>
      <c r="AH298">
        <v>0.55472619470175999</v>
      </c>
      <c r="AI298">
        <v>112.332059160881</v>
      </c>
      <c r="AJ298">
        <v>77.346235793264</v>
      </c>
      <c r="AK298">
        <v>0.61463423566679998</v>
      </c>
      <c r="AL298">
        <v>85.765237877783804</v>
      </c>
      <c r="AM298">
        <v>87.444235731693496</v>
      </c>
      <c r="AN298">
        <v>1.00000003039225</v>
      </c>
    </row>
    <row r="299" spans="1:40" x14ac:dyDescent="0.25">
      <c r="A299" t="str">
        <f>"20190312154806878"</f>
        <v>20190312154806878</v>
      </c>
      <c r="B299" t="str">
        <f>"1552376886866098"</f>
        <v>1552376886866098</v>
      </c>
      <c r="C299" t="s">
        <v>40</v>
      </c>
      <c r="D299">
        <v>4.6908500000000002</v>
      </c>
      <c r="E299">
        <v>0.5548805</v>
      </c>
      <c r="F299" t="s">
        <v>41</v>
      </c>
      <c r="G299">
        <v>-388.31610000000001</v>
      </c>
      <c r="H299">
        <v>0.84689380000000003</v>
      </c>
      <c r="I299">
        <v>367.21949999999998</v>
      </c>
      <c r="J299">
        <v>-389.04599999999999</v>
      </c>
      <c r="K299">
        <v>1.1095680000000001</v>
      </c>
      <c r="L299">
        <v>367.37099999999998</v>
      </c>
      <c r="M299">
        <v>0.99985380000000001</v>
      </c>
      <c r="N299">
        <v>0</v>
      </c>
      <c r="O299">
        <v>1.0102669999999999E-2</v>
      </c>
      <c r="P299">
        <v>0.9975986</v>
      </c>
      <c r="Q299">
        <v>5.9950900000000001E-2</v>
      </c>
      <c r="R299">
        <v>-3.4680919999999997E-2</v>
      </c>
      <c r="S299">
        <v>3.0429080000000002</v>
      </c>
      <c r="T299">
        <v>-0.8749306</v>
      </c>
      <c r="U299">
        <v>-0.49758910000000001</v>
      </c>
      <c r="V299">
        <v>4.4761299999999997E-2</v>
      </c>
      <c r="W299">
        <v>7.3689649999999995E-2</v>
      </c>
      <c r="X299">
        <v>0.99627619999999895</v>
      </c>
      <c r="Y299">
        <v>0.16444929999999999</v>
      </c>
      <c r="Z299">
        <v>-2.5858829999999999E-2</v>
      </c>
      <c r="AA299">
        <v>0.9860466</v>
      </c>
      <c r="AB299">
        <v>33</v>
      </c>
      <c r="AC299">
        <v>0.729899999999986</v>
      </c>
      <c r="AD299">
        <v>-0.26267420000000002</v>
      </c>
      <c r="AE299">
        <v>-0.151499999999998</v>
      </c>
      <c r="AF299">
        <v>0.14132026643131501</v>
      </c>
      <c r="AG299">
        <v>-0.26267420000000002</v>
      </c>
      <c r="AH299">
        <v>0.64788872646441797</v>
      </c>
      <c r="AI299">
        <v>111.609373331783</v>
      </c>
      <c r="AJ299">
        <v>77.695130737015404</v>
      </c>
      <c r="AK299">
        <v>0.71325237814503195</v>
      </c>
      <c r="AL299">
        <v>85.774063583043102</v>
      </c>
      <c r="AM299">
        <v>87.427510540206995</v>
      </c>
      <c r="AN299">
        <v>1.0000000025906199</v>
      </c>
    </row>
    <row r="300" spans="1:40" x14ac:dyDescent="0.25">
      <c r="A300" t="str">
        <f>"20190312154806898"</f>
        <v>20190312154806898</v>
      </c>
      <c r="B300" t="str">
        <f>"1552376886886593"</f>
        <v>1552376886886593</v>
      </c>
      <c r="C300" t="s">
        <v>40</v>
      </c>
      <c r="D300">
        <v>4.702591</v>
      </c>
      <c r="E300">
        <v>0.55482480000000001</v>
      </c>
      <c r="F300" t="s">
        <v>41</v>
      </c>
      <c r="G300">
        <v>-388.29739999999998</v>
      </c>
      <c r="H300">
        <v>0.8941654</v>
      </c>
      <c r="I300">
        <v>367.2482</v>
      </c>
      <c r="J300">
        <v>-388.7672</v>
      </c>
      <c r="K300">
        <v>1.10965</v>
      </c>
      <c r="L300">
        <v>367.37380000000002</v>
      </c>
      <c r="M300">
        <v>0.99985310000000005</v>
      </c>
      <c r="N300">
        <v>0</v>
      </c>
      <c r="O300">
        <v>1.010251E-2</v>
      </c>
      <c r="P300">
        <v>0.99763299999999999</v>
      </c>
      <c r="Q300">
        <v>5.9156449999999999E-2</v>
      </c>
      <c r="R300">
        <v>-3.506066E-2</v>
      </c>
      <c r="S300">
        <v>3.0425420000000001</v>
      </c>
      <c r="T300">
        <v>-0.87547450000000004</v>
      </c>
      <c r="U300">
        <v>-0.49768069999999998</v>
      </c>
      <c r="V300">
        <v>4.514108E-2</v>
      </c>
      <c r="W300">
        <v>7.2969210000000007E-2</v>
      </c>
      <c r="X300">
        <v>0.99631210000000003</v>
      </c>
      <c r="Y300">
        <v>0.16448550000000001</v>
      </c>
      <c r="Z300">
        <v>-2.5882220000000001E-2</v>
      </c>
      <c r="AA300">
        <v>0.98603989999999997</v>
      </c>
      <c r="AB300">
        <v>33</v>
      </c>
      <c r="AC300">
        <v>0.46980000000001998</v>
      </c>
      <c r="AD300">
        <v>-0.2154846</v>
      </c>
      <c r="AE300">
        <v>-0.125600000000019</v>
      </c>
      <c r="AF300">
        <v>0.10894848534965999</v>
      </c>
      <c r="AG300">
        <v>-0.2154846</v>
      </c>
      <c r="AH300">
        <v>0.391614630651968</v>
      </c>
      <c r="AI300">
        <v>117.928697443418</v>
      </c>
      <c r="AJ300">
        <v>74.453256947037701</v>
      </c>
      <c r="AK300">
        <v>0.46007108607021002</v>
      </c>
      <c r="AL300">
        <v>85.815453223447093</v>
      </c>
      <c r="AM300">
        <v>87.405807141836604</v>
      </c>
      <c r="AN300">
        <v>1.000000011659</v>
      </c>
    </row>
    <row r="301" spans="1:40" x14ac:dyDescent="0.25">
      <c r="A301" t="str">
        <f>"20190312154806922"</f>
        <v>20190312154806922</v>
      </c>
      <c r="B301" t="str">
        <f>"1552376886916849"</f>
        <v>1552376886916849</v>
      </c>
      <c r="C301" t="s">
        <v>40</v>
      </c>
      <c r="D301">
        <v>4.7114960000000004</v>
      </c>
      <c r="E301">
        <v>0.55471990000000004</v>
      </c>
      <c r="F301" t="s">
        <v>41</v>
      </c>
      <c r="G301">
        <v>-388.00409999999999</v>
      </c>
      <c r="H301">
        <v>0.88937929999999998</v>
      </c>
      <c r="I301">
        <v>367.24900000000002</v>
      </c>
      <c r="J301">
        <v>-388.41019999999997</v>
      </c>
      <c r="K301">
        <v>1.109739</v>
      </c>
      <c r="L301">
        <v>367.3775</v>
      </c>
      <c r="M301">
        <v>0.99985190000000002</v>
      </c>
      <c r="N301">
        <v>0</v>
      </c>
      <c r="O301">
        <v>1.0102399999999999E-2</v>
      </c>
      <c r="P301">
        <v>0.99766779999999999</v>
      </c>
      <c r="Q301">
        <v>5.827483E-2</v>
      </c>
      <c r="R301">
        <v>-3.5547469999999998E-2</v>
      </c>
      <c r="S301">
        <v>3.0416560000000001</v>
      </c>
      <c r="T301">
        <v>-0.87790689999999905</v>
      </c>
      <c r="U301">
        <v>-0.49765009999999998</v>
      </c>
      <c r="V301">
        <v>4.5628099999999998E-2</v>
      </c>
      <c r="W301">
        <v>7.2171669999999993E-2</v>
      </c>
      <c r="X301">
        <v>0.99634800000000001</v>
      </c>
      <c r="Y301">
        <v>0.16448009999999999</v>
      </c>
      <c r="Z301">
        <v>-2.5957770000000002E-2</v>
      </c>
      <c r="AA301">
        <v>0.98603879999999999</v>
      </c>
      <c r="AB301">
        <v>33</v>
      </c>
      <c r="AC301">
        <v>0.40609999999997998</v>
      </c>
      <c r="AD301">
        <v>-0.22035969999999999</v>
      </c>
      <c r="AE301">
        <v>-0.128499999999974</v>
      </c>
      <c r="AF301">
        <v>0.104600729418449</v>
      </c>
      <c r="AG301">
        <v>-0.22035969999999999</v>
      </c>
      <c r="AH301">
        <v>0.31931771057969099</v>
      </c>
      <c r="AI301">
        <v>123.257101796873</v>
      </c>
      <c r="AJ301">
        <v>71.862460394893404</v>
      </c>
      <c r="AK301">
        <v>0.40182522353483102</v>
      </c>
      <c r="AL301">
        <v>85.861269678500904</v>
      </c>
      <c r="AM301">
        <v>87.377952007393006</v>
      </c>
      <c r="AN301">
        <v>1.0000000052820901</v>
      </c>
    </row>
    <row r="302" spans="1:40" x14ac:dyDescent="0.25">
      <c r="A302" t="str">
        <f>"20190312154806944"</f>
        <v>20190312154806944</v>
      </c>
      <c r="B302" t="str">
        <f>"1552376886936369"</f>
        <v>1552376886936369</v>
      </c>
      <c r="C302" t="s">
        <v>40</v>
      </c>
      <c r="D302">
        <v>4.6788600000000002</v>
      </c>
      <c r="E302">
        <v>0.55466040000000005</v>
      </c>
      <c r="F302" t="s">
        <v>41</v>
      </c>
      <c r="G302">
        <v>-387.7029</v>
      </c>
      <c r="H302">
        <v>0.90496829999999995</v>
      </c>
      <c r="I302">
        <v>367.26139999999998</v>
      </c>
      <c r="J302">
        <v>-388.08920000000001</v>
      </c>
      <c r="K302">
        <v>1.109807</v>
      </c>
      <c r="L302">
        <v>367.38080000000002</v>
      </c>
      <c r="M302">
        <v>0.99985089999999999</v>
      </c>
      <c r="N302">
        <v>0</v>
      </c>
      <c r="O302">
        <v>1.010264E-2</v>
      </c>
      <c r="P302">
        <v>0.99771240000000005</v>
      </c>
      <c r="Q302">
        <v>5.7407369999999999E-2</v>
      </c>
      <c r="R302">
        <v>-3.5701129999999998E-2</v>
      </c>
      <c r="S302">
        <v>3.04068</v>
      </c>
      <c r="T302">
        <v>-0.8803685</v>
      </c>
      <c r="U302">
        <v>-0.4982605</v>
      </c>
      <c r="V302">
        <v>4.5782339999999998E-2</v>
      </c>
      <c r="W302">
        <v>7.1370740000000002E-2</v>
      </c>
      <c r="X302">
        <v>0.99639860000000002</v>
      </c>
      <c r="Y302">
        <v>0.1646736</v>
      </c>
      <c r="Z302">
        <v>-2.606261E-2</v>
      </c>
      <c r="AA302">
        <v>0.98600379999999999</v>
      </c>
      <c r="AB302">
        <v>33</v>
      </c>
      <c r="AC302">
        <v>0.38630000000000497</v>
      </c>
      <c r="AD302">
        <v>-0.20483870000000001</v>
      </c>
      <c r="AE302">
        <v>-0.119400000000041</v>
      </c>
      <c r="AF302">
        <v>9.8115235730237907E-2</v>
      </c>
      <c r="AG302">
        <v>-0.20483870000000001</v>
      </c>
      <c r="AH302">
        <v>0.306427863617519</v>
      </c>
      <c r="AI302">
        <v>122.482236273976</v>
      </c>
      <c r="AJ302">
        <v>72.245437287949699</v>
      </c>
      <c r="AK302">
        <v>0.38142303037609898</v>
      </c>
      <c r="AL302">
        <v>85.907278166313404</v>
      </c>
      <c r="AM302">
        <v>87.369234356590695</v>
      </c>
      <c r="AN302">
        <v>0.99999998763299103</v>
      </c>
    </row>
    <row r="303" spans="1:40" x14ac:dyDescent="0.25">
      <c r="A303" t="str">
        <f>"20190312154806965"</f>
        <v>20190312154806965</v>
      </c>
      <c r="B303" t="str">
        <f>"1552376886956865"</f>
        <v>1552376886956865</v>
      </c>
      <c r="C303" t="s">
        <v>40</v>
      </c>
      <c r="D303">
        <v>4.6679329999999997</v>
      </c>
      <c r="E303">
        <v>0.55454359999999903</v>
      </c>
      <c r="F303" t="s">
        <v>41</v>
      </c>
      <c r="G303">
        <v>-387.40589999999997</v>
      </c>
      <c r="H303">
        <v>0.911358</v>
      </c>
      <c r="I303">
        <v>367.26850000000002</v>
      </c>
      <c r="J303">
        <v>-387.7756</v>
      </c>
      <c r="K303">
        <v>1.1098650000000001</v>
      </c>
      <c r="L303">
        <v>367.38389999999998</v>
      </c>
      <c r="M303">
        <v>0.99985000000000002</v>
      </c>
      <c r="N303">
        <v>0</v>
      </c>
      <c r="O303">
        <v>1.010254E-2</v>
      </c>
      <c r="P303">
        <v>0.99771049999999994</v>
      </c>
      <c r="Q303">
        <v>5.7269510000000003E-2</v>
      </c>
      <c r="R303">
        <v>-3.5972369999999997E-2</v>
      </c>
      <c r="S303">
        <v>3.0398559999999999</v>
      </c>
      <c r="T303">
        <v>-0.88296430000000004</v>
      </c>
      <c r="U303">
        <v>-0.4984131</v>
      </c>
      <c r="V303">
        <v>4.6053539999999997E-2</v>
      </c>
      <c r="W303">
        <v>7.1289399999999906E-2</v>
      </c>
      <c r="X303">
        <v>0.99639200000000006</v>
      </c>
      <c r="Y303">
        <v>0.16471830000000001</v>
      </c>
      <c r="Z303">
        <v>-2.6149390000000002E-2</v>
      </c>
      <c r="AA303">
        <v>0.98599400000000004</v>
      </c>
      <c r="AB303">
        <v>33</v>
      </c>
      <c r="AC303">
        <v>0.36970000000002201</v>
      </c>
      <c r="AD303">
        <v>-0.19850699999999899</v>
      </c>
      <c r="AE303">
        <v>-0.115399999999965</v>
      </c>
      <c r="AF303">
        <v>9.4344329854665607E-2</v>
      </c>
      <c r="AG303">
        <v>-0.19850699999999899</v>
      </c>
      <c r="AH303">
        <v>0.29184501214911501</v>
      </c>
      <c r="AI303">
        <v>122.911044840985</v>
      </c>
      <c r="AJ303">
        <v>72.085608504552297</v>
      </c>
      <c r="AK303">
        <v>0.36534831700863601</v>
      </c>
      <c r="AL303">
        <v>85.911950812715602</v>
      </c>
      <c r="AM303">
        <v>87.353655123016793</v>
      </c>
      <c r="AN303">
        <v>1.00000006238144</v>
      </c>
    </row>
    <row r="304" spans="1:40" x14ac:dyDescent="0.25">
      <c r="A304" t="str">
        <f>"20190312154806978"</f>
        <v>20190312154806978</v>
      </c>
      <c r="B304" t="str">
        <f>"1552376886966625"</f>
        <v>1552376886966625</v>
      </c>
      <c r="C304" t="s">
        <v>40</v>
      </c>
      <c r="D304">
        <v>4.6658999999999997</v>
      </c>
      <c r="E304">
        <v>0.55455339999999997</v>
      </c>
      <c r="F304" t="s">
        <v>41</v>
      </c>
      <c r="G304">
        <v>-386.846</v>
      </c>
      <c r="H304">
        <v>0.83983249999999998</v>
      </c>
      <c r="I304">
        <v>367.23149999999998</v>
      </c>
      <c r="J304">
        <v>-387.58769999999998</v>
      </c>
      <c r="K304">
        <v>1.1098920000000001</v>
      </c>
      <c r="L304">
        <v>367.38580000000002</v>
      </c>
      <c r="M304">
        <v>0.99984969999999995</v>
      </c>
      <c r="N304">
        <v>0</v>
      </c>
      <c r="O304">
        <v>1.010251E-2</v>
      </c>
      <c r="P304">
        <v>0.99770950000000003</v>
      </c>
      <c r="Q304">
        <v>5.7481190000000001E-2</v>
      </c>
      <c r="R304">
        <v>-3.566689E-2</v>
      </c>
      <c r="S304">
        <v>3.0395810000000001</v>
      </c>
      <c r="T304">
        <v>-0.88303319999999996</v>
      </c>
      <c r="U304">
        <v>-0.4980774</v>
      </c>
      <c r="V304">
        <v>4.5747969999999999E-2</v>
      </c>
      <c r="W304">
        <v>7.1530549999999998E-2</v>
      </c>
      <c r="X304">
        <v>0.99638870000000002</v>
      </c>
      <c r="Y304">
        <v>0.16462769999999999</v>
      </c>
      <c r="Z304">
        <v>-2.6140989999999999E-2</v>
      </c>
      <c r="AA304">
        <v>0.98600929999999998</v>
      </c>
      <c r="AB304">
        <v>33</v>
      </c>
      <c r="AC304">
        <v>0.74169999999998004</v>
      </c>
      <c r="AD304">
        <v>-0.27005949999999901</v>
      </c>
      <c r="AE304">
        <v>-0.15430000000003399</v>
      </c>
      <c r="AF304">
        <v>0.14354485886899199</v>
      </c>
      <c r="AG304">
        <v>-0.27005949999999901</v>
      </c>
      <c r="AH304">
        <v>0.65665799844878403</v>
      </c>
      <c r="AI304">
        <v>111.889078573315</v>
      </c>
      <c r="AJ304">
        <v>77.669163137068196</v>
      </c>
      <c r="AK304">
        <v>0.72438731834201298</v>
      </c>
      <c r="AL304">
        <v>85.8980981881801</v>
      </c>
      <c r="AM304">
        <v>87.371180486890594</v>
      </c>
      <c r="AN304">
        <v>0.99999996891505605</v>
      </c>
    </row>
    <row r="305" spans="1:40" x14ac:dyDescent="0.25">
      <c r="A305" t="str">
        <f>"20190312154806999"</f>
        <v>20190312154806999</v>
      </c>
      <c r="B305" t="str">
        <f>"1552376886996881"</f>
        <v>1552376886996881</v>
      </c>
      <c r="C305" t="s">
        <v>40</v>
      </c>
      <c r="D305">
        <v>4.6794120000000001</v>
      </c>
      <c r="E305">
        <v>0.55448310000000001</v>
      </c>
      <c r="F305" t="s">
        <v>41</v>
      </c>
      <c r="G305">
        <v>-386.82659999999998</v>
      </c>
      <c r="H305">
        <v>0.88899859999999897</v>
      </c>
      <c r="I305">
        <v>367.2611</v>
      </c>
      <c r="J305">
        <v>-387.27089999999998</v>
      </c>
      <c r="K305">
        <v>1.1099319999999999</v>
      </c>
      <c r="L305">
        <v>367.38900000000001</v>
      </c>
      <c r="M305">
        <v>0.99984899999999999</v>
      </c>
      <c r="N305">
        <v>0</v>
      </c>
      <c r="O305">
        <v>1.0102649999999999E-2</v>
      </c>
      <c r="P305">
        <v>0.99772019999999995</v>
      </c>
      <c r="Q305">
        <v>5.7316680000000002E-2</v>
      </c>
      <c r="R305">
        <v>-3.562924E-2</v>
      </c>
      <c r="S305">
        <v>3.0398559999999999</v>
      </c>
      <c r="T305">
        <v>-0.88227199999999995</v>
      </c>
      <c r="U305">
        <v>-0.49752809999999997</v>
      </c>
      <c r="V305">
        <v>4.5710460000000001E-2</v>
      </c>
      <c r="W305">
        <v>7.1412119999999996E-2</v>
      </c>
      <c r="X305">
        <v>0.99639889999999998</v>
      </c>
      <c r="Y305">
        <v>0.16445969999999999</v>
      </c>
      <c r="Z305">
        <v>-2.6093760000000001E-2</v>
      </c>
      <c r="AA305">
        <v>0.98603859999999999</v>
      </c>
      <c r="AB305">
        <v>33</v>
      </c>
      <c r="AC305">
        <v>0.44429999999999797</v>
      </c>
      <c r="AD305">
        <v>-0.2209334</v>
      </c>
      <c r="AE305">
        <v>-0.127900000000011</v>
      </c>
      <c r="AF305">
        <v>0.1077729457401</v>
      </c>
      <c r="AG305">
        <v>-0.2209334</v>
      </c>
      <c r="AH305">
        <v>0.36063524415804898</v>
      </c>
      <c r="AI305">
        <v>120.41178533710099</v>
      </c>
      <c r="AJ305">
        <v>73.361647079481301</v>
      </c>
      <c r="AK305">
        <v>0.436445133319177</v>
      </c>
      <c r="AL305">
        <v>85.904901057603198</v>
      </c>
      <c r="AM305">
        <v>87.373359758419994</v>
      </c>
      <c r="AN305">
        <v>0.99999995247875595</v>
      </c>
    </row>
    <row r="306" spans="1:40" x14ac:dyDescent="0.25">
      <c r="A306" t="str">
        <f>"20190312154807022"</f>
        <v>20190312154807022</v>
      </c>
      <c r="B306" t="str">
        <f>"1552376887016402"</f>
        <v>1552376887016402</v>
      </c>
      <c r="C306" t="s">
        <v>40</v>
      </c>
      <c r="D306">
        <v>4.7316520000000004</v>
      </c>
      <c r="E306">
        <v>0.5544654</v>
      </c>
      <c r="F306" t="s">
        <v>41</v>
      </c>
      <c r="G306">
        <v>-386.53059999999999</v>
      </c>
      <c r="H306">
        <v>0.89514780000000005</v>
      </c>
      <c r="I306">
        <v>367.26769999999999</v>
      </c>
      <c r="J306">
        <v>-386.94459999999998</v>
      </c>
      <c r="K306">
        <v>1.1099680000000001</v>
      </c>
      <c r="L306">
        <v>367.39229999999998</v>
      </c>
      <c r="M306">
        <v>0.99984839999999997</v>
      </c>
      <c r="N306">
        <v>0</v>
      </c>
      <c r="O306">
        <v>1.0102710000000001E-2</v>
      </c>
      <c r="P306">
        <v>0.99773780000000001</v>
      </c>
      <c r="Q306">
        <v>5.714868E-2</v>
      </c>
      <c r="R306">
        <v>-3.5404970000000001E-2</v>
      </c>
      <c r="S306">
        <v>3.0397639999999999</v>
      </c>
      <c r="T306">
        <v>-0.88190930000000001</v>
      </c>
      <c r="U306">
        <v>-0.49676510000000001</v>
      </c>
      <c r="V306">
        <v>4.5486659999999998E-2</v>
      </c>
      <c r="W306">
        <v>7.1286070000000007E-2</v>
      </c>
      <c r="X306">
        <v>0.99641820000000003</v>
      </c>
      <c r="Y306">
        <v>0.16423740000000001</v>
      </c>
      <c r="Z306">
        <v>-2.6053300000000001E-2</v>
      </c>
      <c r="AA306">
        <v>0.98607670000000003</v>
      </c>
      <c r="AB306">
        <v>33</v>
      </c>
      <c r="AC306">
        <v>0.41399999999998699</v>
      </c>
      <c r="AD306">
        <v>-0.21482019999999999</v>
      </c>
      <c r="AE306">
        <v>-0.124599999999986</v>
      </c>
      <c r="AF306">
        <v>0.10327877473651299</v>
      </c>
      <c r="AG306">
        <v>-0.21482019999999999</v>
      </c>
      <c r="AH306">
        <v>0.331001252314641</v>
      </c>
      <c r="AI306">
        <v>121.78000980874801</v>
      </c>
      <c r="AJ306">
        <v>72.671071194460396</v>
      </c>
      <c r="AK306">
        <v>0.40789220717363001</v>
      </c>
      <c r="AL306">
        <v>85.912141776024797</v>
      </c>
      <c r="AM306">
        <v>87.386252558988403</v>
      </c>
      <c r="AN306">
        <v>0.99999998465261997</v>
      </c>
    </row>
    <row r="307" spans="1:40" x14ac:dyDescent="0.25">
      <c r="A307" t="str">
        <f>"20190312154807034"</f>
        <v>20190312154807034</v>
      </c>
      <c r="B307" t="str">
        <f>"1552376887026161"</f>
        <v>1552376887026161</v>
      </c>
      <c r="C307" t="s">
        <v>40</v>
      </c>
      <c r="D307">
        <v>4.6292289999999996</v>
      </c>
      <c r="E307">
        <v>0.55446890000000004</v>
      </c>
      <c r="F307" t="s">
        <v>41</v>
      </c>
      <c r="G307">
        <v>-386.23399999999998</v>
      </c>
      <c r="H307">
        <v>0.90378689999999995</v>
      </c>
      <c r="I307">
        <v>367.27629999999999</v>
      </c>
      <c r="J307">
        <v>-386.76459999999997</v>
      </c>
      <c r="K307">
        <v>1.109985</v>
      </c>
      <c r="L307">
        <v>367.39409999999998</v>
      </c>
      <c r="M307">
        <v>0.99984810000000002</v>
      </c>
      <c r="N307">
        <v>0</v>
      </c>
      <c r="O307">
        <v>1.0102740000000001E-2</v>
      </c>
      <c r="P307">
        <v>0.99775610000000003</v>
      </c>
      <c r="Q307">
        <v>5.6972399999999999E-2</v>
      </c>
      <c r="R307">
        <v>-3.517957E-2</v>
      </c>
      <c r="S307">
        <v>3.0396730000000001</v>
      </c>
      <c r="T307">
        <v>-0.88199810000000001</v>
      </c>
      <c r="U307">
        <v>-0.49603269999999999</v>
      </c>
      <c r="V307">
        <v>4.5261370000000002E-2</v>
      </c>
      <c r="W307">
        <v>7.1130540000000006E-2</v>
      </c>
      <c r="X307">
        <v>0.99643959999999998</v>
      </c>
      <c r="Y307">
        <v>0.16401740000000001</v>
      </c>
      <c r="Z307">
        <v>-2.6025980000000001E-2</v>
      </c>
      <c r="AA307">
        <v>0.98611409999999999</v>
      </c>
      <c r="AB307">
        <v>33</v>
      </c>
      <c r="AC307">
        <v>0.53059999999993501</v>
      </c>
      <c r="AD307">
        <v>-0.206198099999999</v>
      </c>
      <c r="AE307">
        <v>-0.117799999999988</v>
      </c>
      <c r="AF307">
        <v>0.107659967198499</v>
      </c>
      <c r="AG307">
        <v>-0.206198099999999</v>
      </c>
      <c r="AH307">
        <v>0.46277702200838899</v>
      </c>
      <c r="AI307">
        <v>113.459780312194</v>
      </c>
      <c r="AJ307">
        <v>76.903713689550401</v>
      </c>
      <c r="AK307">
        <v>0.51794873981866596</v>
      </c>
      <c r="AL307">
        <v>85.9210757749496</v>
      </c>
      <c r="AM307">
        <v>87.399236098105106</v>
      </c>
      <c r="AN307">
        <v>1.0000000108915601</v>
      </c>
    </row>
    <row r="308" spans="1:40" x14ac:dyDescent="0.25">
      <c r="A308" t="str">
        <f>"20190312154807047"</f>
        <v>20190312154807047</v>
      </c>
      <c r="B308" t="str">
        <f>"1552376887035921"</f>
        <v>1552376887035921</v>
      </c>
      <c r="C308" t="s">
        <v>40</v>
      </c>
      <c r="D308">
        <v>4.7449789999999998</v>
      </c>
      <c r="E308">
        <v>0.55447329999999995</v>
      </c>
      <c r="F308" t="s">
        <v>41</v>
      </c>
      <c r="G308">
        <v>-385.9529</v>
      </c>
      <c r="H308">
        <v>0.87409329999999996</v>
      </c>
      <c r="I308">
        <v>367.26139999999998</v>
      </c>
      <c r="J308">
        <v>-386.57310000000001</v>
      </c>
      <c r="K308">
        <v>1.110001</v>
      </c>
      <c r="L308">
        <v>367.39609999999999</v>
      </c>
      <c r="M308">
        <v>0.99984779999999995</v>
      </c>
      <c r="N308">
        <v>0</v>
      </c>
      <c r="O308">
        <v>1.010289E-2</v>
      </c>
      <c r="P308">
        <v>0.99777159999999998</v>
      </c>
      <c r="Q308">
        <v>5.6883990000000002E-2</v>
      </c>
      <c r="R308">
        <v>-3.4872319999999998E-2</v>
      </c>
      <c r="S308">
        <v>3.0397340000000002</v>
      </c>
      <c r="T308">
        <v>-0.88337969999999899</v>
      </c>
      <c r="U308">
        <v>-0.49533080000000002</v>
      </c>
      <c r="V308">
        <v>4.4954529999999999E-2</v>
      </c>
      <c r="W308">
        <v>7.1062539999999993E-2</v>
      </c>
      <c r="X308">
        <v>0.99645839999999997</v>
      </c>
      <c r="Y308">
        <v>0.1637806</v>
      </c>
      <c r="Z308">
        <v>-2.6031640000000002E-2</v>
      </c>
      <c r="AA308">
        <v>0.98615319999999995</v>
      </c>
      <c r="AB308">
        <v>33</v>
      </c>
      <c r="AC308">
        <v>0.62020000000001096</v>
      </c>
      <c r="AD308">
        <v>-0.235907699999999</v>
      </c>
      <c r="AE308">
        <v>-0.13470000000000901</v>
      </c>
      <c r="AF308">
        <v>0.12384791742631</v>
      </c>
      <c r="AG308">
        <v>-0.235907699999999</v>
      </c>
      <c r="AH308">
        <v>0.54368781536984601</v>
      </c>
      <c r="AI308">
        <v>112.931539463566</v>
      </c>
      <c r="AJ308">
        <v>77.167427986539494</v>
      </c>
      <c r="AK308">
        <v>0.60546444169064095</v>
      </c>
      <c r="AL308">
        <v>85.924982008021203</v>
      </c>
      <c r="AM308">
        <v>87.416892139964901</v>
      </c>
      <c r="AN308">
        <v>1.00000006864466</v>
      </c>
    </row>
    <row r="309" spans="1:40" x14ac:dyDescent="0.25">
      <c r="A309" t="str">
        <f>"20190312154807066"</f>
        <v>20190312154807066</v>
      </c>
      <c r="B309" t="str">
        <f>"1552376887056417"</f>
        <v>1552376887056417</v>
      </c>
      <c r="C309" t="s">
        <v>40</v>
      </c>
      <c r="D309">
        <v>4.7487830000000004</v>
      </c>
      <c r="E309">
        <v>0.55447199999999996</v>
      </c>
      <c r="F309" t="s">
        <v>41</v>
      </c>
      <c r="G309">
        <v>-385.67079999999999</v>
      </c>
      <c r="H309">
        <v>0.84774939999999999</v>
      </c>
      <c r="I309">
        <v>367.24919999999997</v>
      </c>
      <c r="J309">
        <v>-386.30259999999998</v>
      </c>
      <c r="K309">
        <v>1.1100129999999999</v>
      </c>
      <c r="L309">
        <v>367.39879999999999</v>
      </c>
      <c r="M309">
        <v>0.9998475</v>
      </c>
      <c r="N309">
        <v>0</v>
      </c>
      <c r="O309">
        <v>1.0102710000000001E-2</v>
      </c>
      <c r="P309">
        <v>0.99780630000000003</v>
      </c>
      <c r="Q309">
        <v>5.6542960000000003E-2</v>
      </c>
      <c r="R309">
        <v>-3.4433440000000003E-2</v>
      </c>
      <c r="S309">
        <v>3.0397949999999998</v>
      </c>
      <c r="T309">
        <v>-0.88351930000000001</v>
      </c>
      <c r="U309">
        <v>-0.49423220000000001</v>
      </c>
      <c r="V309">
        <v>4.4516E-2</v>
      </c>
      <c r="W309">
        <v>7.0748119999999998E-2</v>
      </c>
      <c r="X309">
        <v>0.99650039999999995</v>
      </c>
      <c r="Y309">
        <v>0.16344129999999901</v>
      </c>
      <c r="Z309">
        <v>-2.598775E-2</v>
      </c>
      <c r="AA309">
        <v>0.9862107</v>
      </c>
      <c r="AB309">
        <v>33</v>
      </c>
      <c r="AC309">
        <v>0.63179999999999803</v>
      </c>
      <c r="AD309">
        <v>-0.26226359999999899</v>
      </c>
      <c r="AE309">
        <v>-0.14960000000001999</v>
      </c>
      <c r="AF309">
        <v>0.13409617678838001</v>
      </c>
      <c r="AG309">
        <v>-0.26226359999999899</v>
      </c>
      <c r="AH309">
        <v>0.54184620230080505</v>
      </c>
      <c r="AI309">
        <v>115.16621226623801</v>
      </c>
      <c r="AJ309">
        <v>76.099721172361299</v>
      </c>
      <c r="AK309">
        <v>0.61673437350453097</v>
      </c>
      <c r="AL309">
        <v>85.943042160463804</v>
      </c>
      <c r="AM309">
        <v>87.442164308783106</v>
      </c>
      <c r="AN309">
        <v>1.00000000896984</v>
      </c>
    </row>
    <row r="310" spans="1:40" x14ac:dyDescent="0.25">
      <c r="A310" t="str">
        <f>"20190312154807088"</f>
        <v>20190312154807088</v>
      </c>
      <c r="B310" t="str">
        <f>"1552376887075937"</f>
        <v>1552376887075937</v>
      </c>
      <c r="C310" t="s">
        <v>40</v>
      </c>
      <c r="D310">
        <v>4.746232</v>
      </c>
      <c r="E310">
        <v>0.55444720000000003</v>
      </c>
      <c r="F310" t="s">
        <v>41</v>
      </c>
      <c r="G310">
        <v>-385.38099999999997</v>
      </c>
      <c r="H310">
        <v>0.84190889999999996</v>
      </c>
      <c r="I310">
        <v>367.24889999999999</v>
      </c>
      <c r="J310">
        <v>-385.97539999999998</v>
      </c>
      <c r="K310">
        <v>1.110031</v>
      </c>
      <c r="L310">
        <v>367.40219999999999</v>
      </c>
      <c r="M310">
        <v>0.99984709999999999</v>
      </c>
      <c r="N310">
        <v>0</v>
      </c>
      <c r="O310">
        <v>1.0102689999999999E-2</v>
      </c>
      <c r="P310">
        <v>0.99782389999999999</v>
      </c>
      <c r="Q310">
        <v>5.6471359999999998E-2</v>
      </c>
      <c r="R310">
        <v>-3.4036450000000003E-2</v>
      </c>
      <c r="S310">
        <v>3.0397340000000002</v>
      </c>
      <c r="T310">
        <v>-0.88436719999999902</v>
      </c>
      <c r="U310">
        <v>-0.492981</v>
      </c>
      <c r="V310">
        <v>4.4119060000000002E-2</v>
      </c>
      <c r="W310">
        <v>7.0703409999999994E-2</v>
      </c>
      <c r="X310">
        <v>0.9965212</v>
      </c>
      <c r="Y310">
        <v>0.16305069999999999</v>
      </c>
      <c r="Z310">
        <v>-2.595768E-2</v>
      </c>
      <c r="AA310">
        <v>0.98627609999999999</v>
      </c>
      <c r="AB310">
        <v>33</v>
      </c>
      <c r="AC310">
        <v>0.59440000000000703</v>
      </c>
      <c r="AD310">
        <v>-0.26812209999999997</v>
      </c>
      <c r="AE310">
        <v>-0.15330000000000099</v>
      </c>
      <c r="AF310">
        <v>0.13377567033717699</v>
      </c>
      <c r="AG310">
        <v>-0.26812209999999997</v>
      </c>
      <c r="AH310">
        <v>0.49784103548978698</v>
      </c>
      <c r="AI310">
        <v>117.479803673723</v>
      </c>
      <c r="AJ310">
        <v>74.959250244542801</v>
      </c>
      <c r="AK310">
        <v>0.58106031279043102</v>
      </c>
      <c r="AL310">
        <v>85.945610179751995</v>
      </c>
      <c r="AM310">
        <v>87.464994958955501</v>
      </c>
      <c r="AN310">
        <v>0.999999982845175</v>
      </c>
    </row>
    <row r="311" spans="1:40" x14ac:dyDescent="0.25">
      <c r="A311" t="str">
        <f>"20190312154807100"</f>
        <v>20190312154807100</v>
      </c>
      <c r="B311" t="str">
        <f>"1552376887096432"</f>
        <v>1552376887096432</v>
      </c>
      <c r="C311" t="s">
        <v>40</v>
      </c>
      <c r="D311">
        <v>4.7507489999999999</v>
      </c>
      <c r="E311">
        <v>0.55442709999999995</v>
      </c>
      <c r="F311" t="s">
        <v>41</v>
      </c>
      <c r="G311">
        <v>-385.0856</v>
      </c>
      <c r="H311">
        <v>0.85111669999999995</v>
      </c>
      <c r="I311">
        <v>367.25810000000001</v>
      </c>
      <c r="J311">
        <v>-385.79039999999998</v>
      </c>
      <c r="K311">
        <v>1.110042</v>
      </c>
      <c r="L311">
        <v>367.404</v>
      </c>
      <c r="M311">
        <v>0.99984689999999998</v>
      </c>
      <c r="N311">
        <v>0</v>
      </c>
      <c r="O311">
        <v>1.010277E-2</v>
      </c>
      <c r="P311">
        <v>0.99783549999999999</v>
      </c>
      <c r="Q311">
        <v>5.6429510000000002E-2</v>
      </c>
      <c r="R311">
        <v>-3.3763260000000003E-2</v>
      </c>
      <c r="S311">
        <v>3.0398559999999999</v>
      </c>
      <c r="T311">
        <v>-0.88451659999999899</v>
      </c>
      <c r="U311">
        <v>-0.49148560000000002</v>
      </c>
      <c r="V311">
        <v>4.3846110000000001E-2</v>
      </c>
      <c r="W311">
        <v>7.0675349999999998E-2</v>
      </c>
      <c r="X311">
        <v>0.99653519999999896</v>
      </c>
      <c r="Y311">
        <v>0.16258800000000001</v>
      </c>
      <c r="Z311">
        <v>-2.589634E-2</v>
      </c>
      <c r="AA311">
        <v>0.98635419999999996</v>
      </c>
      <c r="AB311">
        <v>33</v>
      </c>
      <c r="AC311">
        <v>0.704799999999977</v>
      </c>
      <c r="AD311">
        <v>-0.25892529999999903</v>
      </c>
      <c r="AE311">
        <v>-0.14589999999998299</v>
      </c>
      <c r="AF311">
        <v>0.13548016020446399</v>
      </c>
      <c r="AG311">
        <v>-0.25892529999999903</v>
      </c>
      <c r="AH311">
        <v>0.62270122366761804</v>
      </c>
      <c r="AI311">
        <v>112.11213369285601</v>
      </c>
      <c r="AJ311">
        <v>77.725533178273196</v>
      </c>
      <c r="AK311">
        <v>0.68786190383409596</v>
      </c>
      <c r="AL311">
        <v>85.947221780350105</v>
      </c>
      <c r="AM311">
        <v>87.480693272744105</v>
      </c>
      <c r="AN311">
        <v>0.99999994564939498</v>
      </c>
    </row>
    <row r="312" spans="1:40" x14ac:dyDescent="0.25">
      <c r="A312" t="str">
        <f>"20190312154807114"</f>
        <v>20190312154807114</v>
      </c>
      <c r="B312" t="str">
        <f>"1552376887106194"</f>
        <v>1552376887106194</v>
      </c>
      <c r="C312" t="s">
        <v>40</v>
      </c>
      <c r="D312">
        <v>4.7792789999999998</v>
      </c>
      <c r="E312">
        <v>0.5544116</v>
      </c>
      <c r="F312" t="s">
        <v>41</v>
      </c>
      <c r="G312">
        <v>-385.06650000000002</v>
      </c>
      <c r="H312">
        <v>0.89937749999999905</v>
      </c>
      <c r="I312">
        <v>367.28710000000001</v>
      </c>
      <c r="J312">
        <v>-385.6069</v>
      </c>
      <c r="K312">
        <v>1.1100490000000001</v>
      </c>
      <c r="L312">
        <v>367.40589999999997</v>
      </c>
      <c r="M312">
        <v>0.99984680000000004</v>
      </c>
      <c r="N312">
        <v>0</v>
      </c>
      <c r="O312">
        <v>1.0102679999999999E-2</v>
      </c>
      <c r="P312">
        <v>0.99783449999999996</v>
      </c>
      <c r="Q312">
        <v>5.6490699999999901E-2</v>
      </c>
      <c r="R312">
        <v>-3.3695559999999999E-2</v>
      </c>
      <c r="S312">
        <v>3.039917</v>
      </c>
      <c r="T312">
        <v>-0.88458590000000004</v>
      </c>
      <c r="U312">
        <v>-0.49029539999999999</v>
      </c>
      <c r="V312">
        <v>4.3778230000000001E-2</v>
      </c>
      <c r="W312">
        <v>7.0748599999999995E-2</v>
      </c>
      <c r="X312">
        <v>0.996533</v>
      </c>
      <c r="Y312">
        <v>0.1622219</v>
      </c>
      <c r="Z312">
        <v>-2.584666E-2</v>
      </c>
      <c r="AA312">
        <v>0.98641570000000001</v>
      </c>
      <c r="AB312">
        <v>33</v>
      </c>
      <c r="AC312">
        <v>0.54039999999997601</v>
      </c>
      <c r="AD312">
        <v>-0.21067150000000001</v>
      </c>
      <c r="AE312">
        <v>-0.118799999999964</v>
      </c>
      <c r="AF312">
        <v>0.108521433705091</v>
      </c>
      <c r="AG312">
        <v>-0.21067150000000001</v>
      </c>
      <c r="AH312">
        <v>0.470904254154073</v>
      </c>
      <c r="AI312">
        <v>113.554789019381</v>
      </c>
      <c r="AJ312">
        <v>77.022571305258595</v>
      </c>
      <c r="AK312">
        <v>0.52717188759081501</v>
      </c>
      <c r="AL312">
        <v>85.943014386158694</v>
      </c>
      <c r="AM312">
        <v>87.484582957510298</v>
      </c>
      <c r="AN312">
        <v>0.999999958956445</v>
      </c>
    </row>
    <row r="313" spans="1:40" x14ac:dyDescent="0.25">
      <c r="A313" t="str">
        <f>"20190312154807128"</f>
        <v>20190312154807128</v>
      </c>
      <c r="B313" t="str">
        <f>"1552376887115953"</f>
        <v>1552376887115953</v>
      </c>
      <c r="C313" t="s">
        <v>40</v>
      </c>
      <c r="D313">
        <v>4.6948059999999998</v>
      </c>
      <c r="E313">
        <v>0.55439079999999996</v>
      </c>
      <c r="F313" t="s">
        <v>41</v>
      </c>
      <c r="G313">
        <v>-384.78609999999998</v>
      </c>
      <c r="H313">
        <v>0.87131769999999997</v>
      </c>
      <c r="I313">
        <v>367.27319999999997</v>
      </c>
      <c r="J313">
        <v>-385.4</v>
      </c>
      <c r="K313">
        <v>1.1100650000000001</v>
      </c>
      <c r="L313">
        <v>367.40800000000002</v>
      </c>
      <c r="M313">
        <v>0.99984669999999998</v>
      </c>
      <c r="N313">
        <v>0</v>
      </c>
      <c r="O313">
        <v>1.0102409999999999E-2</v>
      </c>
      <c r="P313">
        <v>0.9978475</v>
      </c>
      <c r="Q313">
        <v>5.6381489999999999E-2</v>
      </c>
      <c r="R313">
        <v>-3.3495690000000002E-2</v>
      </c>
      <c r="S313">
        <v>3.0399780000000001</v>
      </c>
      <c r="T313">
        <v>-0.88413999999999904</v>
      </c>
      <c r="U313">
        <v>-0.4902649</v>
      </c>
      <c r="V313">
        <v>4.3578329999999998E-2</v>
      </c>
      <c r="W313">
        <v>7.0652519999999996E-2</v>
      </c>
      <c r="X313">
        <v>0.99654860000000001</v>
      </c>
      <c r="Y313">
        <v>0.16221629999999901</v>
      </c>
      <c r="Z313">
        <v>-2.5832790000000001E-2</v>
      </c>
      <c r="AA313">
        <v>0.98641699999999999</v>
      </c>
      <c r="AB313">
        <v>33</v>
      </c>
      <c r="AC313">
        <v>0.613900000000001</v>
      </c>
      <c r="AD313">
        <v>-0.238747299999999</v>
      </c>
      <c r="AE313">
        <v>-0.134800000000041</v>
      </c>
      <c r="AF313">
        <v>0.12321686793038999</v>
      </c>
      <c r="AG313">
        <v>-0.238747299999999</v>
      </c>
      <c r="AH313">
        <v>0.53527306726996604</v>
      </c>
      <c r="AI313">
        <v>113.49272423067301</v>
      </c>
      <c r="AJ313">
        <v>77.036656702671095</v>
      </c>
      <c r="AK313">
        <v>0.59891562539681897</v>
      </c>
      <c r="AL313">
        <v>85.948533263813303</v>
      </c>
      <c r="AM313">
        <v>87.496093340651598</v>
      </c>
      <c r="AN313">
        <v>0.99999998079494901</v>
      </c>
    </row>
    <row r="314" spans="1:40" x14ac:dyDescent="0.25">
      <c r="A314" t="str">
        <f>"20190312154807146"</f>
        <v>20190312154807146</v>
      </c>
      <c r="B314" t="str">
        <f>"1552376887136449"</f>
        <v>1552376887136449</v>
      </c>
      <c r="C314" t="s">
        <v>40</v>
      </c>
      <c r="D314">
        <v>4.7945589999999996</v>
      </c>
      <c r="E314">
        <v>0.55437119999999995</v>
      </c>
      <c r="F314" t="s">
        <v>41</v>
      </c>
      <c r="G314">
        <v>-384.50369999999998</v>
      </c>
      <c r="H314">
        <v>0.84919349999999905</v>
      </c>
      <c r="I314">
        <v>367.26350000000002</v>
      </c>
      <c r="J314">
        <v>-385.1431</v>
      </c>
      <c r="K314">
        <v>1.1100730000000001</v>
      </c>
      <c r="L314">
        <v>367.41059999999999</v>
      </c>
      <c r="M314">
        <v>0.99984640000000002</v>
      </c>
      <c r="N314">
        <v>0</v>
      </c>
      <c r="O314">
        <v>1.0102669999999999E-2</v>
      </c>
      <c r="P314">
        <v>0.99787000000000003</v>
      </c>
      <c r="Q314">
        <v>5.6059749999999998E-2</v>
      </c>
      <c r="R314">
        <v>-3.3361559999999998E-2</v>
      </c>
      <c r="S314">
        <v>3.0400390000000002</v>
      </c>
      <c r="T314">
        <v>-0.88489019999999996</v>
      </c>
      <c r="U314">
        <v>-0.489624</v>
      </c>
      <c r="V314">
        <v>4.3444759999999999E-2</v>
      </c>
      <c r="W314">
        <v>7.0344790000000004E-2</v>
      </c>
      <c r="X314">
        <v>0.99657620000000002</v>
      </c>
      <c r="Y314">
        <v>0.1620076</v>
      </c>
      <c r="Z314">
        <v>-2.582427E-2</v>
      </c>
      <c r="AA314">
        <v>0.98645159999999998</v>
      </c>
      <c r="AB314">
        <v>33</v>
      </c>
      <c r="AC314">
        <v>0.63940000000002295</v>
      </c>
      <c r="AD314">
        <v>-0.26087949999999899</v>
      </c>
      <c r="AE314">
        <v>-0.14709999999996601</v>
      </c>
      <c r="AF314">
        <v>0.132590096123884</v>
      </c>
      <c r="AG314">
        <v>-0.26087949999999899</v>
      </c>
      <c r="AH314">
        <v>0.55079892171901801</v>
      </c>
      <c r="AI314">
        <v>114.7253257589</v>
      </c>
      <c r="AJ314">
        <v>76.465091904971402</v>
      </c>
      <c r="AK314">
        <v>0.62371283398469801</v>
      </c>
      <c r="AL314">
        <v>85.966208868475704</v>
      </c>
      <c r="AM314">
        <v>87.503827276189099</v>
      </c>
      <c r="AN314">
        <v>0.99999997952901998</v>
      </c>
    </row>
    <row r="315" spans="1:40" x14ac:dyDescent="0.25">
      <c r="A315" t="str">
        <f>"20190312154807166"</f>
        <v>20190312154807166</v>
      </c>
      <c r="B315" t="str">
        <f>"1552376887155971"</f>
        <v>1552376887155971</v>
      </c>
      <c r="C315" t="s">
        <v>40</v>
      </c>
      <c r="D315">
        <v>4.775061</v>
      </c>
      <c r="E315">
        <v>0.55437619999999999</v>
      </c>
      <c r="F315" t="s">
        <v>41</v>
      </c>
      <c r="G315">
        <v>-384.21640000000002</v>
      </c>
      <c r="H315">
        <v>0.84012699999999996</v>
      </c>
      <c r="I315">
        <v>367.26089999999999</v>
      </c>
      <c r="J315">
        <v>-384.82490000000001</v>
      </c>
      <c r="K315">
        <v>1.110087</v>
      </c>
      <c r="L315">
        <v>367.41379999999998</v>
      </c>
      <c r="M315">
        <v>0.99984620000000002</v>
      </c>
      <c r="N315">
        <v>0</v>
      </c>
      <c r="O315">
        <v>1.010256E-2</v>
      </c>
      <c r="P315">
        <v>0.9979095</v>
      </c>
      <c r="Q315">
        <v>5.5457729999999997E-2</v>
      </c>
      <c r="R315">
        <v>-3.3185760000000002E-2</v>
      </c>
      <c r="S315">
        <v>3.0397949999999998</v>
      </c>
      <c r="T315">
        <v>-0.88556599999999996</v>
      </c>
      <c r="U315">
        <v>-0.48956300000000003</v>
      </c>
      <c r="V315">
        <v>4.326928E-2</v>
      </c>
      <c r="W315">
        <v>6.9758290000000001E-2</v>
      </c>
      <c r="X315">
        <v>0.99662510000000004</v>
      </c>
      <c r="Y315">
        <v>0.16198979999999999</v>
      </c>
      <c r="Z315">
        <v>-2.584266E-2</v>
      </c>
      <c r="AA315">
        <v>0.98645400000000005</v>
      </c>
      <c r="AB315">
        <v>33</v>
      </c>
      <c r="AC315">
        <v>0.60849999999999205</v>
      </c>
      <c r="AD315">
        <v>-0.26995999999999998</v>
      </c>
      <c r="AE315">
        <v>-0.15289999999998799</v>
      </c>
      <c r="AF315">
        <v>0.13419591334695799</v>
      </c>
      <c r="AG315">
        <v>-0.26995999999999998</v>
      </c>
      <c r="AH315">
        <v>0.512114018923986</v>
      </c>
      <c r="AI315">
        <v>117.01845648554701</v>
      </c>
      <c r="AJ315">
        <v>75.316193036314303</v>
      </c>
      <c r="AK315">
        <v>0.59426232687046598</v>
      </c>
      <c r="AL315">
        <v>85.999895761345797</v>
      </c>
      <c r="AM315">
        <v>87.514018850966394</v>
      </c>
      <c r="AN315">
        <v>1.0000000197827199</v>
      </c>
    </row>
    <row r="316" spans="1:40" x14ac:dyDescent="0.25">
      <c r="A316" t="str">
        <f>"20190312154807189"</f>
        <v>20190312154807189</v>
      </c>
      <c r="B316" t="str">
        <f>"1552376887186225"</f>
        <v>1552376887186225</v>
      </c>
      <c r="C316" t="s">
        <v>40</v>
      </c>
      <c r="D316">
        <v>4.8215890000000003</v>
      </c>
      <c r="E316">
        <v>0.55437550000000002</v>
      </c>
      <c r="F316" t="s">
        <v>41</v>
      </c>
      <c r="G316">
        <v>-383.92329999999998</v>
      </c>
      <c r="H316">
        <v>0.8468097</v>
      </c>
      <c r="I316">
        <v>367.26819999999998</v>
      </c>
      <c r="J316">
        <v>-384.51119999999997</v>
      </c>
      <c r="K316">
        <v>1.1100939999999999</v>
      </c>
      <c r="L316">
        <v>367.41699999999997</v>
      </c>
      <c r="M316">
        <v>0.99984589999999995</v>
      </c>
      <c r="N316">
        <v>0</v>
      </c>
      <c r="O316">
        <v>1.0102649999999999E-2</v>
      </c>
      <c r="P316">
        <v>0.99793520000000002</v>
      </c>
      <c r="Q316">
        <v>5.5037099999999999E-2</v>
      </c>
      <c r="R316">
        <v>-3.3111839999999997E-2</v>
      </c>
      <c r="S316">
        <v>3.0393370000000002</v>
      </c>
      <c r="T316">
        <v>-0.88754460000000002</v>
      </c>
      <c r="U316">
        <v>-0.49017329999999998</v>
      </c>
      <c r="V316">
        <v>4.319543E-2</v>
      </c>
      <c r="W316">
        <v>6.9350629999999996E-2</v>
      </c>
      <c r="X316">
        <v>0.99665669999999995</v>
      </c>
      <c r="Y316">
        <v>0.1621667</v>
      </c>
      <c r="Z316">
        <v>-2.5926620000000001E-2</v>
      </c>
      <c r="AA316">
        <v>0.98642269999999999</v>
      </c>
      <c r="AB316">
        <v>33</v>
      </c>
      <c r="AC316">
        <v>0.58789999999998999</v>
      </c>
      <c r="AD316">
        <v>-0.26328430000000003</v>
      </c>
      <c r="AE316">
        <v>-0.14879999999999399</v>
      </c>
      <c r="AF316">
        <v>0.13019297714081701</v>
      </c>
      <c r="AG316">
        <v>-0.26328430000000003</v>
      </c>
      <c r="AH316">
        <v>0.49337324168083901</v>
      </c>
      <c r="AI316">
        <v>117.292765559991</v>
      </c>
      <c r="AJ316">
        <v>75.217571376395199</v>
      </c>
      <c r="AK316">
        <v>0.57418288857291699</v>
      </c>
      <c r="AL316">
        <v>86.023309450534498</v>
      </c>
      <c r="AM316">
        <v>87.518335086569195</v>
      </c>
      <c r="AN316">
        <v>0.99999996635458499</v>
      </c>
    </row>
    <row r="317" spans="1:40" x14ac:dyDescent="0.25">
      <c r="A317" t="str">
        <f>"20190312154807201"</f>
        <v>20190312154807201</v>
      </c>
      <c r="B317" t="str">
        <f>"1552376887195986"</f>
        <v>1552376887195986</v>
      </c>
      <c r="C317" t="s">
        <v>40</v>
      </c>
      <c r="D317">
        <v>4.8124099999999999</v>
      </c>
      <c r="E317">
        <v>0.55438559999999903</v>
      </c>
      <c r="F317" t="s">
        <v>41</v>
      </c>
      <c r="G317">
        <v>-383.6309</v>
      </c>
      <c r="H317">
        <v>0.85265059999999904</v>
      </c>
      <c r="I317">
        <v>367.27480000000003</v>
      </c>
      <c r="J317">
        <v>-384.31599999999997</v>
      </c>
      <c r="K317">
        <v>1.110098</v>
      </c>
      <c r="L317">
        <v>367.41890000000001</v>
      </c>
      <c r="M317">
        <v>0.99984600000000001</v>
      </c>
      <c r="N317">
        <v>0</v>
      </c>
      <c r="O317">
        <v>1.0102420000000001E-2</v>
      </c>
      <c r="P317">
        <v>0.99793750000000003</v>
      </c>
      <c r="Q317">
        <v>5.492002E-2</v>
      </c>
      <c r="R317">
        <v>-3.3239789999999998E-2</v>
      </c>
      <c r="S317">
        <v>3.0389710000000001</v>
      </c>
      <c r="T317">
        <v>-0.88877050000000002</v>
      </c>
      <c r="U317">
        <v>-0.48992920000000001</v>
      </c>
      <c r="V317">
        <v>4.332341E-2</v>
      </c>
      <c r="W317">
        <v>6.9240750000000004E-2</v>
      </c>
      <c r="X317">
        <v>0.99665879999999996</v>
      </c>
      <c r="Y317">
        <v>0.16209029999999999</v>
      </c>
      <c r="Z317">
        <v>-2.5953190000000001E-2</v>
      </c>
      <c r="AA317">
        <v>0.98643460000000005</v>
      </c>
      <c r="AB317">
        <v>32</v>
      </c>
      <c r="AC317">
        <v>0.68509999999997695</v>
      </c>
      <c r="AD317">
        <v>-0.25744739999999999</v>
      </c>
      <c r="AE317">
        <v>-0.14409999999997999</v>
      </c>
      <c r="AF317">
        <v>0.133025652789863</v>
      </c>
      <c r="AG317">
        <v>-0.25744739999999999</v>
      </c>
      <c r="AH317">
        <v>0.602177502322647</v>
      </c>
      <c r="AI317">
        <v>112.65871272941</v>
      </c>
      <c r="AJ317">
        <v>77.542983981469405</v>
      </c>
      <c r="AK317">
        <v>0.66827594028999104</v>
      </c>
      <c r="AL317">
        <v>86.029620341296805</v>
      </c>
      <c r="AM317">
        <v>87.510996847631802</v>
      </c>
      <c r="AN317">
        <v>0.99999998146601499</v>
      </c>
    </row>
    <row r="318" spans="1:40" x14ac:dyDescent="0.25">
      <c r="A318" t="str">
        <f>"20190312154807213"</f>
        <v>20190312154807213</v>
      </c>
      <c r="B318" t="str">
        <f>"1552376887206722"</f>
        <v>1552376887206722</v>
      </c>
      <c r="C318" t="s">
        <v>40</v>
      </c>
      <c r="D318">
        <v>4.8134600000000001</v>
      </c>
      <c r="E318">
        <v>0.55438980000000004</v>
      </c>
      <c r="F318" t="s">
        <v>41</v>
      </c>
      <c r="G318">
        <v>-383.61059999999998</v>
      </c>
      <c r="H318">
        <v>0.90370019999999995</v>
      </c>
      <c r="I318">
        <v>367.3048</v>
      </c>
      <c r="J318">
        <v>-384.14859999999999</v>
      </c>
      <c r="K318">
        <v>1.110101</v>
      </c>
      <c r="L318">
        <v>367.42059999999998</v>
      </c>
      <c r="M318">
        <v>0.99984580000000001</v>
      </c>
      <c r="N318">
        <v>0</v>
      </c>
      <c r="O318">
        <v>1.010256E-2</v>
      </c>
      <c r="P318">
        <v>0.99794830000000001</v>
      </c>
      <c r="Q318">
        <v>5.4536519999999998E-2</v>
      </c>
      <c r="R318">
        <v>-3.354153E-2</v>
      </c>
      <c r="S318">
        <v>3.038818</v>
      </c>
      <c r="T318">
        <v>-0.88916709999999999</v>
      </c>
      <c r="U318">
        <v>-0.4906006</v>
      </c>
      <c r="V318">
        <v>4.3625270000000001E-2</v>
      </c>
      <c r="W318">
        <v>6.8862080000000006E-2</v>
      </c>
      <c r="X318">
        <v>0.99667190000000006</v>
      </c>
      <c r="Y318">
        <v>0.16229569999999999</v>
      </c>
      <c r="Z318">
        <v>-2.5994420000000001E-2</v>
      </c>
      <c r="AA318">
        <v>0.98639969999999999</v>
      </c>
      <c r="AB318">
        <v>32</v>
      </c>
      <c r="AC318">
        <v>0.53800000000001003</v>
      </c>
      <c r="AD318">
        <v>-0.206400799999999</v>
      </c>
      <c r="AE318">
        <v>-0.115799999999978</v>
      </c>
      <c r="AF318">
        <v>0.10627983930950401</v>
      </c>
      <c r="AG318">
        <v>-0.206400799999999</v>
      </c>
      <c r="AH318">
        <v>0.470604381467151</v>
      </c>
      <c r="AI318">
        <v>113.16184944773499</v>
      </c>
      <c r="AJ318">
        <v>77.273983857357194</v>
      </c>
      <c r="AK318">
        <v>0.52475249245751499</v>
      </c>
      <c r="AL318">
        <v>86.051368570848695</v>
      </c>
      <c r="AM318">
        <v>87.493709419023304</v>
      </c>
      <c r="AN318">
        <v>1.0000000132470499</v>
      </c>
    </row>
    <row r="319" spans="1:40" x14ac:dyDescent="0.25">
      <c r="A319" t="str">
        <f>"20190312154807227"</f>
        <v>20190312154807227</v>
      </c>
      <c r="B319" t="str">
        <f>"1552376887216481"</f>
        <v>1552376887216481</v>
      </c>
      <c r="C319" t="s">
        <v>40</v>
      </c>
      <c r="D319">
        <v>4.8242200000000004</v>
      </c>
      <c r="E319">
        <v>0.55439050000000001</v>
      </c>
      <c r="F319" t="s">
        <v>41</v>
      </c>
      <c r="G319">
        <v>-383.33370000000002</v>
      </c>
      <c r="H319">
        <v>0.87128499999999998</v>
      </c>
      <c r="I319">
        <v>367.28879999999998</v>
      </c>
      <c r="J319">
        <v>-383.95490000000001</v>
      </c>
      <c r="K319">
        <v>1.110106</v>
      </c>
      <c r="L319">
        <v>367.42259999999999</v>
      </c>
      <c r="M319">
        <v>0.99984569999999995</v>
      </c>
      <c r="N319">
        <v>0</v>
      </c>
      <c r="O319">
        <v>1.010234E-2</v>
      </c>
      <c r="P319">
        <v>0.99796030000000002</v>
      </c>
      <c r="Q319">
        <v>5.4261280000000002E-2</v>
      </c>
      <c r="R319">
        <v>-3.3639460000000003E-2</v>
      </c>
      <c r="S319">
        <v>3.0383</v>
      </c>
      <c r="T319">
        <v>-0.89036930000000003</v>
      </c>
      <c r="U319">
        <v>-0.49160769999999998</v>
      </c>
      <c r="V319">
        <v>4.3722919999999998E-2</v>
      </c>
      <c r="W319">
        <v>6.8592829999999994E-2</v>
      </c>
      <c r="X319">
        <v>0.99668619999999997</v>
      </c>
      <c r="Y319">
        <v>0.16260720000000001</v>
      </c>
      <c r="Z319">
        <v>-2.6076120000000001E-2</v>
      </c>
      <c r="AA319">
        <v>0.98634619999999995</v>
      </c>
      <c r="AB319">
        <v>32</v>
      </c>
      <c r="AC319">
        <v>0.62119999999998698</v>
      </c>
      <c r="AD319">
        <v>-0.23882099999999901</v>
      </c>
      <c r="AE319">
        <v>-0.133800000000007</v>
      </c>
      <c r="AF319">
        <v>0.12273334758630899</v>
      </c>
      <c r="AG319">
        <v>-0.23882099999999901</v>
      </c>
      <c r="AH319">
        <v>0.54310329889449505</v>
      </c>
      <c r="AI319">
        <v>113.21536970373501</v>
      </c>
      <c r="AJ319">
        <v>77.265896015607495</v>
      </c>
      <c r="AK319">
        <v>0.60585488189897796</v>
      </c>
      <c r="AL319">
        <v>86.0668320719966</v>
      </c>
      <c r="AM319">
        <v>87.488142555358095</v>
      </c>
      <c r="AN319">
        <v>1.0000000256655801</v>
      </c>
    </row>
    <row r="320" spans="1:40" x14ac:dyDescent="0.25">
      <c r="A320" t="str">
        <f>"20190312154807245"</f>
        <v>20190312154807245</v>
      </c>
      <c r="B320" t="str">
        <f>"1552376887236001"</f>
        <v>1552376887236001</v>
      </c>
      <c r="C320" t="s">
        <v>40</v>
      </c>
      <c r="D320">
        <v>4.8243809999999998</v>
      </c>
      <c r="E320">
        <v>0.55440369999999894</v>
      </c>
      <c r="F320" t="s">
        <v>41</v>
      </c>
      <c r="G320">
        <v>-383.05430000000001</v>
      </c>
      <c r="H320">
        <v>0.84597999999999995</v>
      </c>
      <c r="I320">
        <v>367.27629999999999</v>
      </c>
      <c r="J320">
        <v>-383.69189999999998</v>
      </c>
      <c r="K320">
        <v>1.1101110000000001</v>
      </c>
      <c r="L320">
        <v>367.42529999999999</v>
      </c>
      <c r="M320">
        <v>0.99984569999999995</v>
      </c>
      <c r="N320">
        <v>0</v>
      </c>
      <c r="O320">
        <v>1.0102470000000001E-2</v>
      </c>
      <c r="P320">
        <v>0.99798830000000005</v>
      </c>
      <c r="Q320">
        <v>5.3600059999999998E-2</v>
      </c>
      <c r="R320">
        <v>-3.3864900000000003E-2</v>
      </c>
      <c r="S320">
        <v>3.0380250000000002</v>
      </c>
      <c r="T320">
        <v>-0.89097669999999995</v>
      </c>
      <c r="U320">
        <v>-0.49230960000000001</v>
      </c>
      <c r="V320">
        <v>4.3948840000000003E-2</v>
      </c>
      <c r="W320">
        <v>6.7938709999999999E-2</v>
      </c>
      <c r="X320">
        <v>0.99672099999999997</v>
      </c>
      <c r="Y320">
        <v>0.1628241</v>
      </c>
      <c r="Z320">
        <v>-2.6125990000000002E-2</v>
      </c>
      <c r="AA320">
        <v>0.9863092</v>
      </c>
      <c r="AB320">
        <v>32</v>
      </c>
      <c r="AC320">
        <v>0.63759999999996297</v>
      </c>
      <c r="AD320">
        <v>-0.264131</v>
      </c>
      <c r="AE320">
        <v>-0.14899999999999999</v>
      </c>
      <c r="AF320">
        <v>0.13368131456464699</v>
      </c>
      <c r="AG320">
        <v>-0.264131</v>
      </c>
      <c r="AH320">
        <v>0.54704500049870597</v>
      </c>
      <c r="AI320">
        <v>115.128028117913</v>
      </c>
      <c r="AJ320">
        <v>76.267763755037905</v>
      </c>
      <c r="AK320">
        <v>0.62200812823898199</v>
      </c>
      <c r="AL320">
        <v>86.104397767086496</v>
      </c>
      <c r="AM320">
        <v>87.475268368214799</v>
      </c>
      <c r="AN320">
        <v>0.99999996034740402</v>
      </c>
    </row>
    <row r="321" spans="1:40" x14ac:dyDescent="0.25">
      <c r="A321" t="str">
        <f>"20190312154807257"</f>
        <v>20190312154807257</v>
      </c>
      <c r="B321" t="str">
        <f>"1552376887246737"</f>
        <v>1552376887246737</v>
      </c>
      <c r="C321" t="s">
        <v>40</v>
      </c>
      <c r="D321">
        <v>4.9788449999999997</v>
      </c>
      <c r="E321">
        <v>0.55435880000000004</v>
      </c>
      <c r="F321" t="s">
        <v>41</v>
      </c>
      <c r="G321">
        <v>-382.76799999999997</v>
      </c>
      <c r="H321">
        <v>0.83863410000000005</v>
      </c>
      <c r="I321">
        <v>367.27480000000003</v>
      </c>
      <c r="J321">
        <v>-383.50810000000001</v>
      </c>
      <c r="K321">
        <v>1.110109</v>
      </c>
      <c r="L321">
        <v>367.4271</v>
      </c>
      <c r="M321">
        <v>0.9998456</v>
      </c>
      <c r="N321">
        <v>0</v>
      </c>
      <c r="O321">
        <v>1.010262E-2</v>
      </c>
      <c r="P321">
        <v>0.99800440000000001</v>
      </c>
      <c r="Q321">
        <v>5.3170870000000002E-2</v>
      </c>
      <c r="R321">
        <v>-3.4065280000000003E-2</v>
      </c>
      <c r="S321">
        <v>3.0372309999999998</v>
      </c>
      <c r="T321">
        <v>-0.89260599999999901</v>
      </c>
      <c r="U321">
        <v>-0.49404910000000002</v>
      </c>
      <c r="V321">
        <v>4.4149470000000003E-2</v>
      </c>
      <c r="W321">
        <v>6.7513409999999996E-2</v>
      </c>
      <c r="X321">
        <v>0.99674110000000005</v>
      </c>
      <c r="Y321">
        <v>0.1633647</v>
      </c>
      <c r="Z321">
        <v>-2.6254570000000001E-2</v>
      </c>
      <c r="AA321">
        <v>0.98621639999999999</v>
      </c>
      <c r="AB321">
        <v>32</v>
      </c>
      <c r="AC321">
        <v>0.74009999999998399</v>
      </c>
      <c r="AD321">
        <v>-0.27147490000000002</v>
      </c>
      <c r="AE321">
        <v>-0.15229999999996799</v>
      </c>
      <c r="AF321">
        <v>0.14150426520103099</v>
      </c>
      <c r="AG321">
        <v>-0.27147490000000002</v>
      </c>
      <c r="AH321">
        <v>0.65409181906754899</v>
      </c>
      <c r="AI321">
        <v>112.080268910573</v>
      </c>
      <c r="AJ321">
        <v>77.792919832937201</v>
      </c>
      <c r="AK321">
        <v>0.72218985465816998</v>
      </c>
      <c r="AL321">
        <v>86.128822005403293</v>
      </c>
      <c r="AM321">
        <v>87.463808858946507</v>
      </c>
      <c r="AN321">
        <v>1.00000002833015</v>
      </c>
    </row>
    <row r="322" spans="1:40" x14ac:dyDescent="0.25">
      <c r="A322" t="str">
        <f>"20190312154807278"</f>
        <v>20190312154807278</v>
      </c>
      <c r="B322" t="str">
        <f>"1552376887266258"</f>
        <v>1552376887266258</v>
      </c>
      <c r="C322" t="s">
        <v>40</v>
      </c>
      <c r="D322">
        <v>4.823474</v>
      </c>
      <c r="E322">
        <v>0.55434369999999999</v>
      </c>
      <c r="F322" t="s">
        <v>41</v>
      </c>
      <c r="G322">
        <v>-382.74900000000002</v>
      </c>
      <c r="H322">
        <v>0.88670780000000005</v>
      </c>
      <c r="I322">
        <v>367.30329999999998</v>
      </c>
      <c r="J322">
        <v>-383.21499999999997</v>
      </c>
      <c r="K322">
        <v>1.1101099999999999</v>
      </c>
      <c r="L322">
        <v>367.43009999999998</v>
      </c>
      <c r="M322">
        <v>0.9998456</v>
      </c>
      <c r="N322">
        <v>0</v>
      </c>
      <c r="O322">
        <v>1.010258E-2</v>
      </c>
      <c r="P322">
        <v>0.99800270000000002</v>
      </c>
      <c r="Q322">
        <v>5.2915839999999999E-2</v>
      </c>
      <c r="R322">
        <v>-3.4510270000000003E-2</v>
      </c>
      <c r="S322">
        <v>3.0367739999999999</v>
      </c>
      <c r="T322">
        <v>-0.89385550000000003</v>
      </c>
      <c r="U322">
        <v>-0.49465940000000003</v>
      </c>
      <c r="V322">
        <v>4.4594420000000003E-2</v>
      </c>
      <c r="W322">
        <v>6.726364E-2</v>
      </c>
      <c r="X322">
        <v>0.99673809999999996</v>
      </c>
      <c r="Y322">
        <v>0.16355210000000001</v>
      </c>
      <c r="Z322">
        <v>-2.6320050000000001E-2</v>
      </c>
      <c r="AA322">
        <v>0.98618349999999999</v>
      </c>
      <c r="AB322">
        <v>32</v>
      </c>
      <c r="AC322">
        <v>0.46599999999995101</v>
      </c>
      <c r="AD322">
        <v>-0.223402199999999</v>
      </c>
      <c r="AE322">
        <v>-0.12680000000000199</v>
      </c>
      <c r="AF322">
        <v>0.108322472340889</v>
      </c>
      <c r="AG322">
        <v>-0.223402199999999</v>
      </c>
      <c r="AH322">
        <v>0.38278497294866098</v>
      </c>
      <c r="AI322">
        <v>119.31729254256</v>
      </c>
      <c r="AJ322">
        <v>74.199273392028303</v>
      </c>
      <c r="AK322">
        <v>0.45625282080683099</v>
      </c>
      <c r="AL322">
        <v>86.143165073669707</v>
      </c>
      <c r="AM322">
        <v>87.438274636569702</v>
      </c>
      <c r="AN322">
        <v>0.99999994977639595</v>
      </c>
    </row>
    <row r="323" spans="1:40" x14ac:dyDescent="0.25">
      <c r="A323" t="str">
        <f>"20190312154807290"</f>
        <v>20190312154807290</v>
      </c>
      <c r="B323" t="str">
        <f>"1552376887286753"</f>
        <v>1552376887286753</v>
      </c>
      <c r="C323" t="s">
        <v>40</v>
      </c>
      <c r="D323">
        <v>4.8325459999999998</v>
      </c>
      <c r="E323">
        <v>0.55434669999999997</v>
      </c>
      <c r="F323" t="s">
        <v>41</v>
      </c>
      <c r="G323">
        <v>-382.45979999999997</v>
      </c>
      <c r="H323">
        <v>0.88748369999999999</v>
      </c>
      <c r="I323">
        <v>367.30650000000003</v>
      </c>
      <c r="J323">
        <v>-383.03980000000001</v>
      </c>
      <c r="K323">
        <v>1.110115</v>
      </c>
      <c r="L323">
        <v>367.43189999999998</v>
      </c>
      <c r="M323">
        <v>0.9998454</v>
      </c>
      <c r="N323">
        <v>0</v>
      </c>
      <c r="O323">
        <v>1.010256E-2</v>
      </c>
      <c r="P323">
        <v>0.99800460000000002</v>
      </c>
      <c r="Q323">
        <v>5.2658629999999998E-2</v>
      </c>
      <c r="R323">
        <v>-3.4844390000000003E-2</v>
      </c>
      <c r="S323">
        <v>3.0363159999999998</v>
      </c>
      <c r="T323">
        <v>-0.89526799999999995</v>
      </c>
      <c r="U323">
        <v>-0.49615480000000001</v>
      </c>
      <c r="V323">
        <v>4.4928500000000003E-2</v>
      </c>
      <c r="W323">
        <v>6.7009089999999993E-2</v>
      </c>
      <c r="X323">
        <v>0.99674030000000002</v>
      </c>
      <c r="Y323">
        <v>0.16400629999999999</v>
      </c>
      <c r="Z323">
        <v>-2.6427920000000001E-2</v>
      </c>
      <c r="AA323">
        <v>0.98610520000000002</v>
      </c>
      <c r="AB323">
        <v>32</v>
      </c>
      <c r="AC323">
        <v>0.58000000000004004</v>
      </c>
      <c r="AD323">
        <v>-0.2226313</v>
      </c>
      <c r="AE323">
        <v>-0.12539999999995599</v>
      </c>
      <c r="AF323">
        <v>0.115058237737272</v>
      </c>
      <c r="AG323">
        <v>-0.2226313</v>
      </c>
      <c r="AH323">
        <v>0.50729692436678397</v>
      </c>
      <c r="AI323">
        <v>113.170339272495</v>
      </c>
      <c r="AJ323">
        <v>77.221137551124798</v>
      </c>
      <c r="AK323">
        <v>0.565820875616034</v>
      </c>
      <c r="AL323">
        <v>86.157782915267504</v>
      </c>
      <c r="AM323">
        <v>87.419114961216593</v>
      </c>
      <c r="AN323">
        <v>1.0000000069494801</v>
      </c>
    </row>
    <row r="324" spans="1:40" x14ac:dyDescent="0.25">
      <c r="A324" t="str">
        <f>"20190312154807311"</f>
        <v>20190312154807311</v>
      </c>
      <c r="B324" t="str">
        <f>"1552376887306274"</f>
        <v>1552376887306274</v>
      </c>
      <c r="C324" t="s">
        <v>40</v>
      </c>
      <c r="D324">
        <v>4.8158450000000004</v>
      </c>
      <c r="E324">
        <v>0.55435069999999997</v>
      </c>
      <c r="F324" t="s">
        <v>41</v>
      </c>
      <c r="G324">
        <v>-382.18340000000001</v>
      </c>
      <c r="H324">
        <v>0.85722480000000001</v>
      </c>
      <c r="I324">
        <v>367.29149999999998</v>
      </c>
      <c r="J324">
        <v>-382.74169999999998</v>
      </c>
      <c r="K324">
        <v>1.1101160000000001</v>
      </c>
      <c r="L324">
        <v>367.43490000000003</v>
      </c>
      <c r="M324">
        <v>0.9998454</v>
      </c>
      <c r="N324">
        <v>0</v>
      </c>
      <c r="O324">
        <v>1.0102649999999999E-2</v>
      </c>
      <c r="P324">
        <v>0.99799789999999999</v>
      </c>
      <c r="Q324">
        <v>5.2552210000000002E-2</v>
      </c>
      <c r="R324">
        <v>-3.5193580000000002E-2</v>
      </c>
      <c r="S324">
        <v>3.0359189999999998</v>
      </c>
      <c r="T324">
        <v>-0.89652999999999905</v>
      </c>
      <c r="U324">
        <v>-0.49752809999999997</v>
      </c>
      <c r="V324">
        <v>4.5277860000000003E-2</v>
      </c>
      <c r="W324">
        <v>6.6906809999999997E-2</v>
      </c>
      <c r="X324">
        <v>0.99673129999999999</v>
      </c>
      <c r="Y324">
        <v>0.1644227</v>
      </c>
      <c r="Z324">
        <v>-2.652591E-2</v>
      </c>
      <c r="AA324">
        <v>0.9860333</v>
      </c>
      <c r="AB324">
        <v>32</v>
      </c>
      <c r="AC324">
        <v>0.55829999999997404</v>
      </c>
      <c r="AD324">
        <v>-0.25289119999999898</v>
      </c>
      <c r="AE324">
        <v>-0.14340000000004199</v>
      </c>
      <c r="AF324">
        <v>0.12497781340103201</v>
      </c>
      <c r="AG324">
        <v>-0.25289119999999898</v>
      </c>
      <c r="AH324">
        <v>0.46694495178839401</v>
      </c>
      <c r="AI324">
        <v>117.617293360852</v>
      </c>
      <c r="AJ324">
        <v>75.015995669474094</v>
      </c>
      <c r="AK324">
        <v>0.54553735058253205</v>
      </c>
      <c r="AL324">
        <v>86.163656071064494</v>
      </c>
      <c r="AM324">
        <v>87.399050229723102</v>
      </c>
      <c r="AN324">
        <v>0.99999994511512103</v>
      </c>
    </row>
    <row r="325" spans="1:40" x14ac:dyDescent="0.25">
      <c r="A325" t="str">
        <f>"20190312154807324"</f>
        <v>20190312154807324</v>
      </c>
      <c r="B325" t="str">
        <f>"1552376887317010"</f>
        <v>1552376887317010</v>
      </c>
      <c r="C325" t="s">
        <v>40</v>
      </c>
      <c r="D325">
        <v>4.8207750000000003</v>
      </c>
      <c r="E325">
        <v>0.55435659999999998</v>
      </c>
      <c r="F325" t="s">
        <v>41</v>
      </c>
      <c r="G325">
        <v>-381.89429999999999</v>
      </c>
      <c r="H325">
        <v>0.85980829999999997</v>
      </c>
      <c r="I325">
        <v>367.2955</v>
      </c>
      <c r="J325">
        <v>-382.54579999999999</v>
      </c>
      <c r="K325">
        <v>1.1101209999999999</v>
      </c>
      <c r="L325">
        <v>367.43689999999998</v>
      </c>
      <c r="M325">
        <v>0.9998454</v>
      </c>
      <c r="N325">
        <v>0</v>
      </c>
      <c r="O325">
        <v>1.010263E-2</v>
      </c>
      <c r="P325">
        <v>0.99800100000000003</v>
      </c>
      <c r="Q325">
        <v>5.2364889999999997E-2</v>
      </c>
      <c r="R325">
        <v>-3.5391069999999997E-2</v>
      </c>
      <c r="S325">
        <v>3.0356450000000001</v>
      </c>
      <c r="T325">
        <v>-0.89666319999999999</v>
      </c>
      <c r="U325">
        <v>-0.49810789999999999</v>
      </c>
      <c r="V325">
        <v>4.5475069999999999E-2</v>
      </c>
      <c r="W325">
        <v>6.6721740000000002E-2</v>
      </c>
      <c r="X325">
        <v>0.99673480000000003</v>
      </c>
      <c r="Y325">
        <v>0.16460949999999999</v>
      </c>
      <c r="Z325">
        <v>-2.6558419999999999E-2</v>
      </c>
      <c r="AA325">
        <v>0.98600120000000002</v>
      </c>
      <c r="AB325">
        <v>32</v>
      </c>
      <c r="AC325">
        <v>0.65149999999999797</v>
      </c>
      <c r="AD325">
        <v>-0.250312699999999</v>
      </c>
      <c r="AE325">
        <v>-0.14139999999997599</v>
      </c>
      <c r="AF325">
        <v>0.1296918336307</v>
      </c>
      <c r="AG325">
        <v>-0.250312699999999</v>
      </c>
      <c r="AH325">
        <v>0.56972086215981199</v>
      </c>
      <c r="AI325">
        <v>113.190315802464</v>
      </c>
      <c r="AJ325">
        <v>77.175670773541398</v>
      </c>
      <c r="AK325">
        <v>0.63565578757052299</v>
      </c>
      <c r="AL325">
        <v>86.1742838250603</v>
      </c>
      <c r="AM325">
        <v>87.387746480675801</v>
      </c>
      <c r="AN325">
        <v>1.0000000170555801</v>
      </c>
    </row>
    <row r="326" spans="1:40" x14ac:dyDescent="0.25">
      <c r="A326" t="str">
        <f>"20190312154807347"</f>
        <v>20190312154807347</v>
      </c>
      <c r="B326" t="str">
        <f>"1552376887336529"</f>
        <v>1552376887336529</v>
      </c>
      <c r="C326" t="s">
        <v>40</v>
      </c>
      <c r="D326">
        <v>4.8115860000000001</v>
      </c>
      <c r="E326">
        <v>0.55431399999999997</v>
      </c>
      <c r="F326" t="s">
        <v>41</v>
      </c>
      <c r="G326">
        <v>-381.87369999999999</v>
      </c>
      <c r="H326">
        <v>0.91152580000000005</v>
      </c>
      <c r="I326">
        <v>367.3261</v>
      </c>
      <c r="J326">
        <v>-382.2364</v>
      </c>
      <c r="K326">
        <v>1.110125</v>
      </c>
      <c r="L326">
        <v>367.44</v>
      </c>
      <c r="M326">
        <v>0.99984530000000005</v>
      </c>
      <c r="N326">
        <v>0</v>
      </c>
      <c r="O326">
        <v>1.010249E-2</v>
      </c>
      <c r="P326">
        <v>0.99798569999999998</v>
      </c>
      <c r="Q326">
        <v>5.2440569999999999E-2</v>
      </c>
      <c r="R326">
        <v>-3.5699750000000002E-2</v>
      </c>
      <c r="S326">
        <v>3.0353699999999999</v>
      </c>
      <c r="T326">
        <v>-0.89706949999999996</v>
      </c>
      <c r="U326">
        <v>-0.49896239999999997</v>
      </c>
      <c r="V326">
        <v>4.5783770000000001E-2</v>
      </c>
      <c r="W326">
        <v>6.6799739999999996E-2</v>
      </c>
      <c r="X326">
        <v>0.99671540000000003</v>
      </c>
      <c r="Y326">
        <v>0.16487550000000001</v>
      </c>
      <c r="Z326">
        <v>-2.6609879999999999E-2</v>
      </c>
      <c r="AA326">
        <v>0.98595540000000004</v>
      </c>
      <c r="AB326">
        <v>32</v>
      </c>
      <c r="AC326">
        <v>0.36270000000001701</v>
      </c>
      <c r="AD326">
        <v>-0.1985992</v>
      </c>
      <c r="AE326">
        <v>-0.1139</v>
      </c>
      <c r="AF326">
        <v>9.2354592063158797E-2</v>
      </c>
      <c r="AG326">
        <v>-0.1985992</v>
      </c>
      <c r="AH326">
        <v>0.28401988632221797</v>
      </c>
      <c r="AI326">
        <v>123.622783053719</v>
      </c>
      <c r="AJ326">
        <v>71.987057245795697</v>
      </c>
      <c r="AK326">
        <v>0.35866183061803197</v>
      </c>
      <c r="AL326">
        <v>86.169804595402496</v>
      </c>
      <c r="AM326">
        <v>87.369987325570506</v>
      </c>
      <c r="AN326">
        <v>0.99999997372831995</v>
      </c>
    </row>
    <row r="327" spans="1:40" x14ac:dyDescent="0.25">
      <c r="A327" t="str">
        <f>"20190312154807367"</f>
        <v>20190312154807367</v>
      </c>
      <c r="B327" t="str">
        <f>"1552376887356049"</f>
        <v>1552376887356049</v>
      </c>
      <c r="C327" t="s">
        <v>40</v>
      </c>
      <c r="D327">
        <v>4.824465</v>
      </c>
      <c r="E327">
        <v>0.55430080000000004</v>
      </c>
      <c r="F327" t="s">
        <v>41</v>
      </c>
      <c r="G327">
        <v>-381.32650000000001</v>
      </c>
      <c r="H327">
        <v>0.84101159999999997</v>
      </c>
      <c r="I327">
        <v>367.2903</v>
      </c>
      <c r="J327">
        <v>-381.93079999999998</v>
      </c>
      <c r="K327">
        <v>1.1101270000000001</v>
      </c>
      <c r="L327">
        <v>367.44310000000002</v>
      </c>
      <c r="M327">
        <v>0.9998454</v>
      </c>
      <c r="N327">
        <v>0</v>
      </c>
      <c r="O327">
        <v>1.01023E-2</v>
      </c>
      <c r="P327">
        <v>0.99796719999999906</v>
      </c>
      <c r="Q327">
        <v>5.2492839999999999E-2</v>
      </c>
      <c r="R327">
        <v>-3.6141840000000001E-2</v>
      </c>
      <c r="S327">
        <v>3.0353699999999999</v>
      </c>
      <c r="T327">
        <v>-0.89768780000000004</v>
      </c>
      <c r="U327">
        <v>-0.49917600000000001</v>
      </c>
      <c r="V327">
        <v>4.6225490000000001E-2</v>
      </c>
      <c r="W327">
        <v>6.6853529999999994E-2</v>
      </c>
      <c r="X327">
        <v>0.99669140000000001</v>
      </c>
      <c r="Y327">
        <v>0.16493079999999999</v>
      </c>
      <c r="Z327">
        <v>-2.6635240000000001E-2</v>
      </c>
      <c r="AA327">
        <v>0.98594550000000003</v>
      </c>
      <c r="AB327">
        <v>32</v>
      </c>
      <c r="AC327">
        <v>0.60429999999996598</v>
      </c>
      <c r="AD327">
        <v>-0.2691154</v>
      </c>
      <c r="AE327">
        <v>-0.15280000000001301</v>
      </c>
      <c r="AF327">
        <v>0.13393209374565501</v>
      </c>
      <c r="AG327">
        <v>-0.2691154</v>
      </c>
      <c r="AH327">
        <v>0.50802682383041298</v>
      </c>
      <c r="AI327">
        <v>117.122679677612</v>
      </c>
      <c r="AJ327">
        <v>75.231038812048695</v>
      </c>
      <c r="AK327">
        <v>0.59029836352769305</v>
      </c>
      <c r="AL327">
        <v>86.166715730918895</v>
      </c>
      <c r="AM327">
        <v>87.344585363196401</v>
      </c>
      <c r="AN327">
        <v>0.99999996861658003</v>
      </c>
    </row>
    <row r="328" spans="1:40" x14ac:dyDescent="0.25">
      <c r="A328" t="str">
        <f>"20190312154807390"</f>
        <v>20190312154807390</v>
      </c>
      <c r="B328" t="str">
        <f>"1552376887386305"</f>
        <v>1552376887386305</v>
      </c>
      <c r="C328" t="s">
        <v>40</v>
      </c>
      <c r="D328">
        <v>4.826422</v>
      </c>
      <c r="E328">
        <v>0.55430559999999995</v>
      </c>
      <c r="F328" t="s">
        <v>41</v>
      </c>
      <c r="G328">
        <v>-381.03739999999999</v>
      </c>
      <c r="H328">
        <v>0.84600249999999999</v>
      </c>
      <c r="I328">
        <v>367.29579999999999</v>
      </c>
      <c r="J328">
        <v>-381.61070000000001</v>
      </c>
      <c r="K328">
        <v>1.1101319999999999</v>
      </c>
      <c r="L328">
        <v>367.44630000000001</v>
      </c>
      <c r="M328">
        <v>0.99984519999999999</v>
      </c>
      <c r="N328">
        <v>0</v>
      </c>
      <c r="O328">
        <v>1.0102470000000001E-2</v>
      </c>
      <c r="P328">
        <v>0.99795599999999995</v>
      </c>
      <c r="Q328">
        <v>5.245756E-2</v>
      </c>
      <c r="R328">
        <v>-3.64996E-2</v>
      </c>
      <c r="S328">
        <v>3.0351870000000001</v>
      </c>
      <c r="T328">
        <v>-0.89730169999999998</v>
      </c>
      <c r="U328">
        <v>-0.50039670000000003</v>
      </c>
      <c r="V328">
        <v>4.6583039999999999E-2</v>
      </c>
      <c r="W328">
        <v>6.6818799999999998E-2</v>
      </c>
      <c r="X328">
        <v>0.99667709999999998</v>
      </c>
      <c r="Y328">
        <v>0.165316299999999</v>
      </c>
      <c r="Z328">
        <v>-2.6680450000000001E-2</v>
      </c>
      <c r="AA328">
        <v>0.98587970000000003</v>
      </c>
      <c r="AB328">
        <v>32</v>
      </c>
      <c r="AC328">
        <v>0.57330000000001702</v>
      </c>
      <c r="AD328">
        <v>-0.26412949999999902</v>
      </c>
      <c r="AE328">
        <v>-0.15050000000002201</v>
      </c>
      <c r="AF328">
        <v>0.13039193770803001</v>
      </c>
      <c r="AG328">
        <v>-0.26412949999999902</v>
      </c>
      <c r="AH328">
        <v>0.47702447885621402</v>
      </c>
      <c r="AI328">
        <v>118.107035890419</v>
      </c>
      <c r="AJ328">
        <v>74.711979187668504</v>
      </c>
      <c r="AK328">
        <v>0.56064142160345898</v>
      </c>
      <c r="AL328">
        <v>86.168710142045597</v>
      </c>
      <c r="AM328">
        <v>87.324037372911903</v>
      </c>
      <c r="AN328">
        <v>0.99999998665674505</v>
      </c>
    </row>
    <row r="329" spans="1:40" x14ac:dyDescent="0.25">
      <c r="A329" t="str">
        <f>"20190312154807402"</f>
        <v>20190312154807402</v>
      </c>
      <c r="B329" t="str">
        <f>"1552376887396065"</f>
        <v>1552376887396065</v>
      </c>
      <c r="C329" t="s">
        <v>40</v>
      </c>
      <c r="D329">
        <v>4.8430689999999998</v>
      </c>
      <c r="E329">
        <v>0.55430570000000001</v>
      </c>
      <c r="F329" t="s">
        <v>41</v>
      </c>
      <c r="G329">
        <v>-380.74709999999999</v>
      </c>
      <c r="H329">
        <v>0.85476079999999999</v>
      </c>
      <c r="I329">
        <v>367.30360000000002</v>
      </c>
      <c r="J329">
        <v>-381.423</v>
      </c>
      <c r="K329">
        <v>1.110133</v>
      </c>
      <c r="L329">
        <v>367.44819999999999</v>
      </c>
      <c r="M329">
        <v>0.9998454</v>
      </c>
      <c r="N329">
        <v>0</v>
      </c>
      <c r="O329">
        <v>1.0102470000000001E-2</v>
      </c>
      <c r="P329">
        <v>0.99794369999999999</v>
      </c>
      <c r="Q329">
        <v>5.253563E-2</v>
      </c>
      <c r="R329">
        <v>-3.6723239999999997E-2</v>
      </c>
      <c r="S329">
        <v>3.0350039999999998</v>
      </c>
      <c r="T329">
        <v>-0.89746519999999996</v>
      </c>
      <c r="U329">
        <v>-0.50064090000000006</v>
      </c>
      <c r="V329">
        <v>4.6806529999999999E-2</v>
      </c>
      <c r="W329">
        <v>6.6897300000000007E-2</v>
      </c>
      <c r="X329">
        <v>0.99666140000000003</v>
      </c>
      <c r="Y329">
        <v>0.1653964</v>
      </c>
      <c r="Z329">
        <v>-2.6697990000000001E-2</v>
      </c>
      <c r="AA329">
        <v>0.98586569999999996</v>
      </c>
      <c r="AB329">
        <v>32</v>
      </c>
      <c r="AC329">
        <v>0.67590000000001205</v>
      </c>
      <c r="AD329">
        <v>-0.25537219999999999</v>
      </c>
      <c r="AE329">
        <v>-0.144599999999968</v>
      </c>
      <c r="AF329">
        <v>0.13323449476732399</v>
      </c>
      <c r="AG329">
        <v>-0.25537219999999999</v>
      </c>
      <c r="AH329">
        <v>0.59340249616054597</v>
      </c>
      <c r="AI329">
        <v>112.777465448291</v>
      </c>
      <c r="AJ329">
        <v>77.345449768150402</v>
      </c>
      <c r="AK329">
        <v>0.65961573175471699</v>
      </c>
      <c r="AL329">
        <v>86.164202477157005</v>
      </c>
      <c r="AM329">
        <v>87.3111754929228</v>
      </c>
      <c r="AN329">
        <v>1.0000000231239401</v>
      </c>
    </row>
    <row r="330" spans="1:40" x14ac:dyDescent="0.25">
      <c r="A330" t="str">
        <f>"20190312154807415"</f>
        <v>20190312154807415</v>
      </c>
      <c r="B330" t="str">
        <f>"1552376887406802"</f>
        <v>1552376887406802</v>
      </c>
      <c r="C330" t="s">
        <v>40</v>
      </c>
      <c r="D330">
        <v>4.841361</v>
      </c>
      <c r="E330">
        <v>0.55430159999999995</v>
      </c>
      <c r="F330" t="s">
        <v>41</v>
      </c>
      <c r="G330">
        <v>-380.72739999999999</v>
      </c>
      <c r="H330">
        <v>0.90452900000000003</v>
      </c>
      <c r="I330">
        <v>367.3331</v>
      </c>
      <c r="J330">
        <v>-381.24329999999998</v>
      </c>
      <c r="K330">
        <v>1.110134</v>
      </c>
      <c r="L330">
        <v>367.45</v>
      </c>
      <c r="M330">
        <v>0.99984530000000005</v>
      </c>
      <c r="N330">
        <v>0</v>
      </c>
      <c r="O330">
        <v>1.010259E-2</v>
      </c>
      <c r="P330">
        <v>0.99793069999999895</v>
      </c>
      <c r="Q330">
        <v>5.2620550000000002E-2</v>
      </c>
      <c r="R330">
        <v>-3.6951749999999998E-2</v>
      </c>
      <c r="S330">
        <v>3.0349729999999999</v>
      </c>
      <c r="T330">
        <v>-0.89699530000000005</v>
      </c>
      <c r="U330">
        <v>-0.50128170000000005</v>
      </c>
      <c r="V330">
        <v>4.7035090000000002E-2</v>
      </c>
      <c r="W330">
        <v>6.6981959999999993E-2</v>
      </c>
      <c r="X330">
        <v>0.99664489999999994</v>
      </c>
      <c r="Y330">
        <v>0.16559989999999999</v>
      </c>
      <c r="Z330">
        <v>-2.6713710000000002E-2</v>
      </c>
      <c r="AA330">
        <v>0.98583109999999996</v>
      </c>
      <c r="AB330">
        <v>32</v>
      </c>
      <c r="AC330">
        <v>0.51589999999998704</v>
      </c>
      <c r="AD330">
        <v>-0.20560499999999901</v>
      </c>
      <c r="AE330">
        <v>-0.116899999999986</v>
      </c>
      <c r="AF330">
        <v>0.10608045272808</v>
      </c>
      <c r="AG330">
        <v>-0.20560499999999901</v>
      </c>
      <c r="AH330">
        <v>0.44714097188990698</v>
      </c>
      <c r="AI330">
        <v>114.103887621883</v>
      </c>
      <c r="AJ330">
        <v>76.653795488266198</v>
      </c>
      <c r="AK330">
        <v>0.50344962729020304</v>
      </c>
      <c r="AL330">
        <v>86.1593407066363</v>
      </c>
      <c r="AM330">
        <v>87.298020493642497</v>
      </c>
      <c r="AN330">
        <v>0.99999996967637905</v>
      </c>
    </row>
    <row r="331" spans="1:40" x14ac:dyDescent="0.25">
      <c r="A331" t="str">
        <f>"20190312154807435"</f>
        <v>20190312154807435</v>
      </c>
      <c r="B331" t="str">
        <f>"1552376887426321"</f>
        <v>1552376887426321</v>
      </c>
      <c r="C331" t="s">
        <v>40</v>
      </c>
      <c r="D331">
        <v>4.8510960000000001</v>
      </c>
      <c r="E331">
        <v>0.55430159999999995</v>
      </c>
      <c r="F331" t="s">
        <v>41</v>
      </c>
      <c r="G331">
        <v>-380.45209999999997</v>
      </c>
      <c r="H331">
        <v>0.87630409999999903</v>
      </c>
      <c r="I331">
        <v>367.31920000000002</v>
      </c>
      <c r="J331">
        <v>-380.96420000000001</v>
      </c>
      <c r="K331">
        <v>1.110128</v>
      </c>
      <c r="L331">
        <v>367.4529</v>
      </c>
      <c r="M331">
        <v>0.99984530000000005</v>
      </c>
      <c r="N331">
        <v>0</v>
      </c>
      <c r="O331">
        <v>1.010279E-2</v>
      </c>
      <c r="P331">
        <v>0.99793889999999996</v>
      </c>
      <c r="Q331">
        <v>5.223444E-2</v>
      </c>
      <c r="R331">
        <v>-3.7277989999999997E-2</v>
      </c>
      <c r="S331">
        <v>3.0349729999999999</v>
      </c>
      <c r="T331">
        <v>-0.89691390000000004</v>
      </c>
      <c r="U331">
        <v>-0.50149540000000004</v>
      </c>
      <c r="V331">
        <v>4.7361529999999999E-2</v>
      </c>
      <c r="W331">
        <v>6.6593269999999996E-2</v>
      </c>
      <c r="X331">
        <v>0.99665550000000003</v>
      </c>
      <c r="Y331">
        <v>0.16566629999999999</v>
      </c>
      <c r="Z331">
        <v>-2.6720830000000001E-2</v>
      </c>
      <c r="AA331">
        <v>0.98581980000000002</v>
      </c>
      <c r="AB331">
        <v>32</v>
      </c>
      <c r="AC331">
        <v>0.51210000000003197</v>
      </c>
      <c r="AD331">
        <v>-0.2338239</v>
      </c>
      <c r="AE331">
        <v>-0.133699999999976</v>
      </c>
      <c r="AF331">
        <v>0.116189699954312</v>
      </c>
      <c r="AG331">
        <v>-0.2338239</v>
      </c>
      <c r="AH331">
        <v>0.427319663431529</v>
      </c>
      <c r="AI331">
        <v>117.834806188907</v>
      </c>
      <c r="AJ331">
        <v>74.788823092089899</v>
      </c>
      <c r="AK331">
        <v>0.500775156474358</v>
      </c>
      <c r="AL331">
        <v>86.181660886833797</v>
      </c>
      <c r="AM331">
        <v>87.279324782242796</v>
      </c>
      <c r="AN331">
        <v>0.999999981906741</v>
      </c>
    </row>
    <row r="332" spans="1:40" x14ac:dyDescent="0.25">
      <c r="A332" t="str">
        <f>"20190312154807446"</f>
        <v>20190312154807446</v>
      </c>
      <c r="B332" t="str">
        <f>"1552376887436082"</f>
        <v>1552376887436082</v>
      </c>
      <c r="C332" t="s">
        <v>40</v>
      </c>
      <c r="D332">
        <v>4.859667</v>
      </c>
      <c r="E332">
        <v>0.55429719999999905</v>
      </c>
      <c r="F332" t="s">
        <v>41</v>
      </c>
      <c r="G332">
        <v>-380.16680000000002</v>
      </c>
      <c r="H332">
        <v>0.87417579999999995</v>
      </c>
      <c r="I332">
        <v>367.32060000000001</v>
      </c>
      <c r="J332">
        <v>-380.78930000000003</v>
      </c>
      <c r="K332">
        <v>1.1101240000000001</v>
      </c>
      <c r="L332">
        <v>367.45460000000003</v>
      </c>
      <c r="M332">
        <v>0.9998454</v>
      </c>
      <c r="N332">
        <v>0</v>
      </c>
      <c r="O332">
        <v>1.010264E-2</v>
      </c>
      <c r="P332">
        <v>0.99794150000000004</v>
      </c>
      <c r="Q332">
        <v>5.2176239999999999E-2</v>
      </c>
      <c r="R332">
        <v>-3.7293439999999997E-2</v>
      </c>
      <c r="S332">
        <v>3.034424</v>
      </c>
      <c r="T332">
        <v>-0.89798159999999905</v>
      </c>
      <c r="U332">
        <v>-0.50250240000000002</v>
      </c>
      <c r="V332">
        <v>4.7376759999999997E-2</v>
      </c>
      <c r="W332">
        <v>6.653046E-2</v>
      </c>
      <c r="X332">
        <v>0.99665899999999996</v>
      </c>
      <c r="Y332">
        <v>0.16598099999999999</v>
      </c>
      <c r="Z332">
        <v>-2.6800529999999999E-2</v>
      </c>
      <c r="AA332">
        <v>0.98576470000000005</v>
      </c>
      <c r="AB332">
        <v>32</v>
      </c>
      <c r="AC332">
        <v>0.62250000000000205</v>
      </c>
      <c r="AD332">
        <v>-0.235948199999999</v>
      </c>
      <c r="AE332">
        <v>-0.134000000000014</v>
      </c>
      <c r="AF332">
        <v>0.12334671800963599</v>
      </c>
      <c r="AG332">
        <v>-0.235948199999999</v>
      </c>
      <c r="AH332">
        <v>0.54612872151735803</v>
      </c>
      <c r="AI332">
        <v>112.85166516343</v>
      </c>
      <c r="AJ332">
        <v>77.272916259411701</v>
      </c>
      <c r="AK332">
        <v>0.60757102168649602</v>
      </c>
      <c r="AL332">
        <v>86.1852677442143</v>
      </c>
      <c r="AM332">
        <v>87.2784607555744</v>
      </c>
      <c r="AN332">
        <v>1.0000000108884499</v>
      </c>
    </row>
    <row r="333" spans="1:40" x14ac:dyDescent="0.25">
      <c r="A333" t="str">
        <f>"20190312154807459"</f>
        <v>20190312154807459</v>
      </c>
      <c r="B333" t="str">
        <f>"1552376887456579"</f>
        <v>1552376887456579</v>
      </c>
      <c r="C333" t="s">
        <v>40</v>
      </c>
      <c r="D333">
        <v>4.7487240000000002</v>
      </c>
      <c r="E333">
        <v>0.55429319999999904</v>
      </c>
      <c r="F333" t="s">
        <v>41</v>
      </c>
      <c r="G333">
        <v>-379.89260000000002</v>
      </c>
      <c r="H333">
        <v>0.84473259999999994</v>
      </c>
      <c r="I333">
        <v>367.30610000000001</v>
      </c>
      <c r="J333">
        <v>-380.60969999999998</v>
      </c>
      <c r="K333">
        <v>1.1101209999999999</v>
      </c>
      <c r="L333">
        <v>367.45650000000001</v>
      </c>
      <c r="M333">
        <v>0.9998456</v>
      </c>
      <c r="N333">
        <v>0</v>
      </c>
      <c r="O333">
        <v>1.0102689999999999E-2</v>
      </c>
      <c r="P333">
        <v>0.99794760000000005</v>
      </c>
      <c r="Q333">
        <v>5.2018990000000001E-2</v>
      </c>
      <c r="R333">
        <v>-3.7345179999999999E-2</v>
      </c>
      <c r="S333">
        <v>3.034332</v>
      </c>
      <c r="T333">
        <v>-0.8981055</v>
      </c>
      <c r="U333">
        <v>-0.50238039999999995</v>
      </c>
      <c r="V333">
        <v>4.7428779999999997E-2</v>
      </c>
      <c r="W333">
        <v>6.6366330000000001E-2</v>
      </c>
      <c r="X333">
        <v>0.99666739999999998</v>
      </c>
      <c r="Y333">
        <v>0.16594619999999999</v>
      </c>
      <c r="Z333">
        <v>-2.679993E-2</v>
      </c>
      <c r="AA333">
        <v>0.98577060000000005</v>
      </c>
      <c r="AB333">
        <v>32</v>
      </c>
      <c r="AC333">
        <v>0.71709999999995899</v>
      </c>
      <c r="AD333">
        <v>-0.26538840000000002</v>
      </c>
      <c r="AE333">
        <v>-0.15039999999998999</v>
      </c>
      <c r="AF333">
        <v>0.139355342367558</v>
      </c>
      <c r="AG333">
        <v>-0.26538840000000002</v>
      </c>
      <c r="AH333">
        <v>0.63255708254764698</v>
      </c>
      <c r="AI333">
        <v>112.280067302902</v>
      </c>
      <c r="AJ333">
        <v>77.575926667119305</v>
      </c>
      <c r="AK333">
        <v>0.699985269117951</v>
      </c>
      <c r="AL333">
        <v>86.194692270150696</v>
      </c>
      <c r="AM333">
        <v>87.275499915344298</v>
      </c>
      <c r="AN333">
        <v>0.99999994257635605</v>
      </c>
    </row>
    <row r="334" spans="1:40" x14ac:dyDescent="0.25">
      <c r="A334" t="str">
        <f>"20190312154807471"</f>
        <v>20190312154807471</v>
      </c>
      <c r="B334" t="str">
        <f>"1552376887466338"</f>
        <v>1552376887466338</v>
      </c>
      <c r="C334" t="s">
        <v>40</v>
      </c>
      <c r="D334">
        <v>4.8568850000000001</v>
      </c>
      <c r="E334">
        <v>0.55429340000000005</v>
      </c>
      <c r="F334" t="s">
        <v>41</v>
      </c>
      <c r="G334">
        <v>-379.87389999999999</v>
      </c>
      <c r="H334">
        <v>0.89209830000000001</v>
      </c>
      <c r="I334">
        <v>367.33449999999999</v>
      </c>
      <c r="J334">
        <v>-380.44650000000001</v>
      </c>
      <c r="K334">
        <v>1.1101179999999999</v>
      </c>
      <c r="L334">
        <v>367.4581</v>
      </c>
      <c r="M334">
        <v>0.9998456</v>
      </c>
      <c r="N334">
        <v>0</v>
      </c>
      <c r="O334">
        <v>1.0102750000000001E-2</v>
      </c>
      <c r="P334">
        <v>0.99795290000000003</v>
      </c>
      <c r="Q334">
        <v>5.1891369999999999E-2</v>
      </c>
      <c r="R334">
        <v>-3.7382859999999997E-2</v>
      </c>
      <c r="S334">
        <v>3.0342410000000002</v>
      </c>
      <c r="T334">
        <v>-0.89908670000000002</v>
      </c>
      <c r="U334">
        <v>-0.50234990000000002</v>
      </c>
      <c r="V334">
        <v>4.746657E-2</v>
      </c>
      <c r="W334">
        <v>6.6231680000000001E-2</v>
      </c>
      <c r="X334">
        <v>0.99667459999999997</v>
      </c>
      <c r="Y334">
        <v>0.16592599999999999</v>
      </c>
      <c r="Z334">
        <v>-2.682592E-2</v>
      </c>
      <c r="AA334">
        <v>0.98577329999999996</v>
      </c>
      <c r="AB334">
        <v>32</v>
      </c>
      <c r="AC334">
        <v>0.57260000000002198</v>
      </c>
      <c r="AD334">
        <v>-0.21801970000000001</v>
      </c>
      <c r="AE334">
        <v>-0.12360000000000999</v>
      </c>
      <c r="AF334">
        <v>0.113638056901571</v>
      </c>
      <c r="AG334">
        <v>-0.21801970000000001</v>
      </c>
      <c r="AH334">
        <v>0.50181137177427004</v>
      </c>
      <c r="AI334">
        <v>112.96413265125901</v>
      </c>
      <c r="AJ334">
        <v>77.240253534183395</v>
      </c>
      <c r="AK334">
        <v>0.55880305153643295</v>
      </c>
      <c r="AL334">
        <v>86.202424318430403</v>
      </c>
      <c r="AM334">
        <v>87.273352048141305</v>
      </c>
      <c r="AN334">
        <v>0.99999998449417304</v>
      </c>
    </row>
    <row r="335" spans="1:40" x14ac:dyDescent="0.25">
      <c r="A335" t="str">
        <f>"20190312154807489"</f>
        <v>20190312154807489</v>
      </c>
      <c r="B335" t="str">
        <f>"1552376887486834"</f>
        <v>1552376887486834</v>
      </c>
      <c r="C335" t="s">
        <v>40</v>
      </c>
      <c r="D335">
        <v>4.8655889999999999</v>
      </c>
      <c r="E335">
        <v>0.55428310000000003</v>
      </c>
      <c r="F335" t="s">
        <v>41</v>
      </c>
      <c r="G335">
        <v>-379.60129999999998</v>
      </c>
      <c r="H335">
        <v>0.85952659999999903</v>
      </c>
      <c r="I335">
        <v>367.31790000000001</v>
      </c>
      <c r="J335">
        <v>-380.18</v>
      </c>
      <c r="K335">
        <v>1.1101129999999999</v>
      </c>
      <c r="L335">
        <v>367.46080000000001</v>
      </c>
      <c r="M335">
        <v>0.99984589999999995</v>
      </c>
      <c r="N335">
        <v>0</v>
      </c>
      <c r="O335">
        <v>1.010254E-2</v>
      </c>
      <c r="P335">
        <v>0.99796309999999999</v>
      </c>
      <c r="Q335">
        <v>5.1524300000000002E-2</v>
      </c>
      <c r="R335">
        <v>-3.7620859999999999E-2</v>
      </c>
      <c r="S335">
        <v>3.0341490000000002</v>
      </c>
      <c r="T335">
        <v>-0.8995128</v>
      </c>
      <c r="U335">
        <v>-0.50238039999999995</v>
      </c>
      <c r="V335">
        <v>4.7704320000000001E-2</v>
      </c>
      <c r="W335">
        <v>6.5852939999999999E-2</v>
      </c>
      <c r="X335">
        <v>0.99668840000000003</v>
      </c>
      <c r="Y335">
        <v>0.16593269999999999</v>
      </c>
      <c r="Z335">
        <v>-2.6839769999999999E-2</v>
      </c>
      <c r="AA335">
        <v>0.98577179999999998</v>
      </c>
      <c r="AB335">
        <v>32</v>
      </c>
      <c r="AC335">
        <v>0.57870000000002597</v>
      </c>
      <c r="AD335">
        <v>-0.25058639999999999</v>
      </c>
      <c r="AE335">
        <v>-0.142899999999997</v>
      </c>
      <c r="AF335">
        <v>0.12640116756326</v>
      </c>
      <c r="AG335">
        <v>-0.25058639999999999</v>
      </c>
      <c r="AH335">
        <v>0.49053580862503099</v>
      </c>
      <c r="AI335">
        <v>116.32081755818901</v>
      </c>
      <c r="AJ335">
        <v>75.550374278161598</v>
      </c>
      <c r="AK335">
        <v>0.56515146515755299</v>
      </c>
      <c r="AL335">
        <v>86.224172208602198</v>
      </c>
      <c r="AM335">
        <v>87.259753494784505</v>
      </c>
      <c r="AN335">
        <v>1.0000000392739301</v>
      </c>
    </row>
    <row r="336" spans="1:40" x14ac:dyDescent="0.25">
      <c r="A336" t="str">
        <f>"20190312154807502"</f>
        <v>20190312154807502</v>
      </c>
      <c r="B336" t="str">
        <f>"1552376887496593"</f>
        <v>1552376887496593</v>
      </c>
      <c r="C336" t="s">
        <v>40</v>
      </c>
      <c r="D336">
        <v>4.8919079999999999</v>
      </c>
      <c r="E336">
        <v>0.55426280000000006</v>
      </c>
      <c r="F336" t="s">
        <v>41</v>
      </c>
      <c r="G336">
        <v>-379.31819999999999</v>
      </c>
      <c r="H336">
        <v>0.85430729999999999</v>
      </c>
      <c r="I336">
        <v>367.31779999999998</v>
      </c>
      <c r="J336">
        <v>-380.00040000000001</v>
      </c>
      <c r="K336">
        <v>1.1101110000000001</v>
      </c>
      <c r="L336">
        <v>367.46260000000001</v>
      </c>
      <c r="M336">
        <v>0.99984589999999995</v>
      </c>
      <c r="N336">
        <v>0</v>
      </c>
      <c r="O336">
        <v>1.010277E-2</v>
      </c>
      <c r="P336">
        <v>0.99796320000000005</v>
      </c>
      <c r="Q336">
        <v>5.1477099999999998E-2</v>
      </c>
      <c r="R336">
        <v>-3.7681810000000003E-2</v>
      </c>
      <c r="S336">
        <v>3.033722</v>
      </c>
      <c r="T336">
        <v>-0.90044550000000001</v>
      </c>
      <c r="U336">
        <v>-0.50286869999999995</v>
      </c>
      <c r="V336">
        <v>4.7765500000000002E-2</v>
      </c>
      <c r="W336">
        <v>6.5797750000000002E-2</v>
      </c>
      <c r="X336">
        <v>0.99668909999999999</v>
      </c>
      <c r="Y336">
        <v>0.1660865</v>
      </c>
      <c r="Z336">
        <v>-2.6891990000000001E-2</v>
      </c>
      <c r="AA336">
        <v>0.98574439999999997</v>
      </c>
      <c r="AB336">
        <v>32</v>
      </c>
      <c r="AC336">
        <v>0.68220000000002201</v>
      </c>
      <c r="AD336">
        <v>-0.25580370000000002</v>
      </c>
      <c r="AE336">
        <v>-0.14480000000003199</v>
      </c>
      <c r="AF336">
        <v>0.13369770237777401</v>
      </c>
      <c r="AG336">
        <v>-0.25580370000000002</v>
      </c>
      <c r="AH336">
        <v>0.59998058856281899</v>
      </c>
      <c r="AI336">
        <v>112.59445810519099</v>
      </c>
      <c r="AJ336">
        <v>77.4376457517223</v>
      </c>
      <c r="AK336">
        <v>0.66579825413331695</v>
      </c>
      <c r="AL336">
        <v>86.227341179757303</v>
      </c>
      <c r="AM336">
        <v>87.2562464649519</v>
      </c>
      <c r="AN336">
        <v>1.0000000244770599</v>
      </c>
    </row>
    <row r="337" spans="1:40" x14ac:dyDescent="0.25">
      <c r="A337" t="str">
        <f>"20190312154807524"</f>
        <v>20190312154807524</v>
      </c>
      <c r="B337" t="str">
        <f>"1552376887516117"</f>
        <v>1552376887516117</v>
      </c>
      <c r="C337" t="s">
        <v>40</v>
      </c>
      <c r="D337">
        <v>4.8948580000000002</v>
      </c>
      <c r="E337">
        <v>0.55420909999999901</v>
      </c>
      <c r="F337" t="s">
        <v>41</v>
      </c>
      <c r="G337">
        <v>-379.29930000000002</v>
      </c>
      <c r="H337">
        <v>0.90199410000000002</v>
      </c>
      <c r="I337">
        <v>367.34629999999999</v>
      </c>
      <c r="J337">
        <v>-379.68729999999999</v>
      </c>
      <c r="K337">
        <v>1.1101099999999999</v>
      </c>
      <c r="L337">
        <v>367.4658</v>
      </c>
      <c r="M337">
        <v>0.99984600000000001</v>
      </c>
      <c r="N337">
        <v>0</v>
      </c>
      <c r="O337">
        <v>1.0102689999999999E-2</v>
      </c>
      <c r="P337">
        <v>0.99794000000000005</v>
      </c>
      <c r="Q337">
        <v>5.156579E-2</v>
      </c>
      <c r="R337">
        <v>-3.816551E-2</v>
      </c>
      <c r="S337">
        <v>3.0335390000000002</v>
      </c>
      <c r="T337">
        <v>-0.90041159999999998</v>
      </c>
      <c r="U337">
        <v>-0.50286869999999995</v>
      </c>
      <c r="V337">
        <v>4.8249069999999998E-2</v>
      </c>
      <c r="W337">
        <v>6.5872449999999999E-2</v>
      </c>
      <c r="X337">
        <v>0.99666080000000001</v>
      </c>
      <c r="Y337">
        <v>0.1660953</v>
      </c>
      <c r="Z337">
        <v>-2.6893810000000001E-2</v>
      </c>
      <c r="AA337">
        <v>0.98574289999999998</v>
      </c>
      <c r="AB337">
        <v>32</v>
      </c>
      <c r="AC337">
        <v>0.38799999999997598</v>
      </c>
      <c r="AD337">
        <v>-0.20811589999999999</v>
      </c>
      <c r="AE337">
        <v>-0.119500000000016</v>
      </c>
      <c r="AF337">
        <v>9.7732240542026505E-2</v>
      </c>
      <c r="AG337">
        <v>-0.20811589999999999</v>
      </c>
      <c r="AH337">
        <v>0.30628718812921302</v>
      </c>
      <c r="AI337">
        <v>122.915956662567</v>
      </c>
      <c r="AJ337">
        <v>72.302796211977295</v>
      </c>
      <c r="AK337">
        <v>0.38298258483418601</v>
      </c>
      <c r="AL337">
        <v>86.223051602932998</v>
      </c>
      <c r="AM337">
        <v>87.228433678359494</v>
      </c>
      <c r="AN337">
        <v>0.99999995134075204</v>
      </c>
    </row>
    <row r="338" spans="1:40" x14ac:dyDescent="0.25">
      <c r="A338" t="str">
        <f>"20190312154807547"</f>
        <v>20190312154807547</v>
      </c>
      <c r="B338" t="str">
        <f>"1552376887536609"</f>
        <v>1552376887536609</v>
      </c>
      <c r="C338" t="s">
        <v>40</v>
      </c>
      <c r="D338">
        <v>4.797803</v>
      </c>
      <c r="E338">
        <v>0.55415170000000002</v>
      </c>
      <c r="F338" t="s">
        <v>41</v>
      </c>
      <c r="G338">
        <v>-379.01139999999998</v>
      </c>
      <c r="H338">
        <v>0.90953349999999999</v>
      </c>
      <c r="I338">
        <v>367.35320000000002</v>
      </c>
      <c r="J338">
        <v>-379.36720000000003</v>
      </c>
      <c r="K338">
        <v>1.110112</v>
      </c>
      <c r="L338">
        <v>367.46899999999999</v>
      </c>
      <c r="M338">
        <v>0.99984629999999997</v>
      </c>
      <c r="N338">
        <v>0</v>
      </c>
      <c r="O338">
        <v>1.010279E-2</v>
      </c>
      <c r="P338">
        <v>0.99790919999999905</v>
      </c>
      <c r="Q338">
        <v>5.1789870000000002E-2</v>
      </c>
      <c r="R338">
        <v>-3.8666109999999997E-2</v>
      </c>
      <c r="S338">
        <v>3.0334780000000001</v>
      </c>
      <c r="T338">
        <v>-0.90013120000000002</v>
      </c>
      <c r="U338">
        <v>-0.50341800000000003</v>
      </c>
      <c r="V338">
        <v>4.8749250000000001E-2</v>
      </c>
      <c r="W338">
        <v>6.6082279999999993E-2</v>
      </c>
      <c r="X338">
        <v>0.99662260000000003</v>
      </c>
      <c r="Y338">
        <v>0.16626949999999999</v>
      </c>
      <c r="Z338">
        <v>-2.691108E-2</v>
      </c>
      <c r="AA338">
        <v>0.98571310000000001</v>
      </c>
      <c r="AB338">
        <v>32</v>
      </c>
      <c r="AC338">
        <v>0.35580000000004403</v>
      </c>
      <c r="AD338">
        <v>-0.20057849999999999</v>
      </c>
      <c r="AE338">
        <v>-0.115799999999978</v>
      </c>
      <c r="AF338">
        <v>9.2739226780768402E-2</v>
      </c>
      <c r="AG338">
        <v>-0.20057849999999999</v>
      </c>
      <c r="AH338">
        <v>0.27545600570683099</v>
      </c>
      <c r="AI338">
        <v>124.609816102545</v>
      </c>
      <c r="AJ338">
        <v>71.392893003092695</v>
      </c>
      <c r="AK338">
        <v>0.35314063760222603</v>
      </c>
      <c r="AL338">
        <v>86.211003092611705</v>
      </c>
      <c r="AM338">
        <v>87.199640226445297</v>
      </c>
      <c r="AN338">
        <v>0.99999998196815998</v>
      </c>
    </row>
    <row r="339" spans="1:40" x14ac:dyDescent="0.25">
      <c r="A339" t="str">
        <f>"20190312154807568"</f>
        <v>20190312154807568</v>
      </c>
      <c r="B339" t="str">
        <f>"1552376887556130"</f>
        <v>1552376887556130</v>
      </c>
      <c r="C339" t="s">
        <v>40</v>
      </c>
      <c r="D339">
        <v>4.9182589999999999</v>
      </c>
      <c r="E339">
        <v>0.55410669999999995</v>
      </c>
      <c r="F339" t="s">
        <v>41</v>
      </c>
      <c r="G339">
        <v>-378.46859999999998</v>
      </c>
      <c r="H339">
        <v>0.84363310000000002</v>
      </c>
      <c r="I339">
        <v>367.31950000000001</v>
      </c>
      <c r="J339">
        <v>-379.05590000000001</v>
      </c>
      <c r="K339">
        <v>1.110114</v>
      </c>
      <c r="L339">
        <v>367.47219999999999</v>
      </c>
      <c r="M339">
        <v>0.99984649999999997</v>
      </c>
      <c r="N339">
        <v>0</v>
      </c>
      <c r="O339">
        <v>1.0102710000000001E-2</v>
      </c>
      <c r="P339">
        <v>0.99787179999999998</v>
      </c>
      <c r="Q339">
        <v>5.2150309999999998E-2</v>
      </c>
      <c r="R339">
        <v>-3.9148280000000001E-2</v>
      </c>
      <c r="S339">
        <v>3.0334469999999998</v>
      </c>
      <c r="T339">
        <v>-0.89968809999999999</v>
      </c>
      <c r="U339">
        <v>-0.50430299999999995</v>
      </c>
      <c r="V339">
        <v>4.9231089999999998E-2</v>
      </c>
      <c r="W339">
        <v>6.6429600000000005E-2</v>
      </c>
      <c r="X339">
        <v>0.99657580000000001</v>
      </c>
      <c r="Y339">
        <v>0.16654669999999999</v>
      </c>
      <c r="Z339">
        <v>-2.693798E-2</v>
      </c>
      <c r="AA339">
        <v>0.98566560000000003</v>
      </c>
      <c r="AB339">
        <v>32</v>
      </c>
      <c r="AC339">
        <v>0.58730000000002702</v>
      </c>
      <c r="AD339">
        <v>-0.26648090000000002</v>
      </c>
      <c r="AE339">
        <v>-0.15269999999998099</v>
      </c>
      <c r="AF339">
        <v>0.13298161936995401</v>
      </c>
      <c r="AG339">
        <v>-0.26648090000000002</v>
      </c>
      <c r="AH339">
        <v>0.49103477696548897</v>
      </c>
      <c r="AI339">
        <v>117.64658152499899</v>
      </c>
      <c r="AJ339">
        <v>74.8466892312657</v>
      </c>
      <c r="AK339">
        <v>0.57429202793057599</v>
      </c>
      <c r="AL339">
        <v>86.1910592094506</v>
      </c>
      <c r="AM339">
        <v>87.171873455435801</v>
      </c>
      <c r="AN339">
        <v>0.99999995856219304</v>
      </c>
    </row>
    <row r="340" spans="1:40" x14ac:dyDescent="0.25">
      <c r="A340" t="str">
        <f>"20190312154807591"</f>
        <v>20190312154807591</v>
      </c>
      <c r="B340" t="str">
        <f>"1552376887586386"</f>
        <v>1552376887586386</v>
      </c>
      <c r="C340" t="s">
        <v>40</v>
      </c>
      <c r="D340">
        <v>4.9291589999999896</v>
      </c>
      <c r="E340">
        <v>0.55406029999999995</v>
      </c>
      <c r="F340" t="s">
        <v>41</v>
      </c>
      <c r="G340">
        <v>-378.18169999999998</v>
      </c>
      <c r="H340">
        <v>0.85115980000000002</v>
      </c>
      <c r="I340">
        <v>367.32659999999998</v>
      </c>
      <c r="J340">
        <v>-378.74849999999998</v>
      </c>
      <c r="K340">
        <v>1.110115</v>
      </c>
      <c r="L340">
        <v>367.47519999999997</v>
      </c>
      <c r="M340">
        <v>0.99984660000000003</v>
      </c>
      <c r="N340">
        <v>0</v>
      </c>
      <c r="O340">
        <v>1.010261E-2</v>
      </c>
      <c r="P340">
        <v>0.99784059999999997</v>
      </c>
      <c r="Q340">
        <v>5.2410459999999999E-2</v>
      </c>
      <c r="R340">
        <v>-3.9588699999999998E-2</v>
      </c>
      <c r="S340">
        <v>3.0335390000000002</v>
      </c>
      <c r="T340">
        <v>-0.8985919</v>
      </c>
      <c r="U340">
        <v>-0.50537109999999996</v>
      </c>
      <c r="V340">
        <v>4.9670980000000003E-2</v>
      </c>
      <c r="W340">
        <v>6.6677490000000006E-2</v>
      </c>
      <c r="X340">
        <v>0.99653740000000002</v>
      </c>
      <c r="Y340">
        <v>0.166884</v>
      </c>
      <c r="Z340">
        <v>-2.695355E-2</v>
      </c>
      <c r="AA340">
        <v>0.98560800000000004</v>
      </c>
      <c r="AB340">
        <v>32</v>
      </c>
      <c r="AC340">
        <v>0.56679999999999997</v>
      </c>
      <c r="AD340">
        <v>-0.258955199999999</v>
      </c>
      <c r="AE340">
        <v>-0.14859999999998699</v>
      </c>
      <c r="AF340">
        <v>0.12910412056557</v>
      </c>
      <c r="AG340">
        <v>-0.258955199999999</v>
      </c>
      <c r="AH340">
        <v>0.47290720746130199</v>
      </c>
      <c r="AI340">
        <v>117.845255176005</v>
      </c>
      <c r="AJ340">
        <v>74.730286921734702</v>
      </c>
      <c r="AK340">
        <v>0.55440679687653205</v>
      </c>
      <c r="AL340">
        <v>86.176824533517802</v>
      </c>
      <c r="AM340">
        <v>87.146535366179805</v>
      </c>
      <c r="AN340">
        <v>0.99999994176280804</v>
      </c>
    </row>
    <row r="341" spans="1:40" x14ac:dyDescent="0.25">
      <c r="A341" t="str">
        <f>"20190312154807603"</f>
        <v>20190312154807603</v>
      </c>
      <c r="B341" t="str">
        <f>"1552376887597122"</f>
        <v>1552376887597122</v>
      </c>
      <c r="C341" t="s">
        <v>40</v>
      </c>
      <c r="D341">
        <v>5.0308679999999999</v>
      </c>
      <c r="E341">
        <v>0.55405890000000002</v>
      </c>
      <c r="F341" t="s">
        <v>41</v>
      </c>
      <c r="G341">
        <v>-377.8954</v>
      </c>
      <c r="H341">
        <v>0.85764879999999999</v>
      </c>
      <c r="I341">
        <v>367.33249999999998</v>
      </c>
      <c r="J341">
        <v>-378.55840000000001</v>
      </c>
      <c r="K341">
        <v>1.110115</v>
      </c>
      <c r="L341">
        <v>367.47710000000001</v>
      </c>
      <c r="M341">
        <v>0.99984680000000004</v>
      </c>
      <c r="N341">
        <v>0</v>
      </c>
      <c r="O341">
        <v>1.0102659999999999E-2</v>
      </c>
      <c r="P341">
        <v>0.99782040000000005</v>
      </c>
      <c r="Q341">
        <v>5.2593920000000002E-2</v>
      </c>
      <c r="R341">
        <v>-3.9861380000000002E-2</v>
      </c>
      <c r="S341">
        <v>3.033569</v>
      </c>
      <c r="T341">
        <v>-0.89780469999999901</v>
      </c>
      <c r="U341">
        <v>-0.50610350000000004</v>
      </c>
      <c r="V341">
        <v>4.9943359999999999E-2</v>
      </c>
      <c r="W341">
        <v>6.685352E-2</v>
      </c>
      <c r="X341">
        <v>0.99651210000000001</v>
      </c>
      <c r="Y341">
        <v>0.1671174</v>
      </c>
      <c r="Z341">
        <v>-2.6963750000000002E-2</v>
      </c>
      <c r="AA341">
        <v>0.98556820000000001</v>
      </c>
      <c r="AB341">
        <v>32</v>
      </c>
      <c r="AC341">
        <v>0.66300000000001003</v>
      </c>
      <c r="AD341">
        <v>-0.25246619999999897</v>
      </c>
      <c r="AE341">
        <v>-0.14460000000002499</v>
      </c>
      <c r="AF341">
        <v>0.132895966450192</v>
      </c>
      <c r="AG341">
        <v>-0.25246619999999897</v>
      </c>
      <c r="AH341">
        <v>0.58107326170479001</v>
      </c>
      <c r="AI341">
        <v>112.954915511762</v>
      </c>
      <c r="AJ341">
        <v>77.117575056550805</v>
      </c>
      <c r="AK341">
        <v>0.64733813073958002</v>
      </c>
      <c r="AL341">
        <v>86.166716613353003</v>
      </c>
      <c r="AM341">
        <v>87.1308412184394</v>
      </c>
      <c r="AN341">
        <v>1.0000000488954399</v>
      </c>
    </row>
    <row r="342" spans="1:40" x14ac:dyDescent="0.25">
      <c r="A342" t="str">
        <f>"20190312154807625"</f>
        <v>20190312154807625</v>
      </c>
      <c r="B342" t="str">
        <f>"1552376887616641"</f>
        <v>1552376887616641</v>
      </c>
      <c r="C342" t="s">
        <v>40</v>
      </c>
      <c r="D342">
        <v>4.97471</v>
      </c>
      <c r="E342">
        <v>0.55404900000000001</v>
      </c>
      <c r="F342" t="s">
        <v>41</v>
      </c>
      <c r="G342">
        <v>-377.87540000000001</v>
      </c>
      <c r="H342">
        <v>0.90813390000000005</v>
      </c>
      <c r="I342">
        <v>367.36259999999999</v>
      </c>
      <c r="J342">
        <v>-378.25900000000001</v>
      </c>
      <c r="K342">
        <v>1.110125</v>
      </c>
      <c r="L342">
        <v>367.48020000000002</v>
      </c>
      <c r="M342">
        <v>0.99984689999999998</v>
      </c>
      <c r="N342">
        <v>0</v>
      </c>
      <c r="O342">
        <v>1.010255E-2</v>
      </c>
      <c r="P342">
        <v>0.99779949999999995</v>
      </c>
      <c r="Q342">
        <v>5.2494699999999998E-2</v>
      </c>
      <c r="R342">
        <v>-4.0506479999999997E-2</v>
      </c>
      <c r="S342">
        <v>3.0335999999999999</v>
      </c>
      <c r="T342">
        <v>-0.89717760000000002</v>
      </c>
      <c r="U342">
        <v>-0.50695800000000002</v>
      </c>
      <c r="V342">
        <v>5.0588279999999999E-2</v>
      </c>
      <c r="W342">
        <v>6.6744090000000006E-2</v>
      </c>
      <c r="X342">
        <v>0.99648680000000001</v>
      </c>
      <c r="Y342">
        <v>0.16738529999999999</v>
      </c>
      <c r="Z342">
        <v>-2.6983340000000001E-2</v>
      </c>
      <c r="AA342">
        <v>0.98552220000000001</v>
      </c>
      <c r="AB342">
        <v>32</v>
      </c>
      <c r="AC342">
        <v>0.383600000000001</v>
      </c>
      <c r="AD342">
        <v>-0.20199110000000001</v>
      </c>
      <c r="AE342">
        <v>-0.11760000000003799</v>
      </c>
      <c r="AF342">
        <v>9.69081508809954E-2</v>
      </c>
      <c r="AG342">
        <v>-0.20199110000000001</v>
      </c>
      <c r="AH342">
        <v>0.30507126702995202</v>
      </c>
      <c r="AI342">
        <v>122.253497700312</v>
      </c>
      <c r="AJ342">
        <v>72.377163653432305</v>
      </c>
      <c r="AK342">
        <v>0.37849712304539901</v>
      </c>
      <c r="AL342">
        <v>86.173000127713394</v>
      </c>
      <c r="AM342">
        <v>87.093781141380404</v>
      </c>
      <c r="AN342">
        <v>0.999999945098761</v>
      </c>
    </row>
    <row r="343" spans="1:40" x14ac:dyDescent="0.25">
      <c r="A343" t="str">
        <f>"20190312154807639"</f>
        <v>20190312154807639</v>
      </c>
      <c r="B343" t="str">
        <f>"1552376887636110"</f>
        <v>1552376887636110</v>
      </c>
      <c r="C343" t="s">
        <v>40</v>
      </c>
      <c r="D343">
        <v>4.9668190000000001</v>
      </c>
      <c r="E343">
        <v>0.55403139999999995</v>
      </c>
      <c r="F343" t="s">
        <v>41</v>
      </c>
      <c r="G343">
        <v>-377.59039999999999</v>
      </c>
      <c r="H343">
        <v>0.91224919999999998</v>
      </c>
      <c r="I343">
        <v>367.3682</v>
      </c>
      <c r="J343">
        <v>-378.06209999999999</v>
      </c>
      <c r="K343">
        <v>1.1101270000000001</v>
      </c>
      <c r="L343">
        <v>367.4821</v>
      </c>
      <c r="M343">
        <v>0.99984689999999998</v>
      </c>
      <c r="N343">
        <v>0</v>
      </c>
      <c r="O343">
        <v>1.01026E-2</v>
      </c>
      <c r="P343">
        <v>0.99779419999999996</v>
      </c>
      <c r="Q343">
        <v>5.231239E-2</v>
      </c>
      <c r="R343">
        <v>-4.0865720000000001E-2</v>
      </c>
      <c r="S343">
        <v>3.0331730000000001</v>
      </c>
      <c r="T343">
        <v>-0.89767439999999998</v>
      </c>
      <c r="U343">
        <v>-0.50854489999999997</v>
      </c>
      <c r="V343">
        <v>5.0947619999999999E-2</v>
      </c>
      <c r="W343">
        <v>6.6555210000000004E-2</v>
      </c>
      <c r="X343">
        <v>0.99648119999999996</v>
      </c>
      <c r="Y343">
        <v>0.16787949999999999</v>
      </c>
      <c r="Z343">
        <v>-2.7071339999999999E-2</v>
      </c>
      <c r="AA343">
        <v>0.98543570000000003</v>
      </c>
      <c r="AB343">
        <v>32</v>
      </c>
      <c r="AC343">
        <v>0.47169999999999801</v>
      </c>
      <c r="AD343">
        <v>-0.19787779999999999</v>
      </c>
      <c r="AE343">
        <v>-0.1139</v>
      </c>
      <c r="AF343">
        <v>0.101741984019452</v>
      </c>
      <c r="AG343">
        <v>-0.19787779999999999</v>
      </c>
      <c r="AH343">
        <v>0.40343950217535601</v>
      </c>
      <c r="AI343">
        <v>115.43514897031</v>
      </c>
      <c r="AJ343">
        <v>75.8459109554599</v>
      </c>
      <c r="AK343">
        <v>0.46072821376659101</v>
      </c>
      <c r="AL343">
        <v>86.183846554488795</v>
      </c>
      <c r="AM343">
        <v>87.073156958882194</v>
      </c>
      <c r="AN343">
        <v>1.0000000189576199</v>
      </c>
    </row>
    <row r="344" spans="1:40" x14ac:dyDescent="0.25">
      <c r="A344" t="str">
        <f>"20190312154807659"</f>
        <v>20190312154807659</v>
      </c>
      <c r="B344" t="str">
        <f>"1552376887646847"</f>
        <v>1552376887646847</v>
      </c>
      <c r="C344" t="s">
        <v>40</v>
      </c>
      <c r="D344">
        <v>4.8991309999999997</v>
      </c>
      <c r="E344">
        <v>0.55402059999999997</v>
      </c>
      <c r="F344" t="s">
        <v>41</v>
      </c>
      <c r="G344">
        <v>-377.31639999999999</v>
      </c>
      <c r="H344">
        <v>0.889285399999999</v>
      </c>
      <c r="I344">
        <v>367.35669999999999</v>
      </c>
      <c r="J344">
        <v>-377.77809999999999</v>
      </c>
      <c r="K344">
        <v>1.110125</v>
      </c>
      <c r="L344">
        <v>367.48500000000001</v>
      </c>
      <c r="M344">
        <v>0.99984700000000004</v>
      </c>
      <c r="N344">
        <v>0</v>
      </c>
      <c r="O344">
        <v>1.0102450000000001E-2</v>
      </c>
      <c r="P344">
        <v>0.99775559999999996</v>
      </c>
      <c r="Q344">
        <v>5.2498389999999999E-2</v>
      </c>
      <c r="R344">
        <v>-4.1565970000000001E-2</v>
      </c>
      <c r="S344">
        <v>3.0328979999999999</v>
      </c>
      <c r="T344">
        <v>-0.89820909999999998</v>
      </c>
      <c r="U344">
        <v>-0.50933839999999997</v>
      </c>
      <c r="V344">
        <v>5.1647129999999999E-2</v>
      </c>
      <c r="W344">
        <v>6.6736009999999998E-2</v>
      </c>
      <c r="X344">
        <v>0.99643309999999996</v>
      </c>
      <c r="Y344">
        <v>0.16812489999999999</v>
      </c>
      <c r="Z344">
        <v>-2.712388E-2</v>
      </c>
      <c r="AA344">
        <v>0.9853925</v>
      </c>
      <c r="AB344">
        <v>32</v>
      </c>
      <c r="AC344">
        <v>0.46170000000000699</v>
      </c>
      <c r="AD344">
        <v>-0.2208396</v>
      </c>
      <c r="AE344">
        <v>-0.12830000000002401</v>
      </c>
      <c r="AF344">
        <v>0.109666422740643</v>
      </c>
      <c r="AG344">
        <v>-0.2208396</v>
      </c>
      <c r="AH344">
        <v>0.37973012787458199</v>
      </c>
      <c r="AI344">
        <v>119.193643244073</v>
      </c>
      <c r="AJ344">
        <v>73.891232145577504</v>
      </c>
      <c r="AK344">
        <v>0.45276022707448099</v>
      </c>
      <c r="AL344">
        <v>86.173464406542294</v>
      </c>
      <c r="AM344">
        <v>87.032899800434194</v>
      </c>
      <c r="AN344">
        <v>1.0000000219217799</v>
      </c>
    </row>
    <row r="345" spans="1:40" x14ac:dyDescent="0.25">
      <c r="A345" t="str">
        <f>"20190312154807680"</f>
        <v>20190312154807680</v>
      </c>
      <c r="B345" t="str">
        <f>"1552376887676126"</f>
        <v>1552376887676126</v>
      </c>
      <c r="C345" t="s">
        <v>40</v>
      </c>
      <c r="D345">
        <v>4.9164830000000004</v>
      </c>
      <c r="E345">
        <v>0.54955180000000003</v>
      </c>
      <c r="F345" t="s">
        <v>41</v>
      </c>
      <c r="G345">
        <v>-377.03359999999998</v>
      </c>
      <c r="H345">
        <v>0.88961329999999905</v>
      </c>
      <c r="I345">
        <v>367.35939999999999</v>
      </c>
      <c r="J345">
        <v>-377.48379999999997</v>
      </c>
      <c r="K345">
        <v>1.1101299999999901</v>
      </c>
      <c r="L345">
        <v>367.488</v>
      </c>
      <c r="M345">
        <v>0.99984700000000004</v>
      </c>
      <c r="N345">
        <v>0</v>
      </c>
      <c r="O345">
        <v>1.010233E-2</v>
      </c>
      <c r="P345">
        <v>0.99772130000000003</v>
      </c>
      <c r="Q345">
        <v>5.2593529999999999E-2</v>
      </c>
      <c r="R345">
        <v>-4.2263380000000003E-2</v>
      </c>
      <c r="S345">
        <v>3.032715</v>
      </c>
      <c r="T345">
        <v>-0.89827669999999904</v>
      </c>
      <c r="U345">
        <v>-0.5109863</v>
      </c>
      <c r="V345">
        <v>5.2344050000000003E-2</v>
      </c>
      <c r="W345">
        <v>6.6831169999999995E-2</v>
      </c>
      <c r="X345">
        <v>0.99639029999999995</v>
      </c>
      <c r="Y345">
        <v>0.1686327</v>
      </c>
      <c r="Z345">
        <v>-2.7199359999999999E-2</v>
      </c>
      <c r="AA345">
        <v>0.98530359999999995</v>
      </c>
      <c r="AB345">
        <v>32</v>
      </c>
      <c r="AC345">
        <v>0.45019999999999499</v>
      </c>
      <c r="AD345">
        <v>-0.22051669999999901</v>
      </c>
      <c r="AE345">
        <v>-0.128600000000062</v>
      </c>
      <c r="AF345">
        <v>0.10896992343316</v>
      </c>
      <c r="AG345">
        <v>-0.22051669999999901</v>
      </c>
      <c r="AH345">
        <v>0.36738356954861701</v>
      </c>
      <c r="AI345">
        <v>119.918509399109</v>
      </c>
      <c r="AJ345">
        <v>73.479076188930094</v>
      </c>
      <c r="AK345">
        <v>0.44212299913734698</v>
      </c>
      <c r="AL345">
        <v>86.167999731511898</v>
      </c>
      <c r="AM345">
        <v>86.992806178734099</v>
      </c>
      <c r="AN345">
        <v>0.99999996739402996</v>
      </c>
    </row>
    <row r="346" spans="1:40" x14ac:dyDescent="0.25">
      <c r="A346" t="str">
        <f>"20190312154807692"</f>
        <v>20190312154807692</v>
      </c>
      <c r="B346" t="str">
        <f>"1552376887686862"</f>
        <v>1552376887686862</v>
      </c>
      <c r="C346" t="s">
        <v>40</v>
      </c>
      <c r="D346">
        <v>5.0378889999999998</v>
      </c>
      <c r="E346">
        <v>0.55043690000000001</v>
      </c>
      <c r="F346" t="s">
        <v>41</v>
      </c>
      <c r="G346">
        <v>-376.75920000000002</v>
      </c>
      <c r="H346">
        <v>0.87316970000000005</v>
      </c>
      <c r="I346">
        <v>367.37470000000002</v>
      </c>
      <c r="J346">
        <v>-377.30759999999998</v>
      </c>
      <c r="K346">
        <v>1.1101379999999901</v>
      </c>
      <c r="L346">
        <v>367.4898</v>
      </c>
      <c r="M346">
        <v>0.99984700000000004</v>
      </c>
      <c r="N346">
        <v>0</v>
      </c>
      <c r="O346">
        <v>1.010231E-2</v>
      </c>
      <c r="P346">
        <v>0.99770879999999995</v>
      </c>
      <c r="Q346">
        <v>5.260227E-2</v>
      </c>
      <c r="R346">
        <v>-4.2548130000000003E-2</v>
      </c>
      <c r="S346">
        <v>3.0391849999999998</v>
      </c>
      <c r="T346">
        <v>-0.99378679999999997</v>
      </c>
      <c r="U346">
        <v>-0.47363280000000002</v>
      </c>
      <c r="V346">
        <v>5.2628550000000003E-2</v>
      </c>
      <c r="W346">
        <v>6.6841629999999999E-2</v>
      </c>
      <c r="X346">
        <v>0.99637469999999995</v>
      </c>
      <c r="Y346">
        <v>0.15552479999999999</v>
      </c>
      <c r="Z346">
        <v>-2.7846630000000001E-2</v>
      </c>
      <c r="AA346">
        <v>0.98743939999999997</v>
      </c>
      <c r="AB346">
        <v>32</v>
      </c>
      <c r="AC346">
        <v>0.54839999999995803</v>
      </c>
      <c r="AD346">
        <v>-0.23696829999999899</v>
      </c>
      <c r="AE346">
        <v>-0.11509999999998401</v>
      </c>
      <c r="AF346">
        <v>0.102333505054684</v>
      </c>
      <c r="AG346">
        <v>-0.23696829999999899</v>
      </c>
      <c r="AH346">
        <v>0.46419298679853999</v>
      </c>
      <c r="AI346">
        <v>116.497389451985</v>
      </c>
      <c r="AJ346">
        <v>77.567736601823597</v>
      </c>
      <c r="AK346">
        <v>0.53113204615671294</v>
      </c>
      <c r="AL346">
        <v>86.167399411904597</v>
      </c>
      <c r="AM346">
        <v>86.976444494863102</v>
      </c>
      <c r="AN346">
        <v>1.0000000552881201</v>
      </c>
    </row>
    <row r="347" spans="1:40" x14ac:dyDescent="0.25">
      <c r="A347" t="str">
        <f>"20190312154807703"</f>
        <v>20190312154807703</v>
      </c>
      <c r="B347" t="str">
        <f>"1552376887696623"</f>
        <v>1552376887696623</v>
      </c>
      <c r="C347" t="s">
        <v>40</v>
      </c>
      <c r="D347">
        <v>4.9885380000000001</v>
      </c>
      <c r="E347">
        <v>0.55095699999999903</v>
      </c>
      <c r="F347" t="s">
        <v>41</v>
      </c>
      <c r="G347">
        <v>-376.4873</v>
      </c>
      <c r="H347">
        <v>0.8471204</v>
      </c>
      <c r="I347">
        <v>367.35919999999999</v>
      </c>
      <c r="J347">
        <v>-377.13819999999998</v>
      </c>
      <c r="K347">
        <v>1.110139</v>
      </c>
      <c r="L347">
        <v>367.49149999999997</v>
      </c>
      <c r="M347">
        <v>0.99984709999999999</v>
      </c>
      <c r="N347">
        <v>0</v>
      </c>
      <c r="O347">
        <v>1.010229E-2</v>
      </c>
      <c r="P347">
        <v>0.99769560000000002</v>
      </c>
      <c r="Q347">
        <v>5.2791539999999998E-2</v>
      </c>
      <c r="R347">
        <v>-4.2627819999999997E-2</v>
      </c>
      <c r="S347">
        <v>3.0376590000000001</v>
      </c>
      <c r="T347">
        <v>-0.97390069999999995</v>
      </c>
      <c r="U347">
        <v>-0.4821472</v>
      </c>
      <c r="V347">
        <v>5.2708150000000002E-2</v>
      </c>
      <c r="W347">
        <v>6.7033839999999997E-2</v>
      </c>
      <c r="X347">
        <v>0.99635750000000001</v>
      </c>
      <c r="Y347">
        <v>0.15847849999999999</v>
      </c>
      <c r="Z347">
        <v>-2.778245E-2</v>
      </c>
      <c r="AA347">
        <v>0.9869715</v>
      </c>
      <c r="AB347">
        <v>32</v>
      </c>
      <c r="AC347">
        <v>0.65089999999997805</v>
      </c>
      <c r="AD347">
        <v>-0.26301859999999999</v>
      </c>
      <c r="AE347">
        <v>-0.13229999999998601</v>
      </c>
      <c r="AF347">
        <v>0.12004561485471001</v>
      </c>
      <c r="AG347">
        <v>-0.26301859999999999</v>
      </c>
      <c r="AH347">
        <v>0.56148572937564001</v>
      </c>
      <c r="AI347">
        <v>114.61160306758801</v>
      </c>
      <c r="AJ347">
        <v>77.931856496323405</v>
      </c>
      <c r="AK347">
        <v>0.63155043969923796</v>
      </c>
      <c r="AL347">
        <v>86.156361531059403</v>
      </c>
      <c r="AM347">
        <v>86.971827734066594</v>
      </c>
      <c r="AN347">
        <v>0.99999997629390802</v>
      </c>
    </row>
    <row r="348" spans="1:40" x14ac:dyDescent="0.25">
      <c r="A348" t="str">
        <f>"20190312154807717"</f>
        <v>20190312154807717</v>
      </c>
      <c r="B348" t="str">
        <f>"1552376887706382"</f>
        <v>1552376887706382</v>
      </c>
      <c r="C348" t="s">
        <v>40</v>
      </c>
      <c r="D348">
        <v>5.0307320000000004</v>
      </c>
      <c r="E348">
        <v>0.55114919999999901</v>
      </c>
      <c r="F348" t="s">
        <v>41</v>
      </c>
      <c r="G348">
        <v>-376.46690000000001</v>
      </c>
      <c r="H348">
        <v>0.89750350000000001</v>
      </c>
      <c r="I348">
        <v>367.38350000000003</v>
      </c>
      <c r="J348">
        <v>-376.96480000000003</v>
      </c>
      <c r="K348">
        <v>1.1101430000000001</v>
      </c>
      <c r="L348">
        <v>367.4932</v>
      </c>
      <c r="M348">
        <v>0.99984680000000004</v>
      </c>
      <c r="N348">
        <v>0</v>
      </c>
      <c r="O348">
        <v>1.0102389999999999E-2</v>
      </c>
      <c r="P348">
        <v>0.9977009</v>
      </c>
      <c r="Q348">
        <v>5.2737600000000003E-2</v>
      </c>
      <c r="R348">
        <v>-4.2565640000000002E-2</v>
      </c>
      <c r="S348">
        <v>3.0369869999999999</v>
      </c>
      <c r="T348">
        <v>-0.96199480000000004</v>
      </c>
      <c r="U348">
        <v>-0.4869385</v>
      </c>
      <c r="V348">
        <v>5.2646129999999999E-2</v>
      </c>
      <c r="W348">
        <v>6.6983409999999993E-2</v>
      </c>
      <c r="X348">
        <v>0.99636420000000003</v>
      </c>
      <c r="Y348">
        <v>0.16014579999999901</v>
      </c>
      <c r="Z348">
        <v>-2.7717309999999998E-2</v>
      </c>
      <c r="AA348">
        <v>0.98670420000000003</v>
      </c>
      <c r="AB348">
        <v>32</v>
      </c>
      <c r="AC348">
        <v>0.497900000000015</v>
      </c>
      <c r="AD348">
        <v>-0.21263950000000001</v>
      </c>
      <c r="AE348">
        <v>-0.109699999999975</v>
      </c>
      <c r="AF348">
        <v>9.7725776111131493E-2</v>
      </c>
      <c r="AG348">
        <v>-0.21263950000000001</v>
      </c>
      <c r="AH348">
        <v>0.423158954231379</v>
      </c>
      <c r="AI348">
        <v>116.087191672552</v>
      </c>
      <c r="AJ348">
        <v>76.995907882113301</v>
      </c>
      <c r="AK348">
        <v>0.48355908100558698</v>
      </c>
      <c r="AL348">
        <v>86.159257579047207</v>
      </c>
      <c r="AM348">
        <v>86.975404569056806</v>
      </c>
      <c r="AN348">
        <v>1.0000000056304199</v>
      </c>
    </row>
    <row r="349" spans="1:40" x14ac:dyDescent="0.25">
      <c r="A349" t="str">
        <f>"20190312154807737"</f>
        <v>20190312154807737</v>
      </c>
      <c r="B349" t="str">
        <f>"1552376887726878"</f>
        <v>1552376887726878</v>
      </c>
      <c r="C349" t="s">
        <v>40</v>
      </c>
      <c r="D349">
        <v>5.0440559999999897</v>
      </c>
      <c r="E349">
        <v>0.55099770000000003</v>
      </c>
      <c r="F349" t="s">
        <v>41</v>
      </c>
      <c r="G349">
        <v>-376.19659999999999</v>
      </c>
      <c r="H349">
        <v>0.86888159999999903</v>
      </c>
      <c r="I349">
        <v>367.36919999999998</v>
      </c>
      <c r="J349">
        <v>-376.67099999999999</v>
      </c>
      <c r="K349">
        <v>1.1101479999999999</v>
      </c>
      <c r="L349">
        <v>367.49619999999999</v>
      </c>
      <c r="M349">
        <v>0.99984689999999998</v>
      </c>
      <c r="N349">
        <v>0</v>
      </c>
      <c r="O349">
        <v>1.010223E-2</v>
      </c>
      <c r="P349">
        <v>0.99768610000000002</v>
      </c>
      <c r="Q349">
        <v>5.27655E-2</v>
      </c>
      <c r="R349">
        <v>-4.2875509999999999E-2</v>
      </c>
      <c r="S349">
        <v>3.0364990000000001</v>
      </c>
      <c r="T349">
        <v>-0.95361600000000002</v>
      </c>
      <c r="U349">
        <v>-0.48870849999999999</v>
      </c>
      <c r="V349">
        <v>5.2955870000000002E-2</v>
      </c>
      <c r="W349">
        <v>6.7016240000000005E-2</v>
      </c>
      <c r="X349">
        <v>0.99634560000000005</v>
      </c>
      <c r="Y349">
        <v>0.16083499999999901</v>
      </c>
      <c r="Z349">
        <v>-2.7594839999999999E-2</v>
      </c>
      <c r="AA349">
        <v>0.98659549999999996</v>
      </c>
      <c r="AB349">
        <v>32</v>
      </c>
      <c r="AC349">
        <v>0.47440000000000199</v>
      </c>
      <c r="AD349">
        <v>-0.24126639999999899</v>
      </c>
      <c r="AE349">
        <v>-0.12700000000000899</v>
      </c>
      <c r="AF349">
        <v>0.10616398902952701</v>
      </c>
      <c r="AG349">
        <v>-0.24126639999999899</v>
      </c>
      <c r="AH349">
        <v>0.381111899712888</v>
      </c>
      <c r="AI349">
        <v>121.376513972504</v>
      </c>
      <c r="AJ349">
        <v>74.434086386857302</v>
      </c>
      <c r="AK349">
        <v>0.46338596055382097</v>
      </c>
      <c r="AL349">
        <v>86.157372407027097</v>
      </c>
      <c r="AM349">
        <v>86.957586207139897</v>
      </c>
      <c r="AN349">
        <v>1.0000000276152701</v>
      </c>
    </row>
    <row r="350" spans="1:40" x14ac:dyDescent="0.25">
      <c r="A350" t="str">
        <f>"20190312154807760"</f>
        <v>20190312154807760</v>
      </c>
      <c r="B350" t="str">
        <f>"1552376887746399"</f>
        <v>1552376887746399</v>
      </c>
      <c r="C350" t="s">
        <v>40</v>
      </c>
      <c r="D350">
        <v>5.0652850000000003</v>
      </c>
      <c r="E350">
        <v>0.55068879999999998</v>
      </c>
      <c r="F350" t="s">
        <v>41</v>
      </c>
      <c r="G350">
        <v>-375.91410000000002</v>
      </c>
      <c r="H350">
        <v>0.87176169999999997</v>
      </c>
      <c r="I350">
        <v>367.37430000000001</v>
      </c>
      <c r="J350">
        <v>-376.36619999999999</v>
      </c>
      <c r="K350">
        <v>1.110152</v>
      </c>
      <c r="L350">
        <v>367.49930000000001</v>
      </c>
      <c r="M350">
        <v>0.99984680000000004</v>
      </c>
      <c r="N350">
        <v>0</v>
      </c>
      <c r="O350">
        <v>1.010231E-2</v>
      </c>
      <c r="P350">
        <v>0.99769180000000002</v>
      </c>
      <c r="Q350">
        <v>5.2623820000000002E-2</v>
      </c>
      <c r="R350">
        <v>-4.2923759999999998E-2</v>
      </c>
      <c r="S350">
        <v>3.03653</v>
      </c>
      <c r="T350">
        <v>-0.95633760000000001</v>
      </c>
      <c r="U350">
        <v>-0.4881897</v>
      </c>
      <c r="V350">
        <v>5.3003990000000001E-2</v>
      </c>
      <c r="W350">
        <v>6.6879690000000006E-2</v>
      </c>
      <c r="X350">
        <v>0.99635220000000002</v>
      </c>
      <c r="Y350">
        <v>0.16063379999999999</v>
      </c>
      <c r="Z350">
        <v>-2.7639380000000002E-2</v>
      </c>
      <c r="AA350">
        <v>0.98662700000000003</v>
      </c>
      <c r="AB350">
        <v>32</v>
      </c>
      <c r="AC350">
        <v>0.45209999999997302</v>
      </c>
      <c r="AD350">
        <v>-0.2383903</v>
      </c>
      <c r="AE350">
        <v>-0.125</v>
      </c>
      <c r="AF350">
        <v>0.102965783765491</v>
      </c>
      <c r="AG350">
        <v>-0.2383903</v>
      </c>
      <c r="AH350">
        <v>0.35827367333730398</v>
      </c>
      <c r="AI350">
        <v>122.59891733222599</v>
      </c>
      <c r="AJ350">
        <v>73.965654757619703</v>
      </c>
      <c r="AK350">
        <v>0.44248379944031502</v>
      </c>
      <c r="AL350">
        <v>86.165213674615501</v>
      </c>
      <c r="AM350">
        <v>86.954846957747094</v>
      </c>
      <c r="AN350">
        <v>1.0000000111676199</v>
      </c>
    </row>
    <row r="351" spans="1:40" x14ac:dyDescent="0.25">
      <c r="A351" t="str">
        <f>"20190312154807780"</f>
        <v>20190312154807780</v>
      </c>
      <c r="B351" t="str">
        <f>"1552376887776654"</f>
        <v>1552376887776654</v>
      </c>
      <c r="C351" t="s">
        <v>40</v>
      </c>
      <c r="D351">
        <v>5.065671</v>
      </c>
      <c r="E351">
        <v>0.5510832</v>
      </c>
      <c r="F351" t="s">
        <v>41</v>
      </c>
      <c r="G351">
        <v>-375.63049999999998</v>
      </c>
      <c r="H351">
        <v>0.87823329999999999</v>
      </c>
      <c r="I351">
        <v>367.38119999999998</v>
      </c>
      <c r="J351">
        <v>-376.06700000000001</v>
      </c>
      <c r="K351">
        <v>1.1101540000000001</v>
      </c>
      <c r="L351">
        <v>367.50229999999999</v>
      </c>
      <c r="M351">
        <v>0.99984669999999998</v>
      </c>
      <c r="N351">
        <v>0</v>
      </c>
      <c r="O351">
        <v>1.010228E-2</v>
      </c>
      <c r="P351">
        <v>0.99767709999999998</v>
      </c>
      <c r="Q351">
        <v>5.2677199999999903E-2</v>
      </c>
      <c r="R351">
        <v>-4.3197850000000003E-2</v>
      </c>
      <c r="S351">
        <v>3.03653</v>
      </c>
      <c r="T351">
        <v>-0.95718170000000002</v>
      </c>
      <c r="U351">
        <v>-0.48620609999999997</v>
      </c>
      <c r="V351">
        <v>5.327788E-2</v>
      </c>
      <c r="W351">
        <v>6.6937739999999996E-2</v>
      </c>
      <c r="X351">
        <v>0.99633369999999999</v>
      </c>
      <c r="Y351">
        <v>0.16001949999999901</v>
      </c>
      <c r="Z351">
        <v>-2.7570020000000001E-2</v>
      </c>
      <c r="AA351">
        <v>0.98672879999999996</v>
      </c>
      <c r="AB351">
        <v>31</v>
      </c>
      <c r="AC351">
        <v>0.43649999999996603</v>
      </c>
      <c r="AD351">
        <v>-0.23192070000000001</v>
      </c>
      <c r="AE351">
        <v>-0.121100000000012</v>
      </c>
      <c r="AF351">
        <v>9.9438644504429699E-2</v>
      </c>
      <c r="AG351">
        <v>-0.23192070000000001</v>
      </c>
      <c r="AH351">
        <v>0.34485847348496801</v>
      </c>
      <c r="AI351">
        <v>122.869861736183</v>
      </c>
      <c r="AJ351">
        <v>73.915282432282595</v>
      </c>
      <c r="AK351">
        <v>0.427320280169044</v>
      </c>
      <c r="AL351">
        <v>86.161880209534402</v>
      </c>
      <c r="AM351">
        <v>86.939084714142695</v>
      </c>
      <c r="AN351">
        <v>1.00000001764464</v>
      </c>
    </row>
    <row r="352" spans="1:40" x14ac:dyDescent="0.25">
      <c r="A352" t="str">
        <f>"20190312154807792"</f>
        <v>20190312154807792</v>
      </c>
      <c r="B352" t="str">
        <f>"1552376887786415"</f>
        <v>1552376887786415</v>
      </c>
      <c r="C352" t="s">
        <v>40</v>
      </c>
      <c r="D352">
        <v>5.069693</v>
      </c>
      <c r="E352">
        <v>0.55121419999999999</v>
      </c>
      <c r="F352" t="s">
        <v>41</v>
      </c>
      <c r="G352">
        <v>-375.34690000000001</v>
      </c>
      <c r="H352">
        <v>0.88497939999999997</v>
      </c>
      <c r="I352">
        <v>367.38569999999999</v>
      </c>
      <c r="J352">
        <v>-375.90030000000002</v>
      </c>
      <c r="K352">
        <v>1.1101559999999999</v>
      </c>
      <c r="L352">
        <v>367.50400000000002</v>
      </c>
      <c r="M352">
        <v>0.99984649999999997</v>
      </c>
      <c r="N352">
        <v>0</v>
      </c>
      <c r="O352">
        <v>1.0102440000000001E-2</v>
      </c>
      <c r="P352">
        <v>0.99768140000000005</v>
      </c>
      <c r="Q352">
        <v>5.2612359999999997E-2</v>
      </c>
      <c r="R352">
        <v>-4.3171399999999999E-2</v>
      </c>
      <c r="S352">
        <v>3.0358580000000002</v>
      </c>
      <c r="T352">
        <v>-0.94939110000000004</v>
      </c>
      <c r="U352">
        <v>-0.49093629999999999</v>
      </c>
      <c r="V352">
        <v>5.325175E-2</v>
      </c>
      <c r="W352">
        <v>6.6875399999999904E-2</v>
      </c>
      <c r="X352">
        <v>0.99633930000000004</v>
      </c>
      <c r="Y352">
        <v>0.1616049</v>
      </c>
      <c r="Z352">
        <v>-2.759897E-2</v>
      </c>
      <c r="AA352">
        <v>0.98646959999999995</v>
      </c>
      <c r="AB352">
        <v>31</v>
      </c>
      <c r="AC352">
        <v>0.55340000000001</v>
      </c>
      <c r="AD352">
        <v>-0.22517659999999901</v>
      </c>
      <c r="AE352">
        <v>-0.118300000000033</v>
      </c>
      <c r="AF352">
        <v>0.106951615534504</v>
      </c>
      <c r="AG352">
        <v>-0.22517659999999901</v>
      </c>
      <c r="AH352">
        <v>0.47670067257070198</v>
      </c>
      <c r="AI352">
        <v>114.745304693923</v>
      </c>
      <c r="AJ352">
        <v>77.354632063737398</v>
      </c>
      <c r="AK352">
        <v>0.53794672643521102</v>
      </c>
      <c r="AL352">
        <v>86.165460114118304</v>
      </c>
      <c r="AM352">
        <v>86.940600242618103</v>
      </c>
      <c r="AN352">
        <v>1.00000003436385</v>
      </c>
    </row>
    <row r="353" spans="1:40" x14ac:dyDescent="0.25">
      <c r="A353" t="str">
        <f>"20190312154807805"</f>
        <v>20190312154807805</v>
      </c>
      <c r="B353" t="str">
        <f>"1552376887796174"</f>
        <v>1552376887796174</v>
      </c>
      <c r="C353" t="s">
        <v>40</v>
      </c>
      <c r="D353">
        <v>5.0580740000000004</v>
      </c>
      <c r="E353">
        <v>0.55130279999999998</v>
      </c>
      <c r="F353" t="s">
        <v>41</v>
      </c>
      <c r="G353">
        <v>-375.07889999999998</v>
      </c>
      <c r="H353">
        <v>0.85378359999999998</v>
      </c>
      <c r="I353">
        <v>367.37049999999999</v>
      </c>
      <c r="J353">
        <v>-375.71089999999998</v>
      </c>
      <c r="K353">
        <v>1.1101570000000001</v>
      </c>
      <c r="L353">
        <v>367.5059</v>
      </c>
      <c r="M353">
        <v>0.99984669999999998</v>
      </c>
      <c r="N353">
        <v>0</v>
      </c>
      <c r="O353">
        <v>1.010194E-2</v>
      </c>
      <c r="P353">
        <v>0.99768349999999995</v>
      </c>
      <c r="Q353">
        <v>5.2329010000000002E-2</v>
      </c>
      <c r="R353">
        <v>-4.3473709999999999E-2</v>
      </c>
      <c r="S353">
        <v>3.0356139999999998</v>
      </c>
      <c r="T353">
        <v>-0.94742630000000005</v>
      </c>
      <c r="U353">
        <v>-0.49243160000000002</v>
      </c>
      <c r="V353">
        <v>5.355335E-2</v>
      </c>
      <c r="W353">
        <v>6.6594700000000007E-2</v>
      </c>
      <c r="X353">
        <v>0.9963419</v>
      </c>
      <c r="Y353">
        <v>0.1620994</v>
      </c>
      <c r="Z353">
        <v>-2.7620249999999999E-2</v>
      </c>
      <c r="AA353">
        <v>0.98638780000000004</v>
      </c>
      <c r="AB353">
        <v>31</v>
      </c>
      <c r="AC353">
        <v>0.632000000000005</v>
      </c>
      <c r="AD353">
        <v>-0.25637339999999997</v>
      </c>
      <c r="AE353">
        <v>-0.13540000000000399</v>
      </c>
      <c r="AF353">
        <v>0.122504128987144</v>
      </c>
      <c r="AG353">
        <v>-0.25637339999999997</v>
      </c>
      <c r="AH353">
        <v>0.54487288288734703</v>
      </c>
      <c r="AI353">
        <v>114.65797215043401</v>
      </c>
      <c r="AJ353">
        <v>77.328851880016401</v>
      </c>
      <c r="AK353">
        <v>0.61450877971956397</v>
      </c>
      <c r="AL353">
        <v>86.181578835153203</v>
      </c>
      <c r="AM353">
        <v>86.923314041475393</v>
      </c>
      <c r="AN353">
        <v>0.99999999852996102</v>
      </c>
    </row>
    <row r="354" spans="1:40" x14ac:dyDescent="0.25">
      <c r="A354" t="str">
        <f>"20190312154807817"</f>
        <v>20190312154807817</v>
      </c>
      <c r="B354" t="str">
        <f>"1552376887806911"</f>
        <v>1552376887806911</v>
      </c>
      <c r="C354" t="s">
        <v>40</v>
      </c>
      <c r="D354">
        <v>5.0730500000000003</v>
      </c>
      <c r="E354">
        <v>0.55141049999999903</v>
      </c>
      <c r="F354" t="s">
        <v>41</v>
      </c>
      <c r="G354">
        <v>-374.80880000000002</v>
      </c>
      <c r="H354">
        <v>0.82866109999999904</v>
      </c>
      <c r="I354">
        <v>367.35899999999998</v>
      </c>
      <c r="J354">
        <v>-375.54</v>
      </c>
      <c r="K354">
        <v>1.1101559999999999</v>
      </c>
      <c r="L354">
        <v>367.5077</v>
      </c>
      <c r="M354">
        <v>0.99984649999999997</v>
      </c>
      <c r="N354">
        <v>0</v>
      </c>
      <c r="O354">
        <v>1.009988E-2</v>
      </c>
      <c r="P354">
        <v>0.99769430000000003</v>
      </c>
      <c r="Q354">
        <v>5.2214650000000001E-2</v>
      </c>
      <c r="R354">
        <v>-4.3356770000000003E-2</v>
      </c>
      <c r="S354">
        <v>3.0350950000000001</v>
      </c>
      <c r="T354">
        <v>-0.94713069999999999</v>
      </c>
      <c r="U354">
        <v>-0.49386600000000003</v>
      </c>
      <c r="V354">
        <v>5.3434870000000002E-2</v>
      </c>
      <c r="W354">
        <v>6.6482399999999997E-2</v>
      </c>
      <c r="X354">
        <v>0.99635580000000001</v>
      </c>
      <c r="Y354">
        <v>0.1625598</v>
      </c>
      <c r="Z354">
        <v>-2.7684629999999998E-2</v>
      </c>
      <c r="AA354">
        <v>0.98631020000000003</v>
      </c>
      <c r="AB354">
        <v>31</v>
      </c>
      <c r="AC354">
        <v>0.73120000000000096</v>
      </c>
      <c r="AD354">
        <v>-0.28149489999999999</v>
      </c>
      <c r="AE354">
        <v>-0.148699999999962</v>
      </c>
      <c r="AF354">
        <v>0.13663252368335899</v>
      </c>
      <c r="AG354">
        <v>-0.28149489999999999</v>
      </c>
      <c r="AH354">
        <v>0.63875275111153895</v>
      </c>
      <c r="AI354">
        <v>113.313424719623</v>
      </c>
      <c r="AJ354">
        <v>77.926090223614807</v>
      </c>
      <c r="AK354">
        <v>0.71127554597824705</v>
      </c>
      <c r="AL354">
        <v>86.188027591093402</v>
      </c>
      <c r="AM354">
        <v>86.930150530784701</v>
      </c>
      <c r="AN354">
        <v>1.0000000375176501</v>
      </c>
    </row>
    <row r="355" spans="1:40" x14ac:dyDescent="0.25">
      <c r="A355" t="str">
        <f>"20190312154807836"</f>
        <v>20190312154807836</v>
      </c>
      <c r="B355" t="str">
        <f>"1552376887826430"</f>
        <v>1552376887826430</v>
      </c>
      <c r="C355" t="s">
        <v>40</v>
      </c>
      <c r="D355">
        <v>5.0773460000000004</v>
      </c>
      <c r="E355">
        <v>0.55155650000000001</v>
      </c>
      <c r="F355" t="s">
        <v>41</v>
      </c>
      <c r="G355">
        <v>-374.78980000000001</v>
      </c>
      <c r="H355">
        <v>0.87629469999999998</v>
      </c>
      <c r="I355">
        <v>367.38529999999997</v>
      </c>
      <c r="J355">
        <v>-375.2944</v>
      </c>
      <c r="K355">
        <v>1.1101510000000001</v>
      </c>
      <c r="L355">
        <v>367.51010000000002</v>
      </c>
      <c r="M355">
        <v>0.99984660000000003</v>
      </c>
      <c r="N355">
        <v>0</v>
      </c>
      <c r="O355">
        <v>1.009325E-2</v>
      </c>
      <c r="P355">
        <v>0.997726</v>
      </c>
      <c r="Q355">
        <v>5.1809750000000002E-2</v>
      </c>
      <c r="R355">
        <v>-4.3114479999999997E-2</v>
      </c>
      <c r="S355">
        <v>3.0350039999999998</v>
      </c>
      <c r="T355">
        <v>-0.94615079999999996</v>
      </c>
      <c r="U355">
        <v>-0.49450680000000002</v>
      </c>
      <c r="V355">
        <v>5.318672E-2</v>
      </c>
      <c r="W355">
        <v>6.6080829999999993E-2</v>
      </c>
      <c r="X355">
        <v>0.99639580000000005</v>
      </c>
      <c r="Y355">
        <v>0.16276760000000001</v>
      </c>
      <c r="Z355">
        <v>-2.7687050000000001E-2</v>
      </c>
      <c r="AA355">
        <v>0.98627589999999998</v>
      </c>
      <c r="AB355">
        <v>31</v>
      </c>
      <c r="AC355">
        <v>0.50459999999998195</v>
      </c>
      <c r="AD355">
        <v>-0.23385629999999999</v>
      </c>
      <c r="AE355">
        <v>-0.12480000000005</v>
      </c>
      <c r="AF355">
        <v>0.108022949423562</v>
      </c>
      <c r="AG355">
        <v>-0.23385629999999999</v>
      </c>
      <c r="AH355">
        <v>0.41859022400799001</v>
      </c>
      <c r="AI355">
        <v>118.41132161918701</v>
      </c>
      <c r="AJ355">
        <v>75.529748787206799</v>
      </c>
      <c r="AK355">
        <v>0.49150330852082202</v>
      </c>
      <c r="AL355">
        <v>86.211086599361494</v>
      </c>
      <c r="AM355">
        <v>86.944502179065097</v>
      </c>
      <c r="AN355">
        <v>1.0000000467677399</v>
      </c>
    </row>
    <row r="356" spans="1:40" x14ac:dyDescent="0.25">
      <c r="A356" t="str">
        <f>"20190312154807848"</f>
        <v>20190312154807848</v>
      </c>
      <c r="B356" t="str">
        <f>"1552376887836191"</f>
        <v>1552376887836191</v>
      </c>
      <c r="C356" t="s">
        <v>40</v>
      </c>
      <c r="D356">
        <v>5.0893309999999996</v>
      </c>
      <c r="E356">
        <v>0.55158149999999995</v>
      </c>
      <c r="F356" t="s">
        <v>41</v>
      </c>
      <c r="G356">
        <v>-374.5138</v>
      </c>
      <c r="H356">
        <v>0.86689189999999905</v>
      </c>
      <c r="I356">
        <v>367.38229999999999</v>
      </c>
      <c r="J356">
        <v>-375.11950000000002</v>
      </c>
      <c r="K356">
        <v>1.1101490000000001</v>
      </c>
      <c r="L356">
        <v>367.51190000000003</v>
      </c>
      <c r="M356">
        <v>0.99984660000000003</v>
      </c>
      <c r="N356">
        <v>0</v>
      </c>
      <c r="O356">
        <v>1.0085139999999999E-2</v>
      </c>
      <c r="P356">
        <v>0.99775020000000003</v>
      </c>
      <c r="Q356">
        <v>5.1639030000000002E-2</v>
      </c>
      <c r="R356">
        <v>-4.2755689999999999E-2</v>
      </c>
      <c r="S356">
        <v>3.0345460000000002</v>
      </c>
      <c r="T356">
        <v>-0.94566919999999999</v>
      </c>
      <c r="U356">
        <v>-0.49499510000000002</v>
      </c>
      <c r="V356">
        <v>5.2820640000000002E-2</v>
      </c>
      <c r="W356">
        <v>6.5911940000000002E-2</v>
      </c>
      <c r="X356">
        <v>0.99642640000000005</v>
      </c>
      <c r="Y356">
        <v>0.16293629999999901</v>
      </c>
      <c r="Z356">
        <v>-2.7700260000000001E-2</v>
      </c>
      <c r="AA356">
        <v>0.98624769999999995</v>
      </c>
      <c r="AB356">
        <v>31</v>
      </c>
      <c r="AC356">
        <v>0.60570000000001301</v>
      </c>
      <c r="AD356">
        <v>-0.2432571</v>
      </c>
      <c r="AE356">
        <v>-0.12960000000003899</v>
      </c>
      <c r="AF356">
        <v>0.117569598778624</v>
      </c>
      <c r="AG356">
        <v>-0.2432571</v>
      </c>
      <c r="AH356">
        <v>0.52360528572127096</v>
      </c>
      <c r="AI356">
        <v>114.38452845949899</v>
      </c>
      <c r="AJ356">
        <v>77.344781317013101</v>
      </c>
      <c r="AK356">
        <v>0.58920210666004103</v>
      </c>
      <c r="AL356">
        <v>86.220784200389701</v>
      </c>
      <c r="AM356">
        <v>86.965586503341299</v>
      </c>
      <c r="AN356">
        <v>0.999999987230766</v>
      </c>
    </row>
    <row r="357" spans="1:40" x14ac:dyDescent="0.25">
      <c r="A357" t="str">
        <f>"20190312154807861"</f>
        <v>20190312154807861</v>
      </c>
      <c r="B357" t="str">
        <f>"1552376887856686"</f>
        <v>1552376887856686</v>
      </c>
      <c r="C357" t="s">
        <v>40</v>
      </c>
      <c r="D357">
        <v>5.1058820000000003</v>
      </c>
      <c r="E357">
        <v>0.55162489999999997</v>
      </c>
      <c r="F357" t="s">
        <v>41</v>
      </c>
      <c r="G357">
        <v>-374.24590000000001</v>
      </c>
      <c r="H357">
        <v>0.83801840000000005</v>
      </c>
      <c r="I357">
        <v>367.36919999999998</v>
      </c>
      <c r="J357">
        <v>-374.93720000000002</v>
      </c>
      <c r="K357">
        <v>1.110139</v>
      </c>
      <c r="L357">
        <v>367.51369999999997</v>
      </c>
      <c r="M357">
        <v>0.99984689999999998</v>
      </c>
      <c r="N357">
        <v>0</v>
      </c>
      <c r="O357">
        <v>1.0070610000000001E-2</v>
      </c>
      <c r="P357">
        <v>0.99777910000000003</v>
      </c>
      <c r="Q357">
        <v>5.1518639999999997E-2</v>
      </c>
      <c r="R357">
        <v>-4.222944E-2</v>
      </c>
      <c r="S357">
        <v>3.0344850000000001</v>
      </c>
      <c r="T357">
        <v>-0.94522870000000003</v>
      </c>
      <c r="U357">
        <v>-0.49468990000000002</v>
      </c>
      <c r="V357">
        <v>5.2281029999999999E-2</v>
      </c>
      <c r="W357">
        <v>6.5792989999999996E-2</v>
      </c>
      <c r="X357">
        <v>0.99646270000000003</v>
      </c>
      <c r="Y357">
        <v>0.1628404</v>
      </c>
      <c r="Z357">
        <v>-2.7669760000000002E-2</v>
      </c>
      <c r="AA357">
        <v>0.98626429999999998</v>
      </c>
      <c r="AB357">
        <v>31</v>
      </c>
      <c r="AC357">
        <v>0.69130000000001202</v>
      </c>
      <c r="AD357">
        <v>-0.27212059999999899</v>
      </c>
      <c r="AE357">
        <v>-0.144499999999993</v>
      </c>
      <c r="AF357">
        <v>0.13187646142030701</v>
      </c>
      <c r="AG357">
        <v>-0.27212059999999899</v>
      </c>
      <c r="AH357">
        <v>0.60063734512357703</v>
      </c>
      <c r="AI357">
        <v>113.86999007014499</v>
      </c>
      <c r="AJ357">
        <v>77.616582131994804</v>
      </c>
      <c r="AK357">
        <v>0.67246281858419499</v>
      </c>
      <c r="AL357">
        <v>86.227614286777793</v>
      </c>
      <c r="AM357">
        <v>86.996637909802203</v>
      </c>
      <c r="AN357">
        <v>0.99999996806114499</v>
      </c>
    </row>
    <row r="358" spans="1:40" x14ac:dyDescent="0.25">
      <c r="A358" t="str">
        <f>"20190312154807881"</f>
        <v>20190312154807881</v>
      </c>
      <c r="B358" t="str">
        <f>"1552376887876206"</f>
        <v>1552376887876206</v>
      </c>
      <c r="C358" t="s">
        <v>40</v>
      </c>
      <c r="D358">
        <v>5.1241329999999996</v>
      </c>
      <c r="E358">
        <v>0.55162219999999995</v>
      </c>
      <c r="F358" t="s">
        <v>41</v>
      </c>
      <c r="G358">
        <v>-374.22579999999999</v>
      </c>
      <c r="H358">
        <v>0.88853409999999999</v>
      </c>
      <c r="I358">
        <v>367.39769999999999</v>
      </c>
      <c r="J358">
        <v>-374.67070000000001</v>
      </c>
      <c r="K358">
        <v>1.1101270000000001</v>
      </c>
      <c r="L358">
        <v>367.5163</v>
      </c>
      <c r="M358">
        <v>0.99984709999999999</v>
      </c>
      <c r="N358">
        <v>0</v>
      </c>
      <c r="O358">
        <v>1.003768E-2</v>
      </c>
      <c r="P358">
        <v>0.99781540000000002</v>
      </c>
      <c r="Q358">
        <v>5.171543E-2</v>
      </c>
      <c r="R358">
        <v>-4.1109859999999998E-2</v>
      </c>
      <c r="S358">
        <v>3.0346069999999998</v>
      </c>
      <c r="T358">
        <v>-0.94536390000000003</v>
      </c>
      <c r="U358">
        <v>-0.49374390000000001</v>
      </c>
      <c r="V358">
        <v>5.113082E-2</v>
      </c>
      <c r="W358">
        <v>6.5990930000000003E-2</v>
      </c>
      <c r="X358">
        <v>0.99650930000000004</v>
      </c>
      <c r="Y358">
        <v>0.16251660000000001</v>
      </c>
      <c r="Z358">
        <v>-2.7614199999999998E-2</v>
      </c>
      <c r="AA358">
        <v>0.98631930000000001</v>
      </c>
      <c r="AB358">
        <v>31</v>
      </c>
      <c r="AC358">
        <v>0.444900000000018</v>
      </c>
      <c r="AD358">
        <v>-0.22159290000000001</v>
      </c>
      <c r="AE358">
        <v>-0.118600000000014</v>
      </c>
      <c r="AF358">
        <v>9.9917566428671001E-2</v>
      </c>
      <c r="AG358">
        <v>-0.22159290000000001</v>
      </c>
      <c r="AH358">
        <v>0.36024732601008602</v>
      </c>
      <c r="AI358">
        <v>120.65677865244901</v>
      </c>
      <c r="AJ358">
        <v>74.4982069459559</v>
      </c>
      <c r="AK358">
        <v>0.43458608964030998</v>
      </c>
      <c r="AL358">
        <v>86.216248482772698</v>
      </c>
      <c r="AM358">
        <v>87.062733551897296</v>
      </c>
      <c r="AN358">
        <v>0.99999997429131304</v>
      </c>
    </row>
    <row r="359" spans="1:40" x14ac:dyDescent="0.25">
      <c r="A359" t="str">
        <f>"20190312154807893"</f>
        <v>20190312154807893</v>
      </c>
      <c r="B359" t="str">
        <f>"1552376887886942"</f>
        <v>1552376887886942</v>
      </c>
      <c r="C359" t="s">
        <v>40</v>
      </c>
      <c r="D359">
        <v>5.0319440000000002</v>
      </c>
      <c r="E359">
        <v>0.55156169999999904</v>
      </c>
      <c r="F359" t="s">
        <v>41</v>
      </c>
      <c r="G359">
        <v>-373.94799999999998</v>
      </c>
      <c r="H359">
        <v>0.88538899999999998</v>
      </c>
      <c r="I359">
        <v>367.39940000000001</v>
      </c>
      <c r="J359">
        <v>-374.4871</v>
      </c>
      <c r="K359">
        <v>1.110117</v>
      </c>
      <c r="L359">
        <v>367.51819999999998</v>
      </c>
      <c r="M359">
        <v>0.9998475</v>
      </c>
      <c r="N359">
        <v>0</v>
      </c>
      <c r="O359">
        <v>1.000503E-2</v>
      </c>
      <c r="P359">
        <v>0.99784470000000003</v>
      </c>
      <c r="Q359">
        <v>5.154835E-2</v>
      </c>
      <c r="R359">
        <v>-4.060896E-2</v>
      </c>
      <c r="S359">
        <v>3.0353089999999998</v>
      </c>
      <c r="T359">
        <v>-0.94385909999999995</v>
      </c>
      <c r="U359">
        <v>-0.49041750000000001</v>
      </c>
      <c r="V359">
        <v>5.0598940000000002E-2</v>
      </c>
      <c r="W359">
        <v>6.5823919999999994E-2</v>
      </c>
      <c r="X359">
        <v>0.99654750000000003</v>
      </c>
      <c r="Y359">
        <v>0.16147129999999901</v>
      </c>
      <c r="Z359">
        <v>-2.740074E-2</v>
      </c>
      <c r="AA359">
        <v>0.98649690000000001</v>
      </c>
      <c r="AB359">
        <v>31</v>
      </c>
      <c r="AC359">
        <v>0.53909999999996205</v>
      </c>
      <c r="AD359">
        <v>-0.22472800000000001</v>
      </c>
      <c r="AE359">
        <v>-0.118799999999964</v>
      </c>
      <c r="AF359">
        <v>0.106533336780691</v>
      </c>
      <c r="AG359">
        <v>-0.22472800000000001</v>
      </c>
      <c r="AH359">
        <v>0.46141706304045299</v>
      </c>
      <c r="AI359">
        <v>115.386886510393</v>
      </c>
      <c r="AJ359">
        <v>76.9991966906871</v>
      </c>
      <c r="AK359">
        <v>0.52417337961261001</v>
      </c>
      <c r="AL359">
        <v>86.225838325242194</v>
      </c>
      <c r="AM359">
        <v>87.0933465432189</v>
      </c>
      <c r="AN359">
        <v>0.99999998046476901</v>
      </c>
    </row>
    <row r="360" spans="1:40" x14ac:dyDescent="0.25">
      <c r="A360" t="str">
        <f>"20190312154807906"</f>
        <v>20190312154807906</v>
      </c>
      <c r="B360" t="str">
        <f>"1552376887896702"</f>
        <v>1552376887896702</v>
      </c>
      <c r="C360" t="s">
        <v>40</v>
      </c>
      <c r="D360">
        <v>5.1421830000000002</v>
      </c>
      <c r="E360">
        <v>0.55157149999999999</v>
      </c>
      <c r="F360" t="s">
        <v>41</v>
      </c>
      <c r="G360">
        <v>-373.68009999999998</v>
      </c>
      <c r="H360">
        <v>0.85833939999999997</v>
      </c>
      <c r="I360">
        <v>367.38810000000001</v>
      </c>
      <c r="J360">
        <v>-374.3168</v>
      </c>
      <c r="K360">
        <v>1.1101080000000001</v>
      </c>
      <c r="L360">
        <v>367.51990000000001</v>
      </c>
      <c r="M360">
        <v>0.99984779999999995</v>
      </c>
      <c r="N360">
        <v>0</v>
      </c>
      <c r="O360">
        <v>9.9701119999999997E-3</v>
      </c>
      <c r="P360">
        <v>0.99786640000000004</v>
      </c>
      <c r="Q360">
        <v>5.1352429999999998E-2</v>
      </c>
      <c r="R360">
        <v>-4.0328290000000003E-2</v>
      </c>
      <c r="S360">
        <v>3.0355829999999999</v>
      </c>
      <c r="T360">
        <v>-0.94711659999999998</v>
      </c>
      <c r="U360">
        <v>-0.4880371</v>
      </c>
      <c r="V360">
        <v>5.0285070000000001E-2</v>
      </c>
      <c r="W360">
        <v>6.5628359999999997E-2</v>
      </c>
      <c r="X360">
        <v>0.99657629999999997</v>
      </c>
      <c r="Y360">
        <v>0.1606551</v>
      </c>
      <c r="Z360">
        <v>-2.7356120000000001E-2</v>
      </c>
      <c r="AA360">
        <v>0.98663149999999999</v>
      </c>
      <c r="AB360">
        <v>31</v>
      </c>
      <c r="AC360">
        <v>0.63670000000001803</v>
      </c>
      <c r="AD360">
        <v>-0.25176860000000001</v>
      </c>
      <c r="AE360">
        <v>-0.131799999999998</v>
      </c>
      <c r="AF360">
        <v>0.120130034584897</v>
      </c>
      <c r="AG360">
        <v>-0.25176860000000001</v>
      </c>
      <c r="AH360">
        <v>0.55251175068074199</v>
      </c>
      <c r="AI360">
        <v>114.002294119602</v>
      </c>
      <c r="AJ360">
        <v>77.733366232737595</v>
      </c>
      <c r="AK360">
        <v>0.61894094047463599</v>
      </c>
      <c r="AL360">
        <v>86.2370674265199</v>
      </c>
      <c r="AM360">
        <v>87.111429493901397</v>
      </c>
      <c r="AN360">
        <v>0.99999999581144206</v>
      </c>
    </row>
    <row r="361" spans="1:40" x14ac:dyDescent="0.25">
      <c r="A361" t="str">
        <f>"20190312154807918"</f>
        <v>20190312154807918</v>
      </c>
      <c r="B361" t="str">
        <f>"1552376887906463"</f>
        <v>1552376887906463</v>
      </c>
      <c r="C361" t="s">
        <v>40</v>
      </c>
      <c r="D361">
        <v>5.0982419999999999</v>
      </c>
      <c r="E361">
        <v>0.55160089999999995</v>
      </c>
      <c r="F361" t="s">
        <v>41</v>
      </c>
      <c r="G361">
        <v>-373.41359999999997</v>
      </c>
      <c r="H361">
        <v>0.82831980000000005</v>
      </c>
      <c r="I361">
        <v>367.37450000000001</v>
      </c>
      <c r="J361">
        <v>-374.13929999999999</v>
      </c>
      <c r="K361">
        <v>1.110098</v>
      </c>
      <c r="L361">
        <v>367.5215</v>
      </c>
      <c r="M361">
        <v>0.99984810000000002</v>
      </c>
      <c r="N361">
        <v>0</v>
      </c>
      <c r="O361">
        <v>9.922953E-3</v>
      </c>
      <c r="P361">
        <v>0.99789550000000005</v>
      </c>
      <c r="Q361">
        <v>5.0961329999999999E-2</v>
      </c>
      <c r="R361">
        <v>-4.0093789999999997E-2</v>
      </c>
      <c r="S361">
        <v>3.035431</v>
      </c>
      <c r="T361">
        <v>-0.94700470000000003</v>
      </c>
      <c r="U361">
        <v>-0.48767090000000002</v>
      </c>
      <c r="V361">
        <v>5.0005630000000002E-2</v>
      </c>
      <c r="W361">
        <v>6.5237240000000002E-2</v>
      </c>
      <c r="X361">
        <v>0.9966161</v>
      </c>
      <c r="Y361">
        <v>0.16051009999999999</v>
      </c>
      <c r="Z361">
        <v>-2.731832E-2</v>
      </c>
      <c r="AA361">
        <v>0.98665610000000004</v>
      </c>
      <c r="AB361">
        <v>31</v>
      </c>
      <c r="AC361">
        <v>0.725700000000017</v>
      </c>
      <c r="AD361">
        <v>-0.28177819999999998</v>
      </c>
      <c r="AE361">
        <v>-0.146999999999991</v>
      </c>
      <c r="AF361">
        <v>0.13468862189617301</v>
      </c>
      <c r="AG361">
        <v>-0.28177819999999998</v>
      </c>
      <c r="AH361">
        <v>0.63259180657736602</v>
      </c>
      <c r="AI361">
        <v>113.541256111522</v>
      </c>
      <c r="AJ361">
        <v>77.980322954116204</v>
      </c>
      <c r="AK361">
        <v>0.70548732987371698</v>
      </c>
      <c r="AL361">
        <v>86.259525303416297</v>
      </c>
      <c r="AM361">
        <v>87.127569180537293</v>
      </c>
      <c r="AN361">
        <v>1.00000005564686</v>
      </c>
    </row>
    <row r="362" spans="1:40" x14ac:dyDescent="0.25">
      <c r="A362" t="str">
        <f>"20190312154807937"</f>
        <v>20190312154807937</v>
      </c>
      <c r="B362" t="str">
        <f>"1552376887926958"</f>
        <v>1552376887926958</v>
      </c>
      <c r="C362" t="s">
        <v>40</v>
      </c>
      <c r="D362">
        <v>5.0846339999999897</v>
      </c>
      <c r="E362">
        <v>0.55165540000000002</v>
      </c>
      <c r="F362" t="s">
        <v>41</v>
      </c>
      <c r="G362">
        <v>-373.39409999999998</v>
      </c>
      <c r="H362">
        <v>0.87723660000000003</v>
      </c>
      <c r="I362">
        <v>367.40170000000001</v>
      </c>
      <c r="J362">
        <v>-373.87349999999998</v>
      </c>
      <c r="K362">
        <v>1.110085</v>
      </c>
      <c r="L362">
        <v>367.52409999999998</v>
      </c>
      <c r="M362">
        <v>0.99984899999999999</v>
      </c>
      <c r="N362">
        <v>0</v>
      </c>
      <c r="O362">
        <v>9.8414999999999996E-3</v>
      </c>
      <c r="P362">
        <v>0.99790699999999999</v>
      </c>
      <c r="Q362">
        <v>5.0805870000000003E-2</v>
      </c>
      <c r="R362">
        <v>-4.000898E-2</v>
      </c>
      <c r="S362">
        <v>3.0351870000000001</v>
      </c>
      <c r="T362">
        <v>-0.94838460000000002</v>
      </c>
      <c r="U362">
        <v>-0.48669430000000002</v>
      </c>
      <c r="V362">
        <v>4.9841940000000001E-2</v>
      </c>
      <c r="W362">
        <v>6.5081169999999994E-2</v>
      </c>
      <c r="X362">
        <v>0.99663440000000003</v>
      </c>
      <c r="Y362">
        <v>0.16012999999999999</v>
      </c>
      <c r="Z362">
        <v>-2.7276689999999999E-2</v>
      </c>
      <c r="AA362">
        <v>0.98671900000000001</v>
      </c>
      <c r="AB362">
        <v>31</v>
      </c>
      <c r="AC362">
        <v>0.47939999999999799</v>
      </c>
      <c r="AD362">
        <v>-0.23284840000000001</v>
      </c>
      <c r="AE362">
        <v>-0.12239999999997001</v>
      </c>
      <c r="AF362">
        <v>0.10406483541613</v>
      </c>
      <c r="AG362">
        <v>-0.23284840000000001</v>
      </c>
      <c r="AH362">
        <v>0.391471088771288</v>
      </c>
      <c r="AI362">
        <v>119.89199137444299</v>
      </c>
      <c r="AJ362">
        <v>75.113336661487907</v>
      </c>
      <c r="AK362">
        <v>0.46722315941798498</v>
      </c>
      <c r="AL362">
        <v>86.268486113281</v>
      </c>
      <c r="AM362">
        <v>87.137008699083495</v>
      </c>
      <c r="AN362">
        <v>0.999999952467445</v>
      </c>
    </row>
    <row r="363" spans="1:40" x14ac:dyDescent="0.25">
      <c r="A363" t="str">
        <f>"20190312154807961"</f>
        <v>20190312154807961</v>
      </c>
      <c r="B363" t="str">
        <f>"1552376887956239"</f>
        <v>1552376887956239</v>
      </c>
      <c r="C363" t="s">
        <v>40</v>
      </c>
      <c r="D363">
        <v>5.1347969999999998</v>
      </c>
      <c r="E363">
        <v>0.55160359999999997</v>
      </c>
      <c r="F363" t="s">
        <v>41</v>
      </c>
      <c r="G363">
        <v>-373.11759999999998</v>
      </c>
      <c r="H363">
        <v>0.87326299999999901</v>
      </c>
      <c r="I363">
        <v>367.40289999999999</v>
      </c>
      <c r="J363">
        <v>-373.55070000000001</v>
      </c>
      <c r="K363">
        <v>1.1100699999999999</v>
      </c>
      <c r="L363">
        <v>367.52719999999999</v>
      </c>
      <c r="M363">
        <v>0.99985020000000002</v>
      </c>
      <c r="N363">
        <v>0</v>
      </c>
      <c r="O363">
        <v>9.7242619999999991E-3</v>
      </c>
      <c r="P363">
        <v>0.9978745</v>
      </c>
      <c r="Q363">
        <v>5.0934140000000003E-2</v>
      </c>
      <c r="R363">
        <v>-4.0652180000000003E-2</v>
      </c>
      <c r="S363">
        <v>3.0352480000000002</v>
      </c>
      <c r="T363">
        <v>-0.95096029999999998</v>
      </c>
      <c r="U363">
        <v>-0.48641970000000001</v>
      </c>
      <c r="V363">
        <v>5.0370720000000001E-2</v>
      </c>
      <c r="W363">
        <v>6.5207249999999994E-2</v>
      </c>
      <c r="X363">
        <v>0.99659960000000003</v>
      </c>
      <c r="Y363">
        <v>0.1598987</v>
      </c>
      <c r="Z363">
        <v>-2.7276249999999998E-2</v>
      </c>
      <c r="AA363">
        <v>0.98675650000000004</v>
      </c>
      <c r="AB363">
        <v>31</v>
      </c>
      <c r="AC363">
        <v>0.43310000000002402</v>
      </c>
      <c r="AD363">
        <v>-0.23680699999999999</v>
      </c>
      <c r="AE363">
        <v>-0.124300000000005</v>
      </c>
      <c r="AF363">
        <v>0.10069367275213</v>
      </c>
      <c r="AG363">
        <v>-0.23680699999999999</v>
      </c>
      <c r="AH363">
        <v>0.33840131441614701</v>
      </c>
      <c r="AI363">
        <v>123.85048728380001</v>
      </c>
      <c r="AJ363">
        <v>73.4292592047114</v>
      </c>
      <c r="AK363">
        <v>0.42512612314451997</v>
      </c>
      <c r="AL363">
        <v>86.261246982515601</v>
      </c>
      <c r="AM363">
        <v>87.106585310970402</v>
      </c>
      <c r="AN363">
        <v>0.99999997880302005</v>
      </c>
    </row>
    <row r="364" spans="1:40" x14ac:dyDescent="0.25">
      <c r="A364" t="str">
        <f>"20190312154807981"</f>
        <v>20190312154807981</v>
      </c>
      <c r="B364" t="str">
        <f>"1552376887976735"</f>
        <v>1552376887976735</v>
      </c>
      <c r="C364" t="s">
        <v>40</v>
      </c>
      <c r="D364">
        <v>5.0761479999999999</v>
      </c>
      <c r="E364">
        <v>0.5516238</v>
      </c>
      <c r="F364" t="s">
        <v>41</v>
      </c>
      <c r="G364">
        <v>-372.8347</v>
      </c>
      <c r="H364">
        <v>0.88586239999999905</v>
      </c>
      <c r="I364">
        <v>367.41160000000002</v>
      </c>
      <c r="J364">
        <v>-373.26510000000002</v>
      </c>
      <c r="K364">
        <v>1.11006</v>
      </c>
      <c r="L364">
        <v>367.52980000000002</v>
      </c>
      <c r="M364">
        <v>0.9998513</v>
      </c>
      <c r="N364">
        <v>0</v>
      </c>
      <c r="O364">
        <v>9.6058169999999991E-3</v>
      </c>
      <c r="P364">
        <v>0.99783940000000004</v>
      </c>
      <c r="Q364">
        <v>5.0691729999999997E-2</v>
      </c>
      <c r="R364">
        <v>-4.1799030000000001E-2</v>
      </c>
      <c r="S364">
        <v>3.035034</v>
      </c>
      <c r="T364">
        <v>-0.95050860000000004</v>
      </c>
      <c r="U364">
        <v>-0.4878845</v>
      </c>
      <c r="V364">
        <v>5.1400719999999997E-2</v>
      </c>
      <c r="W364">
        <v>6.4962210000000006E-2</v>
      </c>
      <c r="X364">
        <v>0.99656299999999998</v>
      </c>
      <c r="Y364">
        <v>0.16025309999999901</v>
      </c>
      <c r="Z364">
        <v>-2.7282569999999999E-2</v>
      </c>
      <c r="AA364">
        <v>0.98669890000000005</v>
      </c>
      <c r="AB364">
        <v>31</v>
      </c>
      <c r="AC364">
        <v>0.43040000000001999</v>
      </c>
      <c r="AD364">
        <v>-0.2241976</v>
      </c>
      <c r="AE364">
        <v>-0.118200000000001</v>
      </c>
      <c r="AF364">
        <v>9.7682726431832401E-2</v>
      </c>
      <c r="AG364">
        <v>-0.2241976</v>
      </c>
      <c r="AH364">
        <v>0.34276154393584202</v>
      </c>
      <c r="AI364">
        <v>122.17177323052999</v>
      </c>
      <c r="AJ364">
        <v>74.093114960319397</v>
      </c>
      <c r="AK364">
        <v>0.42106051214783602</v>
      </c>
      <c r="AL364">
        <v>86.275316531003696</v>
      </c>
      <c r="AM364">
        <v>87.047415041719901</v>
      </c>
      <c r="AN364">
        <v>0.99999996785680001</v>
      </c>
    </row>
    <row r="365" spans="1:40" x14ac:dyDescent="0.25">
      <c r="A365" t="str">
        <f>"20190312154807999"</f>
        <v>20190312154807999</v>
      </c>
      <c r="B365" t="str">
        <f>"1552376887986494"</f>
        <v>1552376887986494</v>
      </c>
      <c r="C365" t="s">
        <v>40</v>
      </c>
      <c r="D365">
        <v>5.1657820000000001</v>
      </c>
      <c r="E365">
        <v>0.55157400000000001</v>
      </c>
      <c r="F365" t="s">
        <v>41</v>
      </c>
      <c r="G365">
        <v>-372.5566</v>
      </c>
      <c r="H365">
        <v>0.88757659999999905</v>
      </c>
      <c r="I365">
        <v>367.4151</v>
      </c>
      <c r="J365">
        <v>-373.02499999999998</v>
      </c>
      <c r="K365">
        <v>1.110053</v>
      </c>
      <c r="L365">
        <v>367.53199999999998</v>
      </c>
      <c r="M365">
        <v>0.99985230000000003</v>
      </c>
      <c r="N365">
        <v>0</v>
      </c>
      <c r="O365">
        <v>9.4994889999999998E-3</v>
      </c>
      <c r="P365">
        <v>0.99780060000000004</v>
      </c>
      <c r="Q365">
        <v>5.0794230000000003E-2</v>
      </c>
      <c r="R365">
        <v>-4.258899E-2</v>
      </c>
      <c r="S365">
        <v>3.0343629999999999</v>
      </c>
      <c r="T365">
        <v>-0.95284990000000003</v>
      </c>
      <c r="U365">
        <v>-0.49063109999999999</v>
      </c>
      <c r="V365">
        <v>5.2085520000000003E-2</v>
      </c>
      <c r="W365">
        <v>6.5062610000000007E-2</v>
      </c>
      <c r="X365">
        <v>0.99652090000000004</v>
      </c>
      <c r="Y365">
        <v>0.1609833</v>
      </c>
      <c r="Z365">
        <v>-2.7429490000000001E-2</v>
      </c>
      <c r="AA365">
        <v>0.98657589999999995</v>
      </c>
      <c r="AB365">
        <v>31</v>
      </c>
      <c r="AC365">
        <v>0.468399999999974</v>
      </c>
      <c r="AD365">
        <v>-0.22247639999999999</v>
      </c>
      <c r="AE365">
        <v>-0.116899999999986</v>
      </c>
      <c r="AF365">
        <v>0.10008889998609601</v>
      </c>
      <c r="AG365">
        <v>-0.22247639999999999</v>
      </c>
      <c r="AH365">
        <v>0.38541732662435102</v>
      </c>
      <c r="AI365">
        <v>119.192236405937</v>
      </c>
      <c r="AJ365">
        <v>75.442439573211601</v>
      </c>
      <c r="AK365">
        <v>0.45613600177978503</v>
      </c>
      <c r="AL365">
        <v>86.269551863441393</v>
      </c>
      <c r="AM365">
        <v>87.008023260893694</v>
      </c>
      <c r="AN365">
        <v>0.99999997437524601</v>
      </c>
    </row>
    <row r="366" spans="1:40" x14ac:dyDescent="0.25">
      <c r="A366" t="str">
        <f>"20190312154808015"</f>
        <v>20190312154808015</v>
      </c>
      <c r="B366" t="str">
        <f>"1552376888006017"</f>
        <v>1552376888006017</v>
      </c>
      <c r="C366" t="s">
        <v>40</v>
      </c>
      <c r="D366">
        <v>5.1582549999999996</v>
      </c>
      <c r="E366">
        <v>0.5515584</v>
      </c>
      <c r="F366" t="s">
        <v>41</v>
      </c>
      <c r="G366">
        <v>-372.2835</v>
      </c>
      <c r="H366">
        <v>0.87730919999999901</v>
      </c>
      <c r="I366">
        <v>367.41140000000001</v>
      </c>
      <c r="J366">
        <v>-372.79180000000002</v>
      </c>
      <c r="K366">
        <v>1.1100479999999999</v>
      </c>
      <c r="L366">
        <v>367.53410000000002</v>
      </c>
      <c r="M366">
        <v>0.99985329999999994</v>
      </c>
      <c r="N366">
        <v>0</v>
      </c>
      <c r="O366">
        <v>9.3925439999999992E-3</v>
      </c>
      <c r="P366">
        <v>0.99776069999999994</v>
      </c>
      <c r="Q366">
        <v>5.039362E-2</v>
      </c>
      <c r="R366">
        <v>-4.3976519999999998E-2</v>
      </c>
      <c r="S366">
        <v>3.0340579999999999</v>
      </c>
      <c r="T366">
        <v>-0.9523066</v>
      </c>
      <c r="U366">
        <v>-0.49221799999999999</v>
      </c>
      <c r="V366">
        <v>5.3366549999999999E-2</v>
      </c>
      <c r="W366">
        <v>6.4659579999999994E-2</v>
      </c>
      <c r="X366">
        <v>0.99647940000000002</v>
      </c>
      <c r="Y366">
        <v>0.16139049999999999</v>
      </c>
      <c r="Z366">
        <v>-2.7445520000000001E-2</v>
      </c>
      <c r="AA366">
        <v>0.98650890000000002</v>
      </c>
      <c r="AB366">
        <v>31</v>
      </c>
      <c r="AC366">
        <v>0.50830000000001896</v>
      </c>
      <c r="AD366">
        <v>-0.2327388</v>
      </c>
      <c r="AE366">
        <v>-0.122700000000008</v>
      </c>
      <c r="AF366">
        <v>0.106392221689733</v>
      </c>
      <c r="AG366">
        <v>-0.2327388</v>
      </c>
      <c r="AH366">
        <v>0.42327173440582999</v>
      </c>
      <c r="AI366">
        <v>118.069602781912</v>
      </c>
      <c r="AJ366">
        <v>75.890614777385693</v>
      </c>
      <c r="AK366">
        <v>0.49461663438307102</v>
      </c>
      <c r="AL366">
        <v>86.2926926872818</v>
      </c>
      <c r="AM366">
        <v>86.934447605101099</v>
      </c>
      <c r="AN366">
        <v>1.00000002228451</v>
      </c>
    </row>
    <row r="367" spans="1:40" x14ac:dyDescent="0.25">
      <c r="A367" t="str">
        <f>"20190312154808038"</f>
        <v>20190312154808038</v>
      </c>
      <c r="B367" t="str">
        <f>"1552376888026510"</f>
        <v>1552376888026510</v>
      </c>
      <c r="C367" t="s">
        <v>40</v>
      </c>
      <c r="D367">
        <v>5.1591649999999998</v>
      </c>
      <c r="E367">
        <v>0.55154780000000003</v>
      </c>
      <c r="F367" t="s">
        <v>41</v>
      </c>
      <c r="G367">
        <v>-372.01170000000002</v>
      </c>
      <c r="H367">
        <v>0.86472850000000001</v>
      </c>
      <c r="I367">
        <v>367.40640000000002</v>
      </c>
      <c r="J367">
        <v>-372.48360000000002</v>
      </c>
      <c r="K367">
        <v>1.1100490000000001</v>
      </c>
      <c r="L367">
        <v>367.53680000000003</v>
      </c>
      <c r="M367">
        <v>0.99985460000000004</v>
      </c>
      <c r="N367">
        <v>0</v>
      </c>
      <c r="O367">
        <v>9.2486570000000004E-3</v>
      </c>
      <c r="P367">
        <v>0.99772079999999996</v>
      </c>
      <c r="Q367">
        <v>5.0185710000000001E-2</v>
      </c>
      <c r="R367">
        <v>-4.5106159999999999E-2</v>
      </c>
      <c r="S367">
        <v>3.03302</v>
      </c>
      <c r="T367">
        <v>-0.9538044</v>
      </c>
      <c r="U367">
        <v>-0.4963379</v>
      </c>
      <c r="V367">
        <v>5.4352820000000003E-2</v>
      </c>
      <c r="W367">
        <v>6.4449259999999994E-2</v>
      </c>
      <c r="X367">
        <v>0.99643970000000004</v>
      </c>
      <c r="Y367">
        <v>0.16253239999999999</v>
      </c>
      <c r="Z367">
        <v>-2.7623140000000001E-2</v>
      </c>
      <c r="AA367">
        <v>0.98631639999999998</v>
      </c>
      <c r="AB367">
        <v>31</v>
      </c>
      <c r="AC367">
        <v>0.47190000000000498</v>
      </c>
      <c r="AD367">
        <v>-0.2453205</v>
      </c>
      <c r="AE367">
        <v>-0.13040000000000801</v>
      </c>
      <c r="AF367">
        <v>0.107714442394927</v>
      </c>
      <c r="AG367">
        <v>-0.2453205</v>
      </c>
      <c r="AH367">
        <v>0.37621408834676801</v>
      </c>
      <c r="AI367">
        <v>122.083126662217</v>
      </c>
      <c r="AJ367">
        <v>74.022970555465207</v>
      </c>
      <c r="AK367">
        <v>0.46186750166177498</v>
      </c>
      <c r="AL367">
        <v>86.304768262428695</v>
      </c>
      <c r="AM367">
        <v>86.877779894728405</v>
      </c>
      <c r="AN367">
        <v>1.0000000059462899</v>
      </c>
    </row>
    <row r="368" spans="1:40" x14ac:dyDescent="0.25">
      <c r="A368" t="str">
        <f>"20190312154808050"</f>
        <v>20190312154808050</v>
      </c>
      <c r="B368" t="str">
        <f>"1552376888046031"</f>
        <v>1552376888046031</v>
      </c>
      <c r="C368" t="s">
        <v>40</v>
      </c>
      <c r="D368">
        <v>5.1794399999999996</v>
      </c>
      <c r="E368">
        <v>0.55144380000000004</v>
      </c>
      <c r="F368" t="s">
        <v>41</v>
      </c>
      <c r="G368">
        <v>-371.73169999999999</v>
      </c>
      <c r="H368">
        <v>0.87336950000000002</v>
      </c>
      <c r="I368">
        <v>367.4126</v>
      </c>
      <c r="J368">
        <v>-372.30619999999999</v>
      </c>
      <c r="K368">
        <v>1.1100490000000001</v>
      </c>
      <c r="L368">
        <v>367.53840000000002</v>
      </c>
      <c r="M368">
        <v>0.99985550000000001</v>
      </c>
      <c r="N368">
        <v>0</v>
      </c>
      <c r="O368">
        <v>9.1656059999999998E-3</v>
      </c>
      <c r="P368">
        <v>0.99770700000000001</v>
      </c>
      <c r="Q368">
        <v>5.0133469999999999E-2</v>
      </c>
      <c r="R368">
        <v>-4.5473960000000001E-2</v>
      </c>
      <c r="S368">
        <v>3.032257</v>
      </c>
      <c r="T368">
        <v>-0.95435729999999996</v>
      </c>
      <c r="U368">
        <v>-0.49981690000000001</v>
      </c>
      <c r="V368">
        <v>5.4637600000000001E-2</v>
      </c>
      <c r="W368">
        <v>6.439549E-2</v>
      </c>
      <c r="X368">
        <v>0.99642759999999997</v>
      </c>
      <c r="Y368">
        <v>0.16353719999999999</v>
      </c>
      <c r="Z368">
        <v>-2.7770650000000001E-2</v>
      </c>
      <c r="AA368">
        <v>0.98614619999999997</v>
      </c>
      <c r="AB368">
        <v>31</v>
      </c>
      <c r="AC368">
        <v>0.57450000000000001</v>
      </c>
      <c r="AD368">
        <v>-0.23667949999999999</v>
      </c>
      <c r="AE368">
        <v>-0.125800000000026</v>
      </c>
      <c r="AF368">
        <v>0.112793194166841</v>
      </c>
      <c r="AG368">
        <v>-0.23667949999999999</v>
      </c>
      <c r="AH368">
        <v>0.49341109652467602</v>
      </c>
      <c r="AI368">
        <v>115.061612180899</v>
      </c>
      <c r="AJ368">
        <v>77.123506988972096</v>
      </c>
      <c r="AK368">
        <v>0.558743233108278</v>
      </c>
      <c r="AL368">
        <v>86.307855463207503</v>
      </c>
      <c r="AM368">
        <v>86.861415697842205</v>
      </c>
      <c r="AN368">
        <v>1.0000000042539301</v>
      </c>
    </row>
    <row r="369" spans="1:40" x14ac:dyDescent="0.25">
      <c r="A369" t="str">
        <f>"20190312154808062"</f>
        <v>20190312154808062</v>
      </c>
      <c r="B369" t="str">
        <f>"1552376888056766"</f>
        <v>1552376888056766</v>
      </c>
      <c r="C369" t="s">
        <v>40</v>
      </c>
      <c r="D369">
        <v>5.1728129999999997</v>
      </c>
      <c r="E369">
        <v>0.55141830000000003</v>
      </c>
      <c r="F369" t="s">
        <v>41</v>
      </c>
      <c r="G369">
        <v>-371.46660000000003</v>
      </c>
      <c r="H369">
        <v>0.84542790000000001</v>
      </c>
      <c r="I369">
        <v>367.3997</v>
      </c>
      <c r="J369">
        <v>-372.13159999999999</v>
      </c>
      <c r="K369">
        <v>1.1100490000000001</v>
      </c>
      <c r="L369">
        <v>367.53989999999999</v>
      </c>
      <c r="M369">
        <v>0.99985619999999997</v>
      </c>
      <c r="N369">
        <v>0</v>
      </c>
      <c r="O369">
        <v>9.0840529999999999E-3</v>
      </c>
      <c r="P369">
        <v>0.99768270000000003</v>
      </c>
      <c r="Q369">
        <v>5.0216280000000002E-2</v>
      </c>
      <c r="R369">
        <v>-4.590938E-2</v>
      </c>
      <c r="S369">
        <v>3.0321039999999999</v>
      </c>
      <c r="T369">
        <v>-0.95557369999999997</v>
      </c>
      <c r="U369">
        <v>-0.50006099999999998</v>
      </c>
      <c r="V369">
        <v>5.499192E-2</v>
      </c>
      <c r="W369">
        <v>6.4476859999999997E-2</v>
      </c>
      <c r="X369">
        <v>0.99640289999999998</v>
      </c>
      <c r="Y369">
        <v>0.16352559999999999</v>
      </c>
      <c r="Z369">
        <v>-2.7778870000000001E-2</v>
      </c>
      <c r="AA369">
        <v>0.98614789999999997</v>
      </c>
      <c r="AB369">
        <v>31</v>
      </c>
      <c r="AC369">
        <v>0.66499999999996295</v>
      </c>
      <c r="AD369">
        <v>-0.2646211</v>
      </c>
      <c r="AE369">
        <v>-0.140199999999993</v>
      </c>
      <c r="AF369">
        <v>0.12698407409816101</v>
      </c>
      <c r="AG369">
        <v>-0.2646211</v>
      </c>
      <c r="AH369">
        <v>0.57632415506406498</v>
      </c>
      <c r="AI369">
        <v>114.15136740854</v>
      </c>
      <c r="AJ369">
        <v>77.574304040258596</v>
      </c>
      <c r="AK369">
        <v>0.64676024410138699</v>
      </c>
      <c r="AL369">
        <v>86.303183795438997</v>
      </c>
      <c r="AM369">
        <v>86.8410251962584</v>
      </c>
      <c r="AN369">
        <v>1.00000005793457</v>
      </c>
    </row>
    <row r="370" spans="1:40" x14ac:dyDescent="0.25">
      <c r="A370" t="str">
        <f>"20190312154808082"</f>
        <v>20190312154808082</v>
      </c>
      <c r="B370" t="str">
        <f>"1552376888076286"</f>
        <v>1552376888076286</v>
      </c>
      <c r="C370" t="s">
        <v>40</v>
      </c>
      <c r="D370">
        <v>5.1643400000000002</v>
      </c>
      <c r="E370">
        <v>0.55126330000000001</v>
      </c>
      <c r="F370" t="s">
        <v>41</v>
      </c>
      <c r="G370">
        <v>-371.44709999999998</v>
      </c>
      <c r="H370">
        <v>0.89441800000000005</v>
      </c>
      <c r="I370">
        <v>367.42630000000003</v>
      </c>
      <c r="J370">
        <v>-371.8775</v>
      </c>
      <c r="K370">
        <v>1.1100479999999999</v>
      </c>
      <c r="L370">
        <v>367.5421</v>
      </c>
      <c r="M370">
        <v>0.99985729999999995</v>
      </c>
      <c r="N370">
        <v>0</v>
      </c>
      <c r="O370">
        <v>8.9660279999999992E-3</v>
      </c>
      <c r="P370">
        <v>0.99765590000000004</v>
      </c>
      <c r="Q370">
        <v>5.0592709999999999E-2</v>
      </c>
      <c r="R370">
        <v>-4.6077199999999999E-2</v>
      </c>
      <c r="S370">
        <v>3.0319210000000001</v>
      </c>
      <c r="T370">
        <v>-0.95500589999999996</v>
      </c>
      <c r="U370">
        <v>-0.50204470000000001</v>
      </c>
      <c r="V370">
        <v>5.5042109999999998E-2</v>
      </c>
      <c r="W370">
        <v>6.4851350000000002E-2</v>
      </c>
      <c r="X370">
        <v>0.99637569999999998</v>
      </c>
      <c r="Y370">
        <v>0.16403789999999999</v>
      </c>
      <c r="Z370">
        <v>-2.7805509999999999E-2</v>
      </c>
      <c r="AA370">
        <v>0.98606199999999999</v>
      </c>
      <c r="AB370">
        <v>31</v>
      </c>
      <c r="AC370">
        <v>0.43040000000001999</v>
      </c>
      <c r="AD370">
        <v>-0.21562999999999899</v>
      </c>
      <c r="AE370">
        <v>-0.115799999999978</v>
      </c>
      <c r="AF370">
        <v>9.6960453225981097E-2</v>
      </c>
      <c r="AG370">
        <v>-0.21562999999999899</v>
      </c>
      <c r="AH370">
        <v>0.34791290113626699</v>
      </c>
      <c r="AI370">
        <v>120.838456051517</v>
      </c>
      <c r="AJ370">
        <v>74.427285231266893</v>
      </c>
      <c r="AK370">
        <v>0.42064357021930299</v>
      </c>
      <c r="AL370">
        <v>86.281681635601799</v>
      </c>
      <c r="AM370">
        <v>86.838061771749494</v>
      </c>
      <c r="AN370">
        <v>0.99999993351028005</v>
      </c>
    </row>
    <row r="371" spans="1:40" x14ac:dyDescent="0.25">
      <c r="A371" t="str">
        <f>"20190312154808093"</f>
        <v>20190312154808093</v>
      </c>
      <c r="B371" t="str">
        <f>"1552376888086047"</f>
        <v>1552376888086047</v>
      </c>
      <c r="C371" t="s">
        <v>40</v>
      </c>
      <c r="D371">
        <v>5.1647489999999996</v>
      </c>
      <c r="E371">
        <v>0.55125239999999998</v>
      </c>
      <c r="F371" t="s">
        <v>41</v>
      </c>
      <c r="G371">
        <v>-371.17360000000002</v>
      </c>
      <c r="H371">
        <v>0.88832639999999996</v>
      </c>
      <c r="I371">
        <v>367.42529999999999</v>
      </c>
      <c r="J371">
        <v>-371.71249999999998</v>
      </c>
      <c r="K371">
        <v>1.1100490000000001</v>
      </c>
      <c r="L371">
        <v>367.54349999999999</v>
      </c>
      <c r="M371">
        <v>0.99985800000000002</v>
      </c>
      <c r="N371">
        <v>0</v>
      </c>
      <c r="O371">
        <v>8.8900319999999904E-3</v>
      </c>
      <c r="P371">
        <v>0.99765369999999998</v>
      </c>
      <c r="Q371">
        <v>5.0627569999999997E-2</v>
      </c>
      <c r="R371">
        <v>-4.6086450000000001E-2</v>
      </c>
      <c r="S371">
        <v>3.0322879999999999</v>
      </c>
      <c r="T371">
        <v>-0.95514370000000004</v>
      </c>
      <c r="U371">
        <v>-0.50170899999999996</v>
      </c>
      <c r="V371">
        <v>5.4975620000000003E-2</v>
      </c>
      <c r="W371">
        <v>6.4885129999999999E-2</v>
      </c>
      <c r="X371">
        <v>0.99637719999999996</v>
      </c>
      <c r="Y371">
        <v>0.16384949999999901</v>
      </c>
      <c r="Z371">
        <v>-2.775439E-2</v>
      </c>
      <c r="AA371">
        <v>0.98609480000000005</v>
      </c>
      <c r="AB371">
        <v>31</v>
      </c>
      <c r="AC371">
        <v>0.53889999999995497</v>
      </c>
      <c r="AD371">
        <v>-0.22172259999999999</v>
      </c>
      <c r="AE371">
        <v>-0.118200000000001</v>
      </c>
      <c r="AF371">
        <v>0.105885213481882</v>
      </c>
      <c r="AG371">
        <v>-0.22172259999999999</v>
      </c>
      <c r="AH371">
        <v>0.46304218373811901</v>
      </c>
      <c r="AI371">
        <v>115.022689373585</v>
      </c>
      <c r="AJ371">
        <v>77.119471636620602</v>
      </c>
      <c r="AK371">
        <v>0.52419524387944405</v>
      </c>
      <c r="AL371">
        <v>86.279742204398005</v>
      </c>
      <c r="AM371">
        <v>86.841878351676598</v>
      </c>
      <c r="AN371">
        <v>0.99999996178466899</v>
      </c>
    </row>
    <row r="372" spans="1:40" x14ac:dyDescent="0.25">
      <c r="A372" t="str">
        <f>"20190312154808106"</f>
        <v>20190312154808106</v>
      </c>
      <c r="B372" t="str">
        <f>"1552376888096782"</f>
        <v>1552376888096782</v>
      </c>
      <c r="C372" t="s">
        <v>40</v>
      </c>
      <c r="D372">
        <v>5.1645880000000002</v>
      </c>
      <c r="E372">
        <v>0.55122629999999995</v>
      </c>
      <c r="F372" t="s">
        <v>41</v>
      </c>
      <c r="G372">
        <v>-370.91050000000001</v>
      </c>
      <c r="H372">
        <v>0.85734709999999903</v>
      </c>
      <c r="I372">
        <v>367.41079999999999</v>
      </c>
      <c r="J372">
        <v>-371.5378</v>
      </c>
      <c r="K372">
        <v>1.1100479999999999</v>
      </c>
      <c r="L372">
        <v>367.54500000000002</v>
      </c>
      <c r="M372">
        <v>0.99985869999999999</v>
      </c>
      <c r="N372">
        <v>0</v>
      </c>
      <c r="O372">
        <v>8.8098069999999994E-3</v>
      </c>
      <c r="P372">
        <v>0.99765519999999996</v>
      </c>
      <c r="Q372">
        <v>5.0705229999999997E-2</v>
      </c>
      <c r="R372">
        <v>-4.5969759999999998E-2</v>
      </c>
      <c r="S372">
        <v>3.0323790000000002</v>
      </c>
      <c r="T372">
        <v>-0.95549600000000001</v>
      </c>
      <c r="U372">
        <v>-0.5014343</v>
      </c>
      <c r="V372">
        <v>5.4779069999999999E-2</v>
      </c>
      <c r="W372">
        <v>6.4962210000000006E-2</v>
      </c>
      <c r="X372">
        <v>0.99638309999999997</v>
      </c>
      <c r="Y372">
        <v>0.16368479999999999</v>
      </c>
      <c r="Z372">
        <v>-2.7713850000000002E-2</v>
      </c>
      <c r="AA372">
        <v>0.98612330000000004</v>
      </c>
      <c r="AB372">
        <v>31</v>
      </c>
      <c r="AC372">
        <v>0.62729999999999098</v>
      </c>
      <c r="AD372">
        <v>-0.25270090000000001</v>
      </c>
      <c r="AE372">
        <v>-0.134200000000021</v>
      </c>
      <c r="AF372">
        <v>0.12095265244594899</v>
      </c>
      <c r="AG372">
        <v>-0.25270090000000001</v>
      </c>
      <c r="AH372">
        <v>0.541988917814336</v>
      </c>
      <c r="AI372">
        <v>114.468082059455</v>
      </c>
      <c r="AJ372">
        <v>77.419758029673801</v>
      </c>
      <c r="AK372">
        <v>0.61011414999823999</v>
      </c>
      <c r="AL372">
        <v>86.275316869477294</v>
      </c>
      <c r="AM372">
        <v>86.853165198122497</v>
      </c>
      <c r="AN372">
        <v>1.00000005860187</v>
      </c>
    </row>
    <row r="373" spans="1:40" x14ac:dyDescent="0.25">
      <c r="A373" t="str">
        <f>"20190312154808127"</f>
        <v>20190312154808127</v>
      </c>
      <c r="B373" t="str">
        <f>"1552376888116306"</f>
        <v>1552376888116306</v>
      </c>
      <c r="C373" t="s">
        <v>40</v>
      </c>
      <c r="D373">
        <v>5.1406549999999998</v>
      </c>
      <c r="E373">
        <v>0.55113509999999999</v>
      </c>
      <c r="F373" t="s">
        <v>41</v>
      </c>
      <c r="G373">
        <v>-370.64659999999998</v>
      </c>
      <c r="H373">
        <v>0.82905859999999998</v>
      </c>
      <c r="I373">
        <v>367.39760000000001</v>
      </c>
      <c r="J373">
        <v>-371.25560000000002</v>
      </c>
      <c r="K373">
        <v>1.11005</v>
      </c>
      <c r="L373">
        <v>367.54739999999998</v>
      </c>
      <c r="M373">
        <v>0.99985990000000002</v>
      </c>
      <c r="N373">
        <v>0</v>
      </c>
      <c r="O373">
        <v>8.6808939999999998E-3</v>
      </c>
      <c r="P373">
        <v>0.9976891</v>
      </c>
      <c r="Q373">
        <v>5.0404160000000003E-2</v>
      </c>
      <c r="R373">
        <v>-4.5567910000000003E-2</v>
      </c>
      <c r="S373">
        <v>3.0325929999999999</v>
      </c>
      <c r="T373">
        <v>-0.95619639999999995</v>
      </c>
      <c r="U373">
        <v>-0.50036619999999998</v>
      </c>
      <c r="V373">
        <v>5.4248869999999998E-2</v>
      </c>
      <c r="W373">
        <v>6.4659590000000003E-2</v>
      </c>
      <c r="X373">
        <v>0.99643170000000003</v>
      </c>
      <c r="Y373">
        <v>0.16322519999999999</v>
      </c>
      <c r="Z373">
        <v>-2.762239E-2</v>
      </c>
      <c r="AA373">
        <v>0.98620209999999997</v>
      </c>
      <c r="AB373">
        <v>31</v>
      </c>
      <c r="AC373">
        <v>0.60900000000003696</v>
      </c>
      <c r="AD373">
        <v>-0.2809914</v>
      </c>
      <c r="AE373">
        <v>-0.14979999999997001</v>
      </c>
      <c r="AF373">
        <v>0.129154741585085</v>
      </c>
      <c r="AG373">
        <v>-0.2809914</v>
      </c>
      <c r="AH373">
        <v>0.50608404613768898</v>
      </c>
      <c r="AI373">
        <v>118.27953427735601</v>
      </c>
      <c r="AJ373">
        <v>75.683466681430801</v>
      </c>
      <c r="AK373">
        <v>0.59309204673723603</v>
      </c>
      <c r="AL373">
        <v>86.292691910181205</v>
      </c>
      <c r="AM373">
        <v>86.883714403691002</v>
      </c>
      <c r="AN373">
        <v>0.99999996762006704</v>
      </c>
    </row>
    <row r="374" spans="1:40" x14ac:dyDescent="0.25">
      <c r="A374" t="str">
        <f>"20190312154808138"</f>
        <v>20190312154808138</v>
      </c>
      <c r="B374" t="str">
        <f>"1552376888126063"</f>
        <v>1552376888126063</v>
      </c>
      <c r="C374" t="s">
        <v>40</v>
      </c>
      <c r="D374">
        <v>5.19292</v>
      </c>
      <c r="E374">
        <v>0.5510948</v>
      </c>
      <c r="F374" t="s">
        <v>41</v>
      </c>
      <c r="G374">
        <v>-370.37119999999999</v>
      </c>
      <c r="H374">
        <v>0.83065309999999903</v>
      </c>
      <c r="I374">
        <v>367.40230000000003</v>
      </c>
      <c r="J374">
        <v>-371.08510000000001</v>
      </c>
      <c r="K374">
        <v>1.11005</v>
      </c>
      <c r="L374">
        <v>367.54880000000003</v>
      </c>
      <c r="M374">
        <v>0.99986059999999999</v>
      </c>
      <c r="N374">
        <v>0</v>
      </c>
      <c r="O374">
        <v>8.6035369999999996E-3</v>
      </c>
      <c r="P374">
        <v>0.9977026</v>
      </c>
      <c r="Q374">
        <v>5.0277460000000003E-2</v>
      </c>
      <c r="R374">
        <v>-4.5410300000000001E-2</v>
      </c>
      <c r="S374">
        <v>3.0325929999999999</v>
      </c>
      <c r="T374">
        <v>-0.95803830000000001</v>
      </c>
      <c r="U374">
        <v>-0.49798579999999998</v>
      </c>
      <c r="V374">
        <v>5.4014350000000003E-2</v>
      </c>
      <c r="W374">
        <v>6.4532060000000002E-2</v>
      </c>
      <c r="X374">
        <v>0.99645269999999997</v>
      </c>
      <c r="Y374">
        <v>0.16240599999999999</v>
      </c>
      <c r="Z374">
        <v>-2.7525540000000001E-2</v>
      </c>
      <c r="AA374">
        <v>0.98633999999999999</v>
      </c>
      <c r="AB374">
        <v>31</v>
      </c>
      <c r="AC374">
        <v>0.71390000000002296</v>
      </c>
      <c r="AD374">
        <v>-0.2793969</v>
      </c>
      <c r="AE374">
        <v>-0.14650000000000299</v>
      </c>
      <c r="AF374">
        <v>0.13307769254781601</v>
      </c>
      <c r="AG374">
        <v>-0.2793969</v>
      </c>
      <c r="AH374">
        <v>0.62129581195592098</v>
      </c>
      <c r="AI374">
        <v>113.736354883898</v>
      </c>
      <c r="AJ374">
        <v>77.910279732039697</v>
      </c>
      <c r="AK374">
        <v>0.69410430479678598</v>
      </c>
      <c r="AL374">
        <v>86.300014105556698</v>
      </c>
      <c r="AM374">
        <v>86.897225111706206</v>
      </c>
      <c r="AN374">
        <v>0.99999996005552705</v>
      </c>
    </row>
    <row r="375" spans="1:40" x14ac:dyDescent="0.25">
      <c r="A375" t="str">
        <f>"20190312154808161"</f>
        <v>20190312154808161</v>
      </c>
      <c r="B375" t="str">
        <f>"1552376888156897"</f>
        <v>1552376888156897</v>
      </c>
      <c r="C375" t="s">
        <v>40</v>
      </c>
      <c r="D375">
        <v>5.2188019999999904</v>
      </c>
      <c r="E375">
        <v>0.55104489999999995</v>
      </c>
      <c r="F375" t="s">
        <v>41</v>
      </c>
      <c r="G375">
        <v>-370.35210000000001</v>
      </c>
      <c r="H375">
        <v>0.87843700000000002</v>
      </c>
      <c r="I375">
        <v>367.42869999999999</v>
      </c>
      <c r="J375">
        <v>-370.77949999999998</v>
      </c>
      <c r="K375">
        <v>1.1100460000000001</v>
      </c>
      <c r="L375">
        <v>367.55119999999999</v>
      </c>
      <c r="M375">
        <v>0.99986169999999996</v>
      </c>
      <c r="N375">
        <v>0</v>
      </c>
      <c r="O375">
        <v>8.4650390000000006E-3</v>
      </c>
      <c r="P375">
        <v>0.99772079999999996</v>
      </c>
      <c r="Q375">
        <v>5.0133940000000002E-2</v>
      </c>
      <c r="R375">
        <v>-4.5166020000000001E-2</v>
      </c>
      <c r="S375">
        <v>3.0325929999999999</v>
      </c>
      <c r="T375">
        <v>-0.95830400000000004</v>
      </c>
      <c r="U375">
        <v>-0.49752809999999997</v>
      </c>
      <c r="V375">
        <v>5.3631890000000002E-2</v>
      </c>
      <c r="W375">
        <v>6.438692E-2</v>
      </c>
      <c r="X375">
        <v>0.9964828</v>
      </c>
      <c r="Y375">
        <v>0.16213910000000001</v>
      </c>
      <c r="Z375">
        <v>-2.744976E-2</v>
      </c>
      <c r="AA375">
        <v>0.98638610000000004</v>
      </c>
      <c r="AB375">
        <v>31</v>
      </c>
      <c r="AC375">
        <v>0.42739999999997702</v>
      </c>
      <c r="AD375">
        <v>-0.23160899999999901</v>
      </c>
      <c r="AE375">
        <v>-0.122500000000002</v>
      </c>
      <c r="AF375">
        <v>9.9195655647006206E-2</v>
      </c>
      <c r="AG375">
        <v>-0.23160899999999901</v>
      </c>
      <c r="AH375">
        <v>0.33534620533253101</v>
      </c>
      <c r="AI375">
        <v>123.516085460532</v>
      </c>
      <c r="AJ375">
        <v>73.521743918280706</v>
      </c>
      <c r="AK375">
        <v>0.41945152808300401</v>
      </c>
      <c r="AL375">
        <v>86.308347541102805</v>
      </c>
      <c r="AM375">
        <v>86.919245371643996</v>
      </c>
      <c r="AN375">
        <v>1.0000000128939399</v>
      </c>
    </row>
    <row r="376" spans="1:40" x14ac:dyDescent="0.25">
      <c r="A376" t="str">
        <f>"20190312154808182"</f>
        <v>20190312154808182</v>
      </c>
      <c r="B376" t="str">
        <f>"1552376888176417"</f>
        <v>1552376888176417</v>
      </c>
      <c r="C376" t="s">
        <v>40</v>
      </c>
      <c r="D376">
        <v>5.2104530000000002</v>
      </c>
      <c r="E376">
        <v>0.55095139999999998</v>
      </c>
      <c r="F376" t="s">
        <v>41</v>
      </c>
      <c r="G376">
        <v>-370.07409999999999</v>
      </c>
      <c r="H376">
        <v>0.887044099999999</v>
      </c>
      <c r="I376">
        <v>367.43540000000002</v>
      </c>
      <c r="J376">
        <v>-370.49529999999999</v>
      </c>
      <c r="K376">
        <v>1.11005</v>
      </c>
      <c r="L376">
        <v>367.55349999999999</v>
      </c>
      <c r="M376">
        <v>0.9998629</v>
      </c>
      <c r="N376">
        <v>0</v>
      </c>
      <c r="O376">
        <v>8.3361400000000006E-3</v>
      </c>
      <c r="P376">
        <v>0.99773559999999994</v>
      </c>
      <c r="Q376">
        <v>5.0153589999999998E-2</v>
      </c>
      <c r="R376">
        <v>-4.4816519999999999E-2</v>
      </c>
      <c r="S376">
        <v>3.0325009999999999</v>
      </c>
      <c r="T376">
        <v>-0.95869490000000002</v>
      </c>
      <c r="U376">
        <v>-0.49694820000000001</v>
      </c>
      <c r="V376">
        <v>5.3153989999999998E-2</v>
      </c>
      <c r="W376">
        <v>6.4404530000000001E-2</v>
      </c>
      <c r="X376">
        <v>0.99650720000000004</v>
      </c>
      <c r="Y376">
        <v>0.16184609999999999</v>
      </c>
      <c r="Z376">
        <v>-2.737713E-2</v>
      </c>
      <c r="AA376">
        <v>0.98643619999999999</v>
      </c>
      <c r="AB376">
        <v>31</v>
      </c>
      <c r="AC376">
        <v>0.42119999999999802</v>
      </c>
      <c r="AD376">
        <v>-0.22300590000000001</v>
      </c>
      <c r="AE376">
        <v>-0.11809999999996899</v>
      </c>
      <c r="AF376">
        <v>9.6522326570452802E-2</v>
      </c>
      <c r="AG376">
        <v>-0.22300590000000001</v>
      </c>
      <c r="AH376">
        <v>0.33352199669712901</v>
      </c>
      <c r="AI376">
        <v>122.711946441568</v>
      </c>
      <c r="AJ376">
        <v>73.859388537159504</v>
      </c>
      <c r="AK376">
        <v>0.41265616830749402</v>
      </c>
      <c r="AL376">
        <v>86.307336212441697</v>
      </c>
      <c r="AM376">
        <v>86.946719628937103</v>
      </c>
      <c r="AN376">
        <v>0.99999994489463895</v>
      </c>
    </row>
    <row r="377" spans="1:40" x14ac:dyDescent="0.25">
      <c r="A377" t="str">
        <f>"20190312154808193"</f>
        <v>20190312154808193</v>
      </c>
      <c r="B377" t="str">
        <f>"1552376888186176"</f>
        <v>1552376888186176</v>
      </c>
      <c r="C377" t="s">
        <v>40</v>
      </c>
      <c r="D377">
        <v>5.1970090000000004</v>
      </c>
      <c r="E377">
        <v>0.55093930000000002</v>
      </c>
      <c r="F377" t="s">
        <v>41</v>
      </c>
      <c r="G377">
        <v>-369.7989</v>
      </c>
      <c r="H377">
        <v>0.88964089999999996</v>
      </c>
      <c r="I377">
        <v>367.43959999999998</v>
      </c>
      <c r="J377">
        <v>-370.33</v>
      </c>
      <c r="K377">
        <v>1.110052</v>
      </c>
      <c r="L377">
        <v>367.5548</v>
      </c>
      <c r="M377">
        <v>0.99986359999999996</v>
      </c>
      <c r="N377">
        <v>0</v>
      </c>
      <c r="O377">
        <v>8.2614699999999999E-3</v>
      </c>
      <c r="P377">
        <v>0.99773400000000001</v>
      </c>
      <c r="Q377">
        <v>5.0277769999999999E-2</v>
      </c>
      <c r="R377">
        <v>-4.4715190000000002E-2</v>
      </c>
      <c r="S377">
        <v>3.0328369999999998</v>
      </c>
      <c r="T377">
        <v>-0.95976910000000004</v>
      </c>
      <c r="U377">
        <v>-0.4953613</v>
      </c>
      <c r="V377">
        <v>5.2978160000000003E-2</v>
      </c>
      <c r="W377">
        <v>6.4527299999999996E-2</v>
      </c>
      <c r="X377">
        <v>0.99650870000000003</v>
      </c>
      <c r="Y377">
        <v>0.16126670000000001</v>
      </c>
      <c r="Z377">
        <v>-2.7292730000000001E-2</v>
      </c>
      <c r="AA377">
        <v>0.9865334</v>
      </c>
      <c r="AB377">
        <v>31</v>
      </c>
      <c r="AC377">
        <v>0.53109999999998003</v>
      </c>
      <c r="AD377">
        <v>-0.2204111</v>
      </c>
      <c r="AE377">
        <v>-0.115200000000015</v>
      </c>
      <c r="AF377">
        <v>0.102692065021948</v>
      </c>
      <c r="AG377">
        <v>-0.2204111</v>
      </c>
      <c r="AH377">
        <v>0.455245404257824</v>
      </c>
      <c r="AI377">
        <v>115.280984983068</v>
      </c>
      <c r="AJ377">
        <v>77.288252842156993</v>
      </c>
      <c r="AK377">
        <v>0.51611538566443804</v>
      </c>
      <c r="AL377">
        <v>86.300287638248506</v>
      </c>
      <c r="AM377">
        <v>86.956805241266693</v>
      </c>
      <c r="AN377">
        <v>1.0000000235289801</v>
      </c>
    </row>
    <row r="378" spans="1:40" x14ac:dyDescent="0.25">
      <c r="A378" t="str">
        <f>"20190312154808207"</f>
        <v>20190312154808207</v>
      </c>
      <c r="B378" t="str">
        <f>"1552376888196914"</f>
        <v>1552376888196914</v>
      </c>
      <c r="C378" t="s">
        <v>40</v>
      </c>
      <c r="D378">
        <v>5.169886</v>
      </c>
      <c r="E378">
        <v>0.55093630000000005</v>
      </c>
      <c r="F378" t="s">
        <v>41</v>
      </c>
      <c r="G378">
        <v>-369.53719999999998</v>
      </c>
      <c r="H378">
        <v>0.85914219999999897</v>
      </c>
      <c r="I378">
        <v>367.42509999999999</v>
      </c>
      <c r="J378">
        <v>-370.1549</v>
      </c>
      <c r="K378">
        <v>1.110053</v>
      </c>
      <c r="L378">
        <v>367.55619999999999</v>
      </c>
      <c r="M378">
        <v>0.99986419999999998</v>
      </c>
      <c r="N378">
        <v>0</v>
      </c>
      <c r="O378">
        <v>8.1825690000000006E-3</v>
      </c>
      <c r="P378">
        <v>0.99772570000000005</v>
      </c>
      <c r="Q378">
        <v>5.0413300000000001E-2</v>
      </c>
      <c r="R378">
        <v>-4.4741629999999998E-2</v>
      </c>
      <c r="S378">
        <v>3.0329899999999999</v>
      </c>
      <c r="T378">
        <v>-0.96002810000000005</v>
      </c>
      <c r="U378">
        <v>-0.49530030000000003</v>
      </c>
      <c r="V378">
        <v>5.2925939999999998E-2</v>
      </c>
      <c r="W378">
        <v>6.4661010000000005E-2</v>
      </c>
      <c r="X378">
        <v>0.99650280000000002</v>
      </c>
      <c r="Y378">
        <v>0.1611668</v>
      </c>
      <c r="Z378">
        <v>-2.7258930000000001E-2</v>
      </c>
      <c r="AA378">
        <v>0.9865507</v>
      </c>
      <c r="AB378">
        <v>31</v>
      </c>
      <c r="AC378">
        <v>0.61770000000001302</v>
      </c>
      <c r="AD378">
        <v>-0.25091079999999999</v>
      </c>
      <c r="AE378">
        <v>-0.13110000000000299</v>
      </c>
      <c r="AF378">
        <v>0.11758523521641399</v>
      </c>
      <c r="AG378">
        <v>-0.25091079999999999</v>
      </c>
      <c r="AH378">
        <v>0.53252699705070095</v>
      </c>
      <c r="AI378">
        <v>114.70657770202899</v>
      </c>
      <c r="AJ378">
        <v>77.548532361464893</v>
      </c>
      <c r="AK378">
        <v>0.60030618827842896</v>
      </c>
      <c r="AL378">
        <v>86.292610558699494</v>
      </c>
      <c r="AM378">
        <v>86.959781289120201</v>
      </c>
      <c r="AN378">
        <v>1.0000000158734701</v>
      </c>
    </row>
    <row r="379" spans="1:40" x14ac:dyDescent="0.25">
      <c r="A379" t="str">
        <f>"20190312154808227"</f>
        <v>20190312154808227</v>
      </c>
      <c r="B379" t="str">
        <f>"1552376888216433"</f>
        <v>1552376888216433</v>
      </c>
      <c r="C379" t="s">
        <v>40</v>
      </c>
      <c r="D379">
        <v>5.1792680000000004</v>
      </c>
      <c r="E379">
        <v>0.55103610000000003</v>
      </c>
      <c r="F379" t="s">
        <v>41</v>
      </c>
      <c r="G379">
        <v>-369.2747</v>
      </c>
      <c r="H379">
        <v>0.83121350000000005</v>
      </c>
      <c r="I379">
        <v>367.41230000000002</v>
      </c>
      <c r="J379">
        <v>-369.88249999999999</v>
      </c>
      <c r="K379">
        <v>1.1100559999999999</v>
      </c>
      <c r="L379">
        <v>367.55829999999997</v>
      </c>
      <c r="M379">
        <v>0.99986529999999996</v>
      </c>
      <c r="N379">
        <v>0</v>
      </c>
      <c r="O379">
        <v>8.0593950000000004E-3</v>
      </c>
      <c r="P379">
        <v>0.99769719999999995</v>
      </c>
      <c r="Q379">
        <v>5.0989479999999997E-2</v>
      </c>
      <c r="R379">
        <v>-4.4726960000000003E-2</v>
      </c>
      <c r="S379">
        <v>3.0332029999999999</v>
      </c>
      <c r="T379">
        <v>-0.96098209999999995</v>
      </c>
      <c r="U379">
        <v>-0.49526979999999998</v>
      </c>
      <c r="V379">
        <v>5.2788410000000001E-2</v>
      </c>
      <c r="W379">
        <v>6.523487E-2</v>
      </c>
      <c r="X379">
        <v>0.99647269999999999</v>
      </c>
      <c r="Y379">
        <v>0.16102279999999999</v>
      </c>
      <c r="Z379">
        <v>-2.7222989999999999E-2</v>
      </c>
      <c r="AA379">
        <v>0.98657519999999999</v>
      </c>
      <c r="AB379">
        <v>31</v>
      </c>
      <c r="AC379">
        <v>0.60779999999999701</v>
      </c>
      <c r="AD379">
        <v>-0.27884249999999899</v>
      </c>
      <c r="AE379">
        <v>-0.145999999999958</v>
      </c>
      <c r="AF379">
        <v>0.12585102826792499</v>
      </c>
      <c r="AG379">
        <v>-0.27884249999999899</v>
      </c>
      <c r="AH379">
        <v>0.50592826091124399</v>
      </c>
      <c r="AI379">
        <v>118.140139232463</v>
      </c>
      <c r="AJ379">
        <v>76.031036662724006</v>
      </c>
      <c r="AK379">
        <v>0.59123178729752002</v>
      </c>
      <c r="AL379">
        <v>86.259661262629294</v>
      </c>
      <c r="AM379">
        <v>86.967575220899207</v>
      </c>
      <c r="AN379">
        <v>1.0000000231697601</v>
      </c>
    </row>
    <row r="380" spans="1:40" x14ac:dyDescent="0.25">
      <c r="A380" t="str">
        <f>"20190312154808240"</f>
        <v>20190312154808240</v>
      </c>
      <c r="B380" t="str">
        <f>"1552376888236928"</f>
        <v>1552376888236928</v>
      </c>
      <c r="C380" t="s">
        <v>40</v>
      </c>
      <c r="D380">
        <v>5.2326810000000004</v>
      </c>
      <c r="E380">
        <v>0.55114129999999995</v>
      </c>
      <c r="F380" t="s">
        <v>41</v>
      </c>
      <c r="G380">
        <v>-369.00150000000002</v>
      </c>
      <c r="H380">
        <v>0.83117989999999997</v>
      </c>
      <c r="I380">
        <v>367.41370000000001</v>
      </c>
      <c r="J380">
        <v>-369.69</v>
      </c>
      <c r="K380">
        <v>1.110058</v>
      </c>
      <c r="L380">
        <v>367.5598</v>
      </c>
      <c r="M380">
        <v>0.99986609999999998</v>
      </c>
      <c r="N380">
        <v>0</v>
      </c>
      <c r="O380">
        <v>7.9722749999999992E-3</v>
      </c>
      <c r="P380">
        <v>0.99766940000000004</v>
      </c>
      <c r="Q380">
        <v>5.1471820000000001E-2</v>
      </c>
      <c r="R380">
        <v>-4.4799180000000001E-2</v>
      </c>
      <c r="S380">
        <v>3.033722</v>
      </c>
      <c r="T380">
        <v>-0.96026359999999999</v>
      </c>
      <c r="U380">
        <v>-0.4958496</v>
      </c>
      <c r="V380">
        <v>5.2773349999999997E-2</v>
      </c>
      <c r="W380">
        <v>6.5714969999999998E-2</v>
      </c>
      <c r="X380">
        <v>0.99644189999999999</v>
      </c>
      <c r="Y380">
        <v>0.16110859999999999</v>
      </c>
      <c r="Z380">
        <v>-2.7185210000000001E-2</v>
      </c>
      <c r="AA380">
        <v>0.98656219999999994</v>
      </c>
      <c r="AB380">
        <v>31</v>
      </c>
      <c r="AC380">
        <v>0.68849999999997602</v>
      </c>
      <c r="AD380">
        <v>-0.27887809999999902</v>
      </c>
      <c r="AE380">
        <v>-0.14609999999998899</v>
      </c>
      <c r="AF380">
        <v>0.13101569836789001</v>
      </c>
      <c r="AG380">
        <v>-0.27887809999999902</v>
      </c>
      <c r="AH380">
        <v>0.59404906321199202</v>
      </c>
      <c r="AI380">
        <v>114.62842451066101</v>
      </c>
      <c r="AJ380">
        <v>77.562694694514306</v>
      </c>
      <c r="AK380">
        <v>0.66920280736222304</v>
      </c>
      <c r="AL380">
        <v>86.232094213310901</v>
      </c>
      <c r="AM380">
        <v>86.968345196392903</v>
      </c>
      <c r="AN380">
        <v>0.99999997191396595</v>
      </c>
    </row>
    <row r="381" spans="1:40" x14ac:dyDescent="0.25">
      <c r="A381" t="str">
        <f>"20190312154808260"</f>
        <v>20190312154808260</v>
      </c>
      <c r="B381" t="str">
        <f>"1552376888256545"</f>
        <v>1552376888256545</v>
      </c>
      <c r="C381" t="s">
        <v>40</v>
      </c>
      <c r="D381">
        <v>5.1943659999999996</v>
      </c>
      <c r="E381">
        <v>0.5511066</v>
      </c>
      <c r="F381" t="s">
        <v>41</v>
      </c>
      <c r="G381">
        <v>-368.97980000000001</v>
      </c>
      <c r="H381">
        <v>0.88543919999999998</v>
      </c>
      <c r="I381">
        <v>367.44290000000001</v>
      </c>
      <c r="J381">
        <v>-369.42450000000002</v>
      </c>
      <c r="K381">
        <v>1.110061</v>
      </c>
      <c r="L381">
        <v>367.56180000000001</v>
      </c>
      <c r="M381">
        <v>0.99986699999999995</v>
      </c>
      <c r="N381">
        <v>0</v>
      </c>
      <c r="O381">
        <v>7.8519030000000004E-3</v>
      </c>
      <c r="P381">
        <v>0.99764569999999997</v>
      </c>
      <c r="Q381">
        <v>5.1908570000000001E-2</v>
      </c>
      <c r="R381">
        <v>-4.4824320000000001E-2</v>
      </c>
      <c r="S381">
        <v>3.0342410000000002</v>
      </c>
      <c r="T381">
        <v>-0.95959450000000002</v>
      </c>
      <c r="U381">
        <v>-0.49694820000000001</v>
      </c>
      <c r="V381">
        <v>5.2678450000000002E-2</v>
      </c>
      <c r="W381">
        <v>6.6148890000000002E-2</v>
      </c>
      <c r="X381">
        <v>0.99641820000000003</v>
      </c>
      <c r="Y381">
        <v>0.16132079999999999</v>
      </c>
      <c r="Z381">
        <v>-2.7157629999999999E-2</v>
      </c>
      <c r="AA381">
        <v>0.98652830000000002</v>
      </c>
      <c r="AB381">
        <v>31</v>
      </c>
      <c r="AC381">
        <v>0.44470000000001098</v>
      </c>
      <c r="AD381">
        <v>-0.22462180000000001</v>
      </c>
      <c r="AE381">
        <v>-0.118899999999996</v>
      </c>
      <c r="AF381">
        <v>9.8850804288699495E-2</v>
      </c>
      <c r="AG381">
        <v>-0.22462180000000001</v>
      </c>
      <c r="AH381">
        <v>0.35841052036903198</v>
      </c>
      <c r="AI381">
        <v>121.138659703185</v>
      </c>
      <c r="AJ381">
        <v>74.580967816284897</v>
      </c>
      <c r="AK381">
        <v>0.43437833239580798</v>
      </c>
      <c r="AL381">
        <v>86.207178176023604</v>
      </c>
      <c r="AM381">
        <v>86.973714900531604</v>
      </c>
      <c r="AN381">
        <v>0.99999996201693597</v>
      </c>
    </row>
    <row r="382" spans="1:40" x14ac:dyDescent="0.25">
      <c r="A382" t="str">
        <f>"20190312154808272"</f>
        <v>20190312154808272</v>
      </c>
      <c r="B382" t="str">
        <f>"1552376888266305"</f>
        <v>1552376888266305</v>
      </c>
      <c r="C382" t="s">
        <v>40</v>
      </c>
      <c r="D382">
        <v>5.2274399999999996</v>
      </c>
      <c r="E382">
        <v>0.55106290000000002</v>
      </c>
      <c r="F382" t="s">
        <v>41</v>
      </c>
      <c r="G382">
        <v>-368.70769999999999</v>
      </c>
      <c r="H382">
        <v>0.88334439999999903</v>
      </c>
      <c r="I382">
        <v>367.44409999999999</v>
      </c>
      <c r="J382">
        <v>-369.2645</v>
      </c>
      <c r="K382">
        <v>1.110063</v>
      </c>
      <c r="L382">
        <v>367.56290000000001</v>
      </c>
      <c r="M382">
        <v>0.99986759999999997</v>
      </c>
      <c r="N382">
        <v>0</v>
      </c>
      <c r="O382">
        <v>7.779383E-3</v>
      </c>
      <c r="P382">
        <v>0.99763829999999998</v>
      </c>
      <c r="Q382">
        <v>5.1920439999999998E-2</v>
      </c>
      <c r="R382">
        <v>-4.4969830000000002E-2</v>
      </c>
      <c r="S382">
        <v>3.0346980000000001</v>
      </c>
      <c r="T382">
        <v>-0.95988200000000001</v>
      </c>
      <c r="U382">
        <v>-0.49670409999999998</v>
      </c>
      <c r="V382">
        <v>5.2751689999999997E-2</v>
      </c>
      <c r="W382">
        <v>6.6158880000000003E-2</v>
      </c>
      <c r="X382">
        <v>0.99641369999999896</v>
      </c>
      <c r="Y382">
        <v>0.1611571</v>
      </c>
      <c r="Z382">
        <v>-2.7114309999999999E-2</v>
      </c>
      <c r="AA382">
        <v>0.98655619999999999</v>
      </c>
      <c r="AB382">
        <v>31</v>
      </c>
      <c r="AC382">
        <v>0.55680000000000895</v>
      </c>
      <c r="AD382">
        <v>-0.22671859999999999</v>
      </c>
      <c r="AE382">
        <v>-0.118800000000021</v>
      </c>
      <c r="AF382">
        <v>0.106275485665362</v>
      </c>
      <c r="AG382">
        <v>-0.22671859999999999</v>
      </c>
      <c r="AH382">
        <v>0.47977694094988699</v>
      </c>
      <c r="AI382">
        <v>114.767025524316</v>
      </c>
      <c r="AJ382">
        <v>77.510074264852804</v>
      </c>
      <c r="AK382">
        <v>0.54118547237208803</v>
      </c>
      <c r="AL382">
        <v>86.206604678381893</v>
      </c>
      <c r="AM382">
        <v>86.969501566832605</v>
      </c>
      <c r="AN382">
        <v>0.99999999987419996</v>
      </c>
    </row>
    <row r="383" spans="1:40" x14ac:dyDescent="0.25">
      <c r="A383" t="str">
        <f>"20190312154808284"</f>
        <v>20190312154808284</v>
      </c>
      <c r="B383" t="str">
        <f>"1552376888276066"</f>
        <v>1552376888276066</v>
      </c>
      <c r="C383" t="s">
        <v>40</v>
      </c>
      <c r="D383">
        <v>5.2093930000000004</v>
      </c>
      <c r="E383">
        <v>0.55102589999999996</v>
      </c>
      <c r="F383" t="s">
        <v>41</v>
      </c>
      <c r="G383">
        <v>-368.4477</v>
      </c>
      <c r="H383">
        <v>0.851773</v>
      </c>
      <c r="I383">
        <v>367.4289</v>
      </c>
      <c r="J383">
        <v>-369.0942</v>
      </c>
      <c r="K383">
        <v>1.110063</v>
      </c>
      <c r="L383">
        <v>367.56420000000003</v>
      </c>
      <c r="M383">
        <v>0.99986819999999998</v>
      </c>
      <c r="N383">
        <v>0</v>
      </c>
      <c r="O383">
        <v>7.7021549999999996E-3</v>
      </c>
      <c r="P383">
        <v>0.99763789999999997</v>
      </c>
      <c r="Q383">
        <v>5.1844910000000001E-2</v>
      </c>
      <c r="R383">
        <v>-4.5065279999999999E-2</v>
      </c>
      <c r="S383">
        <v>3.0346980000000001</v>
      </c>
      <c r="T383">
        <v>-0.95963719999999997</v>
      </c>
      <c r="U383">
        <v>-0.49655149999999998</v>
      </c>
      <c r="V383">
        <v>5.2769870000000003E-2</v>
      </c>
      <c r="W383">
        <v>6.6081799999999996E-2</v>
      </c>
      <c r="X383">
        <v>0.99641789999999997</v>
      </c>
      <c r="Y383">
        <v>0.16104560000000001</v>
      </c>
      <c r="Z383">
        <v>-2.7067009999999999E-2</v>
      </c>
      <c r="AA383">
        <v>0.98657570000000006</v>
      </c>
      <c r="AB383">
        <v>31</v>
      </c>
      <c r="AC383">
        <v>0.64650000000000296</v>
      </c>
      <c r="AD383">
        <v>-0.25829000000000002</v>
      </c>
      <c r="AE383">
        <v>-0.13530000000002901</v>
      </c>
      <c r="AF383">
        <v>0.12167024406686899</v>
      </c>
      <c r="AG383">
        <v>-0.25829000000000002</v>
      </c>
      <c r="AH383">
        <v>0.55982996558827702</v>
      </c>
      <c r="AI383">
        <v>114.26810755343</v>
      </c>
      <c r="AJ383">
        <v>77.738345970455597</v>
      </c>
      <c r="AK383">
        <v>0.62843214650578105</v>
      </c>
      <c r="AL383">
        <v>86.211030903324797</v>
      </c>
      <c r="AM383">
        <v>86.968471857734102</v>
      </c>
      <c r="AN383">
        <v>1.00000004745573</v>
      </c>
    </row>
    <row r="384" spans="1:40" x14ac:dyDescent="0.25">
      <c r="A384" t="str">
        <f>"20190312154808296"</f>
        <v>20190312154808296</v>
      </c>
      <c r="B384" t="str">
        <f>"1552376888286800"</f>
        <v>1552376888286800</v>
      </c>
      <c r="C384" t="s">
        <v>40</v>
      </c>
      <c r="D384">
        <v>5.2424220000000004</v>
      </c>
      <c r="E384">
        <v>0.55099709999999902</v>
      </c>
      <c r="F384" t="s">
        <v>41</v>
      </c>
      <c r="G384">
        <v>-368.42860000000002</v>
      </c>
      <c r="H384">
        <v>0.89945259999999905</v>
      </c>
      <c r="I384">
        <v>367.45499999999998</v>
      </c>
      <c r="J384">
        <v>-368.92880000000002</v>
      </c>
      <c r="K384">
        <v>1.1100650000000001</v>
      </c>
      <c r="L384">
        <v>367.56540000000001</v>
      </c>
      <c r="M384">
        <v>0.9998688</v>
      </c>
      <c r="N384">
        <v>0</v>
      </c>
      <c r="O384">
        <v>7.626893E-3</v>
      </c>
      <c r="P384">
        <v>0.99762589999999995</v>
      </c>
      <c r="Q384">
        <v>5.186122E-2</v>
      </c>
      <c r="R384">
        <v>-4.5313480000000003E-2</v>
      </c>
      <c r="S384">
        <v>3.0346069999999998</v>
      </c>
      <c r="T384">
        <v>-0.96025919999999998</v>
      </c>
      <c r="U384">
        <v>-0.49627690000000002</v>
      </c>
      <c r="V384">
        <v>5.2942940000000001E-2</v>
      </c>
      <c r="W384">
        <v>6.6096080000000001E-2</v>
      </c>
      <c r="X384">
        <v>0.99640770000000001</v>
      </c>
      <c r="Y384">
        <v>0.16088939999999999</v>
      </c>
      <c r="Z384">
        <v>-2.703761E-2</v>
      </c>
      <c r="AA384">
        <v>0.98660199999999998</v>
      </c>
      <c r="AB384">
        <v>31</v>
      </c>
      <c r="AC384">
        <v>0.50020000000000597</v>
      </c>
      <c r="AD384">
        <v>-0.21061239999999901</v>
      </c>
      <c r="AE384">
        <v>-0.11040000000002601</v>
      </c>
      <c r="AF384">
        <v>9.7696275108668601E-2</v>
      </c>
      <c r="AG384">
        <v>-0.21061239999999901</v>
      </c>
      <c r="AH384">
        <v>0.42713481649368401</v>
      </c>
      <c r="AI384">
        <v>115.67214952799399</v>
      </c>
      <c r="AJ384">
        <v>77.116653912414705</v>
      </c>
      <c r="AK384">
        <v>0.48615460160833801</v>
      </c>
      <c r="AL384">
        <v>86.210210654433794</v>
      </c>
      <c r="AM384">
        <v>86.958516877652997</v>
      </c>
      <c r="AN384">
        <v>0.99999997565324905</v>
      </c>
    </row>
    <row r="385" spans="1:40" x14ac:dyDescent="0.25">
      <c r="A385" t="str">
        <f>"20190312154808310"</f>
        <v>20190312154808310</v>
      </c>
      <c r="B385" t="str">
        <f>"1552376888306320"</f>
        <v>1552376888306320</v>
      </c>
      <c r="C385" t="s">
        <v>40</v>
      </c>
      <c r="D385">
        <v>5.2353899999999998</v>
      </c>
      <c r="E385">
        <v>0.55089549999999998</v>
      </c>
      <c r="F385" t="s">
        <v>41</v>
      </c>
      <c r="G385">
        <v>-368.16829999999999</v>
      </c>
      <c r="H385">
        <v>0.86943819999999905</v>
      </c>
      <c r="I385">
        <v>367.44069999999999</v>
      </c>
      <c r="J385">
        <v>-368.75099999999998</v>
      </c>
      <c r="K385">
        <v>1.1100680000000001</v>
      </c>
      <c r="L385">
        <v>367.56659999999999</v>
      </c>
      <c r="M385">
        <v>0.99986929999999996</v>
      </c>
      <c r="N385">
        <v>0</v>
      </c>
      <c r="O385">
        <v>7.5463279999999997E-3</v>
      </c>
      <c r="P385">
        <v>0.99760130000000002</v>
      </c>
      <c r="Q385">
        <v>5.2109919999999997E-2</v>
      </c>
      <c r="R385">
        <v>-4.5565269999999998E-2</v>
      </c>
      <c r="S385">
        <v>3.0345149999999999</v>
      </c>
      <c r="T385">
        <v>-0.96018650000000005</v>
      </c>
      <c r="U385">
        <v>-0.49707030000000002</v>
      </c>
      <c r="V385">
        <v>5.3114199999999903E-2</v>
      </c>
      <c r="W385">
        <v>6.6343009999999994E-2</v>
      </c>
      <c r="X385">
        <v>0.9963822</v>
      </c>
      <c r="Y385">
        <v>0.16106280000000001</v>
      </c>
      <c r="Z385">
        <v>-2.7037769999999999E-2</v>
      </c>
      <c r="AA385">
        <v>0.98657379999999995</v>
      </c>
      <c r="AB385">
        <v>30</v>
      </c>
      <c r="AC385">
        <v>0.58269999999998801</v>
      </c>
      <c r="AD385">
        <v>-0.2406298</v>
      </c>
      <c r="AE385">
        <v>-0.12590000000000101</v>
      </c>
      <c r="AF385">
        <v>0.112039784990797</v>
      </c>
      <c r="AG385">
        <v>-0.2406298</v>
      </c>
      <c r="AH385">
        <v>0.50023186633835903</v>
      </c>
      <c r="AI385">
        <v>115.14567397831</v>
      </c>
      <c r="AJ385">
        <v>77.375488613984601</v>
      </c>
      <c r="AK385">
        <v>0.56629279897344798</v>
      </c>
      <c r="AL385">
        <v>86.196031581010203</v>
      </c>
      <c r="AM385">
        <v>86.948618896569897</v>
      </c>
      <c r="AN385">
        <v>1.0000000008471699</v>
      </c>
    </row>
    <row r="386" spans="1:40" x14ac:dyDescent="0.25">
      <c r="A386" t="str">
        <f>"20190312154808327"</f>
        <v>20190312154808327</v>
      </c>
      <c r="B386" t="str">
        <f>"1552376888316080"</f>
        <v>1552376888316080</v>
      </c>
      <c r="C386" t="s">
        <v>40</v>
      </c>
      <c r="D386">
        <v>5.2719860000000001</v>
      </c>
      <c r="E386">
        <v>0.55085499999999998</v>
      </c>
      <c r="F386" t="s">
        <v>41</v>
      </c>
      <c r="G386">
        <v>-367.90690000000001</v>
      </c>
      <c r="H386">
        <v>0.84307269999999901</v>
      </c>
      <c r="I386">
        <v>367.42779999999999</v>
      </c>
      <c r="J386">
        <v>-368.50889999999998</v>
      </c>
      <c r="K386">
        <v>1.1100730000000001</v>
      </c>
      <c r="L386">
        <v>367.56830000000002</v>
      </c>
      <c r="M386">
        <v>0.99987040000000005</v>
      </c>
      <c r="N386">
        <v>0</v>
      </c>
      <c r="O386">
        <v>7.4362059999999999E-3</v>
      </c>
      <c r="P386">
        <v>0.99755640000000001</v>
      </c>
      <c r="Q386">
        <v>5.2712509999999997E-2</v>
      </c>
      <c r="R386">
        <v>-4.5857710000000003E-2</v>
      </c>
      <c r="S386">
        <v>3.034637</v>
      </c>
      <c r="T386">
        <v>-0.9597926</v>
      </c>
      <c r="U386">
        <v>-0.49703979999999998</v>
      </c>
      <c r="V386">
        <v>5.3296639999999999E-2</v>
      </c>
      <c r="W386">
        <v>6.6942489999999993E-2</v>
      </c>
      <c r="X386">
        <v>0.99633229999999995</v>
      </c>
      <c r="Y386">
        <v>0.16095570000000001</v>
      </c>
      <c r="Z386">
        <v>-2.6975949999999999E-2</v>
      </c>
      <c r="AA386">
        <v>0.98659289999999999</v>
      </c>
      <c r="AB386">
        <v>30</v>
      </c>
      <c r="AC386">
        <v>0.601999999999975</v>
      </c>
      <c r="AD386">
        <v>-0.26700030000000002</v>
      </c>
      <c r="AE386">
        <v>-0.14050000000003099</v>
      </c>
      <c r="AF386">
        <v>0.12218037073344699</v>
      </c>
      <c r="AG386">
        <v>-0.26700030000000002</v>
      </c>
      <c r="AH386">
        <v>0.506458437643446</v>
      </c>
      <c r="AI386">
        <v>117.134625701753</v>
      </c>
      <c r="AJ386">
        <v>76.436858426366996</v>
      </c>
      <c r="AK386">
        <v>0.58542066264601</v>
      </c>
      <c r="AL386">
        <v>86.1616071458796</v>
      </c>
      <c r="AM386">
        <v>86.938004672785794</v>
      </c>
      <c r="AN386">
        <v>0.99999994041298801</v>
      </c>
    </row>
    <row r="387" spans="1:40" x14ac:dyDescent="0.25">
      <c r="A387" t="str">
        <f>"20190312154808338"</f>
        <v>20190312154808338</v>
      </c>
      <c r="B387" t="str">
        <f>"1552376888326817"</f>
        <v>1552376888326817</v>
      </c>
      <c r="C387" t="s">
        <v>40</v>
      </c>
      <c r="D387">
        <v>5.2347429999999999</v>
      </c>
      <c r="E387">
        <v>0.5508111</v>
      </c>
      <c r="F387" t="s">
        <v>41</v>
      </c>
      <c r="G387">
        <v>-367.63830000000002</v>
      </c>
      <c r="H387">
        <v>0.83539519999999901</v>
      </c>
      <c r="I387">
        <v>367.42559999999997</v>
      </c>
      <c r="J387">
        <v>-368.35480000000001</v>
      </c>
      <c r="K387">
        <v>1.110074</v>
      </c>
      <c r="L387">
        <v>367.56939999999997</v>
      </c>
      <c r="M387">
        <v>0.99987079999999995</v>
      </c>
      <c r="N387">
        <v>0</v>
      </c>
      <c r="O387">
        <v>7.3664849999999999E-3</v>
      </c>
      <c r="P387">
        <v>0.99755320000000003</v>
      </c>
      <c r="Q387">
        <v>5.2886250000000003E-2</v>
      </c>
      <c r="R387">
        <v>-4.5729489999999998E-2</v>
      </c>
      <c r="S387">
        <v>3.035126</v>
      </c>
      <c r="T387">
        <v>-0.95765440000000002</v>
      </c>
      <c r="U387">
        <v>-0.49798579999999998</v>
      </c>
      <c r="V387">
        <v>5.3098819999999998E-2</v>
      </c>
      <c r="W387">
        <v>6.7115190000000005E-2</v>
      </c>
      <c r="X387">
        <v>0.99633130000000003</v>
      </c>
      <c r="Y387">
        <v>0.161191</v>
      </c>
      <c r="Z387">
        <v>-2.6928560000000001E-2</v>
      </c>
      <c r="AA387">
        <v>0.98655579999999998</v>
      </c>
      <c r="AB387">
        <v>30</v>
      </c>
      <c r="AC387">
        <v>0.71649999999999603</v>
      </c>
      <c r="AD387">
        <v>-0.2746788</v>
      </c>
      <c r="AE387">
        <v>-0.14379999999999801</v>
      </c>
      <c r="AF387">
        <v>0.13062111857809799</v>
      </c>
      <c r="AG387">
        <v>-0.2746788</v>
      </c>
      <c r="AH387">
        <v>0.62686087018410397</v>
      </c>
      <c r="AI387">
        <v>113.217765506803</v>
      </c>
      <c r="AJ387">
        <v>78.229512002394699</v>
      </c>
      <c r="AK387">
        <v>0.69675309138604202</v>
      </c>
      <c r="AL387">
        <v>86.151690076288503</v>
      </c>
      <c r="AM387">
        <v>86.949345252156107</v>
      </c>
      <c r="AN387">
        <v>0.99999999638690895</v>
      </c>
    </row>
    <row r="388" spans="1:40" x14ac:dyDescent="0.25">
      <c r="A388" t="str">
        <f>"20190312154808362"</f>
        <v>20190312154808362</v>
      </c>
      <c r="B388" t="str">
        <f>"1552376888356098"</f>
        <v>1552376888356098</v>
      </c>
      <c r="C388" t="s">
        <v>40</v>
      </c>
      <c r="D388">
        <v>5.2199549999999997</v>
      </c>
      <c r="E388">
        <v>0.55063229999999996</v>
      </c>
      <c r="F388" t="s">
        <v>41</v>
      </c>
      <c r="G388">
        <v>-367.62090000000001</v>
      </c>
      <c r="H388">
        <v>0.87875149999999902</v>
      </c>
      <c r="I388">
        <v>367.44929999999999</v>
      </c>
      <c r="J388">
        <v>-368.03309999999999</v>
      </c>
      <c r="K388">
        <v>1.110079</v>
      </c>
      <c r="L388">
        <v>367.57170000000002</v>
      </c>
      <c r="M388">
        <v>0.99987190000000004</v>
      </c>
      <c r="N388">
        <v>0</v>
      </c>
      <c r="O388">
        <v>7.2205489999999997E-3</v>
      </c>
      <c r="P388">
        <v>0.99752629999999998</v>
      </c>
      <c r="Q388">
        <v>5.3231790000000001E-2</v>
      </c>
      <c r="R388">
        <v>-4.5912050000000003E-2</v>
      </c>
      <c r="S388">
        <v>3.0353089999999998</v>
      </c>
      <c r="T388">
        <v>-0.95684539999999996</v>
      </c>
      <c r="U388">
        <v>-0.49710080000000001</v>
      </c>
      <c r="V388">
        <v>5.3135880000000003E-2</v>
      </c>
      <c r="W388">
        <v>6.7456790000000003E-2</v>
      </c>
      <c r="X388">
        <v>0.99630620000000003</v>
      </c>
      <c r="Y388">
        <v>0.16079679999999999</v>
      </c>
      <c r="Z388">
        <v>-2.680095E-2</v>
      </c>
      <c r="AA388">
        <v>0.98662360000000005</v>
      </c>
      <c r="AB388">
        <v>30</v>
      </c>
      <c r="AC388">
        <v>0.41219999999998402</v>
      </c>
      <c r="AD388">
        <v>-0.23132749999999999</v>
      </c>
      <c r="AE388">
        <v>-0.122400000000027</v>
      </c>
      <c r="AF388">
        <v>9.7231855848645896E-2</v>
      </c>
      <c r="AG388">
        <v>-0.23132749999999999</v>
      </c>
      <c r="AH388">
        <v>0.31898294978050601</v>
      </c>
      <c r="AI388">
        <v>124.748740003622</v>
      </c>
      <c r="AJ388">
        <v>73.0478166864212</v>
      </c>
      <c r="AK388">
        <v>0.40585288997208602</v>
      </c>
      <c r="AL388">
        <v>86.1320731712335</v>
      </c>
      <c r="AM388">
        <v>86.947143328728004</v>
      </c>
      <c r="AN388">
        <v>0.99999994220945698</v>
      </c>
    </row>
    <row r="389" spans="1:40" x14ac:dyDescent="0.25">
      <c r="A389" t="str">
        <f>"20190312154808384"</f>
        <v>20190312154808384</v>
      </c>
      <c r="B389" t="str">
        <f>"1552376888376592"</f>
        <v>1552376888376592</v>
      </c>
      <c r="C389" t="s">
        <v>40</v>
      </c>
      <c r="D389">
        <v>5.2337230000000003</v>
      </c>
      <c r="E389">
        <v>0.55067489999999997</v>
      </c>
      <c r="F389" t="s">
        <v>41</v>
      </c>
      <c r="G389">
        <v>-367.34399999999999</v>
      </c>
      <c r="H389">
        <v>0.89276350000000004</v>
      </c>
      <c r="I389">
        <v>367.45870000000002</v>
      </c>
      <c r="J389">
        <v>-367.74950000000001</v>
      </c>
      <c r="K389">
        <v>1.1100760000000001</v>
      </c>
      <c r="L389">
        <v>367.57350000000002</v>
      </c>
      <c r="M389">
        <v>0.99987289999999995</v>
      </c>
      <c r="N389">
        <v>0</v>
      </c>
      <c r="O389">
        <v>7.0918939999999996E-3</v>
      </c>
      <c r="P389">
        <v>0.9975195</v>
      </c>
      <c r="Q389">
        <v>5.3549029999999997E-2</v>
      </c>
      <c r="R389">
        <v>-4.568871E-2</v>
      </c>
      <c r="S389">
        <v>3.0357059999999998</v>
      </c>
      <c r="T389">
        <v>-0.9573296</v>
      </c>
      <c r="U389">
        <v>-0.49621579999999899</v>
      </c>
      <c r="V389">
        <v>5.2784329999999997E-2</v>
      </c>
      <c r="W389">
        <v>6.777126E-2</v>
      </c>
      <c r="X389">
        <v>0.99630359999999996</v>
      </c>
      <c r="Y389">
        <v>0.16038839999999999</v>
      </c>
      <c r="Z389">
        <v>-2.6709320000000002E-2</v>
      </c>
      <c r="AA389">
        <v>0.98669249999999997</v>
      </c>
      <c r="AB389">
        <v>30</v>
      </c>
      <c r="AC389">
        <v>0.40550000000001701</v>
      </c>
      <c r="AD389">
        <v>-0.21731249999999999</v>
      </c>
      <c r="AE389">
        <v>-0.114800000000002</v>
      </c>
      <c r="AF389">
        <v>9.2956789292438405E-2</v>
      </c>
      <c r="AG389">
        <v>-0.21731249999999999</v>
      </c>
      <c r="AH389">
        <v>0.31967645585311999</v>
      </c>
      <c r="AI389">
        <v>123.134573351067</v>
      </c>
      <c r="AJ389">
        <v>73.786416015995798</v>
      </c>
      <c r="AK389">
        <v>0.39756599924870401</v>
      </c>
      <c r="AL389">
        <v>86.114014249384795</v>
      </c>
      <c r="AM389">
        <v>86.967295473509395</v>
      </c>
      <c r="AN389">
        <v>0.99999999627424796</v>
      </c>
    </row>
    <row r="390" spans="1:40" x14ac:dyDescent="0.25">
      <c r="A390" t="str">
        <f>"20190312154808396"</f>
        <v>20190312154808396</v>
      </c>
      <c r="B390" t="str">
        <f>"1552376888386353"</f>
        <v>1552376888386353</v>
      </c>
      <c r="C390" t="s">
        <v>40</v>
      </c>
      <c r="D390">
        <v>5.2189300000000003</v>
      </c>
      <c r="E390">
        <v>0.55072619999999906</v>
      </c>
      <c r="F390" t="s">
        <v>41</v>
      </c>
      <c r="G390">
        <v>-367.07150000000001</v>
      </c>
      <c r="H390">
        <v>0.89638209999999996</v>
      </c>
      <c r="I390">
        <v>367.46269999999998</v>
      </c>
      <c r="J390">
        <v>-367.57780000000002</v>
      </c>
      <c r="K390">
        <v>1.1100779999999999</v>
      </c>
      <c r="L390">
        <v>367.57470000000001</v>
      </c>
      <c r="M390">
        <v>0.99987349999999997</v>
      </c>
      <c r="N390">
        <v>0</v>
      </c>
      <c r="O390">
        <v>7.0140109999999997E-3</v>
      </c>
      <c r="P390">
        <v>0.99752629999999998</v>
      </c>
      <c r="Q390">
        <v>5.3465520000000002E-2</v>
      </c>
      <c r="R390">
        <v>-4.5640470000000002E-2</v>
      </c>
      <c r="S390">
        <v>3.0360719999999999</v>
      </c>
      <c r="T390">
        <v>-0.95702739999999997</v>
      </c>
      <c r="U390">
        <v>-0.49642940000000002</v>
      </c>
      <c r="V390">
        <v>5.2658129999999997E-2</v>
      </c>
      <c r="W390">
        <v>6.7686090000000004E-2</v>
      </c>
      <c r="X390">
        <v>0.99631610000000004</v>
      </c>
      <c r="Y390">
        <v>0.1603716</v>
      </c>
      <c r="Z390">
        <v>-2.6671690000000001E-2</v>
      </c>
      <c r="AA390">
        <v>0.98669629999999997</v>
      </c>
      <c r="AB390">
        <v>30</v>
      </c>
      <c r="AC390">
        <v>0.50630000000000996</v>
      </c>
      <c r="AD390">
        <v>-0.21369589999999999</v>
      </c>
      <c r="AE390">
        <v>-0.112000000000023</v>
      </c>
      <c r="AF390">
        <v>9.8773563871594805E-2</v>
      </c>
      <c r="AG390">
        <v>-0.21369589999999999</v>
      </c>
      <c r="AH390">
        <v>0.43211373529425001</v>
      </c>
      <c r="AI390">
        <v>115.738795651998</v>
      </c>
      <c r="AJ390">
        <v>77.124404919626699</v>
      </c>
      <c r="AK390">
        <v>0.49208173592062499</v>
      </c>
      <c r="AL390">
        <v>86.118905486426797</v>
      </c>
      <c r="AM390">
        <v>86.974570649563304</v>
      </c>
      <c r="AN390">
        <v>1.0000000282768899</v>
      </c>
    </row>
    <row r="391" spans="1:40" x14ac:dyDescent="0.25">
      <c r="A391" t="str">
        <f>"20190312154808408"</f>
        <v>20190312154808408</v>
      </c>
      <c r="B391" t="str">
        <f>"1552376888396113"</f>
        <v>1552376888396113</v>
      </c>
      <c r="C391" t="s">
        <v>40</v>
      </c>
      <c r="D391">
        <v>5.2442299999999999</v>
      </c>
      <c r="E391">
        <v>0.55077049999999905</v>
      </c>
      <c r="F391" t="s">
        <v>41</v>
      </c>
      <c r="G391">
        <v>-366.81200000000001</v>
      </c>
      <c r="H391">
        <v>0.86851889999999998</v>
      </c>
      <c r="I391">
        <v>367.44909999999999</v>
      </c>
      <c r="J391">
        <v>-367.41719999999998</v>
      </c>
      <c r="K391">
        <v>1.110079</v>
      </c>
      <c r="L391">
        <v>367.57569999999998</v>
      </c>
      <c r="M391">
        <v>0.99987400000000004</v>
      </c>
      <c r="N391">
        <v>0</v>
      </c>
      <c r="O391">
        <v>6.9412519999999898E-3</v>
      </c>
      <c r="P391">
        <v>0.99754310000000002</v>
      </c>
      <c r="Q391">
        <v>5.3497089999999997E-2</v>
      </c>
      <c r="R391">
        <v>-4.5234940000000001E-2</v>
      </c>
      <c r="S391">
        <v>3.036041</v>
      </c>
      <c r="T391">
        <v>-0.95767749999999996</v>
      </c>
      <c r="U391">
        <v>-0.49670409999999998</v>
      </c>
      <c r="V391">
        <v>5.2180360000000002E-2</v>
      </c>
      <c r="W391">
        <v>6.7716540000000006E-2</v>
      </c>
      <c r="X391">
        <v>0.99633910000000003</v>
      </c>
      <c r="Y391">
        <v>0.16038089999999999</v>
      </c>
      <c r="Z391">
        <v>-2.6668210000000001E-2</v>
      </c>
      <c r="AA391">
        <v>0.98669490000000004</v>
      </c>
      <c r="AB391">
        <v>30</v>
      </c>
      <c r="AC391">
        <v>0.60520000000002405</v>
      </c>
      <c r="AD391">
        <v>-0.2415601</v>
      </c>
      <c r="AE391">
        <v>-0.12659999999999599</v>
      </c>
      <c r="AF391">
        <v>0.113477639353582</v>
      </c>
      <c r="AG391">
        <v>-0.2415601</v>
      </c>
      <c r="AH391">
        <v>0.52428298121656003</v>
      </c>
      <c r="AI391">
        <v>114.242814538294</v>
      </c>
      <c r="AJ391">
        <v>77.787091483030906</v>
      </c>
      <c r="AK391">
        <v>0.58830357889324003</v>
      </c>
      <c r="AL391">
        <v>86.117156556177207</v>
      </c>
      <c r="AM391">
        <v>87.002039306407198</v>
      </c>
      <c r="AN391">
        <v>0.99999996097405397</v>
      </c>
    </row>
    <row r="392" spans="1:40" x14ac:dyDescent="0.25">
      <c r="A392" t="str">
        <f>"20190312154808420"</f>
        <v>20190312154808420</v>
      </c>
      <c r="B392" t="str">
        <f>"1552376888416609"</f>
        <v>1552376888416609</v>
      </c>
      <c r="C392" t="s">
        <v>40</v>
      </c>
      <c r="D392">
        <v>5.247846</v>
      </c>
      <c r="E392">
        <v>0.55083269999999995</v>
      </c>
      <c r="F392" t="s">
        <v>41</v>
      </c>
      <c r="G392">
        <v>-366.55399999999997</v>
      </c>
      <c r="H392">
        <v>0.83775149999999998</v>
      </c>
      <c r="I392">
        <v>367.43470000000002</v>
      </c>
      <c r="J392">
        <v>-367.24900000000002</v>
      </c>
      <c r="K392">
        <v>1.1100810000000001</v>
      </c>
      <c r="L392">
        <v>367.57679999999999</v>
      </c>
      <c r="M392">
        <v>0.9998745</v>
      </c>
      <c r="N392">
        <v>0</v>
      </c>
      <c r="O392">
        <v>6.8648579999999997E-3</v>
      </c>
      <c r="P392">
        <v>0.99754580000000004</v>
      </c>
      <c r="Q392">
        <v>5.3748650000000002E-2</v>
      </c>
      <c r="R392">
        <v>-4.487352E-2</v>
      </c>
      <c r="S392">
        <v>3.0363159999999998</v>
      </c>
      <c r="T392">
        <v>-0.95790450000000005</v>
      </c>
      <c r="U392">
        <v>-0.49530030000000003</v>
      </c>
      <c r="V392">
        <v>5.174281E-2</v>
      </c>
      <c r="W392">
        <v>6.7966780000000004E-2</v>
      </c>
      <c r="X392">
        <v>0.99634489999999998</v>
      </c>
      <c r="Y392">
        <v>0.15987179999999901</v>
      </c>
      <c r="Z392">
        <v>-2.6571560000000001E-2</v>
      </c>
      <c r="AA392">
        <v>0.98678010000000005</v>
      </c>
      <c r="AB392">
        <v>30</v>
      </c>
      <c r="AC392">
        <v>0.69499999999999296</v>
      </c>
      <c r="AD392">
        <v>-0.272329499999999</v>
      </c>
      <c r="AE392">
        <v>-0.14209999999997</v>
      </c>
      <c r="AF392">
        <v>0.12800329758806001</v>
      </c>
      <c r="AG392">
        <v>-0.272329499999999</v>
      </c>
      <c r="AH392">
        <v>0.60486413946804896</v>
      </c>
      <c r="AI392">
        <v>113.77240119077599</v>
      </c>
      <c r="AJ392">
        <v>78.0511745273526</v>
      </c>
      <c r="AK392">
        <v>0.67558036381920605</v>
      </c>
      <c r="AL392">
        <v>86.102785827673003</v>
      </c>
      <c r="AM392">
        <v>87.027150212539496</v>
      </c>
      <c r="AN392">
        <v>0.999999980663137</v>
      </c>
    </row>
    <row r="393" spans="1:40" x14ac:dyDescent="0.25">
      <c r="A393" t="str">
        <f>"20190312154808439"</f>
        <v>20190312154808439</v>
      </c>
      <c r="B393" t="str">
        <f>"1552376888436129"</f>
        <v>1552376888436129</v>
      </c>
      <c r="C393" t="s">
        <v>40</v>
      </c>
      <c r="D393">
        <v>5.3612440000000001</v>
      </c>
      <c r="E393">
        <v>0.55088599999999999</v>
      </c>
      <c r="F393" t="s">
        <v>41</v>
      </c>
      <c r="G393">
        <v>-366.5351</v>
      </c>
      <c r="H393">
        <v>0.8848414</v>
      </c>
      <c r="I393">
        <v>367.46030000000002</v>
      </c>
      <c r="J393">
        <v>-367.00150000000002</v>
      </c>
      <c r="K393">
        <v>1.110087</v>
      </c>
      <c r="L393">
        <v>367.57839999999999</v>
      </c>
      <c r="M393">
        <v>0.99987539999999997</v>
      </c>
      <c r="N393">
        <v>0</v>
      </c>
      <c r="O393">
        <v>6.752175E-3</v>
      </c>
      <c r="P393">
        <v>0.99756259999999997</v>
      </c>
      <c r="Q393">
        <v>5.4007300000000001E-2</v>
      </c>
      <c r="R393">
        <v>-4.4189859999999997E-2</v>
      </c>
      <c r="S393">
        <v>3.036743</v>
      </c>
      <c r="T393">
        <v>-0.95809719999999998</v>
      </c>
      <c r="U393">
        <v>-0.49481199999999997</v>
      </c>
      <c r="V393">
        <v>5.0946680000000001E-2</v>
      </c>
      <c r="W393">
        <v>6.8223690000000003E-2</v>
      </c>
      <c r="X393">
        <v>0.99636840000000004</v>
      </c>
      <c r="Y393">
        <v>0.15960099999999999</v>
      </c>
      <c r="Z393">
        <v>-2.6497509999999998E-2</v>
      </c>
      <c r="AA393">
        <v>0.98682590000000003</v>
      </c>
      <c r="AB393">
        <v>30</v>
      </c>
      <c r="AC393">
        <v>0.46640000000002102</v>
      </c>
      <c r="AD393">
        <v>-0.22524559999999999</v>
      </c>
      <c r="AE393">
        <v>-0.11809999999996899</v>
      </c>
      <c r="AF393">
        <v>9.9449308401196201E-2</v>
      </c>
      <c r="AG393">
        <v>-0.22524559999999999</v>
      </c>
      <c r="AH393">
        <v>0.38188860736820901</v>
      </c>
      <c r="AI393">
        <v>119.717014690417</v>
      </c>
      <c r="AJ393">
        <v>75.403543870449397</v>
      </c>
      <c r="AK393">
        <v>0.45438381760188901</v>
      </c>
      <c r="AL393">
        <v>86.088031845730399</v>
      </c>
      <c r="AM393">
        <v>87.072880097261006</v>
      </c>
      <c r="AN393">
        <v>1.00000001229939</v>
      </c>
    </row>
    <row r="394" spans="1:40" x14ac:dyDescent="0.25">
      <c r="A394" t="str">
        <f>"20190312154808451"</f>
        <v>20190312154808451</v>
      </c>
      <c r="B394" t="str">
        <f>"1552376888446865"</f>
        <v>1552376888446865</v>
      </c>
      <c r="C394" t="s">
        <v>40</v>
      </c>
      <c r="D394">
        <v>5.5128309999999896</v>
      </c>
      <c r="E394">
        <v>0.55084339999999998</v>
      </c>
      <c r="F394" t="s">
        <v>41</v>
      </c>
      <c r="G394">
        <v>-366.26749999999998</v>
      </c>
      <c r="H394">
        <v>0.87869909999999996</v>
      </c>
      <c r="I394">
        <v>367.45890000000003</v>
      </c>
      <c r="J394">
        <v>-366.8329</v>
      </c>
      <c r="K394">
        <v>1.110087</v>
      </c>
      <c r="L394">
        <v>367.5795</v>
      </c>
      <c r="M394">
        <v>0.99987599999999999</v>
      </c>
      <c r="N394">
        <v>0</v>
      </c>
      <c r="O394">
        <v>6.6753639999999996E-3</v>
      </c>
      <c r="P394">
        <v>0.9975598</v>
      </c>
      <c r="Q394">
        <v>5.4474700000000001E-2</v>
      </c>
      <c r="R394">
        <v>-4.3672240000000001E-2</v>
      </c>
      <c r="S394">
        <v>3.0373839999999999</v>
      </c>
      <c r="T394">
        <v>-0.95755049999999997</v>
      </c>
      <c r="U394">
        <v>-0.49285889999999999</v>
      </c>
      <c r="V394">
        <v>5.0352849999999998E-2</v>
      </c>
      <c r="W394">
        <v>6.8689399999999901E-2</v>
      </c>
      <c r="X394">
        <v>0.99636659999999999</v>
      </c>
      <c r="Y394">
        <v>0.158920899999999</v>
      </c>
      <c r="Z394">
        <v>-2.6351530000000001E-2</v>
      </c>
      <c r="AA394">
        <v>0.98693960000000003</v>
      </c>
      <c r="AB394">
        <v>30</v>
      </c>
      <c r="AC394">
        <v>0.565400000000011</v>
      </c>
      <c r="AD394">
        <v>-0.23138790000000001</v>
      </c>
      <c r="AE394">
        <v>-0.120599999999967</v>
      </c>
      <c r="AF394">
        <v>0.10719924610006</v>
      </c>
      <c r="AG394">
        <v>-0.23138790000000001</v>
      </c>
      <c r="AH394">
        <v>0.486627370553533</v>
      </c>
      <c r="AI394">
        <v>114.90823690763099</v>
      </c>
      <c r="AJ394">
        <v>77.576722212712298</v>
      </c>
      <c r="AK394">
        <v>0.549398067345233</v>
      </c>
      <c r="AL394">
        <v>86.061285924752895</v>
      </c>
      <c r="AM394">
        <v>87.106934827681201</v>
      </c>
      <c r="AN394">
        <v>1.0000000223855201</v>
      </c>
    </row>
    <row r="395" spans="1:40" x14ac:dyDescent="0.25">
      <c r="A395" t="str">
        <f>"20190312154808464"</f>
        <v>20190312154808464</v>
      </c>
      <c r="B395" t="str">
        <f>"1552376888456625"</f>
        <v>1552376888456625</v>
      </c>
      <c r="C395" t="s">
        <v>40</v>
      </c>
      <c r="D395">
        <v>5.2409939999999997</v>
      </c>
      <c r="E395">
        <v>0.55084339999999998</v>
      </c>
      <c r="F395" t="s">
        <v>41</v>
      </c>
      <c r="G395">
        <v>-366.00900000000001</v>
      </c>
      <c r="H395">
        <v>0.8508599</v>
      </c>
      <c r="I395">
        <v>367.4461</v>
      </c>
      <c r="J395">
        <v>-366.66039999999998</v>
      </c>
      <c r="K395">
        <v>1.1100909999999999</v>
      </c>
      <c r="L395">
        <v>367.5806</v>
      </c>
      <c r="M395">
        <v>0.99987649999999995</v>
      </c>
      <c r="N395">
        <v>0</v>
      </c>
      <c r="O395">
        <v>6.5969440000000004E-3</v>
      </c>
      <c r="P395">
        <v>0.9975522</v>
      </c>
      <c r="Q395">
        <v>5.4710090000000003E-2</v>
      </c>
      <c r="R395">
        <v>-4.3552479999999998E-2</v>
      </c>
      <c r="S395">
        <v>3.0380549999999999</v>
      </c>
      <c r="T395">
        <v>-0.95592569999999999</v>
      </c>
      <c r="U395">
        <v>-0.49093629999999999</v>
      </c>
      <c r="V395">
        <v>5.0154770000000001E-2</v>
      </c>
      <c r="W395">
        <v>6.8923440000000002E-2</v>
      </c>
      <c r="X395">
        <v>0.99636040000000003</v>
      </c>
      <c r="Y395">
        <v>0.1582634</v>
      </c>
      <c r="Z395">
        <v>-2.618026E-2</v>
      </c>
      <c r="AA395">
        <v>0.98704979999999998</v>
      </c>
      <c r="AB395">
        <v>30</v>
      </c>
      <c r="AC395">
        <v>0.65139999999996601</v>
      </c>
      <c r="AD395">
        <v>-0.25923109999999899</v>
      </c>
      <c r="AE395">
        <v>-0.13450000000000201</v>
      </c>
      <c r="AF395">
        <v>0.120492411687056</v>
      </c>
      <c r="AG395">
        <v>-0.25923109999999899</v>
      </c>
      <c r="AH395">
        <v>0.56471963834786199</v>
      </c>
      <c r="AI395">
        <v>114.17715117093999</v>
      </c>
      <c r="AJ395">
        <v>77.955591853162204</v>
      </c>
      <c r="AK395">
        <v>0.63295138392858596</v>
      </c>
      <c r="AL395">
        <v>86.047844453245602</v>
      </c>
      <c r="AM395">
        <v>87.118278557586606</v>
      </c>
      <c r="AN395">
        <v>0.99999999411167295</v>
      </c>
    </row>
    <row r="396" spans="1:40" x14ac:dyDescent="0.25">
      <c r="A396" t="str">
        <f>"20190312154808477"</f>
        <v>20190312154808477</v>
      </c>
      <c r="B396" t="str">
        <f>"1552376888466384"</f>
        <v>1552376888466384</v>
      </c>
      <c r="C396" t="s">
        <v>40</v>
      </c>
      <c r="D396">
        <v>5.2699470000000002</v>
      </c>
      <c r="E396">
        <v>0.55292619999999904</v>
      </c>
      <c r="F396" t="s">
        <v>41</v>
      </c>
      <c r="G396">
        <v>-365.9896</v>
      </c>
      <c r="H396">
        <v>0.89920990000000001</v>
      </c>
      <c r="I396">
        <v>367.47210000000001</v>
      </c>
      <c r="J396">
        <v>-366.49299999999999</v>
      </c>
      <c r="K396">
        <v>1.110093</v>
      </c>
      <c r="L396">
        <v>367.58159999999998</v>
      </c>
      <c r="M396">
        <v>0.99987700000000002</v>
      </c>
      <c r="N396">
        <v>0</v>
      </c>
      <c r="O396">
        <v>6.5208480000000001E-3</v>
      </c>
      <c r="P396">
        <v>0.99753630000000004</v>
      </c>
      <c r="Q396">
        <v>5.5093429999999999E-2</v>
      </c>
      <c r="R396">
        <v>-4.3427630000000002E-2</v>
      </c>
      <c r="S396">
        <v>3.0383300000000002</v>
      </c>
      <c r="T396">
        <v>-0.95522189999999996</v>
      </c>
      <c r="U396">
        <v>-0.49023440000000001</v>
      </c>
      <c r="V396">
        <v>4.9954199999999997E-2</v>
      </c>
      <c r="W396">
        <v>6.9304959999999999E-2</v>
      </c>
      <c r="X396">
        <v>0.99634400000000001</v>
      </c>
      <c r="Y396">
        <v>0.15798119999999999</v>
      </c>
      <c r="Z396">
        <v>-2.609378E-2</v>
      </c>
      <c r="AA396">
        <v>0.98709729999999996</v>
      </c>
      <c r="AB396">
        <v>30</v>
      </c>
      <c r="AC396">
        <v>0.50340000000005602</v>
      </c>
      <c r="AD396">
        <v>-0.21088309999999999</v>
      </c>
      <c r="AE396">
        <v>-0.109499999999968</v>
      </c>
      <c r="AF396">
        <v>9.6594824165786103E-2</v>
      </c>
      <c r="AG396">
        <v>-0.21088309999999999</v>
      </c>
      <c r="AH396">
        <v>0.43053345526753001</v>
      </c>
      <c r="AI396">
        <v>115.544847361851</v>
      </c>
      <c r="AJ396">
        <v>77.354480811266498</v>
      </c>
      <c r="AK396">
        <v>0.48904120278952701</v>
      </c>
      <c r="AL396">
        <v>86.025932526093499</v>
      </c>
      <c r="AM396">
        <v>87.129736149578207</v>
      </c>
      <c r="AN396">
        <v>0.99999998295712</v>
      </c>
    </row>
    <row r="397" spans="1:40" x14ac:dyDescent="0.25">
      <c r="A397" t="str">
        <f>"20190312154808495"</f>
        <v>20190312154808495</v>
      </c>
      <c r="B397" t="str">
        <f>"1552376888486881"</f>
        <v>1552376888486881</v>
      </c>
      <c r="C397" t="s">
        <v>40</v>
      </c>
      <c r="D397">
        <v>5.2502079999999998</v>
      </c>
      <c r="E397">
        <v>0.55162939999999905</v>
      </c>
      <c r="F397" t="s">
        <v>41</v>
      </c>
      <c r="G397">
        <v>-365.70839999999998</v>
      </c>
      <c r="H397">
        <v>0.92256919999999998</v>
      </c>
      <c r="I397">
        <v>367.44740000000002</v>
      </c>
      <c r="J397">
        <v>-366.24470000000002</v>
      </c>
      <c r="K397">
        <v>1.110093</v>
      </c>
      <c r="L397">
        <v>367.5831</v>
      </c>
      <c r="M397">
        <v>0.99987760000000003</v>
      </c>
      <c r="N397">
        <v>0</v>
      </c>
      <c r="O397">
        <v>6.4081040000000004E-3</v>
      </c>
      <c r="P397">
        <v>0.99751829999999997</v>
      </c>
      <c r="Q397">
        <v>5.5520689999999998E-2</v>
      </c>
      <c r="R397">
        <v>-4.329508E-2</v>
      </c>
      <c r="S397">
        <v>3.0248719999999998</v>
      </c>
      <c r="T397">
        <v>-0.72301099999999996</v>
      </c>
      <c r="U397">
        <v>-0.51599119999999998</v>
      </c>
      <c r="V397">
        <v>4.970919E-2</v>
      </c>
      <c r="W397">
        <v>6.9729269999999996E-2</v>
      </c>
      <c r="X397">
        <v>0.99632670000000001</v>
      </c>
      <c r="Y397">
        <v>0.16964570000000001</v>
      </c>
      <c r="Z397">
        <v>-2.1355699999999998E-2</v>
      </c>
      <c r="AA397">
        <v>0.98527370000000003</v>
      </c>
      <c r="AB397">
        <v>30</v>
      </c>
      <c r="AC397">
        <v>0.53630000000003897</v>
      </c>
      <c r="AD397">
        <v>-0.18752379999999999</v>
      </c>
      <c r="AE397">
        <v>-0.135699999999985</v>
      </c>
      <c r="AF397">
        <v>0.124794494670976</v>
      </c>
      <c r="AG397">
        <v>-0.18752379999999999</v>
      </c>
      <c r="AH397">
        <v>0.48023684373315001</v>
      </c>
      <c r="AI397">
        <v>110.70308452167799</v>
      </c>
      <c r="AJ397">
        <v>75.433280963064703</v>
      </c>
      <c r="AK397">
        <v>0.53043969265638702</v>
      </c>
      <c r="AL397">
        <v>86.001562600087595</v>
      </c>
      <c r="AM397">
        <v>87.143741030933597</v>
      </c>
      <c r="AN397">
        <v>1.00000003389903</v>
      </c>
    </row>
    <row r="398" spans="1:40" x14ac:dyDescent="0.25">
      <c r="A398" t="str">
        <f>"20190312154808507"</f>
        <v>20190312154808507</v>
      </c>
      <c r="B398" t="str">
        <f>"1552376888496641"</f>
        <v>1552376888496641</v>
      </c>
      <c r="C398" t="s">
        <v>40</v>
      </c>
      <c r="D398">
        <v>5.2737259999999999</v>
      </c>
      <c r="E398">
        <v>0.55166340000000003</v>
      </c>
      <c r="F398" t="s">
        <v>41</v>
      </c>
      <c r="G398">
        <v>-365.44630000000001</v>
      </c>
      <c r="H398">
        <v>0.90664509999999998</v>
      </c>
      <c r="I398">
        <v>367.45010000000002</v>
      </c>
      <c r="J398">
        <v>-366.07769999999999</v>
      </c>
      <c r="K398">
        <v>1.110096</v>
      </c>
      <c r="L398">
        <v>367.58409999999998</v>
      </c>
      <c r="M398">
        <v>0.99987820000000005</v>
      </c>
      <c r="N398">
        <v>0</v>
      </c>
      <c r="O398">
        <v>6.3321870000000004E-3</v>
      </c>
      <c r="P398">
        <v>0.99750539999999999</v>
      </c>
      <c r="Q398">
        <v>5.5649179999999999E-2</v>
      </c>
      <c r="R398">
        <v>-4.3435189999999999E-2</v>
      </c>
      <c r="S398">
        <v>3.0285639999999998</v>
      </c>
      <c r="T398">
        <v>-0.77179880000000001</v>
      </c>
      <c r="U398">
        <v>-0.50375369999999997</v>
      </c>
      <c r="V398">
        <v>4.9773190000000002E-2</v>
      </c>
      <c r="W398">
        <v>6.9855799999999996E-2</v>
      </c>
      <c r="X398">
        <v>0.99631460000000005</v>
      </c>
      <c r="Y398">
        <v>0.16499159999999999</v>
      </c>
      <c r="Z398">
        <v>-2.2136110000000001E-2</v>
      </c>
      <c r="AA398">
        <v>0.9860466</v>
      </c>
      <c r="AB398">
        <v>30</v>
      </c>
      <c r="AC398">
        <v>0.63139999999998497</v>
      </c>
      <c r="AD398">
        <v>-0.20345089999999999</v>
      </c>
      <c r="AE398">
        <v>-0.13399999999995699</v>
      </c>
      <c r="AF398">
        <v>0.125524717740888</v>
      </c>
      <c r="AG398">
        <v>-0.20345089999999999</v>
      </c>
      <c r="AH398">
        <v>0.57355485702739395</v>
      </c>
      <c r="AI398">
        <v>109.112103475954</v>
      </c>
      <c r="AJ398">
        <v>77.655231626974697</v>
      </c>
      <c r="AK398">
        <v>0.621380638171527</v>
      </c>
      <c r="AL398">
        <v>85.994295078822006</v>
      </c>
      <c r="AM398">
        <v>87.140035056732501</v>
      </c>
      <c r="AN398">
        <v>0.99999999270478801</v>
      </c>
    </row>
    <row r="399" spans="1:40" x14ac:dyDescent="0.25">
      <c r="A399" t="str">
        <f>"20190312154808521"</f>
        <v>20190312154808521</v>
      </c>
      <c r="B399" t="str">
        <f>"1552376888516161"</f>
        <v>1552376888516161</v>
      </c>
      <c r="C399" t="s">
        <v>40</v>
      </c>
      <c r="D399">
        <v>5.2229039999999998</v>
      </c>
      <c r="E399">
        <v>0.55056389999999999</v>
      </c>
      <c r="F399" t="s">
        <v>41</v>
      </c>
      <c r="G399">
        <v>-365.18869999999998</v>
      </c>
      <c r="H399">
        <v>0.87864050000000005</v>
      </c>
      <c r="I399">
        <v>367.43599999999998</v>
      </c>
      <c r="J399">
        <v>-365.89670000000001</v>
      </c>
      <c r="K399">
        <v>1.110098</v>
      </c>
      <c r="L399">
        <v>367.58519999999999</v>
      </c>
      <c r="M399">
        <v>0.99987859999999995</v>
      </c>
      <c r="N399">
        <v>0</v>
      </c>
      <c r="O399">
        <v>6.2500119999999897E-3</v>
      </c>
      <c r="P399">
        <v>0.99747600000000003</v>
      </c>
      <c r="Q399">
        <v>5.5908329999999999E-2</v>
      </c>
      <c r="R399">
        <v>-4.3771150000000002E-2</v>
      </c>
      <c r="S399">
        <v>3.0296020000000001</v>
      </c>
      <c r="T399">
        <v>-0.78883249999999905</v>
      </c>
      <c r="U399">
        <v>-0.50323490000000004</v>
      </c>
      <c r="V399">
        <v>5.0027229999999999E-2</v>
      </c>
      <c r="W399">
        <v>7.0113129999999996E-2</v>
      </c>
      <c r="X399">
        <v>0.99628380000000005</v>
      </c>
      <c r="Y399">
        <v>0.16448019999999999</v>
      </c>
      <c r="Z399">
        <v>-2.2516270000000001E-2</v>
      </c>
      <c r="AA399">
        <v>0.98612330000000004</v>
      </c>
      <c r="AB399">
        <v>30</v>
      </c>
      <c r="AC399">
        <v>0.70800000000002605</v>
      </c>
      <c r="AD399">
        <v>-0.23145750000000001</v>
      </c>
      <c r="AE399">
        <v>-0.14920000000000699</v>
      </c>
      <c r="AF399">
        <v>0.139361593449154</v>
      </c>
      <c r="AG399">
        <v>-0.23145750000000001</v>
      </c>
      <c r="AH399">
        <v>0.64141700498074805</v>
      </c>
      <c r="AI399">
        <v>109.42398415148401</v>
      </c>
      <c r="AJ399">
        <v>77.741784485534396</v>
      </c>
      <c r="AK399">
        <v>0.69599569130376804</v>
      </c>
      <c r="AL399">
        <v>85.979514914912201</v>
      </c>
      <c r="AM399">
        <v>87.125373634495205</v>
      </c>
      <c r="AN399">
        <v>0.99999999244115401</v>
      </c>
    </row>
    <row r="400" spans="1:40" x14ac:dyDescent="0.25">
      <c r="A400" t="str">
        <f>"20190312154808532"</f>
        <v>20190312154808532</v>
      </c>
      <c r="B400" t="str">
        <f>"1552376888526897"</f>
        <v>1552376888526897</v>
      </c>
      <c r="C400" t="s">
        <v>40</v>
      </c>
      <c r="D400">
        <v>5.2083399999999997</v>
      </c>
      <c r="E400">
        <v>0.5502958</v>
      </c>
      <c r="F400" t="s">
        <v>41</v>
      </c>
      <c r="G400">
        <v>-365.17669999999998</v>
      </c>
      <c r="H400">
        <v>0.91076990000000002</v>
      </c>
      <c r="I400">
        <v>367.4676</v>
      </c>
      <c r="J400">
        <v>-365.73680000000002</v>
      </c>
      <c r="K400">
        <v>1.1100989999999999</v>
      </c>
      <c r="L400">
        <v>367.58609999999999</v>
      </c>
      <c r="M400">
        <v>0.99987919999999997</v>
      </c>
      <c r="N400">
        <v>0</v>
      </c>
      <c r="O400">
        <v>6.1772529999999997E-3</v>
      </c>
      <c r="P400">
        <v>0.99745729999999999</v>
      </c>
      <c r="Q400">
        <v>5.5959149999999999E-2</v>
      </c>
      <c r="R400">
        <v>-4.4133520000000002E-2</v>
      </c>
      <c r="S400">
        <v>3.032959</v>
      </c>
      <c r="T400">
        <v>-0.83970869999999997</v>
      </c>
      <c r="U400">
        <v>-0.4934692</v>
      </c>
      <c r="V400">
        <v>5.0316939999999998E-2</v>
      </c>
      <c r="W400">
        <v>7.0162119999999994E-2</v>
      </c>
      <c r="X400">
        <v>0.99626579999999998</v>
      </c>
      <c r="Y400">
        <v>0.16056970000000001</v>
      </c>
      <c r="Z400">
        <v>-2.3351130000000001E-2</v>
      </c>
      <c r="AA400">
        <v>0.98674819999999996</v>
      </c>
      <c r="AB400">
        <v>30</v>
      </c>
      <c r="AC400">
        <v>0.56010000000003302</v>
      </c>
      <c r="AD400">
        <v>-0.19932909999999901</v>
      </c>
      <c r="AE400">
        <v>-0.11849999999998299</v>
      </c>
      <c r="AF400">
        <v>0.10877205152946801</v>
      </c>
      <c r="AG400">
        <v>-0.19932909999999901</v>
      </c>
      <c r="AH400">
        <v>0.49888034143590398</v>
      </c>
      <c r="AI400">
        <v>111.324761459005</v>
      </c>
      <c r="AJ400">
        <v>77.700159372301101</v>
      </c>
      <c r="AK400">
        <v>0.54812867501339801</v>
      </c>
      <c r="AL400">
        <v>85.976701220005793</v>
      </c>
      <c r="AM400">
        <v>87.108702556062099</v>
      </c>
      <c r="AN400">
        <v>1.0000000308917401</v>
      </c>
    </row>
    <row r="401" spans="1:40" x14ac:dyDescent="0.25">
      <c r="A401" t="str">
        <f>"20190312154808552"</f>
        <v>20190312154808552</v>
      </c>
      <c r="B401" t="str">
        <f>"1552376888546417"</f>
        <v>1552376888546417</v>
      </c>
      <c r="C401" t="s">
        <v>40</v>
      </c>
      <c r="D401">
        <v>5.2771520000000001</v>
      </c>
      <c r="E401">
        <v>0.54991299999999999</v>
      </c>
      <c r="F401" t="s">
        <v>41</v>
      </c>
      <c r="G401">
        <v>-364.92070000000001</v>
      </c>
      <c r="H401">
        <v>0.87996830000000004</v>
      </c>
      <c r="I401">
        <v>367.4538</v>
      </c>
      <c r="J401">
        <v>-365.48950000000002</v>
      </c>
      <c r="K401">
        <v>1.110101</v>
      </c>
      <c r="L401">
        <v>367.5874</v>
      </c>
      <c r="M401">
        <v>0.99987990000000004</v>
      </c>
      <c r="N401">
        <v>0</v>
      </c>
      <c r="O401">
        <v>6.0646889999999998E-3</v>
      </c>
      <c r="P401">
        <v>0.99741159999999995</v>
      </c>
      <c r="Q401">
        <v>5.6287829999999997E-2</v>
      </c>
      <c r="R401">
        <v>-4.4744239999999998E-2</v>
      </c>
      <c r="S401">
        <v>3.0338440000000002</v>
      </c>
      <c r="T401">
        <v>-0.85549660000000005</v>
      </c>
      <c r="U401">
        <v>-0.49185180000000001</v>
      </c>
      <c r="V401">
        <v>5.0815119999999998E-2</v>
      </c>
      <c r="W401">
        <v>7.0487010000000003E-2</v>
      </c>
      <c r="X401">
        <v>0.99621749999999998</v>
      </c>
      <c r="Y401">
        <v>0.15971250000000001</v>
      </c>
      <c r="Z401">
        <v>-2.36197E-2</v>
      </c>
      <c r="AA401">
        <v>0.98688100000000001</v>
      </c>
      <c r="AB401">
        <v>30</v>
      </c>
      <c r="AC401">
        <v>0.56880000000000996</v>
      </c>
      <c r="AD401">
        <v>-0.2301327</v>
      </c>
      <c r="AE401">
        <v>-0.133600000000001</v>
      </c>
      <c r="AF401">
        <v>0.11864175608648</v>
      </c>
      <c r="AG401">
        <v>-0.2301327</v>
      </c>
      <c r="AH401">
        <v>0.49169854857471901</v>
      </c>
      <c r="AI401">
        <v>114.464534894886</v>
      </c>
      <c r="AJ401">
        <v>76.434421649274</v>
      </c>
      <c r="AK401">
        <v>0.55570170826357801</v>
      </c>
      <c r="AL401">
        <v>85.958039870193801</v>
      </c>
      <c r="AM401">
        <v>87.079984255666702</v>
      </c>
      <c r="AN401">
        <v>0.99999995115280005</v>
      </c>
    </row>
    <row r="402" spans="1:40" x14ac:dyDescent="0.25">
      <c r="A402" t="str">
        <f>"20190312154808574"</f>
        <v>20190312154808574</v>
      </c>
      <c r="B402" t="str">
        <f>"1552376888566913"</f>
        <v>1552376888566913</v>
      </c>
      <c r="C402" t="s">
        <v>40</v>
      </c>
      <c r="D402">
        <v>5.2909499999999996</v>
      </c>
      <c r="E402">
        <v>0.55024450000000003</v>
      </c>
      <c r="F402" t="s">
        <v>41</v>
      </c>
      <c r="G402">
        <v>-364.654</v>
      </c>
      <c r="H402">
        <v>0.87615560000000003</v>
      </c>
      <c r="I402">
        <v>367.452</v>
      </c>
      <c r="J402">
        <v>-365.18009999999998</v>
      </c>
      <c r="K402">
        <v>1.1101019999999999</v>
      </c>
      <c r="L402">
        <v>367.58920000000001</v>
      </c>
      <c r="M402">
        <v>0.99988089999999996</v>
      </c>
      <c r="N402">
        <v>0</v>
      </c>
      <c r="O402">
        <v>5.923879E-3</v>
      </c>
      <c r="P402">
        <v>0.99737819999999999</v>
      </c>
      <c r="Q402">
        <v>5.6365360000000003E-2</v>
      </c>
      <c r="R402">
        <v>-4.5385839999999997E-2</v>
      </c>
      <c r="S402">
        <v>3.033722</v>
      </c>
      <c r="T402">
        <v>-0.8495876</v>
      </c>
      <c r="U402">
        <v>-0.49087520000000001</v>
      </c>
      <c r="V402">
        <v>5.1316220000000003E-2</v>
      </c>
      <c r="W402">
        <v>7.0560730000000002E-2</v>
      </c>
      <c r="X402">
        <v>0.99618660000000003</v>
      </c>
      <c r="Y402">
        <v>0.15937270000000001</v>
      </c>
      <c r="Z402">
        <v>-2.337912E-2</v>
      </c>
      <c r="AA402">
        <v>0.98694159999999997</v>
      </c>
      <c r="AB402">
        <v>30</v>
      </c>
      <c r="AC402">
        <v>0.52609999999998502</v>
      </c>
      <c r="AD402">
        <v>-0.2339464</v>
      </c>
      <c r="AE402">
        <v>-0.13720000000000701</v>
      </c>
      <c r="AF402">
        <v>0.11839396226497</v>
      </c>
      <c r="AG402">
        <v>-0.2339464</v>
      </c>
      <c r="AH402">
        <v>0.44321686152011402</v>
      </c>
      <c r="AI402">
        <v>117.01961371829201</v>
      </c>
      <c r="AJ402">
        <v>75.0441097458245</v>
      </c>
      <c r="AK402">
        <v>0.51496527524630198</v>
      </c>
      <c r="AL402">
        <v>85.953805503702</v>
      </c>
      <c r="AM402">
        <v>87.051148552856603</v>
      </c>
      <c r="AN402">
        <v>0.99999995653638896</v>
      </c>
    </row>
    <row r="403" spans="1:40" x14ac:dyDescent="0.25">
      <c r="A403" t="str">
        <f>"20190312154808598"</f>
        <v>20190312154808598</v>
      </c>
      <c r="B403" t="str">
        <f>"1552376888586433"</f>
        <v>1552376888586433</v>
      </c>
      <c r="C403" t="s">
        <v>40</v>
      </c>
      <c r="D403">
        <v>5.300999</v>
      </c>
      <c r="E403">
        <v>0.55042760000000002</v>
      </c>
      <c r="F403" t="s">
        <v>41</v>
      </c>
      <c r="G403">
        <v>-364.38209999999998</v>
      </c>
      <c r="H403">
        <v>0.88634619999999997</v>
      </c>
      <c r="I403">
        <v>367.45870000000002</v>
      </c>
      <c r="J403">
        <v>-364.87470000000002</v>
      </c>
      <c r="K403">
        <v>1.1100950000000001</v>
      </c>
      <c r="L403">
        <v>367.5908</v>
      </c>
      <c r="M403">
        <v>0.99988169999999998</v>
      </c>
      <c r="N403">
        <v>0</v>
      </c>
      <c r="O403">
        <v>5.7849160000000002E-3</v>
      </c>
      <c r="P403">
        <v>0.99738340000000003</v>
      </c>
      <c r="Q403">
        <v>5.6131550000000002E-2</v>
      </c>
      <c r="R403">
        <v>-4.5561949999999997E-2</v>
      </c>
      <c r="S403">
        <v>3.0334469999999998</v>
      </c>
      <c r="T403">
        <v>-0.85061759999999997</v>
      </c>
      <c r="U403">
        <v>-0.49542239999999999</v>
      </c>
      <c r="V403">
        <v>5.135352E-2</v>
      </c>
      <c r="W403">
        <v>7.0323849999999993E-2</v>
      </c>
      <c r="X403">
        <v>0.99620149999999996</v>
      </c>
      <c r="Y403">
        <v>0.16063469999999999</v>
      </c>
      <c r="Z403">
        <v>-2.354032E-2</v>
      </c>
      <c r="AA403">
        <v>0.98673310000000003</v>
      </c>
      <c r="AB403">
        <v>30</v>
      </c>
      <c r="AC403">
        <v>0.49260000000003801</v>
      </c>
      <c r="AD403">
        <v>-0.2237488</v>
      </c>
      <c r="AE403">
        <v>-0.13209999999997901</v>
      </c>
      <c r="AF403">
        <v>0.11316616506232501</v>
      </c>
      <c r="AG403">
        <v>-0.2237488</v>
      </c>
      <c r="AH403">
        <v>0.41244288977094601</v>
      </c>
      <c r="AI403">
        <v>117.616801396692</v>
      </c>
      <c r="AJ403">
        <v>74.6567688129673</v>
      </c>
      <c r="AK403">
        <v>0.48267923483299102</v>
      </c>
      <c r="AL403">
        <v>85.967411817560901</v>
      </c>
      <c r="AM403">
        <v>87.049052980508705</v>
      </c>
      <c r="AN403">
        <v>1.00000002824873</v>
      </c>
    </row>
    <row r="404" spans="1:40" x14ac:dyDescent="0.25">
      <c r="A404" t="str">
        <f>"20190312154808618"</f>
        <v>20190312154808618</v>
      </c>
      <c r="B404" t="str">
        <f>"1552376888606928"</f>
        <v>1552376888606928</v>
      </c>
      <c r="C404" t="s">
        <v>40</v>
      </c>
      <c r="D404">
        <v>5.2927619999999997</v>
      </c>
      <c r="E404">
        <v>0.55076749999999997</v>
      </c>
      <c r="F404" t="s">
        <v>41</v>
      </c>
      <c r="G404">
        <v>-364.1105</v>
      </c>
      <c r="H404">
        <v>0.89642579999999905</v>
      </c>
      <c r="I404">
        <v>367.46499999999997</v>
      </c>
      <c r="J404">
        <v>-364.59</v>
      </c>
      <c r="K404">
        <v>1.110093</v>
      </c>
      <c r="L404">
        <v>367.59230000000002</v>
      </c>
      <c r="M404">
        <v>0.99988250000000001</v>
      </c>
      <c r="N404">
        <v>0</v>
      </c>
      <c r="O404">
        <v>5.6553089999999999E-3</v>
      </c>
      <c r="P404">
        <v>0.99740980000000001</v>
      </c>
      <c r="Q404">
        <v>5.5693090000000001E-2</v>
      </c>
      <c r="R404">
        <v>-4.5522060000000003E-2</v>
      </c>
      <c r="S404">
        <v>3.0328369999999998</v>
      </c>
      <c r="T404">
        <v>-0.84802880000000003</v>
      </c>
      <c r="U404">
        <v>-0.4976196</v>
      </c>
      <c r="V404">
        <v>5.1184359999999998E-2</v>
      </c>
      <c r="W404">
        <v>6.9883390000000004E-2</v>
      </c>
      <c r="X404">
        <v>0.99624120000000005</v>
      </c>
      <c r="Y404">
        <v>0.16125229999999999</v>
      </c>
      <c r="Z404">
        <v>-2.3523309999999999E-2</v>
      </c>
      <c r="AA404">
        <v>0.98663279999999998</v>
      </c>
      <c r="AB404">
        <v>30</v>
      </c>
      <c r="AC404">
        <v>0.479499999999973</v>
      </c>
      <c r="AD404">
        <v>-0.2136672</v>
      </c>
      <c r="AE404">
        <v>-0.12730000000004699</v>
      </c>
      <c r="AF404">
        <v>0.109667756353948</v>
      </c>
      <c r="AG404">
        <v>-0.2136672</v>
      </c>
      <c r="AH404">
        <v>0.40386050446918198</v>
      </c>
      <c r="AI404">
        <v>117.047594081489</v>
      </c>
      <c r="AJ404">
        <v>74.807757463604801</v>
      </c>
      <c r="AK404">
        <v>0.46987657550643103</v>
      </c>
      <c r="AL404">
        <v>85.992710556181805</v>
      </c>
      <c r="AM404">
        <v>87.058873392385706</v>
      </c>
      <c r="AN404">
        <v>1.0000000277419701</v>
      </c>
    </row>
    <row r="405" spans="1:40" x14ac:dyDescent="0.25">
      <c r="A405" t="str">
        <f>"20190312154808642"</f>
        <v>20190312154808642</v>
      </c>
      <c r="B405" t="str">
        <f>"1552376888636208"</f>
        <v>1552376888636208</v>
      </c>
      <c r="C405" t="s">
        <v>40</v>
      </c>
      <c r="D405">
        <v>5.3304729999999996</v>
      </c>
      <c r="E405">
        <v>0.55137309999999995</v>
      </c>
      <c r="F405" t="s">
        <v>41</v>
      </c>
      <c r="G405">
        <v>-363.84160000000003</v>
      </c>
      <c r="H405">
        <v>0.90060110000000004</v>
      </c>
      <c r="I405">
        <v>367.46859999999998</v>
      </c>
      <c r="J405">
        <v>-364.28620000000001</v>
      </c>
      <c r="K405">
        <v>1.11009</v>
      </c>
      <c r="L405">
        <v>367.59390000000002</v>
      </c>
      <c r="M405">
        <v>0.99988339999999998</v>
      </c>
      <c r="N405">
        <v>0</v>
      </c>
      <c r="O405">
        <v>5.5168229999999997E-3</v>
      </c>
      <c r="P405">
        <v>0.99741579999999996</v>
      </c>
      <c r="Q405">
        <v>5.546214E-2</v>
      </c>
      <c r="R405">
        <v>-4.5673070000000003E-2</v>
      </c>
      <c r="S405">
        <v>3.032349</v>
      </c>
      <c r="T405">
        <v>-0.84887780000000002</v>
      </c>
      <c r="U405">
        <v>-0.50042719999999996</v>
      </c>
      <c r="V405">
        <v>5.119717E-2</v>
      </c>
      <c r="W405">
        <v>6.9649829999999996E-2</v>
      </c>
      <c r="X405">
        <v>0.9962569</v>
      </c>
      <c r="Y405">
        <v>0.16199479999999999</v>
      </c>
      <c r="Z405">
        <v>-2.3611460000000001E-2</v>
      </c>
      <c r="AA405">
        <v>0.98650910000000003</v>
      </c>
      <c r="AB405">
        <v>30</v>
      </c>
      <c r="AC405">
        <v>0.44459999999997901</v>
      </c>
      <c r="AD405">
        <v>-0.20948890000000001</v>
      </c>
      <c r="AE405">
        <v>-0.12530000000003799</v>
      </c>
      <c r="AF405">
        <v>0.105957811722922</v>
      </c>
      <c r="AG405">
        <v>-0.20948890000000001</v>
      </c>
      <c r="AH405">
        <v>0.36817582558712902</v>
      </c>
      <c r="AI405">
        <v>118.66974599915901</v>
      </c>
      <c r="AJ405">
        <v>73.944640097000502</v>
      </c>
      <c r="AK405">
        <v>0.43665328996251002</v>
      </c>
      <c r="AL405">
        <v>86.006125253818098</v>
      </c>
      <c r="AM405">
        <v>87.058184883622005</v>
      </c>
      <c r="AN405">
        <v>1.0000000299163201</v>
      </c>
    </row>
    <row r="406" spans="1:40" x14ac:dyDescent="0.25">
      <c r="A406" t="str">
        <f>"20190312154808663"</f>
        <v>20190312154808663</v>
      </c>
      <c r="B406" t="str">
        <f>"1552376888656704"</f>
        <v>1552376888656704</v>
      </c>
      <c r="C406" t="s">
        <v>40</v>
      </c>
      <c r="D406">
        <v>5.3100680000000002</v>
      </c>
      <c r="E406">
        <v>0.55163859999999998</v>
      </c>
      <c r="F406" t="s">
        <v>41</v>
      </c>
      <c r="G406">
        <v>-363.5702</v>
      </c>
      <c r="H406">
        <v>0.91165759999999996</v>
      </c>
      <c r="I406">
        <v>367.47410000000002</v>
      </c>
      <c r="J406">
        <v>-363.99959999999999</v>
      </c>
      <c r="K406">
        <v>1.110093</v>
      </c>
      <c r="L406">
        <v>367.59539999999998</v>
      </c>
      <c r="M406">
        <v>0.99988410000000005</v>
      </c>
      <c r="N406">
        <v>0</v>
      </c>
      <c r="O406">
        <v>5.3862629999999996E-3</v>
      </c>
      <c r="P406">
        <v>0.99743590000000004</v>
      </c>
      <c r="Q406">
        <v>5.4841470000000003E-2</v>
      </c>
      <c r="R406">
        <v>-4.5983469999999999E-2</v>
      </c>
      <c r="S406">
        <v>3.0313720000000002</v>
      </c>
      <c r="T406">
        <v>-0.84017299999999995</v>
      </c>
      <c r="U406">
        <v>-0.50595089999999998</v>
      </c>
      <c r="V406">
        <v>5.137713E-2</v>
      </c>
      <c r="W406">
        <v>6.9026669999999998E-2</v>
      </c>
      <c r="X406">
        <v>0.99629100000000004</v>
      </c>
      <c r="Y406">
        <v>0.1637315</v>
      </c>
      <c r="Z406">
        <v>-2.358128E-2</v>
      </c>
      <c r="AA406">
        <v>0.98622299999999996</v>
      </c>
      <c r="AB406">
        <v>30</v>
      </c>
      <c r="AC406">
        <v>0.42939999999998602</v>
      </c>
      <c r="AD406">
        <v>-0.19843540000000001</v>
      </c>
      <c r="AE406">
        <v>-0.12129999999996199</v>
      </c>
      <c r="AF406">
        <v>0.103200801921134</v>
      </c>
      <c r="AG406">
        <v>-0.19843540000000001</v>
      </c>
      <c r="AH406">
        <v>0.35794733220924602</v>
      </c>
      <c r="AI406">
        <v>118.04303358267499</v>
      </c>
      <c r="AJ406">
        <v>73.917050760667394</v>
      </c>
      <c r="AK406">
        <v>0.42208210827520498</v>
      </c>
      <c r="AL406">
        <v>86.041915807035593</v>
      </c>
      <c r="AM406">
        <v>87.047963415158506</v>
      </c>
      <c r="AN406">
        <v>1.00000002366966</v>
      </c>
    </row>
    <row r="407" spans="1:40" x14ac:dyDescent="0.25">
      <c r="A407" t="str">
        <f>"20190312154808676"</f>
        <v>20190312154808676</v>
      </c>
      <c r="B407" t="str">
        <f>"1552376888666464"</f>
        <v>1552376888666464</v>
      </c>
      <c r="C407" t="s">
        <v>40</v>
      </c>
      <c r="D407">
        <v>5.3142740000000002</v>
      </c>
      <c r="E407">
        <v>0.55173280000000002</v>
      </c>
      <c r="F407" t="s">
        <v>41</v>
      </c>
      <c r="G407">
        <v>-363.30200000000002</v>
      </c>
      <c r="H407">
        <v>0.91582160000000001</v>
      </c>
      <c r="I407">
        <v>367.47809999999998</v>
      </c>
      <c r="J407">
        <v>-363.8279</v>
      </c>
      <c r="K407">
        <v>1.110093</v>
      </c>
      <c r="L407">
        <v>367.59620000000001</v>
      </c>
      <c r="M407">
        <v>0.99988440000000001</v>
      </c>
      <c r="N407">
        <v>0</v>
      </c>
      <c r="O407">
        <v>5.3079059999999898E-3</v>
      </c>
      <c r="P407">
        <v>0.99744549999999998</v>
      </c>
      <c r="Q407">
        <v>5.4727140000000001E-2</v>
      </c>
      <c r="R407">
        <v>-4.5904420000000001E-2</v>
      </c>
      <c r="S407">
        <v>3.0306700000000002</v>
      </c>
      <c r="T407">
        <v>-0.84406479999999995</v>
      </c>
      <c r="U407">
        <v>-0.50848389999999999</v>
      </c>
      <c r="V407">
        <v>5.1220019999999998E-2</v>
      </c>
      <c r="W407">
        <v>6.8910609999999997E-2</v>
      </c>
      <c r="X407">
        <v>0.9963071</v>
      </c>
      <c r="Y407">
        <v>0.16441239999999999</v>
      </c>
      <c r="Z407">
        <v>-2.3761440000000002E-2</v>
      </c>
      <c r="AA407">
        <v>0.98610540000000002</v>
      </c>
      <c r="AB407">
        <v>30</v>
      </c>
      <c r="AC407">
        <v>0.52590000000003501</v>
      </c>
      <c r="AD407">
        <v>-0.19427140000000001</v>
      </c>
      <c r="AE407">
        <v>-0.118100000000026</v>
      </c>
      <c r="AF407">
        <v>0.106990821980044</v>
      </c>
      <c r="AG407">
        <v>-0.19427140000000001</v>
      </c>
      <c r="AH407">
        <v>0.46487371250954101</v>
      </c>
      <c r="AI407">
        <v>112.158839183811</v>
      </c>
      <c r="AJ407">
        <v>77.0390571457514</v>
      </c>
      <c r="AK407">
        <v>0.51506890939788696</v>
      </c>
      <c r="AL407">
        <v>86.048581333616397</v>
      </c>
      <c r="AM407">
        <v>87.057022250852299</v>
      </c>
      <c r="AN407">
        <v>1.0000000000648901</v>
      </c>
    </row>
    <row r="408" spans="1:40" x14ac:dyDescent="0.25">
      <c r="A408" t="str">
        <f>"20190312154808687"</f>
        <v>20190312154808687</v>
      </c>
      <c r="B408" t="str">
        <f>"1552376888676225"</f>
        <v>1552376888676225</v>
      </c>
      <c r="C408" t="s">
        <v>40</v>
      </c>
      <c r="D408">
        <v>5.3168329999999999</v>
      </c>
      <c r="E408">
        <v>0.55184789999999995</v>
      </c>
      <c r="F408" t="s">
        <v>41</v>
      </c>
      <c r="G408">
        <v>-363.04539999999997</v>
      </c>
      <c r="H408">
        <v>0.89161159999999995</v>
      </c>
      <c r="I408">
        <v>367.46440000000001</v>
      </c>
      <c r="J408">
        <v>-363.67250000000001</v>
      </c>
      <c r="K408">
        <v>1.1100950000000001</v>
      </c>
      <c r="L408">
        <v>367.59690000000001</v>
      </c>
      <c r="M408">
        <v>0.99988500000000002</v>
      </c>
      <c r="N408">
        <v>0</v>
      </c>
      <c r="O408">
        <v>5.2366390000000004E-3</v>
      </c>
      <c r="P408">
        <v>0.99744429999999995</v>
      </c>
      <c r="Q408">
        <v>5.4682250000000002E-2</v>
      </c>
      <c r="R408">
        <v>-4.5994189999999997E-2</v>
      </c>
      <c r="S408">
        <v>3.0306700000000002</v>
      </c>
      <c r="T408">
        <v>-0.84618189999999904</v>
      </c>
      <c r="U408">
        <v>-0.50869750000000002</v>
      </c>
      <c r="V408">
        <v>5.123863E-2</v>
      </c>
      <c r="W408">
        <v>6.886399E-2</v>
      </c>
      <c r="X408">
        <v>0.99630929999999995</v>
      </c>
      <c r="Y408">
        <v>0.16438259999999999</v>
      </c>
      <c r="Z408">
        <v>-2.379529E-2</v>
      </c>
      <c r="AA408">
        <v>0.98610960000000003</v>
      </c>
      <c r="AB408">
        <v>30</v>
      </c>
      <c r="AC408">
        <v>0.62710000000004096</v>
      </c>
      <c r="AD408">
        <v>-0.21848339999999999</v>
      </c>
      <c r="AE408">
        <v>-0.13249999999999301</v>
      </c>
      <c r="AF408">
        <v>0.121647346324233</v>
      </c>
      <c r="AG408">
        <v>-0.21848339999999999</v>
      </c>
      <c r="AH408">
        <v>0.56118896057448497</v>
      </c>
      <c r="AI408">
        <v>110.83111010385601</v>
      </c>
      <c r="AJ408">
        <v>77.769376884452598</v>
      </c>
      <c r="AK408">
        <v>0.61438271656513799</v>
      </c>
      <c r="AL408">
        <v>86.051258561273798</v>
      </c>
      <c r="AM408">
        <v>87.055961335759605</v>
      </c>
      <c r="AN408">
        <v>0.99999993379474095</v>
      </c>
    </row>
    <row r="409" spans="1:40" x14ac:dyDescent="0.25">
      <c r="A409" t="str">
        <f>"20190312154808700"</f>
        <v>20190312154808700</v>
      </c>
      <c r="B409" t="str">
        <f>"1552376888696721"</f>
        <v>1552376888696721</v>
      </c>
      <c r="C409" t="s">
        <v>40</v>
      </c>
      <c r="D409">
        <v>5.3122910000000001</v>
      </c>
      <c r="E409">
        <v>0.55196420000000002</v>
      </c>
      <c r="F409" t="s">
        <v>41</v>
      </c>
      <c r="G409">
        <v>-362.79050000000001</v>
      </c>
      <c r="H409">
        <v>0.86370230000000003</v>
      </c>
      <c r="I409">
        <v>367.44839999999999</v>
      </c>
      <c r="J409">
        <v>-363.49459999999999</v>
      </c>
      <c r="K409">
        <v>1.110096</v>
      </c>
      <c r="L409">
        <v>367.59780000000001</v>
      </c>
      <c r="M409">
        <v>0.99988529999999998</v>
      </c>
      <c r="N409">
        <v>0</v>
      </c>
      <c r="O409">
        <v>5.1556559999999998E-3</v>
      </c>
      <c r="P409">
        <v>0.9974421</v>
      </c>
      <c r="Q409">
        <v>5.4834330000000001E-2</v>
      </c>
      <c r="R409">
        <v>-4.585463E-2</v>
      </c>
      <c r="S409">
        <v>3.0306090000000001</v>
      </c>
      <c r="T409">
        <v>-0.84676589999999996</v>
      </c>
      <c r="U409">
        <v>-0.50964359999999997</v>
      </c>
      <c r="V409">
        <v>5.1018359999999999E-2</v>
      </c>
      <c r="W409">
        <v>6.9014309999999995E-2</v>
      </c>
      <c r="X409">
        <v>0.99631029999999998</v>
      </c>
      <c r="Y409">
        <v>0.164592299999999</v>
      </c>
      <c r="Z409">
        <v>-2.381749E-2</v>
      </c>
      <c r="AA409">
        <v>0.98607409999999995</v>
      </c>
      <c r="AB409">
        <v>30</v>
      </c>
      <c r="AC409">
        <v>0.70409999999998196</v>
      </c>
      <c r="AD409">
        <v>-0.24639369999999899</v>
      </c>
      <c r="AE409">
        <v>-0.14940000000001399</v>
      </c>
      <c r="AF409">
        <v>0.136977088521754</v>
      </c>
      <c r="AG409">
        <v>-0.24639369999999899</v>
      </c>
      <c r="AH409">
        <v>0.62954796555668002</v>
      </c>
      <c r="AI409">
        <v>110.92856275736401</v>
      </c>
      <c r="AJ409">
        <v>77.724899429094506</v>
      </c>
      <c r="AK409">
        <v>0.68978490786341595</v>
      </c>
      <c r="AL409">
        <v>86.042625704630595</v>
      </c>
      <c r="AM409">
        <v>87.0685982933432</v>
      </c>
      <c r="AN409">
        <v>1.0000000309639701</v>
      </c>
    </row>
    <row r="410" spans="1:40" x14ac:dyDescent="0.25">
      <c r="A410" t="str">
        <f>"20190312154808719"</f>
        <v>20190312154808719</v>
      </c>
      <c r="B410" t="str">
        <f>"1552376888706481"</f>
        <v>1552376888706481</v>
      </c>
      <c r="C410" t="s">
        <v>40</v>
      </c>
      <c r="D410">
        <v>5.3297970000000001</v>
      </c>
      <c r="E410">
        <v>0.55196420000000002</v>
      </c>
      <c r="F410" t="s">
        <v>41</v>
      </c>
      <c r="G410">
        <v>-362.77370000000002</v>
      </c>
      <c r="H410">
        <v>0.90640189999999998</v>
      </c>
      <c r="I410">
        <v>367.47629999999998</v>
      </c>
      <c r="J410">
        <v>-363.25850000000003</v>
      </c>
      <c r="K410">
        <v>1.110096</v>
      </c>
      <c r="L410">
        <v>367.59879999999998</v>
      </c>
      <c r="M410">
        <v>0.99988589999999999</v>
      </c>
      <c r="N410">
        <v>0</v>
      </c>
      <c r="O410">
        <v>5.0480380000000004E-3</v>
      </c>
      <c r="P410">
        <v>0.99741049999999998</v>
      </c>
      <c r="Q410">
        <v>5.5602289999999999E-2</v>
      </c>
      <c r="R410">
        <v>-4.5612600000000003E-2</v>
      </c>
      <c r="S410">
        <v>3.031342</v>
      </c>
      <c r="T410">
        <v>-0.85660979999999998</v>
      </c>
      <c r="U410">
        <v>-0.50976560000000004</v>
      </c>
      <c r="V410">
        <v>5.0669029999999997E-2</v>
      </c>
      <c r="W410">
        <v>6.9779209999999994E-2</v>
      </c>
      <c r="X410">
        <v>0.99627480000000002</v>
      </c>
      <c r="Y410">
        <v>0.1643568</v>
      </c>
      <c r="Z410">
        <v>-2.4016530000000001E-2</v>
      </c>
      <c r="AA410">
        <v>0.98610850000000005</v>
      </c>
      <c r="AB410">
        <v>30</v>
      </c>
      <c r="AC410">
        <v>0.484800000000007</v>
      </c>
      <c r="AD410">
        <v>-0.20369409999999999</v>
      </c>
      <c r="AE410">
        <v>-0.122500000000002</v>
      </c>
      <c r="AF410">
        <v>0.107163261877079</v>
      </c>
      <c r="AG410">
        <v>-0.20369409999999999</v>
      </c>
      <c r="AH410">
        <v>0.41526597493988898</v>
      </c>
      <c r="AI410">
        <v>115.40561148223701</v>
      </c>
      <c r="AJ410">
        <v>75.529984152327003</v>
      </c>
      <c r="AK410">
        <v>0.47478529991325802</v>
      </c>
      <c r="AL410">
        <v>85.998694058011097</v>
      </c>
      <c r="AM410">
        <v>87.088531807890107</v>
      </c>
      <c r="AN410">
        <v>0.99999998293220205</v>
      </c>
    </row>
    <row r="411" spans="1:40" x14ac:dyDescent="0.25">
      <c r="A411" t="str">
        <f>"20190312154808731"</f>
        <v>20190312154808731</v>
      </c>
      <c r="B411" t="str">
        <f>"1552376888726002"</f>
        <v>1552376888726002</v>
      </c>
      <c r="C411" t="s">
        <v>40</v>
      </c>
      <c r="D411">
        <v>5.3178970000000003</v>
      </c>
      <c r="E411">
        <v>0.54962429999999995</v>
      </c>
      <c r="F411" t="s">
        <v>41</v>
      </c>
      <c r="G411">
        <v>-362.51080000000002</v>
      </c>
      <c r="H411">
        <v>0.89943030000000002</v>
      </c>
      <c r="I411">
        <v>367.47280000000001</v>
      </c>
      <c r="J411">
        <v>-363.09109999999998</v>
      </c>
      <c r="K411">
        <v>1.110096</v>
      </c>
      <c r="L411">
        <v>367.59960000000001</v>
      </c>
      <c r="M411">
        <v>0.99988619999999995</v>
      </c>
      <c r="N411">
        <v>0</v>
      </c>
      <c r="O411">
        <v>4.9717040000000004E-3</v>
      </c>
      <c r="P411">
        <v>0.99738910000000003</v>
      </c>
      <c r="Q411">
        <v>5.6099900000000001E-2</v>
      </c>
      <c r="R411">
        <v>-4.5471339999999999E-2</v>
      </c>
      <c r="S411">
        <v>3.0321039999999999</v>
      </c>
      <c r="T411">
        <v>-0.85431669999999904</v>
      </c>
      <c r="U411">
        <v>-0.50958249999999905</v>
      </c>
      <c r="V411">
        <v>5.0451759999999998E-2</v>
      </c>
      <c r="W411">
        <v>7.0274870000000003E-2</v>
      </c>
      <c r="X411">
        <v>0.996251</v>
      </c>
      <c r="Y411">
        <v>0.16422779999999901</v>
      </c>
      <c r="Z411">
        <v>-2.3910319999999999E-2</v>
      </c>
      <c r="AA411">
        <v>0.98613260000000003</v>
      </c>
      <c r="AB411">
        <v>30</v>
      </c>
      <c r="AC411">
        <v>0.58029999999996495</v>
      </c>
      <c r="AD411">
        <v>-0.21066570000000001</v>
      </c>
      <c r="AE411">
        <v>-0.12680000000000199</v>
      </c>
      <c r="AF411">
        <v>0.11519417811890199</v>
      </c>
      <c r="AG411">
        <v>-0.21066570000000001</v>
      </c>
      <c r="AH411">
        <v>0.51489642843392702</v>
      </c>
      <c r="AI411">
        <v>111.765428615312</v>
      </c>
      <c r="AJ411">
        <v>77.389276180168693</v>
      </c>
      <c r="AK411">
        <v>0.568126806129577</v>
      </c>
      <c r="AL411">
        <v>85.970224995776505</v>
      </c>
      <c r="AM411">
        <v>87.100925772362501</v>
      </c>
      <c r="AN411">
        <v>0.99999999622080704</v>
      </c>
    </row>
    <row r="412" spans="1:40" x14ac:dyDescent="0.25">
      <c r="A412" t="str">
        <f>"20190312154808744"</f>
        <v>20190312154808744</v>
      </c>
      <c r="B412" t="str">
        <f>"1552376888736737"</f>
        <v>1552376888736737</v>
      </c>
      <c r="C412" t="s">
        <v>40</v>
      </c>
      <c r="D412">
        <v>5.3312780000000002</v>
      </c>
      <c r="E412">
        <v>0.55050279999999996</v>
      </c>
      <c r="F412" t="s">
        <v>41</v>
      </c>
      <c r="G412">
        <v>-362.26839999999999</v>
      </c>
      <c r="H412">
        <v>0.8459023</v>
      </c>
      <c r="I412">
        <v>367.4683</v>
      </c>
      <c r="J412">
        <v>-362.9162</v>
      </c>
      <c r="K412">
        <v>1.110098</v>
      </c>
      <c r="L412">
        <v>367.60039999999998</v>
      </c>
      <c r="M412">
        <v>0.99988679999999996</v>
      </c>
      <c r="N412">
        <v>0</v>
      </c>
      <c r="O412">
        <v>4.8920320000000002E-3</v>
      </c>
      <c r="P412">
        <v>0.99739270000000002</v>
      </c>
      <c r="Q412">
        <v>5.6118399999999999E-2</v>
      </c>
      <c r="R412">
        <v>-4.5372700000000002E-2</v>
      </c>
      <c r="S412">
        <v>3.0406490000000002</v>
      </c>
      <c r="T412">
        <v>-0.97636500000000004</v>
      </c>
      <c r="U412">
        <v>-0.4850159</v>
      </c>
      <c r="V412">
        <v>5.027355E-2</v>
      </c>
      <c r="W412">
        <v>7.0291999999999993E-2</v>
      </c>
      <c r="X412">
        <v>0.9962588</v>
      </c>
      <c r="Y412">
        <v>0.15452460000000001</v>
      </c>
      <c r="Z412">
        <v>-2.558305E-2</v>
      </c>
      <c r="AA412">
        <v>0.98765769999999997</v>
      </c>
      <c r="AB412">
        <v>30</v>
      </c>
      <c r="AC412">
        <v>0.64780000000001703</v>
      </c>
      <c r="AD412">
        <v>-0.26419569999999898</v>
      </c>
      <c r="AE412">
        <v>-0.13209999999997901</v>
      </c>
      <c r="AF412">
        <v>0.116641427934537</v>
      </c>
      <c r="AG412">
        <v>-0.26419569999999898</v>
      </c>
      <c r="AH412">
        <v>0.55803397427149004</v>
      </c>
      <c r="AI412">
        <v>114.86417722803399</v>
      </c>
      <c r="AJ412">
        <v>78.193894939838799</v>
      </c>
      <c r="AK412">
        <v>0.62833630091721704</v>
      </c>
      <c r="AL412">
        <v>85.969241084365706</v>
      </c>
      <c r="AM412">
        <v>87.111171331387496</v>
      </c>
      <c r="AN412">
        <v>0.99999999583552102</v>
      </c>
    </row>
    <row r="413" spans="1:40" x14ac:dyDescent="0.25">
      <c r="A413" t="str">
        <f>"20190312154808765"</f>
        <v>20190312154808765</v>
      </c>
      <c r="B413" t="str">
        <f>"1552376888756257"</f>
        <v>1552376888756257</v>
      </c>
      <c r="C413" t="s">
        <v>40</v>
      </c>
      <c r="D413">
        <v>5.3339850000000002</v>
      </c>
      <c r="E413">
        <v>0.55043169999999897</v>
      </c>
      <c r="F413" t="s">
        <v>41</v>
      </c>
      <c r="G413">
        <v>-362.24799999999999</v>
      </c>
      <c r="H413">
        <v>0.89629809999999999</v>
      </c>
      <c r="I413">
        <v>367.49220000000003</v>
      </c>
      <c r="J413">
        <v>-362.654</v>
      </c>
      <c r="K413">
        <v>1.1101030000000001</v>
      </c>
      <c r="L413">
        <v>367.60160000000002</v>
      </c>
      <c r="M413">
        <v>0.99988750000000004</v>
      </c>
      <c r="N413">
        <v>0</v>
      </c>
      <c r="O413">
        <v>4.7721380000000004E-3</v>
      </c>
      <c r="P413">
        <v>0.99738090000000001</v>
      </c>
      <c r="Q413">
        <v>5.640618E-2</v>
      </c>
      <c r="R413">
        <v>-4.5280430000000003E-2</v>
      </c>
      <c r="S413">
        <v>3.0402529999999999</v>
      </c>
      <c r="T413">
        <v>-0.97274609999999995</v>
      </c>
      <c r="U413">
        <v>-0.49160769999999998</v>
      </c>
      <c r="V413">
        <v>5.0061609999999999E-2</v>
      </c>
      <c r="W413">
        <v>7.0576910000000007E-2</v>
      </c>
      <c r="X413">
        <v>0.9962493</v>
      </c>
      <c r="Y413">
        <v>0.1564818</v>
      </c>
      <c r="Z413">
        <v>-2.5758199999999998E-2</v>
      </c>
      <c r="AA413">
        <v>0.98734489999999997</v>
      </c>
      <c r="AB413">
        <v>30</v>
      </c>
      <c r="AC413">
        <v>0.40599999999994901</v>
      </c>
      <c r="AD413">
        <v>-0.21380489999999999</v>
      </c>
      <c r="AE413">
        <v>-0.109399999999993</v>
      </c>
      <c r="AF413">
        <v>8.8464148489170794E-2</v>
      </c>
      <c r="AG413">
        <v>-0.21380489999999999</v>
      </c>
      <c r="AH413">
        <v>0.32217526053561502</v>
      </c>
      <c r="AI413">
        <v>122.61691998282799</v>
      </c>
      <c r="AJ413">
        <v>74.645914202886999</v>
      </c>
      <c r="AK413">
        <v>0.39665518946953798</v>
      </c>
      <c r="AL413">
        <v>85.952876180894805</v>
      </c>
      <c r="AM413">
        <v>87.123301985235699</v>
      </c>
      <c r="AN413">
        <v>0.99999996638571398</v>
      </c>
    </row>
    <row r="414" spans="1:40" x14ac:dyDescent="0.25">
      <c r="A414" t="str">
        <f>"20190312154808787"</f>
        <v>20190312154808787</v>
      </c>
      <c r="B414" t="str">
        <f>"1552376888776752"</f>
        <v>1552376888776752</v>
      </c>
      <c r="C414" t="s">
        <v>40</v>
      </c>
      <c r="D414">
        <v>5.3165839999999998</v>
      </c>
      <c r="E414">
        <v>0.55060810000000004</v>
      </c>
      <c r="F414" t="s">
        <v>41</v>
      </c>
      <c r="G414">
        <v>-361.98259999999999</v>
      </c>
      <c r="H414">
        <v>0.89708539999999903</v>
      </c>
      <c r="I414">
        <v>367.49299999999999</v>
      </c>
      <c r="J414">
        <v>-362.35329999999999</v>
      </c>
      <c r="K414">
        <v>1.1100989999999999</v>
      </c>
      <c r="L414">
        <v>367.6028</v>
      </c>
      <c r="M414">
        <v>0.999888</v>
      </c>
      <c r="N414">
        <v>0</v>
      </c>
      <c r="O414">
        <v>4.6352609999999999E-3</v>
      </c>
      <c r="P414">
        <v>0.99736579999999997</v>
      </c>
      <c r="Q414">
        <v>5.6509009999999998E-2</v>
      </c>
      <c r="R414">
        <v>-4.5477980000000001E-2</v>
      </c>
      <c r="S414">
        <v>3.0401609999999999</v>
      </c>
      <c r="T414">
        <v>-0.96453750000000005</v>
      </c>
      <c r="U414">
        <v>-0.49069210000000002</v>
      </c>
      <c r="V414">
        <v>5.0122689999999998E-2</v>
      </c>
      <c r="W414">
        <v>7.0676310000000006E-2</v>
      </c>
      <c r="X414">
        <v>0.99623919999999999</v>
      </c>
      <c r="Y414">
        <v>0.1562095</v>
      </c>
      <c r="Z414">
        <v>-2.5468109999999999E-2</v>
      </c>
      <c r="AA414">
        <v>0.98739549999999998</v>
      </c>
      <c r="AB414">
        <v>30</v>
      </c>
      <c r="AC414">
        <v>0.37069999999999897</v>
      </c>
      <c r="AD414">
        <v>-0.2130136</v>
      </c>
      <c r="AE414">
        <v>-0.10979999999994999</v>
      </c>
      <c r="AF414">
        <v>8.55481225481875E-2</v>
      </c>
      <c r="AG414">
        <v>-0.2130136</v>
      </c>
      <c r="AH414">
        <v>0.28398112344785698</v>
      </c>
      <c r="AI414">
        <v>125.686535058456</v>
      </c>
      <c r="AJ414">
        <v>73.235292505493305</v>
      </c>
      <c r="AK414">
        <v>0.36515551965044502</v>
      </c>
      <c r="AL414">
        <v>85.947166795139196</v>
      </c>
      <c r="AM414">
        <v>87.119768891374704</v>
      </c>
      <c r="AN414">
        <v>0.99999998423234604</v>
      </c>
    </row>
    <row r="415" spans="1:40" x14ac:dyDescent="0.25">
      <c r="A415" t="str">
        <f>"20190312154808807"</f>
        <v>20190312154808807</v>
      </c>
      <c r="B415" t="str">
        <f>"1552376888796273"</f>
        <v>1552376888796273</v>
      </c>
      <c r="C415" t="s">
        <v>40</v>
      </c>
      <c r="D415">
        <v>5.3181029999999998</v>
      </c>
      <c r="E415">
        <v>0.55104319999999996</v>
      </c>
      <c r="F415" t="s">
        <v>41</v>
      </c>
      <c r="G415">
        <v>-361.48020000000002</v>
      </c>
      <c r="H415">
        <v>0.83083750000000001</v>
      </c>
      <c r="I415">
        <v>367.46120000000002</v>
      </c>
      <c r="J415">
        <v>-362.077</v>
      </c>
      <c r="K415">
        <v>1.1100969999999999</v>
      </c>
      <c r="L415">
        <v>367.60399999999998</v>
      </c>
      <c r="M415">
        <v>0.99988869999999996</v>
      </c>
      <c r="N415">
        <v>0</v>
      </c>
      <c r="O415">
        <v>4.5093479999999998E-3</v>
      </c>
      <c r="P415">
        <v>0.9973303</v>
      </c>
      <c r="Q415">
        <v>5.6733539999999999E-2</v>
      </c>
      <c r="R415">
        <v>-4.5974340000000002E-2</v>
      </c>
      <c r="S415">
        <v>3.0405579999999999</v>
      </c>
      <c r="T415">
        <v>-0.97246529999999998</v>
      </c>
      <c r="U415">
        <v>-0.49182130000000002</v>
      </c>
      <c r="V415">
        <v>5.0493379999999997E-2</v>
      </c>
      <c r="W415">
        <v>7.0897479999999999E-2</v>
      </c>
      <c r="X415">
        <v>0.9962048</v>
      </c>
      <c r="Y415">
        <v>0.15630229999999901</v>
      </c>
      <c r="Z415">
        <v>-2.5639160000000001E-2</v>
      </c>
      <c r="AA415">
        <v>0.98737649999999999</v>
      </c>
      <c r="AB415">
        <v>30</v>
      </c>
      <c r="AC415">
        <v>0.59679999999997302</v>
      </c>
      <c r="AD415">
        <v>-0.27925949999999899</v>
      </c>
      <c r="AE415">
        <v>-0.14280000000002199</v>
      </c>
      <c r="AF415">
        <v>0.12052857528027699</v>
      </c>
      <c r="AG415">
        <v>-0.27925949999999899</v>
      </c>
      <c r="AH415">
        <v>0.493869698068443</v>
      </c>
      <c r="AI415">
        <v>118.781282896964</v>
      </c>
      <c r="AJ415">
        <v>76.285094891920593</v>
      </c>
      <c r="AK415">
        <v>0.58001748634809103</v>
      </c>
      <c r="AL415">
        <v>85.934462959790196</v>
      </c>
      <c r="AM415">
        <v>87.098403948016795</v>
      </c>
      <c r="AN415">
        <v>1.0000000188186</v>
      </c>
    </row>
    <row r="416" spans="1:40" x14ac:dyDescent="0.25">
      <c r="A416" t="str">
        <f>"20190312154808819"</f>
        <v>20190312154808819</v>
      </c>
      <c r="B416" t="str">
        <f>"1552376888816768"</f>
        <v>1552376888816768</v>
      </c>
      <c r="C416" t="s">
        <v>40</v>
      </c>
      <c r="D416">
        <v>5.3136539999999997</v>
      </c>
      <c r="E416">
        <v>0.55101230000000001</v>
      </c>
      <c r="F416" t="s">
        <v>41</v>
      </c>
      <c r="G416">
        <v>-361.21469999999999</v>
      </c>
      <c r="H416">
        <v>0.83454039999999996</v>
      </c>
      <c r="I416">
        <v>367.46280000000002</v>
      </c>
      <c r="J416">
        <v>-361.91370000000001</v>
      </c>
      <c r="K416">
        <v>1.110096</v>
      </c>
      <c r="L416">
        <v>367.60469999999998</v>
      </c>
      <c r="M416">
        <v>0.99988909999999998</v>
      </c>
      <c r="N416">
        <v>0</v>
      </c>
      <c r="O416">
        <v>4.434683E-3</v>
      </c>
      <c r="P416">
        <v>0.99732710000000002</v>
      </c>
      <c r="Q416">
        <v>5.6731660000000003E-2</v>
      </c>
      <c r="R416">
        <v>-4.6051849999999998E-2</v>
      </c>
      <c r="S416">
        <v>3.0404049999999998</v>
      </c>
      <c r="T416">
        <v>-0.97148489999999998</v>
      </c>
      <c r="U416">
        <v>-0.49679570000000001</v>
      </c>
      <c r="V416">
        <v>5.0496050000000001E-2</v>
      </c>
      <c r="W416">
        <v>7.0893680000000001E-2</v>
      </c>
      <c r="X416">
        <v>0.99620489999999995</v>
      </c>
      <c r="Y416">
        <v>0.15775999999999901</v>
      </c>
      <c r="Z416">
        <v>-2.5815319999999999E-2</v>
      </c>
      <c r="AA416">
        <v>0.98714000000000002</v>
      </c>
      <c r="AB416">
        <v>30</v>
      </c>
      <c r="AC416">
        <v>0.69900000000001195</v>
      </c>
      <c r="AD416">
        <v>-0.27555559999999901</v>
      </c>
      <c r="AE416">
        <v>-0.141899999999964</v>
      </c>
      <c r="AF416">
        <v>0.12616774209151299</v>
      </c>
      <c r="AG416">
        <v>-0.27555559999999901</v>
      </c>
      <c r="AH416">
        <v>0.60766713183255205</v>
      </c>
      <c r="AI416">
        <v>113.941012421303</v>
      </c>
      <c r="AJ416">
        <v>78.270535686536704</v>
      </c>
      <c r="AK416">
        <v>0.67904972641584305</v>
      </c>
      <c r="AL416">
        <v>85.934681090609701</v>
      </c>
      <c r="AM416">
        <v>87.098251069786301</v>
      </c>
      <c r="AN416">
        <v>0.99999998385677702</v>
      </c>
    </row>
    <row r="417" spans="1:40" x14ac:dyDescent="0.25">
      <c r="A417" t="str">
        <f>"20190312154808833"</f>
        <v>20190312154808833</v>
      </c>
      <c r="B417" t="str">
        <f>"1552376888826529"</f>
        <v>1552376888826529</v>
      </c>
      <c r="C417" t="s">
        <v>40</v>
      </c>
      <c r="D417">
        <v>5.3151510000000002</v>
      </c>
      <c r="E417">
        <v>0.55143989999999998</v>
      </c>
      <c r="F417" t="s">
        <v>41</v>
      </c>
      <c r="G417">
        <v>-361.19639999999998</v>
      </c>
      <c r="H417">
        <v>0.88018669999999999</v>
      </c>
      <c r="I417">
        <v>367.48739999999998</v>
      </c>
      <c r="J417">
        <v>-361.73649999999998</v>
      </c>
      <c r="K417">
        <v>1.110096</v>
      </c>
      <c r="L417">
        <v>367.6053</v>
      </c>
      <c r="M417">
        <v>0.99988929999999998</v>
      </c>
      <c r="N417">
        <v>0</v>
      </c>
      <c r="O417">
        <v>4.3539399999999997E-3</v>
      </c>
      <c r="P417">
        <v>0.99732270000000001</v>
      </c>
      <c r="Q417">
        <v>5.669896E-2</v>
      </c>
      <c r="R417">
        <v>-4.6177030000000001E-2</v>
      </c>
      <c r="S417">
        <v>3.0405880000000001</v>
      </c>
      <c r="T417">
        <v>-0.97448299999999999</v>
      </c>
      <c r="U417">
        <v>-0.49603269999999999</v>
      </c>
      <c r="V417">
        <v>5.0541089999999997E-2</v>
      </c>
      <c r="W417">
        <v>7.0858959999999999E-2</v>
      </c>
      <c r="X417">
        <v>0.99620509999999995</v>
      </c>
      <c r="Y417">
        <v>0.15740399999999999</v>
      </c>
      <c r="Z417">
        <v>-2.5809869999999999E-2</v>
      </c>
      <c r="AA417">
        <v>0.98719699999999999</v>
      </c>
      <c r="AB417">
        <v>30</v>
      </c>
      <c r="AC417">
        <v>0.54009999999999503</v>
      </c>
      <c r="AD417">
        <v>-0.22990930000000001</v>
      </c>
      <c r="AE417">
        <v>-0.11790000000002</v>
      </c>
      <c r="AF417">
        <v>0.102518924887624</v>
      </c>
      <c r="AG417">
        <v>-0.22990930000000001</v>
      </c>
      <c r="AH417">
        <v>0.46001663823043798</v>
      </c>
      <c r="AI417">
        <v>116.00393079744499</v>
      </c>
      <c r="AJ417">
        <v>77.436420103939994</v>
      </c>
      <c r="AK417">
        <v>0.52438890495074197</v>
      </c>
      <c r="AL417">
        <v>85.9366754716646</v>
      </c>
      <c r="AM417">
        <v>87.095667863497198</v>
      </c>
      <c r="AN417">
        <v>0.99999999762833902</v>
      </c>
    </row>
    <row r="418" spans="1:40" x14ac:dyDescent="0.25">
      <c r="A418" t="str">
        <f>"20190312154808847"</f>
        <v>20190312154808847</v>
      </c>
      <c r="B418" t="str">
        <f>"1552376888836289"</f>
        <v>1552376888836289</v>
      </c>
      <c r="C418" t="s">
        <v>40</v>
      </c>
      <c r="D418">
        <v>5.433662</v>
      </c>
      <c r="E418">
        <v>0.55096540000000005</v>
      </c>
      <c r="F418" t="s">
        <v>41</v>
      </c>
      <c r="G418">
        <v>-360.94260000000003</v>
      </c>
      <c r="H418">
        <v>0.8553946</v>
      </c>
      <c r="I418">
        <v>367.47460000000001</v>
      </c>
      <c r="J418">
        <v>-361.56279999999998</v>
      </c>
      <c r="K418">
        <v>1.110096</v>
      </c>
      <c r="L418">
        <v>367.60599999999999</v>
      </c>
      <c r="M418">
        <v>0.99988980000000005</v>
      </c>
      <c r="N418">
        <v>0</v>
      </c>
      <c r="O418">
        <v>4.2743879999999996E-3</v>
      </c>
      <c r="P418">
        <v>0.99731990000000004</v>
      </c>
      <c r="Q418">
        <v>5.6673660000000001E-2</v>
      </c>
      <c r="R418">
        <v>-4.6276610000000003E-2</v>
      </c>
      <c r="S418">
        <v>3.0403440000000002</v>
      </c>
      <c r="T418">
        <v>-0.97540780000000005</v>
      </c>
      <c r="U418">
        <v>-0.50006099999999998</v>
      </c>
      <c r="V418">
        <v>5.056099E-2</v>
      </c>
      <c r="W418">
        <v>7.0831839999999993E-2</v>
      </c>
      <c r="X418">
        <v>0.99620600000000004</v>
      </c>
      <c r="Y418">
        <v>0.15854599999999999</v>
      </c>
      <c r="Z418">
        <v>-2.598545E-2</v>
      </c>
      <c r="AA418">
        <v>0.98700960000000004</v>
      </c>
      <c r="AB418">
        <v>30</v>
      </c>
      <c r="AC418">
        <v>0.62019999999995401</v>
      </c>
      <c r="AD418">
        <v>-0.25470140000000002</v>
      </c>
      <c r="AE418">
        <v>-0.131399999999985</v>
      </c>
      <c r="AF418">
        <v>0.11542012011627401</v>
      </c>
      <c r="AG418">
        <v>-0.25470140000000002</v>
      </c>
      <c r="AH418">
        <v>0.53351770847507396</v>
      </c>
      <c r="AI418">
        <v>115.014033056381</v>
      </c>
      <c r="AJ418">
        <v>77.792868856074506</v>
      </c>
      <c r="AK418">
        <v>0.60235849171910005</v>
      </c>
      <c r="AL418">
        <v>85.938233171025601</v>
      </c>
      <c r="AM418">
        <v>87.094528893993299</v>
      </c>
      <c r="AN418">
        <v>0.99999997885178205</v>
      </c>
    </row>
    <row r="419" spans="1:40" x14ac:dyDescent="0.25">
      <c r="A419" t="str">
        <f>"20190312154808862"</f>
        <v>20190312154808862</v>
      </c>
      <c r="B419" t="str">
        <f>"1552376888856785"</f>
        <v>1552376888856785</v>
      </c>
      <c r="C419" t="s">
        <v>40</v>
      </c>
      <c r="D419">
        <v>5.2815789999999998</v>
      </c>
      <c r="E419">
        <v>0.55126989999999998</v>
      </c>
      <c r="F419" t="s">
        <v>41</v>
      </c>
      <c r="G419">
        <v>-360.6902</v>
      </c>
      <c r="H419">
        <v>0.82787489999999997</v>
      </c>
      <c r="I419">
        <v>367.46339999999998</v>
      </c>
      <c r="J419">
        <v>-361.34300000000002</v>
      </c>
      <c r="K419">
        <v>1.1100969999999999</v>
      </c>
      <c r="L419">
        <v>367.6069</v>
      </c>
      <c r="M419">
        <v>0.99989030000000001</v>
      </c>
      <c r="N419">
        <v>0</v>
      </c>
      <c r="O419">
        <v>4.1743379999999997E-3</v>
      </c>
      <c r="P419">
        <v>0.99729880000000004</v>
      </c>
      <c r="Q419">
        <v>5.6883259999999998E-2</v>
      </c>
      <c r="R419">
        <v>-4.6471409999999998E-2</v>
      </c>
      <c r="S419">
        <v>3.040924</v>
      </c>
      <c r="T419">
        <v>-0.98355789999999998</v>
      </c>
      <c r="U419">
        <v>-0.4960022</v>
      </c>
      <c r="V419">
        <v>5.0655989999999998E-2</v>
      </c>
      <c r="W419">
        <v>7.1039229999999995E-2</v>
      </c>
      <c r="X419">
        <v>0.99618640000000003</v>
      </c>
      <c r="Y419">
        <v>0.15708220000000001</v>
      </c>
      <c r="Z419">
        <v>-2.592937E-2</v>
      </c>
      <c r="AA419">
        <v>0.98724509999999999</v>
      </c>
      <c r="AB419">
        <v>29</v>
      </c>
      <c r="AC419">
        <v>0.65280000000001304</v>
      </c>
      <c r="AD419">
        <v>-0.28222209999999898</v>
      </c>
      <c r="AE419">
        <v>-0.143500000000017</v>
      </c>
      <c r="AF419">
        <v>0.124098503884934</v>
      </c>
      <c r="AG419">
        <v>-0.28222209999999898</v>
      </c>
      <c r="AH419">
        <v>0.55350992087999096</v>
      </c>
      <c r="AI419">
        <v>116.451538401644</v>
      </c>
      <c r="AJ419">
        <v>77.363096247210805</v>
      </c>
      <c r="AK419">
        <v>0.63357950164715904</v>
      </c>
      <c r="AL419">
        <v>85.926320564296901</v>
      </c>
      <c r="AM419">
        <v>87.089021955779501</v>
      </c>
      <c r="AN419">
        <v>0.99999997253341599</v>
      </c>
    </row>
    <row r="420" spans="1:40" x14ac:dyDescent="0.25">
      <c r="A420" t="str">
        <f>"20190312154808875"</f>
        <v>20190312154808875</v>
      </c>
      <c r="B420" t="str">
        <f>"1552376888866545"</f>
        <v>1552376888866545</v>
      </c>
      <c r="C420" t="s">
        <v>40</v>
      </c>
      <c r="D420">
        <v>5.4638150000000003</v>
      </c>
      <c r="E420">
        <v>0.55170909999999995</v>
      </c>
      <c r="F420" t="s">
        <v>41</v>
      </c>
      <c r="G420">
        <v>-360.66469999999998</v>
      </c>
      <c r="H420">
        <v>0.89154609999999901</v>
      </c>
      <c r="I420">
        <v>367.49520000000001</v>
      </c>
      <c r="J420">
        <v>-361.19549999999998</v>
      </c>
      <c r="K420">
        <v>1.1100989999999999</v>
      </c>
      <c r="L420">
        <v>367.60739999999998</v>
      </c>
      <c r="M420">
        <v>0.99989059999999996</v>
      </c>
      <c r="N420">
        <v>0</v>
      </c>
      <c r="O420">
        <v>4.1068820000000001E-3</v>
      </c>
      <c r="P420">
        <v>0.99729659999999998</v>
      </c>
      <c r="Q420">
        <v>5.6841759999999998E-2</v>
      </c>
      <c r="R420">
        <v>-4.6571330000000001E-2</v>
      </c>
      <c r="S420">
        <v>3.0407410000000001</v>
      </c>
      <c r="T420">
        <v>-0.97965190000000002</v>
      </c>
      <c r="U420">
        <v>-0.49948120000000001</v>
      </c>
      <c r="V420">
        <v>5.0688709999999998E-2</v>
      </c>
      <c r="W420">
        <v>7.0995939999999993E-2</v>
      </c>
      <c r="X420">
        <v>0.99618790000000002</v>
      </c>
      <c r="Y420">
        <v>0.15813920000000001</v>
      </c>
      <c r="Z420">
        <v>-2.5974509999999999E-2</v>
      </c>
      <c r="AA420">
        <v>0.98707520000000004</v>
      </c>
      <c r="AB420">
        <v>29</v>
      </c>
      <c r="AC420">
        <v>0.53079999999999905</v>
      </c>
      <c r="AD420">
        <v>-0.21855289999999999</v>
      </c>
      <c r="AE420">
        <v>-0.112199999999973</v>
      </c>
      <c r="AF420">
        <v>9.8409257477693204E-2</v>
      </c>
      <c r="AG420">
        <v>-0.21855289999999999</v>
      </c>
      <c r="AH420">
        <v>0.45628785146718798</v>
      </c>
      <c r="AI420">
        <v>115.089677811852</v>
      </c>
      <c r="AJ420">
        <v>77.829234038146893</v>
      </c>
      <c r="AK420">
        <v>0.51541086082101895</v>
      </c>
      <c r="AL420">
        <v>85.928807494997997</v>
      </c>
      <c r="AM420">
        <v>87.087149296147601</v>
      </c>
      <c r="AN420">
        <v>1.00000005046217</v>
      </c>
    </row>
    <row r="421" spans="1:40" x14ac:dyDescent="0.25">
      <c r="A421" t="str">
        <f>"20190312154808887"</f>
        <v>20190312154808887</v>
      </c>
      <c r="B421" t="str">
        <f>"1552376888876305"</f>
        <v>1552376888876305</v>
      </c>
      <c r="C421" t="s">
        <v>40</v>
      </c>
      <c r="D421">
        <v>5.2948500000000003</v>
      </c>
      <c r="E421">
        <v>0.55162129999999998</v>
      </c>
      <c r="F421" t="s">
        <v>41</v>
      </c>
      <c r="G421">
        <v>-360.41520000000003</v>
      </c>
      <c r="H421">
        <v>0.85766049999999905</v>
      </c>
      <c r="I421">
        <v>367.4778</v>
      </c>
      <c r="J421">
        <v>-361.03629999999998</v>
      </c>
      <c r="K421">
        <v>1.110107</v>
      </c>
      <c r="L421">
        <v>367.608</v>
      </c>
      <c r="M421">
        <v>0.99989090000000003</v>
      </c>
      <c r="N421">
        <v>0</v>
      </c>
      <c r="O421">
        <v>4.0342420000000004E-3</v>
      </c>
      <c r="P421">
        <v>0.99727619999999895</v>
      </c>
      <c r="Q421">
        <v>5.7031529999999997E-2</v>
      </c>
      <c r="R421">
        <v>-4.6768659999999997E-2</v>
      </c>
      <c r="S421">
        <v>3.0407099999999998</v>
      </c>
      <c r="T421">
        <v>-0.98378989999999999</v>
      </c>
      <c r="U421">
        <v>-0.50311279999999903</v>
      </c>
      <c r="V421">
        <v>5.0813659999999997E-2</v>
      </c>
      <c r="W421">
        <v>7.1184300000000006E-2</v>
      </c>
      <c r="X421">
        <v>0.99616800000000005</v>
      </c>
      <c r="Y421">
        <v>0.15910779999999999</v>
      </c>
      <c r="Z421">
        <v>-2.620596E-2</v>
      </c>
      <c r="AA421">
        <v>0.98691329999999999</v>
      </c>
      <c r="AB421">
        <v>29</v>
      </c>
      <c r="AC421">
        <v>0.62109999999995502</v>
      </c>
      <c r="AD421">
        <v>-0.25244650000000002</v>
      </c>
      <c r="AE421">
        <v>-0.13020000000000201</v>
      </c>
      <c r="AF421">
        <v>0.114573779313677</v>
      </c>
      <c r="AG421">
        <v>-0.25244650000000002</v>
      </c>
      <c r="AH421">
        <v>0.53578299768691395</v>
      </c>
      <c r="AI421">
        <v>114.73816222622099</v>
      </c>
      <c r="AJ421">
        <v>77.929462833817595</v>
      </c>
      <c r="AK421">
        <v>0.60325766209708798</v>
      </c>
      <c r="AL421">
        <v>85.917987511407802</v>
      </c>
      <c r="AM421">
        <v>87.079923165698602</v>
      </c>
      <c r="AN421">
        <v>0.99999995841654199</v>
      </c>
    </row>
    <row r="422" spans="1:40" x14ac:dyDescent="0.25">
      <c r="A422" t="str">
        <f>"20190312154808898"</f>
        <v>20190312154808898</v>
      </c>
      <c r="B422" t="str">
        <f>"1552376888886065"</f>
        <v>1552376888886065</v>
      </c>
      <c r="C422" t="s">
        <v>40</v>
      </c>
      <c r="D422">
        <v>5.2977930000000004</v>
      </c>
      <c r="E422">
        <v>0.5515776</v>
      </c>
      <c r="F422" t="s">
        <v>41</v>
      </c>
      <c r="G422">
        <v>-360.16390000000001</v>
      </c>
      <c r="H422">
        <v>0.82876099999999997</v>
      </c>
      <c r="I422">
        <v>367.46350000000001</v>
      </c>
      <c r="J422">
        <v>-360.87650000000002</v>
      </c>
      <c r="K422">
        <v>1.1101080000000001</v>
      </c>
      <c r="L422">
        <v>367.60860000000002</v>
      </c>
      <c r="M422">
        <v>0.99989119999999998</v>
      </c>
      <c r="N422">
        <v>0</v>
      </c>
      <c r="O422">
        <v>3.9613640000000002E-3</v>
      </c>
      <c r="P422">
        <v>0.99724800000000002</v>
      </c>
      <c r="Q422">
        <v>5.7385619999999998E-2</v>
      </c>
      <c r="R422">
        <v>-4.6940419999999997E-2</v>
      </c>
      <c r="S422">
        <v>3.0407099999999998</v>
      </c>
      <c r="T422">
        <v>-0.98068169999999999</v>
      </c>
      <c r="U422">
        <v>-0.50274659999999904</v>
      </c>
      <c r="V422">
        <v>5.0912579999999999E-2</v>
      </c>
      <c r="W422">
        <v>7.1535769999999999E-2</v>
      </c>
      <c r="X422">
        <v>0.99613779999999996</v>
      </c>
      <c r="Y422">
        <v>0.15897999999999901</v>
      </c>
      <c r="Z422">
        <v>-2.6084570000000001E-2</v>
      </c>
      <c r="AA422">
        <v>0.98693719999999996</v>
      </c>
      <c r="AB422">
        <v>29</v>
      </c>
      <c r="AC422">
        <v>0.712600000000009</v>
      </c>
      <c r="AD422">
        <v>-0.28134699999999901</v>
      </c>
      <c r="AE422">
        <v>-0.145100000000013</v>
      </c>
      <c r="AF422">
        <v>0.12866417979306499</v>
      </c>
      <c r="AG422">
        <v>-0.28134699999999901</v>
      </c>
      <c r="AH422">
        <v>0.619322367802984</v>
      </c>
      <c r="AI422">
        <v>113.97877687913601</v>
      </c>
      <c r="AJ422">
        <v>78.263750780674101</v>
      </c>
      <c r="AK422">
        <v>0.69229386883888899</v>
      </c>
      <c r="AL422">
        <v>85.897798409911402</v>
      </c>
      <c r="AM422">
        <v>87.074159912824797</v>
      </c>
      <c r="AN422">
        <v>0.99999998689029401</v>
      </c>
    </row>
    <row r="423" spans="1:40" x14ac:dyDescent="0.25">
      <c r="A423" t="str">
        <f>"20190312154808911"</f>
        <v>20190312154808911</v>
      </c>
      <c r="B423" t="str">
        <f>"1552376888906561"</f>
        <v>1552376888906561</v>
      </c>
      <c r="C423" t="s">
        <v>40</v>
      </c>
      <c r="D423">
        <v>5.2869109999999999</v>
      </c>
      <c r="E423">
        <v>0.55158649999999998</v>
      </c>
      <c r="F423" t="s">
        <v>41</v>
      </c>
      <c r="G423">
        <v>-360.1454</v>
      </c>
      <c r="H423">
        <v>0.87510069999999995</v>
      </c>
      <c r="I423">
        <v>367.48739999999998</v>
      </c>
      <c r="J423">
        <v>-360.72</v>
      </c>
      <c r="K423">
        <v>1.110109</v>
      </c>
      <c r="L423">
        <v>367.60910000000001</v>
      </c>
      <c r="M423">
        <v>0.99989139999999999</v>
      </c>
      <c r="N423">
        <v>0</v>
      </c>
      <c r="O423">
        <v>3.8899170000000001E-3</v>
      </c>
      <c r="P423">
        <v>0.99723819999999996</v>
      </c>
      <c r="Q423">
        <v>5.7574569999999999E-2</v>
      </c>
      <c r="R423">
        <v>-4.691323E-2</v>
      </c>
      <c r="S423">
        <v>3.0408629999999999</v>
      </c>
      <c r="T423">
        <v>-0.97747309999999998</v>
      </c>
      <c r="U423">
        <v>-0.50302119999999995</v>
      </c>
      <c r="V423">
        <v>5.0814239999999997E-2</v>
      </c>
      <c r="W423">
        <v>7.1723159999999994E-2</v>
      </c>
      <c r="X423">
        <v>0.9961293</v>
      </c>
      <c r="Y423">
        <v>0.15904109999999999</v>
      </c>
      <c r="Z423">
        <v>-2.5989100000000001E-2</v>
      </c>
      <c r="AA423">
        <v>0.98692979999999997</v>
      </c>
      <c r="AB423">
        <v>29</v>
      </c>
      <c r="AC423">
        <v>0.57460000000003197</v>
      </c>
      <c r="AD423">
        <v>-0.2350083</v>
      </c>
      <c r="AE423">
        <v>-0.121700000000032</v>
      </c>
      <c r="AF423">
        <v>0.10683130562378899</v>
      </c>
      <c r="AG423">
        <v>-0.2350083</v>
      </c>
      <c r="AH423">
        <v>0.49489245104414498</v>
      </c>
      <c r="AI423">
        <v>114.899574940991</v>
      </c>
      <c r="AJ423">
        <v>77.818608170964396</v>
      </c>
      <c r="AK423">
        <v>0.55817592838696894</v>
      </c>
      <c r="AL423">
        <v>85.887033912313498</v>
      </c>
      <c r="AM423">
        <v>87.079776641867298</v>
      </c>
      <c r="AN423">
        <v>0.99999994049282404</v>
      </c>
    </row>
    <row r="424" spans="1:40" x14ac:dyDescent="0.25">
      <c r="A424" t="str">
        <f>"20190312154808923"</f>
        <v>20190312154808923</v>
      </c>
      <c r="B424" t="str">
        <f>"1552376888916321"</f>
        <v>1552376888916321</v>
      </c>
      <c r="C424" t="s">
        <v>40</v>
      </c>
      <c r="D424">
        <v>5.2462119999999999</v>
      </c>
      <c r="E424">
        <v>0.55158200000000002</v>
      </c>
      <c r="F424" t="s">
        <v>41</v>
      </c>
      <c r="G424">
        <v>-359.89479999999998</v>
      </c>
      <c r="H424">
        <v>0.84543029999999997</v>
      </c>
      <c r="I424">
        <v>367.47210000000001</v>
      </c>
      <c r="J424">
        <v>-360.56079999999997</v>
      </c>
      <c r="K424">
        <v>1.1101129999999999</v>
      </c>
      <c r="L424">
        <v>367.6096</v>
      </c>
      <c r="M424">
        <v>0.99989189999999994</v>
      </c>
      <c r="N424">
        <v>0</v>
      </c>
      <c r="O424">
        <v>3.8170399999999998E-3</v>
      </c>
      <c r="P424">
        <v>0.9972261</v>
      </c>
      <c r="Q424">
        <v>5.7596269999999998E-2</v>
      </c>
      <c r="R424">
        <v>-4.7149499999999997E-2</v>
      </c>
      <c r="S424">
        <v>3.0409549999999999</v>
      </c>
      <c r="T424">
        <v>-0.97537079999999998</v>
      </c>
      <c r="U424">
        <v>-0.50302119999999995</v>
      </c>
      <c r="V424">
        <v>5.0977580000000002E-2</v>
      </c>
      <c r="W424">
        <v>7.1743139999999997E-2</v>
      </c>
      <c r="X424">
        <v>0.99611959999999999</v>
      </c>
      <c r="Y424">
        <v>0.1590039</v>
      </c>
      <c r="Z424">
        <v>-2.5906640000000002E-2</v>
      </c>
      <c r="AA424">
        <v>0.98693799999999998</v>
      </c>
      <c r="AB424">
        <v>29</v>
      </c>
      <c r="AC424">
        <v>0.66599999999999604</v>
      </c>
      <c r="AD424">
        <v>-0.26468269999999899</v>
      </c>
      <c r="AE424">
        <v>-0.13749999999998799</v>
      </c>
      <c r="AF424">
        <v>0.121617895816518</v>
      </c>
      <c r="AG424">
        <v>-0.26468269999999899</v>
      </c>
      <c r="AH424">
        <v>0.57792259947283098</v>
      </c>
      <c r="AI424">
        <v>114.14066839949101</v>
      </c>
      <c r="AJ424">
        <v>78.116090596277402</v>
      </c>
      <c r="AK424">
        <v>0.64718032668149095</v>
      </c>
      <c r="AL424">
        <v>85.885886532702003</v>
      </c>
      <c r="AM424">
        <v>87.070377568286005</v>
      </c>
      <c r="AN424">
        <v>1.0000000246519301</v>
      </c>
    </row>
    <row r="425" spans="1:40" x14ac:dyDescent="0.25">
      <c r="A425" t="str">
        <f>"20190312154808934"</f>
        <v>20190312154808934</v>
      </c>
      <c r="B425" t="str">
        <f>"1552376888926080"</f>
        <v>1552376888926080</v>
      </c>
      <c r="C425" t="s">
        <v>40</v>
      </c>
      <c r="D425">
        <v>5.2134549999999997</v>
      </c>
      <c r="E425">
        <v>0.55157529999999999</v>
      </c>
      <c r="F425" t="s">
        <v>41</v>
      </c>
      <c r="G425">
        <v>-359.8766</v>
      </c>
      <c r="H425">
        <v>0.89049120000000004</v>
      </c>
      <c r="I425">
        <v>367.4957</v>
      </c>
      <c r="J425">
        <v>-360.4051</v>
      </c>
      <c r="K425">
        <v>1.110114</v>
      </c>
      <c r="L425">
        <v>367.61009999999999</v>
      </c>
      <c r="M425">
        <v>0.99989209999999995</v>
      </c>
      <c r="N425">
        <v>0</v>
      </c>
      <c r="O425">
        <v>3.7458909999999999E-3</v>
      </c>
      <c r="P425">
        <v>0.99720430000000004</v>
      </c>
      <c r="Q425">
        <v>5.7884659999999998E-2</v>
      </c>
      <c r="R425">
        <v>-4.7254780000000003E-2</v>
      </c>
      <c r="S425">
        <v>3.0408940000000002</v>
      </c>
      <c r="T425">
        <v>-0.97622640000000005</v>
      </c>
      <c r="U425">
        <v>-0.50424190000000002</v>
      </c>
      <c r="V425">
        <v>5.1012010000000003E-2</v>
      </c>
      <c r="W425">
        <v>7.202944E-2</v>
      </c>
      <c r="X425">
        <v>0.99609709999999996</v>
      </c>
      <c r="Y425">
        <v>0.1592983</v>
      </c>
      <c r="Z425">
        <v>-2.595167E-2</v>
      </c>
      <c r="AA425">
        <v>0.98688940000000003</v>
      </c>
      <c r="AB425">
        <v>29</v>
      </c>
      <c r="AC425">
        <v>0.52850000000000796</v>
      </c>
      <c r="AD425">
        <v>-0.21962280000000001</v>
      </c>
      <c r="AE425">
        <v>-0.114399999999989</v>
      </c>
      <c r="AF425">
        <v>9.9899672687683502E-2</v>
      </c>
      <c r="AG425">
        <v>-0.21962280000000001</v>
      </c>
      <c r="AH425">
        <v>0.45329266203147001</v>
      </c>
      <c r="AI425">
        <v>115.321228823105</v>
      </c>
      <c r="AJ425">
        <v>77.571449916398706</v>
      </c>
      <c r="AK425">
        <v>0.51350594576355402</v>
      </c>
      <c r="AL425">
        <v>85.869439889000802</v>
      </c>
      <c r="AM425">
        <v>87.068336262607204</v>
      </c>
      <c r="AN425">
        <v>0.99999994900968003</v>
      </c>
    </row>
    <row r="426" spans="1:40" x14ac:dyDescent="0.25">
      <c r="A426" t="str">
        <f>"20190312154808953"</f>
        <v>20190312154808953</v>
      </c>
      <c r="B426" t="str">
        <f>"1552376888946577"</f>
        <v>1552376888946577</v>
      </c>
      <c r="C426" t="s">
        <v>40</v>
      </c>
      <c r="D426">
        <v>5.2559019999999999</v>
      </c>
      <c r="E426">
        <v>0.55172569999999999</v>
      </c>
      <c r="F426" t="s">
        <v>41</v>
      </c>
      <c r="G426">
        <v>-359.62670000000003</v>
      </c>
      <c r="H426">
        <v>0.86029219999999895</v>
      </c>
      <c r="I426">
        <v>367.4812</v>
      </c>
      <c r="J426">
        <v>-360.166</v>
      </c>
      <c r="K426">
        <v>1.1101190000000001</v>
      </c>
      <c r="L426">
        <v>367.61090000000002</v>
      </c>
      <c r="M426">
        <v>0.99989249999999996</v>
      </c>
      <c r="N426">
        <v>0</v>
      </c>
      <c r="O426">
        <v>3.636546E-3</v>
      </c>
      <c r="P426">
        <v>0.99718830000000003</v>
      </c>
      <c r="Q426">
        <v>5.8109389999999997E-2</v>
      </c>
      <c r="R426">
        <v>-4.731573E-2</v>
      </c>
      <c r="S426">
        <v>3.0411069999999998</v>
      </c>
      <c r="T426">
        <v>-0.9760761</v>
      </c>
      <c r="U426">
        <v>-0.50433349999999999</v>
      </c>
      <c r="V426">
        <v>5.0963929999999998E-2</v>
      </c>
      <c r="W426">
        <v>7.2251549999999998E-2</v>
      </c>
      <c r="X426">
        <v>0.99608350000000001</v>
      </c>
      <c r="Y426">
        <v>0.159220899999999</v>
      </c>
      <c r="Z426">
        <v>-2.5900019999999999E-2</v>
      </c>
      <c r="AA426">
        <v>0.98690319999999998</v>
      </c>
      <c r="AB426">
        <v>29</v>
      </c>
      <c r="AC426">
        <v>0.53929999999996803</v>
      </c>
      <c r="AD426">
        <v>-0.24982679999999999</v>
      </c>
      <c r="AE426">
        <v>-0.129700000000013</v>
      </c>
      <c r="AF426">
        <v>0.10945618161727</v>
      </c>
      <c r="AG426">
        <v>-0.24982679999999999</v>
      </c>
      <c r="AH426">
        <v>0.44795275641051902</v>
      </c>
      <c r="AI426">
        <v>118.447462486357</v>
      </c>
      <c r="AJ426">
        <v>76.268967645664105</v>
      </c>
      <c r="AK426">
        <v>0.52445758424133304</v>
      </c>
      <c r="AL426">
        <v>85.856680781272999</v>
      </c>
      <c r="AM426">
        <v>87.071054689963006</v>
      </c>
      <c r="AN426">
        <v>0.999999973805348</v>
      </c>
    </row>
    <row r="427" spans="1:40" x14ac:dyDescent="0.25">
      <c r="A427" t="str">
        <f>"20190312154808967"</f>
        <v>20190312154808967</v>
      </c>
      <c r="B427" t="str">
        <f>"1552376888956337"</f>
        <v>1552376888956337</v>
      </c>
      <c r="C427" t="s">
        <v>40</v>
      </c>
      <c r="D427">
        <v>5.2355640000000001</v>
      </c>
      <c r="E427">
        <v>0.55179350000000005</v>
      </c>
      <c r="F427" t="s">
        <v>41</v>
      </c>
      <c r="G427">
        <v>-359.36739999999998</v>
      </c>
      <c r="H427">
        <v>0.85393200000000002</v>
      </c>
      <c r="I427">
        <v>367.47800000000001</v>
      </c>
      <c r="J427">
        <v>-359.98770000000002</v>
      </c>
      <c r="K427">
        <v>1.11012</v>
      </c>
      <c r="L427">
        <v>367.61149999999998</v>
      </c>
      <c r="M427">
        <v>0.99989280000000003</v>
      </c>
      <c r="N427">
        <v>0</v>
      </c>
      <c r="O427">
        <v>3.5551480000000002E-3</v>
      </c>
      <c r="P427">
        <v>0.9971719</v>
      </c>
      <c r="Q427">
        <v>5.8240500000000001E-2</v>
      </c>
      <c r="R427">
        <v>-4.7500519999999997E-2</v>
      </c>
      <c r="S427">
        <v>3.0413209999999999</v>
      </c>
      <c r="T427">
        <v>-0.97558140000000004</v>
      </c>
      <c r="U427">
        <v>-0.50518799999999997</v>
      </c>
      <c r="V427">
        <v>5.1067330000000001E-2</v>
      </c>
      <c r="W427">
        <v>7.2379979999999997E-2</v>
      </c>
      <c r="X427">
        <v>0.99606890000000003</v>
      </c>
      <c r="Y427">
        <v>0.15940379999999901</v>
      </c>
      <c r="Z427">
        <v>-2.5888379999999999E-2</v>
      </c>
      <c r="AA427">
        <v>0.98687400000000003</v>
      </c>
      <c r="AB427">
        <v>29</v>
      </c>
      <c r="AC427">
        <v>0.62030000000004204</v>
      </c>
      <c r="AD427">
        <v>-0.25618800000000003</v>
      </c>
      <c r="AE427">
        <v>-0.133499999999969</v>
      </c>
      <c r="AF427">
        <v>0.116682638481374</v>
      </c>
      <c r="AG427">
        <v>-0.25618800000000003</v>
      </c>
      <c r="AH427">
        <v>0.53293977406217197</v>
      </c>
      <c r="AI427">
        <v>115.15400428055401</v>
      </c>
      <c r="AJ427">
        <v>77.650441549687798</v>
      </c>
      <c r="AK427">
        <v>0.60272044286253801</v>
      </c>
      <c r="AL427">
        <v>85.849303049827</v>
      </c>
      <c r="AM427">
        <v>87.065079629720202</v>
      </c>
      <c r="AN427">
        <v>0.999999993622669</v>
      </c>
    </row>
    <row r="428" spans="1:40" x14ac:dyDescent="0.25">
      <c r="A428" t="str">
        <f>"20190312154808990"</f>
        <v>20190312154808990</v>
      </c>
      <c r="B428" t="str">
        <f>"1552376888986593"</f>
        <v>1552376888986593</v>
      </c>
      <c r="C428" t="s">
        <v>40</v>
      </c>
      <c r="D428">
        <v>5.1898359999999997</v>
      </c>
      <c r="E428">
        <v>0.55190189999999995</v>
      </c>
      <c r="F428" t="s">
        <v>41</v>
      </c>
      <c r="G428">
        <v>-359.11520000000002</v>
      </c>
      <c r="H428">
        <v>0.83045859999999905</v>
      </c>
      <c r="I428">
        <v>367.46600000000001</v>
      </c>
      <c r="J428">
        <v>-359.6952</v>
      </c>
      <c r="K428">
        <v>1.1101209999999999</v>
      </c>
      <c r="L428">
        <v>367.61239999999998</v>
      </c>
      <c r="M428">
        <v>0.99989349999999999</v>
      </c>
      <c r="N428">
        <v>0</v>
      </c>
      <c r="O428">
        <v>3.42137E-3</v>
      </c>
      <c r="P428">
        <v>0.99716190000000005</v>
      </c>
      <c r="Q428">
        <v>5.8147860000000003E-2</v>
      </c>
      <c r="R428">
        <v>-4.7826100000000003E-2</v>
      </c>
      <c r="S428">
        <v>3.0413510000000001</v>
      </c>
      <c r="T428">
        <v>-0.9747903</v>
      </c>
      <c r="U428">
        <v>-0.50613399999999997</v>
      </c>
      <c r="V428">
        <v>5.1259539999999999E-2</v>
      </c>
      <c r="W428">
        <v>7.2283899999999998E-2</v>
      </c>
      <c r="X428">
        <v>0.99606600000000001</v>
      </c>
      <c r="Y428">
        <v>0.15958020000000001</v>
      </c>
      <c r="Z428">
        <v>-2.5853339999999999E-2</v>
      </c>
      <c r="AA428">
        <v>0.98684640000000001</v>
      </c>
      <c r="AB428">
        <v>29</v>
      </c>
      <c r="AC428">
        <v>0.57999999999998397</v>
      </c>
      <c r="AD428">
        <v>-0.27966239999999998</v>
      </c>
      <c r="AE428">
        <v>-0.146399999999971</v>
      </c>
      <c r="AF428">
        <v>0.121768880541927</v>
      </c>
      <c r="AG428">
        <v>-0.27966239999999998</v>
      </c>
      <c r="AH428">
        <v>0.47555439542352401</v>
      </c>
      <c r="AI428">
        <v>119.670033383724</v>
      </c>
      <c r="AJ428">
        <v>75.637615611451807</v>
      </c>
      <c r="AK428">
        <v>0.56496964630750501</v>
      </c>
      <c r="AL428">
        <v>85.854822468763203</v>
      </c>
      <c r="AM428">
        <v>87.054043876869997</v>
      </c>
      <c r="AN428">
        <v>0.99999998949810998</v>
      </c>
    </row>
    <row r="429" spans="1:40" x14ac:dyDescent="0.25">
      <c r="A429" t="str">
        <f>"20190312154809009"</f>
        <v>20190312154809009</v>
      </c>
      <c r="B429" t="str">
        <f>"1552376889006115"</f>
        <v>1552376889006115</v>
      </c>
      <c r="C429" t="s">
        <v>40</v>
      </c>
      <c r="D429">
        <v>5.2146610000000004</v>
      </c>
      <c r="E429">
        <v>0.5520716</v>
      </c>
      <c r="F429" t="s">
        <v>41</v>
      </c>
      <c r="G429">
        <v>-358.851</v>
      </c>
      <c r="H429">
        <v>0.83815119999999899</v>
      </c>
      <c r="I429">
        <v>367.47120000000001</v>
      </c>
      <c r="J429">
        <v>-359.43020000000001</v>
      </c>
      <c r="K429">
        <v>1.1101209999999999</v>
      </c>
      <c r="L429">
        <v>367.61320000000001</v>
      </c>
      <c r="M429">
        <v>0.99989380000000005</v>
      </c>
      <c r="N429">
        <v>0</v>
      </c>
      <c r="O429">
        <v>3.3002259999999999E-3</v>
      </c>
      <c r="P429">
        <v>0.99715989999999999</v>
      </c>
      <c r="Q429">
        <v>5.816648E-2</v>
      </c>
      <c r="R429">
        <v>-4.784418E-2</v>
      </c>
      <c r="S429">
        <v>3.0413209999999999</v>
      </c>
      <c r="T429">
        <v>-0.97976220000000003</v>
      </c>
      <c r="U429">
        <v>-0.50784300000000004</v>
      </c>
      <c r="V429">
        <v>5.1156720000000003E-2</v>
      </c>
      <c r="W429">
        <v>7.2299600000000006E-2</v>
      </c>
      <c r="X429">
        <v>0.99607009999999996</v>
      </c>
      <c r="Y429">
        <v>0.15991279999999999</v>
      </c>
      <c r="Z429">
        <v>-2.5992210000000002E-2</v>
      </c>
      <c r="AA429">
        <v>0.98678889999999997</v>
      </c>
      <c r="AB429">
        <v>29</v>
      </c>
      <c r="AC429">
        <v>0.57920000000001404</v>
      </c>
      <c r="AD429">
        <v>-0.27196979999999998</v>
      </c>
      <c r="AE429">
        <v>-0.14199999999999499</v>
      </c>
      <c r="AF429">
        <v>0.119132892714232</v>
      </c>
      <c r="AG429">
        <v>-0.27196979999999998</v>
      </c>
      <c r="AH429">
        <v>0.47908501494971201</v>
      </c>
      <c r="AI429">
        <v>118.850742038213</v>
      </c>
      <c r="AJ429">
        <v>76.035632453005604</v>
      </c>
      <c r="AK429">
        <v>0.56363345339667903</v>
      </c>
      <c r="AL429">
        <v>85.853920372660099</v>
      </c>
      <c r="AM429">
        <v>87.059954786038404</v>
      </c>
      <c r="AN429">
        <v>0.99999994313766205</v>
      </c>
    </row>
    <row r="430" spans="1:40" x14ac:dyDescent="0.25">
      <c r="A430" t="str">
        <f>"20190312154809021"</f>
        <v>20190312154809021</v>
      </c>
      <c r="B430" t="str">
        <f>"1552376889016849"</f>
        <v>1552376889016849</v>
      </c>
      <c r="C430" t="s">
        <v>40</v>
      </c>
      <c r="D430">
        <v>5.1620309999999998</v>
      </c>
      <c r="E430">
        <v>0.55202839999999997</v>
      </c>
      <c r="F430" t="s">
        <v>41</v>
      </c>
      <c r="G430">
        <v>-358.58949999999999</v>
      </c>
      <c r="H430">
        <v>0.83939649999999999</v>
      </c>
      <c r="I430">
        <v>367.47219999999999</v>
      </c>
      <c r="J430">
        <v>-359.26839999999999</v>
      </c>
      <c r="K430">
        <v>1.11012</v>
      </c>
      <c r="L430">
        <v>367.61360000000002</v>
      </c>
      <c r="M430">
        <v>0.99989410000000001</v>
      </c>
      <c r="N430">
        <v>0</v>
      </c>
      <c r="O430">
        <v>3.2262160000000001E-3</v>
      </c>
      <c r="P430">
        <v>0.9971738</v>
      </c>
      <c r="Q430">
        <v>5.8134970000000001E-2</v>
      </c>
      <c r="R430">
        <v>-4.759422E-2</v>
      </c>
      <c r="S430">
        <v>3.041229</v>
      </c>
      <c r="T430">
        <v>-0.97936179999999995</v>
      </c>
      <c r="U430">
        <v>-0.509552</v>
      </c>
      <c r="V430">
        <v>5.0832910000000002E-2</v>
      </c>
      <c r="W430">
        <v>7.2266769999999994E-2</v>
      </c>
      <c r="X430">
        <v>0.99608909999999995</v>
      </c>
      <c r="Y430">
        <v>0.16037199999999999</v>
      </c>
      <c r="Z430">
        <v>-2.603026E-2</v>
      </c>
      <c r="AA430">
        <v>0.98671330000000002</v>
      </c>
      <c r="AB430">
        <v>29</v>
      </c>
      <c r="AC430">
        <v>0.67889999999999795</v>
      </c>
      <c r="AD430">
        <v>-0.27072350000000001</v>
      </c>
      <c r="AE430">
        <v>-0.141400000000032</v>
      </c>
      <c r="AF430">
        <v>0.124600136902542</v>
      </c>
      <c r="AG430">
        <v>-0.27072350000000001</v>
      </c>
      <c r="AH430">
        <v>0.58871708135374401</v>
      </c>
      <c r="AI430">
        <v>114.222383481777</v>
      </c>
      <c r="AJ430">
        <v>78.049876770290496</v>
      </c>
      <c r="AK430">
        <v>0.65985165715185801</v>
      </c>
      <c r="AL430">
        <v>85.855806491911494</v>
      </c>
      <c r="AM430">
        <v>87.078587868330899</v>
      </c>
      <c r="AN430">
        <v>0.99999998296205495</v>
      </c>
    </row>
    <row r="431" spans="1:40" x14ac:dyDescent="0.25">
      <c r="A431" t="str">
        <f>"20190312154809034"</f>
        <v>20190312154809034</v>
      </c>
      <c r="B431" t="str">
        <f>"1552376889026609"</f>
        <v>1552376889026609</v>
      </c>
      <c r="C431" t="s">
        <v>40</v>
      </c>
      <c r="D431">
        <v>5.1734249999999999</v>
      </c>
      <c r="E431">
        <v>0.55205300000000002</v>
      </c>
      <c r="F431" t="s">
        <v>41</v>
      </c>
      <c r="G431">
        <v>-358.5711</v>
      </c>
      <c r="H431">
        <v>0.8852392</v>
      </c>
      <c r="I431">
        <v>367.49689999999998</v>
      </c>
      <c r="J431">
        <v>-359.1105</v>
      </c>
      <c r="K431">
        <v>1.1101209999999999</v>
      </c>
      <c r="L431">
        <v>367.61399999999998</v>
      </c>
      <c r="M431">
        <v>0.99989430000000001</v>
      </c>
      <c r="N431">
        <v>0</v>
      </c>
      <c r="O431">
        <v>3.1541730000000001E-3</v>
      </c>
      <c r="P431">
        <v>0.99715989999999999</v>
      </c>
      <c r="Q431">
        <v>5.814159E-2</v>
      </c>
      <c r="R431">
        <v>-4.7873020000000002E-2</v>
      </c>
      <c r="S431">
        <v>3.0414430000000001</v>
      </c>
      <c r="T431">
        <v>-0.98076209999999997</v>
      </c>
      <c r="U431">
        <v>-0.50817869999999998</v>
      </c>
      <c r="V431">
        <v>5.1039929999999997E-2</v>
      </c>
      <c r="W431">
        <v>7.227153E-2</v>
      </c>
      <c r="X431">
        <v>0.99607820000000002</v>
      </c>
      <c r="Y431">
        <v>0.1598628</v>
      </c>
      <c r="Z431">
        <v>-2.5962829999999999E-2</v>
      </c>
      <c r="AA431">
        <v>0.9867977</v>
      </c>
      <c r="AB431">
        <v>29</v>
      </c>
      <c r="AC431">
        <v>0.53939999999999999</v>
      </c>
      <c r="AD431">
        <v>-0.22488179999999899</v>
      </c>
      <c r="AE431">
        <v>-0.11710000000005</v>
      </c>
      <c r="AF431">
        <v>0.101888331959131</v>
      </c>
      <c r="AG431">
        <v>-0.22488179999999899</v>
      </c>
      <c r="AH431">
        <v>0.46229139030390398</v>
      </c>
      <c r="AI431">
        <v>115.410021097601</v>
      </c>
      <c r="AJ431">
        <v>77.570804644737606</v>
      </c>
      <c r="AK431">
        <v>0.52408623880976901</v>
      </c>
      <c r="AL431">
        <v>85.855533179962706</v>
      </c>
      <c r="AM431">
        <v>87.0666789399001</v>
      </c>
      <c r="AN431">
        <v>1.0000000145090899</v>
      </c>
    </row>
    <row r="432" spans="1:40" x14ac:dyDescent="0.25">
      <c r="A432" t="str">
        <f>"20190312154809052"</f>
        <v>20190312154809052</v>
      </c>
      <c r="B432" t="str">
        <f>"1552376889046132"</f>
        <v>1552376889046132</v>
      </c>
      <c r="C432" t="s">
        <v>40</v>
      </c>
      <c r="D432">
        <v>5.1911360000000002</v>
      </c>
      <c r="E432">
        <v>0.55210329999999996</v>
      </c>
      <c r="F432" t="s">
        <v>41</v>
      </c>
      <c r="G432">
        <v>-358.32240000000002</v>
      </c>
      <c r="H432">
        <v>0.85577119999999995</v>
      </c>
      <c r="I432">
        <v>367.48149999999998</v>
      </c>
      <c r="J432">
        <v>-358.85890000000001</v>
      </c>
      <c r="K432">
        <v>1.1101179999999999</v>
      </c>
      <c r="L432">
        <v>367.61470000000003</v>
      </c>
      <c r="M432">
        <v>0.99989490000000003</v>
      </c>
      <c r="N432">
        <v>0</v>
      </c>
      <c r="O432">
        <v>3.0389269999999999E-3</v>
      </c>
      <c r="P432">
        <v>0.99715909999999996</v>
      </c>
      <c r="Q432">
        <v>5.8357840000000001E-2</v>
      </c>
      <c r="R432">
        <v>-4.7626389999999998E-2</v>
      </c>
      <c r="S432">
        <v>3.0413209999999999</v>
      </c>
      <c r="T432">
        <v>-0.98143670000000005</v>
      </c>
      <c r="U432">
        <v>-0.50958249999999905</v>
      </c>
      <c r="V432">
        <v>5.0678569999999999E-2</v>
      </c>
      <c r="W432">
        <v>7.2485069999999999E-2</v>
      </c>
      <c r="X432">
        <v>0.99608110000000005</v>
      </c>
      <c r="Y432">
        <v>0.16017819999999999</v>
      </c>
      <c r="Z432">
        <v>-2.5993160000000001E-2</v>
      </c>
      <c r="AA432">
        <v>0.98674580000000001</v>
      </c>
      <c r="AB432">
        <v>29</v>
      </c>
      <c r="AC432">
        <v>0.53649999999998899</v>
      </c>
      <c r="AD432">
        <v>-0.25434679999999998</v>
      </c>
      <c r="AE432">
        <v>-0.13320000000004401</v>
      </c>
      <c r="AF432">
        <v>0.111272708537431</v>
      </c>
      <c r="AG432">
        <v>-0.25434679999999998</v>
      </c>
      <c r="AH432">
        <v>0.44242761999583502</v>
      </c>
      <c r="AI432">
        <v>119.140817972758</v>
      </c>
      <c r="AJ432">
        <v>75.882633622563105</v>
      </c>
      <c r="AK432">
        <v>0.52231801545674805</v>
      </c>
      <c r="AL432">
        <v>85.843265923371504</v>
      </c>
      <c r="AM432">
        <v>87.087419276442105</v>
      </c>
      <c r="AN432">
        <v>0.99999998030367898</v>
      </c>
    </row>
    <row r="433" spans="1:40" x14ac:dyDescent="0.25">
      <c r="A433" t="str">
        <f>"20190312154809065"</f>
        <v>20190312154809065</v>
      </c>
      <c r="B433" t="str">
        <f>"1552376889056865"</f>
        <v>1552376889056865</v>
      </c>
      <c r="C433" t="s">
        <v>40</v>
      </c>
      <c r="D433">
        <v>5.1619380000000001</v>
      </c>
      <c r="E433">
        <v>0.55214739999999995</v>
      </c>
      <c r="F433" t="s">
        <v>41</v>
      </c>
      <c r="G433">
        <v>-358.06319999999999</v>
      </c>
      <c r="H433">
        <v>0.85313510000000004</v>
      </c>
      <c r="I433">
        <v>367.48149999999998</v>
      </c>
      <c r="J433">
        <v>-358.70359999999999</v>
      </c>
      <c r="K433">
        <v>1.11012</v>
      </c>
      <c r="L433">
        <v>367.61509999999998</v>
      </c>
      <c r="M433">
        <v>0.99989490000000003</v>
      </c>
      <c r="N433">
        <v>0</v>
      </c>
      <c r="O433">
        <v>2.9678970000000002E-3</v>
      </c>
      <c r="P433">
        <v>0.99718039999999997</v>
      </c>
      <c r="Q433">
        <v>5.8083259999999998E-2</v>
      </c>
      <c r="R433">
        <v>-4.7517320000000002E-2</v>
      </c>
      <c r="S433">
        <v>3.0417480000000001</v>
      </c>
      <c r="T433">
        <v>-0.98231460000000004</v>
      </c>
      <c r="U433">
        <v>-0.50897219999999999</v>
      </c>
      <c r="V433">
        <v>5.0498399999999999E-2</v>
      </c>
      <c r="W433">
        <v>7.2209700000000002E-2</v>
      </c>
      <c r="X433">
        <v>0.9961103</v>
      </c>
      <c r="Y433">
        <v>0.15989809999999999</v>
      </c>
      <c r="Z433">
        <v>-2.5946219999999999E-2</v>
      </c>
      <c r="AA433">
        <v>0.98679249999999996</v>
      </c>
      <c r="AB433">
        <v>29</v>
      </c>
      <c r="AC433">
        <v>0.64039999999999897</v>
      </c>
      <c r="AD433">
        <v>-0.25698490000000002</v>
      </c>
      <c r="AE433">
        <v>-0.133600000000001</v>
      </c>
      <c r="AF433">
        <v>0.11738574765575301</v>
      </c>
      <c r="AG433">
        <v>-0.25698490000000002</v>
      </c>
      <c r="AH433">
        <v>0.55444145289146396</v>
      </c>
      <c r="AI433">
        <v>114.391952979135</v>
      </c>
      <c r="AJ433">
        <v>78.045926322983703</v>
      </c>
      <c r="AK433">
        <v>0.62227484061715599</v>
      </c>
      <c r="AL433">
        <v>85.859085120252999</v>
      </c>
      <c r="AM433">
        <v>87.0978411391051</v>
      </c>
      <c r="AN433">
        <v>1.00000002947136</v>
      </c>
    </row>
    <row r="434" spans="1:40" x14ac:dyDescent="0.25">
      <c r="A434" t="str">
        <f>"20190312154809077"</f>
        <v>20190312154809077</v>
      </c>
      <c r="B434" t="str">
        <f>"1552376889066625"</f>
        <v>1552376889066625</v>
      </c>
      <c r="C434" t="s">
        <v>40</v>
      </c>
      <c r="D434">
        <v>5.1592539999999998</v>
      </c>
      <c r="E434">
        <v>0.55217700000000003</v>
      </c>
      <c r="F434" t="s">
        <v>41</v>
      </c>
      <c r="G434">
        <v>-357.8152</v>
      </c>
      <c r="H434">
        <v>0.82289509999999899</v>
      </c>
      <c r="I434">
        <v>367.46589999999998</v>
      </c>
      <c r="J434">
        <v>-358.5471</v>
      </c>
      <c r="K434">
        <v>1.1101190000000001</v>
      </c>
      <c r="L434">
        <v>367.6155</v>
      </c>
      <c r="M434">
        <v>0.99989530000000004</v>
      </c>
      <c r="N434">
        <v>0</v>
      </c>
      <c r="O434">
        <v>2.8962110000000001E-3</v>
      </c>
      <c r="P434">
        <v>0.99717979999999995</v>
      </c>
      <c r="Q434">
        <v>5.8153040000000003E-2</v>
      </c>
      <c r="R434">
        <v>-4.7442699999999997E-2</v>
      </c>
      <c r="S434">
        <v>3.0415040000000002</v>
      </c>
      <c r="T434">
        <v>-0.98328700000000002</v>
      </c>
      <c r="U434">
        <v>-0.50946040000000004</v>
      </c>
      <c r="V434">
        <v>5.0352389999999997E-2</v>
      </c>
      <c r="W434">
        <v>7.2277720000000004E-2</v>
      </c>
      <c r="X434">
        <v>0.99611269999999996</v>
      </c>
      <c r="Y434">
        <v>0.15997749999999999</v>
      </c>
      <c r="Z434">
        <v>-2.5962300000000001E-2</v>
      </c>
      <c r="AA434">
        <v>0.98677919999999997</v>
      </c>
      <c r="AB434">
        <v>29</v>
      </c>
      <c r="AC434">
        <v>0.731899999999996</v>
      </c>
      <c r="AD434">
        <v>-0.28722389999999998</v>
      </c>
      <c r="AE434">
        <v>-0.14960000000001999</v>
      </c>
      <c r="AF434">
        <v>0.13217928502701701</v>
      </c>
      <c r="AG434">
        <v>-0.28722389999999998</v>
      </c>
      <c r="AH434">
        <v>0.63725790428595896</v>
      </c>
      <c r="AI434">
        <v>113.813064831909</v>
      </c>
      <c r="AJ434">
        <v>78.281938159607705</v>
      </c>
      <c r="AK434">
        <v>0.71138355947856702</v>
      </c>
      <c r="AL434">
        <v>85.8551774107477</v>
      </c>
      <c r="AM434">
        <v>87.106225056600707</v>
      </c>
      <c r="AN434">
        <v>0.99999997154419895</v>
      </c>
    </row>
    <row r="435" spans="1:40" x14ac:dyDescent="0.25">
      <c r="A435" t="str">
        <f>"20190312154809089"</f>
        <v>20190312154809089</v>
      </c>
      <c r="B435" t="str">
        <f>"1552376889086145"</f>
        <v>1552376889086145</v>
      </c>
      <c r="C435" t="s">
        <v>40</v>
      </c>
      <c r="D435">
        <v>5.1367240000000001</v>
      </c>
      <c r="E435">
        <v>0.55214909999999995</v>
      </c>
      <c r="F435" t="s">
        <v>41</v>
      </c>
      <c r="G435">
        <v>-357.79739999999998</v>
      </c>
      <c r="H435">
        <v>0.86765249999999905</v>
      </c>
      <c r="I435">
        <v>367.48950000000002</v>
      </c>
      <c r="J435">
        <v>-358.39609999999999</v>
      </c>
      <c r="K435">
        <v>1.110115</v>
      </c>
      <c r="L435">
        <v>367.61590000000001</v>
      </c>
      <c r="M435">
        <v>0.99989550000000005</v>
      </c>
      <c r="N435">
        <v>0</v>
      </c>
      <c r="O435">
        <v>2.8272050000000002E-3</v>
      </c>
      <c r="P435">
        <v>0.9971913</v>
      </c>
      <c r="Q435">
        <v>5.7912390000000001E-2</v>
      </c>
      <c r="R435">
        <v>-4.749482E-2</v>
      </c>
      <c r="S435">
        <v>3.0416560000000001</v>
      </c>
      <c r="T435">
        <v>-0.98367729999999998</v>
      </c>
      <c r="U435">
        <v>-0.50949100000000003</v>
      </c>
      <c r="V435">
        <v>5.0335680000000001E-2</v>
      </c>
      <c r="W435">
        <v>7.2035639999999998E-2</v>
      </c>
      <c r="X435">
        <v>0.99613110000000005</v>
      </c>
      <c r="Y435">
        <v>0.1599122</v>
      </c>
      <c r="Z435">
        <v>-2.593902E-2</v>
      </c>
      <c r="AA435">
        <v>0.98679039999999996</v>
      </c>
      <c r="AB435">
        <v>29</v>
      </c>
      <c r="AC435">
        <v>0.598700000000007</v>
      </c>
      <c r="AD435">
        <v>-0.2424625</v>
      </c>
      <c r="AE435">
        <v>-0.12639999999998899</v>
      </c>
      <c r="AF435">
        <v>0.110709620101636</v>
      </c>
      <c r="AG435">
        <v>-0.2424625</v>
      </c>
      <c r="AH435">
        <v>0.51714280338498297</v>
      </c>
      <c r="AI435">
        <v>114.629666912056</v>
      </c>
      <c r="AJ435">
        <v>77.916545472252196</v>
      </c>
      <c r="AK435">
        <v>0.58179151161062703</v>
      </c>
      <c r="AL435">
        <v>85.869083904740094</v>
      </c>
      <c r="AM435">
        <v>87.1072371002941</v>
      </c>
      <c r="AN435">
        <v>0.99999999124924099</v>
      </c>
    </row>
    <row r="436" spans="1:40" x14ac:dyDescent="0.25">
      <c r="A436" t="str">
        <f>"20190312154809100"</f>
        <v>20190312154809100</v>
      </c>
      <c r="B436" t="str">
        <f>"1552376889096882"</f>
        <v>1552376889096882</v>
      </c>
      <c r="C436" t="s">
        <v>40</v>
      </c>
      <c r="D436">
        <v>5.2008650000000003</v>
      </c>
      <c r="E436">
        <v>0.55205780000000004</v>
      </c>
      <c r="F436" t="s">
        <v>41</v>
      </c>
      <c r="G436">
        <v>-357.55040000000002</v>
      </c>
      <c r="H436">
        <v>0.8362581</v>
      </c>
      <c r="I436">
        <v>367.47390000000001</v>
      </c>
      <c r="J436">
        <v>-358.23700000000002</v>
      </c>
      <c r="K436">
        <v>1.1101129999999999</v>
      </c>
      <c r="L436">
        <v>367.61619999999999</v>
      </c>
      <c r="M436">
        <v>0.9998956</v>
      </c>
      <c r="N436">
        <v>0</v>
      </c>
      <c r="O436">
        <v>2.754505E-3</v>
      </c>
      <c r="P436">
        <v>0.99720620000000004</v>
      </c>
      <c r="Q436">
        <v>5.7735719999999997E-2</v>
      </c>
      <c r="R436">
        <v>-4.7395970000000003E-2</v>
      </c>
      <c r="S436">
        <v>3.041382</v>
      </c>
      <c r="T436">
        <v>-0.98477130000000002</v>
      </c>
      <c r="U436">
        <v>-0.50961299999999998</v>
      </c>
      <c r="V436">
        <v>5.016437E-2</v>
      </c>
      <c r="W436">
        <v>7.1857770000000001E-2</v>
      </c>
      <c r="X436">
        <v>0.99615260000000005</v>
      </c>
      <c r="Y436">
        <v>0.15987999999999999</v>
      </c>
      <c r="Z436">
        <v>-2.5940749999999999E-2</v>
      </c>
      <c r="AA436">
        <v>0.98679550000000005</v>
      </c>
      <c r="AB436">
        <v>29</v>
      </c>
      <c r="AC436">
        <v>0.68659999999994104</v>
      </c>
      <c r="AD436">
        <v>-0.27385489999999901</v>
      </c>
      <c r="AE436">
        <v>-0.142299999999977</v>
      </c>
      <c r="AF436">
        <v>0.125107649503652</v>
      </c>
      <c r="AG436">
        <v>-0.27385489999999901</v>
      </c>
      <c r="AH436">
        <v>0.59538810847303603</v>
      </c>
      <c r="AI436">
        <v>114.23394797658401</v>
      </c>
      <c r="AJ436">
        <v>78.133202764828496</v>
      </c>
      <c r="AK436">
        <v>0.66718470450800804</v>
      </c>
      <c r="AL436">
        <v>85.879301632196601</v>
      </c>
      <c r="AM436">
        <v>87.117127669206198</v>
      </c>
      <c r="AN436">
        <v>1.0000000028068099</v>
      </c>
    </row>
    <row r="437" spans="1:40" x14ac:dyDescent="0.25">
      <c r="A437" t="str">
        <f>"20190312154809113"</f>
        <v>20190312154809113</v>
      </c>
      <c r="B437" t="str">
        <f>"1552376889106641"</f>
        <v>1552376889106641</v>
      </c>
      <c r="C437" t="s">
        <v>40</v>
      </c>
      <c r="D437">
        <v>5.1776530000000003</v>
      </c>
      <c r="E437">
        <v>0.5519693</v>
      </c>
      <c r="F437" t="s">
        <v>41</v>
      </c>
      <c r="G437">
        <v>-357.53219999999999</v>
      </c>
      <c r="H437">
        <v>0.88147509999999996</v>
      </c>
      <c r="I437">
        <v>367.4982</v>
      </c>
      <c r="J437">
        <v>-358.07479999999998</v>
      </c>
      <c r="K437">
        <v>1.1101129999999999</v>
      </c>
      <c r="L437">
        <v>367.61660000000001</v>
      </c>
      <c r="M437">
        <v>0.99989589999999995</v>
      </c>
      <c r="N437">
        <v>0</v>
      </c>
      <c r="O437">
        <v>2.6800779999999998E-3</v>
      </c>
      <c r="P437">
        <v>0.99721400000000004</v>
      </c>
      <c r="Q437">
        <v>5.7457870000000001E-2</v>
      </c>
      <c r="R437">
        <v>-4.7568630000000001E-2</v>
      </c>
      <c r="S437">
        <v>3.0413510000000001</v>
      </c>
      <c r="T437">
        <v>-0.98655440000000005</v>
      </c>
      <c r="U437">
        <v>-0.5083008</v>
      </c>
      <c r="V437">
        <v>5.0262609999999999E-2</v>
      </c>
      <c r="W437">
        <v>7.1578580000000003E-2</v>
      </c>
      <c r="X437">
        <v>0.99616769999999999</v>
      </c>
      <c r="Y437">
        <v>0.1593926</v>
      </c>
      <c r="Z437">
        <v>-2.5886599999999999E-2</v>
      </c>
      <c r="AA437">
        <v>0.98687579999999997</v>
      </c>
      <c r="AB437">
        <v>29</v>
      </c>
      <c r="AC437">
        <v>0.54259999999999298</v>
      </c>
      <c r="AD437">
        <v>-0.22863789999999901</v>
      </c>
      <c r="AE437">
        <v>-0.118400000000008</v>
      </c>
      <c r="AF437">
        <v>0.10248423507712</v>
      </c>
      <c r="AG437">
        <v>-0.22863789999999901</v>
      </c>
      <c r="AH437">
        <v>0.463691277852887</v>
      </c>
      <c r="AI437">
        <v>115.709087959857</v>
      </c>
      <c r="AJ437">
        <v>77.536945280697097</v>
      </c>
      <c r="AK437">
        <v>0.52705588784548796</v>
      </c>
      <c r="AL437">
        <v>85.895339141619701</v>
      </c>
      <c r="AM437">
        <v>87.111535223269101</v>
      </c>
      <c r="AN437">
        <v>0.99999995480105797</v>
      </c>
    </row>
    <row r="438" spans="1:40" x14ac:dyDescent="0.25">
      <c r="A438" t="str">
        <f>"20190312154809131"</f>
        <v>20190312154809131</v>
      </c>
      <c r="B438" t="str">
        <f>"1552376889126161"</f>
        <v>1552376889126161</v>
      </c>
      <c r="C438" t="s">
        <v>40</v>
      </c>
      <c r="D438">
        <v>5.1599009999999996</v>
      </c>
      <c r="E438">
        <v>0.55154530000000002</v>
      </c>
      <c r="F438" t="s">
        <v>41</v>
      </c>
      <c r="G438">
        <v>-357.28410000000002</v>
      </c>
      <c r="H438">
        <v>0.8534853</v>
      </c>
      <c r="I438">
        <v>367.48430000000002</v>
      </c>
      <c r="J438">
        <v>-357.8476</v>
      </c>
      <c r="K438">
        <v>1.110106</v>
      </c>
      <c r="L438">
        <v>367.61709999999999</v>
      </c>
      <c r="M438">
        <v>0.99989620000000001</v>
      </c>
      <c r="N438">
        <v>0</v>
      </c>
      <c r="O438">
        <v>2.5760940000000001E-3</v>
      </c>
      <c r="P438">
        <v>0.99723360000000005</v>
      </c>
      <c r="Q438">
        <v>5.6987610000000001E-2</v>
      </c>
      <c r="R438">
        <v>-4.7725289999999997E-2</v>
      </c>
      <c r="S438">
        <v>3.0410159999999999</v>
      </c>
      <c r="T438">
        <v>-0.98700060000000001</v>
      </c>
      <c r="U438">
        <v>-0.50814820000000005</v>
      </c>
      <c r="V438">
        <v>5.0315499999999999E-2</v>
      </c>
      <c r="W438">
        <v>7.1106760000000005E-2</v>
      </c>
      <c r="X438">
        <v>0.9961989</v>
      </c>
      <c r="Y438">
        <v>0.1592624</v>
      </c>
      <c r="Z438">
        <v>-2.584736E-2</v>
      </c>
      <c r="AA438">
        <v>0.98689789999999999</v>
      </c>
      <c r="AB438">
        <v>29</v>
      </c>
      <c r="AC438">
        <v>0.56349999999997602</v>
      </c>
      <c r="AD438">
        <v>-0.25662069999999898</v>
      </c>
      <c r="AE438">
        <v>-0.13279999999997399</v>
      </c>
      <c r="AF438">
        <v>0.112205147164248</v>
      </c>
      <c r="AG438">
        <v>-0.25662069999999898</v>
      </c>
      <c r="AH438">
        <v>0.47067689252845002</v>
      </c>
      <c r="AI438">
        <v>117.93944040910399</v>
      </c>
      <c r="AJ438">
        <v>76.591465130572203</v>
      </c>
      <c r="AK438">
        <v>0.54770513588871705</v>
      </c>
      <c r="AL438">
        <v>85.922441824225501</v>
      </c>
      <c r="AM438">
        <v>87.108591329698697</v>
      </c>
      <c r="AN438">
        <v>1.0000000346095701</v>
      </c>
    </row>
    <row r="439" spans="1:40" x14ac:dyDescent="0.25">
      <c r="A439" t="str">
        <f>"20190312154809145"</f>
        <v>20190312154809145</v>
      </c>
      <c r="B439" t="str">
        <f>"1552376889136898"</f>
        <v>1552376889136898</v>
      </c>
      <c r="C439" t="s">
        <v>40</v>
      </c>
      <c r="D439">
        <v>5.1404940000000003</v>
      </c>
      <c r="E439">
        <v>0.55135829999999997</v>
      </c>
      <c r="F439" t="s">
        <v>41</v>
      </c>
      <c r="G439">
        <v>-357.02890000000002</v>
      </c>
      <c r="H439">
        <v>0.84416749999999996</v>
      </c>
      <c r="I439">
        <v>367.48099999999999</v>
      </c>
      <c r="J439">
        <v>-357.66759999999999</v>
      </c>
      <c r="K439">
        <v>1.110104</v>
      </c>
      <c r="L439">
        <v>367.61750000000001</v>
      </c>
      <c r="M439">
        <v>0.99989649999999997</v>
      </c>
      <c r="N439">
        <v>0</v>
      </c>
      <c r="O439">
        <v>2.4937399999999999E-3</v>
      </c>
      <c r="P439">
        <v>0.99722460000000002</v>
      </c>
      <c r="Q439">
        <v>5.6853519999999998E-2</v>
      </c>
      <c r="R439">
        <v>-4.8074770000000003E-2</v>
      </c>
      <c r="S439">
        <v>3.0405880000000001</v>
      </c>
      <c r="T439">
        <v>-0.98773160000000004</v>
      </c>
      <c r="U439">
        <v>-0.50537109999999996</v>
      </c>
      <c r="V439">
        <v>5.0582719999999998E-2</v>
      </c>
      <c r="W439">
        <v>7.0970729999999996E-2</v>
      </c>
      <c r="X439">
        <v>0.99619500000000005</v>
      </c>
      <c r="Y439">
        <v>0.15836069999999999</v>
      </c>
      <c r="Z439">
        <v>-2.5702969999999999E-2</v>
      </c>
      <c r="AA439">
        <v>0.98704669999999906</v>
      </c>
      <c r="AB439">
        <v>29</v>
      </c>
      <c r="AC439">
        <v>0.63869999999997096</v>
      </c>
      <c r="AD439">
        <v>-0.26593649999999902</v>
      </c>
      <c r="AE439">
        <v>-0.136500000000012</v>
      </c>
      <c r="AF439">
        <v>0.118453714837082</v>
      </c>
      <c r="AG439">
        <v>-0.26593649999999902</v>
      </c>
      <c r="AH439">
        <v>0.54757379479830803</v>
      </c>
      <c r="AI439">
        <v>115.392923308595</v>
      </c>
      <c r="AJ439">
        <v>77.793595548007502</v>
      </c>
      <c r="AK439">
        <v>0.62015366268431804</v>
      </c>
      <c r="AL439">
        <v>85.930255234274597</v>
      </c>
      <c r="AM439">
        <v>87.093250286505906</v>
      </c>
      <c r="AN439">
        <v>0.99999996705216498</v>
      </c>
    </row>
    <row r="440" spans="1:40" x14ac:dyDescent="0.25">
      <c r="A440" t="str">
        <f>"20190312154809156"</f>
        <v>20190312154809156</v>
      </c>
      <c r="B440" t="str">
        <f>"1552376889146658"</f>
        <v>1552376889146658</v>
      </c>
      <c r="C440" t="s">
        <v>40</v>
      </c>
      <c r="D440">
        <v>5.1702019999999997</v>
      </c>
      <c r="E440">
        <v>0.55117179999999999</v>
      </c>
      <c r="F440" t="s">
        <v>41</v>
      </c>
      <c r="G440">
        <v>-356.77910000000003</v>
      </c>
      <c r="H440">
        <v>0.82138960000000005</v>
      </c>
      <c r="I440">
        <v>367.46949999999998</v>
      </c>
      <c r="J440">
        <v>-357.51639999999998</v>
      </c>
      <c r="K440">
        <v>1.1101080000000001</v>
      </c>
      <c r="L440">
        <v>367.61779999999999</v>
      </c>
      <c r="M440">
        <v>0.99989660000000002</v>
      </c>
      <c r="N440">
        <v>0</v>
      </c>
      <c r="O440">
        <v>2.4244359999999999E-3</v>
      </c>
      <c r="P440">
        <v>0.99721749999999998</v>
      </c>
      <c r="Q440">
        <v>5.6972179999999997E-2</v>
      </c>
      <c r="R440">
        <v>-4.8079030000000002E-2</v>
      </c>
      <c r="S440">
        <v>3.0403440000000002</v>
      </c>
      <c r="T440">
        <v>-0.9879192</v>
      </c>
      <c r="U440">
        <v>-0.50476069999999995</v>
      </c>
      <c r="V440">
        <v>5.0517800000000002E-2</v>
      </c>
      <c r="W440">
        <v>7.1087259999999999E-2</v>
      </c>
      <c r="X440">
        <v>0.99619000000000002</v>
      </c>
      <c r="Y440">
        <v>0.15812319999999999</v>
      </c>
      <c r="Z440">
        <v>-2.565075E-2</v>
      </c>
      <c r="AA440">
        <v>0.98708620000000002</v>
      </c>
      <c r="AB440">
        <v>29</v>
      </c>
      <c r="AC440">
        <v>0.737299999999947</v>
      </c>
      <c r="AD440">
        <v>-0.28871839999999999</v>
      </c>
      <c r="AE440">
        <v>-0.14830000000000601</v>
      </c>
      <c r="AF440">
        <v>0.130808781456448</v>
      </c>
      <c r="AG440">
        <v>-0.28871839999999999</v>
      </c>
      <c r="AH440">
        <v>0.64227957649246203</v>
      </c>
      <c r="AI440">
        <v>113.772480561482</v>
      </c>
      <c r="AJ440">
        <v>78.488391272216703</v>
      </c>
      <c r="AK440">
        <v>0.716234812183838</v>
      </c>
      <c r="AL440">
        <v>85.923561709039404</v>
      </c>
      <c r="AM440">
        <v>87.096960000544399</v>
      </c>
      <c r="AN440">
        <v>0.999999981375573</v>
      </c>
    </row>
    <row r="441" spans="1:40" x14ac:dyDescent="0.25">
      <c r="A441" t="str">
        <f>"20190312154809169"</f>
        <v>20190312154809169</v>
      </c>
      <c r="B441" t="str">
        <f>"1552376889156418"</f>
        <v>1552376889156418</v>
      </c>
      <c r="C441" t="s">
        <v>40</v>
      </c>
      <c r="D441">
        <v>5.1866149999999998</v>
      </c>
      <c r="E441">
        <v>0.55117629999999995</v>
      </c>
      <c r="F441" t="s">
        <v>41</v>
      </c>
      <c r="G441">
        <v>-356.76170000000002</v>
      </c>
      <c r="H441">
        <v>0.86504409999999898</v>
      </c>
      <c r="I441">
        <v>367.49239999999998</v>
      </c>
      <c r="J441">
        <v>-357.36149999999998</v>
      </c>
      <c r="K441">
        <v>1.110109</v>
      </c>
      <c r="L441">
        <v>367.61810000000003</v>
      </c>
      <c r="M441">
        <v>0.99989689999999998</v>
      </c>
      <c r="N441">
        <v>0</v>
      </c>
      <c r="O441">
        <v>2.3532269999999998E-3</v>
      </c>
      <c r="P441">
        <v>0.99721570000000004</v>
      </c>
      <c r="Q441">
        <v>5.6827219999999998E-2</v>
      </c>
      <c r="R441">
        <v>-4.829E-2</v>
      </c>
      <c r="S441">
        <v>3.040527</v>
      </c>
      <c r="T441">
        <v>-0.98731899999999995</v>
      </c>
      <c r="U441">
        <v>-0.50353999999999999</v>
      </c>
      <c r="V441">
        <v>5.0657729999999998E-2</v>
      </c>
      <c r="W441">
        <v>7.094077E-2</v>
      </c>
      <c r="X441">
        <v>0.99619329999999995</v>
      </c>
      <c r="Y441">
        <v>0.15769259999999999</v>
      </c>
      <c r="Z441">
        <v>-2.5545109999999999E-2</v>
      </c>
      <c r="AA441">
        <v>0.98715779999999997</v>
      </c>
      <c r="AB441">
        <v>29</v>
      </c>
      <c r="AC441">
        <v>0.59979999999995903</v>
      </c>
      <c r="AD441">
        <v>-0.2450649</v>
      </c>
      <c r="AE441">
        <v>-0.12570000000005099</v>
      </c>
      <c r="AF441">
        <v>0.10958694240604699</v>
      </c>
      <c r="AG441">
        <v>-0.2450649</v>
      </c>
      <c r="AH441">
        <v>0.51685151546278296</v>
      </c>
      <c r="AI441">
        <v>114.88366341215</v>
      </c>
      <c r="AJ441">
        <v>78.028983735568303</v>
      </c>
      <c r="AK441">
        <v>0.58241015804507701</v>
      </c>
      <c r="AL441">
        <v>85.931976062486498</v>
      </c>
      <c r="AM441">
        <v>87.0889422660929</v>
      </c>
      <c r="AN441">
        <v>0.99999994471091602</v>
      </c>
    </row>
    <row r="442" spans="1:40" x14ac:dyDescent="0.25">
      <c r="A442" t="str">
        <f>"20190312154809188"</f>
        <v>20190312154809188</v>
      </c>
      <c r="B442" t="str">
        <f>"1552376889176914"</f>
        <v>1552376889176914</v>
      </c>
      <c r="C442" t="s">
        <v>40</v>
      </c>
      <c r="D442">
        <v>5.1495410000000001</v>
      </c>
      <c r="E442">
        <v>0.55115380000000003</v>
      </c>
      <c r="F442" t="s">
        <v>41</v>
      </c>
      <c r="G442">
        <v>-356.51519999999999</v>
      </c>
      <c r="H442">
        <v>0.83538440000000003</v>
      </c>
      <c r="I442">
        <v>367.47770000000003</v>
      </c>
      <c r="J442">
        <v>-357.1096</v>
      </c>
      <c r="K442">
        <v>1.1101110000000001</v>
      </c>
      <c r="L442">
        <v>367.61860000000001</v>
      </c>
      <c r="M442">
        <v>0.99989709999999998</v>
      </c>
      <c r="N442">
        <v>0</v>
      </c>
      <c r="O442">
        <v>2.2375670000000002E-3</v>
      </c>
      <c r="P442">
        <v>0.99720629999999999</v>
      </c>
      <c r="Q442">
        <v>5.695099E-2</v>
      </c>
      <c r="R442">
        <v>-4.8339680000000003E-2</v>
      </c>
      <c r="S442">
        <v>3.0401609999999999</v>
      </c>
      <c r="T442">
        <v>-0.98693410000000004</v>
      </c>
      <c r="U442">
        <v>-0.50424190000000002</v>
      </c>
      <c r="V442">
        <v>5.0591829999999997E-2</v>
      </c>
      <c r="W442">
        <v>7.1062529999999999E-2</v>
      </c>
      <c r="X442">
        <v>0.99618799999999996</v>
      </c>
      <c r="Y442">
        <v>0.1578234</v>
      </c>
      <c r="Z442">
        <v>-2.5522260000000001E-2</v>
      </c>
      <c r="AA442">
        <v>0.9871375</v>
      </c>
      <c r="AB442">
        <v>29</v>
      </c>
      <c r="AC442">
        <v>0.59440000000000703</v>
      </c>
      <c r="AD442">
        <v>-0.27472659999999899</v>
      </c>
      <c r="AE442">
        <v>-0.14089999999998701</v>
      </c>
      <c r="AF442">
        <v>0.118302413668869</v>
      </c>
      <c r="AG442">
        <v>-0.27472659999999899</v>
      </c>
      <c r="AH442">
        <v>0.49414034154704001</v>
      </c>
      <c r="AI442">
        <v>118.399611322729</v>
      </c>
      <c r="AJ442">
        <v>76.536204310197903</v>
      </c>
      <c r="AK442">
        <v>0.57761998145118298</v>
      </c>
      <c r="AL442">
        <v>85.9249821956452</v>
      </c>
      <c r="AM442">
        <v>87.092707282194695</v>
      </c>
      <c r="AN442">
        <v>0.99999997388837403</v>
      </c>
    </row>
    <row r="443" spans="1:40" x14ac:dyDescent="0.25">
      <c r="A443" t="str">
        <f>"20190312154809203"</f>
        <v>20190312154809203</v>
      </c>
      <c r="B443" t="str">
        <f>"1552376889196433"</f>
        <v>1552376889196433</v>
      </c>
      <c r="C443" t="s">
        <v>40</v>
      </c>
      <c r="D443">
        <v>5.1478760000000001</v>
      </c>
      <c r="E443">
        <v>0.55101449999999996</v>
      </c>
      <c r="F443" t="s">
        <v>41</v>
      </c>
      <c r="G443">
        <v>-356.25749999999999</v>
      </c>
      <c r="H443">
        <v>0.83427569999999995</v>
      </c>
      <c r="I443">
        <v>367.4769</v>
      </c>
      <c r="J443">
        <v>-356.91980000000001</v>
      </c>
      <c r="K443">
        <v>1.110109</v>
      </c>
      <c r="L443">
        <v>367.61900000000003</v>
      </c>
      <c r="M443">
        <v>0.99989740000000005</v>
      </c>
      <c r="N443">
        <v>0</v>
      </c>
      <c r="O443">
        <v>2.150505E-3</v>
      </c>
      <c r="P443">
        <v>0.99720129999999996</v>
      </c>
      <c r="Q443">
        <v>5.7132599999999999E-2</v>
      </c>
      <c r="R443">
        <v>-4.8224910000000003E-2</v>
      </c>
      <c r="S443">
        <v>3.0401310000000001</v>
      </c>
      <c r="T443">
        <v>-0.98407020000000001</v>
      </c>
      <c r="U443">
        <v>-0.50482179999999999</v>
      </c>
      <c r="V443">
        <v>5.0390440000000002E-2</v>
      </c>
      <c r="W443">
        <v>7.1241830000000006E-2</v>
      </c>
      <c r="X443">
        <v>0.9961854</v>
      </c>
      <c r="Y443">
        <v>0.1579651</v>
      </c>
      <c r="Z443">
        <v>-2.5446529999999998E-2</v>
      </c>
      <c r="AA443">
        <v>0.98711680000000002</v>
      </c>
      <c r="AB443">
        <v>29</v>
      </c>
      <c r="AC443">
        <v>0.66230000000001599</v>
      </c>
      <c r="AD443">
        <v>-0.2758333</v>
      </c>
      <c r="AE443">
        <v>-0.14210000000002701</v>
      </c>
      <c r="AF443">
        <v>0.123109947154701</v>
      </c>
      <c r="AG443">
        <v>-0.2758333</v>
      </c>
      <c r="AH443">
        <v>0.56783431130502005</v>
      </c>
      <c r="AI443">
        <v>115.395300854981</v>
      </c>
      <c r="AJ443">
        <v>77.767246372464598</v>
      </c>
      <c r="AK443">
        <v>0.64317639382409697</v>
      </c>
      <c r="AL443">
        <v>85.914682954666006</v>
      </c>
      <c r="AM443">
        <v>87.104253009281507</v>
      </c>
      <c r="AN443">
        <v>0.99999997297915</v>
      </c>
    </row>
    <row r="444" spans="1:40" x14ac:dyDescent="0.25">
      <c r="A444" t="str">
        <f>"20190312154809220"</f>
        <v>20190312154809220</v>
      </c>
      <c r="B444" t="str">
        <f>"1552376889216929"</f>
        <v>1552376889216929</v>
      </c>
      <c r="C444" t="s">
        <v>40</v>
      </c>
      <c r="D444">
        <v>5.1049030000000002</v>
      </c>
      <c r="E444">
        <v>0.55085830000000002</v>
      </c>
      <c r="F444" t="s">
        <v>41</v>
      </c>
      <c r="G444">
        <v>-356.23570000000001</v>
      </c>
      <c r="H444">
        <v>0.88866339999999999</v>
      </c>
      <c r="I444">
        <v>367.50540000000001</v>
      </c>
      <c r="J444">
        <v>-356.69069999999999</v>
      </c>
      <c r="K444">
        <v>1.110106</v>
      </c>
      <c r="L444">
        <v>367.61930000000001</v>
      </c>
      <c r="M444">
        <v>0.99989749999999999</v>
      </c>
      <c r="N444">
        <v>0</v>
      </c>
      <c r="O444">
        <v>2.0454470000000002E-3</v>
      </c>
      <c r="P444">
        <v>0.99723150000000005</v>
      </c>
      <c r="Q444">
        <v>5.7045270000000002E-2</v>
      </c>
      <c r="R444">
        <v>-4.7700220000000002E-2</v>
      </c>
      <c r="S444">
        <v>3.0404659999999999</v>
      </c>
      <c r="T444">
        <v>-0.98407100000000003</v>
      </c>
      <c r="U444">
        <v>-0.50402829999999998</v>
      </c>
      <c r="V444">
        <v>4.976096E-2</v>
      </c>
      <c r="W444">
        <v>7.1153380000000002E-2</v>
      </c>
      <c r="X444">
        <v>0.99622339999999998</v>
      </c>
      <c r="Y444">
        <v>0.15761700000000001</v>
      </c>
      <c r="Z444">
        <v>-2.535687E-2</v>
      </c>
      <c r="AA444">
        <v>0.98717469999999996</v>
      </c>
      <c r="AB444">
        <v>29</v>
      </c>
      <c r="AC444">
        <v>0.45499999999998397</v>
      </c>
      <c r="AD444">
        <v>-0.22144259999999999</v>
      </c>
      <c r="AE444">
        <v>-0.1139</v>
      </c>
      <c r="AF444">
        <v>9.39004535954297E-2</v>
      </c>
      <c r="AG444">
        <v>-0.22144259999999999</v>
      </c>
      <c r="AH444">
        <v>0.371876163011856</v>
      </c>
      <c r="AI444">
        <v>120.000109577776</v>
      </c>
      <c r="AJ444">
        <v>75.828772963512606</v>
      </c>
      <c r="AK444">
        <v>0.44288373293293098</v>
      </c>
      <c r="AL444">
        <v>85.919763810110197</v>
      </c>
      <c r="AM444">
        <v>87.140475306691499</v>
      </c>
      <c r="AN444">
        <v>1.00000000966655</v>
      </c>
    </row>
    <row r="445" spans="1:40" x14ac:dyDescent="0.25">
      <c r="A445" t="str">
        <f>"20190312154809244"</f>
        <v>20190312154809244</v>
      </c>
      <c r="B445" t="str">
        <f>"1552376889236449"</f>
        <v>1552376889236449</v>
      </c>
      <c r="C445" t="s">
        <v>40</v>
      </c>
      <c r="D445">
        <v>5.1574960000000001</v>
      </c>
      <c r="E445">
        <v>0.55080299999999904</v>
      </c>
      <c r="F445" t="s">
        <v>41</v>
      </c>
      <c r="G445">
        <v>-355.98129999999998</v>
      </c>
      <c r="H445">
        <v>0.88007809999999898</v>
      </c>
      <c r="I445">
        <v>367.50220000000002</v>
      </c>
      <c r="J445">
        <v>-356.39429999999999</v>
      </c>
      <c r="K445">
        <v>1.110109</v>
      </c>
      <c r="L445">
        <v>367.6198</v>
      </c>
      <c r="M445">
        <v>0.99989779999999995</v>
      </c>
      <c r="N445">
        <v>0</v>
      </c>
      <c r="O445">
        <v>1.9095799999999999E-3</v>
      </c>
      <c r="P445">
        <v>0.99726680000000001</v>
      </c>
      <c r="Q445">
        <v>5.7228790000000002E-2</v>
      </c>
      <c r="R445">
        <v>-4.6731380000000003E-2</v>
      </c>
      <c r="S445">
        <v>3.0407709999999999</v>
      </c>
      <c r="T445">
        <v>-0.9860198</v>
      </c>
      <c r="U445">
        <v>-0.50097659999999999</v>
      </c>
      <c r="V445">
        <v>4.865684E-2</v>
      </c>
      <c r="W445">
        <v>7.1334590000000003E-2</v>
      </c>
      <c r="X445">
        <v>0.99626499999999996</v>
      </c>
      <c r="Y445">
        <v>0.1565328</v>
      </c>
      <c r="Z445">
        <v>-2.5191169999999999E-2</v>
      </c>
      <c r="AA445">
        <v>0.98735150000000005</v>
      </c>
      <c r="AB445">
        <v>29</v>
      </c>
      <c r="AC445">
        <v>0.41300000000001003</v>
      </c>
      <c r="AD445">
        <v>-0.23003090000000001</v>
      </c>
      <c r="AE445">
        <v>-0.117599999999981</v>
      </c>
      <c r="AF445">
        <v>9.1991162815736105E-2</v>
      </c>
      <c r="AG445">
        <v>-0.23003090000000001</v>
      </c>
      <c r="AH445">
        <v>0.32073735139398202</v>
      </c>
      <c r="AI445">
        <v>124.582341948126</v>
      </c>
      <c r="AJ445">
        <v>73.996499473405706</v>
      </c>
      <c r="AK445">
        <v>0.40527649521065001</v>
      </c>
      <c r="AL445">
        <v>85.909354879316098</v>
      </c>
      <c r="AM445">
        <v>87.203938546737504</v>
      </c>
      <c r="AN445">
        <v>1.00000003101712</v>
      </c>
    </row>
    <row r="446" spans="1:40" x14ac:dyDescent="0.25">
      <c r="A446" t="str">
        <f>"20190312154809255"</f>
        <v>20190312154809255</v>
      </c>
      <c r="B446" t="str">
        <f>"1552376889246210"</f>
        <v>1552376889246210</v>
      </c>
      <c r="C446" t="s">
        <v>40</v>
      </c>
      <c r="D446">
        <v>5.1439949999999897</v>
      </c>
      <c r="E446">
        <v>0.5507263</v>
      </c>
      <c r="F446" t="s">
        <v>41</v>
      </c>
      <c r="G446">
        <v>-355.71910000000003</v>
      </c>
      <c r="H446">
        <v>0.89165869999999903</v>
      </c>
      <c r="I446">
        <v>367.50880000000001</v>
      </c>
      <c r="J446">
        <v>-356.24090000000001</v>
      </c>
      <c r="K446">
        <v>1.1101129999999999</v>
      </c>
      <c r="L446">
        <v>367.62</v>
      </c>
      <c r="M446">
        <v>0.99989810000000001</v>
      </c>
      <c r="N446">
        <v>0</v>
      </c>
      <c r="O446">
        <v>1.8392040000000001E-3</v>
      </c>
      <c r="P446">
        <v>0.99726170000000003</v>
      </c>
      <c r="Q446">
        <v>5.7585110000000002E-2</v>
      </c>
      <c r="R446">
        <v>-4.6400499999999997E-2</v>
      </c>
      <c r="S446">
        <v>3.0413510000000001</v>
      </c>
      <c r="T446">
        <v>-0.9840795</v>
      </c>
      <c r="U446">
        <v>-0.49795529999999999</v>
      </c>
      <c r="V446">
        <v>4.8255779999999998E-2</v>
      </c>
      <c r="W446">
        <v>7.1689399999999903E-2</v>
      </c>
      <c r="X446">
        <v>0.99625900000000001</v>
      </c>
      <c r="Y446">
        <v>0.15556159999999999</v>
      </c>
      <c r="Z446">
        <v>-2.4966990000000001E-2</v>
      </c>
      <c r="AA446">
        <v>0.98751060000000002</v>
      </c>
      <c r="AB446">
        <v>29</v>
      </c>
      <c r="AC446">
        <v>0.52179999999998405</v>
      </c>
      <c r="AD446">
        <v>-0.21845429999999899</v>
      </c>
      <c r="AE446">
        <v>-0.111199999999996</v>
      </c>
      <c r="AF446">
        <v>9.6055186292877001E-2</v>
      </c>
      <c r="AG446">
        <v>-0.21845429999999899</v>
      </c>
      <c r="AH446">
        <v>0.44670150559687499</v>
      </c>
      <c r="AI446">
        <v>115.55292651409501</v>
      </c>
      <c r="AJ446">
        <v>77.864359029476304</v>
      </c>
      <c r="AK446">
        <v>0.50644951881185996</v>
      </c>
      <c r="AL446">
        <v>85.888973425213706</v>
      </c>
      <c r="AM446">
        <v>87.226932630091795</v>
      </c>
      <c r="AN446">
        <v>0.99999999272838402</v>
      </c>
    </row>
    <row r="447" spans="1:40" x14ac:dyDescent="0.25">
      <c r="A447" t="str">
        <f>"20190312154809268"</f>
        <v>20190312154809268</v>
      </c>
      <c r="B447" t="str">
        <f>"1552376889256945"</f>
        <v>1552376889256945</v>
      </c>
      <c r="C447" t="s">
        <v>40</v>
      </c>
      <c r="D447">
        <v>5.148218</v>
      </c>
      <c r="E447">
        <v>0.55069389999999996</v>
      </c>
      <c r="F447" t="s">
        <v>41</v>
      </c>
      <c r="G447">
        <v>-355.47379999999998</v>
      </c>
      <c r="H447">
        <v>0.86248549999999902</v>
      </c>
      <c r="I447">
        <v>367.4948</v>
      </c>
      <c r="J447">
        <v>-356.07650000000001</v>
      </c>
      <c r="K447">
        <v>1.1101129999999999</v>
      </c>
      <c r="L447">
        <v>367.62020000000001</v>
      </c>
      <c r="M447">
        <v>0.99989810000000001</v>
      </c>
      <c r="N447">
        <v>0</v>
      </c>
      <c r="O447">
        <v>1.7639419999999999E-3</v>
      </c>
      <c r="P447">
        <v>0.99725319999999995</v>
      </c>
      <c r="Q447">
        <v>5.803055E-2</v>
      </c>
      <c r="R447">
        <v>-4.6025650000000001E-2</v>
      </c>
      <c r="S447">
        <v>3.0418090000000002</v>
      </c>
      <c r="T447">
        <v>-0.98190259999999996</v>
      </c>
      <c r="U447">
        <v>-0.4961853</v>
      </c>
      <c r="V447">
        <v>4.7805899999999998E-2</v>
      </c>
      <c r="W447">
        <v>7.2133610000000001E-2</v>
      </c>
      <c r="X447">
        <v>0.99624869999999999</v>
      </c>
      <c r="Y447">
        <v>0.154972</v>
      </c>
      <c r="Z447">
        <v>-2.4796149999999999E-2</v>
      </c>
      <c r="AA447">
        <v>0.98760769999999998</v>
      </c>
      <c r="AB447">
        <v>29</v>
      </c>
      <c r="AC447">
        <v>0.60270000000002699</v>
      </c>
      <c r="AD447">
        <v>-0.2476275</v>
      </c>
      <c r="AE447">
        <v>-0.125400000000013</v>
      </c>
      <c r="AF447">
        <v>0.10885055035508601</v>
      </c>
      <c r="AG447">
        <v>-0.2476275</v>
      </c>
      <c r="AH447">
        <v>0.51857084052936797</v>
      </c>
      <c r="AI447">
        <v>115.048316574311</v>
      </c>
      <c r="AJ447">
        <v>78.145440729068198</v>
      </c>
      <c r="AK447">
        <v>0.58487907956789698</v>
      </c>
      <c r="AL447">
        <v>85.863456310205194</v>
      </c>
      <c r="AM447">
        <v>87.252717288439598</v>
      </c>
      <c r="AN447">
        <v>1.0000000670090601</v>
      </c>
    </row>
    <row r="448" spans="1:40" x14ac:dyDescent="0.25">
      <c r="A448" t="str">
        <f>"20190312154809280"</f>
        <v>20190312154809280</v>
      </c>
      <c r="B448" t="str">
        <f>"1552376889276465"</f>
        <v>1552376889276465</v>
      </c>
      <c r="C448" t="s">
        <v>40</v>
      </c>
      <c r="D448">
        <v>5.0889129999999998</v>
      </c>
      <c r="E448">
        <v>0.55062829999999996</v>
      </c>
      <c r="F448" t="s">
        <v>41</v>
      </c>
      <c r="G448">
        <v>-355.22719999999998</v>
      </c>
      <c r="H448">
        <v>0.83667279999999999</v>
      </c>
      <c r="I448">
        <v>367.48169999999999</v>
      </c>
      <c r="J448">
        <v>-355.923</v>
      </c>
      <c r="K448">
        <v>1.110114</v>
      </c>
      <c r="L448">
        <v>367.62049999999999</v>
      </c>
      <c r="M448">
        <v>0.99989839999999997</v>
      </c>
      <c r="N448">
        <v>0</v>
      </c>
      <c r="O448">
        <v>1.693506E-3</v>
      </c>
      <c r="P448">
        <v>0.99723580000000001</v>
      </c>
      <c r="Q448">
        <v>5.8690640000000002E-2</v>
      </c>
      <c r="R448">
        <v>-4.5570470000000002E-2</v>
      </c>
      <c r="S448">
        <v>3.0424500000000001</v>
      </c>
      <c r="T448">
        <v>-0.97953279999999998</v>
      </c>
      <c r="U448">
        <v>-0.49496459999999998</v>
      </c>
      <c r="V448">
        <v>4.7280610000000001E-2</v>
      </c>
      <c r="W448">
        <v>7.2791809999999998E-2</v>
      </c>
      <c r="X448">
        <v>0.99622580000000005</v>
      </c>
      <c r="Y448">
        <v>0.15454699999999999</v>
      </c>
      <c r="Z448">
        <v>-2.4646649999999999E-2</v>
      </c>
      <c r="AA448">
        <v>0.98767799999999994</v>
      </c>
      <c r="AB448">
        <v>29</v>
      </c>
      <c r="AC448">
        <v>0.69580000000001896</v>
      </c>
      <c r="AD448">
        <v>-0.273441199999999</v>
      </c>
      <c r="AE448">
        <v>-0.138800000000003</v>
      </c>
      <c r="AF448">
        <v>0.12187609372416</v>
      </c>
      <c r="AG448">
        <v>-0.273441199999999</v>
      </c>
      <c r="AH448">
        <v>0.60561270886768903</v>
      </c>
      <c r="AI448">
        <v>113.875971973321</v>
      </c>
      <c r="AJ448">
        <v>78.621533949491706</v>
      </c>
      <c r="AK448">
        <v>0.67556689174423101</v>
      </c>
      <c r="AL448">
        <v>85.825644439838896</v>
      </c>
      <c r="AM448">
        <v>87.282796505829097</v>
      </c>
      <c r="AN448">
        <v>0.99999997413534303</v>
      </c>
    </row>
    <row r="449" spans="1:40" x14ac:dyDescent="0.25">
      <c r="A449" t="str">
        <f>"20190312154809292"</f>
        <v>20190312154809292</v>
      </c>
      <c r="B449" t="str">
        <f>"1552376889286225"</f>
        <v>1552376889286225</v>
      </c>
      <c r="C449" t="s">
        <v>40</v>
      </c>
      <c r="D449">
        <v>5.0914519999999897</v>
      </c>
      <c r="E449">
        <v>0.55059619999999998</v>
      </c>
      <c r="F449" t="s">
        <v>41</v>
      </c>
      <c r="G449">
        <v>-355.20929999999998</v>
      </c>
      <c r="H449">
        <v>0.88129789999999997</v>
      </c>
      <c r="I449">
        <v>367.50439999999998</v>
      </c>
      <c r="J449">
        <v>-355.77710000000002</v>
      </c>
      <c r="K449">
        <v>1.1101209999999999</v>
      </c>
      <c r="L449">
        <v>367.6207</v>
      </c>
      <c r="M449">
        <v>0.99989839999999997</v>
      </c>
      <c r="N449">
        <v>0</v>
      </c>
      <c r="O449">
        <v>1.6268249999999999E-3</v>
      </c>
      <c r="P449">
        <v>0.99721000000000004</v>
      </c>
      <c r="Q449">
        <v>5.9405890000000003E-2</v>
      </c>
      <c r="R449">
        <v>-4.520296E-2</v>
      </c>
      <c r="S449">
        <v>3.0432130000000002</v>
      </c>
      <c r="T449">
        <v>-0.97559119999999999</v>
      </c>
      <c r="U449">
        <v>-0.49319459999999998</v>
      </c>
      <c r="V449">
        <v>4.6846829999999999E-2</v>
      </c>
      <c r="W449">
        <v>7.3505630000000002E-2</v>
      </c>
      <c r="X449">
        <v>0.99619389999999997</v>
      </c>
      <c r="Y449">
        <v>0.15397659999999999</v>
      </c>
      <c r="Z449">
        <v>-2.4438020000000001E-2</v>
      </c>
      <c r="AA449">
        <v>0.98777219999999999</v>
      </c>
      <c r="AB449">
        <v>29</v>
      </c>
      <c r="AC449">
        <v>0.56780000000003295</v>
      </c>
      <c r="AD449">
        <v>-0.228823099999999</v>
      </c>
      <c r="AE449">
        <v>-0.116300000000023</v>
      </c>
      <c r="AF449">
        <v>0.101416007409486</v>
      </c>
      <c r="AG449">
        <v>-0.228823099999999</v>
      </c>
      <c r="AH449">
        <v>0.49106765582685102</v>
      </c>
      <c r="AI449">
        <v>114.52913536515</v>
      </c>
      <c r="AJ449">
        <v>78.331241543265804</v>
      </c>
      <c r="AK449">
        <v>0.55117389293377195</v>
      </c>
      <c r="AL449">
        <v>85.784635791053901</v>
      </c>
      <c r="AM449">
        <v>87.307602786124406</v>
      </c>
      <c r="AN449">
        <v>0.99999999475997703</v>
      </c>
    </row>
    <row r="450" spans="1:40" x14ac:dyDescent="0.25">
      <c r="A450" t="str">
        <f>"20190312154809303"</f>
        <v>20190312154809303</v>
      </c>
      <c r="B450" t="str">
        <f>"1552376889296961"</f>
        <v>1552376889296961</v>
      </c>
      <c r="C450" t="s">
        <v>40</v>
      </c>
      <c r="D450">
        <v>5.1996539999999998</v>
      </c>
      <c r="E450">
        <v>0.55059619999999998</v>
      </c>
      <c r="F450" t="s">
        <v>41</v>
      </c>
      <c r="G450">
        <v>-354.96510000000001</v>
      </c>
      <c r="H450">
        <v>0.85060949999999902</v>
      </c>
      <c r="I450">
        <v>367.48930000000001</v>
      </c>
      <c r="J450">
        <v>-355.61489999999998</v>
      </c>
      <c r="K450">
        <v>1.110123</v>
      </c>
      <c r="L450">
        <v>367.62090000000001</v>
      </c>
      <c r="M450">
        <v>0.99989870000000003</v>
      </c>
      <c r="N450">
        <v>0</v>
      </c>
      <c r="O450">
        <v>1.5523970000000001E-3</v>
      </c>
      <c r="P450">
        <v>0.99720850000000005</v>
      </c>
      <c r="Q450">
        <v>5.976563E-2</v>
      </c>
      <c r="R450">
        <v>-4.4765270000000003E-2</v>
      </c>
      <c r="S450">
        <v>3.0440670000000001</v>
      </c>
      <c r="T450">
        <v>-0.97289060000000005</v>
      </c>
      <c r="U450">
        <v>-0.49166870000000001</v>
      </c>
      <c r="V450">
        <v>4.633487E-2</v>
      </c>
      <c r="W450">
        <v>7.3863709999999999E-2</v>
      </c>
      <c r="X450">
        <v>0.99619139999999995</v>
      </c>
      <c r="Y450">
        <v>0.15345039999999999</v>
      </c>
      <c r="Z450">
        <v>-2.4263369999999999E-2</v>
      </c>
      <c r="AA450">
        <v>0.98785840000000003</v>
      </c>
      <c r="AB450">
        <v>29</v>
      </c>
      <c r="AC450">
        <v>0.64979999999996996</v>
      </c>
      <c r="AD450">
        <v>-0.25951350000000001</v>
      </c>
      <c r="AE450">
        <v>-0.131599999999991</v>
      </c>
      <c r="AF450">
        <v>0.114990366222638</v>
      </c>
      <c r="AG450">
        <v>-0.25951350000000001</v>
      </c>
      <c r="AH450">
        <v>0.56329004975633001</v>
      </c>
      <c r="AI450">
        <v>114.294443029127</v>
      </c>
      <c r="AJ450">
        <v>78.462136137852298</v>
      </c>
      <c r="AK450">
        <v>0.63076597971098203</v>
      </c>
      <c r="AL450">
        <v>85.764063571589205</v>
      </c>
      <c r="AM450">
        <v>87.3369770651165</v>
      </c>
      <c r="AN450">
        <v>1.0000000366334101</v>
      </c>
    </row>
    <row r="451" spans="1:40" x14ac:dyDescent="0.25">
      <c r="A451" t="str">
        <f>"20190312154809466"</f>
        <v>20190312154809466</v>
      </c>
      <c r="B451" t="str">
        <f>"1552376889457026"</f>
        <v>1552376889457026</v>
      </c>
      <c r="C451" t="s">
        <v>40</v>
      </c>
      <c r="D451">
        <v>4.5715529999999998</v>
      </c>
      <c r="E451">
        <v>0.4945329</v>
      </c>
      <c r="F451" t="s">
        <v>41</v>
      </c>
      <c r="G451">
        <v>-352.91629999999998</v>
      </c>
      <c r="H451">
        <v>0.86865840000000005</v>
      </c>
      <c r="I451">
        <v>367.49990000000003</v>
      </c>
      <c r="J451">
        <v>-353.54090000000002</v>
      </c>
      <c r="K451">
        <v>1.1101639999999999</v>
      </c>
      <c r="L451">
        <v>367.6223</v>
      </c>
      <c r="M451">
        <v>0.99990000000000001</v>
      </c>
      <c r="N451">
        <v>0</v>
      </c>
      <c r="O451">
        <v>6.1367780000000003E-4</v>
      </c>
      <c r="P451">
        <v>0.99697100000000005</v>
      </c>
      <c r="Q451">
        <v>6.6090099999999999E-2</v>
      </c>
      <c r="R451">
        <v>-4.1006000000000001E-2</v>
      </c>
      <c r="S451">
        <v>3.0520939999999999</v>
      </c>
      <c r="T451">
        <v>-0.95234319999999895</v>
      </c>
      <c r="U451">
        <v>-0.4821472</v>
      </c>
      <c r="V451">
        <v>4.1640179999999999E-2</v>
      </c>
      <c r="W451">
        <v>8.0165420000000001E-2</v>
      </c>
      <c r="X451">
        <v>0.9959114</v>
      </c>
      <c r="Y451">
        <v>0.14966779999999999</v>
      </c>
      <c r="Z451">
        <v>-2.2862919999999998E-2</v>
      </c>
      <c r="AA451">
        <v>0.98847200000000002</v>
      </c>
      <c r="AB451">
        <v>28</v>
      </c>
      <c r="AC451">
        <v>0.62460000000004301</v>
      </c>
      <c r="AD451">
        <v>-0.24150559999999899</v>
      </c>
      <c r="AE451">
        <v>-0.12239999999997001</v>
      </c>
      <c r="AF451">
        <v>0.107330493716292</v>
      </c>
      <c r="AG451">
        <v>-0.24150559999999899</v>
      </c>
      <c r="AH451">
        <v>0.545925552411339</v>
      </c>
      <c r="AI451">
        <v>113.464162665039</v>
      </c>
      <c r="AJ451">
        <v>78.877347925065493</v>
      </c>
      <c r="AK451">
        <v>0.60653070696244904</v>
      </c>
      <c r="AL451">
        <v>85.401925663478593</v>
      </c>
      <c r="AM451">
        <v>87.605793283380393</v>
      </c>
      <c r="AN451">
        <v>0.99999995790208296</v>
      </c>
    </row>
    <row r="452" spans="1:40" x14ac:dyDescent="0.25">
      <c r="A452" t="str">
        <f>"20190312154809478"</f>
        <v>20190312154809478</v>
      </c>
      <c r="B452" t="str">
        <f>"1552376889466786"</f>
        <v>1552376889466786</v>
      </c>
      <c r="C452" t="s">
        <v>40</v>
      </c>
      <c r="D452">
        <v>4.9297800000000001</v>
      </c>
      <c r="E452">
        <v>0.49429149999999999</v>
      </c>
      <c r="F452" t="s">
        <v>41</v>
      </c>
      <c r="G452">
        <v>-352.68540000000002</v>
      </c>
      <c r="H452">
        <v>0.8130349</v>
      </c>
      <c r="I452">
        <v>367.61369999999999</v>
      </c>
      <c r="J452">
        <v>-353.39400000000001</v>
      </c>
      <c r="K452">
        <v>1.110168</v>
      </c>
      <c r="L452">
        <v>367.6223</v>
      </c>
      <c r="M452">
        <v>0.99990000000000001</v>
      </c>
      <c r="N452">
        <v>0</v>
      </c>
      <c r="O452">
        <v>5.5118980000000005E-4</v>
      </c>
      <c r="P452">
        <v>0.99692040000000004</v>
      </c>
      <c r="Q452">
        <v>6.6856180000000001E-2</v>
      </c>
      <c r="R452">
        <v>-4.09932E-2</v>
      </c>
      <c r="S452">
        <v>3.0787659999999999</v>
      </c>
      <c r="T452">
        <v>-1.069258</v>
      </c>
      <c r="U452">
        <v>-2.972412E-2</v>
      </c>
      <c r="V452">
        <v>4.1564999999999998E-2</v>
      </c>
      <c r="W452">
        <v>8.0929689999999999E-2</v>
      </c>
      <c r="X452">
        <v>0.99585279999999998</v>
      </c>
      <c r="Y452">
        <v>9.6100070000000003E-3</v>
      </c>
      <c r="Z452">
        <v>-1.8072450000000001E-3</v>
      </c>
      <c r="AA452">
        <v>0.99995219999999996</v>
      </c>
      <c r="AB452">
        <v>28</v>
      </c>
      <c r="AC452">
        <v>0.70859999999998902</v>
      </c>
      <c r="AD452">
        <v>-0.29713309999999998</v>
      </c>
      <c r="AE452">
        <v>-8.6000000000012698E-3</v>
      </c>
      <c r="AF452">
        <v>7.6463330222879102E-3</v>
      </c>
      <c r="AG452">
        <v>-0.29713309999999998</v>
      </c>
      <c r="AH452">
        <v>0.60264587528296398</v>
      </c>
      <c r="AI452">
        <v>116.243662069864</v>
      </c>
      <c r="AJ452">
        <v>89.273073753537901</v>
      </c>
      <c r="AK452">
        <v>0.67195877590806596</v>
      </c>
      <c r="AL452">
        <v>85.357993812077297</v>
      </c>
      <c r="AM452">
        <v>87.6099704620067</v>
      </c>
      <c r="AN452">
        <v>1.0000000316081601</v>
      </c>
    </row>
    <row r="453" spans="1:40" x14ac:dyDescent="0.25">
      <c r="A453" t="str">
        <f>"20190312154809490"</f>
        <v>20190312154809490</v>
      </c>
      <c r="B453" t="str">
        <f>"1552376889486306"</f>
        <v>1552376889486306</v>
      </c>
      <c r="C453" t="s">
        <v>40</v>
      </c>
      <c r="D453">
        <v>5.3051300000000001</v>
      </c>
      <c r="E453">
        <v>0.49460969999999999</v>
      </c>
      <c r="F453" t="s">
        <v>41</v>
      </c>
      <c r="G453">
        <v>-352.65949999999998</v>
      </c>
      <c r="H453">
        <v>0.87410279999999996</v>
      </c>
      <c r="I453">
        <v>367.61439999999999</v>
      </c>
      <c r="J453">
        <v>-353.24450000000002</v>
      </c>
      <c r="K453">
        <v>1.1101749999999999</v>
      </c>
      <c r="L453">
        <v>367.6223</v>
      </c>
      <c r="M453">
        <v>0.99990000000000001</v>
      </c>
      <c r="N453">
        <v>0</v>
      </c>
      <c r="O453">
        <v>4.8870739999999895E-4</v>
      </c>
      <c r="P453">
        <v>0.99686750000000002</v>
      </c>
      <c r="Q453">
        <v>6.7642599999999997E-2</v>
      </c>
      <c r="R453">
        <v>-4.0984359999999997E-2</v>
      </c>
      <c r="S453">
        <v>3.0742799999999999</v>
      </c>
      <c r="T453">
        <v>-0.98813649999999997</v>
      </c>
      <c r="U453">
        <v>-3.1372070000000002E-2</v>
      </c>
      <c r="V453">
        <v>4.1493799999999997E-2</v>
      </c>
      <c r="W453">
        <v>8.1713850000000005E-2</v>
      </c>
      <c r="X453">
        <v>0.99579169999999995</v>
      </c>
      <c r="Y453">
        <v>1.015657E-2</v>
      </c>
      <c r="Z453">
        <v>-1.745347E-3</v>
      </c>
      <c r="AA453">
        <v>0.99994689999999997</v>
      </c>
      <c r="AB453">
        <v>28</v>
      </c>
      <c r="AC453">
        <v>0.58500000000003605</v>
      </c>
      <c r="AD453">
        <v>-0.23607219999999901</v>
      </c>
      <c r="AE453">
        <v>-7.9000000000064505E-3</v>
      </c>
      <c r="AF453">
        <v>7.0397354245148999E-3</v>
      </c>
      <c r="AG453">
        <v>-0.23607219999999901</v>
      </c>
      <c r="AH453">
        <v>0.50308539829355803</v>
      </c>
      <c r="AI453">
        <v>115.136102401882</v>
      </c>
      <c r="AJ453">
        <v>89.198305482434193</v>
      </c>
      <c r="AK453">
        <v>0.55576484187457798</v>
      </c>
      <c r="AL453">
        <v>85.312915297828695</v>
      </c>
      <c r="AM453">
        <v>87.613913570761895</v>
      </c>
      <c r="AN453">
        <v>0.99999999925457606</v>
      </c>
    </row>
    <row r="454" spans="1:40" x14ac:dyDescent="0.25">
      <c r="A454" t="str">
        <f>"20190312154809500"</f>
        <v>20190312154809500</v>
      </c>
      <c r="B454" t="str">
        <f>"1552376889496065"</f>
        <v>1552376889496065</v>
      </c>
      <c r="C454" t="s">
        <v>40</v>
      </c>
      <c r="D454">
        <v>5.3732569999999997</v>
      </c>
      <c r="E454">
        <v>0.49960149999999998</v>
      </c>
      <c r="F454" t="s">
        <v>41</v>
      </c>
      <c r="G454">
        <v>-352.41059999999999</v>
      </c>
      <c r="H454">
        <v>0.86371309999999901</v>
      </c>
      <c r="I454">
        <v>367.61219999999997</v>
      </c>
      <c r="J454">
        <v>-353.10129999999998</v>
      </c>
      <c r="K454">
        <v>1.110185</v>
      </c>
      <c r="L454">
        <v>367.6223</v>
      </c>
      <c r="M454">
        <v>0.99990009999999996</v>
      </c>
      <c r="N454">
        <v>0</v>
      </c>
      <c r="O454">
        <v>4.3010340000000001E-4</v>
      </c>
      <c r="P454">
        <v>0.99680480000000005</v>
      </c>
      <c r="Q454">
        <v>6.859896E-2</v>
      </c>
      <c r="R454">
        <v>-4.0920140000000001E-2</v>
      </c>
      <c r="S454">
        <v>3.069458</v>
      </c>
      <c r="T454">
        <v>-0.90718620000000005</v>
      </c>
      <c r="U454">
        <v>-3.6956790000000003E-2</v>
      </c>
      <c r="V454">
        <v>4.1371100000000001E-2</v>
      </c>
      <c r="W454">
        <v>8.2667630000000006E-2</v>
      </c>
      <c r="X454">
        <v>0.99571810000000005</v>
      </c>
      <c r="Y454">
        <v>1.19405E-2</v>
      </c>
      <c r="Z454">
        <v>-1.851992E-3</v>
      </c>
      <c r="AA454">
        <v>0.99992700000000001</v>
      </c>
      <c r="AB454">
        <v>28</v>
      </c>
      <c r="AC454">
        <v>0.69069999999999199</v>
      </c>
      <c r="AD454">
        <v>-0.24647189999999999</v>
      </c>
      <c r="AE454">
        <v>-1.01000000000226E-2</v>
      </c>
      <c r="AF454">
        <v>9.2229286290518697E-3</v>
      </c>
      <c r="AG454">
        <v>-0.24647189999999999</v>
      </c>
      <c r="AH454">
        <v>0.61269348657688105</v>
      </c>
      <c r="AI454">
        <v>111.911493366212</v>
      </c>
      <c r="AJ454">
        <v>89.1375867565893</v>
      </c>
      <c r="AK454">
        <v>0.66047465386329596</v>
      </c>
      <c r="AL454">
        <v>85.2580823034763</v>
      </c>
      <c r="AM454">
        <v>87.620785624039698</v>
      </c>
      <c r="AN454">
        <v>1.0000000198163099</v>
      </c>
    </row>
    <row r="455" spans="1:40" x14ac:dyDescent="0.25">
      <c r="A455" t="str">
        <f>"20190312154809513"</f>
        <v>20190312154809513</v>
      </c>
      <c r="B455" t="str">
        <f>"1552376889506802"</f>
        <v>1552376889506802</v>
      </c>
      <c r="C455" t="s">
        <v>40</v>
      </c>
      <c r="D455">
        <v>5.1031490000000002</v>
      </c>
      <c r="E455">
        <v>0.49960149999999998</v>
      </c>
      <c r="F455" t="s">
        <v>44</v>
      </c>
      <c r="G455">
        <v>-158.19499999999999</v>
      </c>
      <c r="H455">
        <v>23.217970000000001</v>
      </c>
      <c r="I455">
        <v>359.47800000000001</v>
      </c>
      <c r="J455">
        <v>-352.95310000000001</v>
      </c>
      <c r="K455">
        <v>1.1101939999999999</v>
      </c>
      <c r="L455">
        <v>367.6223</v>
      </c>
      <c r="M455">
        <v>0.99990020000000002</v>
      </c>
      <c r="N455">
        <v>0</v>
      </c>
      <c r="O455">
        <v>3.7216460000000001E-4</v>
      </c>
      <c r="P455">
        <v>0.9967279</v>
      </c>
      <c r="Q455">
        <v>6.9691340000000004E-2</v>
      </c>
      <c r="R455">
        <v>-4.094855E-2</v>
      </c>
      <c r="S455">
        <v>2.981201</v>
      </c>
      <c r="T455">
        <v>0.33815220000000001</v>
      </c>
      <c r="U455">
        <v>-0.1245728</v>
      </c>
      <c r="V455">
        <v>4.1341540000000003E-2</v>
      </c>
      <c r="W455">
        <v>8.3757709999999999E-2</v>
      </c>
      <c r="X455">
        <v>0.99562819999999996</v>
      </c>
      <c r="Y455">
        <v>4.1851260000000001E-2</v>
      </c>
      <c r="Z455">
        <v>2.4070129999999999E-3</v>
      </c>
      <c r="AA455">
        <v>0.99912100000000004</v>
      </c>
      <c r="AB455">
        <v>28</v>
      </c>
      <c r="AC455">
        <v>194.75810000000001</v>
      </c>
      <c r="AD455">
        <v>22.107776000000001</v>
      </c>
      <c r="AE455">
        <v>-8.1442999999999799</v>
      </c>
      <c r="AF455">
        <v>8.1124389159046402</v>
      </c>
      <c r="AG455">
        <v>22.107776000000001</v>
      </c>
      <c r="AH455">
        <v>192.28174650670201</v>
      </c>
      <c r="AI455">
        <v>83.446942665156897</v>
      </c>
      <c r="AJ455">
        <v>87.584102373850797</v>
      </c>
      <c r="AK455">
        <v>193.718443790203</v>
      </c>
      <c r="AL455">
        <v>85.195407831155094</v>
      </c>
      <c r="AM455">
        <v>87.622269210471103</v>
      </c>
      <c r="AN455">
        <v>0.99999999477462698</v>
      </c>
    </row>
    <row r="456" spans="1:40" x14ac:dyDescent="0.25">
      <c r="A456" t="str">
        <f>"20190312154809524"</f>
        <v>20190312154809524</v>
      </c>
      <c r="B456" t="str">
        <f>"1552376889516561"</f>
        <v>1552376889516561</v>
      </c>
      <c r="C456" t="s">
        <v>40</v>
      </c>
      <c r="D456">
        <v>5.1778589999999998</v>
      </c>
      <c r="E456">
        <v>0.49460860000000001</v>
      </c>
      <c r="F456" t="s">
        <v>44</v>
      </c>
      <c r="G456">
        <v>-158.19499999999999</v>
      </c>
      <c r="H456">
        <v>23.418559999999999</v>
      </c>
      <c r="I456">
        <v>359.49520000000001</v>
      </c>
      <c r="J456">
        <v>-352.80579999999998</v>
      </c>
      <c r="K456">
        <v>1.1102000000000001</v>
      </c>
      <c r="L456">
        <v>367.6223</v>
      </c>
      <c r="M456">
        <v>0.99990029999999996</v>
      </c>
      <c r="N456">
        <v>0</v>
      </c>
      <c r="O456">
        <v>3.1577850000000002E-4</v>
      </c>
      <c r="P456">
        <v>0.99663919999999995</v>
      </c>
      <c r="Q456">
        <v>7.0853840000000001E-2</v>
      </c>
      <c r="R456">
        <v>-4.1112379999999997E-2</v>
      </c>
      <c r="S456">
        <v>2.9808650000000001</v>
      </c>
      <c r="T456">
        <v>0.34144140000000001</v>
      </c>
      <c r="U456">
        <v>-0.1243896</v>
      </c>
      <c r="V456">
        <v>4.1448989999999998E-2</v>
      </c>
      <c r="W456">
        <v>8.4917510000000002E-2</v>
      </c>
      <c r="X456">
        <v>0.99552549999999995</v>
      </c>
      <c r="Y456">
        <v>4.1734140000000003E-2</v>
      </c>
      <c r="Z456">
        <v>2.4174309999999998E-3</v>
      </c>
      <c r="AA456">
        <v>0.99912579999999995</v>
      </c>
      <c r="AB456">
        <v>28</v>
      </c>
      <c r="AC456">
        <v>194.61080000000001</v>
      </c>
      <c r="AD456">
        <v>22.30836</v>
      </c>
      <c r="AE456">
        <v>-8.1270999999999791</v>
      </c>
      <c r="AF456">
        <v>8.0825384880747002</v>
      </c>
      <c r="AG456">
        <v>22.30836</v>
      </c>
      <c r="AH456">
        <v>192.08853935861001</v>
      </c>
      <c r="AI456">
        <v>83.381388102841399</v>
      </c>
      <c r="AJ456">
        <v>87.590578109186495</v>
      </c>
      <c r="AK456">
        <v>193.54843659204599</v>
      </c>
      <c r="AL456">
        <v>85.128718666633603</v>
      </c>
      <c r="AM456">
        <v>87.615850773164794</v>
      </c>
      <c r="AN456">
        <v>1.00000001171343</v>
      </c>
    </row>
    <row r="457" spans="1:40" x14ac:dyDescent="0.25">
      <c r="A457" t="str">
        <f>"20190312154809537"</f>
        <v>20190312154809537</v>
      </c>
      <c r="B457" t="str">
        <f>"1552376889526322"</f>
        <v>1552376889526322</v>
      </c>
      <c r="C457" t="s">
        <v>40</v>
      </c>
      <c r="D457">
        <v>5.4835479999999999</v>
      </c>
      <c r="E457">
        <v>0.49480790000000002</v>
      </c>
      <c r="F457" t="s">
        <v>41</v>
      </c>
      <c r="G457">
        <v>-352.0736</v>
      </c>
      <c r="H457">
        <v>1.0400560000000001</v>
      </c>
      <c r="I457">
        <v>367.6071</v>
      </c>
      <c r="J457">
        <v>-352.64640000000003</v>
      </c>
      <c r="K457">
        <v>1.110209</v>
      </c>
      <c r="L457">
        <v>367.6223</v>
      </c>
      <c r="M457">
        <v>0.99990020000000002</v>
      </c>
      <c r="N457">
        <v>0</v>
      </c>
      <c r="O457">
        <v>2.6007850000000002E-4</v>
      </c>
      <c r="P457">
        <v>0.99656149999999999</v>
      </c>
      <c r="Q457">
        <v>7.1912119999999996E-2</v>
      </c>
      <c r="R457">
        <v>-4.1163569999999997E-2</v>
      </c>
      <c r="S457">
        <v>3.028168</v>
      </c>
      <c r="T457">
        <v>-0.29040440000000001</v>
      </c>
      <c r="U457">
        <v>-6.1584470000000002E-2</v>
      </c>
      <c r="V457">
        <v>4.1443500000000001E-2</v>
      </c>
      <c r="W457">
        <v>8.5973640000000004E-2</v>
      </c>
      <c r="X457">
        <v>0.99543510000000002</v>
      </c>
      <c r="Y457">
        <v>2.0497850000000001E-2</v>
      </c>
      <c r="Z457">
        <v>-1.005417E-3</v>
      </c>
      <c r="AA457">
        <v>0.99978940000000005</v>
      </c>
      <c r="AB457">
        <v>28</v>
      </c>
      <c r="AC457">
        <v>0.57280000000002895</v>
      </c>
      <c r="AD457">
        <v>-7.0153000000000104E-2</v>
      </c>
      <c r="AE457">
        <v>-1.51999999999929E-2</v>
      </c>
      <c r="AF457">
        <v>1.5122314709011901E-2</v>
      </c>
      <c r="AG457">
        <v>-7.0153000000000104E-2</v>
      </c>
      <c r="AH457">
        <v>0.56433702155013699</v>
      </c>
      <c r="AI457">
        <v>97.0835967435643</v>
      </c>
      <c r="AJ457">
        <v>88.465035112574796</v>
      </c>
      <c r="AK457">
        <v>0.56888171152115496</v>
      </c>
      <c r="AL457">
        <v>85.067984871300297</v>
      </c>
      <c r="AM457">
        <v>87.615949957044705</v>
      </c>
      <c r="AN457">
        <v>1.0000000343895501</v>
      </c>
    </row>
    <row r="458" spans="1:40" x14ac:dyDescent="0.25">
      <c r="A458" t="str">
        <f>"20190312154809550"</f>
        <v>20190312154809550</v>
      </c>
      <c r="B458" t="str">
        <f>"1552376889546817"</f>
        <v>1552376889546817</v>
      </c>
      <c r="C458" t="s">
        <v>40</v>
      </c>
      <c r="D458">
        <v>5.0230649999999999</v>
      </c>
      <c r="E458">
        <v>0.4966759</v>
      </c>
      <c r="F458" t="s">
        <v>41</v>
      </c>
      <c r="G458">
        <v>-351.82010000000002</v>
      </c>
      <c r="H458">
        <v>1.0410539999999999</v>
      </c>
      <c r="I458">
        <v>367.60469999999998</v>
      </c>
      <c r="J458">
        <v>-352.48599999999999</v>
      </c>
      <c r="K458">
        <v>1.1102160000000001</v>
      </c>
      <c r="L458">
        <v>367.6223</v>
      </c>
      <c r="M458">
        <v>0.99990029999999996</v>
      </c>
      <c r="N458">
        <v>0</v>
      </c>
      <c r="O458">
        <v>2.067123E-4</v>
      </c>
      <c r="P458">
        <v>0.99650030000000001</v>
      </c>
      <c r="Q458">
        <v>7.2543170000000004E-2</v>
      </c>
      <c r="R458">
        <v>-4.1534580000000001E-2</v>
      </c>
      <c r="S458">
        <v>3.02597</v>
      </c>
      <c r="T458">
        <v>-0.2532624</v>
      </c>
      <c r="U458">
        <v>-6.4666749999999995E-2</v>
      </c>
      <c r="V458">
        <v>4.1760789999999999E-2</v>
      </c>
      <c r="W458">
        <v>8.6602139999999994E-2</v>
      </c>
      <c r="X458">
        <v>0.99536729999999995</v>
      </c>
      <c r="Y458">
        <v>2.1496540000000001E-2</v>
      </c>
      <c r="Z458">
        <v>-9.1518860000000004E-4</v>
      </c>
      <c r="AA458">
        <v>0.99976849999999995</v>
      </c>
      <c r="AB458">
        <v>28</v>
      </c>
      <c r="AC458">
        <v>0.66589999999996496</v>
      </c>
      <c r="AD458">
        <v>-6.9161999999999904E-2</v>
      </c>
      <c r="AE458">
        <v>-1.7600000000015801E-2</v>
      </c>
      <c r="AF458">
        <v>1.7548492487175899E-2</v>
      </c>
      <c r="AG458">
        <v>-6.9161999999999904E-2</v>
      </c>
      <c r="AH458">
        <v>0.65879462268810696</v>
      </c>
      <c r="AI458">
        <v>95.990999650914603</v>
      </c>
      <c r="AJ458">
        <v>88.474157471781197</v>
      </c>
      <c r="AK458">
        <v>0.662647482991777</v>
      </c>
      <c r="AL458">
        <v>85.031839381218703</v>
      </c>
      <c r="AM458">
        <v>87.597555613702994</v>
      </c>
      <c r="AN458">
        <v>0.99999997807164598</v>
      </c>
    </row>
    <row r="459" spans="1:40" x14ac:dyDescent="0.25">
      <c r="A459" t="str">
        <f>"20190312154809567"</f>
        <v>20190312154809567</v>
      </c>
      <c r="B459" t="str">
        <f>"1552376889556578"</f>
        <v>1552376889556578</v>
      </c>
      <c r="C459" t="s">
        <v>40</v>
      </c>
      <c r="D459">
        <v>5.0333730000000001</v>
      </c>
      <c r="E459">
        <v>0.49677109999999902</v>
      </c>
      <c r="F459" t="s">
        <v>41</v>
      </c>
      <c r="G459">
        <v>-351.5625</v>
      </c>
      <c r="H459">
        <v>1.0479019999999999</v>
      </c>
      <c r="I459">
        <v>367.5967</v>
      </c>
      <c r="J459">
        <v>-352.27659999999997</v>
      </c>
      <c r="K459">
        <v>1.110222</v>
      </c>
      <c r="L459">
        <v>367.62220000000002</v>
      </c>
      <c r="M459">
        <v>0.99990040000000002</v>
      </c>
      <c r="N459">
        <v>0</v>
      </c>
      <c r="O459">
        <v>1.4314239999999999E-4</v>
      </c>
      <c r="P459">
        <v>0.99647699999999995</v>
      </c>
      <c r="Q459">
        <v>7.2513930000000004E-2</v>
      </c>
      <c r="R459">
        <v>-4.2139139999999999E-2</v>
      </c>
      <c r="S459">
        <v>3.021973</v>
      </c>
      <c r="T459">
        <v>-0.20422960000000001</v>
      </c>
      <c r="U459">
        <v>-8.2244869999999998E-2</v>
      </c>
      <c r="V459">
        <v>4.2300400000000002E-2</v>
      </c>
      <c r="W459">
        <v>8.6571259999999997E-2</v>
      </c>
      <c r="X459">
        <v>0.99534719999999999</v>
      </c>
      <c r="Y459">
        <v>2.728614E-2</v>
      </c>
      <c r="Z459">
        <v>-9.3046160000000004E-4</v>
      </c>
      <c r="AA459">
        <v>0.99962720000000005</v>
      </c>
      <c r="AB459">
        <v>28</v>
      </c>
      <c r="AC459">
        <v>0.71409999999997298</v>
      </c>
      <c r="AD459">
        <v>-6.2319999999999903E-2</v>
      </c>
      <c r="AE459">
        <v>-2.5500000000022199E-2</v>
      </c>
      <c r="AF459">
        <v>2.5408955349685999E-2</v>
      </c>
      <c r="AG459">
        <v>-6.2319999999999903E-2</v>
      </c>
      <c r="AH459">
        <v>0.70870559154544399</v>
      </c>
      <c r="AI459">
        <v>95.022165634553801</v>
      </c>
      <c r="AJ459">
        <v>87.946675427247499</v>
      </c>
      <c r="AK459">
        <v>0.71189396183683096</v>
      </c>
      <c r="AL459">
        <v>85.033615343146096</v>
      </c>
      <c r="AM459">
        <v>87.566500544722899</v>
      </c>
      <c r="AN459">
        <v>0.99999997772299298</v>
      </c>
    </row>
    <row r="460" spans="1:40" x14ac:dyDescent="0.25">
      <c r="A460" t="str">
        <f>"20190312154809580"</f>
        <v>20190312154809580</v>
      </c>
      <c r="B460" t="str">
        <f>"1552376889576097"</f>
        <v>1552376889576097</v>
      </c>
      <c r="C460" t="s">
        <v>40</v>
      </c>
      <c r="D460">
        <v>5.0181740000000001</v>
      </c>
      <c r="E460">
        <v>0.49612970000000001</v>
      </c>
      <c r="F460" t="s">
        <v>41</v>
      </c>
      <c r="G460">
        <v>-351.31099999999998</v>
      </c>
      <c r="H460">
        <v>1.0473030000000001</v>
      </c>
      <c r="I460">
        <v>367.5949</v>
      </c>
      <c r="J460">
        <v>-352.11040000000003</v>
      </c>
      <c r="K460">
        <v>1.1102299999999901</v>
      </c>
      <c r="L460">
        <v>367.62220000000002</v>
      </c>
      <c r="M460">
        <v>0.99990029999999996</v>
      </c>
      <c r="N460">
        <v>0</v>
      </c>
      <c r="O460" s="1">
        <v>9.8448649999999995E-5</v>
      </c>
      <c r="P460">
        <v>0.99645640000000002</v>
      </c>
      <c r="Q460">
        <v>7.2666510000000004E-2</v>
      </c>
      <c r="R460">
        <v>-4.2360750000000003E-2</v>
      </c>
      <c r="S460">
        <v>3.0213320000000001</v>
      </c>
      <c r="T460">
        <v>-0.19696749999999999</v>
      </c>
      <c r="U460">
        <v>-8.5357669999999997E-2</v>
      </c>
      <c r="V460">
        <v>4.2475980000000003E-2</v>
      </c>
      <c r="W460">
        <v>8.672233E-2</v>
      </c>
      <c r="X460">
        <v>0.99532659999999995</v>
      </c>
      <c r="Y460">
        <v>2.8278629999999999E-2</v>
      </c>
      <c r="Z460">
        <v>-9.2702430000000003E-4</v>
      </c>
      <c r="AA460">
        <v>0.99959960000000003</v>
      </c>
      <c r="AB460">
        <v>28</v>
      </c>
      <c r="AC460">
        <v>0.79940000000004796</v>
      </c>
      <c r="AD460">
        <v>-6.2926999999999705E-2</v>
      </c>
      <c r="AE460">
        <v>-2.73000000000252E-2</v>
      </c>
      <c r="AF460">
        <v>2.72102956477485E-2</v>
      </c>
      <c r="AG460">
        <v>-6.2926999999999705E-2</v>
      </c>
      <c r="AH460">
        <v>0.79448005514933995</v>
      </c>
      <c r="AI460">
        <v>94.526030064692904</v>
      </c>
      <c r="AJ460">
        <v>88.038432894268198</v>
      </c>
      <c r="AK460">
        <v>0.797432608781668</v>
      </c>
      <c r="AL460">
        <v>85.024927134665305</v>
      </c>
      <c r="AM460">
        <v>87.556361309746094</v>
      </c>
      <c r="AN460">
        <v>1.00000000603257</v>
      </c>
    </row>
    <row r="461" spans="1:40" x14ac:dyDescent="0.25">
      <c r="A461" t="str">
        <f>"20190312154809594"</f>
        <v>20190312154809594</v>
      </c>
      <c r="B461" t="str">
        <f>"1552376889586834"</f>
        <v>1552376889586834</v>
      </c>
      <c r="C461" t="s">
        <v>40</v>
      </c>
      <c r="D461">
        <v>5.049868</v>
      </c>
      <c r="E461">
        <v>0.49608629999999998</v>
      </c>
      <c r="F461" t="s">
        <v>42</v>
      </c>
      <c r="G461">
        <v>-332.15879999999999</v>
      </c>
      <c r="H461" s="1">
        <v>-3.7956970000000001E-6</v>
      </c>
      <c r="I461">
        <v>367.08229999999998</v>
      </c>
      <c r="J461">
        <v>-351.92939999999999</v>
      </c>
      <c r="K461">
        <v>1.110236</v>
      </c>
      <c r="L461">
        <v>367.62220000000002</v>
      </c>
      <c r="M461">
        <v>0.99990040000000002</v>
      </c>
      <c r="N461">
        <v>0</v>
      </c>
      <c r="O461" s="1">
        <v>5.4238550000000003E-5</v>
      </c>
      <c r="P461">
        <v>0.99641789999999997</v>
      </c>
      <c r="Q461">
        <v>7.3116E-2</v>
      </c>
      <c r="R461">
        <v>-4.2493889999999999E-2</v>
      </c>
      <c r="S461">
        <v>3.019409</v>
      </c>
      <c r="T461">
        <v>-0.16801830000000001</v>
      </c>
      <c r="U461">
        <v>-8.169556E-2</v>
      </c>
      <c r="V461">
        <v>4.2563789999999997E-2</v>
      </c>
      <c r="W461">
        <v>8.7169799999999895E-2</v>
      </c>
      <c r="X461">
        <v>0.99528380000000005</v>
      </c>
      <c r="Y461">
        <v>2.705921E-2</v>
      </c>
      <c r="Z461">
        <v>-7.5516630000000003E-4</v>
      </c>
      <c r="AA461">
        <v>0.99963360000000001</v>
      </c>
      <c r="AB461">
        <v>28</v>
      </c>
      <c r="AC461">
        <v>19.770600000000002</v>
      </c>
      <c r="AD461">
        <v>-1.110239795697</v>
      </c>
      <c r="AE461">
        <v>-0.53990000000004501</v>
      </c>
      <c r="AF461">
        <v>0.53927310013820495</v>
      </c>
      <c r="AG461">
        <v>-1.110239795697</v>
      </c>
      <c r="AH461">
        <v>19.708466200484601</v>
      </c>
      <c r="AI461">
        <v>93.223039664534198</v>
      </c>
      <c r="AJ461">
        <v>88.432634757554794</v>
      </c>
      <c r="AK461">
        <v>19.7470779574125</v>
      </c>
      <c r="AL461">
        <v>84.999191734304503</v>
      </c>
      <c r="AM461">
        <v>87.551210580220996</v>
      </c>
      <c r="AN461">
        <v>1.0000000463968199</v>
      </c>
    </row>
    <row r="462" spans="1:40" x14ac:dyDescent="0.25">
      <c r="A462" t="str">
        <f>"20190312154809613"</f>
        <v>20190312154809613</v>
      </c>
      <c r="B462" t="str">
        <f>"1552376889606354"</f>
        <v>1552376889606354</v>
      </c>
      <c r="C462" t="s">
        <v>40</v>
      </c>
      <c r="D462">
        <v>5.0421610000000001</v>
      </c>
      <c r="E462">
        <v>0.49615979999999998</v>
      </c>
      <c r="F462" t="s">
        <v>42</v>
      </c>
      <c r="G462">
        <v>-331.55459999999999</v>
      </c>
      <c r="H462" s="1">
        <v>-4.0571039999999998E-6</v>
      </c>
      <c r="I462">
        <v>367.06979999999999</v>
      </c>
      <c r="J462">
        <v>-351.69260000000003</v>
      </c>
      <c r="K462">
        <v>1.1102459999999901</v>
      </c>
      <c r="L462">
        <v>367.62209999999999</v>
      </c>
      <c r="M462">
        <v>0.99990049999999997</v>
      </c>
      <c r="N462">
        <v>0</v>
      </c>
      <c r="O462" s="1">
        <v>4.7017710000000003E-6</v>
      </c>
      <c r="P462">
        <v>0.9964324</v>
      </c>
      <c r="Q462">
        <v>7.2924459999999997E-2</v>
      </c>
      <c r="R462">
        <v>-4.2483340000000001E-2</v>
      </c>
      <c r="S462">
        <v>3.0193479999999999</v>
      </c>
      <c r="T462">
        <v>-0.16452600000000001</v>
      </c>
      <c r="U462">
        <v>-8.184814E-2</v>
      </c>
      <c r="V462">
        <v>4.2501949999999997E-2</v>
      </c>
      <c r="W462">
        <v>8.6976949999999997E-2</v>
      </c>
      <c r="X462">
        <v>0.9953033</v>
      </c>
      <c r="Y462">
        <v>2.70625E-2</v>
      </c>
      <c r="Z462">
        <v>-7.3689999999999997E-4</v>
      </c>
      <c r="AA462">
        <v>0.99963349999999995</v>
      </c>
      <c r="AB462">
        <v>28</v>
      </c>
      <c r="AC462">
        <v>20.138000000000002</v>
      </c>
      <c r="AD462">
        <v>-1.1102500571039999</v>
      </c>
      <c r="AE462">
        <v>-0.55230000000000201</v>
      </c>
      <c r="AF462">
        <v>0.55072200613019595</v>
      </c>
      <c r="AG462">
        <v>-1.1102500571039999</v>
      </c>
      <c r="AH462">
        <v>20.077018218960198</v>
      </c>
      <c r="AI462">
        <v>93.164019253460694</v>
      </c>
      <c r="AJ462">
        <v>88.428743960549198</v>
      </c>
      <c r="AK462">
        <v>20.115233294242302</v>
      </c>
      <c r="AL462">
        <v>85.010283281369993</v>
      </c>
      <c r="AM462">
        <v>87.554811900213096</v>
      </c>
      <c r="AN462">
        <v>1.0000000322879901</v>
      </c>
    </row>
    <row r="463" spans="1:40" x14ac:dyDescent="0.25">
      <c r="A463" t="str">
        <f>"20190312154809636"</f>
        <v>20190312154809636</v>
      </c>
      <c r="B463" t="str">
        <f>"1552376889626850"</f>
        <v>1552376889626850</v>
      </c>
      <c r="C463" t="s">
        <v>40</v>
      </c>
      <c r="D463">
        <v>5.0291119999999996</v>
      </c>
      <c r="E463">
        <v>0.49666690000000002</v>
      </c>
      <c r="F463" t="s">
        <v>42</v>
      </c>
      <c r="G463">
        <v>-331.05130000000003</v>
      </c>
      <c r="H463" s="1">
        <v>-4.2747090000000004E-6</v>
      </c>
      <c r="I463">
        <v>367.06020000000001</v>
      </c>
      <c r="J463">
        <v>-351.3965</v>
      </c>
      <c r="K463">
        <v>1.110252</v>
      </c>
      <c r="L463">
        <v>367.62200000000001</v>
      </c>
      <c r="M463">
        <v>0.99990049999999997</v>
      </c>
      <c r="N463">
        <v>0</v>
      </c>
      <c r="O463" s="1">
        <v>-4.3969710000000001E-5</v>
      </c>
      <c r="P463">
        <v>0.996452</v>
      </c>
      <c r="Q463">
        <v>7.2840150000000006E-2</v>
      </c>
      <c r="R463">
        <v>-4.2168940000000002E-2</v>
      </c>
      <c r="S463">
        <v>3.019196</v>
      </c>
      <c r="T463">
        <v>-0.16239500000000001</v>
      </c>
      <c r="U463">
        <v>-8.2183839999999994E-2</v>
      </c>
      <c r="V463">
        <v>4.2136760000000002E-2</v>
      </c>
      <c r="W463">
        <v>8.6890969999999998E-2</v>
      </c>
      <c r="X463">
        <v>0.9953263</v>
      </c>
      <c r="Y463">
        <v>2.712728E-2</v>
      </c>
      <c r="Z463">
        <v>-7.2652990000000005E-4</v>
      </c>
      <c r="AA463">
        <v>0.99963170000000001</v>
      </c>
      <c r="AB463">
        <v>28</v>
      </c>
      <c r="AC463">
        <v>20.345199999999899</v>
      </c>
      <c r="AD463">
        <v>-1.1102562747089999</v>
      </c>
      <c r="AE463">
        <v>-0.56179999999994801</v>
      </c>
      <c r="AF463">
        <v>0.55924119476123801</v>
      </c>
      <c r="AG463">
        <v>-1.1102562747089999</v>
      </c>
      <c r="AH463">
        <v>20.284862688613199</v>
      </c>
      <c r="AI463">
        <v>93.131670247577006</v>
      </c>
      <c r="AJ463">
        <v>88.420790602530403</v>
      </c>
      <c r="AK463">
        <v>20.322919918292801</v>
      </c>
      <c r="AL463">
        <v>85.015228109134398</v>
      </c>
      <c r="AM463">
        <v>87.575852496618197</v>
      </c>
      <c r="AN463">
        <v>0.99999999534126405</v>
      </c>
    </row>
    <row r="464" spans="1:40" x14ac:dyDescent="0.25">
      <c r="A464" t="str">
        <f>"20190312154809658"</f>
        <v>20190312154809658</v>
      </c>
      <c r="B464" t="str">
        <f>"1552376889646370"</f>
        <v>1552376889646370</v>
      </c>
      <c r="C464" t="s">
        <v>40</v>
      </c>
      <c r="D464">
        <v>5.0346060000000001</v>
      </c>
      <c r="E464">
        <v>0.49700539999999999</v>
      </c>
      <c r="F464" t="s">
        <v>42</v>
      </c>
      <c r="G464">
        <v>-330.5138</v>
      </c>
      <c r="H464" s="1">
        <v>-4.5103760000000002E-6</v>
      </c>
      <c r="I464">
        <v>367.0317</v>
      </c>
      <c r="J464">
        <v>-351.1352</v>
      </c>
      <c r="K464">
        <v>1.110257</v>
      </c>
      <c r="L464">
        <v>367.62200000000001</v>
      </c>
      <c r="M464">
        <v>0.99990049999999997</v>
      </c>
      <c r="N464">
        <v>0</v>
      </c>
      <c r="O464" s="1">
        <v>-7.7907929999999995E-5</v>
      </c>
      <c r="P464">
        <v>0.99653159999999996</v>
      </c>
      <c r="Q464">
        <v>7.1916889999999997E-2</v>
      </c>
      <c r="R464">
        <v>-4.1868599999999999E-2</v>
      </c>
      <c r="S464">
        <v>3.0187680000000001</v>
      </c>
      <c r="T464">
        <v>-0.16049559999999999</v>
      </c>
      <c r="U464">
        <v>-8.5327150000000004E-2</v>
      </c>
      <c r="V464">
        <v>4.1801020000000001E-2</v>
      </c>
      <c r="W464">
        <v>8.5966989999999993E-2</v>
      </c>
      <c r="X464">
        <v>0.99542070000000005</v>
      </c>
      <c r="Y464">
        <v>2.8136789999999998E-2</v>
      </c>
      <c r="Z464">
        <v>-7.4314390000000002E-4</v>
      </c>
      <c r="AA464">
        <v>0.99960380000000004</v>
      </c>
      <c r="AB464">
        <v>28</v>
      </c>
      <c r="AC464">
        <v>20.621399999999898</v>
      </c>
      <c r="AD464">
        <v>-1.1102615103759901</v>
      </c>
      <c r="AE464">
        <v>-0.59029999999995597</v>
      </c>
      <c r="AF464">
        <v>0.586993100895986</v>
      </c>
      <c r="AG464">
        <v>-1.1102615103759901</v>
      </c>
      <c r="AH464">
        <v>20.561890469996399</v>
      </c>
      <c r="AI464">
        <v>93.089489914138198</v>
      </c>
      <c r="AJ464">
        <v>88.364785795554496</v>
      </c>
      <c r="AK464">
        <v>20.600208281035599</v>
      </c>
      <c r="AL464">
        <v>85.068367180140299</v>
      </c>
      <c r="AM464">
        <v>87.595372802661203</v>
      </c>
      <c r="AN464">
        <v>1.0000000093155901</v>
      </c>
    </row>
    <row r="465" spans="1:40" x14ac:dyDescent="0.25">
      <c r="A465" t="str">
        <f>"20190312154809679"</f>
        <v>20190312154809679</v>
      </c>
      <c r="B465" t="str">
        <f>"1552376889666866"</f>
        <v>1552376889666866</v>
      </c>
      <c r="C465" t="s">
        <v>40</v>
      </c>
      <c r="D465">
        <v>5.0653489999999897</v>
      </c>
      <c r="E465">
        <v>0.49682700000000002</v>
      </c>
      <c r="F465" t="s">
        <v>42</v>
      </c>
      <c r="G465">
        <v>-330.54809999999998</v>
      </c>
      <c r="H465" s="1">
        <v>-4.496036E-6</v>
      </c>
      <c r="I465">
        <v>367.02940000000001</v>
      </c>
      <c r="J465">
        <v>-350.86739999999998</v>
      </c>
      <c r="K465">
        <v>1.1102609999999999</v>
      </c>
      <c r="L465">
        <v>367.62189999999998</v>
      </c>
      <c r="M465">
        <v>0.99990049999999997</v>
      </c>
      <c r="N465">
        <v>0</v>
      </c>
      <c r="O465">
        <v>-1.060368E-4</v>
      </c>
      <c r="P465">
        <v>0.99656719999999999</v>
      </c>
      <c r="Q465">
        <v>7.1542949999999994E-2</v>
      </c>
      <c r="R465">
        <v>-4.1662039999999997E-2</v>
      </c>
      <c r="S465">
        <v>3.0185550000000001</v>
      </c>
      <c r="T465">
        <v>-0.16278989999999999</v>
      </c>
      <c r="U465">
        <v>-8.6883539999999995E-2</v>
      </c>
      <c r="V465">
        <v>4.1564980000000001E-2</v>
      </c>
      <c r="W465">
        <v>8.559216E-2</v>
      </c>
      <c r="X465">
        <v>0.99546290000000004</v>
      </c>
      <c r="Y465">
        <v>2.8623840000000001E-2</v>
      </c>
      <c r="Z465">
        <v>-7.6540479999999997E-4</v>
      </c>
      <c r="AA465">
        <v>0.99958999999999998</v>
      </c>
      <c r="AB465">
        <v>28</v>
      </c>
      <c r="AC465">
        <v>20.319299999999998</v>
      </c>
      <c r="AD465">
        <v>-1.1102654960359899</v>
      </c>
      <c r="AE465">
        <v>-0.59249999999997205</v>
      </c>
      <c r="AF465">
        <v>0.58858937069775197</v>
      </c>
      <c r="AG465">
        <v>-1.1102654960359899</v>
      </c>
      <c r="AH465">
        <v>20.2589284100561</v>
      </c>
      <c r="AI465">
        <v>93.1355658550291</v>
      </c>
      <c r="AJ465">
        <v>88.335834835380794</v>
      </c>
      <c r="AK465">
        <v>20.2978645980991</v>
      </c>
      <c r="AL465">
        <v>85.089922887046001</v>
      </c>
      <c r="AM465">
        <v>87.609036577543904</v>
      </c>
      <c r="AN465">
        <v>1.0000000253461301</v>
      </c>
    </row>
    <row r="466" spans="1:40" x14ac:dyDescent="0.25">
      <c r="A466" t="str">
        <f>"20190312154809691"</f>
        <v>20190312154809691</v>
      </c>
      <c r="B466" t="str">
        <f>"1552376889686386"</f>
        <v>1552376889686386</v>
      </c>
      <c r="C466" t="s">
        <v>40</v>
      </c>
      <c r="D466">
        <v>5.0658029999999998</v>
      </c>
      <c r="E466">
        <v>0.49675910000000001</v>
      </c>
      <c r="F466" t="s">
        <v>42</v>
      </c>
      <c r="G466">
        <v>-330.45359999999999</v>
      </c>
      <c r="H466" s="1">
        <v>-4.5333990000000003E-6</v>
      </c>
      <c r="I466">
        <v>367.04719999999998</v>
      </c>
      <c r="J466">
        <v>-350.71769999999998</v>
      </c>
      <c r="K466">
        <v>1.1102639999999999</v>
      </c>
      <c r="L466">
        <v>367.62189999999998</v>
      </c>
      <c r="M466">
        <v>0.99990049999999997</v>
      </c>
      <c r="N466">
        <v>0</v>
      </c>
      <c r="O466">
        <v>-1.201685E-4</v>
      </c>
      <c r="P466">
        <v>0.99657519999999999</v>
      </c>
      <c r="Q466">
        <v>7.1455480000000002E-2</v>
      </c>
      <c r="R466">
        <v>-4.1619070000000001E-2</v>
      </c>
      <c r="S466">
        <v>3.0185550000000001</v>
      </c>
      <c r="T466">
        <v>-0.1641725</v>
      </c>
      <c r="U466">
        <v>-8.4960939999999999E-2</v>
      </c>
      <c r="V466">
        <v>4.1507519999999999E-2</v>
      </c>
      <c r="W466">
        <v>8.5503300000000004E-2</v>
      </c>
      <c r="X466">
        <v>0.99547289999999999</v>
      </c>
      <c r="Y466">
        <v>2.7973830000000002E-2</v>
      </c>
      <c r="Z466">
        <v>-7.5347509999999904E-4</v>
      </c>
      <c r="AA466">
        <v>0.99960839999999995</v>
      </c>
      <c r="AB466">
        <v>28</v>
      </c>
      <c r="AC466">
        <v>20.2640999999999</v>
      </c>
      <c r="AD466">
        <v>-1.1102685333989999</v>
      </c>
      <c r="AE466">
        <v>-0.57470000000000698</v>
      </c>
      <c r="AF466">
        <v>0.57055325920423705</v>
      </c>
      <c r="AG466">
        <v>-1.1102685333989999</v>
      </c>
      <c r="AH466">
        <v>20.203567847092302</v>
      </c>
      <c r="AI466">
        <v>93.144222137882295</v>
      </c>
      <c r="AJ466">
        <v>88.382384346052703</v>
      </c>
      <c r="AK466">
        <v>20.242094283692801</v>
      </c>
      <c r="AL466">
        <v>85.095032756878396</v>
      </c>
      <c r="AM466">
        <v>87.612362007730496</v>
      </c>
      <c r="AN466">
        <v>0.99999999158092501</v>
      </c>
    </row>
    <row r="467" spans="1:40" x14ac:dyDescent="0.25">
      <c r="A467" t="str">
        <f>"20190312154809702"</f>
        <v>20190312154809702</v>
      </c>
      <c r="B467" t="str">
        <f>"1552376889697122"</f>
        <v>1552376889697122</v>
      </c>
      <c r="C467" t="s">
        <v>40</v>
      </c>
      <c r="D467">
        <v>5.0665959999999997</v>
      </c>
      <c r="E467">
        <v>0.49674699999999999</v>
      </c>
      <c r="F467" t="s">
        <v>42</v>
      </c>
      <c r="G467">
        <v>-330.42790000000002</v>
      </c>
      <c r="H467" s="1">
        <v>-4.5430660000000001E-6</v>
      </c>
      <c r="I467">
        <v>367.05509999999998</v>
      </c>
      <c r="J467">
        <v>-350.55689999999998</v>
      </c>
      <c r="K467">
        <v>1.110268</v>
      </c>
      <c r="L467">
        <v>367.62180000000001</v>
      </c>
      <c r="M467">
        <v>0.99990060000000003</v>
      </c>
      <c r="N467">
        <v>0</v>
      </c>
      <c r="O467">
        <v>-1.3442360000000001E-4</v>
      </c>
      <c r="P467">
        <v>0.99658449999999998</v>
      </c>
      <c r="Q467">
        <v>7.1272650000000007E-2</v>
      </c>
      <c r="R467">
        <v>-4.1711310000000001E-2</v>
      </c>
      <c r="S467">
        <v>3.0186160000000002</v>
      </c>
      <c r="T467">
        <v>-0.16517960000000001</v>
      </c>
      <c r="U467">
        <v>-8.4320069999999997E-2</v>
      </c>
      <c r="V467">
        <v>4.1584950000000002E-2</v>
      </c>
      <c r="W467">
        <v>8.5318499999999894E-2</v>
      </c>
      <c r="X467">
        <v>0.99548550000000002</v>
      </c>
      <c r="Y467">
        <v>2.774681E-2</v>
      </c>
      <c r="Z467">
        <v>-7.5109259999999996E-4</v>
      </c>
      <c r="AA467">
        <v>0.99961469999999997</v>
      </c>
      <c r="AB467">
        <v>28</v>
      </c>
      <c r="AC467">
        <v>20.128999999999898</v>
      </c>
      <c r="AD467">
        <v>-1.1102725430660001</v>
      </c>
      <c r="AE467">
        <v>-0.56670000000002496</v>
      </c>
      <c r="AF467">
        <v>0.56228457946990595</v>
      </c>
      <c r="AG467">
        <v>-1.1102725430660001</v>
      </c>
      <c r="AH467">
        <v>20.0680694762261</v>
      </c>
      <c r="AI467">
        <v>93.165439767681406</v>
      </c>
      <c r="AJ467">
        <v>88.395057048628999</v>
      </c>
      <c r="AK467">
        <v>20.1066228285815</v>
      </c>
      <c r="AL467">
        <v>85.105659732819205</v>
      </c>
      <c r="AM467">
        <v>87.607943411014006</v>
      </c>
      <c r="AN467">
        <v>0.99999996760950005</v>
      </c>
    </row>
    <row r="468" spans="1:40" x14ac:dyDescent="0.25">
      <c r="A468" t="str">
        <f>"20190312154809715"</f>
        <v>20190312154809715</v>
      </c>
      <c r="B468" t="str">
        <f>"1552376889706882"</f>
        <v>1552376889706882</v>
      </c>
      <c r="C468" t="s">
        <v>40</v>
      </c>
      <c r="D468">
        <v>5.1504560000000001</v>
      </c>
      <c r="E468">
        <v>0.49655179999999999</v>
      </c>
      <c r="F468" t="s">
        <v>42</v>
      </c>
      <c r="G468">
        <v>-330.38170000000002</v>
      </c>
      <c r="H468" s="1">
        <v>-4.5625669999999999E-6</v>
      </c>
      <c r="I468">
        <v>367.05689999999998</v>
      </c>
      <c r="J468">
        <v>-350.4076</v>
      </c>
      <c r="K468">
        <v>1.110269</v>
      </c>
      <c r="L468">
        <v>367.62180000000001</v>
      </c>
      <c r="M468">
        <v>0.99990060000000003</v>
      </c>
      <c r="N468">
        <v>0</v>
      </c>
      <c r="O468">
        <v>-1.4655390000000001E-4</v>
      </c>
      <c r="P468">
        <v>0.99655490000000002</v>
      </c>
      <c r="Q468">
        <v>7.1686550000000002E-2</v>
      </c>
      <c r="R468">
        <v>-4.1706229999999997E-2</v>
      </c>
      <c r="S468">
        <v>3.0185849999999999</v>
      </c>
      <c r="T468">
        <v>-0.1661165</v>
      </c>
      <c r="U468">
        <v>-8.4503170000000002E-2</v>
      </c>
      <c r="V468">
        <v>4.1567809999999997E-2</v>
      </c>
      <c r="W468">
        <v>8.5730399999999998E-2</v>
      </c>
      <c r="X468">
        <v>0.99545090000000003</v>
      </c>
      <c r="Y468">
        <v>2.779502E-2</v>
      </c>
      <c r="Z468">
        <v>-7.560116E-4</v>
      </c>
      <c r="AA468">
        <v>0.99961330000000004</v>
      </c>
      <c r="AB468">
        <v>28</v>
      </c>
      <c r="AC468">
        <v>20.025899999999901</v>
      </c>
      <c r="AD468">
        <v>-1.1102735625669999</v>
      </c>
      <c r="AE468">
        <v>-0.56490000000002205</v>
      </c>
      <c r="AF468">
        <v>0.56024411808369301</v>
      </c>
      <c r="AG468">
        <v>-1.1102735625669999</v>
      </c>
      <c r="AH468">
        <v>19.9646639466526</v>
      </c>
      <c r="AI468">
        <v>93.181800430797495</v>
      </c>
      <c r="AJ468">
        <v>88.392599957413694</v>
      </c>
      <c r="AK468">
        <v>20.003359401819299</v>
      </c>
      <c r="AL468">
        <v>85.081973166629993</v>
      </c>
      <c r="AM468">
        <v>87.608845183781895</v>
      </c>
      <c r="AN468">
        <v>1.00000003931158</v>
      </c>
    </row>
    <row r="469" spans="1:40" x14ac:dyDescent="0.25">
      <c r="A469" t="str">
        <f>"20190312154809727"</f>
        <v>20190312154809727</v>
      </c>
      <c r="B469" t="str">
        <f>"1552376889716641"</f>
        <v>1552376889716641</v>
      </c>
      <c r="C469" t="s">
        <v>40</v>
      </c>
      <c r="D469">
        <v>5.0776779999999997</v>
      </c>
      <c r="E469">
        <v>0.49652669999999999</v>
      </c>
      <c r="F469" t="s">
        <v>42</v>
      </c>
      <c r="G469">
        <v>-330.22489999999999</v>
      </c>
      <c r="H469" s="1">
        <v>-4.6281870000000003E-6</v>
      </c>
      <c r="I469">
        <v>367.06610000000001</v>
      </c>
      <c r="J469">
        <v>-350.26429999999999</v>
      </c>
      <c r="K469">
        <v>1.110269</v>
      </c>
      <c r="L469">
        <v>367.62180000000001</v>
      </c>
      <c r="M469">
        <v>0.99990069999999998</v>
      </c>
      <c r="N469">
        <v>0</v>
      </c>
      <c r="O469">
        <v>-1.5833120000000001E-4</v>
      </c>
      <c r="P469">
        <v>0.99655959999999999</v>
      </c>
      <c r="Q469">
        <v>7.1533669999999994E-2</v>
      </c>
      <c r="R469">
        <v>-4.1861280000000001E-2</v>
      </c>
      <c r="S469">
        <v>3.0188600000000001</v>
      </c>
      <c r="T469">
        <v>-0.16607</v>
      </c>
      <c r="U469">
        <v>-8.3099370000000006E-2</v>
      </c>
      <c r="V469">
        <v>4.1710850000000001E-2</v>
      </c>
      <c r="W469">
        <v>8.5576479999999996E-2</v>
      </c>
      <c r="X469">
        <v>0.99545810000000001</v>
      </c>
      <c r="Y469">
        <v>2.7317000000000001E-2</v>
      </c>
      <c r="Z469">
        <v>-7.4195339999999998E-4</v>
      </c>
      <c r="AA469">
        <v>0.99962649999999997</v>
      </c>
      <c r="AB469">
        <v>28</v>
      </c>
      <c r="AC469">
        <v>20.039400000000001</v>
      </c>
      <c r="AD469">
        <v>-1.110273628187</v>
      </c>
      <c r="AE469">
        <v>-0.55570000000000097</v>
      </c>
      <c r="AF469">
        <v>0.55083723061572598</v>
      </c>
      <c r="AG469">
        <v>-1.110273628187</v>
      </c>
      <c r="AH469">
        <v>19.978208507972901</v>
      </c>
      <c r="AI469">
        <v>93.179691098098104</v>
      </c>
      <c r="AJ469">
        <v>88.420646447133507</v>
      </c>
      <c r="AK469">
        <v>20.016616706429701</v>
      </c>
      <c r="AL469">
        <v>85.0908243646779</v>
      </c>
      <c r="AM469">
        <v>87.600643856924705</v>
      </c>
      <c r="AN469">
        <v>0.99999997889626102</v>
      </c>
    </row>
    <row r="470" spans="1:40" x14ac:dyDescent="0.25">
      <c r="A470" t="str">
        <f>"20190312154809738"</f>
        <v>20190312154809738</v>
      </c>
      <c r="B470" t="str">
        <f>"1552376889726401"</f>
        <v>1552376889726401</v>
      </c>
      <c r="C470" t="s">
        <v>40</v>
      </c>
      <c r="D470">
        <v>5.0587920000000004</v>
      </c>
      <c r="E470">
        <v>0.49654720000000002</v>
      </c>
      <c r="F470" t="s">
        <v>42</v>
      </c>
      <c r="G470">
        <v>-330.22840000000002</v>
      </c>
      <c r="H470" s="1">
        <v>-4.6258699999999996E-6</v>
      </c>
      <c r="I470">
        <v>367.07080000000002</v>
      </c>
      <c r="J470">
        <v>-350.11919999999998</v>
      </c>
      <c r="K470">
        <v>1.110271</v>
      </c>
      <c r="L470">
        <v>367.62169999999998</v>
      </c>
      <c r="M470">
        <v>0.99990069999999998</v>
      </c>
      <c r="N470">
        <v>0</v>
      </c>
      <c r="O470">
        <v>-1.701141E-4</v>
      </c>
      <c r="P470">
        <v>0.99654960000000004</v>
      </c>
      <c r="Q470">
        <v>7.1607119999999996E-2</v>
      </c>
      <c r="R470">
        <v>-4.1972809999999999E-2</v>
      </c>
      <c r="S470">
        <v>3.0189210000000002</v>
      </c>
      <c r="T470">
        <v>-0.167290299999999</v>
      </c>
      <c r="U470">
        <v>-8.3007810000000001E-2</v>
      </c>
      <c r="V470">
        <v>4.1810609999999998E-2</v>
      </c>
      <c r="W470">
        <v>8.5648219999999997E-2</v>
      </c>
      <c r="X470">
        <v>0.99544779999999999</v>
      </c>
      <c r="Y470">
        <v>2.727386E-2</v>
      </c>
      <c r="Z470">
        <v>-7.4553589999999995E-4</v>
      </c>
      <c r="AA470">
        <v>0.99962770000000001</v>
      </c>
      <c r="AB470">
        <v>28</v>
      </c>
      <c r="AC470">
        <v>19.890799999999899</v>
      </c>
      <c r="AD470">
        <v>-1.1102756258699999</v>
      </c>
      <c r="AE470">
        <v>-0.55089999999995598</v>
      </c>
      <c r="AF470">
        <v>0.54581664729566903</v>
      </c>
      <c r="AG470">
        <v>-1.1102756258699999</v>
      </c>
      <c r="AH470">
        <v>19.8291588724238</v>
      </c>
      <c r="AI470">
        <v>93.203552048774498</v>
      </c>
      <c r="AJ470">
        <v>88.423276762420898</v>
      </c>
      <c r="AK470">
        <v>19.8677167627709</v>
      </c>
      <c r="AL470">
        <v>85.086699088011301</v>
      </c>
      <c r="AM470">
        <v>87.594887181813306</v>
      </c>
      <c r="AN470">
        <v>1.00000003361128</v>
      </c>
    </row>
    <row r="471" spans="1:40" x14ac:dyDescent="0.25">
      <c r="A471" t="str">
        <f>"20190312154809756"</f>
        <v>20190312154809756</v>
      </c>
      <c r="B471" t="str">
        <f>"1552376889746898"</f>
        <v>1552376889746898</v>
      </c>
      <c r="C471" t="s">
        <v>40</v>
      </c>
      <c r="D471">
        <v>5.0831189999999999</v>
      </c>
      <c r="E471">
        <v>0.49649850000000001</v>
      </c>
      <c r="F471" t="s">
        <v>42</v>
      </c>
      <c r="G471">
        <v>-330.02719999999999</v>
      </c>
      <c r="H471" s="1">
        <v>-4.7131370000000002E-6</v>
      </c>
      <c r="I471">
        <v>367.06529999999998</v>
      </c>
      <c r="J471">
        <v>-349.90050000000002</v>
      </c>
      <c r="K471">
        <v>1.110271</v>
      </c>
      <c r="L471">
        <v>367.62169999999998</v>
      </c>
      <c r="M471">
        <v>0.99990060000000003</v>
      </c>
      <c r="N471">
        <v>0</v>
      </c>
      <c r="O471">
        <v>-1.8797240000000001E-4</v>
      </c>
      <c r="P471">
        <v>0.99652099999999999</v>
      </c>
      <c r="Q471">
        <v>7.1727330000000006E-2</v>
      </c>
      <c r="R471">
        <v>-4.2438030000000002E-2</v>
      </c>
      <c r="S471">
        <v>3.0188600000000001</v>
      </c>
      <c r="T471">
        <v>-0.16682</v>
      </c>
      <c r="U471">
        <v>-8.3587649999999999E-2</v>
      </c>
      <c r="V471">
        <v>4.2258070000000002E-2</v>
      </c>
      <c r="W471">
        <v>8.5765549999999996E-2</v>
      </c>
      <c r="X471">
        <v>0.99541880000000005</v>
      </c>
      <c r="Y471">
        <v>2.7448400000000001E-2</v>
      </c>
      <c r="Z471">
        <v>-7.4728809999999996E-4</v>
      </c>
      <c r="AA471">
        <v>0.99962289999999998</v>
      </c>
      <c r="AB471">
        <v>28</v>
      </c>
      <c r="AC471">
        <v>19.8733</v>
      </c>
      <c r="AD471">
        <v>-1.110275713137</v>
      </c>
      <c r="AE471">
        <v>-0.55639999999999601</v>
      </c>
      <c r="AF471">
        <v>0.55094572164491096</v>
      </c>
      <c r="AG471">
        <v>-1.110275713137</v>
      </c>
      <c r="AH471">
        <v>19.811616646675901</v>
      </c>
      <c r="AI471">
        <v>93.206357916697002</v>
      </c>
      <c r="AJ471">
        <v>88.407059278196897</v>
      </c>
      <c r="AK471">
        <v>19.8503503118264</v>
      </c>
      <c r="AL471">
        <v>85.079951732616394</v>
      </c>
      <c r="AM471">
        <v>87.569107479599296</v>
      </c>
      <c r="AN471">
        <v>1.00000003072018</v>
      </c>
    </row>
    <row r="472" spans="1:40" x14ac:dyDescent="0.25">
      <c r="A472" t="str">
        <f>"20190312154809769"</f>
        <v>20190312154809769</v>
      </c>
      <c r="B472" t="str">
        <f>"1552376889766418"</f>
        <v>1552376889766418</v>
      </c>
      <c r="C472" t="s">
        <v>40</v>
      </c>
      <c r="D472">
        <v>5.1186790000000002</v>
      </c>
      <c r="E472">
        <v>0.4965212</v>
      </c>
      <c r="F472" t="s">
        <v>42</v>
      </c>
      <c r="G472">
        <v>-329.77510000000001</v>
      </c>
      <c r="H472" s="1">
        <v>-7.4360089999999899E-7</v>
      </c>
      <c r="I472">
        <v>367.05700000000002</v>
      </c>
      <c r="J472">
        <v>-349.73829999999998</v>
      </c>
      <c r="K472">
        <v>1.1102700000000001</v>
      </c>
      <c r="L472">
        <v>367.62169999999998</v>
      </c>
      <c r="M472">
        <v>0.99990080000000003</v>
      </c>
      <c r="N472">
        <v>0</v>
      </c>
      <c r="O472">
        <v>-2.0178770000000001E-4</v>
      </c>
      <c r="P472">
        <v>0.99652839999999998</v>
      </c>
      <c r="Q472">
        <v>7.1460720000000005E-2</v>
      </c>
      <c r="R472">
        <v>-4.2714830000000002E-2</v>
      </c>
      <c r="S472">
        <v>3.0188290000000002</v>
      </c>
      <c r="T472">
        <v>-0.16654070000000001</v>
      </c>
      <c r="U472">
        <v>-8.4686280000000003E-2</v>
      </c>
      <c r="V472">
        <v>4.2521030000000001E-2</v>
      </c>
      <c r="W472">
        <v>8.5497130000000005E-2</v>
      </c>
      <c r="X472">
        <v>0.99543060000000005</v>
      </c>
      <c r="Y472">
        <v>2.7798E-2</v>
      </c>
      <c r="Z472">
        <v>-7.5491519999999995E-4</v>
      </c>
      <c r="AA472">
        <v>0.99961330000000004</v>
      </c>
      <c r="AB472">
        <v>28</v>
      </c>
      <c r="AC472">
        <v>19.963199999999901</v>
      </c>
      <c r="AD472">
        <v>-1.1102707436008901</v>
      </c>
      <c r="AE472">
        <v>-0.56470000000001597</v>
      </c>
      <c r="AF472">
        <v>0.558943760053217</v>
      </c>
      <c r="AG472">
        <v>-1.1102707436008901</v>
      </c>
      <c r="AH472">
        <v>19.9018040033361</v>
      </c>
      <c r="AI472">
        <v>93.191819247553198</v>
      </c>
      <c r="AJ472">
        <v>88.391266327200398</v>
      </c>
      <c r="AK472">
        <v>19.9405847917809</v>
      </c>
      <c r="AL472">
        <v>85.095387309269498</v>
      </c>
      <c r="AM472">
        <v>87.554027999711593</v>
      </c>
      <c r="AN472">
        <v>0.99999993832342704</v>
      </c>
    </row>
    <row r="473" spans="1:40" x14ac:dyDescent="0.25">
      <c r="A473" t="str">
        <f>"20190312154809781"</f>
        <v>20190312154809781</v>
      </c>
      <c r="B473" t="str">
        <f>"1552376889776178"</f>
        <v>1552376889776178</v>
      </c>
      <c r="C473" t="s">
        <v>40</v>
      </c>
      <c r="D473">
        <v>5.1300420000000004</v>
      </c>
      <c r="E473">
        <v>0.49653399999999998</v>
      </c>
      <c r="F473" t="s">
        <v>42</v>
      </c>
      <c r="G473">
        <v>-329.78320000000002</v>
      </c>
      <c r="H473" s="1">
        <v>-7.4116689999999999E-7</v>
      </c>
      <c r="I473">
        <v>367.05579999999998</v>
      </c>
      <c r="J473">
        <v>-349.58699999999999</v>
      </c>
      <c r="K473">
        <v>1.110268</v>
      </c>
      <c r="L473">
        <v>367.6216</v>
      </c>
      <c r="M473">
        <v>0.99990060000000003</v>
      </c>
      <c r="N473">
        <v>0</v>
      </c>
      <c r="O473">
        <v>-2.147734E-4</v>
      </c>
      <c r="P473">
        <v>0.99653080000000005</v>
      </c>
      <c r="Q473">
        <v>7.1196620000000002E-2</v>
      </c>
      <c r="R473">
        <v>-4.3101269999999997E-2</v>
      </c>
      <c r="S473">
        <v>3.0188290000000002</v>
      </c>
      <c r="T473">
        <v>-0.16796259999999999</v>
      </c>
      <c r="U473">
        <v>-8.560181E-2</v>
      </c>
      <c r="V473">
        <v>4.2894429999999997E-2</v>
      </c>
      <c r="W473">
        <v>8.5231080000000001E-2</v>
      </c>
      <c r="X473">
        <v>0.99543740000000003</v>
      </c>
      <c r="Y473">
        <v>2.808679E-2</v>
      </c>
      <c r="Z473">
        <v>-7.686511E-4</v>
      </c>
      <c r="AA473">
        <v>0.99960519999999997</v>
      </c>
      <c r="AB473">
        <v>28</v>
      </c>
      <c r="AC473">
        <v>19.803799999999899</v>
      </c>
      <c r="AD473">
        <v>-1.1102687411668899</v>
      </c>
      <c r="AE473">
        <v>-0.56580000000002395</v>
      </c>
      <c r="AF473">
        <v>0.55978819560151905</v>
      </c>
      <c r="AG473">
        <v>-1.1102687411668899</v>
      </c>
      <c r="AH473">
        <v>19.741920713829401</v>
      </c>
      <c r="AI473">
        <v>93.217584383483896</v>
      </c>
      <c r="AJ473">
        <v>88.375795866550106</v>
      </c>
      <c r="AK473">
        <v>19.781038723299499</v>
      </c>
      <c r="AL473">
        <v>85.110686721883795</v>
      </c>
      <c r="AM473">
        <v>87.532591872039006</v>
      </c>
      <c r="AN473">
        <v>0.99999994322087304</v>
      </c>
    </row>
    <row r="474" spans="1:40" x14ac:dyDescent="0.25">
      <c r="A474" t="str">
        <f>"20190312154809802"</f>
        <v>20190312154809802</v>
      </c>
      <c r="B474" t="str">
        <f>"1552376889796674"</f>
        <v>1552376889796674</v>
      </c>
      <c r="C474" t="s">
        <v>40</v>
      </c>
      <c r="D474">
        <v>5.1013960000000003</v>
      </c>
      <c r="E474">
        <v>0.49654559999999998</v>
      </c>
      <c r="F474" t="s">
        <v>42</v>
      </c>
      <c r="G474">
        <v>-329.77190000000002</v>
      </c>
      <c r="H474" s="1">
        <v>-7.4585729999999898E-7</v>
      </c>
      <c r="I474">
        <v>367.05259999999998</v>
      </c>
      <c r="J474">
        <v>-349.3313</v>
      </c>
      <c r="K474">
        <v>1.1102639999999999</v>
      </c>
      <c r="L474">
        <v>367.62150000000003</v>
      </c>
      <c r="M474">
        <v>0.99990080000000003</v>
      </c>
      <c r="N474">
        <v>0</v>
      </c>
      <c r="O474">
        <v>-2.3847460000000001E-4</v>
      </c>
      <c r="P474">
        <v>0.99654790000000004</v>
      </c>
      <c r="Q474">
        <v>7.057136E-2</v>
      </c>
      <c r="R474">
        <v>-4.3728719999999999E-2</v>
      </c>
      <c r="S474">
        <v>3.0187680000000001</v>
      </c>
      <c r="T474">
        <v>-0.16914460000000001</v>
      </c>
      <c r="U474">
        <v>-8.6669919999999998E-2</v>
      </c>
      <c r="V474">
        <v>4.3498200000000001E-2</v>
      </c>
      <c r="W474">
        <v>8.4603460000000005E-2</v>
      </c>
      <c r="X474">
        <v>0.99546480000000004</v>
      </c>
      <c r="Y474">
        <v>2.8415969999999999E-2</v>
      </c>
      <c r="Z474">
        <v>-7.8195049999999996E-4</v>
      </c>
      <c r="AA474">
        <v>0.99959589999999998</v>
      </c>
      <c r="AB474">
        <v>28</v>
      </c>
      <c r="AC474">
        <v>19.559399999999901</v>
      </c>
      <c r="AD474">
        <v>-1.1102647458572901</v>
      </c>
      <c r="AE474">
        <v>-0.56890000000004104</v>
      </c>
      <c r="AF474">
        <v>0.562424432497039</v>
      </c>
      <c r="AG474">
        <v>-1.1102647458572901</v>
      </c>
      <c r="AH474">
        <v>19.496767254015499</v>
      </c>
      <c r="AI474">
        <v>93.257898475115297</v>
      </c>
      <c r="AJ474">
        <v>88.347643394710104</v>
      </c>
      <c r="AK474">
        <v>19.5364516329197</v>
      </c>
      <c r="AL474">
        <v>85.146777352765397</v>
      </c>
      <c r="AM474">
        <v>87.4979739402538</v>
      </c>
      <c r="AN474">
        <v>1.00000000344312</v>
      </c>
    </row>
    <row r="475" spans="1:40" x14ac:dyDescent="0.25">
      <c r="A475" t="str">
        <f>"20190312154809825"</f>
        <v>20190312154809825</v>
      </c>
      <c r="B475" t="str">
        <f>"1552376889816194"</f>
        <v>1552376889816194</v>
      </c>
      <c r="C475" t="s">
        <v>40</v>
      </c>
      <c r="D475">
        <v>5.0988150000000001</v>
      </c>
      <c r="E475">
        <v>0.49658720000000001</v>
      </c>
      <c r="F475" t="s">
        <v>42</v>
      </c>
      <c r="G475">
        <v>-329.83120000000002</v>
      </c>
      <c r="H475" s="1">
        <v>-7.2669489999999999E-7</v>
      </c>
      <c r="I475">
        <v>367.04880000000003</v>
      </c>
      <c r="J475">
        <v>-349.03629999999998</v>
      </c>
      <c r="K475">
        <v>1.110263</v>
      </c>
      <c r="L475">
        <v>367.62139999999999</v>
      </c>
      <c r="M475">
        <v>0.99990089999999998</v>
      </c>
      <c r="N475">
        <v>0</v>
      </c>
      <c r="O475">
        <v>-2.6694499999999999E-4</v>
      </c>
      <c r="P475">
        <v>0.99654319999999996</v>
      </c>
      <c r="Q475">
        <v>7.0445250000000001E-2</v>
      </c>
      <c r="R475">
        <v>-4.4041759999999999E-2</v>
      </c>
      <c r="S475">
        <v>3.018707</v>
      </c>
      <c r="T475">
        <v>-0.17187379999999999</v>
      </c>
      <c r="U475">
        <v>-8.8653560000000006E-2</v>
      </c>
      <c r="V475">
        <v>4.378282E-2</v>
      </c>
      <c r="W475">
        <v>8.4473740000000005E-2</v>
      </c>
      <c r="X475">
        <v>0.99546330000000005</v>
      </c>
      <c r="Y475">
        <v>2.9041979999999998E-2</v>
      </c>
      <c r="Z475">
        <v>-8.1073910000000003E-4</v>
      </c>
      <c r="AA475">
        <v>0.99957790000000002</v>
      </c>
      <c r="AB475">
        <v>28</v>
      </c>
      <c r="AC475">
        <v>19.205099999999899</v>
      </c>
      <c r="AD475">
        <v>-1.1102637266949</v>
      </c>
      <c r="AE475">
        <v>-0.57259999999996503</v>
      </c>
      <c r="AF475">
        <v>0.56558420731011905</v>
      </c>
      <c r="AG475">
        <v>-1.1102637266949</v>
      </c>
      <c r="AH475">
        <v>19.141336780141899</v>
      </c>
      <c r="AI475">
        <v>93.318188868199798</v>
      </c>
      <c r="AJ475">
        <v>88.307528750763794</v>
      </c>
      <c r="AK475">
        <v>19.1818493573791</v>
      </c>
      <c r="AL475">
        <v>85.154236275946602</v>
      </c>
      <c r="AM475">
        <v>87.481619754487397</v>
      </c>
      <c r="AN475">
        <v>0.99999996486181397</v>
      </c>
    </row>
    <row r="476" spans="1:40" x14ac:dyDescent="0.25">
      <c r="A476" t="str">
        <f>"20190312154809845"</f>
        <v>20190312154809845</v>
      </c>
      <c r="B476" t="str">
        <f>"1552376889836693"</f>
        <v>1552376889836693</v>
      </c>
      <c r="C476" t="s">
        <v>40</v>
      </c>
      <c r="D476">
        <v>5.1470279999999997</v>
      </c>
      <c r="E476">
        <v>0.4964074</v>
      </c>
      <c r="F476" t="s">
        <v>42</v>
      </c>
      <c r="G476">
        <v>-329.67270000000002</v>
      </c>
      <c r="H476" s="1">
        <v>-7.8142379999999999E-7</v>
      </c>
      <c r="I476">
        <v>367.04579999999999</v>
      </c>
      <c r="J476">
        <v>-348.78500000000003</v>
      </c>
      <c r="K476">
        <v>1.1102609999999999</v>
      </c>
      <c r="L476">
        <v>367.62130000000002</v>
      </c>
      <c r="M476">
        <v>0.99990089999999998</v>
      </c>
      <c r="N476">
        <v>0</v>
      </c>
      <c r="O476">
        <v>-2.9172520000000002E-4</v>
      </c>
      <c r="P476">
        <v>0.99657340000000005</v>
      </c>
      <c r="Q476">
        <v>6.9723090000000001E-2</v>
      </c>
      <c r="R476">
        <v>-4.4503269999999998E-2</v>
      </c>
      <c r="S476">
        <v>3.0186769999999998</v>
      </c>
      <c r="T476">
        <v>-0.17308309999999999</v>
      </c>
      <c r="U476">
        <v>-8.9721679999999998E-2</v>
      </c>
      <c r="V476">
        <v>4.4219769999999999E-2</v>
      </c>
      <c r="W476">
        <v>8.3749149999999994E-2</v>
      </c>
      <c r="X476">
        <v>0.99550530000000004</v>
      </c>
      <c r="Y476">
        <v>2.9369719999999998E-2</v>
      </c>
      <c r="Z476">
        <v>-8.244045E-4</v>
      </c>
      <c r="AA476">
        <v>0.99956829999999997</v>
      </c>
      <c r="AB476">
        <v>28</v>
      </c>
      <c r="AC476">
        <v>19.112300000000001</v>
      </c>
      <c r="AD476">
        <v>-1.1102617814238001</v>
      </c>
      <c r="AE476">
        <v>-0.57550000000003299</v>
      </c>
      <c r="AF476">
        <v>0.56800880615416405</v>
      </c>
      <c r="AG476">
        <v>-1.1102617814238001</v>
      </c>
      <c r="AH476">
        <v>19.0482447344164</v>
      </c>
      <c r="AI476">
        <v>93.334336291198099</v>
      </c>
      <c r="AJ476">
        <v>88.291975627839705</v>
      </c>
      <c r="AK476">
        <v>19.089026761188801</v>
      </c>
      <c r="AL476">
        <v>85.195900303547205</v>
      </c>
      <c r="AM476">
        <v>87.456626477230998</v>
      </c>
      <c r="AN476">
        <v>1.00000005525633</v>
      </c>
    </row>
    <row r="477" spans="1:40" x14ac:dyDescent="0.25">
      <c r="A477" t="str">
        <f>"20190312154809857"</f>
        <v>20190312154809857</v>
      </c>
      <c r="B477" t="str">
        <f>"1552376889846451"</f>
        <v>1552376889846451</v>
      </c>
      <c r="C477" t="s">
        <v>40</v>
      </c>
      <c r="D477">
        <v>5.1243480000000003</v>
      </c>
      <c r="E477">
        <v>0.49632949999999998</v>
      </c>
      <c r="F477" t="s">
        <v>42</v>
      </c>
      <c r="G477">
        <v>-329.76029999999997</v>
      </c>
      <c r="H477" s="1">
        <v>-7.4841480000000001E-7</v>
      </c>
      <c r="I477">
        <v>367.05790000000002</v>
      </c>
      <c r="J477">
        <v>-348.64600000000002</v>
      </c>
      <c r="K477">
        <v>1.1102540000000001</v>
      </c>
      <c r="L477">
        <v>367.62119999999999</v>
      </c>
      <c r="M477">
        <v>0.99990089999999998</v>
      </c>
      <c r="N477">
        <v>0</v>
      </c>
      <c r="O477">
        <v>-3.0542679999999997E-4</v>
      </c>
      <c r="P477">
        <v>0.99658979999999997</v>
      </c>
      <c r="Q477">
        <v>6.9416309999999995E-2</v>
      </c>
      <c r="R477">
        <v>-4.4613729999999997E-2</v>
      </c>
      <c r="S477">
        <v>3.0186459999999999</v>
      </c>
      <c r="T477">
        <v>-0.1761634</v>
      </c>
      <c r="U477">
        <v>-8.9385989999999999E-2</v>
      </c>
      <c r="V477">
        <v>4.4316590000000003E-2</v>
      </c>
      <c r="W477">
        <v>8.3441689999999999E-2</v>
      </c>
      <c r="X477">
        <v>0.99552669999999999</v>
      </c>
      <c r="Y477">
        <v>2.9243789999999999E-2</v>
      </c>
      <c r="Z477">
        <v>-8.3459219999999995E-4</v>
      </c>
      <c r="AA477">
        <v>0.99957200000000002</v>
      </c>
      <c r="AB477">
        <v>28</v>
      </c>
      <c r="AC477">
        <v>18.8856999999999</v>
      </c>
      <c r="AD477">
        <v>-1.1102547484148</v>
      </c>
      <c r="AE477">
        <v>-0.56329999999996905</v>
      </c>
      <c r="AF477">
        <v>0.55561268896861205</v>
      </c>
      <c r="AG477">
        <v>-1.1102547484148</v>
      </c>
      <c r="AH477">
        <v>18.820883221748499</v>
      </c>
      <c r="AI477">
        <v>93.374531927933305</v>
      </c>
      <c r="AJ477">
        <v>88.309058146106693</v>
      </c>
      <c r="AK477">
        <v>18.8617871982804</v>
      </c>
      <c r="AL477">
        <v>85.213577801977095</v>
      </c>
      <c r="AM477">
        <v>87.4511197707441</v>
      </c>
      <c r="AN477">
        <v>0.99999994309608498</v>
      </c>
    </row>
    <row r="478" spans="1:40" x14ac:dyDescent="0.25">
      <c r="A478" t="str">
        <f>"20190312154809868"</f>
        <v>20190312154809868</v>
      </c>
      <c r="B478" t="str">
        <f>"1552376889856211"</f>
        <v>1552376889856211</v>
      </c>
      <c r="C478" t="s">
        <v>40</v>
      </c>
      <c r="D478">
        <v>5.1592260000000003</v>
      </c>
      <c r="E478">
        <v>0.49619180000000002</v>
      </c>
      <c r="F478" t="s">
        <v>42</v>
      </c>
      <c r="G478">
        <v>-329.76889999999997</v>
      </c>
      <c r="H478" s="1">
        <v>-7.4390439999999996E-7</v>
      </c>
      <c r="I478">
        <v>367.06369999999998</v>
      </c>
      <c r="J478">
        <v>-348.50259999999997</v>
      </c>
      <c r="K478">
        <v>1.1102529999999999</v>
      </c>
      <c r="L478">
        <v>367.62119999999999</v>
      </c>
      <c r="M478">
        <v>0.99990080000000003</v>
      </c>
      <c r="N478">
        <v>0</v>
      </c>
      <c r="O478">
        <v>-3.1960590000000002E-4</v>
      </c>
      <c r="P478">
        <v>0.99662669999999998</v>
      </c>
      <c r="Q478">
        <v>6.89105E-2</v>
      </c>
      <c r="R478">
        <v>-4.4574750000000003E-2</v>
      </c>
      <c r="S478">
        <v>3.0186459999999999</v>
      </c>
      <c r="T478">
        <v>-0.17754130000000001</v>
      </c>
      <c r="U478">
        <v>-8.9141849999999995E-2</v>
      </c>
      <c r="V478">
        <v>4.4263480000000001E-2</v>
      </c>
      <c r="W478">
        <v>8.2934690000000005E-2</v>
      </c>
      <c r="X478">
        <v>0.99557150000000005</v>
      </c>
      <c r="Y478">
        <v>2.9148259999999999E-2</v>
      </c>
      <c r="Z478">
        <v>-8.3747009999999905E-4</v>
      </c>
      <c r="AA478">
        <v>0.99957470000000004</v>
      </c>
      <c r="AB478">
        <v>28</v>
      </c>
      <c r="AC478">
        <v>18.733699999999999</v>
      </c>
      <c r="AD478">
        <v>-1.1102537439044</v>
      </c>
      <c r="AE478">
        <v>-0.55750000000000399</v>
      </c>
      <c r="AF478">
        <v>0.54958335751602205</v>
      </c>
      <c r="AG478">
        <v>-1.1102537439044</v>
      </c>
      <c r="AH478">
        <v>18.668365488102399</v>
      </c>
      <c r="AI478">
        <v>93.402041958918801</v>
      </c>
      <c r="AJ478">
        <v>88.313740171533098</v>
      </c>
      <c r="AK478">
        <v>18.709424770422199</v>
      </c>
      <c r="AL478">
        <v>85.242728145333501</v>
      </c>
      <c r="AM478">
        <v>87.454284794692896</v>
      </c>
      <c r="AN478">
        <v>1.00000001503967</v>
      </c>
    </row>
    <row r="479" spans="1:40" x14ac:dyDescent="0.25">
      <c r="A479" t="str">
        <f>"20190312154809880"</f>
        <v>20190312154809880</v>
      </c>
      <c r="B479" t="str">
        <f>"1552376889876706"</f>
        <v>1552376889876706</v>
      </c>
      <c r="C479" t="s">
        <v>40</v>
      </c>
      <c r="D479">
        <v>5.1314609999999998</v>
      </c>
      <c r="E479">
        <v>0.49592809999999998</v>
      </c>
      <c r="F479" t="s">
        <v>42</v>
      </c>
      <c r="G479">
        <v>-329.77859999999998</v>
      </c>
      <c r="H479" s="1">
        <v>-7.3751739999999899E-7</v>
      </c>
      <c r="I479">
        <v>367.07530000000003</v>
      </c>
      <c r="J479">
        <v>-348.35570000000001</v>
      </c>
      <c r="K479">
        <v>1.110252</v>
      </c>
      <c r="L479">
        <v>367.62119999999999</v>
      </c>
      <c r="M479">
        <v>0.99990089999999998</v>
      </c>
      <c r="N479">
        <v>0</v>
      </c>
      <c r="O479">
        <v>-3.3390580000000001E-4</v>
      </c>
      <c r="P479">
        <v>0.99665400000000004</v>
      </c>
      <c r="Q479">
        <v>6.8563280000000004E-2</v>
      </c>
      <c r="R479">
        <v>-4.4495460000000001E-2</v>
      </c>
      <c r="S479">
        <v>3.0185849999999999</v>
      </c>
      <c r="T479">
        <v>-0.17898889999999901</v>
      </c>
      <c r="U479">
        <v>-8.7982179999999993E-2</v>
      </c>
      <c r="V479">
        <v>4.4170189999999998E-2</v>
      </c>
      <c r="W479">
        <v>8.2586350000000003E-2</v>
      </c>
      <c r="X479">
        <v>0.99560459999999995</v>
      </c>
      <c r="Y479">
        <v>2.875078E-2</v>
      </c>
      <c r="Z479">
        <v>-8.3169029999999896E-4</v>
      </c>
      <c r="AA479">
        <v>0.99958630000000004</v>
      </c>
      <c r="AB479">
        <v>28</v>
      </c>
      <c r="AC479">
        <v>18.577100000000002</v>
      </c>
      <c r="AD479">
        <v>-1.1102527375173901</v>
      </c>
      <c r="AE479">
        <v>-0.54589999999995997</v>
      </c>
      <c r="AF479">
        <v>0.53777717517006995</v>
      </c>
      <c r="AG479">
        <v>-1.1102527375173901</v>
      </c>
      <c r="AH479">
        <v>18.511219819731899</v>
      </c>
      <c r="AI479">
        <v>93.430889605993997</v>
      </c>
      <c r="AJ479">
        <v>88.335944429728499</v>
      </c>
      <c r="AK479">
        <v>18.552280847532899</v>
      </c>
      <c r="AL479">
        <v>85.262755261550794</v>
      </c>
      <c r="AM479">
        <v>87.459727470898798</v>
      </c>
      <c r="AN479">
        <v>1.00000001521605</v>
      </c>
    </row>
    <row r="480" spans="1:40" x14ac:dyDescent="0.25">
      <c r="A480" t="str">
        <f>"20190312154809891"</f>
        <v>20190312154809891</v>
      </c>
      <c r="B480" t="str">
        <f>"1552376889886466"</f>
        <v>1552376889886466</v>
      </c>
      <c r="C480" t="s">
        <v>40</v>
      </c>
      <c r="D480">
        <v>5.0992470000000001</v>
      </c>
      <c r="E480">
        <v>0.49579269999999998</v>
      </c>
      <c r="F480" t="s">
        <v>42</v>
      </c>
      <c r="G480">
        <v>-329.72969999999998</v>
      </c>
      <c r="H480" s="1">
        <v>-7.4925069999999996E-7</v>
      </c>
      <c r="I480">
        <v>367.09379999999999</v>
      </c>
      <c r="J480">
        <v>-348.22559999999999</v>
      </c>
      <c r="K480">
        <v>1.1102559999999999</v>
      </c>
      <c r="L480">
        <v>367.62110000000001</v>
      </c>
      <c r="M480">
        <v>0.99990089999999998</v>
      </c>
      <c r="N480">
        <v>0</v>
      </c>
      <c r="O480">
        <v>-3.4665299999999999E-4</v>
      </c>
      <c r="P480">
        <v>0.99665250000000005</v>
      </c>
      <c r="Q480">
        <v>6.8527480000000002E-2</v>
      </c>
      <c r="R480">
        <v>-4.4588530000000001E-2</v>
      </c>
      <c r="S480">
        <v>3.0186769999999998</v>
      </c>
      <c r="T480">
        <v>-0.17993499999999901</v>
      </c>
      <c r="U480">
        <v>-8.5449220000000006E-2</v>
      </c>
      <c r="V480">
        <v>4.4250360000000002E-2</v>
      </c>
      <c r="W480">
        <v>8.2549300000000006E-2</v>
      </c>
      <c r="X480">
        <v>0.99560409999999999</v>
      </c>
      <c r="Y480">
        <v>2.7900100000000001E-2</v>
      </c>
      <c r="Z480">
        <v>-8.0997809999999997E-4</v>
      </c>
      <c r="AA480">
        <v>0.99961040000000001</v>
      </c>
      <c r="AB480">
        <v>28</v>
      </c>
      <c r="AC480">
        <v>18.495899999999999</v>
      </c>
      <c r="AD480">
        <v>-1.1102567492506901</v>
      </c>
      <c r="AE480">
        <v>-0.52730000000002497</v>
      </c>
      <c r="AF480">
        <v>0.51901903095123902</v>
      </c>
      <c r="AG480">
        <v>-1.1102567492506901</v>
      </c>
      <c r="AH480">
        <v>18.429728476026501</v>
      </c>
      <c r="AI480">
        <v>93.446123419850494</v>
      </c>
      <c r="AJ480">
        <v>88.386859464886797</v>
      </c>
      <c r="AK480">
        <v>18.470434280325101</v>
      </c>
      <c r="AL480">
        <v>85.264885283615797</v>
      </c>
      <c r="AM480">
        <v>87.455121592463797</v>
      </c>
      <c r="AN480">
        <v>1.0000000026137099</v>
      </c>
    </row>
    <row r="481" spans="1:40" x14ac:dyDescent="0.25">
      <c r="A481" t="str">
        <f>"20190312154809902"</f>
        <v>20190312154809902</v>
      </c>
      <c r="B481" t="str">
        <f>"1552376889897202"</f>
        <v>1552376889897202</v>
      </c>
      <c r="C481" t="s">
        <v>40</v>
      </c>
      <c r="D481">
        <v>5.1562199999999896</v>
      </c>
      <c r="E481">
        <v>0.49561369999999999</v>
      </c>
      <c r="F481" t="s">
        <v>42</v>
      </c>
      <c r="G481">
        <v>-329.60250000000002</v>
      </c>
      <c r="H481" s="1">
        <v>-7.9132790000000004E-7</v>
      </c>
      <c r="I481">
        <v>367.09840000000003</v>
      </c>
      <c r="J481">
        <v>-348.08780000000002</v>
      </c>
      <c r="K481">
        <v>1.110257</v>
      </c>
      <c r="L481">
        <v>367.62099999999998</v>
      </c>
      <c r="M481">
        <v>0.99990089999999998</v>
      </c>
      <c r="N481">
        <v>0</v>
      </c>
      <c r="O481">
        <v>-3.604697E-4</v>
      </c>
      <c r="P481">
        <v>0.9966663</v>
      </c>
      <c r="Q481">
        <v>6.8404800000000002E-2</v>
      </c>
      <c r="R481">
        <v>-4.4467109999999997E-2</v>
      </c>
      <c r="S481">
        <v>3.0186459999999999</v>
      </c>
      <c r="T481">
        <v>-0.17996239999999999</v>
      </c>
      <c r="U481">
        <v>-8.4716799999999995E-2</v>
      </c>
      <c r="V481">
        <v>4.4115170000000002E-2</v>
      </c>
      <c r="W481">
        <v>8.2424780000000003E-2</v>
      </c>
      <c r="X481">
        <v>0.99562039999999996</v>
      </c>
      <c r="Y481">
        <v>2.7644680000000001E-2</v>
      </c>
      <c r="Z481">
        <v>-8.0168389999999996E-4</v>
      </c>
      <c r="AA481">
        <v>0.99961750000000005</v>
      </c>
      <c r="AB481">
        <v>28</v>
      </c>
      <c r="AC481">
        <v>18.485299999999899</v>
      </c>
      <c r="AD481">
        <v>-1.1102577913278999</v>
      </c>
      <c r="AE481">
        <v>-0.52259999999995399</v>
      </c>
      <c r="AF481">
        <v>0.51408289243156302</v>
      </c>
      <c r="AG481">
        <v>-1.1102577913278999</v>
      </c>
      <c r="AH481">
        <v>18.419095165404698</v>
      </c>
      <c r="AI481">
        <v>93.448135548402803</v>
      </c>
      <c r="AJ481">
        <v>88.401271339539605</v>
      </c>
      <c r="AK481">
        <v>18.4596863542079</v>
      </c>
      <c r="AL481">
        <v>85.272044075276895</v>
      </c>
      <c r="AM481">
        <v>87.462927799856701</v>
      </c>
      <c r="AN481">
        <v>0.99999998673916801</v>
      </c>
    </row>
    <row r="482" spans="1:40" x14ac:dyDescent="0.25">
      <c r="A482" t="str">
        <f>"20190312154809914"</f>
        <v>20190312154809914</v>
      </c>
      <c r="B482" t="str">
        <f>"1552376889906962"</f>
        <v>1552376889906962</v>
      </c>
      <c r="C482" t="s">
        <v>40</v>
      </c>
      <c r="D482">
        <v>4.9988060000000001</v>
      </c>
      <c r="E482">
        <v>0.49561369999999999</v>
      </c>
      <c r="F482" t="s">
        <v>42</v>
      </c>
      <c r="G482">
        <v>-329.46570000000003</v>
      </c>
      <c r="H482" s="1">
        <v>-8.3539569999999899E-7</v>
      </c>
      <c r="I482">
        <v>367.10770000000002</v>
      </c>
      <c r="J482">
        <v>-347.93270000000001</v>
      </c>
      <c r="K482">
        <v>1.110257</v>
      </c>
      <c r="L482">
        <v>367.62090000000001</v>
      </c>
      <c r="M482">
        <v>0.99990089999999998</v>
      </c>
      <c r="N482">
        <v>0</v>
      </c>
      <c r="O482">
        <v>-3.7607450000000001E-4</v>
      </c>
      <c r="P482">
        <v>0.99667899999999998</v>
      </c>
      <c r="Q482">
        <v>6.8265019999999996E-2</v>
      </c>
      <c r="R482">
        <v>-4.4397430000000002E-2</v>
      </c>
      <c r="S482">
        <v>3.0186769999999998</v>
      </c>
      <c r="T482">
        <v>-0.1799741</v>
      </c>
      <c r="U482">
        <v>-8.3190920000000002E-2</v>
      </c>
      <c r="V482">
        <v>4.4029930000000002E-2</v>
      </c>
      <c r="W482">
        <v>8.228365E-2</v>
      </c>
      <c r="X482">
        <v>0.99563590000000002</v>
      </c>
      <c r="Y482">
        <v>2.7124849999999999E-2</v>
      </c>
      <c r="Z482">
        <v>-7.8532429999999902E-4</v>
      </c>
      <c r="AA482">
        <v>0.99963179999999996</v>
      </c>
      <c r="AB482">
        <v>28</v>
      </c>
      <c r="AC482">
        <v>18.466999999999899</v>
      </c>
      <c r="AD482">
        <v>-1.1102578353957</v>
      </c>
      <c r="AE482">
        <v>-0.513199999999983</v>
      </c>
      <c r="AF482">
        <v>0.50443241574370001</v>
      </c>
      <c r="AG482">
        <v>-1.1102578353957</v>
      </c>
      <c r="AH482">
        <v>18.400732556120602</v>
      </c>
      <c r="AI482">
        <v>93.451615626342402</v>
      </c>
      <c r="AJ482">
        <v>88.429703185967696</v>
      </c>
      <c r="AK482">
        <v>18.441097665946799</v>
      </c>
      <c r="AL482">
        <v>85.280158040022201</v>
      </c>
      <c r="AM482">
        <v>87.467862951781299</v>
      </c>
      <c r="AN482">
        <v>1.0000000395809601</v>
      </c>
    </row>
    <row r="483" spans="1:40" x14ac:dyDescent="0.25">
      <c r="A483" t="str">
        <f>"20190312154809927"</f>
        <v>20190312154809927</v>
      </c>
      <c r="B483" t="str">
        <f>"1552376889916722"</f>
        <v>1552376889916722</v>
      </c>
      <c r="C483" t="s">
        <v>40</v>
      </c>
      <c r="D483">
        <v>4.9371970000000003</v>
      </c>
      <c r="E483">
        <v>0.49543130000000002</v>
      </c>
      <c r="F483" t="s">
        <v>42</v>
      </c>
      <c r="G483">
        <v>-329.3535</v>
      </c>
      <c r="H483" s="1">
        <v>-8.7273540000000001E-7</v>
      </c>
      <c r="I483">
        <v>367.11090000000002</v>
      </c>
      <c r="J483">
        <v>-347.77010000000001</v>
      </c>
      <c r="K483">
        <v>1.110255</v>
      </c>
      <c r="L483">
        <v>367.62079999999997</v>
      </c>
      <c r="M483">
        <v>0.99990100000000004</v>
      </c>
      <c r="N483">
        <v>0</v>
      </c>
      <c r="O483">
        <v>-3.92156E-4</v>
      </c>
      <c r="P483">
        <v>0.99669529999999995</v>
      </c>
      <c r="Q483">
        <v>6.8055080000000004E-2</v>
      </c>
      <c r="R483">
        <v>-4.4352959999999997E-2</v>
      </c>
      <c r="S483">
        <v>3.018707</v>
      </c>
      <c r="T483">
        <v>-0.18039060000000001</v>
      </c>
      <c r="U483">
        <v>-8.2855219999999993E-2</v>
      </c>
      <c r="V483">
        <v>4.3969389999999997E-2</v>
      </c>
      <c r="W483">
        <v>8.2072649999999997E-2</v>
      </c>
      <c r="X483">
        <v>0.99565599999999999</v>
      </c>
      <c r="Y483">
        <v>2.6997449999999999E-2</v>
      </c>
      <c r="Z483">
        <v>-7.8236940000000002E-4</v>
      </c>
      <c r="AA483">
        <v>0.99963519999999995</v>
      </c>
      <c r="AB483">
        <v>28</v>
      </c>
      <c r="AC483">
        <v>18.416599999999999</v>
      </c>
      <c r="AD483">
        <v>-1.1102558727353999</v>
      </c>
      <c r="AE483">
        <v>-0.50989999999995905</v>
      </c>
      <c r="AF483">
        <v>0.50085816443920395</v>
      </c>
      <c r="AG483">
        <v>-1.1102558727353999</v>
      </c>
      <c r="AH483">
        <v>18.3501586721375</v>
      </c>
      <c r="AI483">
        <v>93.461110493245201</v>
      </c>
      <c r="AJ483">
        <v>88.436529279001405</v>
      </c>
      <c r="AK483">
        <v>18.390536976838199</v>
      </c>
      <c r="AL483">
        <v>85.2922885215538</v>
      </c>
      <c r="AM483">
        <v>87.471391033174598</v>
      </c>
      <c r="AN483">
        <v>1.0000000487354901</v>
      </c>
    </row>
    <row r="484" spans="1:40" x14ac:dyDescent="0.25">
      <c r="A484" t="str">
        <f>"20190312154809939"</f>
        <v>20190312154809939</v>
      </c>
      <c r="B484" t="str">
        <f>"1552376889926482"</f>
        <v>1552376889926482</v>
      </c>
      <c r="C484" t="s">
        <v>40</v>
      </c>
      <c r="D484">
        <v>4.974685</v>
      </c>
      <c r="E484">
        <v>0.49643949999999998</v>
      </c>
      <c r="F484" t="s">
        <v>45</v>
      </c>
      <c r="G484">
        <v>-182.6687</v>
      </c>
      <c r="H484" s="1">
        <v>-6.8969379999999998E-6</v>
      </c>
      <c r="I484">
        <v>362.81270000000001</v>
      </c>
      <c r="J484">
        <v>-347.62490000000003</v>
      </c>
      <c r="K484">
        <v>1.110252</v>
      </c>
      <c r="L484">
        <v>367.62079999999997</v>
      </c>
      <c r="M484">
        <v>0.99990089999999998</v>
      </c>
      <c r="N484">
        <v>0</v>
      </c>
      <c r="O484">
        <v>-4.0656939999999999E-4</v>
      </c>
      <c r="P484">
        <v>0.99671790000000005</v>
      </c>
      <c r="Q484">
        <v>6.7661579999999999E-2</v>
      </c>
      <c r="R484">
        <v>-4.4446979999999997E-2</v>
      </c>
      <c r="S484">
        <v>3.0074770000000002</v>
      </c>
      <c r="T484">
        <v>-2.0224450000000001E-2</v>
      </c>
      <c r="U484">
        <v>-8.7585449999999995E-2</v>
      </c>
      <c r="V484">
        <v>4.4049089999999999E-2</v>
      </c>
      <c r="W484">
        <v>8.1677730000000004E-2</v>
      </c>
      <c r="X484">
        <v>0.99568489999999998</v>
      </c>
      <c r="Y484">
        <v>2.870315E-2</v>
      </c>
      <c r="Z484" s="1">
        <v>-9.3755100000000006E-5</v>
      </c>
      <c r="AA484">
        <v>0.99958800000000003</v>
      </c>
      <c r="AB484">
        <v>28</v>
      </c>
      <c r="AC484">
        <v>164.9562</v>
      </c>
      <c r="AD484">
        <v>-1.1102588969380001</v>
      </c>
      <c r="AE484">
        <v>-4.8080999999999596</v>
      </c>
      <c r="AF484">
        <v>4.7408122349732196</v>
      </c>
      <c r="AG484">
        <v>-1.1102588969380001</v>
      </c>
      <c r="AH484">
        <v>164.950675236991</v>
      </c>
      <c r="AI484">
        <v>90.385484523928596</v>
      </c>
      <c r="AJ484">
        <v>88.353727392621195</v>
      </c>
      <c r="AK484">
        <v>165.02252342212199</v>
      </c>
      <c r="AL484">
        <v>85.314991751762904</v>
      </c>
      <c r="AM484">
        <v>87.466887010030405</v>
      </c>
      <c r="AN484">
        <v>0.99999999699789499</v>
      </c>
    </row>
    <row r="485" spans="1:40" x14ac:dyDescent="0.25">
      <c r="A485" t="str">
        <f>"20190312154809951"</f>
        <v>20190312154809951</v>
      </c>
      <c r="B485" t="str">
        <f>"1552376889946979"</f>
        <v>1552376889946979</v>
      </c>
      <c r="C485" t="s">
        <v>40</v>
      </c>
      <c r="D485">
        <v>4.7970370000000004</v>
      </c>
      <c r="E485">
        <v>0.4944076</v>
      </c>
      <c r="F485" t="s">
        <v>44</v>
      </c>
      <c r="G485">
        <v>-158.19499999999999</v>
      </c>
      <c r="H485">
        <v>1.651564</v>
      </c>
      <c r="I485">
        <v>361.48970000000003</v>
      </c>
      <c r="J485">
        <v>-347.4778</v>
      </c>
      <c r="K485">
        <v>1.110249</v>
      </c>
      <c r="L485">
        <v>367.62079999999997</v>
      </c>
      <c r="M485">
        <v>0.99990100000000004</v>
      </c>
      <c r="N485">
        <v>0</v>
      </c>
      <c r="O485">
        <v>-4.212207E-4</v>
      </c>
      <c r="P485">
        <v>0.99674640000000003</v>
      </c>
      <c r="Q485">
        <v>6.7255930000000005E-2</v>
      </c>
      <c r="R485">
        <v>-4.4424959999999999E-2</v>
      </c>
      <c r="S485">
        <v>3.0050050000000001</v>
      </c>
      <c r="T485">
        <v>8.5884329999999995E-3</v>
      </c>
      <c r="U485">
        <v>-9.7259520000000002E-2</v>
      </c>
      <c r="V485">
        <v>4.4012349999999999E-2</v>
      </c>
      <c r="W485">
        <v>8.1270919999999996E-2</v>
      </c>
      <c r="X485">
        <v>0.99571980000000004</v>
      </c>
      <c r="Y485">
        <v>3.1927730000000001E-2</v>
      </c>
      <c r="Z485" s="1">
        <v>4.4409709999999997E-5</v>
      </c>
      <c r="AA485">
        <v>0.9994902</v>
      </c>
      <c r="AB485">
        <v>28</v>
      </c>
      <c r="AC485">
        <v>189.28280000000001</v>
      </c>
      <c r="AD485">
        <v>0.54131499999999999</v>
      </c>
      <c r="AE485">
        <v>-6.1310999999999396</v>
      </c>
      <c r="AF485">
        <v>6.0513122962468797</v>
      </c>
      <c r="AG485">
        <v>0.54131499999999999</v>
      </c>
      <c r="AH485">
        <v>189.283819556418</v>
      </c>
      <c r="AI485">
        <v>89.836229302628496</v>
      </c>
      <c r="AJ485">
        <v>88.1689052536139</v>
      </c>
      <c r="AK485">
        <v>189.38129725055401</v>
      </c>
      <c r="AL485">
        <v>85.338377939801902</v>
      </c>
      <c r="AM485">
        <v>87.469085649890701</v>
      </c>
      <c r="AN485">
        <v>0.99999998475110397</v>
      </c>
    </row>
    <row r="486" spans="1:40" x14ac:dyDescent="0.25">
      <c r="A486" t="str">
        <f>"20190312154809969"</f>
        <v>20190312154809969</v>
      </c>
      <c r="B486" t="str">
        <f>"1552376889956739"</f>
        <v>1552376889956739</v>
      </c>
      <c r="C486" t="s">
        <v>40</v>
      </c>
      <c r="D486">
        <v>4.9200819999999998</v>
      </c>
      <c r="E486">
        <v>0.49334339999999999</v>
      </c>
      <c r="F486" t="s">
        <v>44</v>
      </c>
      <c r="G486">
        <v>-158.19499999999999</v>
      </c>
      <c r="H486">
        <v>0.28484920000000002</v>
      </c>
      <c r="I486">
        <v>362.5822</v>
      </c>
      <c r="J486">
        <v>-347.26569999999998</v>
      </c>
      <c r="K486">
        <v>1.110244</v>
      </c>
      <c r="L486">
        <v>367.62060000000002</v>
      </c>
      <c r="M486">
        <v>0.99990109999999999</v>
      </c>
      <c r="N486">
        <v>0</v>
      </c>
      <c r="O486">
        <v>-4.4218570000000002E-4</v>
      </c>
      <c r="P486">
        <v>0.99681969999999998</v>
      </c>
      <c r="Q486">
        <v>6.6044000000000005E-2</v>
      </c>
      <c r="R486">
        <v>-4.4595900000000001E-2</v>
      </c>
      <c r="S486">
        <v>3.0070800000000002</v>
      </c>
      <c r="T486">
        <v>-1.311147E-2</v>
      </c>
      <c r="U486">
        <v>-8.0047610000000005E-2</v>
      </c>
      <c r="V486">
        <v>4.4162270000000003E-2</v>
      </c>
      <c r="W486">
        <v>8.0057989999999996E-2</v>
      </c>
      <c r="X486">
        <v>0.99581149999999996</v>
      </c>
      <c r="Y486">
        <v>2.6167969999999999E-2</v>
      </c>
      <c r="Z486" s="1">
        <v>-5.5110549999999997E-5</v>
      </c>
      <c r="AA486">
        <v>0.99965760000000004</v>
      </c>
      <c r="AB486">
        <v>28</v>
      </c>
      <c r="AC486">
        <v>189.07069999999999</v>
      </c>
      <c r="AD486">
        <v>-0.82539479999999998</v>
      </c>
      <c r="AE486">
        <v>-5.0384000000000198</v>
      </c>
      <c r="AF486">
        <v>4.9546925273693203</v>
      </c>
      <c r="AG486">
        <v>-0.82539479999999998</v>
      </c>
      <c r="AH486">
        <v>189.069308933999</v>
      </c>
      <c r="AI486">
        <v>90.250041154150395</v>
      </c>
      <c r="AJ486">
        <v>88.498867878031803</v>
      </c>
      <c r="AK486">
        <v>189.13601940243001</v>
      </c>
      <c r="AL486">
        <v>85.408101292909393</v>
      </c>
      <c r="AM486">
        <v>87.460709369387203</v>
      </c>
      <c r="AN486">
        <v>1.0000000656933099</v>
      </c>
    </row>
    <row r="487" spans="1:40" x14ac:dyDescent="0.25">
      <c r="A487" t="str">
        <f>"20190312154809981"</f>
        <v>20190312154809981</v>
      </c>
      <c r="B487" t="str">
        <f>"1552376889976258"</f>
        <v>1552376889976258</v>
      </c>
      <c r="C487" t="s">
        <v>40</v>
      </c>
      <c r="D487">
        <v>4.8271090000000001</v>
      </c>
      <c r="E487">
        <v>0.49346279999999998</v>
      </c>
      <c r="F487" t="s">
        <v>45</v>
      </c>
      <c r="G487">
        <v>-199.77430000000001</v>
      </c>
      <c r="H487" s="1">
        <v>-9.6297280000000002E-6</v>
      </c>
      <c r="I487">
        <v>364.113</v>
      </c>
      <c r="J487">
        <v>-347.11509999999998</v>
      </c>
      <c r="K487">
        <v>1.1102399999999999</v>
      </c>
      <c r="L487">
        <v>367.62060000000002</v>
      </c>
      <c r="M487">
        <v>0.99990089999999998</v>
      </c>
      <c r="N487">
        <v>0</v>
      </c>
      <c r="O487">
        <v>-4.5672040000000001E-4</v>
      </c>
      <c r="P487">
        <v>0.9968553</v>
      </c>
      <c r="Q487">
        <v>6.5453659999999997E-2</v>
      </c>
      <c r="R487">
        <v>-4.467169E-2</v>
      </c>
      <c r="S487">
        <v>3.0078740000000002</v>
      </c>
      <c r="T487">
        <v>-2.2642019999999999E-2</v>
      </c>
      <c r="U487">
        <v>-7.1533200000000005E-2</v>
      </c>
      <c r="V487">
        <v>4.4223520000000002E-2</v>
      </c>
      <c r="W487">
        <v>7.9466209999999995E-2</v>
      </c>
      <c r="X487">
        <v>0.99585610000000002</v>
      </c>
      <c r="Y487">
        <v>2.3317979999999999E-2</v>
      </c>
      <c r="Z487" s="1">
        <v>-8.4312549999999905E-5</v>
      </c>
      <c r="AA487">
        <v>0.99972810000000001</v>
      </c>
      <c r="AB487">
        <v>28</v>
      </c>
      <c r="AC487">
        <v>147.34079999999901</v>
      </c>
      <c r="AD487">
        <v>-1.11024962972799</v>
      </c>
      <c r="AE487">
        <v>-3.5075999999999601</v>
      </c>
      <c r="AF487">
        <v>3.4401042041442098</v>
      </c>
      <c r="AG487">
        <v>-1.11024962972799</v>
      </c>
      <c r="AH487">
        <v>147.33402589632601</v>
      </c>
      <c r="AI487">
        <v>90.431632011537701</v>
      </c>
      <c r="AJ487">
        <v>88.662443086205201</v>
      </c>
      <c r="AK487">
        <v>147.37836394123499</v>
      </c>
      <c r="AL487">
        <v>85.442115793186701</v>
      </c>
      <c r="AM487">
        <v>87.457305900801899</v>
      </c>
      <c r="AN487">
        <v>0.99999998508008203</v>
      </c>
    </row>
    <row r="488" spans="1:40" x14ac:dyDescent="0.25">
      <c r="A488" t="str">
        <f>"20190312154809995"</f>
        <v>20190312154809995</v>
      </c>
      <c r="B488" t="str">
        <f>"1552376889986995"</f>
        <v>1552376889986995</v>
      </c>
      <c r="C488" t="s">
        <v>40</v>
      </c>
      <c r="D488">
        <v>4.7919470000000004</v>
      </c>
      <c r="E488">
        <v>0.49373329999999999</v>
      </c>
      <c r="F488" t="s">
        <v>43</v>
      </c>
      <c r="G488">
        <v>-149.1088</v>
      </c>
      <c r="H488">
        <v>-0.05</v>
      </c>
      <c r="I488">
        <v>362.78809999999999</v>
      </c>
      <c r="J488">
        <v>-346.93889999999999</v>
      </c>
      <c r="K488">
        <v>1.1102369999999999</v>
      </c>
      <c r="L488">
        <v>367.62049999999999</v>
      </c>
      <c r="M488">
        <v>0.99990109999999999</v>
      </c>
      <c r="N488">
        <v>0</v>
      </c>
      <c r="O488">
        <v>-4.7422859999999997E-4</v>
      </c>
      <c r="P488">
        <v>0.99688980000000005</v>
      </c>
      <c r="Q488">
        <v>6.4723580000000003E-2</v>
      </c>
      <c r="R488">
        <v>-4.4966350000000002E-2</v>
      </c>
      <c r="S488">
        <v>3.0073240000000001</v>
      </c>
      <c r="T488">
        <v>-1.762176E-2</v>
      </c>
      <c r="U488">
        <v>-7.3394780000000007E-2</v>
      </c>
      <c r="V488">
        <v>4.4500560000000002E-2</v>
      </c>
      <c r="W488">
        <v>7.8735150000000004E-2</v>
      </c>
      <c r="X488">
        <v>0.99590179999999995</v>
      </c>
      <c r="Y488">
        <v>2.3923529999999998E-2</v>
      </c>
      <c r="Z488" s="1">
        <v>-6.7301669999999896E-5</v>
      </c>
      <c r="AA488">
        <v>0.99971379999999999</v>
      </c>
      <c r="AB488">
        <v>28</v>
      </c>
      <c r="AC488">
        <v>197.83009999999999</v>
      </c>
      <c r="AD488">
        <v>-1.160237</v>
      </c>
      <c r="AE488">
        <v>-4.8323999999999998</v>
      </c>
      <c r="AF488">
        <v>4.7384106108508499</v>
      </c>
      <c r="AG488">
        <v>-1.160237</v>
      </c>
      <c r="AH488">
        <v>197.82556927677001</v>
      </c>
      <c r="AI488">
        <v>90.335936657286794</v>
      </c>
      <c r="AJ488">
        <v>88.627887039735796</v>
      </c>
      <c r="AK488">
        <v>197.88571081483201</v>
      </c>
      <c r="AL488">
        <v>85.484133990254605</v>
      </c>
      <c r="AM488">
        <v>87.441515447942706</v>
      </c>
      <c r="AN488">
        <v>0.99999995946453701</v>
      </c>
    </row>
    <row r="489" spans="1:40" x14ac:dyDescent="0.25">
      <c r="A489" t="str">
        <f>"20190312154810015"</f>
        <v>20190312154810015</v>
      </c>
      <c r="B489" t="str">
        <f>"1552376890006514"</f>
        <v>1552376890006514</v>
      </c>
      <c r="C489" t="s">
        <v>40</v>
      </c>
      <c r="D489">
        <v>4.8432940000000002</v>
      </c>
      <c r="E489">
        <v>0.4931412</v>
      </c>
      <c r="F489" t="s">
        <v>44</v>
      </c>
      <c r="G489">
        <v>-158.19499999999999</v>
      </c>
      <c r="H489">
        <v>0.42305989999999999</v>
      </c>
      <c r="I489">
        <v>362.82150000000001</v>
      </c>
      <c r="J489">
        <v>-346.69970000000001</v>
      </c>
      <c r="K489">
        <v>1.110233</v>
      </c>
      <c r="L489">
        <v>367.62029999999999</v>
      </c>
      <c r="M489">
        <v>0.99990109999999999</v>
      </c>
      <c r="N489">
        <v>0</v>
      </c>
      <c r="O489">
        <v>-4.9804809999999999E-4</v>
      </c>
      <c r="P489">
        <v>0.99693169999999998</v>
      </c>
      <c r="Q489">
        <v>6.406212E-2</v>
      </c>
      <c r="R489">
        <v>-4.4982399999999999E-2</v>
      </c>
      <c r="S489">
        <v>3.006653</v>
      </c>
      <c r="T489">
        <v>-1.09452E-2</v>
      </c>
      <c r="U489">
        <v>-7.6446529999999999E-2</v>
      </c>
      <c r="V489">
        <v>4.4492990000000003E-2</v>
      </c>
      <c r="W489">
        <v>7.8072000000000003E-2</v>
      </c>
      <c r="X489">
        <v>0.99595440000000002</v>
      </c>
      <c r="Y489">
        <v>2.4919480000000001E-2</v>
      </c>
      <c r="Z489" s="1">
        <v>-4.3537110000000001E-5</v>
      </c>
      <c r="AA489">
        <v>0.99968950000000001</v>
      </c>
      <c r="AB489">
        <v>28</v>
      </c>
      <c r="AC489">
        <v>188.50470000000001</v>
      </c>
      <c r="AD489">
        <v>-0.68717309999999998</v>
      </c>
      <c r="AE489">
        <v>-4.7987999999999698</v>
      </c>
      <c r="AF489">
        <v>4.7048432410508898</v>
      </c>
      <c r="AG489">
        <v>-0.68717309999999998</v>
      </c>
      <c r="AH489">
        <v>188.504563495638</v>
      </c>
      <c r="AI489">
        <v>90.208799648867796</v>
      </c>
      <c r="AJ489">
        <v>88.570264284193101</v>
      </c>
      <c r="AK489">
        <v>188.56452003352399</v>
      </c>
      <c r="AL489">
        <v>85.522247261630497</v>
      </c>
      <c r="AM489">
        <v>87.442085014677303</v>
      </c>
      <c r="AN489">
        <v>1.00000001511125</v>
      </c>
    </row>
    <row r="490" spans="1:40" x14ac:dyDescent="0.25">
      <c r="A490" t="str">
        <f>"20190312154810036"</f>
        <v>20190312154810036</v>
      </c>
      <c r="B490" t="str">
        <f>"1552376890027010"</f>
        <v>1552376890027010</v>
      </c>
      <c r="C490" t="s">
        <v>40</v>
      </c>
      <c r="D490">
        <v>4.7195910000000003</v>
      </c>
      <c r="E490">
        <v>0.49369150000000001</v>
      </c>
      <c r="F490" t="s">
        <v>44</v>
      </c>
      <c r="G490">
        <v>-158.19499999999999</v>
      </c>
      <c r="H490">
        <v>5.7202820000000001E-2</v>
      </c>
      <c r="I490">
        <v>363.12650000000002</v>
      </c>
      <c r="J490">
        <v>-346.43470000000002</v>
      </c>
      <c r="K490">
        <v>1.1102270000000001</v>
      </c>
      <c r="L490">
        <v>367.62009999999998</v>
      </c>
      <c r="M490">
        <v>0.99990109999999999</v>
      </c>
      <c r="N490">
        <v>0</v>
      </c>
      <c r="O490">
        <v>-5.241318E-4</v>
      </c>
      <c r="P490">
        <v>0.99701430000000002</v>
      </c>
      <c r="Q490">
        <v>6.2782009999999999E-2</v>
      </c>
      <c r="R490">
        <v>-4.4953300000000002E-2</v>
      </c>
      <c r="S490">
        <v>3.0070800000000002</v>
      </c>
      <c r="T490">
        <v>-1.6796829999999999E-2</v>
      </c>
      <c r="U490">
        <v>-7.1685789999999999E-2</v>
      </c>
      <c r="V490">
        <v>4.4437690000000002E-2</v>
      </c>
      <c r="W490">
        <v>7.6790789999999998E-2</v>
      </c>
      <c r="X490">
        <v>0.99605639999999995</v>
      </c>
      <c r="Y490">
        <v>2.330784E-2</v>
      </c>
      <c r="Z490" s="1">
        <v>-6.2158719999999898E-5</v>
      </c>
      <c r="AA490">
        <v>0.99972830000000001</v>
      </c>
      <c r="AB490">
        <v>28</v>
      </c>
      <c r="AC490">
        <v>188.2397</v>
      </c>
      <c r="AD490">
        <v>-1.05302418</v>
      </c>
      <c r="AE490">
        <v>-4.4935999999999501</v>
      </c>
      <c r="AF490">
        <v>4.3947897746761697</v>
      </c>
      <c r="AG490">
        <v>-1.05302418</v>
      </c>
      <c r="AH490">
        <v>188.236142395863</v>
      </c>
      <c r="AI490">
        <v>90.320431425014704</v>
      </c>
      <c r="AJ490">
        <v>88.662546067224497</v>
      </c>
      <c r="AK490">
        <v>188.290383028881</v>
      </c>
      <c r="AL490">
        <v>85.595875930047498</v>
      </c>
      <c r="AM490">
        <v>87.445521281679902</v>
      </c>
      <c r="AN490">
        <v>0.99999994285115801</v>
      </c>
    </row>
    <row r="491" spans="1:40" x14ac:dyDescent="0.25">
      <c r="A491" t="str">
        <f>"20190312154810048"</f>
        <v>20190312154810048</v>
      </c>
      <c r="B491" t="str">
        <f>"1552376890036770"</f>
        <v>1552376890036770</v>
      </c>
      <c r="C491" t="s">
        <v>40</v>
      </c>
      <c r="D491">
        <v>4.7060559999999896</v>
      </c>
      <c r="E491">
        <v>0.49388969999999999</v>
      </c>
      <c r="F491" t="s">
        <v>44</v>
      </c>
      <c r="G491">
        <v>-158.19499999999999</v>
      </c>
      <c r="H491">
        <v>0.55485109999999904</v>
      </c>
      <c r="I491">
        <v>362.8254</v>
      </c>
      <c r="J491">
        <v>-346.27940000000001</v>
      </c>
      <c r="K491">
        <v>1.1102240000000001</v>
      </c>
      <c r="L491">
        <v>367.62009999999998</v>
      </c>
      <c r="M491">
        <v>0.99990109999999999</v>
      </c>
      <c r="N491">
        <v>0</v>
      </c>
      <c r="O491">
        <v>-5.3949640000000001E-4</v>
      </c>
      <c r="P491">
        <v>0.997035</v>
      </c>
      <c r="Q491">
        <v>6.2266429999999998E-2</v>
      </c>
      <c r="R491">
        <v>-4.5216859999999998E-2</v>
      </c>
      <c r="S491">
        <v>3.0060730000000002</v>
      </c>
      <c r="T491">
        <v>-8.8676209999999991E-3</v>
      </c>
      <c r="U491">
        <v>-7.6568600000000001E-2</v>
      </c>
      <c r="V491">
        <v>4.4685660000000002E-2</v>
      </c>
      <c r="W491">
        <v>7.6273510000000003E-2</v>
      </c>
      <c r="X491">
        <v>0.99608509999999995</v>
      </c>
      <c r="Y491">
        <v>2.4923560000000001E-2</v>
      </c>
      <c r="Z491" s="1">
        <v>-3.5163639999999999E-5</v>
      </c>
      <c r="AA491">
        <v>0.9996893</v>
      </c>
      <c r="AB491">
        <v>27</v>
      </c>
      <c r="AC491">
        <v>188.08439999999999</v>
      </c>
      <c r="AD491">
        <v>-0.55537289999999995</v>
      </c>
      <c r="AE491">
        <v>-4.7946999999999704</v>
      </c>
      <c r="AF491">
        <v>4.6931775307421404</v>
      </c>
      <c r="AG491">
        <v>-0.55537289999999995</v>
      </c>
      <c r="AH491">
        <v>188.08532076177801</v>
      </c>
      <c r="AI491">
        <v>90.169128187440194</v>
      </c>
      <c r="AJ491">
        <v>88.570630194461103</v>
      </c>
      <c r="AK491">
        <v>188.14468432686101</v>
      </c>
      <c r="AL491">
        <v>85.625601286548502</v>
      </c>
      <c r="AM491">
        <v>87.431359801073398</v>
      </c>
      <c r="AN491">
        <v>0.99999999148968199</v>
      </c>
    </row>
    <row r="492" spans="1:40" x14ac:dyDescent="0.25">
      <c r="A492" t="str">
        <f>"20190312154810069"</f>
        <v>20190312154810069</v>
      </c>
      <c r="B492" t="str">
        <f>"1552376890067026"</f>
        <v>1552376890067026</v>
      </c>
      <c r="C492" t="s">
        <v>40</v>
      </c>
      <c r="D492">
        <v>4.6678930000000003</v>
      </c>
      <c r="E492">
        <v>0.49362709999999999</v>
      </c>
      <c r="F492" t="s">
        <v>44</v>
      </c>
      <c r="G492">
        <v>-158.19499999999999</v>
      </c>
      <c r="H492">
        <v>0.72839830000000005</v>
      </c>
      <c r="I492">
        <v>362.67989999999998</v>
      </c>
      <c r="J492">
        <v>-346.02449999999999</v>
      </c>
      <c r="K492">
        <v>1.110225</v>
      </c>
      <c r="L492">
        <v>367.61989999999997</v>
      </c>
      <c r="M492">
        <v>0.99990120000000005</v>
      </c>
      <c r="N492">
        <v>0</v>
      </c>
      <c r="O492">
        <v>-5.6451120000000003E-4</v>
      </c>
      <c r="P492">
        <v>0.99710569999999998</v>
      </c>
      <c r="Q492">
        <v>6.0818629999999999E-2</v>
      </c>
      <c r="R492">
        <v>-4.5625730000000003E-2</v>
      </c>
      <c r="S492">
        <v>3.0057680000000002</v>
      </c>
      <c r="T492">
        <v>-6.1005349999999998E-3</v>
      </c>
      <c r="U492">
        <v>-7.8948969999999993E-2</v>
      </c>
      <c r="V492">
        <v>4.5069489999999997E-2</v>
      </c>
      <c r="W492">
        <v>7.4824740000000001E-2</v>
      </c>
      <c r="X492">
        <v>0.99617770000000005</v>
      </c>
      <c r="Y492">
        <v>2.5692349999999999E-2</v>
      </c>
      <c r="Z492" s="1">
        <v>-2.4922550000000001E-5</v>
      </c>
      <c r="AA492">
        <v>0.9996699</v>
      </c>
      <c r="AB492">
        <v>27</v>
      </c>
      <c r="AC492">
        <v>187.8295</v>
      </c>
      <c r="AD492">
        <v>-0.38182670000000002</v>
      </c>
      <c r="AE492">
        <v>-4.9399999999999897</v>
      </c>
      <c r="AF492">
        <v>4.8339369341254397</v>
      </c>
      <c r="AG492">
        <v>-0.38182670000000002</v>
      </c>
      <c r="AH492">
        <v>187.831483363453</v>
      </c>
      <c r="AI492">
        <v>90.116433021526504</v>
      </c>
      <c r="AJ492">
        <v>88.525789935965406</v>
      </c>
      <c r="AK492">
        <v>187.89406291957999</v>
      </c>
      <c r="AL492">
        <v>85.708847671848105</v>
      </c>
      <c r="AM492">
        <v>87.409566741872297</v>
      </c>
      <c r="AN492">
        <v>1.0000000053111</v>
      </c>
    </row>
    <row r="493" spans="1:40" x14ac:dyDescent="0.25">
      <c r="A493" t="str">
        <f>"20190312154810081"</f>
        <v>20190312154810081</v>
      </c>
      <c r="B493" t="str">
        <f>"1552376890076786"</f>
        <v>1552376890076786</v>
      </c>
      <c r="C493" t="s">
        <v>40</v>
      </c>
      <c r="D493">
        <v>4.6577129999999904</v>
      </c>
      <c r="E493">
        <v>0.4938478</v>
      </c>
      <c r="F493" t="s">
        <v>44</v>
      </c>
      <c r="G493">
        <v>-158.19499999999999</v>
      </c>
      <c r="H493">
        <v>0.48552509999999999</v>
      </c>
      <c r="I493">
        <v>362.74549999999999</v>
      </c>
      <c r="J493">
        <v>-345.87670000000003</v>
      </c>
      <c r="K493">
        <v>1.110223</v>
      </c>
      <c r="L493">
        <v>367.6198</v>
      </c>
      <c r="M493">
        <v>0.99990109999999999</v>
      </c>
      <c r="N493">
        <v>0</v>
      </c>
      <c r="O493">
        <v>-5.7868820000000001E-4</v>
      </c>
      <c r="P493">
        <v>0.99712630000000002</v>
      </c>
      <c r="Q493">
        <v>6.0383010000000001E-2</v>
      </c>
      <c r="R493">
        <v>-4.5750600000000002E-2</v>
      </c>
      <c r="S493">
        <v>3.0057369999999999</v>
      </c>
      <c r="T493">
        <v>-9.9953409999999996E-3</v>
      </c>
      <c r="U493">
        <v>-7.8002929999999998E-2</v>
      </c>
      <c r="V493">
        <v>4.5180110000000002E-2</v>
      </c>
      <c r="W493">
        <v>7.4387259999999997E-2</v>
      </c>
      <c r="X493">
        <v>0.99620540000000002</v>
      </c>
      <c r="Y493">
        <v>2.5363920000000002E-2</v>
      </c>
      <c r="Z493" s="1">
        <v>-4.0241409999999998E-5</v>
      </c>
      <c r="AA493">
        <v>0.99967830000000002</v>
      </c>
      <c r="AB493">
        <v>27</v>
      </c>
      <c r="AC493">
        <v>187.68170000000001</v>
      </c>
      <c r="AD493">
        <v>-0.62469789999999903</v>
      </c>
      <c r="AE493">
        <v>-4.8742999999999999</v>
      </c>
      <c r="AF493">
        <v>4.7656265119580201</v>
      </c>
      <c r="AG493">
        <v>-0.62469789999999903</v>
      </c>
      <c r="AH493">
        <v>187.682411635607</v>
      </c>
      <c r="AI493">
        <v>90.1906459304858</v>
      </c>
      <c r="AJ493">
        <v>88.545459732095097</v>
      </c>
      <c r="AK493">
        <v>187.74394552388401</v>
      </c>
      <c r="AL493">
        <v>85.733983256758407</v>
      </c>
      <c r="AM493">
        <v>87.403289498118198</v>
      </c>
      <c r="AN493">
        <v>0.99999995288953802</v>
      </c>
    </row>
    <row r="494" spans="1:40" x14ac:dyDescent="0.25">
      <c r="A494" t="str">
        <f>"20190312154810092"</f>
        <v>20190312154810092</v>
      </c>
      <c r="B494" t="str">
        <f>"1552376890086546"</f>
        <v>1552376890086546</v>
      </c>
      <c r="C494" t="s">
        <v>40</v>
      </c>
      <c r="D494">
        <v>4.6690160000000001</v>
      </c>
      <c r="E494">
        <v>0.49403809999999898</v>
      </c>
      <c r="F494" t="s">
        <v>44</v>
      </c>
      <c r="G494">
        <v>-158.19499999999999</v>
      </c>
      <c r="H494">
        <v>0.70948739999999999</v>
      </c>
      <c r="I494">
        <v>362.60180000000003</v>
      </c>
      <c r="J494">
        <v>-345.74360000000001</v>
      </c>
      <c r="K494">
        <v>1.11022</v>
      </c>
      <c r="L494">
        <v>367.61970000000002</v>
      </c>
      <c r="M494">
        <v>0.99990120000000005</v>
      </c>
      <c r="N494">
        <v>0</v>
      </c>
      <c r="O494">
        <v>-5.9202810000000001E-4</v>
      </c>
      <c r="P494">
        <v>0.99713580000000002</v>
      </c>
      <c r="Q494">
        <v>6.0148159999999999E-2</v>
      </c>
      <c r="R494">
        <v>-4.5859009999999999E-2</v>
      </c>
      <c r="S494">
        <v>3.0053100000000001</v>
      </c>
      <c r="T494">
        <v>-6.4154859999999998E-3</v>
      </c>
      <c r="U494">
        <v>-8.0352779999999999E-2</v>
      </c>
      <c r="V494">
        <v>4.5275250000000003E-2</v>
      </c>
      <c r="W494">
        <v>7.4151419999999996E-2</v>
      </c>
      <c r="X494">
        <v>0.99621870000000001</v>
      </c>
      <c r="Y494">
        <v>2.6135450000000001E-2</v>
      </c>
      <c r="Z494" s="1">
        <v>-2.662718E-5</v>
      </c>
      <c r="AA494">
        <v>0.99965839999999995</v>
      </c>
      <c r="AB494">
        <v>27</v>
      </c>
      <c r="AC494">
        <v>187.54859999999999</v>
      </c>
      <c r="AD494">
        <v>-0.400732599999999</v>
      </c>
      <c r="AE494">
        <v>-5.0178999999999903</v>
      </c>
      <c r="AF494">
        <v>4.9068317415751901</v>
      </c>
      <c r="AG494">
        <v>-0.400732599999999</v>
      </c>
      <c r="AH494">
        <v>187.55068251967</v>
      </c>
      <c r="AI494">
        <v>90.1223797082814</v>
      </c>
      <c r="AJ494">
        <v>88.501329739652704</v>
      </c>
      <c r="AK494">
        <v>187.61528748465801</v>
      </c>
      <c r="AL494">
        <v>85.747533473577406</v>
      </c>
      <c r="AM494">
        <v>87.397863561744003</v>
      </c>
      <c r="AN494">
        <v>0.99999998979013405</v>
      </c>
    </row>
    <row r="495" spans="1:40" x14ac:dyDescent="0.25">
      <c r="A495" t="str">
        <f>"20190312154810105"</f>
        <v>20190312154810105</v>
      </c>
      <c r="B495" t="str">
        <f>"1552376890096306"</f>
        <v>1552376890096306</v>
      </c>
      <c r="C495" t="s">
        <v>40</v>
      </c>
      <c r="D495">
        <v>4.668266</v>
      </c>
      <c r="E495">
        <v>0.49417440000000001</v>
      </c>
      <c r="F495" t="s">
        <v>44</v>
      </c>
      <c r="G495">
        <v>-158.19499999999999</v>
      </c>
      <c r="H495">
        <v>0.93469519999999995</v>
      </c>
      <c r="I495">
        <v>362.47710000000001</v>
      </c>
      <c r="J495">
        <v>-345.59539999999998</v>
      </c>
      <c r="K495">
        <v>1.1102190000000001</v>
      </c>
      <c r="L495">
        <v>367.61959999999999</v>
      </c>
      <c r="M495">
        <v>0.99990120000000005</v>
      </c>
      <c r="N495">
        <v>0</v>
      </c>
      <c r="O495">
        <v>-6.0691469999999998E-4</v>
      </c>
      <c r="P495">
        <v>0.99713529999999995</v>
      </c>
      <c r="Q495">
        <v>5.9981489999999998E-2</v>
      </c>
      <c r="R495">
        <v>-4.6084779999999999E-2</v>
      </c>
      <c r="S495">
        <v>3.0050050000000001</v>
      </c>
      <c r="T495">
        <v>-2.810955E-3</v>
      </c>
      <c r="U495">
        <v>-8.2397460000000006E-2</v>
      </c>
      <c r="V495">
        <v>4.5486230000000002E-2</v>
      </c>
      <c r="W495">
        <v>7.3983080000000007E-2</v>
      </c>
      <c r="X495">
        <v>0.99622160000000004</v>
      </c>
      <c r="Y495">
        <v>2.680302E-2</v>
      </c>
      <c r="Z495" s="1">
        <v>-1.196607E-5</v>
      </c>
      <c r="AA495">
        <v>0.9996408</v>
      </c>
      <c r="AB495">
        <v>27</v>
      </c>
      <c r="AC495">
        <v>187.40039999999999</v>
      </c>
      <c r="AD495">
        <v>-0.17552380000000001</v>
      </c>
      <c r="AE495">
        <v>-5.1424999999999796</v>
      </c>
      <c r="AF495">
        <v>5.02874736965284</v>
      </c>
      <c r="AG495">
        <v>-0.17552380000000001</v>
      </c>
      <c r="AH495">
        <v>187.40332256706199</v>
      </c>
      <c r="AI495">
        <v>90.0536444664546</v>
      </c>
      <c r="AJ495">
        <v>88.462904120327394</v>
      </c>
      <c r="AK495">
        <v>187.470862850435</v>
      </c>
      <c r="AL495">
        <v>85.757205189754799</v>
      </c>
      <c r="AM495">
        <v>87.3857621420089</v>
      </c>
      <c r="AN495">
        <v>0.99999998477622898</v>
      </c>
    </row>
    <row r="496" spans="1:40" x14ac:dyDescent="0.25">
      <c r="A496" t="str">
        <f>"20190312154810116"</f>
        <v>20190312154810116</v>
      </c>
      <c r="B496" t="str">
        <f>"1552376890107042"</f>
        <v>1552376890107042</v>
      </c>
      <c r="C496" t="s">
        <v>40</v>
      </c>
      <c r="D496">
        <v>4.6443500000000002</v>
      </c>
      <c r="E496">
        <v>0.49431320000000001</v>
      </c>
      <c r="F496" t="s">
        <v>44</v>
      </c>
      <c r="G496">
        <v>-158.19499999999999</v>
      </c>
      <c r="H496">
        <v>1.1546449999999999</v>
      </c>
      <c r="I496">
        <v>362.33769999999998</v>
      </c>
      <c r="J496">
        <v>-345.45159999999998</v>
      </c>
      <c r="K496">
        <v>1.1102190000000001</v>
      </c>
      <c r="L496">
        <v>367.61939999999998</v>
      </c>
      <c r="M496">
        <v>0.99990120000000005</v>
      </c>
      <c r="N496">
        <v>0</v>
      </c>
      <c r="O496">
        <v>-6.2097019999999897E-4</v>
      </c>
      <c r="P496">
        <v>0.99713280000000004</v>
      </c>
      <c r="Q496">
        <v>5.9948469999999997E-2</v>
      </c>
      <c r="R496">
        <v>-4.6178980000000001E-2</v>
      </c>
      <c r="S496">
        <v>3.0046689999999998</v>
      </c>
      <c r="T496">
        <v>7.1370600000000004E-4</v>
      </c>
      <c r="U496">
        <v>-8.4686280000000003E-2</v>
      </c>
      <c r="V496">
        <v>4.5566280000000001E-2</v>
      </c>
      <c r="W496">
        <v>7.3948829999999993E-2</v>
      </c>
      <c r="X496">
        <v>0.99622049999999995</v>
      </c>
      <c r="Y496">
        <v>2.755291E-2</v>
      </c>
      <c r="Z496" s="1">
        <v>3.1242180000000002E-6</v>
      </c>
      <c r="AA496">
        <v>0.99962030000000002</v>
      </c>
      <c r="AB496">
        <v>27</v>
      </c>
      <c r="AC496">
        <v>187.25659999999999</v>
      </c>
      <c r="AD496">
        <v>4.4426E-2</v>
      </c>
      <c r="AE496">
        <v>-5.2816999999999998</v>
      </c>
      <c r="AF496">
        <v>5.16540645536534</v>
      </c>
      <c r="AG496">
        <v>4.4426E-2</v>
      </c>
      <c r="AH496">
        <v>187.25983345945301</v>
      </c>
      <c r="AI496">
        <v>89.986412171954797</v>
      </c>
      <c r="AJ496">
        <v>88.419944335107701</v>
      </c>
      <c r="AK496">
        <v>187.331066897033</v>
      </c>
      <c r="AL496">
        <v>85.759173024992293</v>
      </c>
      <c r="AM496">
        <v>87.381164926537394</v>
      </c>
      <c r="AN496">
        <v>0.999999999975828</v>
      </c>
    </row>
    <row r="497" spans="1:40" x14ac:dyDescent="0.25">
      <c r="A497" t="str">
        <f>"20190312154810128"</f>
        <v>20190312154810128</v>
      </c>
      <c r="B497" t="str">
        <f>"1552376890116803"</f>
        <v>1552376890116803</v>
      </c>
      <c r="C497" t="s">
        <v>40</v>
      </c>
      <c r="D497">
        <v>4.6205429999999996</v>
      </c>
      <c r="E497">
        <v>0.49446659999999998</v>
      </c>
      <c r="F497" t="s">
        <v>44</v>
      </c>
      <c r="G497">
        <v>-158.19499999999999</v>
      </c>
      <c r="H497">
        <v>1.367418</v>
      </c>
      <c r="I497">
        <v>362.2518</v>
      </c>
      <c r="J497">
        <v>-345.30900000000003</v>
      </c>
      <c r="K497">
        <v>1.1102240000000001</v>
      </c>
      <c r="L497">
        <v>367.61939999999998</v>
      </c>
      <c r="M497">
        <v>0.99990120000000005</v>
      </c>
      <c r="N497">
        <v>0</v>
      </c>
      <c r="O497">
        <v>-6.3478649999999998E-4</v>
      </c>
      <c r="P497">
        <v>0.99714749999999996</v>
      </c>
      <c r="Q497">
        <v>5.9735950000000003E-2</v>
      </c>
      <c r="R497">
        <v>-4.6138779999999997E-2</v>
      </c>
      <c r="S497">
        <v>3.0043950000000001</v>
      </c>
      <c r="T497">
        <v>4.1279790000000004E-3</v>
      </c>
      <c r="U497">
        <v>-8.612061E-2</v>
      </c>
      <c r="V497">
        <v>4.5512200000000003E-2</v>
      </c>
      <c r="W497">
        <v>7.3735319999999993E-2</v>
      </c>
      <c r="X497">
        <v>0.99623879999999998</v>
      </c>
      <c r="Y497">
        <v>2.801849E-2</v>
      </c>
      <c r="Z497" s="1">
        <v>1.8372379999999999E-5</v>
      </c>
      <c r="AA497">
        <v>0.99960740000000003</v>
      </c>
      <c r="AB497">
        <v>27</v>
      </c>
      <c r="AC497">
        <v>187.114</v>
      </c>
      <c r="AD497">
        <v>0.25719399999999998</v>
      </c>
      <c r="AE497">
        <v>-5.3675999999999799</v>
      </c>
      <c r="AF497">
        <v>5.2487998561547098</v>
      </c>
      <c r="AG497">
        <v>0.25719399999999998</v>
      </c>
      <c r="AH497">
        <v>187.11701667324999</v>
      </c>
      <c r="AI497">
        <v>89.921277457574206</v>
      </c>
      <c r="AJ497">
        <v>88.393223427673306</v>
      </c>
      <c r="AK497">
        <v>187.190795653474</v>
      </c>
      <c r="AL497">
        <v>85.771439745066203</v>
      </c>
      <c r="AM497">
        <v>87.384316733867905</v>
      </c>
      <c r="AN497">
        <v>1.00000000219489</v>
      </c>
    </row>
    <row r="498" spans="1:40" x14ac:dyDescent="0.25">
      <c r="A498" t="str">
        <f>"20190312154810140"</f>
        <v>20190312154810140</v>
      </c>
      <c r="B498" t="str">
        <f>"1552376890126562"</f>
        <v>1552376890126562</v>
      </c>
      <c r="C498" t="s">
        <v>40</v>
      </c>
      <c r="D498">
        <v>4.6163129999999999</v>
      </c>
      <c r="E498">
        <v>0.49465759999999998</v>
      </c>
      <c r="F498" t="s">
        <v>44</v>
      </c>
      <c r="G498">
        <v>-158.19499999999999</v>
      </c>
      <c r="H498">
        <v>1.5789740000000001</v>
      </c>
      <c r="I498">
        <v>362.1773</v>
      </c>
      <c r="J498">
        <v>-345.16570000000002</v>
      </c>
      <c r="K498">
        <v>1.1102259999999999</v>
      </c>
      <c r="L498">
        <v>367.61930000000001</v>
      </c>
      <c r="M498">
        <v>0.99990109999999999</v>
      </c>
      <c r="N498">
        <v>0</v>
      </c>
      <c r="O498">
        <v>-6.4848100000000001E-4</v>
      </c>
      <c r="P498">
        <v>0.99715940000000003</v>
      </c>
      <c r="Q498">
        <v>5.9456009999999997E-2</v>
      </c>
      <c r="R498">
        <v>-4.6240160000000002E-2</v>
      </c>
      <c r="S498">
        <v>3.004089</v>
      </c>
      <c r="T498">
        <v>7.5271130000000002E-3</v>
      </c>
      <c r="U498">
        <v>-8.7371829999999998E-2</v>
      </c>
      <c r="V498">
        <v>4.5600019999999998E-2</v>
      </c>
      <c r="W498">
        <v>7.34538E-2</v>
      </c>
      <c r="X498">
        <v>0.99625560000000002</v>
      </c>
      <c r="Y498">
        <v>2.842364E-2</v>
      </c>
      <c r="Z498" s="1">
        <v>3.3977209999999998E-5</v>
      </c>
      <c r="AA498">
        <v>0.99959589999999998</v>
      </c>
      <c r="AB498">
        <v>27</v>
      </c>
      <c r="AC498">
        <v>186.97069999999999</v>
      </c>
      <c r="AD498">
        <v>0.468748</v>
      </c>
      <c r="AE498">
        <v>-5.4420000000000002</v>
      </c>
      <c r="AF498">
        <v>5.3207065276331997</v>
      </c>
      <c r="AG498">
        <v>0.468748</v>
      </c>
      <c r="AH498">
        <v>186.973015858709</v>
      </c>
      <c r="AI498">
        <v>89.856415869719399</v>
      </c>
      <c r="AJ498">
        <v>88.369969186222306</v>
      </c>
      <c r="AK498">
        <v>187.04929377557599</v>
      </c>
      <c r="AL498">
        <v>85.787613593907807</v>
      </c>
      <c r="AM498">
        <v>87.379320693095806</v>
      </c>
      <c r="AN498">
        <v>1.0000000215448901</v>
      </c>
    </row>
    <row r="499" spans="1:40" x14ac:dyDescent="0.25">
      <c r="A499" t="str">
        <f>"20190312154810151"</f>
        <v>20190312154810151</v>
      </c>
      <c r="B499" t="str">
        <f>"1552376890147058"</f>
        <v>1552376890147058</v>
      </c>
      <c r="C499" t="s">
        <v>40</v>
      </c>
      <c r="D499">
        <v>4.5804900000000002</v>
      </c>
      <c r="E499">
        <v>0.49494329999999997</v>
      </c>
      <c r="F499" t="s">
        <v>44</v>
      </c>
      <c r="G499">
        <v>-158.19499999999999</v>
      </c>
      <c r="H499">
        <v>1.75476699999999</v>
      </c>
      <c r="I499">
        <v>362.07060000000001</v>
      </c>
      <c r="J499">
        <v>-345.02</v>
      </c>
      <c r="K499">
        <v>1.110225</v>
      </c>
      <c r="L499">
        <v>367.61919999999998</v>
      </c>
      <c r="M499">
        <v>0.99990120000000005</v>
      </c>
      <c r="N499">
        <v>0</v>
      </c>
      <c r="O499">
        <v>-6.6217160000000001E-4</v>
      </c>
      <c r="P499">
        <v>0.99717869999999997</v>
      </c>
      <c r="Q499">
        <v>5.9243209999999998E-2</v>
      </c>
      <c r="R499">
        <v>-4.6097310000000002E-2</v>
      </c>
      <c r="S499">
        <v>3.003784</v>
      </c>
      <c r="T499">
        <v>1.0356310000000001E-2</v>
      </c>
      <c r="U499">
        <v>-8.9141849999999995E-2</v>
      </c>
      <c r="V499">
        <v>4.5443289999999997E-2</v>
      </c>
      <c r="W499">
        <v>7.3240269999999996E-2</v>
      </c>
      <c r="X499">
        <v>0.99627849999999996</v>
      </c>
      <c r="Y499">
        <v>2.900134E-2</v>
      </c>
      <c r="Z499" s="1">
        <v>4.7700870000000001E-5</v>
      </c>
      <c r="AA499">
        <v>0.99957940000000001</v>
      </c>
      <c r="AB499">
        <v>27</v>
      </c>
      <c r="AC499">
        <v>186.82499999999999</v>
      </c>
      <c r="AD499">
        <v>0.64454199999999895</v>
      </c>
      <c r="AE499">
        <v>-5.5485999999999596</v>
      </c>
      <c r="AF499">
        <v>5.4248118664232896</v>
      </c>
      <c r="AG499">
        <v>0.64454199999999895</v>
      </c>
      <c r="AH499">
        <v>186.82641180843501</v>
      </c>
      <c r="AI499">
        <v>89.802416417821405</v>
      </c>
      <c r="AJ499">
        <v>88.336790218564005</v>
      </c>
      <c r="AK499">
        <v>186.90626572533799</v>
      </c>
      <c r="AL499">
        <v>85.799881080214206</v>
      </c>
      <c r="AM499">
        <v>87.388375579552601</v>
      </c>
      <c r="AN499">
        <v>1.0000000396589701</v>
      </c>
    </row>
    <row r="500" spans="1:40" x14ac:dyDescent="0.25">
      <c r="A500" t="str">
        <f>"20190312154810163"</f>
        <v>20190312154810163</v>
      </c>
      <c r="B500" t="str">
        <f>"1552376890156818"</f>
        <v>1552376890156818</v>
      </c>
      <c r="C500" t="s">
        <v>40</v>
      </c>
      <c r="D500">
        <v>4.5561740000000004</v>
      </c>
      <c r="E500">
        <v>0.49506220000000001</v>
      </c>
      <c r="F500" t="s">
        <v>44</v>
      </c>
      <c r="G500">
        <v>-158.19499999999999</v>
      </c>
      <c r="H500">
        <v>2.131408</v>
      </c>
      <c r="I500">
        <v>361.93349999999998</v>
      </c>
      <c r="J500">
        <v>-344.86970000000002</v>
      </c>
      <c r="K500">
        <v>1.1102240000000001</v>
      </c>
      <c r="L500">
        <v>367.61900000000003</v>
      </c>
      <c r="M500">
        <v>0.99990120000000005</v>
      </c>
      <c r="N500">
        <v>0</v>
      </c>
      <c r="O500">
        <v>-6.7562049999999999E-4</v>
      </c>
      <c r="P500">
        <v>0.99720160000000002</v>
      </c>
      <c r="Q500">
        <v>5.879989E-2</v>
      </c>
      <c r="R500">
        <v>-4.6173550000000001E-2</v>
      </c>
      <c r="S500">
        <v>3.0032960000000002</v>
      </c>
      <c r="T500">
        <v>1.6417379999999999E-2</v>
      </c>
      <c r="U500">
        <v>-9.1400149999999999E-2</v>
      </c>
      <c r="V500">
        <v>4.5505990000000003E-2</v>
      </c>
      <c r="W500">
        <v>7.2795620000000005E-2</v>
      </c>
      <c r="X500">
        <v>0.99630819999999998</v>
      </c>
      <c r="Y500">
        <v>2.974338E-2</v>
      </c>
      <c r="Z500" s="1">
        <v>7.7583319999999906E-5</v>
      </c>
      <c r="AA500">
        <v>0.99955760000000005</v>
      </c>
      <c r="AB500">
        <v>27</v>
      </c>
      <c r="AC500">
        <v>186.6747</v>
      </c>
      <c r="AD500">
        <v>1.0211840000000001</v>
      </c>
      <c r="AE500">
        <v>-5.6855000000000402</v>
      </c>
      <c r="AF500">
        <v>5.5591988087963102</v>
      </c>
      <c r="AG500">
        <v>1.0211840000000001</v>
      </c>
      <c r="AH500">
        <v>186.67291795798701</v>
      </c>
      <c r="AI500">
        <v>89.686708586087406</v>
      </c>
      <c r="AJ500">
        <v>88.294211496540399</v>
      </c>
      <c r="AK500">
        <v>186.75846917103101</v>
      </c>
      <c r="AL500">
        <v>85.825425726448003</v>
      </c>
      <c r="AM500">
        <v>87.384855063565894</v>
      </c>
      <c r="AN500">
        <v>1.0000000134021501</v>
      </c>
    </row>
    <row r="501" spans="1:40" x14ac:dyDescent="0.25">
      <c r="A501" t="str">
        <f>"20190312154810181"</f>
        <v>20190312154810181</v>
      </c>
      <c r="B501" t="str">
        <f>"1552376890176338"</f>
        <v>1552376890176338</v>
      </c>
      <c r="C501" t="s">
        <v>40</v>
      </c>
      <c r="D501">
        <v>4.4966710000000001</v>
      </c>
      <c r="E501">
        <v>0.4953632</v>
      </c>
      <c r="F501" t="s">
        <v>44</v>
      </c>
      <c r="G501">
        <v>-158.19499999999999</v>
      </c>
      <c r="H501">
        <v>2.255687</v>
      </c>
      <c r="I501">
        <v>361.85969999999998</v>
      </c>
      <c r="J501">
        <v>-344.6653</v>
      </c>
      <c r="K501">
        <v>1.110223</v>
      </c>
      <c r="L501">
        <v>367.6189</v>
      </c>
      <c r="M501">
        <v>0.99990120000000005</v>
      </c>
      <c r="N501">
        <v>0</v>
      </c>
      <c r="O501">
        <v>-6.9119410000000004E-4</v>
      </c>
      <c r="P501">
        <v>0.99726009999999998</v>
      </c>
      <c r="Q501">
        <v>5.8022980000000002E-2</v>
      </c>
      <c r="R501">
        <v>-4.5888619999999998E-2</v>
      </c>
      <c r="S501">
        <v>3.0030519999999998</v>
      </c>
      <c r="T501">
        <v>1.842856E-2</v>
      </c>
      <c r="U501">
        <v>-9.2651369999999997E-2</v>
      </c>
      <c r="V501">
        <v>4.5205139999999998E-2</v>
      </c>
      <c r="W501">
        <v>7.2017559999999994E-2</v>
      </c>
      <c r="X501">
        <v>0.9963784</v>
      </c>
      <c r="Y501">
        <v>3.0146240000000001E-2</v>
      </c>
      <c r="Z501" s="1">
        <v>8.8234069999999906E-5</v>
      </c>
      <c r="AA501">
        <v>0.99954549999999998</v>
      </c>
      <c r="AB501">
        <v>27</v>
      </c>
      <c r="AC501">
        <v>186.47030000000001</v>
      </c>
      <c r="AD501">
        <v>1.145464</v>
      </c>
      <c r="AE501">
        <v>-5.7592000000000203</v>
      </c>
      <c r="AF501">
        <v>5.6300864998469198</v>
      </c>
      <c r="AG501">
        <v>1.145464</v>
      </c>
      <c r="AH501">
        <v>186.467206944195</v>
      </c>
      <c r="AI501">
        <v>89.648198017274396</v>
      </c>
      <c r="AJ501">
        <v>88.270568710065305</v>
      </c>
      <c r="AK501">
        <v>186.55570006660199</v>
      </c>
      <c r="AL501">
        <v>85.870122441984904</v>
      </c>
      <c r="AM501">
        <v>87.402303373858999</v>
      </c>
      <c r="AN501">
        <v>0.99999997480866598</v>
      </c>
    </row>
    <row r="502" spans="1:40" x14ac:dyDescent="0.25">
      <c r="A502" t="str">
        <f>"20190312154810193"</f>
        <v>20190312154810193</v>
      </c>
      <c r="B502" t="str">
        <f>"1552376890187074"</f>
        <v>1552376890187074</v>
      </c>
      <c r="C502" t="s">
        <v>40</v>
      </c>
      <c r="D502">
        <v>4.5083609999999998</v>
      </c>
      <c r="E502">
        <v>0.4954983</v>
      </c>
      <c r="F502" t="s">
        <v>44</v>
      </c>
      <c r="G502">
        <v>-158.19499999999999</v>
      </c>
      <c r="H502">
        <v>2.4642599999999999</v>
      </c>
      <c r="I502">
        <v>361.75319999999999</v>
      </c>
      <c r="J502">
        <v>-344.50920000000002</v>
      </c>
      <c r="K502">
        <v>1.110225</v>
      </c>
      <c r="L502">
        <v>367.61880000000002</v>
      </c>
      <c r="M502">
        <v>0.99990120000000005</v>
      </c>
      <c r="N502">
        <v>0</v>
      </c>
      <c r="O502">
        <v>-7.0092189999999995E-4</v>
      </c>
      <c r="P502">
        <v>0.99726669999999995</v>
      </c>
      <c r="Q502">
        <v>5.7837390000000002E-2</v>
      </c>
      <c r="R502">
        <v>-4.597913E-2</v>
      </c>
      <c r="S502">
        <v>3.0026250000000001</v>
      </c>
      <c r="T502">
        <v>2.1804690000000002E-2</v>
      </c>
      <c r="U502">
        <v>-9.4451900000000005E-2</v>
      </c>
      <c r="V502">
        <v>4.5285550000000001E-2</v>
      </c>
      <c r="W502">
        <v>7.1830649999999996E-2</v>
      </c>
      <c r="X502">
        <v>0.9963883</v>
      </c>
      <c r="Y502">
        <v>3.073946E-2</v>
      </c>
      <c r="Z502">
        <v>1.064948E-4</v>
      </c>
      <c r="AA502">
        <v>0.99952750000000001</v>
      </c>
      <c r="AB502">
        <v>27</v>
      </c>
      <c r="AC502">
        <v>186.3142</v>
      </c>
      <c r="AD502">
        <v>1.3540350000000001</v>
      </c>
      <c r="AE502">
        <v>-5.8656000000000201</v>
      </c>
      <c r="AF502">
        <v>5.7346913989435704</v>
      </c>
      <c r="AG502">
        <v>1.3540350000000001</v>
      </c>
      <c r="AH502">
        <v>186.30843557979301</v>
      </c>
      <c r="AI502">
        <v>89.583795543060205</v>
      </c>
      <c r="AJ502">
        <v>88.236956350538193</v>
      </c>
      <c r="AK502">
        <v>186.40159136770399</v>
      </c>
      <c r="AL502">
        <v>85.880859647604396</v>
      </c>
      <c r="AM502">
        <v>87.397714810128207</v>
      </c>
      <c r="AN502">
        <v>1.0000000338475501</v>
      </c>
    </row>
    <row r="503" spans="1:40" x14ac:dyDescent="0.25">
      <c r="A503" t="str">
        <f>"20190312154810216"</f>
        <v>20190312154810216</v>
      </c>
      <c r="B503" t="str">
        <f>"1552376890206594"</f>
        <v>1552376890206594</v>
      </c>
      <c r="C503" t="s">
        <v>40</v>
      </c>
      <c r="D503">
        <v>4.5653980000000001</v>
      </c>
      <c r="E503">
        <v>0.4954344</v>
      </c>
      <c r="F503" t="s">
        <v>44</v>
      </c>
      <c r="G503">
        <v>-158.19499999999999</v>
      </c>
      <c r="H503">
        <v>2.5929190000000002</v>
      </c>
      <c r="I503">
        <v>361.66469999999998</v>
      </c>
      <c r="J503">
        <v>-344.2441</v>
      </c>
      <c r="K503">
        <v>1.1102289999999999</v>
      </c>
      <c r="L503">
        <v>367.61860000000001</v>
      </c>
      <c r="M503">
        <v>0.99990120000000005</v>
      </c>
      <c r="N503">
        <v>0</v>
      </c>
      <c r="O503">
        <v>-7.1345990000000004E-4</v>
      </c>
      <c r="P503">
        <v>0.99731890000000001</v>
      </c>
      <c r="Q503">
        <v>5.6804630000000002E-2</v>
      </c>
      <c r="R503">
        <v>-4.6134040000000001E-2</v>
      </c>
      <c r="S503">
        <v>3.00238</v>
      </c>
      <c r="T503">
        <v>2.3894430000000001E-2</v>
      </c>
      <c r="U503">
        <v>-9.5947270000000001E-2</v>
      </c>
      <c r="V503">
        <v>4.5427200000000001E-2</v>
      </c>
      <c r="W503">
        <v>7.0796170000000005E-2</v>
      </c>
      <c r="X503">
        <v>0.9964558</v>
      </c>
      <c r="Y503">
        <v>3.122662E-2</v>
      </c>
      <c r="Z503">
        <v>1.185477E-4</v>
      </c>
      <c r="AA503">
        <v>0.99951230000000002</v>
      </c>
      <c r="AB503">
        <v>27</v>
      </c>
      <c r="AC503">
        <v>186.04910000000001</v>
      </c>
      <c r="AD503">
        <v>1.4826899999999901</v>
      </c>
      <c r="AE503">
        <v>-5.9539000000000302</v>
      </c>
      <c r="AF503">
        <v>5.8207775276885396</v>
      </c>
      <c r="AG503">
        <v>1.4826899999999901</v>
      </c>
      <c r="AH503">
        <v>186.041497424944</v>
      </c>
      <c r="AI503">
        <v>89.543604330026994</v>
      </c>
      <c r="AJ503">
        <v>88.207941613575798</v>
      </c>
      <c r="AK503">
        <v>186.138439299298</v>
      </c>
      <c r="AL503">
        <v>85.940281916577803</v>
      </c>
      <c r="AM503">
        <v>87.389762872875394</v>
      </c>
      <c r="AN503">
        <v>0.99999994477007303</v>
      </c>
    </row>
    <row r="504" spans="1:40" x14ac:dyDescent="0.25">
      <c r="A504" t="str">
        <f>"20190312154810230"</f>
        <v>20190312154810230</v>
      </c>
      <c r="B504" t="str">
        <f>"1552376890216354"</f>
        <v>1552376890216354</v>
      </c>
      <c r="C504" t="s">
        <v>40</v>
      </c>
      <c r="D504">
        <v>4.5728609999999996</v>
      </c>
      <c r="E504">
        <v>0.4954344</v>
      </c>
      <c r="F504" t="s">
        <v>44</v>
      </c>
      <c r="G504">
        <v>-158.19499999999999</v>
      </c>
      <c r="H504">
        <v>2.7135159999999998</v>
      </c>
      <c r="I504">
        <v>361.68009999999998</v>
      </c>
      <c r="J504">
        <v>-344.07209999999998</v>
      </c>
      <c r="K504">
        <v>1.1102240000000001</v>
      </c>
      <c r="L504">
        <v>367.61849999999998</v>
      </c>
      <c r="M504">
        <v>0.99990120000000005</v>
      </c>
      <c r="N504">
        <v>0</v>
      </c>
      <c r="O504">
        <v>-7.1899669999999998E-4</v>
      </c>
      <c r="P504">
        <v>0.99733989999999995</v>
      </c>
      <c r="Q504">
        <v>5.6335049999999998E-2</v>
      </c>
      <c r="R504">
        <v>-4.6253610000000001E-2</v>
      </c>
      <c r="S504">
        <v>3.002167</v>
      </c>
      <c r="T504">
        <v>2.587271E-2</v>
      </c>
      <c r="U504">
        <v>-9.5825199999999999E-2</v>
      </c>
      <c r="V504">
        <v>4.5540629999999999E-2</v>
      </c>
      <c r="W504">
        <v>7.0325750000000006E-2</v>
      </c>
      <c r="X504">
        <v>0.99648400000000004</v>
      </c>
      <c r="Y504">
        <v>3.118259E-2</v>
      </c>
      <c r="Z504">
        <v>1.281341E-4</v>
      </c>
      <c r="AA504">
        <v>0.99951369999999895</v>
      </c>
      <c r="AB504">
        <v>27</v>
      </c>
      <c r="AC504">
        <v>185.87710000000001</v>
      </c>
      <c r="AD504">
        <v>1.6032919999999999</v>
      </c>
      <c r="AE504">
        <v>-5.9383999999999997</v>
      </c>
      <c r="AF504">
        <v>5.8043088715701998</v>
      </c>
      <c r="AG504">
        <v>1.6032919999999999</v>
      </c>
      <c r="AH504">
        <v>185.86750759646901</v>
      </c>
      <c r="AI504">
        <v>89.506020003273207</v>
      </c>
      <c r="AJ504">
        <v>88.2113368614379</v>
      </c>
      <c r="AK504">
        <v>185.965026085114</v>
      </c>
      <c r="AL504">
        <v>85.967302616420298</v>
      </c>
      <c r="AM504">
        <v>87.383328207278097</v>
      </c>
      <c r="AN504">
        <v>1.0000000111749201</v>
      </c>
    </row>
    <row r="505" spans="1:40" x14ac:dyDescent="0.25">
      <c r="A505" t="str">
        <f>"20190312154810249"</f>
        <v>20190312154810249</v>
      </c>
      <c r="B505" t="str">
        <f>"1552376890246611"</f>
        <v>1552376890246611</v>
      </c>
      <c r="C505" t="s">
        <v>40</v>
      </c>
      <c r="D505">
        <v>4.4710760000000001</v>
      </c>
      <c r="E505">
        <v>0.45779599999999998</v>
      </c>
      <c r="F505" t="s">
        <v>44</v>
      </c>
      <c r="G505">
        <v>-158.19499999999999</v>
      </c>
      <c r="H505">
        <v>2.6244779999999999</v>
      </c>
      <c r="I505">
        <v>361.65719999999999</v>
      </c>
      <c r="J505">
        <v>-343.83569999999997</v>
      </c>
      <c r="K505">
        <v>1.110223</v>
      </c>
      <c r="L505">
        <v>367.61829999999998</v>
      </c>
      <c r="M505">
        <v>0.99990140000000005</v>
      </c>
      <c r="N505">
        <v>0</v>
      </c>
      <c r="O505">
        <v>-7.2368330000000002E-4</v>
      </c>
      <c r="P505">
        <v>0.99737350000000002</v>
      </c>
      <c r="Q505">
        <v>5.554887E-2</v>
      </c>
      <c r="R505">
        <v>-4.6484749999999998E-2</v>
      </c>
      <c r="S505">
        <v>3.002167</v>
      </c>
      <c r="T505">
        <v>2.4458649999999998E-2</v>
      </c>
      <c r="U505">
        <v>-9.6282960000000001E-2</v>
      </c>
      <c r="V505">
        <v>4.5766389999999997E-2</v>
      </c>
      <c r="W505">
        <v>6.9538039999999995E-2</v>
      </c>
      <c r="X505">
        <v>0.99652890000000005</v>
      </c>
      <c r="Y505">
        <v>3.133027E-2</v>
      </c>
      <c r="Z505">
        <v>1.216941E-4</v>
      </c>
      <c r="AA505">
        <v>0.99950910000000004</v>
      </c>
      <c r="AB505">
        <v>27</v>
      </c>
      <c r="AC505">
        <v>185.64070000000001</v>
      </c>
      <c r="AD505">
        <v>1.5142549999999999</v>
      </c>
      <c r="AE505">
        <v>-5.9610999999999796</v>
      </c>
      <c r="AF505">
        <v>5.8263528933947901</v>
      </c>
      <c r="AG505">
        <v>1.5142549999999999</v>
      </c>
      <c r="AH505">
        <v>185.63262736498899</v>
      </c>
      <c r="AI505">
        <v>89.532863389234294</v>
      </c>
      <c r="AJ505">
        <v>88.202277897392506</v>
      </c>
      <c r="AK505">
        <v>185.73021213220099</v>
      </c>
      <c r="AL505">
        <v>86.012545697002494</v>
      </c>
      <c r="AM505">
        <v>87.370492976220007</v>
      </c>
      <c r="AN505">
        <v>0.99999997499794102</v>
      </c>
    </row>
    <row r="506" spans="1:40" x14ac:dyDescent="0.25">
      <c r="A506" t="str">
        <f>"20190312154810261"</f>
        <v>20190312154810261</v>
      </c>
      <c r="B506" t="str">
        <f>"1552376890256370"</f>
        <v>1552376890256370</v>
      </c>
      <c r="C506" t="s">
        <v>40</v>
      </c>
      <c r="D506">
        <v>4.4862289999999998</v>
      </c>
      <c r="E506">
        <v>0.4557464</v>
      </c>
      <c r="F506" t="s">
        <v>44</v>
      </c>
      <c r="G506">
        <v>-170.08879999999999</v>
      </c>
      <c r="H506">
        <v>7.1962469999999996</v>
      </c>
      <c r="I506">
        <v>379.13749999999999</v>
      </c>
      <c r="J506">
        <v>-343.69580000000002</v>
      </c>
      <c r="K506">
        <v>1.11022</v>
      </c>
      <c r="L506">
        <v>367.61810000000003</v>
      </c>
      <c r="M506">
        <v>0.99990140000000005</v>
      </c>
      <c r="N506">
        <v>0</v>
      </c>
      <c r="O506">
        <v>-7.2495199999999995E-4</v>
      </c>
      <c r="P506">
        <v>0.99737929999999997</v>
      </c>
      <c r="Q506">
        <v>5.5102060000000001E-2</v>
      </c>
      <c r="R506">
        <v>-4.6891309999999999E-2</v>
      </c>
      <c r="S506">
        <v>3.0113219999999998</v>
      </c>
      <c r="T506">
        <v>0.1054823</v>
      </c>
      <c r="U506">
        <v>0.19964599999999999</v>
      </c>
      <c r="V506">
        <v>4.6171169999999997E-2</v>
      </c>
      <c r="W506">
        <v>6.9090429999999994E-2</v>
      </c>
      <c r="X506">
        <v>0.99654140000000002</v>
      </c>
      <c r="Y506">
        <v>-6.6835399999999906E-2</v>
      </c>
      <c r="Z506">
        <v>-1.1942949999999999E-3</v>
      </c>
      <c r="AA506">
        <v>0.99776330000000002</v>
      </c>
      <c r="AB506">
        <v>27</v>
      </c>
      <c r="AC506">
        <v>173.607</v>
      </c>
      <c r="AD506">
        <v>6.0860269999999996</v>
      </c>
      <c r="AE506">
        <v>11.5193999999999</v>
      </c>
      <c r="AF506">
        <v>-11.631034819097501</v>
      </c>
      <c r="AG506">
        <v>6.0860269999999996</v>
      </c>
      <c r="AH506">
        <v>173.38645375187201</v>
      </c>
      <c r="AI506">
        <v>87.994194036061003</v>
      </c>
      <c r="AJ506">
        <v>93.837740969043907</v>
      </c>
      <c r="AK506">
        <v>173.88267032760299</v>
      </c>
      <c r="AL506">
        <v>86.038253844178001</v>
      </c>
      <c r="AM506">
        <v>87.347302651609098</v>
      </c>
      <c r="AN506">
        <v>1.0000000131853499</v>
      </c>
    </row>
    <row r="507" spans="1:40" x14ac:dyDescent="0.25">
      <c r="A507" t="str">
        <f>"20190312154810272"</f>
        <v>20190312154810272</v>
      </c>
      <c r="B507" t="str">
        <f>"1552376890267106"</f>
        <v>1552376890267106</v>
      </c>
      <c r="C507" t="s">
        <v>40</v>
      </c>
      <c r="D507">
        <v>4.4658100000000003</v>
      </c>
      <c r="E507">
        <v>0.45450049999999997</v>
      </c>
      <c r="F507" t="s">
        <v>44</v>
      </c>
      <c r="G507">
        <v>-170.08879999999999</v>
      </c>
      <c r="H507">
        <v>7.0958769999999998</v>
      </c>
      <c r="I507">
        <v>379.97949999999997</v>
      </c>
      <c r="J507">
        <v>-343.55880000000002</v>
      </c>
      <c r="K507">
        <v>1.1102190000000001</v>
      </c>
      <c r="L507">
        <v>367.61799999999999</v>
      </c>
      <c r="M507">
        <v>0.99990129999999999</v>
      </c>
      <c r="N507">
        <v>0</v>
      </c>
      <c r="O507">
        <v>-7.2527609999999999E-4</v>
      </c>
      <c r="P507">
        <v>0.99738539999999998</v>
      </c>
      <c r="Q507">
        <v>5.4622160000000003E-2</v>
      </c>
      <c r="R507">
        <v>-4.7316219999999999E-2</v>
      </c>
      <c r="S507">
        <v>3.0122070000000001</v>
      </c>
      <c r="T507">
        <v>0.1038569</v>
      </c>
      <c r="U507">
        <v>0.21447749999999999</v>
      </c>
      <c r="V507">
        <v>4.6595690000000002E-2</v>
      </c>
      <c r="W507">
        <v>6.8609009999999998E-2</v>
      </c>
      <c r="X507">
        <v>0.99655490000000002</v>
      </c>
      <c r="Y507">
        <v>-7.1703660000000002E-2</v>
      </c>
      <c r="Z507">
        <v>-1.2591659999999999E-3</v>
      </c>
      <c r="AA507">
        <v>0.99742520000000001</v>
      </c>
      <c r="AB507">
        <v>27</v>
      </c>
      <c r="AC507">
        <v>173.47</v>
      </c>
      <c r="AD507">
        <v>5.9856579999999999</v>
      </c>
      <c r="AE507">
        <v>12.3614999999999</v>
      </c>
      <c r="AF507">
        <v>-12.4725476786603</v>
      </c>
      <c r="AG507">
        <v>5.9856579999999999</v>
      </c>
      <c r="AH507">
        <v>173.25574755084099</v>
      </c>
      <c r="AI507">
        <v>88.0264295934941</v>
      </c>
      <c r="AJ507">
        <v>94.117575750975504</v>
      </c>
      <c r="AK507">
        <v>173.807211031908</v>
      </c>
      <c r="AL507">
        <v>86.065902781962095</v>
      </c>
      <c r="AM507">
        <v>87.322984005770806</v>
      </c>
      <c r="AN507">
        <v>1.0000000116468799</v>
      </c>
    </row>
    <row r="508" spans="1:40" x14ac:dyDescent="0.25">
      <c r="A508" t="str">
        <f>"20190312154810285"</f>
        <v>20190312154810285</v>
      </c>
      <c r="B508" t="str">
        <f>"1552376890276867"</f>
        <v>1552376890276867</v>
      </c>
      <c r="C508" t="s">
        <v>40</v>
      </c>
      <c r="D508">
        <v>4.4526779999999997</v>
      </c>
      <c r="E508">
        <v>0.4536849</v>
      </c>
      <c r="F508" t="s">
        <v>44</v>
      </c>
      <c r="G508">
        <v>-170.08879999999999</v>
      </c>
      <c r="H508">
        <v>7.0412970000000001</v>
      </c>
      <c r="I508">
        <v>380.47480000000002</v>
      </c>
      <c r="J508">
        <v>-343.4051</v>
      </c>
      <c r="K508">
        <v>1.1102190000000001</v>
      </c>
      <c r="L508">
        <v>367.61790000000002</v>
      </c>
      <c r="M508">
        <v>0.99990140000000005</v>
      </c>
      <c r="N508">
        <v>0</v>
      </c>
      <c r="O508">
        <v>-7.2500479999999996E-4</v>
      </c>
      <c r="P508">
        <v>0.99741460000000004</v>
      </c>
      <c r="Q508">
        <v>5.3898010000000003E-2</v>
      </c>
      <c r="R508">
        <v>-4.7531329999999997E-2</v>
      </c>
      <c r="S508">
        <v>3.012848</v>
      </c>
      <c r="T508">
        <v>0.1030132</v>
      </c>
      <c r="U508">
        <v>0.2232971</v>
      </c>
      <c r="V508">
        <v>4.681068E-2</v>
      </c>
      <c r="W508">
        <v>6.7884009999999995E-2</v>
      </c>
      <c r="X508">
        <v>0.99659450000000005</v>
      </c>
      <c r="Y508">
        <v>-7.4591539999999998E-2</v>
      </c>
      <c r="Z508">
        <v>-1.2978239999999999E-3</v>
      </c>
      <c r="AA508">
        <v>0.99721329999999997</v>
      </c>
      <c r="AB508">
        <v>27</v>
      </c>
      <c r="AC508">
        <v>173.31630000000001</v>
      </c>
      <c r="AD508">
        <v>5.9310780000000003</v>
      </c>
      <c r="AE508">
        <v>12.8568999999999</v>
      </c>
      <c r="AF508">
        <v>-12.9674612370818</v>
      </c>
      <c r="AG508">
        <v>5.9310780000000003</v>
      </c>
      <c r="AH508">
        <v>173.10532060310899</v>
      </c>
      <c r="AI508">
        <v>88.043130808901495</v>
      </c>
      <c r="AJ508">
        <v>94.284072147633296</v>
      </c>
      <c r="AK508">
        <v>173.69163698429099</v>
      </c>
      <c r="AL508">
        <v>86.107539401295995</v>
      </c>
      <c r="AM508">
        <v>87.310757195976706</v>
      </c>
      <c r="AN508">
        <v>1.0000000380029901</v>
      </c>
    </row>
    <row r="509" spans="1:40" x14ac:dyDescent="0.25">
      <c r="A509" t="str">
        <f>"20190312154810296"</f>
        <v>20190312154810296</v>
      </c>
      <c r="B509" t="str">
        <f>"1552376890286627"</f>
        <v>1552376890286627</v>
      </c>
      <c r="C509" t="s">
        <v>40</v>
      </c>
      <c r="D509">
        <v>4.4540819999999997</v>
      </c>
      <c r="E509">
        <v>0.4529977</v>
      </c>
      <c r="F509" t="s">
        <v>44</v>
      </c>
      <c r="G509">
        <v>-170.08879999999999</v>
      </c>
      <c r="H509">
        <v>6.9512090000000004</v>
      </c>
      <c r="I509">
        <v>380.80220000000003</v>
      </c>
      <c r="J509">
        <v>-343.26389999999998</v>
      </c>
      <c r="K509">
        <v>1.11022</v>
      </c>
      <c r="L509">
        <v>367.61779999999999</v>
      </c>
      <c r="M509">
        <v>0.99990140000000005</v>
      </c>
      <c r="N509">
        <v>0</v>
      </c>
      <c r="O509">
        <v>-7.2391130000000004E-4</v>
      </c>
      <c r="P509">
        <v>0.99741900000000006</v>
      </c>
      <c r="Q509">
        <v>5.3512329999999997E-2</v>
      </c>
      <c r="R509">
        <v>-4.7874090000000001E-2</v>
      </c>
      <c r="S509">
        <v>3.0132140000000001</v>
      </c>
      <c r="T509">
        <v>0.1015508</v>
      </c>
      <c r="U509">
        <v>0.22921749999999999</v>
      </c>
      <c r="V509">
        <v>4.7154639999999998E-2</v>
      </c>
      <c r="W509">
        <v>6.7496749999999994E-2</v>
      </c>
      <c r="X509">
        <v>0.99660459999999995</v>
      </c>
      <c r="Y509">
        <v>-7.6529890000000003E-2</v>
      </c>
      <c r="Z509">
        <v>-1.3117319999999999E-3</v>
      </c>
      <c r="AA509">
        <v>0.99706640000000002</v>
      </c>
      <c r="AB509">
        <v>27</v>
      </c>
      <c r="AC509">
        <v>173.17509999999999</v>
      </c>
      <c r="AD509">
        <v>5.8409890000000004</v>
      </c>
      <c r="AE509">
        <v>13.1844</v>
      </c>
      <c r="AF509">
        <v>-13.294734927719499</v>
      </c>
      <c r="AG509">
        <v>5.8409890000000004</v>
      </c>
      <c r="AH509">
        <v>172.96986724435001</v>
      </c>
      <c r="AI509">
        <v>88.071607329206401</v>
      </c>
      <c r="AJ509">
        <v>94.395201773430699</v>
      </c>
      <c r="AK509">
        <v>173.57834572268601</v>
      </c>
      <c r="AL509">
        <v>86.1297788195713</v>
      </c>
      <c r="AM509">
        <v>87.2910536613999</v>
      </c>
      <c r="AN509">
        <v>1.00000005003762</v>
      </c>
    </row>
    <row r="510" spans="1:40" x14ac:dyDescent="0.25">
      <c r="A510" t="str">
        <f>"20190312154810314"</f>
        <v>20190312154810314</v>
      </c>
      <c r="B510" t="str">
        <f>"1552376890306148"</f>
        <v>1552376890306148</v>
      </c>
      <c r="C510" t="s">
        <v>40</v>
      </c>
      <c r="D510">
        <v>4.4138599999999997</v>
      </c>
      <c r="E510">
        <v>0.45176620000000001</v>
      </c>
      <c r="F510" t="s">
        <v>44</v>
      </c>
      <c r="G510">
        <v>-170.08879999999999</v>
      </c>
      <c r="H510">
        <v>6.9162239999999997</v>
      </c>
      <c r="I510">
        <v>381.04239999999999</v>
      </c>
      <c r="J510">
        <v>-343.0421</v>
      </c>
      <c r="K510">
        <v>1.110217</v>
      </c>
      <c r="L510">
        <v>367.61759999999998</v>
      </c>
      <c r="M510">
        <v>0.9999015</v>
      </c>
      <c r="N510">
        <v>0</v>
      </c>
      <c r="O510">
        <v>-7.2161960000000005E-4</v>
      </c>
      <c r="P510">
        <v>0.997421</v>
      </c>
      <c r="Q510">
        <v>5.2924499999999999E-2</v>
      </c>
      <c r="R510">
        <v>-4.8481059999999999E-2</v>
      </c>
      <c r="S510">
        <v>3.01355</v>
      </c>
      <c r="T510">
        <v>0.1010361</v>
      </c>
      <c r="U510">
        <v>0.23361209999999999</v>
      </c>
      <c r="V510">
        <v>4.7763739999999999E-2</v>
      </c>
      <c r="W510">
        <v>6.6906820000000006E-2</v>
      </c>
      <c r="X510">
        <v>0.99661540000000004</v>
      </c>
      <c r="Y510">
        <v>-7.7964249999999999E-2</v>
      </c>
      <c r="Z510">
        <v>-1.328795E-3</v>
      </c>
      <c r="AA510">
        <v>0.99695529999999999</v>
      </c>
      <c r="AB510">
        <v>27</v>
      </c>
      <c r="AC510">
        <v>172.95330000000001</v>
      </c>
      <c r="AD510">
        <v>5.8060070000000001</v>
      </c>
      <c r="AE510">
        <v>13.424799999999999</v>
      </c>
      <c r="AF510">
        <v>-13.534454204003</v>
      </c>
      <c r="AG510">
        <v>5.8060070000000001</v>
      </c>
      <c r="AH510">
        <v>172.75005489106599</v>
      </c>
      <c r="AI510">
        <v>88.080930449990106</v>
      </c>
      <c r="AJ510">
        <v>94.479803206242806</v>
      </c>
      <c r="AK510">
        <v>173.37667845690899</v>
      </c>
      <c r="AL510">
        <v>86.163656001493905</v>
      </c>
      <c r="AM510">
        <v>87.256144824819302</v>
      </c>
      <c r="AN510">
        <v>1.0000000764692201</v>
      </c>
    </row>
    <row r="511" spans="1:40" x14ac:dyDescent="0.25">
      <c r="A511" t="str">
        <f>"20190312154810326"</f>
        <v>20190312154810326</v>
      </c>
      <c r="B511" t="str">
        <f>"1552376890316883"</f>
        <v>1552376890316883</v>
      </c>
      <c r="C511" t="s">
        <v>40</v>
      </c>
      <c r="D511">
        <v>4.4880890000000004</v>
      </c>
      <c r="E511">
        <v>0.45112419999999998</v>
      </c>
      <c r="F511" t="s">
        <v>44</v>
      </c>
      <c r="G511">
        <v>-170.08879999999999</v>
      </c>
      <c r="H511">
        <v>7.1489029999999998</v>
      </c>
      <c r="I511">
        <v>381.47879999999998</v>
      </c>
      <c r="J511">
        <v>-342.90910000000002</v>
      </c>
      <c r="K511">
        <v>1.110217</v>
      </c>
      <c r="L511">
        <v>367.61759999999998</v>
      </c>
      <c r="M511">
        <v>0.99990140000000005</v>
      </c>
      <c r="N511">
        <v>0</v>
      </c>
      <c r="O511">
        <v>-7.2005690000000004E-4</v>
      </c>
      <c r="P511">
        <v>0.99744949999999999</v>
      </c>
      <c r="Q511">
        <v>5.2396970000000001E-2</v>
      </c>
      <c r="R511">
        <v>-4.8469600000000002E-2</v>
      </c>
      <c r="S511">
        <v>3.013916</v>
      </c>
      <c r="T511">
        <v>0.1052327</v>
      </c>
      <c r="U511">
        <v>0.2415466</v>
      </c>
      <c r="V511">
        <v>4.775364E-2</v>
      </c>
      <c r="W511">
        <v>6.6378220000000002E-2</v>
      </c>
      <c r="X511">
        <v>0.99665119999999896</v>
      </c>
      <c r="Y511">
        <v>-8.0556240000000001E-2</v>
      </c>
      <c r="Z511">
        <v>-1.4287550000000001E-3</v>
      </c>
      <c r="AA511">
        <v>0.996749</v>
      </c>
      <c r="AB511">
        <v>27</v>
      </c>
      <c r="AC511">
        <v>172.8203</v>
      </c>
      <c r="AD511">
        <v>6.0386860000000002</v>
      </c>
      <c r="AE511">
        <v>13.861199999999901</v>
      </c>
      <c r="AF511">
        <v>-13.968703117100899</v>
      </c>
      <c r="AG511">
        <v>6.0386860000000002</v>
      </c>
      <c r="AH511">
        <v>172.60088450868901</v>
      </c>
      <c r="AI511">
        <v>88.002768153521998</v>
      </c>
      <c r="AJ511">
        <v>94.626900993030205</v>
      </c>
      <c r="AK511">
        <v>173.27046986882101</v>
      </c>
      <c r="AL511">
        <v>86.194009913290699</v>
      </c>
      <c r="AM511">
        <v>87.256822535852805</v>
      </c>
      <c r="AN511">
        <v>1.00000004634252</v>
      </c>
    </row>
    <row r="512" spans="1:40" x14ac:dyDescent="0.25">
      <c r="A512" t="str">
        <f>"20190312154810338"</f>
        <v>20190312154810338</v>
      </c>
      <c r="B512" t="str">
        <f>"1552376890326642"</f>
        <v>1552376890326642</v>
      </c>
      <c r="C512" t="s">
        <v>40</v>
      </c>
      <c r="D512">
        <v>4.4706939999999999</v>
      </c>
      <c r="E512">
        <v>0.45054119999999998</v>
      </c>
      <c r="F512" t="s">
        <v>44</v>
      </c>
      <c r="G512">
        <v>-170.08879999999999</v>
      </c>
      <c r="H512">
        <v>7.0497880000000004</v>
      </c>
      <c r="I512">
        <v>381.74310000000003</v>
      </c>
      <c r="J512">
        <v>-342.75940000000003</v>
      </c>
      <c r="K512">
        <v>1.110215</v>
      </c>
      <c r="L512">
        <v>367.61739999999998</v>
      </c>
      <c r="M512">
        <v>0.9999015</v>
      </c>
      <c r="N512">
        <v>0</v>
      </c>
      <c r="O512">
        <v>-7.1861440000000004E-4</v>
      </c>
      <c r="P512">
        <v>0.99744699999999997</v>
      </c>
      <c r="Q512">
        <v>5.2186539999999997E-2</v>
      </c>
      <c r="R512">
        <v>-4.8749590000000002E-2</v>
      </c>
      <c r="S512">
        <v>3.014221</v>
      </c>
      <c r="T512">
        <v>0.1035957</v>
      </c>
      <c r="U512">
        <v>0.24636839999999999</v>
      </c>
      <c r="V512">
        <v>4.8035229999999998E-2</v>
      </c>
      <c r="W512">
        <v>6.6166489999999994E-2</v>
      </c>
      <c r="X512">
        <v>0.99665170000000003</v>
      </c>
      <c r="Y512">
        <v>-8.213136E-2</v>
      </c>
      <c r="Z512">
        <v>-1.4332749999999999E-3</v>
      </c>
      <c r="AA512">
        <v>0.99662050000000002</v>
      </c>
      <c r="AB512">
        <v>27</v>
      </c>
      <c r="AC512">
        <v>172.67060000000001</v>
      </c>
      <c r="AD512">
        <v>5.9395730000000002</v>
      </c>
      <c r="AE512">
        <v>14.1257</v>
      </c>
      <c r="AF512">
        <v>-14.2330629210518</v>
      </c>
      <c r="AG512">
        <v>5.9395730000000002</v>
      </c>
      <c r="AH512">
        <v>172.45770081918599</v>
      </c>
      <c r="AI512">
        <v>88.034148298428306</v>
      </c>
      <c r="AJ512">
        <v>94.717971009288703</v>
      </c>
      <c r="AK512">
        <v>173.14594185073099</v>
      </c>
      <c r="AL512">
        <v>86.206167698275095</v>
      </c>
      <c r="AM512">
        <v>87.240673086163298</v>
      </c>
      <c r="AN512">
        <v>0.99999999941648099</v>
      </c>
    </row>
    <row r="513" spans="1:40" x14ac:dyDescent="0.25">
      <c r="A513" t="str">
        <f>"20190312154810350"</f>
        <v>20190312154810350</v>
      </c>
      <c r="B513" t="str">
        <f>"1552376890336402"</f>
        <v>1552376890336402</v>
      </c>
      <c r="C513" t="s">
        <v>40</v>
      </c>
      <c r="D513">
        <v>4.4495279999999999</v>
      </c>
      <c r="E513">
        <v>0.45005719999999999</v>
      </c>
      <c r="F513" t="s">
        <v>44</v>
      </c>
      <c r="G513">
        <v>-170.08879999999999</v>
      </c>
      <c r="H513">
        <v>7.0157299999999996</v>
      </c>
      <c r="I513">
        <v>381.95819999999998</v>
      </c>
      <c r="J513">
        <v>-342.63010000000003</v>
      </c>
      <c r="K513">
        <v>1.1102099999999999</v>
      </c>
      <c r="L513">
        <v>367.6173</v>
      </c>
      <c r="M513">
        <v>0.99990140000000005</v>
      </c>
      <c r="N513">
        <v>0</v>
      </c>
      <c r="O513">
        <v>-7.1741220000000002E-4</v>
      </c>
      <c r="P513">
        <v>0.99747350000000001</v>
      </c>
      <c r="Q513">
        <v>5.1592480000000003E-2</v>
      </c>
      <c r="R513">
        <v>-4.8834589999999997E-2</v>
      </c>
      <c r="S513">
        <v>3.0145569999999999</v>
      </c>
      <c r="T513">
        <v>0.103102399999999</v>
      </c>
      <c r="U513">
        <v>0.25036619999999998</v>
      </c>
      <c r="V513">
        <v>4.8121289999999997E-2</v>
      </c>
      <c r="W513">
        <v>6.5571260000000006E-2</v>
      </c>
      <c r="X513">
        <v>0.99668690000000004</v>
      </c>
      <c r="Y513">
        <v>-8.3433579999999993E-2</v>
      </c>
      <c r="Z513">
        <v>-1.4484019999999999E-3</v>
      </c>
      <c r="AA513">
        <v>0.99651230000000002</v>
      </c>
      <c r="AB513">
        <v>27</v>
      </c>
      <c r="AC513">
        <v>172.54130000000001</v>
      </c>
      <c r="AD513">
        <v>5.9055200000000001</v>
      </c>
      <c r="AE513">
        <v>14.3408999999999</v>
      </c>
      <c r="AF513">
        <v>-14.4478826163368</v>
      </c>
      <c r="AG513">
        <v>5.9055200000000001</v>
      </c>
      <c r="AH513">
        <v>172.33047179579501</v>
      </c>
      <c r="AI513">
        <v>88.044179413153998</v>
      </c>
      <c r="AJ513">
        <v>94.792369721983604</v>
      </c>
      <c r="AK513">
        <v>173.03585752070899</v>
      </c>
      <c r="AL513">
        <v>86.240346141155001</v>
      </c>
      <c r="AM513">
        <v>87.235834606293494</v>
      </c>
      <c r="AN513">
        <v>1.00000001266043</v>
      </c>
    </row>
    <row r="514" spans="1:40" x14ac:dyDescent="0.25">
      <c r="A514" t="str">
        <f>"20190312154810360"</f>
        <v>20190312154810360</v>
      </c>
      <c r="B514" t="str">
        <f>"1552376890346162"</f>
        <v>1552376890346162</v>
      </c>
      <c r="C514" t="s">
        <v>40</v>
      </c>
      <c r="D514">
        <v>4.478389</v>
      </c>
      <c r="E514">
        <v>0.44967560000000001</v>
      </c>
      <c r="F514" t="s">
        <v>44</v>
      </c>
      <c r="G514">
        <v>-170.08879999999999</v>
      </c>
      <c r="H514">
        <v>6.9133490000000002</v>
      </c>
      <c r="I514">
        <v>382.1558</v>
      </c>
      <c r="J514">
        <v>-342.4914</v>
      </c>
      <c r="K514">
        <v>1.1102030000000001</v>
      </c>
      <c r="L514">
        <v>367.61720000000003</v>
      </c>
      <c r="M514">
        <v>0.99990159999999995</v>
      </c>
      <c r="N514">
        <v>0</v>
      </c>
      <c r="O514">
        <v>-7.1632899999999895E-4</v>
      </c>
      <c r="P514">
        <v>0.99751029999999996</v>
      </c>
      <c r="Q514">
        <v>5.0748420000000002E-2</v>
      </c>
      <c r="R514">
        <v>-4.8969550000000001E-2</v>
      </c>
      <c r="S514">
        <v>3.0148009999999998</v>
      </c>
      <c r="T514">
        <v>0.1013993</v>
      </c>
      <c r="U514">
        <v>0.25402829999999998</v>
      </c>
      <c r="V514">
        <v>4.8257149999999999E-2</v>
      </c>
      <c r="W514">
        <v>6.4726199999999998E-2</v>
      </c>
      <c r="X514">
        <v>0.99673560000000005</v>
      </c>
      <c r="Y514">
        <v>-8.4628789999999995E-2</v>
      </c>
      <c r="Z514">
        <v>-1.444325E-3</v>
      </c>
      <c r="AA514">
        <v>0.99641150000000001</v>
      </c>
      <c r="AB514">
        <v>27</v>
      </c>
      <c r="AC514">
        <v>172.40260000000001</v>
      </c>
      <c r="AD514">
        <v>5.8031459999999999</v>
      </c>
      <c r="AE514">
        <v>14.538599999999899</v>
      </c>
      <c r="AF514">
        <v>-14.6456286869886</v>
      </c>
      <c r="AG514">
        <v>5.8031459999999999</v>
      </c>
      <c r="AH514">
        <v>172.19841294411299</v>
      </c>
      <c r="AI514">
        <v>88.076781092673897</v>
      </c>
      <c r="AJ514">
        <v>94.861357908682507</v>
      </c>
      <c r="AK514">
        <v>172.91750739472801</v>
      </c>
      <c r="AL514">
        <v>86.288867713931694</v>
      </c>
      <c r="AM514">
        <v>87.228177966112298</v>
      </c>
      <c r="AN514">
        <v>1.00000004489996</v>
      </c>
    </row>
    <row r="515" spans="1:40" x14ac:dyDescent="0.25">
      <c r="A515" t="str">
        <f>"20190312154810371"</f>
        <v>20190312154810371</v>
      </c>
      <c r="B515" t="str">
        <f>"1552376890366658"</f>
        <v>1552376890366658</v>
      </c>
      <c r="C515" t="s">
        <v>40</v>
      </c>
      <c r="D515">
        <v>4.4386260000000002</v>
      </c>
      <c r="E515">
        <v>0.44943280000000002</v>
      </c>
      <c r="F515" t="s">
        <v>44</v>
      </c>
      <c r="G515">
        <v>-170.08879999999999</v>
      </c>
      <c r="H515">
        <v>6.8360709999999996</v>
      </c>
      <c r="I515">
        <v>382.28449999999998</v>
      </c>
      <c r="J515">
        <v>-342.36509999999998</v>
      </c>
      <c r="K515">
        <v>1.110195</v>
      </c>
      <c r="L515">
        <v>367.61709999999999</v>
      </c>
      <c r="M515">
        <v>0.9999017</v>
      </c>
      <c r="N515">
        <v>0</v>
      </c>
      <c r="O515">
        <v>-7.1584289999999896E-4</v>
      </c>
      <c r="P515">
        <v>0.99759310000000001</v>
      </c>
      <c r="Q515">
        <v>4.9321450000000003E-2</v>
      </c>
      <c r="R515">
        <v>-4.8746299999999999E-2</v>
      </c>
      <c r="S515">
        <v>3.0149840000000001</v>
      </c>
      <c r="T515">
        <v>0.10013569999999999</v>
      </c>
      <c r="U515">
        <v>0.25650020000000001</v>
      </c>
      <c r="V515">
        <v>4.8034220000000002E-2</v>
      </c>
      <c r="W515">
        <v>6.3299569999999999E-2</v>
      </c>
      <c r="X515">
        <v>0.99683790000000005</v>
      </c>
      <c r="Y515">
        <v>-8.5435079999999997E-2</v>
      </c>
      <c r="Z515">
        <v>-1.4395460000000001E-3</v>
      </c>
      <c r="AA515">
        <v>0.99634270000000003</v>
      </c>
      <c r="AB515">
        <v>27</v>
      </c>
      <c r="AC515">
        <v>172.27629999999999</v>
      </c>
      <c r="AD515">
        <v>5.7258760000000004</v>
      </c>
      <c r="AE515">
        <v>14.667399999999899</v>
      </c>
      <c r="AF515">
        <v>-14.7745275662653</v>
      </c>
      <c r="AG515">
        <v>5.7258760000000004</v>
      </c>
      <c r="AH515">
        <v>172.077034784804</v>
      </c>
      <c r="AI515">
        <v>88.101162959980698</v>
      </c>
      <c r="AJ515">
        <v>94.907378078864696</v>
      </c>
      <c r="AK515">
        <v>172.80502950176</v>
      </c>
      <c r="AL515">
        <v>86.370775275141895</v>
      </c>
      <c r="AM515">
        <v>87.2412456241005</v>
      </c>
      <c r="AN515">
        <v>0.99999996036480099</v>
      </c>
    </row>
    <row r="516" spans="1:40" x14ac:dyDescent="0.25">
      <c r="A516" t="str">
        <f>"20190312154810382"</f>
        <v>20190312154810382</v>
      </c>
      <c r="B516" t="str">
        <f>"1552376890376419"</f>
        <v>1552376890376419</v>
      </c>
      <c r="C516" t="s">
        <v>40</v>
      </c>
      <c r="D516">
        <v>4.4318989999999996</v>
      </c>
      <c r="E516">
        <v>0.44939190000000001</v>
      </c>
      <c r="F516" t="s">
        <v>44</v>
      </c>
      <c r="G516">
        <v>-170.08879999999999</v>
      </c>
      <c r="H516">
        <v>6.8278919999999896</v>
      </c>
      <c r="I516">
        <v>382.42899999999997</v>
      </c>
      <c r="J516">
        <v>-342.23259999999999</v>
      </c>
      <c r="K516">
        <v>1.1101859999999999</v>
      </c>
      <c r="L516">
        <v>367.61700000000002</v>
      </c>
      <c r="M516">
        <v>0.99990159999999995</v>
      </c>
      <c r="N516">
        <v>0</v>
      </c>
      <c r="O516">
        <v>-7.1511830000000004E-4</v>
      </c>
      <c r="P516">
        <v>0.99768889999999999</v>
      </c>
      <c r="Q516">
        <v>4.7639689999999998E-2</v>
      </c>
      <c r="R516">
        <v>-4.8451500000000002E-2</v>
      </c>
      <c r="S516">
        <v>3.0149539999999999</v>
      </c>
      <c r="T516">
        <v>0.1000651</v>
      </c>
      <c r="U516">
        <v>0.25921630000000001</v>
      </c>
      <c r="V516">
        <v>4.7740079999999997E-2</v>
      </c>
      <c r="W516">
        <v>6.1617239999999997E-2</v>
      </c>
      <c r="X516">
        <v>0.99695750000000005</v>
      </c>
      <c r="Y516">
        <v>-8.6325819999999998E-2</v>
      </c>
      <c r="Z516">
        <v>-1.4532179999999901E-3</v>
      </c>
      <c r="AA516">
        <v>0.99626590000000004</v>
      </c>
      <c r="AB516">
        <v>27</v>
      </c>
      <c r="AC516">
        <v>172.1438</v>
      </c>
      <c r="AD516">
        <v>5.7177059999999997</v>
      </c>
      <c r="AE516">
        <v>14.811999999999999</v>
      </c>
      <c r="AF516">
        <v>-14.918773792687</v>
      </c>
      <c r="AG516">
        <v>5.7177059999999997</v>
      </c>
      <c r="AH516">
        <v>171.94486422975999</v>
      </c>
      <c r="AI516">
        <v>88.102560897569404</v>
      </c>
      <c r="AJ516">
        <v>94.958842120166693</v>
      </c>
      <c r="AK516">
        <v>172.68554747971999</v>
      </c>
      <c r="AL516">
        <v>86.467354502977201</v>
      </c>
      <c r="AM516">
        <v>87.258441566973303</v>
      </c>
      <c r="AN516">
        <v>1.0000000281549299</v>
      </c>
    </row>
    <row r="517" spans="1:40" x14ac:dyDescent="0.25">
      <c r="A517" t="str">
        <f>"20190312154810395"</f>
        <v>20190312154810395</v>
      </c>
      <c r="B517" t="str">
        <f>"1552376890386178"</f>
        <v>1552376890386178</v>
      </c>
      <c r="C517" t="s">
        <v>40</v>
      </c>
      <c r="D517">
        <v>4.4180460000000004</v>
      </c>
      <c r="E517">
        <v>0.44929530000000001</v>
      </c>
      <c r="F517" t="s">
        <v>44</v>
      </c>
      <c r="G517">
        <v>-169.2955</v>
      </c>
      <c r="H517">
        <v>6.6436029999999997</v>
      </c>
      <c r="I517">
        <v>382.52910000000003</v>
      </c>
      <c r="J517">
        <v>-342.07709999999997</v>
      </c>
      <c r="K517">
        <v>1.1101749999999999</v>
      </c>
      <c r="L517">
        <v>367.61689999999999</v>
      </c>
      <c r="M517">
        <v>0.9999017</v>
      </c>
      <c r="N517">
        <v>0</v>
      </c>
      <c r="O517">
        <v>-7.1484520000000005E-4</v>
      </c>
      <c r="P517">
        <v>0.99777450000000001</v>
      </c>
      <c r="Q517">
        <v>4.6027470000000001E-2</v>
      </c>
      <c r="R517">
        <v>-4.8242989999999999E-2</v>
      </c>
      <c r="S517">
        <v>3.015015</v>
      </c>
      <c r="T517">
        <v>9.6472020000000006E-2</v>
      </c>
      <c r="U517">
        <v>0.25997920000000002</v>
      </c>
      <c r="V517">
        <v>4.7532030000000003E-2</v>
      </c>
      <c r="W517">
        <v>6.0001850000000002E-2</v>
      </c>
      <c r="X517">
        <v>0.99706600000000001</v>
      </c>
      <c r="Y517">
        <v>-8.6577310000000005E-2</v>
      </c>
      <c r="Z517">
        <v>-1.405026E-3</v>
      </c>
      <c r="AA517">
        <v>0.99624409999999997</v>
      </c>
      <c r="AB517">
        <v>27</v>
      </c>
      <c r="AC517">
        <v>172.781599999999</v>
      </c>
      <c r="AD517">
        <v>5.5334279999999998</v>
      </c>
      <c r="AE517">
        <v>14.9122</v>
      </c>
      <c r="AF517">
        <v>-15.0204287993314</v>
      </c>
      <c r="AG517">
        <v>5.5334279999999998</v>
      </c>
      <c r="AH517">
        <v>172.595183777649</v>
      </c>
      <c r="AI517">
        <v>88.170627268335195</v>
      </c>
      <c r="AJ517">
        <v>94.973744466800497</v>
      </c>
      <c r="AK517">
        <v>173.335886561287</v>
      </c>
      <c r="AL517">
        <v>86.560081257912003</v>
      </c>
      <c r="AM517">
        <v>87.270667683493798</v>
      </c>
      <c r="AN517">
        <v>1.0000000621176699</v>
      </c>
    </row>
    <row r="518" spans="1:40" x14ac:dyDescent="0.25">
      <c r="A518" t="str">
        <f>"20190312154810410"</f>
        <v>20190312154810410</v>
      </c>
      <c r="B518" t="str">
        <f>"1552376890396914"</f>
        <v>1552376890396914</v>
      </c>
      <c r="C518" t="s">
        <v>40</v>
      </c>
      <c r="D518">
        <v>4.433891</v>
      </c>
      <c r="E518">
        <v>0.4492023</v>
      </c>
      <c r="F518" t="s">
        <v>44</v>
      </c>
      <c r="G518">
        <v>-169.2955</v>
      </c>
      <c r="H518">
        <v>6.4286120000000002</v>
      </c>
      <c r="I518">
        <v>382.601</v>
      </c>
      <c r="J518">
        <v>-341.90010000000001</v>
      </c>
      <c r="K518">
        <v>1.1101650000000001</v>
      </c>
      <c r="L518">
        <v>367.61680000000001</v>
      </c>
      <c r="M518">
        <v>0.99990190000000001</v>
      </c>
      <c r="N518">
        <v>0</v>
      </c>
      <c r="O518">
        <v>-7.1454259999999996E-4</v>
      </c>
      <c r="P518">
        <v>0.99785480000000004</v>
      </c>
      <c r="Q518">
        <v>4.4649689999999999E-2</v>
      </c>
      <c r="R518">
        <v>-4.7881819999999999E-2</v>
      </c>
      <c r="S518">
        <v>3.0150760000000001</v>
      </c>
      <c r="T518">
        <v>9.2809320000000001E-2</v>
      </c>
      <c r="U518">
        <v>0.2614746</v>
      </c>
      <c r="V518">
        <v>4.7170829999999997E-2</v>
      </c>
      <c r="W518">
        <v>5.8615750000000001E-2</v>
      </c>
      <c r="X518">
        <v>0.99716559999999999</v>
      </c>
      <c r="Y518">
        <v>-8.7068770000000004E-2</v>
      </c>
      <c r="Z518">
        <v>-1.359191E-3</v>
      </c>
      <c r="AA518">
        <v>0.99620140000000001</v>
      </c>
      <c r="AB518">
        <v>27</v>
      </c>
      <c r="AC518">
        <v>172.6046</v>
      </c>
      <c r="AD518">
        <v>5.3184469999999999</v>
      </c>
      <c r="AE518">
        <v>14.9841999999999</v>
      </c>
      <c r="AF518">
        <v>-15.093318656443699</v>
      </c>
      <c r="AG518">
        <v>5.3184469999999999</v>
      </c>
      <c r="AH518">
        <v>172.43136034235101</v>
      </c>
      <c r="AI518">
        <v>88.240062784998102</v>
      </c>
      <c r="AJ518">
        <v>95.002482864299097</v>
      </c>
      <c r="AK518">
        <v>173.17236550925301</v>
      </c>
      <c r="AL518">
        <v>86.639638991096405</v>
      </c>
      <c r="AM518">
        <v>87.2916472526707</v>
      </c>
      <c r="AN518">
        <v>1.00000006358715</v>
      </c>
    </row>
    <row r="519" spans="1:40" x14ac:dyDescent="0.25">
      <c r="A519" t="str">
        <f>"20190312154810428"</f>
        <v>20190312154810428</v>
      </c>
      <c r="B519" t="str">
        <f>"1552376890416435"</f>
        <v>1552376890416435</v>
      </c>
      <c r="C519" t="s">
        <v>40</v>
      </c>
      <c r="D519">
        <v>4.4712239999999897</v>
      </c>
      <c r="E519">
        <v>0.44909830000000001</v>
      </c>
      <c r="F519" t="s">
        <v>44</v>
      </c>
      <c r="G519">
        <v>-169.2955</v>
      </c>
      <c r="H519">
        <v>6.2417129999999998</v>
      </c>
      <c r="I519">
        <v>382.68329999999997</v>
      </c>
      <c r="J519">
        <v>-341.69349999999997</v>
      </c>
      <c r="K519">
        <v>1.110152</v>
      </c>
      <c r="L519">
        <v>367.61660000000001</v>
      </c>
      <c r="M519">
        <v>0.99990199999999996</v>
      </c>
      <c r="N519">
        <v>0</v>
      </c>
      <c r="O519">
        <v>-7.1430069999999998E-4</v>
      </c>
      <c r="P519">
        <v>0.99797800000000003</v>
      </c>
      <c r="Q519">
        <v>4.2201950000000002E-2</v>
      </c>
      <c r="R519">
        <v>-4.752816E-2</v>
      </c>
      <c r="S519">
        <v>3.0150760000000001</v>
      </c>
      <c r="T519">
        <v>8.9639899999999995E-2</v>
      </c>
      <c r="U519">
        <v>0.26318360000000002</v>
      </c>
      <c r="V519">
        <v>4.6817259999999999E-2</v>
      </c>
      <c r="W519">
        <v>5.6152189999999998E-2</v>
      </c>
      <c r="X519">
        <v>0.99732390000000004</v>
      </c>
      <c r="Y519">
        <v>-8.7631459999999994E-2</v>
      </c>
      <c r="Z519">
        <v>-1.3211029999999999E-3</v>
      </c>
      <c r="AA519">
        <v>0.99615209999999998</v>
      </c>
      <c r="AB519">
        <v>27</v>
      </c>
      <c r="AC519">
        <v>172.397999999999</v>
      </c>
      <c r="AD519">
        <v>5.1315609999999996</v>
      </c>
      <c r="AE519">
        <v>15.0666999999999</v>
      </c>
      <c r="AF519">
        <v>-15.1765077175267</v>
      </c>
      <c r="AG519">
        <v>5.1315609999999996</v>
      </c>
      <c r="AH519">
        <v>172.23574835362601</v>
      </c>
      <c r="AI519">
        <v>88.300027475446299</v>
      </c>
      <c r="AJ519">
        <v>95.035596961112006</v>
      </c>
      <c r="AK519">
        <v>172.97922509865299</v>
      </c>
      <c r="AL519">
        <v>86.781023195946602</v>
      </c>
      <c r="AM519">
        <v>87.312343922108298</v>
      </c>
      <c r="AN519">
        <v>0.99999994289345495</v>
      </c>
    </row>
    <row r="520" spans="1:40" x14ac:dyDescent="0.25">
      <c r="A520" t="str">
        <f>"20190312154810441"</f>
        <v>20190312154810441</v>
      </c>
      <c r="B520" t="str">
        <f>"1552376890436930"</f>
        <v>1552376890436930</v>
      </c>
      <c r="C520" t="s">
        <v>40</v>
      </c>
      <c r="D520">
        <v>4.5023489999999997</v>
      </c>
      <c r="E520">
        <v>0.44901020000000003</v>
      </c>
      <c r="F520" t="s">
        <v>44</v>
      </c>
      <c r="G520">
        <v>-169.2955</v>
      </c>
      <c r="H520">
        <v>6.0046629999999999</v>
      </c>
      <c r="I520">
        <v>382.77330000000001</v>
      </c>
      <c r="J520">
        <v>-341.51900000000001</v>
      </c>
      <c r="K520">
        <v>1.110144</v>
      </c>
      <c r="L520">
        <v>367.61649999999997</v>
      </c>
      <c r="M520">
        <v>0.99990219999999996</v>
      </c>
      <c r="N520">
        <v>0</v>
      </c>
      <c r="O520">
        <v>-7.1427459999999997E-4</v>
      </c>
      <c r="P520">
        <v>0.99801810000000002</v>
      </c>
      <c r="Q520">
        <v>4.1234060000000003E-2</v>
      </c>
      <c r="R520">
        <v>-4.753599E-2</v>
      </c>
      <c r="S520">
        <v>3.0150760000000001</v>
      </c>
      <c r="T520">
        <v>8.560181E-2</v>
      </c>
      <c r="U520">
        <v>0.26507570000000003</v>
      </c>
      <c r="V520">
        <v>4.6824959999999999E-2</v>
      </c>
      <c r="W520">
        <v>5.5163799999999999E-2</v>
      </c>
      <c r="X520">
        <v>0.99737880000000001</v>
      </c>
      <c r="Y520">
        <v>-8.8254949999999999E-2</v>
      </c>
      <c r="Z520">
        <v>-1.2704109999999999E-3</v>
      </c>
      <c r="AA520">
        <v>0.99609709999999996</v>
      </c>
      <c r="AB520">
        <v>27</v>
      </c>
      <c r="AC520">
        <v>172.2235</v>
      </c>
      <c r="AD520">
        <v>4.8945189999999998</v>
      </c>
      <c r="AE520">
        <v>15.1568</v>
      </c>
      <c r="AF520">
        <v>-15.267586570622599</v>
      </c>
      <c r="AG520">
        <v>4.8945189999999998</v>
      </c>
      <c r="AH520">
        <v>172.07471704251799</v>
      </c>
      <c r="AI520">
        <v>88.377081752966504</v>
      </c>
      <c r="AJ520">
        <v>95.070376200316005</v>
      </c>
      <c r="AK520">
        <v>172.820032870022</v>
      </c>
      <c r="AL520">
        <v>86.837742023830103</v>
      </c>
      <c r="AM520">
        <v>87.3120502810049</v>
      </c>
      <c r="AN520">
        <v>1.0000000461994301</v>
      </c>
    </row>
    <row r="521" spans="1:40" x14ac:dyDescent="0.25">
      <c r="A521" t="str">
        <f>"20190312154810453"</f>
        <v>20190312154810453</v>
      </c>
      <c r="B521" t="str">
        <f>"1552376890446691"</f>
        <v>1552376890446691</v>
      </c>
      <c r="C521" t="s">
        <v>40</v>
      </c>
      <c r="D521">
        <v>4.491663</v>
      </c>
      <c r="E521">
        <v>0.44904630000000001</v>
      </c>
      <c r="F521" t="s">
        <v>44</v>
      </c>
      <c r="G521">
        <v>-169.2955</v>
      </c>
      <c r="H521">
        <v>5.9638299999999997</v>
      </c>
      <c r="I521">
        <v>382.78230000000002</v>
      </c>
      <c r="J521">
        <v>-341.38459999999998</v>
      </c>
      <c r="K521">
        <v>1.110136</v>
      </c>
      <c r="L521">
        <v>367.6164</v>
      </c>
      <c r="M521">
        <v>0.99990250000000003</v>
      </c>
      <c r="N521">
        <v>0</v>
      </c>
      <c r="O521">
        <v>-7.1436459999999998E-4</v>
      </c>
      <c r="P521">
        <v>0.99804649999999995</v>
      </c>
      <c r="Q521">
        <v>4.0304769999999997E-2</v>
      </c>
      <c r="R521">
        <v>-4.7734779999999997E-2</v>
      </c>
      <c r="S521">
        <v>3.0150760000000001</v>
      </c>
      <c r="T521">
        <v>8.4973809999999997E-2</v>
      </c>
      <c r="U521">
        <v>0.26550289999999999</v>
      </c>
      <c r="V521">
        <v>4.7023870000000002E-2</v>
      </c>
      <c r="W521">
        <v>5.4213459999999998E-2</v>
      </c>
      <c r="X521">
        <v>0.99742149999999996</v>
      </c>
      <c r="Y521">
        <v>-8.8395570000000007E-2</v>
      </c>
      <c r="Z521">
        <v>-1.2630670000000001E-3</v>
      </c>
      <c r="AA521">
        <v>0.99608459999999999</v>
      </c>
      <c r="AB521">
        <v>27</v>
      </c>
      <c r="AC521">
        <v>172.08909999999901</v>
      </c>
      <c r="AD521">
        <v>4.853694</v>
      </c>
      <c r="AE521">
        <v>15.165900000000001</v>
      </c>
      <c r="AF521">
        <v>-15.276783481596</v>
      </c>
      <c r="AG521">
        <v>4.853694</v>
      </c>
      <c r="AH521">
        <v>171.94249558197501</v>
      </c>
      <c r="AI521">
        <v>88.3893916184212</v>
      </c>
      <c r="AJ521">
        <v>95.0772955683112</v>
      </c>
      <c r="AK521">
        <v>172.68804314701899</v>
      </c>
      <c r="AL521">
        <v>86.892273948323904</v>
      </c>
      <c r="AM521">
        <v>87.300764252265196</v>
      </c>
      <c r="AN521">
        <v>0.99999999612859902</v>
      </c>
    </row>
    <row r="522" spans="1:40" x14ac:dyDescent="0.25">
      <c r="A522" t="str">
        <f>"20190312154810465"</f>
        <v>20190312154810465</v>
      </c>
      <c r="B522" t="str">
        <f>"1552376890456450"</f>
        <v>1552376890456450</v>
      </c>
      <c r="C522" t="s">
        <v>40</v>
      </c>
      <c r="D522">
        <v>4.5202629999999999</v>
      </c>
      <c r="E522">
        <v>0.44906370000000001</v>
      </c>
      <c r="F522" t="s">
        <v>44</v>
      </c>
      <c r="G522">
        <v>-169.2955</v>
      </c>
      <c r="H522">
        <v>5.890695</v>
      </c>
      <c r="I522">
        <v>382.72129999999999</v>
      </c>
      <c r="J522">
        <v>-341.24610000000001</v>
      </c>
      <c r="K522">
        <v>1.110128</v>
      </c>
      <c r="L522">
        <v>367.61630000000002</v>
      </c>
      <c r="M522">
        <v>0.99990310000000004</v>
      </c>
      <c r="N522">
        <v>0</v>
      </c>
      <c r="O522">
        <v>-7.1443579999999997E-4</v>
      </c>
      <c r="P522">
        <v>0.99807009999999996</v>
      </c>
      <c r="Q522">
        <v>3.9286300000000003E-2</v>
      </c>
      <c r="R522">
        <v>-4.8092889999999999E-2</v>
      </c>
      <c r="S522">
        <v>3.0151370000000002</v>
      </c>
      <c r="T522">
        <v>8.3760619999999994E-2</v>
      </c>
      <c r="U522">
        <v>0.26464840000000001</v>
      </c>
      <c r="V522">
        <v>4.7381680000000002E-2</v>
      </c>
      <c r="W522">
        <v>5.3171169999999997E-2</v>
      </c>
      <c r="X522">
        <v>0.99746069999999998</v>
      </c>
      <c r="Y522">
        <v>-8.8114869999999998E-2</v>
      </c>
      <c r="Z522">
        <v>-1.241142E-3</v>
      </c>
      <c r="AA522">
        <v>0.99610949999999998</v>
      </c>
      <c r="AB522">
        <v>27</v>
      </c>
      <c r="AC522">
        <v>171.95060000000001</v>
      </c>
      <c r="AD522">
        <v>4.7805669999999996</v>
      </c>
      <c r="AE522">
        <v>15.104999999999899</v>
      </c>
      <c r="AF522">
        <v>-15.2161843964148</v>
      </c>
      <c r="AG522">
        <v>4.7805669999999996</v>
      </c>
      <c r="AH522">
        <v>171.807981453515</v>
      </c>
      <c r="AI522">
        <v>88.412364044371699</v>
      </c>
      <c r="AJ522">
        <v>95.061198826430498</v>
      </c>
      <c r="AK522">
        <v>172.54671419519499</v>
      </c>
      <c r="AL522">
        <v>86.952079116924395</v>
      </c>
      <c r="AM522">
        <v>87.280362906647596</v>
      </c>
      <c r="AN522">
        <v>1.0000000224816401</v>
      </c>
    </row>
    <row r="523" spans="1:40" x14ac:dyDescent="0.25">
      <c r="A523" t="str">
        <f>"20190312154810482"</f>
        <v>20190312154810482</v>
      </c>
      <c r="B523" t="str">
        <f>"1552376890476947"</f>
        <v>1552376890476947</v>
      </c>
      <c r="C523" t="s">
        <v>40</v>
      </c>
      <c r="D523">
        <v>4.4729929999999998</v>
      </c>
      <c r="E523">
        <v>0.44890999999999998</v>
      </c>
      <c r="F523" t="s">
        <v>44</v>
      </c>
      <c r="G523">
        <v>-169.2955</v>
      </c>
      <c r="H523">
        <v>5.7916150000000002</v>
      </c>
      <c r="I523">
        <v>382.63170000000002</v>
      </c>
      <c r="J523">
        <v>-341.02760000000001</v>
      </c>
      <c r="K523">
        <v>1.110109</v>
      </c>
      <c r="L523">
        <v>367.61610000000002</v>
      </c>
      <c r="M523">
        <v>0.99990369999999995</v>
      </c>
      <c r="N523">
        <v>0</v>
      </c>
      <c r="O523">
        <v>-7.1439910000000004E-4</v>
      </c>
      <c r="P523">
        <v>0.99806300000000003</v>
      </c>
      <c r="Q523">
        <v>3.800506E-2</v>
      </c>
      <c r="R523">
        <v>-4.9251139999999999E-2</v>
      </c>
      <c r="S523">
        <v>3.0152890000000001</v>
      </c>
      <c r="T523">
        <v>8.2095029999999999E-2</v>
      </c>
      <c r="U523">
        <v>0.26330569999999998</v>
      </c>
      <c r="V523">
        <v>4.8540010000000001E-2</v>
      </c>
      <c r="W523">
        <v>5.1832629999999998E-2</v>
      </c>
      <c r="X523">
        <v>0.99747540000000001</v>
      </c>
      <c r="Y523">
        <v>-8.7671700000000005E-2</v>
      </c>
      <c r="Z523">
        <v>-1.2104119999999999E-3</v>
      </c>
      <c r="AA523">
        <v>0.9961487</v>
      </c>
      <c r="AB523">
        <v>27</v>
      </c>
      <c r="AC523">
        <v>171.7321</v>
      </c>
      <c r="AD523">
        <v>4.6815059999999997</v>
      </c>
      <c r="AE523">
        <v>15.015599999999999</v>
      </c>
      <c r="AF523">
        <v>-15.1271369822989</v>
      </c>
      <c r="AG523">
        <v>4.6815059999999997</v>
      </c>
      <c r="AH523">
        <v>171.594777269269</v>
      </c>
      <c r="AI523">
        <v>88.443259492157196</v>
      </c>
      <c r="AJ523">
        <v>95.037952127429904</v>
      </c>
      <c r="AK523">
        <v>172.32386473672</v>
      </c>
      <c r="AL523">
        <v>87.028877558141801</v>
      </c>
      <c r="AM523">
        <v>87.214021006610693</v>
      </c>
      <c r="AN523">
        <v>0.99999996385433698</v>
      </c>
    </row>
    <row r="524" spans="1:40" x14ac:dyDescent="0.25">
      <c r="A524" t="str">
        <f>"20190312154810495"</f>
        <v>20190312154810495</v>
      </c>
      <c r="B524" t="str">
        <f>"1552376890486706"</f>
        <v>1552376890486706</v>
      </c>
      <c r="C524" t="s">
        <v>40</v>
      </c>
      <c r="D524">
        <v>4.4940810000000004</v>
      </c>
      <c r="E524">
        <v>0.44884980000000002</v>
      </c>
      <c r="F524" t="s">
        <v>44</v>
      </c>
      <c r="G524">
        <v>-169.2955</v>
      </c>
      <c r="H524">
        <v>5.7332679999999998</v>
      </c>
      <c r="I524">
        <v>382.47340000000003</v>
      </c>
      <c r="J524">
        <v>-340.88409999999999</v>
      </c>
      <c r="K524">
        <v>1.1100989999999999</v>
      </c>
      <c r="L524">
        <v>367.61599999999999</v>
      </c>
      <c r="M524">
        <v>0.99990449999999997</v>
      </c>
      <c r="N524">
        <v>0</v>
      </c>
      <c r="O524">
        <v>-7.1478320000000004E-4</v>
      </c>
      <c r="P524">
        <v>0.99803640000000005</v>
      </c>
      <c r="Q524">
        <v>3.7703279999999999E-2</v>
      </c>
      <c r="R524">
        <v>-5.0022079999999997E-2</v>
      </c>
      <c r="S524">
        <v>3.015625</v>
      </c>
      <c r="T524">
        <v>8.1184389999999995E-2</v>
      </c>
      <c r="U524">
        <v>0.26089479999999998</v>
      </c>
      <c r="V524">
        <v>4.931054E-2</v>
      </c>
      <c r="W524">
        <v>5.148262E-2</v>
      </c>
      <c r="X524">
        <v>0.9974558</v>
      </c>
      <c r="Y524">
        <v>-8.6873030000000004E-2</v>
      </c>
      <c r="Z524">
        <v>-1.1861809999999999E-3</v>
      </c>
      <c r="AA524">
        <v>0.99621870000000001</v>
      </c>
      <c r="AB524">
        <v>27</v>
      </c>
      <c r="AC524">
        <v>171.58860000000001</v>
      </c>
      <c r="AD524">
        <v>4.6231689999999999</v>
      </c>
      <c r="AE524">
        <v>14.8574</v>
      </c>
      <c r="AF524">
        <v>-14.9692705605054</v>
      </c>
      <c r="AG524">
        <v>4.6231689999999999</v>
      </c>
      <c r="AH524">
        <v>171.454395388172</v>
      </c>
      <c r="AI524">
        <v>88.461277165755902</v>
      </c>
      <c r="AJ524">
        <v>94.989704064531693</v>
      </c>
      <c r="AK524">
        <v>172.16870345867099</v>
      </c>
      <c r="AL524">
        <v>87.0489586647316</v>
      </c>
      <c r="AM524">
        <v>87.169811857138896</v>
      </c>
      <c r="AN524">
        <v>1.0000000312353901</v>
      </c>
    </row>
    <row r="525" spans="1:40" x14ac:dyDescent="0.25">
      <c r="A525" t="str">
        <f>"20190312154810508"</f>
        <v>20190312154810508</v>
      </c>
      <c r="B525" t="str">
        <f>"1552376890496466"</f>
        <v>1552376890496466</v>
      </c>
      <c r="C525" t="s">
        <v>40</v>
      </c>
      <c r="D525">
        <v>4.5996430000000004</v>
      </c>
      <c r="E525">
        <v>0.44884980000000002</v>
      </c>
      <c r="F525" t="s">
        <v>44</v>
      </c>
      <c r="G525">
        <v>-169.2955</v>
      </c>
      <c r="H525">
        <v>5.782413</v>
      </c>
      <c r="I525">
        <v>382.34190000000001</v>
      </c>
      <c r="J525">
        <v>-340.73790000000002</v>
      </c>
      <c r="K525">
        <v>1.1100890000000001</v>
      </c>
      <c r="L525">
        <v>367.61590000000001</v>
      </c>
      <c r="M525">
        <v>0.99990500000000004</v>
      </c>
      <c r="N525">
        <v>0</v>
      </c>
      <c r="O525">
        <v>-7.1442629999999999E-4</v>
      </c>
      <c r="P525">
        <v>0.99801390000000001</v>
      </c>
      <c r="Q525">
        <v>3.7546610000000001E-2</v>
      </c>
      <c r="R525">
        <v>-5.058211E-2</v>
      </c>
      <c r="S525">
        <v>3.0158079999999998</v>
      </c>
      <c r="T525">
        <v>8.2121130000000001E-2</v>
      </c>
      <c r="U525">
        <v>0.25881959999999998</v>
      </c>
      <c r="V525">
        <v>4.9871029999999997E-2</v>
      </c>
      <c r="W525">
        <v>5.1274519999999997E-2</v>
      </c>
      <c r="X525">
        <v>0.99743859999999995</v>
      </c>
      <c r="Y525">
        <v>-8.6186540000000006E-2</v>
      </c>
      <c r="Z525">
        <v>-1.190488E-3</v>
      </c>
      <c r="AA525">
        <v>0.99627829999999995</v>
      </c>
      <c r="AB525">
        <v>27</v>
      </c>
      <c r="AC525">
        <v>171.44239999999999</v>
      </c>
      <c r="AD525">
        <v>4.6723239999999997</v>
      </c>
      <c r="AE525">
        <v>14.726000000000001</v>
      </c>
      <c r="AF525">
        <v>-14.8375512619332</v>
      </c>
      <c r="AG525">
        <v>4.6723239999999997</v>
      </c>
      <c r="AH525">
        <v>171.30553313331501</v>
      </c>
      <c r="AI525">
        <v>88.443481236382297</v>
      </c>
      <c r="AJ525">
        <v>94.950293527214299</v>
      </c>
      <c r="AK525">
        <v>172.01037532980601</v>
      </c>
      <c r="AL525">
        <v>87.0608975291495</v>
      </c>
      <c r="AM525">
        <v>87.137646343588699</v>
      </c>
      <c r="AN525">
        <v>0.99999997840222499</v>
      </c>
    </row>
    <row r="526" spans="1:40" x14ac:dyDescent="0.25">
      <c r="A526" t="str">
        <f>"20190312154810519"</f>
        <v>20190312154810519</v>
      </c>
      <c r="B526" t="str">
        <f>"1552376890506228"</f>
        <v>1552376890506228</v>
      </c>
      <c r="C526" t="s">
        <v>40</v>
      </c>
      <c r="D526">
        <v>4.816738</v>
      </c>
      <c r="E526">
        <v>0.44959789999999999</v>
      </c>
      <c r="F526" t="s">
        <v>44</v>
      </c>
      <c r="G526">
        <v>-169.2955</v>
      </c>
      <c r="H526">
        <v>5.7548700000000004</v>
      </c>
      <c r="I526">
        <v>382.23509999999999</v>
      </c>
      <c r="J526">
        <v>-340.58449999999999</v>
      </c>
      <c r="K526">
        <v>1.110077</v>
      </c>
      <c r="L526">
        <v>367.61579999999998</v>
      </c>
      <c r="M526">
        <v>0.99990590000000001</v>
      </c>
      <c r="N526">
        <v>0</v>
      </c>
      <c r="O526">
        <v>-7.1474479999999996E-4</v>
      </c>
      <c r="P526">
        <v>0.99796989999999997</v>
      </c>
      <c r="Q526">
        <v>3.7363210000000001E-2</v>
      </c>
      <c r="R526">
        <v>-5.1578640000000002E-2</v>
      </c>
      <c r="S526">
        <v>3.0158999999999998</v>
      </c>
      <c r="T526">
        <v>8.1709379999999998E-2</v>
      </c>
      <c r="U526">
        <v>0.2571716</v>
      </c>
      <c r="V526">
        <v>5.0867290000000003E-2</v>
      </c>
      <c r="W526">
        <v>5.1032609999999999E-2</v>
      </c>
      <c r="X526">
        <v>0.99740070000000003</v>
      </c>
      <c r="Y526">
        <v>-8.5644360000000003E-2</v>
      </c>
      <c r="Z526">
        <v>-1.177191E-3</v>
      </c>
      <c r="AA526">
        <v>0.99632509999999996</v>
      </c>
      <c r="AB526">
        <v>27</v>
      </c>
      <c r="AC526">
        <v>171.28899999999999</v>
      </c>
      <c r="AD526">
        <v>4.6447929999999999</v>
      </c>
      <c r="AE526">
        <v>14.619300000000001</v>
      </c>
      <c r="AF526">
        <v>-14.730982089974701</v>
      </c>
      <c r="AG526">
        <v>4.6447929999999999</v>
      </c>
      <c r="AH526">
        <v>171.15356443071099</v>
      </c>
      <c r="AI526">
        <v>88.451202687016504</v>
      </c>
      <c r="AJ526">
        <v>94.919255934229199</v>
      </c>
      <c r="AK526">
        <v>171.849115658724</v>
      </c>
      <c r="AL526">
        <v>87.074776133124203</v>
      </c>
      <c r="AM526">
        <v>87.080453093985298</v>
      </c>
      <c r="AN526">
        <v>0.99999998241792198</v>
      </c>
    </row>
    <row r="527" spans="1:40" x14ac:dyDescent="0.25">
      <c r="A527" t="str">
        <f>"20190312154810532"</f>
        <v>20190312154810532</v>
      </c>
      <c r="B527" t="str">
        <f>"1552376890526723"</f>
        <v>1552376890526723</v>
      </c>
      <c r="C527" t="s">
        <v>40</v>
      </c>
      <c r="D527">
        <v>4.5662019999999997</v>
      </c>
      <c r="E527">
        <v>0.45108890000000001</v>
      </c>
      <c r="F527" t="s">
        <v>44</v>
      </c>
      <c r="G527">
        <v>-169.2955</v>
      </c>
      <c r="H527">
        <v>5.7573540000000003</v>
      </c>
      <c r="I527">
        <v>381.71600000000001</v>
      </c>
      <c r="J527">
        <v>-340.43680000000001</v>
      </c>
      <c r="K527">
        <v>1.110066</v>
      </c>
      <c r="L527">
        <v>367.61559999999997</v>
      </c>
      <c r="M527">
        <v>0.99990670000000004</v>
      </c>
      <c r="N527">
        <v>0</v>
      </c>
      <c r="O527">
        <v>-7.1460149999999999E-4</v>
      </c>
      <c r="P527">
        <v>0.9979365</v>
      </c>
      <c r="Q527">
        <v>3.6818049999999998E-2</v>
      </c>
      <c r="R527">
        <v>-5.2604249999999998E-2</v>
      </c>
      <c r="S527">
        <v>3.0158689999999999</v>
      </c>
      <c r="T527">
        <v>8.1825609999999993E-2</v>
      </c>
      <c r="U527">
        <v>0.2482605</v>
      </c>
      <c r="V527">
        <v>5.1892870000000001E-2</v>
      </c>
      <c r="W527">
        <v>5.0431610000000002E-2</v>
      </c>
      <c r="X527">
        <v>0.99737849999999995</v>
      </c>
      <c r="Y527">
        <v>-8.2722309999999993E-2</v>
      </c>
      <c r="Z527">
        <v>-1.139452E-3</v>
      </c>
      <c r="AA527">
        <v>0.99657200000000001</v>
      </c>
      <c r="AB527">
        <v>27</v>
      </c>
      <c r="AC527">
        <v>171.1413</v>
      </c>
      <c r="AD527">
        <v>4.6472879999999996</v>
      </c>
      <c r="AE527">
        <v>14.1004</v>
      </c>
      <c r="AF527">
        <v>-14.2122964493135</v>
      </c>
      <c r="AG527">
        <v>4.6472879999999996</v>
      </c>
      <c r="AH527">
        <v>171.00593355661999</v>
      </c>
      <c r="AI527">
        <v>88.448648698362007</v>
      </c>
      <c r="AJ527">
        <v>94.750931421657995</v>
      </c>
      <c r="AK527">
        <v>171.65842818716899</v>
      </c>
      <c r="AL527">
        <v>87.1092554769983</v>
      </c>
      <c r="AM527">
        <v>87.021628311318906</v>
      </c>
      <c r="AN527">
        <v>1.0000000447531301</v>
      </c>
    </row>
    <row r="528" spans="1:40" x14ac:dyDescent="0.25">
      <c r="A528" t="str">
        <f>"20190312154810545"</f>
        <v>20190312154810545</v>
      </c>
      <c r="B528" t="str">
        <f>"1552376890536483"</f>
        <v>1552376890536483</v>
      </c>
      <c r="C528" t="s">
        <v>40</v>
      </c>
      <c r="D528">
        <v>4.6012829999999996</v>
      </c>
      <c r="E528">
        <v>0.52500469999999999</v>
      </c>
      <c r="F528" t="s">
        <v>44</v>
      </c>
      <c r="G528">
        <v>-158.19499999999999</v>
      </c>
      <c r="H528">
        <v>5.3542290000000001</v>
      </c>
      <c r="I528">
        <v>381.74669999999998</v>
      </c>
      <c r="J528">
        <v>-340.28460000000001</v>
      </c>
      <c r="K528">
        <v>1.1100559999999999</v>
      </c>
      <c r="L528">
        <v>367.6155</v>
      </c>
      <c r="M528">
        <v>0.9999074</v>
      </c>
      <c r="N528">
        <v>0</v>
      </c>
      <c r="O528">
        <v>-7.1456669999999897E-4</v>
      </c>
      <c r="P528">
        <v>0.99792239999999999</v>
      </c>
      <c r="Q528">
        <v>3.6246729999999998E-2</v>
      </c>
      <c r="R528">
        <v>-5.3265060000000003E-2</v>
      </c>
      <c r="S528">
        <v>3.01593</v>
      </c>
      <c r="T528">
        <v>7.0238229999999999E-2</v>
      </c>
      <c r="U528">
        <v>0.23385619999999999</v>
      </c>
      <c r="V528">
        <v>5.2553879999999997E-2</v>
      </c>
      <c r="W528">
        <v>4.98025E-2</v>
      </c>
      <c r="X528">
        <v>0.99737540000000002</v>
      </c>
      <c r="Y528">
        <v>-7.7999529999999997E-2</v>
      </c>
      <c r="Z528">
        <v>-9.2340110000000005E-4</v>
      </c>
      <c r="AA528">
        <v>0.99695299999999998</v>
      </c>
      <c r="AB528">
        <v>27</v>
      </c>
      <c r="AC528">
        <v>182.08959999999999</v>
      </c>
      <c r="AD528">
        <v>4.244173</v>
      </c>
      <c r="AE528">
        <v>14.1311999999999</v>
      </c>
      <c r="AF528">
        <v>-14.253626360110699</v>
      </c>
      <c r="AG528">
        <v>4.244173</v>
      </c>
      <c r="AH528">
        <v>181.98118179996601</v>
      </c>
      <c r="AI528">
        <v>88.668065370109403</v>
      </c>
      <c r="AJ528">
        <v>94.478532969690406</v>
      </c>
      <c r="AK528">
        <v>182.587867609488</v>
      </c>
      <c r="AL528">
        <v>87.145345889089896</v>
      </c>
      <c r="AM528">
        <v>86.983750149083704</v>
      </c>
      <c r="AN528">
        <v>0.99999994391723002</v>
      </c>
    </row>
    <row r="529" spans="1:40" x14ac:dyDescent="0.25">
      <c r="A529" t="str">
        <f>"20190312154810561"</f>
        <v>20190312154810561</v>
      </c>
      <c r="B529" t="str">
        <f>"1552376890556978"</f>
        <v>1552376890556978</v>
      </c>
      <c r="C529" t="s">
        <v>40</v>
      </c>
      <c r="D529">
        <v>4.6446040000000002</v>
      </c>
      <c r="E529">
        <v>0.53647460000000002</v>
      </c>
      <c r="F529" t="s">
        <v>41</v>
      </c>
      <c r="G529">
        <v>-339.3571</v>
      </c>
      <c r="H529">
        <v>0.96115390000000001</v>
      </c>
      <c r="I529">
        <v>367.51209999999998</v>
      </c>
      <c r="J529">
        <v>-340.08800000000002</v>
      </c>
      <c r="K529">
        <v>1.1100410000000001</v>
      </c>
      <c r="L529">
        <v>367.61540000000002</v>
      </c>
      <c r="M529">
        <v>0.99990849999999998</v>
      </c>
      <c r="N529">
        <v>0</v>
      </c>
      <c r="O529">
        <v>-7.1443190000000005E-4</v>
      </c>
      <c r="P529">
        <v>0.99785950000000001</v>
      </c>
      <c r="Q529">
        <v>3.4921250000000001E-2</v>
      </c>
      <c r="R529">
        <v>-5.5292019999999997E-2</v>
      </c>
      <c r="S529">
        <v>3.0059809999999998</v>
      </c>
      <c r="T529">
        <v>-0.48265409999999997</v>
      </c>
      <c r="U529">
        <v>-0.3340149</v>
      </c>
      <c r="V529">
        <v>5.458081E-2</v>
      </c>
      <c r="W529">
        <v>4.8403719999999997E-2</v>
      </c>
      <c r="X529">
        <v>0.99733539999999998</v>
      </c>
      <c r="Y529">
        <v>0.1083648</v>
      </c>
      <c r="Z529">
        <v>-8.5047439999999998E-3</v>
      </c>
      <c r="AA529">
        <v>0.99407480000000004</v>
      </c>
      <c r="AB529">
        <v>27</v>
      </c>
      <c r="AC529">
        <v>0.73090000000001898</v>
      </c>
      <c r="AD529">
        <v>-0.148887099999999</v>
      </c>
      <c r="AE529">
        <v>-0.10330000000004699</v>
      </c>
      <c r="AF529">
        <v>9.87599364322852E-2</v>
      </c>
      <c r="AG529">
        <v>-0.148887099999999</v>
      </c>
      <c r="AH529">
        <v>0.70239823262599599</v>
      </c>
      <c r="AI529">
        <v>101.854562547257</v>
      </c>
      <c r="AJ529">
        <v>81.996456197729501</v>
      </c>
      <c r="AK529">
        <v>0.72476490725382303</v>
      </c>
      <c r="AL529">
        <v>87.225586880287295</v>
      </c>
      <c r="AM529">
        <v>86.867519581624606</v>
      </c>
      <c r="AN529">
        <v>0.99999994251162505</v>
      </c>
    </row>
    <row r="530" spans="1:40" x14ac:dyDescent="0.25">
      <c r="A530" t="str">
        <f>"20190312154810573"</f>
        <v>20190312154810573</v>
      </c>
      <c r="B530" t="str">
        <f>"1552376890566739"</f>
        <v>1552376890566739</v>
      </c>
      <c r="C530" t="s">
        <v>40</v>
      </c>
      <c r="D530">
        <v>4.5493350000000001</v>
      </c>
      <c r="E530">
        <v>0.53995939999999998</v>
      </c>
      <c r="F530" t="s">
        <v>41</v>
      </c>
      <c r="G530">
        <v>-339.3623</v>
      </c>
      <c r="H530">
        <v>0.9503045</v>
      </c>
      <c r="I530">
        <v>367.5127</v>
      </c>
      <c r="J530">
        <v>-339.95</v>
      </c>
      <c r="K530">
        <v>1.110031</v>
      </c>
      <c r="L530">
        <v>367.61529999999999</v>
      </c>
      <c r="M530">
        <v>0.9999093</v>
      </c>
      <c r="N530">
        <v>0</v>
      </c>
      <c r="O530">
        <v>-7.1455970000000005E-4</v>
      </c>
      <c r="P530">
        <v>0.99783900000000003</v>
      </c>
      <c r="Q530">
        <v>3.4414090000000001E-2</v>
      </c>
      <c r="R530">
        <v>-5.597829E-2</v>
      </c>
      <c r="S530">
        <v>3.0061339999999999</v>
      </c>
      <c r="T530">
        <v>-0.661749699999999</v>
      </c>
      <c r="U530">
        <v>-0.4239502</v>
      </c>
      <c r="V530">
        <v>5.5266950000000002E-2</v>
      </c>
      <c r="W530">
        <v>4.7845039999999998E-2</v>
      </c>
      <c r="X530">
        <v>0.99732460000000001</v>
      </c>
      <c r="Y530">
        <v>0.13576779999999999</v>
      </c>
      <c r="Z530">
        <v>-1.454182E-2</v>
      </c>
      <c r="AA530">
        <v>0.99063400000000001</v>
      </c>
      <c r="AB530">
        <v>27</v>
      </c>
      <c r="AC530">
        <v>0.58769999999998301</v>
      </c>
      <c r="AD530">
        <v>-0.15972649999999999</v>
      </c>
      <c r="AE530">
        <v>-0.102599999999995</v>
      </c>
      <c r="AF530">
        <v>9.5345528137294203E-2</v>
      </c>
      <c r="AG530">
        <v>-0.15972649999999999</v>
      </c>
      <c r="AH530">
        <v>0.54845908538548405</v>
      </c>
      <c r="AI530">
        <v>106.009477382963</v>
      </c>
      <c r="AJ530">
        <v>80.138113287470702</v>
      </c>
      <c r="AK530">
        <v>0.57914652108072895</v>
      </c>
      <c r="AL530">
        <v>87.257634097378002</v>
      </c>
      <c r="AM530">
        <v>86.828186531200004</v>
      </c>
      <c r="AN530">
        <v>0.99999997069003099</v>
      </c>
    </row>
    <row r="531" spans="1:40" x14ac:dyDescent="0.25">
      <c r="A531" t="str">
        <f>"20190312154810585"</f>
        <v>20190312154810585</v>
      </c>
      <c r="B531" t="str">
        <f>"1552376890576498"</f>
        <v>1552376890576498</v>
      </c>
      <c r="C531" t="s">
        <v>40</v>
      </c>
      <c r="D531">
        <v>4.5261139999999997</v>
      </c>
      <c r="E531">
        <v>0.54142489999999999</v>
      </c>
      <c r="F531" t="s">
        <v>41</v>
      </c>
      <c r="G531">
        <v>-339.13959999999997</v>
      </c>
      <c r="H531">
        <v>0.91463589999999995</v>
      </c>
      <c r="I531">
        <v>367.49340000000001</v>
      </c>
      <c r="J531">
        <v>-339.80610000000001</v>
      </c>
      <c r="K531">
        <v>1.1100239999999999</v>
      </c>
      <c r="L531">
        <v>367.61509999999998</v>
      </c>
      <c r="M531">
        <v>0.99990990000000002</v>
      </c>
      <c r="N531">
        <v>0</v>
      </c>
      <c r="O531">
        <v>-7.145532E-4</v>
      </c>
      <c r="P531">
        <v>0.99782300000000002</v>
      </c>
      <c r="Q531">
        <v>3.3813839999999998E-2</v>
      </c>
      <c r="R531">
        <v>-5.6621940000000003E-2</v>
      </c>
      <c r="S531">
        <v>3.0061650000000002</v>
      </c>
      <c r="T531">
        <v>-0.72494700000000001</v>
      </c>
      <c r="U531">
        <v>-0.45144649999999997</v>
      </c>
      <c r="V531">
        <v>5.5910689999999999E-2</v>
      </c>
      <c r="W531">
        <v>4.7190610000000001E-2</v>
      </c>
      <c r="X531">
        <v>0.99731990000000004</v>
      </c>
      <c r="Y531">
        <v>0.14378949999999999</v>
      </c>
      <c r="Z531">
        <v>-1.683231E-2</v>
      </c>
      <c r="AA531">
        <v>0.98946509999999999</v>
      </c>
      <c r="AB531">
        <v>27</v>
      </c>
      <c r="AC531">
        <v>0.66650000000004095</v>
      </c>
      <c r="AD531">
        <v>-0.19538809999999901</v>
      </c>
      <c r="AE531">
        <v>-0.12169999999997499</v>
      </c>
      <c r="AF531">
        <v>0.11191593902911801</v>
      </c>
      <c r="AG531">
        <v>-0.19538809999999901</v>
      </c>
      <c r="AH531">
        <v>0.61540525520328204</v>
      </c>
      <c r="AI531">
        <v>107.347324207074</v>
      </c>
      <c r="AJ531">
        <v>79.692983879071903</v>
      </c>
      <c r="AK531">
        <v>0.65530551284282301</v>
      </c>
      <c r="AL531">
        <v>87.295172580636901</v>
      </c>
      <c r="AM531">
        <v>86.791303453018401</v>
      </c>
      <c r="AN531">
        <v>0.99999997093222803</v>
      </c>
    </row>
    <row r="532" spans="1:40" x14ac:dyDescent="0.25">
      <c r="A532" t="str">
        <f>"20190312154810598"</f>
        <v>20190312154810598</v>
      </c>
      <c r="B532" t="str">
        <f>"1552376890586259"</f>
        <v>1552376890586259</v>
      </c>
      <c r="C532" t="s">
        <v>40</v>
      </c>
      <c r="D532">
        <v>4.5285549999999999</v>
      </c>
      <c r="E532">
        <v>0.54317939999999998</v>
      </c>
      <c r="F532" t="s">
        <v>41</v>
      </c>
      <c r="G532">
        <v>-338.91329999999999</v>
      </c>
      <c r="H532">
        <v>0.88408240000000005</v>
      </c>
      <c r="I532">
        <v>367.4769</v>
      </c>
      <c r="J532">
        <v>-339.64769999999999</v>
      </c>
      <c r="K532">
        <v>1.1100159999999999</v>
      </c>
      <c r="L532">
        <v>367.61500000000001</v>
      </c>
      <c r="M532">
        <v>0.99991059999999998</v>
      </c>
      <c r="N532">
        <v>0</v>
      </c>
      <c r="O532">
        <v>-7.1428619999999905E-4</v>
      </c>
      <c r="P532">
        <v>0.99781070000000005</v>
      </c>
      <c r="Q532">
        <v>3.3181000000000002E-2</v>
      </c>
      <c r="R532">
        <v>-5.7206559999999997E-2</v>
      </c>
      <c r="S532">
        <v>3.0059809999999998</v>
      </c>
      <c r="T532">
        <v>-0.76079989999999997</v>
      </c>
      <c r="U532">
        <v>-0.46353149999999999</v>
      </c>
      <c r="V532">
        <v>5.6495789999999997E-2</v>
      </c>
      <c r="W532">
        <v>4.6499949999999998E-2</v>
      </c>
      <c r="X532">
        <v>0.99731939999999997</v>
      </c>
      <c r="Y532">
        <v>0.14718310000000001</v>
      </c>
      <c r="Z532">
        <v>-1.8056719999999998E-2</v>
      </c>
      <c r="AA532">
        <v>0.98894439999999995</v>
      </c>
      <c r="AB532">
        <v>27</v>
      </c>
      <c r="AC532">
        <v>0.73439999999999295</v>
      </c>
      <c r="AD532">
        <v>-0.22593359999999901</v>
      </c>
      <c r="AE532">
        <v>-0.13810000000000799</v>
      </c>
      <c r="AF532">
        <v>0.12605259018519999</v>
      </c>
      <c r="AG532">
        <v>-0.22593359999999901</v>
      </c>
      <c r="AH532">
        <v>0.67297983589545696</v>
      </c>
      <c r="AI532">
        <v>108.26199467743101</v>
      </c>
      <c r="AJ532">
        <v>79.391129940995498</v>
      </c>
      <c r="AK532">
        <v>0.720997300011057</v>
      </c>
      <c r="AL532">
        <v>87.334788061672199</v>
      </c>
      <c r="AM532">
        <v>86.757794395962804</v>
      </c>
      <c r="AN532">
        <v>1.0000000026270399</v>
      </c>
    </row>
    <row r="533" spans="1:40" x14ac:dyDescent="0.25">
      <c r="A533" t="str">
        <f>"20190312154810618"</f>
        <v>20190312154810618</v>
      </c>
      <c r="B533" t="str">
        <f>"1552376890606755"</f>
        <v>1552376890606755</v>
      </c>
      <c r="C533" t="s">
        <v>40</v>
      </c>
      <c r="D533">
        <v>4.5788539999999998</v>
      </c>
      <c r="E533">
        <v>0.54449959999999997</v>
      </c>
      <c r="F533" t="s">
        <v>41</v>
      </c>
      <c r="G533">
        <v>-338.90199999999999</v>
      </c>
      <c r="H533">
        <v>0.91245659999999895</v>
      </c>
      <c r="I533">
        <v>367.49590000000001</v>
      </c>
      <c r="J533">
        <v>-339.4117</v>
      </c>
      <c r="K533">
        <v>1.1100000000000001</v>
      </c>
      <c r="L533">
        <v>367.6148</v>
      </c>
      <c r="M533">
        <v>0.99991180000000002</v>
      </c>
      <c r="N533">
        <v>0</v>
      </c>
      <c r="O533">
        <v>-7.1409390000000004E-4</v>
      </c>
      <c r="P533">
        <v>0.99776909999999996</v>
      </c>
      <c r="Q533">
        <v>3.3068069999999998E-2</v>
      </c>
      <c r="R533">
        <v>-5.7996539999999999E-2</v>
      </c>
      <c r="S533">
        <v>3.005646</v>
      </c>
      <c r="T533">
        <v>-0.79641700000000004</v>
      </c>
      <c r="U533">
        <v>-0.47796630000000001</v>
      </c>
      <c r="V533">
        <v>5.7285799999999998E-2</v>
      </c>
      <c r="W533">
        <v>4.630418E-2</v>
      </c>
      <c r="X533">
        <v>0.99728349999999999</v>
      </c>
      <c r="Y533">
        <v>0.15127449999999901</v>
      </c>
      <c r="Z533">
        <v>-1.940004E-2</v>
      </c>
      <c r="AA533">
        <v>0.9883014</v>
      </c>
      <c r="AB533">
        <v>27</v>
      </c>
      <c r="AC533">
        <v>0.50970000000000903</v>
      </c>
      <c r="AD533">
        <v>-0.19754340000000001</v>
      </c>
      <c r="AE533">
        <v>-0.118899999999996</v>
      </c>
      <c r="AF533">
        <v>0.103755307869718</v>
      </c>
      <c r="AG533">
        <v>-0.19754340000000001</v>
      </c>
      <c r="AH533">
        <v>0.44621796918210099</v>
      </c>
      <c r="AI533">
        <v>113.325837647108</v>
      </c>
      <c r="AJ533">
        <v>76.910094103425394</v>
      </c>
      <c r="AK533">
        <v>0.49889782001497901</v>
      </c>
      <c r="AL533">
        <v>87.346017103180301</v>
      </c>
      <c r="AM533">
        <v>86.712437622925293</v>
      </c>
      <c r="AN533">
        <v>1.0000000596696701</v>
      </c>
    </row>
    <row r="534" spans="1:40" x14ac:dyDescent="0.25">
      <c r="A534" t="str">
        <f>"20190312154810640"</f>
        <v>20190312154810640</v>
      </c>
      <c r="B534" t="str">
        <f>"1552376890637011"</f>
        <v>1552376890637011</v>
      </c>
      <c r="C534" t="s">
        <v>40</v>
      </c>
      <c r="D534">
        <v>4.6283849999999997</v>
      </c>
      <c r="E534">
        <v>0.54647080000000003</v>
      </c>
      <c r="F534" t="s">
        <v>41</v>
      </c>
      <c r="G534">
        <v>-338.66629999999998</v>
      </c>
      <c r="H534">
        <v>0.90555600000000003</v>
      </c>
      <c r="I534">
        <v>367.4932</v>
      </c>
      <c r="J534">
        <v>-339.14890000000003</v>
      </c>
      <c r="K534">
        <v>1.109993</v>
      </c>
      <c r="L534">
        <v>367.6146</v>
      </c>
      <c r="M534">
        <v>0.99991280000000005</v>
      </c>
      <c r="N534">
        <v>0</v>
      </c>
      <c r="O534">
        <v>-7.1386639999999999E-4</v>
      </c>
      <c r="P534">
        <v>0.99776960000000003</v>
      </c>
      <c r="Q534">
        <v>3.237139E-2</v>
      </c>
      <c r="R534">
        <v>-5.8376289999999997E-2</v>
      </c>
      <c r="S534">
        <v>3.0056150000000001</v>
      </c>
      <c r="T534">
        <v>-0.82439580000000001</v>
      </c>
      <c r="U534">
        <v>-0.4890137</v>
      </c>
      <c r="V534">
        <v>5.7665689999999999E-2</v>
      </c>
      <c r="W534">
        <v>4.5519650000000002E-2</v>
      </c>
      <c r="X534">
        <v>0.99729760000000001</v>
      </c>
      <c r="Y534">
        <v>0.1543532</v>
      </c>
      <c r="Z534">
        <v>-2.0464840000000002E-2</v>
      </c>
      <c r="AA534">
        <v>0.98780380000000001</v>
      </c>
      <c r="AB534">
        <v>27</v>
      </c>
      <c r="AC534">
        <v>0.48260000000004699</v>
      </c>
      <c r="AD534">
        <v>-0.20443700000000001</v>
      </c>
      <c r="AE534">
        <v>-0.121399999999994</v>
      </c>
      <c r="AF534">
        <v>0.103575005476588</v>
      </c>
      <c r="AG534">
        <v>-0.20443700000000001</v>
      </c>
      <c r="AH534">
        <v>0.41298653855846001</v>
      </c>
      <c r="AI534">
        <v>115.648033507603</v>
      </c>
      <c r="AJ534">
        <v>75.920887758982602</v>
      </c>
      <c r="AK534">
        <v>0.47231361377687803</v>
      </c>
      <c r="AL534">
        <v>87.391014488824595</v>
      </c>
      <c r="AM534">
        <v>86.690731177292705</v>
      </c>
      <c r="AN534">
        <v>0.99999993665252696</v>
      </c>
    </row>
    <row r="535" spans="1:40" x14ac:dyDescent="0.25">
      <c r="A535" t="str">
        <f>"20190312154810663"</f>
        <v>20190312154810663</v>
      </c>
      <c r="B535" t="str">
        <f>"1552376890656530"</f>
        <v>1552376890656530</v>
      </c>
      <c r="C535" t="s">
        <v>40</v>
      </c>
      <c r="D535">
        <v>4.6405430000000001</v>
      </c>
      <c r="E535">
        <v>0.54679469999999997</v>
      </c>
      <c r="F535" t="s">
        <v>41</v>
      </c>
      <c r="G535">
        <v>-338.42759999999998</v>
      </c>
      <c r="H535">
        <v>0.90590369999999998</v>
      </c>
      <c r="I535">
        <v>367.4932</v>
      </c>
      <c r="J535">
        <v>-338.87779999999998</v>
      </c>
      <c r="K535">
        <v>1.1099829999999999</v>
      </c>
      <c r="L535">
        <v>367.61439999999999</v>
      </c>
      <c r="M535">
        <v>0.99991410000000003</v>
      </c>
      <c r="N535">
        <v>0</v>
      </c>
      <c r="O535">
        <v>-7.1400509999999904E-4</v>
      </c>
      <c r="P535">
        <v>0.99778560000000005</v>
      </c>
      <c r="Q535">
        <v>3.162806E-2</v>
      </c>
      <c r="R535">
        <v>-5.8510359999999997E-2</v>
      </c>
      <c r="S535">
        <v>3.0048219999999999</v>
      </c>
      <c r="T535">
        <v>-0.85027240000000004</v>
      </c>
      <c r="U535">
        <v>-0.50405880000000003</v>
      </c>
      <c r="V535">
        <v>5.7799690000000001E-2</v>
      </c>
      <c r="W535">
        <v>4.4689369999999999E-2</v>
      </c>
      <c r="X535">
        <v>0.99732739999999998</v>
      </c>
      <c r="Y535">
        <v>0.158697799999999</v>
      </c>
      <c r="Z535">
        <v>-2.1679810000000001E-2</v>
      </c>
      <c r="AA535">
        <v>0.9870892</v>
      </c>
      <c r="AB535">
        <v>27</v>
      </c>
      <c r="AC535">
        <v>0.45019999999999499</v>
      </c>
      <c r="AD535">
        <v>-0.20407929999999999</v>
      </c>
      <c r="AE535">
        <v>-0.121199999999987</v>
      </c>
      <c r="AF535">
        <v>0.101442031373082</v>
      </c>
      <c r="AG535">
        <v>-0.20407929999999999</v>
      </c>
      <c r="AH535">
        <v>0.37788334151691899</v>
      </c>
      <c r="AI535">
        <v>117.54617755419299</v>
      </c>
      <c r="AJ535">
        <v>74.973337645069506</v>
      </c>
      <c r="AK535">
        <v>0.441287509695867</v>
      </c>
      <c r="AL535">
        <v>87.438634514395403</v>
      </c>
      <c r="AM535">
        <v>86.683157339512704</v>
      </c>
      <c r="AN535">
        <v>0.99999994337292397</v>
      </c>
    </row>
    <row r="536" spans="1:40" x14ac:dyDescent="0.25">
      <c r="A536" t="str">
        <f>"20190312154810683"</f>
        <v>20190312154810683</v>
      </c>
      <c r="B536" t="str">
        <f>"1552376890677026"</f>
        <v>1552376890677026</v>
      </c>
      <c r="C536" t="s">
        <v>40</v>
      </c>
      <c r="D536">
        <v>4.6541540000000001</v>
      </c>
      <c r="E536">
        <v>0.54722950000000004</v>
      </c>
      <c r="F536" t="s">
        <v>41</v>
      </c>
      <c r="G536">
        <v>-338.18650000000002</v>
      </c>
      <c r="H536">
        <v>0.91237999999999997</v>
      </c>
      <c r="I536">
        <v>367.49779999999998</v>
      </c>
      <c r="J536">
        <v>-338.62819999999999</v>
      </c>
      <c r="K536">
        <v>1.1099699999999999</v>
      </c>
      <c r="L536">
        <v>367.61419999999998</v>
      </c>
      <c r="M536">
        <v>0.999915</v>
      </c>
      <c r="N536">
        <v>0</v>
      </c>
      <c r="O536">
        <v>-7.1399349999999996E-4</v>
      </c>
      <c r="P536">
        <v>0.99779759999999995</v>
      </c>
      <c r="Q536">
        <v>3.10117E-2</v>
      </c>
      <c r="R536">
        <v>-5.8636180000000003E-2</v>
      </c>
      <c r="S536">
        <v>3.0042110000000002</v>
      </c>
      <c r="T536">
        <v>-0.85885409999999995</v>
      </c>
      <c r="U536">
        <v>-0.50616459999999996</v>
      </c>
      <c r="V536">
        <v>5.792535E-2</v>
      </c>
      <c r="W536">
        <v>4.3999589999999998E-2</v>
      </c>
      <c r="X536">
        <v>0.99735079999999998</v>
      </c>
      <c r="Y536">
        <v>0.1592597</v>
      </c>
      <c r="Z536">
        <v>-2.1971649999999999E-2</v>
      </c>
      <c r="AA536">
        <v>0.98699219999999999</v>
      </c>
      <c r="AB536">
        <v>27</v>
      </c>
      <c r="AC536">
        <v>0.44169999999996801</v>
      </c>
      <c r="AD536">
        <v>-0.19758999999999999</v>
      </c>
      <c r="AE536">
        <v>-0.11639999999999801</v>
      </c>
      <c r="AF536">
        <v>9.7786870437575807E-2</v>
      </c>
      <c r="AG536">
        <v>-0.19758999999999999</v>
      </c>
      <c r="AH536">
        <v>0.37214744655999599</v>
      </c>
      <c r="AI536">
        <v>117.181115757597</v>
      </c>
      <c r="AJ536">
        <v>75.277557719730794</v>
      </c>
      <c r="AK536">
        <v>0.43254803445524997</v>
      </c>
      <c r="AL536">
        <v>87.478194968295298</v>
      </c>
      <c r="AM536">
        <v>86.676040290558305</v>
      </c>
      <c r="AN536">
        <v>0.999999964176714</v>
      </c>
    </row>
    <row r="537" spans="1:40" x14ac:dyDescent="0.25">
      <c r="A537" t="str">
        <f>"20190312154810696"</f>
        <v>20190312154810696</v>
      </c>
      <c r="B537" t="str">
        <f>"1552376890686787"</f>
        <v>1552376890686787</v>
      </c>
      <c r="C537" t="s">
        <v>40</v>
      </c>
      <c r="D537">
        <v>4.6729989999999999</v>
      </c>
      <c r="E537">
        <v>0.54720159999999995</v>
      </c>
      <c r="F537" t="s">
        <v>41</v>
      </c>
      <c r="G537">
        <v>-337.9477</v>
      </c>
      <c r="H537">
        <v>0.91342429999999997</v>
      </c>
      <c r="I537">
        <v>367.49829999999997</v>
      </c>
      <c r="J537">
        <v>-338.48579999999998</v>
      </c>
      <c r="K537">
        <v>1.1099669999999999</v>
      </c>
      <c r="L537">
        <v>367.61410000000001</v>
      </c>
      <c r="M537">
        <v>0.99991549999999996</v>
      </c>
      <c r="N537">
        <v>0</v>
      </c>
      <c r="O537">
        <v>-7.1410080000000001E-4</v>
      </c>
      <c r="P537">
        <v>0.99780899999999995</v>
      </c>
      <c r="Q537">
        <v>3.077643E-2</v>
      </c>
      <c r="R537">
        <v>-5.8568790000000003E-2</v>
      </c>
      <c r="S537">
        <v>3.0036320000000001</v>
      </c>
      <c r="T537">
        <v>-0.86757519999999999</v>
      </c>
      <c r="U537">
        <v>-0.50909420000000005</v>
      </c>
      <c r="V537">
        <v>5.7857840000000001E-2</v>
      </c>
      <c r="W537">
        <v>4.3725680000000003E-2</v>
      </c>
      <c r="X537">
        <v>0.9973668</v>
      </c>
      <c r="Y537">
        <v>0.16006970000000001</v>
      </c>
      <c r="Z537">
        <v>-2.230242E-2</v>
      </c>
      <c r="AA537">
        <v>0.98685369999999994</v>
      </c>
      <c r="AB537">
        <v>27</v>
      </c>
      <c r="AC537">
        <v>0.53809999999998503</v>
      </c>
      <c r="AD537">
        <v>-0.19654269999999899</v>
      </c>
      <c r="AE537">
        <v>-0.115800000000035</v>
      </c>
      <c r="AF537">
        <v>0.102363798293289</v>
      </c>
      <c r="AG537">
        <v>-0.19654269999999899</v>
      </c>
      <c r="AH537">
        <v>0.47732172151782998</v>
      </c>
      <c r="AI537">
        <v>111.930082804329</v>
      </c>
      <c r="AJ537">
        <v>77.895996279075703</v>
      </c>
      <c r="AK537">
        <v>0.52625412678387995</v>
      </c>
      <c r="AL537">
        <v>87.493904062601999</v>
      </c>
      <c r="AM537">
        <v>86.679958722487896</v>
      </c>
      <c r="AN537">
        <v>0.999999999241584</v>
      </c>
    </row>
    <row r="538" spans="1:40" x14ac:dyDescent="0.25">
      <c r="A538" t="str">
        <f>"20190312154810708"</f>
        <v>20190312154810708</v>
      </c>
      <c r="B538" t="str">
        <f>"1552376890696546"</f>
        <v>1552376890696546</v>
      </c>
      <c r="C538" t="s">
        <v>40</v>
      </c>
      <c r="D538">
        <v>4.6266959999999999</v>
      </c>
      <c r="E538">
        <v>0.54702629999999997</v>
      </c>
      <c r="F538" t="s">
        <v>41</v>
      </c>
      <c r="G538">
        <v>-337.71949999999998</v>
      </c>
      <c r="H538">
        <v>0.88812489999999999</v>
      </c>
      <c r="I538">
        <v>367.48410000000001</v>
      </c>
      <c r="J538">
        <v>-338.34249999999997</v>
      </c>
      <c r="K538">
        <v>1.109964</v>
      </c>
      <c r="L538">
        <v>367.61399999999998</v>
      </c>
      <c r="M538">
        <v>0.99991600000000003</v>
      </c>
      <c r="N538">
        <v>0</v>
      </c>
      <c r="O538">
        <v>-7.1397780000000003E-4</v>
      </c>
      <c r="P538">
        <v>0.99780539999999995</v>
      </c>
      <c r="Q538">
        <v>3.0629279999999998E-2</v>
      </c>
      <c r="R538">
        <v>-5.870769E-2</v>
      </c>
      <c r="S538">
        <v>3.003571</v>
      </c>
      <c r="T538">
        <v>-0.86952569999999996</v>
      </c>
      <c r="U538">
        <v>-0.50869750000000002</v>
      </c>
      <c r="V538">
        <v>5.7996810000000003E-2</v>
      </c>
      <c r="W538">
        <v>4.3541320000000001E-2</v>
      </c>
      <c r="X538">
        <v>0.9973668</v>
      </c>
      <c r="Y538">
        <v>0.15992390000000001</v>
      </c>
      <c r="Z538">
        <v>-2.2330780000000001E-2</v>
      </c>
      <c r="AA538">
        <v>0.98687670000000005</v>
      </c>
      <c r="AB538">
        <v>27</v>
      </c>
      <c r="AC538">
        <v>0.62299999999999001</v>
      </c>
      <c r="AD538">
        <v>-0.22183910000000001</v>
      </c>
      <c r="AE538">
        <v>-0.12990000000002</v>
      </c>
      <c r="AF538">
        <v>0.115429136032555</v>
      </c>
      <c r="AG538">
        <v>-0.22183910000000001</v>
      </c>
      <c r="AH538">
        <v>0.55558280783437497</v>
      </c>
      <c r="AI538">
        <v>111.35263509194399</v>
      </c>
      <c r="AJ538">
        <v>78.263074033800194</v>
      </c>
      <c r="AK538">
        <v>0.60926901127101496</v>
      </c>
      <c r="AL538">
        <v>87.504477197022894</v>
      </c>
      <c r="AM538">
        <v>86.672002146142404</v>
      </c>
      <c r="AN538">
        <v>1.0000000051298701</v>
      </c>
    </row>
    <row r="539" spans="1:40" x14ac:dyDescent="0.25">
      <c r="A539" t="str">
        <f>"20190312154810720"</f>
        <v>20190312154810720</v>
      </c>
      <c r="B539" t="str">
        <f>"1552376890717042"</f>
        <v>1552376890717042</v>
      </c>
      <c r="C539" t="s">
        <v>40</v>
      </c>
      <c r="D539">
        <v>4.6487540000000003</v>
      </c>
      <c r="E539">
        <v>0.54700470000000001</v>
      </c>
      <c r="F539" t="s">
        <v>41</v>
      </c>
      <c r="G539">
        <v>-337.49119999999999</v>
      </c>
      <c r="H539">
        <v>0.86325160000000001</v>
      </c>
      <c r="I539">
        <v>367.46980000000002</v>
      </c>
      <c r="J539">
        <v>-338.18770000000001</v>
      </c>
      <c r="K539">
        <v>1.1099589999999999</v>
      </c>
      <c r="L539">
        <v>367.6139</v>
      </c>
      <c r="M539">
        <v>0.99991640000000004</v>
      </c>
      <c r="N539">
        <v>0</v>
      </c>
      <c r="O539">
        <v>-7.1397699999999997E-4</v>
      </c>
      <c r="P539">
        <v>0.99780239999999998</v>
      </c>
      <c r="Q539">
        <v>3.045548E-2</v>
      </c>
      <c r="R539">
        <v>-5.8845429999999997E-2</v>
      </c>
      <c r="S539">
        <v>3.003479</v>
      </c>
      <c r="T539">
        <v>-0.87051339999999999</v>
      </c>
      <c r="U539">
        <v>-0.50753779999999904</v>
      </c>
      <c r="V539">
        <v>5.813463E-2</v>
      </c>
      <c r="W539">
        <v>4.3330279999999999E-2</v>
      </c>
      <c r="X539">
        <v>0.99736800000000003</v>
      </c>
      <c r="Y539">
        <v>0.1595579</v>
      </c>
      <c r="Z539">
        <v>-2.2304859999999999E-2</v>
      </c>
      <c r="AA539">
        <v>0.98693660000000005</v>
      </c>
      <c r="AB539">
        <v>27</v>
      </c>
      <c r="AC539">
        <v>0.696500000000014</v>
      </c>
      <c r="AD539">
        <v>-0.24670739999999899</v>
      </c>
      <c r="AE539">
        <v>-0.14409999999997999</v>
      </c>
      <c r="AF539">
        <v>0.128180602191067</v>
      </c>
      <c r="AG539">
        <v>-0.24670739999999899</v>
      </c>
      <c r="AH539">
        <v>0.62179189378520305</v>
      </c>
      <c r="AI539">
        <v>111.235992510101</v>
      </c>
      <c r="AJ539">
        <v>78.351814126253799</v>
      </c>
      <c r="AK539">
        <v>0.68111670598350005</v>
      </c>
      <c r="AL539">
        <v>87.516580402400393</v>
      </c>
      <c r="AM539">
        <v>86.664115543271393</v>
      </c>
      <c r="AN539">
        <v>1.0000000378970499</v>
      </c>
    </row>
    <row r="540" spans="1:40" x14ac:dyDescent="0.25">
      <c r="A540" t="str">
        <f>"20190312154810732"</f>
        <v>20190312154810732</v>
      </c>
      <c r="B540" t="str">
        <f>"1552376890726803"</f>
        <v>1552376890726803</v>
      </c>
      <c r="C540" t="s">
        <v>40</v>
      </c>
      <c r="D540">
        <v>4.6187230000000001</v>
      </c>
      <c r="E540">
        <v>0.54676689999999994</v>
      </c>
      <c r="F540" t="s">
        <v>41</v>
      </c>
      <c r="G540">
        <v>-337.47539999999998</v>
      </c>
      <c r="H540">
        <v>0.90264690000000003</v>
      </c>
      <c r="I540">
        <v>367.49299999999999</v>
      </c>
      <c r="J540">
        <v>-338.05560000000003</v>
      </c>
      <c r="K540">
        <v>1.1099570000000001</v>
      </c>
      <c r="L540">
        <v>367.61380000000003</v>
      </c>
      <c r="M540">
        <v>0.9999169</v>
      </c>
      <c r="N540">
        <v>0</v>
      </c>
      <c r="O540">
        <v>-7.1414320000000005E-4</v>
      </c>
      <c r="P540">
        <v>0.99781660000000005</v>
      </c>
      <c r="Q540">
        <v>3.0259620000000001E-2</v>
      </c>
      <c r="R540">
        <v>-5.8705519999999997E-2</v>
      </c>
      <c r="S540">
        <v>3.0032960000000002</v>
      </c>
      <c r="T540">
        <v>-0.87414419999999904</v>
      </c>
      <c r="U540">
        <v>-0.50793459999999901</v>
      </c>
      <c r="V540">
        <v>5.799464E-2</v>
      </c>
      <c r="W540">
        <v>4.3105419999999998E-2</v>
      </c>
      <c r="X540">
        <v>0.99738590000000005</v>
      </c>
      <c r="Y540">
        <v>0.15963849999999999</v>
      </c>
      <c r="Z540">
        <v>-2.240669E-2</v>
      </c>
      <c r="AA540">
        <v>0.9869213</v>
      </c>
      <c r="AB540">
        <v>27</v>
      </c>
      <c r="AC540">
        <v>0.58020000000004701</v>
      </c>
      <c r="AD540">
        <v>-0.207310099999999</v>
      </c>
      <c r="AE540">
        <v>-0.120799999999974</v>
      </c>
      <c r="AF540">
        <v>0.107260676163001</v>
      </c>
      <c r="AG540">
        <v>-0.207310099999999</v>
      </c>
      <c r="AH540">
        <v>0.51702104006730998</v>
      </c>
      <c r="AI540">
        <v>111.43549355424</v>
      </c>
      <c r="AJ540">
        <v>78.279730333309303</v>
      </c>
      <c r="AK540">
        <v>0.56726809013484703</v>
      </c>
      <c r="AL540">
        <v>87.529475995964404</v>
      </c>
      <c r="AM540">
        <v>86.6721899718994</v>
      </c>
      <c r="AN540">
        <v>1.00000004451045</v>
      </c>
    </row>
    <row r="541" spans="1:40" x14ac:dyDescent="0.25">
      <c r="A541" t="str">
        <f>"20190312154810743"</f>
        <v>20190312154810743</v>
      </c>
      <c r="B541" t="str">
        <f>"1552376890736563"</f>
        <v>1552376890736563</v>
      </c>
      <c r="C541" t="s">
        <v>40</v>
      </c>
      <c r="D541">
        <v>4.6391869999999997</v>
      </c>
      <c r="E541">
        <v>0.54661559999999998</v>
      </c>
      <c r="F541" t="s">
        <v>41</v>
      </c>
      <c r="G541">
        <v>-337.2482</v>
      </c>
      <c r="H541">
        <v>0.87527310000000003</v>
      </c>
      <c r="I541">
        <v>367.47770000000003</v>
      </c>
      <c r="J541">
        <v>-337.91539999999998</v>
      </c>
      <c r="K541">
        <v>1.1099559999999999</v>
      </c>
      <c r="L541">
        <v>367.61360000000002</v>
      </c>
      <c r="M541">
        <v>0.99991730000000001</v>
      </c>
      <c r="N541">
        <v>0</v>
      </c>
      <c r="O541">
        <v>-7.1394799999999995E-4</v>
      </c>
      <c r="P541">
        <v>0.99780610000000003</v>
      </c>
      <c r="Q541">
        <v>3.0198579999999999E-2</v>
      </c>
      <c r="R541">
        <v>-5.8913880000000002E-2</v>
      </c>
      <c r="S541">
        <v>3.0032350000000001</v>
      </c>
      <c r="T541">
        <v>-0.87302369999999996</v>
      </c>
      <c r="U541">
        <v>-0.50579830000000003</v>
      </c>
      <c r="V541">
        <v>5.8203280000000003E-2</v>
      </c>
      <c r="W541">
        <v>4.3013950000000002E-2</v>
      </c>
      <c r="X541">
        <v>0.99737759999999998</v>
      </c>
      <c r="Y541">
        <v>0.159</v>
      </c>
      <c r="Z541">
        <v>-2.2290509999999999E-2</v>
      </c>
      <c r="AA541">
        <v>0.98702690000000004</v>
      </c>
      <c r="AB541">
        <v>27</v>
      </c>
      <c r="AC541">
        <v>0.66719999999997903</v>
      </c>
      <c r="AD541">
        <v>-0.234682899999999</v>
      </c>
      <c r="AE541">
        <v>-0.135899999999992</v>
      </c>
      <c r="AF541">
        <v>0.12104419413419699</v>
      </c>
      <c r="AG541">
        <v>-0.234682899999999</v>
      </c>
      <c r="AH541">
        <v>0.59644273987942298</v>
      </c>
      <c r="AI541">
        <v>111.087148028318</v>
      </c>
      <c r="AJ541">
        <v>78.527994552439296</v>
      </c>
      <c r="AK541">
        <v>0.652281919449619</v>
      </c>
      <c r="AL541">
        <v>87.534721471304493</v>
      </c>
      <c r="AM541">
        <v>86.660217251030204</v>
      </c>
      <c r="AN541">
        <v>0.99999994933955905</v>
      </c>
    </row>
    <row r="542" spans="1:40" x14ac:dyDescent="0.25">
      <c r="A542" t="str">
        <f>"20190312154810762"</f>
        <v>20190312154810762</v>
      </c>
      <c r="B542" t="str">
        <f>"1552376890757059"</f>
        <v>1552376890757059</v>
      </c>
      <c r="C542" t="s">
        <v>40</v>
      </c>
      <c r="D542">
        <v>4.6578460000000002</v>
      </c>
      <c r="E542">
        <v>0.54642789999999997</v>
      </c>
      <c r="F542" t="s">
        <v>41</v>
      </c>
      <c r="G542">
        <v>-337.23349999999999</v>
      </c>
      <c r="H542">
        <v>0.91196239999999995</v>
      </c>
      <c r="I542">
        <v>367.49889999999999</v>
      </c>
      <c r="J542">
        <v>-337.69569999999999</v>
      </c>
      <c r="K542">
        <v>1.109952</v>
      </c>
      <c r="L542">
        <v>367.61349999999999</v>
      </c>
      <c r="M542">
        <v>0.99991779999999997</v>
      </c>
      <c r="N542">
        <v>0</v>
      </c>
      <c r="O542">
        <v>-7.1391039999999905E-4</v>
      </c>
      <c r="P542">
        <v>0.99776240000000005</v>
      </c>
      <c r="Q542">
        <v>3.0402950000000002E-2</v>
      </c>
      <c r="R542">
        <v>-5.954508E-2</v>
      </c>
      <c r="S542">
        <v>3.0032040000000002</v>
      </c>
      <c r="T542">
        <v>-0.87203169999999997</v>
      </c>
      <c r="U542">
        <v>-0.50506589999999996</v>
      </c>
      <c r="V542">
        <v>5.8834329999999997E-2</v>
      </c>
      <c r="W542">
        <v>4.317497E-2</v>
      </c>
      <c r="X542">
        <v>0.99733360000000004</v>
      </c>
      <c r="Y542">
        <v>0.15878979999999901</v>
      </c>
      <c r="Z542">
        <v>-2.2237090000000001E-2</v>
      </c>
      <c r="AA542">
        <v>0.98706199999999999</v>
      </c>
      <c r="AB542">
        <v>27</v>
      </c>
      <c r="AC542">
        <v>0.462199999999995</v>
      </c>
      <c r="AD542">
        <v>-0.19798959999999999</v>
      </c>
      <c r="AE542">
        <v>-0.114599999999995</v>
      </c>
      <c r="AF542">
        <v>9.74278259727345E-2</v>
      </c>
      <c r="AG542">
        <v>-0.19798959999999999</v>
      </c>
      <c r="AH542">
        <v>0.39414642004303002</v>
      </c>
      <c r="AI542">
        <v>115.99607997110201</v>
      </c>
      <c r="AJ542">
        <v>76.115555093836093</v>
      </c>
      <c r="AK542">
        <v>0.45171170387169601</v>
      </c>
      <c r="AL542">
        <v>87.525487085401195</v>
      </c>
      <c r="AM542">
        <v>86.6239414590043</v>
      </c>
      <c r="AN542">
        <v>0.99999993305500201</v>
      </c>
    </row>
    <row r="543" spans="1:40" x14ac:dyDescent="0.25">
      <c r="A543" t="str">
        <f>"20190312154810774"</f>
        <v>20190312154810774</v>
      </c>
      <c r="B543" t="str">
        <f>"1552376890766819"</f>
        <v>1552376890766819</v>
      </c>
      <c r="C543" t="s">
        <v>40</v>
      </c>
      <c r="D543">
        <v>4.643313</v>
      </c>
      <c r="E543">
        <v>0.54632860000000005</v>
      </c>
      <c r="F543" t="s">
        <v>41</v>
      </c>
      <c r="G543">
        <v>-336.99700000000001</v>
      </c>
      <c r="H543">
        <v>0.90750770000000003</v>
      </c>
      <c r="I543">
        <v>367.49579999999997</v>
      </c>
      <c r="J543">
        <v>-337.55689999999998</v>
      </c>
      <c r="K543">
        <v>1.1099509999999999</v>
      </c>
      <c r="L543">
        <v>367.61340000000001</v>
      </c>
      <c r="M543">
        <v>0.99991810000000003</v>
      </c>
      <c r="N543">
        <v>0</v>
      </c>
      <c r="O543">
        <v>-7.1410929999999998E-4</v>
      </c>
      <c r="P543">
        <v>0.99774890000000005</v>
      </c>
      <c r="Q543">
        <v>3.0561729999999999E-2</v>
      </c>
      <c r="R543">
        <v>-5.9691109999999999E-2</v>
      </c>
      <c r="S543">
        <v>3.0031129999999999</v>
      </c>
      <c r="T543">
        <v>-0.87018969999999995</v>
      </c>
      <c r="U543">
        <v>-0.50479129999999905</v>
      </c>
      <c r="V543">
        <v>5.898022E-2</v>
      </c>
      <c r="W543">
        <v>4.3308850000000003E-2</v>
      </c>
      <c r="X543">
        <v>0.99731919999999996</v>
      </c>
      <c r="Y543">
        <v>0.15873470000000001</v>
      </c>
      <c r="Z543">
        <v>-2.2184929999999999E-2</v>
      </c>
      <c r="AA543">
        <v>0.98707199999999995</v>
      </c>
      <c r="AB543">
        <v>27</v>
      </c>
      <c r="AC543">
        <v>0.55990000000002704</v>
      </c>
      <c r="AD543">
        <v>-0.20244329999999999</v>
      </c>
      <c r="AE543">
        <v>-0.11760000000003799</v>
      </c>
      <c r="AF543">
        <v>0.10415847807225299</v>
      </c>
      <c r="AG543">
        <v>-0.20244329999999999</v>
      </c>
      <c r="AH543">
        <v>0.49767074516564702</v>
      </c>
      <c r="AI543">
        <v>111.71021378259</v>
      </c>
      <c r="AJ543">
        <v>78.179081479386994</v>
      </c>
      <c r="AK543">
        <v>0.54727365080273005</v>
      </c>
      <c r="AL543">
        <v>87.517809198132596</v>
      </c>
      <c r="AM543">
        <v>86.615540614609003</v>
      </c>
      <c r="AN543">
        <v>0.99999995476410397</v>
      </c>
    </row>
    <row r="544" spans="1:40" x14ac:dyDescent="0.25">
      <c r="A544" t="str">
        <f>"20190312154810786"</f>
        <v>20190312154810786</v>
      </c>
      <c r="B544" t="str">
        <f>"1552376890777043"</f>
        <v>1552376890777043</v>
      </c>
      <c r="C544" t="s">
        <v>40</v>
      </c>
      <c r="D544">
        <v>4.6198569999999997</v>
      </c>
      <c r="E544">
        <v>0.54619189999999995</v>
      </c>
      <c r="F544" t="s">
        <v>41</v>
      </c>
      <c r="G544">
        <v>-336.76909999999998</v>
      </c>
      <c r="H544">
        <v>0.88224570000000002</v>
      </c>
      <c r="I544">
        <v>367.48090000000002</v>
      </c>
      <c r="J544">
        <v>-337.40730000000002</v>
      </c>
      <c r="K544">
        <v>1.10995</v>
      </c>
      <c r="L544">
        <v>367.61329999999998</v>
      </c>
      <c r="M544">
        <v>0.99991859999999999</v>
      </c>
      <c r="N544">
        <v>0</v>
      </c>
      <c r="O544">
        <v>-7.1418429999999997E-4</v>
      </c>
      <c r="P544">
        <v>0.99773970000000001</v>
      </c>
      <c r="Q544">
        <v>3.0569740000000001E-2</v>
      </c>
      <c r="R544">
        <v>-5.9843210000000001E-2</v>
      </c>
      <c r="S544">
        <v>3.003174</v>
      </c>
      <c r="T544">
        <v>-0.86814089999999999</v>
      </c>
      <c r="U544">
        <v>-0.50460819999999995</v>
      </c>
      <c r="V544">
        <v>5.9132259999999999E-2</v>
      </c>
      <c r="W544">
        <v>4.3291209999999997E-2</v>
      </c>
      <c r="X544">
        <v>0.99731099999999995</v>
      </c>
      <c r="Y544">
        <v>0.1587035</v>
      </c>
      <c r="Z544">
        <v>-2.2129960000000001E-2</v>
      </c>
      <c r="AA544">
        <v>0.98707820000000002</v>
      </c>
      <c r="AB544">
        <v>27</v>
      </c>
      <c r="AC544">
        <v>0.63820000000003996</v>
      </c>
      <c r="AD544">
        <v>-0.2277043</v>
      </c>
      <c r="AE544">
        <v>-0.13239999999996099</v>
      </c>
      <c r="AF544">
        <v>0.117592308665776</v>
      </c>
      <c r="AG544">
        <v>-0.2277043</v>
      </c>
      <c r="AH544">
        <v>0.56886584165903697</v>
      </c>
      <c r="AI544">
        <v>111.404698290662</v>
      </c>
      <c r="AJ544">
        <v>78.320683007192102</v>
      </c>
      <c r="AK544">
        <v>0.62392751590411699</v>
      </c>
      <c r="AL544">
        <v>87.518820936683198</v>
      </c>
      <c r="AM544">
        <v>86.6068086349824</v>
      </c>
      <c r="AN544">
        <v>0.99999999187848498</v>
      </c>
    </row>
    <row r="545" spans="1:40" x14ac:dyDescent="0.25">
      <c r="A545" t="str">
        <f>"20190312154810798"</f>
        <v>20190312154810798</v>
      </c>
      <c r="B545" t="str">
        <f>"1552376890786804"</f>
        <v>1552376890786804</v>
      </c>
      <c r="C545" t="s">
        <v>40</v>
      </c>
      <c r="D545">
        <v>4.634112</v>
      </c>
      <c r="E545">
        <v>0.54613109999999998</v>
      </c>
      <c r="F545" t="s">
        <v>41</v>
      </c>
      <c r="G545">
        <v>-336.54020000000003</v>
      </c>
      <c r="H545">
        <v>0.85943999999999998</v>
      </c>
      <c r="I545">
        <v>367.46719999999999</v>
      </c>
      <c r="J545">
        <v>-337.2638</v>
      </c>
      <c r="K545">
        <v>1.1099490000000001</v>
      </c>
      <c r="L545">
        <v>367.61320000000001</v>
      </c>
      <c r="M545">
        <v>0.99991870000000005</v>
      </c>
      <c r="N545">
        <v>0</v>
      </c>
      <c r="O545">
        <v>-7.1404330000000003E-4</v>
      </c>
      <c r="P545">
        <v>0.99771489999999996</v>
      </c>
      <c r="Q545">
        <v>3.0775279999999999E-2</v>
      </c>
      <c r="R545">
        <v>-6.0151000000000003E-2</v>
      </c>
      <c r="S545">
        <v>3.003174</v>
      </c>
      <c r="T545">
        <v>-0.86760519999999997</v>
      </c>
      <c r="U545">
        <v>-0.50405880000000003</v>
      </c>
      <c r="V545">
        <v>5.944004E-2</v>
      </c>
      <c r="W545">
        <v>4.3474150000000003E-2</v>
      </c>
      <c r="X545">
        <v>0.99728479999999997</v>
      </c>
      <c r="Y545">
        <v>0.15854179999999901</v>
      </c>
      <c r="Z545">
        <v>-2.209446E-2</v>
      </c>
      <c r="AA545">
        <v>0.98710500000000001</v>
      </c>
      <c r="AB545">
        <v>27</v>
      </c>
      <c r="AC545">
        <v>0.72359999999997604</v>
      </c>
      <c r="AD545">
        <v>-0.25050899999999998</v>
      </c>
      <c r="AE545">
        <v>-0.14600000000001501</v>
      </c>
      <c r="AF545">
        <v>0.13045896629732501</v>
      </c>
      <c r="AG545">
        <v>-0.25050899999999998</v>
      </c>
      <c r="AH545">
        <v>0.64896606631271403</v>
      </c>
      <c r="AI545">
        <v>110.72872414276701</v>
      </c>
      <c r="AJ545">
        <v>78.633561515149196</v>
      </c>
      <c r="AK545">
        <v>0.70776497242641501</v>
      </c>
      <c r="AL545">
        <v>87.508329504583102</v>
      </c>
      <c r="AM545">
        <v>86.589099463337902</v>
      </c>
      <c r="AN545">
        <v>1.00000004619223</v>
      </c>
    </row>
    <row r="546" spans="1:40" x14ac:dyDescent="0.25">
      <c r="A546" t="str">
        <f>"20190312154810812"</f>
        <v>20190312154810812</v>
      </c>
      <c r="B546" t="str">
        <f>"1552376890806324"</f>
        <v>1552376890806324</v>
      </c>
      <c r="C546" t="s">
        <v>40</v>
      </c>
      <c r="D546">
        <v>4.5691980000000001</v>
      </c>
      <c r="E546">
        <v>0.54587989999999997</v>
      </c>
      <c r="F546" t="s">
        <v>41</v>
      </c>
      <c r="G546">
        <v>-336.52510000000001</v>
      </c>
      <c r="H546">
        <v>0.89701129999999996</v>
      </c>
      <c r="I546">
        <v>367.48849999999999</v>
      </c>
      <c r="J546">
        <v>-337.11360000000002</v>
      </c>
      <c r="K546">
        <v>1.1099460000000001</v>
      </c>
      <c r="L546">
        <v>367.613</v>
      </c>
      <c r="M546">
        <v>0.99991909999999895</v>
      </c>
      <c r="N546">
        <v>0</v>
      </c>
      <c r="O546">
        <v>-7.1414250000000003E-4</v>
      </c>
      <c r="P546">
        <v>0.99772629999999995</v>
      </c>
      <c r="Q546">
        <v>3.078057E-2</v>
      </c>
      <c r="R546">
        <v>-5.9961800000000003E-2</v>
      </c>
      <c r="S546">
        <v>3.0032040000000002</v>
      </c>
      <c r="T546">
        <v>-0.86576369999999903</v>
      </c>
      <c r="U546">
        <v>-0.50457759999999996</v>
      </c>
      <c r="V546">
        <v>5.925072E-2</v>
      </c>
      <c r="W546">
        <v>4.3458419999999998E-2</v>
      </c>
      <c r="X546">
        <v>0.99729670000000004</v>
      </c>
      <c r="Y546">
        <v>0.15872520000000001</v>
      </c>
      <c r="Z546">
        <v>-2.207456E-2</v>
      </c>
      <c r="AA546">
        <v>0.98707599999999995</v>
      </c>
      <c r="AB546">
        <v>27</v>
      </c>
      <c r="AC546">
        <v>0.58850000000001002</v>
      </c>
      <c r="AD546">
        <v>-0.21293469999999901</v>
      </c>
      <c r="AE546">
        <v>-0.124500000000068</v>
      </c>
      <c r="AF546">
        <v>0.110262660895832</v>
      </c>
      <c r="AG546">
        <v>-0.21293469999999901</v>
      </c>
      <c r="AH546">
        <v>0.52304594430411799</v>
      </c>
      <c r="AI546">
        <v>111.719863178452</v>
      </c>
      <c r="AJ546">
        <v>78.095847421697698</v>
      </c>
      <c r="AK546">
        <v>0.57539212777453397</v>
      </c>
      <c r="AL546">
        <v>87.509231492059499</v>
      </c>
      <c r="AM546">
        <v>86.599978328545603</v>
      </c>
      <c r="AN546">
        <v>0.99999999496015202</v>
      </c>
    </row>
    <row r="547" spans="1:40" x14ac:dyDescent="0.25">
      <c r="A547" t="str">
        <f>"20190312154810825"</f>
        <v>20190312154810825</v>
      </c>
      <c r="B547" t="str">
        <f>"1552376890817060"</f>
        <v>1552376890817060</v>
      </c>
      <c r="C547" t="s">
        <v>40</v>
      </c>
      <c r="D547">
        <v>4.583361</v>
      </c>
      <c r="E547">
        <v>0.54573369999999999</v>
      </c>
      <c r="F547" t="s">
        <v>41</v>
      </c>
      <c r="G547">
        <v>-336.29610000000002</v>
      </c>
      <c r="H547">
        <v>0.87482890000000002</v>
      </c>
      <c r="I547">
        <v>367.47629999999998</v>
      </c>
      <c r="J547">
        <v>-336.94749999999999</v>
      </c>
      <c r="K547">
        <v>1.109953</v>
      </c>
      <c r="L547">
        <v>367.61290000000002</v>
      </c>
      <c r="M547">
        <v>0.99991929999999996</v>
      </c>
      <c r="N547">
        <v>0</v>
      </c>
      <c r="O547">
        <v>-7.1399850000000004E-4</v>
      </c>
      <c r="P547">
        <v>0.99770599999999998</v>
      </c>
      <c r="Q547">
        <v>3.0578270000000001E-2</v>
      </c>
      <c r="R547">
        <v>-6.0399580000000001E-2</v>
      </c>
      <c r="S547">
        <v>3.0032960000000002</v>
      </c>
      <c r="T547">
        <v>-0.86365959999999997</v>
      </c>
      <c r="U547">
        <v>-0.50198359999999997</v>
      </c>
      <c r="V547">
        <v>5.9688579999999998E-2</v>
      </c>
      <c r="W547">
        <v>4.3232619999999999E-2</v>
      </c>
      <c r="X547">
        <v>0.99728039999999996</v>
      </c>
      <c r="Y547">
        <v>0.1579507</v>
      </c>
      <c r="Z547">
        <v>-2.1915400000000002E-2</v>
      </c>
      <c r="AA547">
        <v>0.98720379999999996</v>
      </c>
      <c r="AB547">
        <v>27</v>
      </c>
      <c r="AC547">
        <v>0.65139999999996601</v>
      </c>
      <c r="AD547">
        <v>-0.235124099999999</v>
      </c>
      <c r="AE547">
        <v>-0.13660000000004399</v>
      </c>
      <c r="AF547">
        <v>0.121030435990332</v>
      </c>
      <c r="AG547">
        <v>-0.235124099999999</v>
      </c>
      <c r="AH547">
        <v>0.57921262119289296</v>
      </c>
      <c r="AI547">
        <v>111.670660331988</v>
      </c>
      <c r="AJ547">
        <v>78.197477355725894</v>
      </c>
      <c r="AK547">
        <v>0.63672519141774298</v>
      </c>
      <c r="AL547">
        <v>87.522181040398607</v>
      </c>
      <c r="AM547">
        <v>86.574856080132307</v>
      </c>
      <c r="AN547">
        <v>0.99999999111932003</v>
      </c>
    </row>
    <row r="548" spans="1:40" x14ac:dyDescent="0.25">
      <c r="A548" t="str">
        <f>"20190312154810841"</f>
        <v>20190312154810841</v>
      </c>
      <c r="B548" t="str">
        <f>"1552376890836580"</f>
        <v>1552376890836580</v>
      </c>
      <c r="C548" t="s">
        <v>40</v>
      </c>
      <c r="D548">
        <v>4.5586349999999998</v>
      </c>
      <c r="E548">
        <v>0.54551559999999999</v>
      </c>
      <c r="F548" t="s">
        <v>41</v>
      </c>
      <c r="G548">
        <v>-336.06549999999999</v>
      </c>
      <c r="H548">
        <v>0.85662349999999998</v>
      </c>
      <c r="I548">
        <v>367.4649</v>
      </c>
      <c r="J548">
        <v>-336.75819999999999</v>
      </c>
      <c r="K548">
        <v>1.1099509999999999</v>
      </c>
      <c r="L548">
        <v>367.61279999999999</v>
      </c>
      <c r="M548">
        <v>0.99991940000000001</v>
      </c>
      <c r="N548">
        <v>0</v>
      </c>
      <c r="O548">
        <v>-7.1363729999999895E-4</v>
      </c>
      <c r="P548">
        <v>0.9977068</v>
      </c>
      <c r="Q548">
        <v>2.99706E-2</v>
      </c>
      <c r="R548">
        <v>-6.0684380000000003E-2</v>
      </c>
      <c r="S548">
        <v>3.0028990000000002</v>
      </c>
      <c r="T548">
        <v>-0.86255490000000001</v>
      </c>
      <c r="U548">
        <v>-0.50228879999999998</v>
      </c>
      <c r="V548">
        <v>5.9974069999999997E-2</v>
      </c>
      <c r="W548">
        <v>4.2606150000000002E-2</v>
      </c>
      <c r="X548">
        <v>0.99729029999999996</v>
      </c>
      <c r="Y548">
        <v>0.15807889999999999</v>
      </c>
      <c r="Z548">
        <v>-2.1909040000000001E-2</v>
      </c>
      <c r="AA548">
        <v>0.98718340000000004</v>
      </c>
      <c r="AB548">
        <v>27</v>
      </c>
      <c r="AC548">
        <v>0.69270000000000198</v>
      </c>
      <c r="AD548">
        <v>-0.25332749999999998</v>
      </c>
      <c r="AE548">
        <v>-0.14789999999999201</v>
      </c>
      <c r="AF548">
        <v>0.13068881726824499</v>
      </c>
      <c r="AG548">
        <v>-0.25332749999999998</v>
      </c>
      <c r="AH548">
        <v>0.61423666500641405</v>
      </c>
      <c r="AI548">
        <v>111.96899145379901</v>
      </c>
      <c r="AJ548">
        <v>77.988506876641196</v>
      </c>
      <c r="AK548">
        <v>0.67715660659364796</v>
      </c>
      <c r="AL548">
        <v>87.558108396703005</v>
      </c>
      <c r="AM548">
        <v>86.558547007053505</v>
      </c>
      <c r="AN548">
        <v>1.00000005778213</v>
      </c>
    </row>
    <row r="549" spans="1:40" x14ac:dyDescent="0.25">
      <c r="A549" t="str">
        <f>"20190312154810855"</f>
        <v>20190312154810855</v>
      </c>
      <c r="B549" t="str">
        <f>"1552376890846341"</f>
        <v>1552376890846341</v>
      </c>
      <c r="C549" t="s">
        <v>40</v>
      </c>
      <c r="D549">
        <v>4.5012150000000002</v>
      </c>
      <c r="E549">
        <v>0.54541490000000004</v>
      </c>
      <c r="F549" t="s">
        <v>41</v>
      </c>
      <c r="G549">
        <v>-336.04579999999999</v>
      </c>
      <c r="H549">
        <v>0.90546539999999998</v>
      </c>
      <c r="I549">
        <v>367.49329999999998</v>
      </c>
      <c r="J549">
        <v>-336.59339999999997</v>
      </c>
      <c r="K549">
        <v>1.109955</v>
      </c>
      <c r="L549">
        <v>367.61259999999999</v>
      </c>
      <c r="M549">
        <v>0.99991980000000003</v>
      </c>
      <c r="N549">
        <v>0</v>
      </c>
      <c r="O549">
        <v>-7.1355240000000003E-4</v>
      </c>
      <c r="P549">
        <v>0.99769819999999998</v>
      </c>
      <c r="Q549">
        <v>2.9642470000000001E-2</v>
      </c>
      <c r="R549">
        <v>-6.099214E-2</v>
      </c>
      <c r="S549">
        <v>3.0022890000000002</v>
      </c>
      <c r="T549">
        <v>-0.86193539999999902</v>
      </c>
      <c r="U549">
        <v>-0.50149540000000004</v>
      </c>
      <c r="V549">
        <v>6.0281679999999997E-2</v>
      </c>
      <c r="W549">
        <v>4.2265049999999998E-2</v>
      </c>
      <c r="X549">
        <v>0.99728620000000001</v>
      </c>
      <c r="Y549">
        <v>0.15787200000000001</v>
      </c>
      <c r="Z549">
        <v>-2.1869670000000001E-2</v>
      </c>
      <c r="AA549">
        <v>0.98721740000000002</v>
      </c>
      <c r="AB549">
        <v>27</v>
      </c>
      <c r="AC549">
        <v>0.54759999999998799</v>
      </c>
      <c r="AD549">
        <v>-0.20448959999999899</v>
      </c>
      <c r="AE549">
        <v>-0.119300000000009</v>
      </c>
      <c r="AF549">
        <v>0.104938678575133</v>
      </c>
      <c r="AG549">
        <v>-0.20448959999999899</v>
      </c>
      <c r="AH549">
        <v>0.48333805097789601</v>
      </c>
      <c r="AI549">
        <v>112.46243018537299</v>
      </c>
      <c r="AJ549">
        <v>77.750486719666796</v>
      </c>
      <c r="AK549">
        <v>0.53520444158505098</v>
      </c>
      <c r="AL549">
        <v>87.577669442553898</v>
      </c>
      <c r="AM549">
        <v>86.540924186671106</v>
      </c>
      <c r="AN549">
        <v>0.99999999005278195</v>
      </c>
    </row>
    <row r="550" spans="1:40" x14ac:dyDescent="0.25">
      <c r="A550" t="str">
        <f>"20190312154810873"</f>
        <v>20190312154810873</v>
      </c>
      <c r="B550" t="str">
        <f>"1552376890866836"</f>
        <v>1552376890866836</v>
      </c>
      <c r="C550" t="s">
        <v>40</v>
      </c>
      <c r="D550">
        <v>4.5039360000000004</v>
      </c>
      <c r="E550">
        <v>0.54526669999999999</v>
      </c>
      <c r="F550" t="s">
        <v>41</v>
      </c>
      <c r="G550">
        <v>-335.81549999999999</v>
      </c>
      <c r="H550">
        <v>0.88671529999999998</v>
      </c>
      <c r="I550">
        <v>367.48250000000002</v>
      </c>
      <c r="J550">
        <v>-336.3639</v>
      </c>
      <c r="K550">
        <v>1.1099589999999999</v>
      </c>
      <c r="L550">
        <v>367.61250000000001</v>
      </c>
      <c r="M550">
        <v>0.99991980000000003</v>
      </c>
      <c r="N550">
        <v>0</v>
      </c>
      <c r="O550">
        <v>-7.1203460000000005E-4</v>
      </c>
      <c r="P550">
        <v>0.9976758</v>
      </c>
      <c r="Q550">
        <v>2.9272909999999999E-2</v>
      </c>
      <c r="R550">
        <v>-6.15326E-2</v>
      </c>
      <c r="S550">
        <v>3.0018310000000001</v>
      </c>
      <c r="T550">
        <v>-0.86157669999999997</v>
      </c>
      <c r="U550">
        <v>-0.50180049999999998</v>
      </c>
      <c r="V550">
        <v>6.082369E-2</v>
      </c>
      <c r="W550">
        <v>4.1882959999999997E-2</v>
      </c>
      <c r="X550">
        <v>0.99726939999999997</v>
      </c>
      <c r="Y550">
        <v>0.157994</v>
      </c>
      <c r="Z550">
        <v>-2.1881390000000001E-2</v>
      </c>
      <c r="AA550">
        <v>0.98719760000000001</v>
      </c>
      <c r="AB550">
        <v>27</v>
      </c>
      <c r="AC550">
        <v>0.54840000000001499</v>
      </c>
      <c r="AD550">
        <v>-0.22324369999999999</v>
      </c>
      <c r="AE550">
        <v>-0.12999999999999501</v>
      </c>
      <c r="AF550">
        <v>0.112031796926698</v>
      </c>
      <c r="AG550">
        <v>-0.22324369999999999</v>
      </c>
      <c r="AH550">
        <v>0.47410578462964498</v>
      </c>
      <c r="AI550">
        <v>114.61975782376599</v>
      </c>
      <c r="AJ550">
        <v>76.704814215066506</v>
      </c>
      <c r="AK550">
        <v>0.53587794144898904</v>
      </c>
      <c r="AL550">
        <v>87.5995809656322</v>
      </c>
      <c r="AM550">
        <v>86.509840524108199</v>
      </c>
      <c r="AN550">
        <v>0.99999997988996803</v>
      </c>
    </row>
    <row r="551" spans="1:40" x14ac:dyDescent="0.25">
      <c r="A551" t="str">
        <f>"20190312154810886"</f>
        <v>20190312154810886</v>
      </c>
      <c r="B551" t="str">
        <f>"1552376890876597"</f>
        <v>1552376890876597</v>
      </c>
      <c r="C551" t="s">
        <v>40</v>
      </c>
      <c r="D551">
        <v>4.5105130000000004</v>
      </c>
      <c r="E551">
        <v>0.54516629999999999</v>
      </c>
      <c r="F551" t="s">
        <v>41</v>
      </c>
      <c r="G551">
        <v>-335.57859999999999</v>
      </c>
      <c r="H551">
        <v>0.88484289999999999</v>
      </c>
      <c r="I551">
        <v>367.48079999999999</v>
      </c>
      <c r="J551">
        <v>-336.2226</v>
      </c>
      <c r="K551">
        <v>1.1099600000000001</v>
      </c>
      <c r="L551">
        <v>367.61239999999998</v>
      </c>
      <c r="M551">
        <v>0.99992000000000003</v>
      </c>
      <c r="N551">
        <v>0</v>
      </c>
      <c r="O551">
        <v>-7.106832E-4</v>
      </c>
      <c r="P551">
        <v>0.99768020000000002</v>
      </c>
      <c r="Q551">
        <v>2.9142910000000001E-2</v>
      </c>
      <c r="R551">
        <v>-6.1527499999999999E-2</v>
      </c>
      <c r="S551">
        <v>3.0012509999999999</v>
      </c>
      <c r="T551">
        <v>-0.86030439999999997</v>
      </c>
      <c r="U551">
        <v>-0.50213620000000003</v>
      </c>
      <c r="V551">
        <v>6.0819610000000003E-2</v>
      </c>
      <c r="W551">
        <v>4.1748609999999998E-2</v>
      </c>
      <c r="X551">
        <v>0.99727529999999998</v>
      </c>
      <c r="Y551">
        <v>0.1581436</v>
      </c>
      <c r="Z551">
        <v>-2.187538E-2</v>
      </c>
      <c r="AA551">
        <v>0.98717379999999999</v>
      </c>
      <c r="AB551">
        <v>27</v>
      </c>
      <c r="AC551">
        <v>0.64400000000000501</v>
      </c>
      <c r="AD551">
        <v>-0.22511709999999999</v>
      </c>
      <c r="AE551">
        <v>-0.131599999999991</v>
      </c>
      <c r="AF551">
        <v>0.117374807763787</v>
      </c>
      <c r="AG551">
        <v>-0.22511709999999999</v>
      </c>
      <c r="AH551">
        <v>0.57647581468515197</v>
      </c>
      <c r="AI551">
        <v>110.939578975755</v>
      </c>
      <c r="AJ551">
        <v>78.491460575307698</v>
      </c>
      <c r="AK551">
        <v>0.62990389673894398</v>
      </c>
      <c r="AL551">
        <v>87.607285435167896</v>
      </c>
      <c r="AM551">
        <v>86.510094658090594</v>
      </c>
      <c r="AN551">
        <v>0.999999997693787</v>
      </c>
    </row>
    <row r="552" spans="1:40" x14ac:dyDescent="0.25">
      <c r="A552" t="str">
        <f>"20190312154810906"</f>
        <v>20190312154810906</v>
      </c>
      <c r="B552" t="str">
        <f>"1552376890897092"</f>
        <v>1552376890897092</v>
      </c>
      <c r="C552" t="s">
        <v>40</v>
      </c>
      <c r="D552">
        <v>4.4854629999999904</v>
      </c>
      <c r="E552">
        <v>0.54497989999999996</v>
      </c>
      <c r="F552" t="s">
        <v>41</v>
      </c>
      <c r="G552">
        <v>-335.35079999999999</v>
      </c>
      <c r="H552">
        <v>0.86020580000000002</v>
      </c>
      <c r="I552">
        <v>367.4665</v>
      </c>
      <c r="J552">
        <v>-335.97300000000001</v>
      </c>
      <c r="K552">
        <v>1.109964</v>
      </c>
      <c r="L552">
        <v>367.61219999999997</v>
      </c>
      <c r="M552">
        <v>0.99992000000000003</v>
      </c>
      <c r="N552">
        <v>0</v>
      </c>
      <c r="O552">
        <v>-7.049116E-4</v>
      </c>
      <c r="P552">
        <v>0.99764609999999998</v>
      </c>
      <c r="Q552">
        <v>2.9475439999999999E-2</v>
      </c>
      <c r="R552">
        <v>-6.1918599999999997E-2</v>
      </c>
      <c r="S552">
        <v>3.00116</v>
      </c>
      <c r="T552">
        <v>-0.8597591</v>
      </c>
      <c r="U552">
        <v>-0.50149540000000004</v>
      </c>
      <c r="V552">
        <v>6.1216359999999997E-2</v>
      </c>
      <c r="W552">
        <v>4.2078289999999997E-2</v>
      </c>
      <c r="X552">
        <v>0.99723709999999999</v>
      </c>
      <c r="Y552">
        <v>0.15796299999999999</v>
      </c>
      <c r="Z552">
        <v>-2.183945E-2</v>
      </c>
      <c r="AA552">
        <v>0.98720350000000001</v>
      </c>
      <c r="AB552">
        <v>27</v>
      </c>
      <c r="AC552">
        <v>0.62220000000001996</v>
      </c>
      <c r="AD552">
        <v>-0.24975819999999899</v>
      </c>
      <c r="AE552">
        <v>-0.14569999999997599</v>
      </c>
      <c r="AF552">
        <v>0.12601234123595101</v>
      </c>
      <c r="AG552">
        <v>-0.24975819999999899</v>
      </c>
      <c r="AH552">
        <v>0.53983948048596697</v>
      </c>
      <c r="AI552">
        <v>114.25352101694099</v>
      </c>
      <c r="AJ552">
        <v>76.860965613068501</v>
      </c>
      <c r="AK552">
        <v>0.60801721464310898</v>
      </c>
      <c r="AL552">
        <v>87.588379384059905</v>
      </c>
      <c r="AM552">
        <v>86.487251247153196</v>
      </c>
      <c r="AN552">
        <v>0.99999992941868898</v>
      </c>
    </row>
    <row r="553" spans="1:40" x14ac:dyDescent="0.25">
      <c r="A553" t="str">
        <f>"20190312154810918"</f>
        <v>20190312154810918</v>
      </c>
      <c r="B553" t="str">
        <f>"1552376890906856"</f>
        <v>1552376890906856</v>
      </c>
      <c r="C553" t="s">
        <v>40</v>
      </c>
      <c r="D553">
        <v>4.4653510000000001</v>
      </c>
      <c r="E553">
        <v>0.54486919999999905</v>
      </c>
      <c r="F553" t="s">
        <v>41</v>
      </c>
      <c r="G553">
        <v>-335.11160000000001</v>
      </c>
      <c r="H553">
        <v>0.86421680000000001</v>
      </c>
      <c r="I553">
        <v>367.46800000000002</v>
      </c>
      <c r="J553">
        <v>-335.83789999999999</v>
      </c>
      <c r="K553">
        <v>1.109966</v>
      </c>
      <c r="L553">
        <v>367.61219999999997</v>
      </c>
      <c r="M553">
        <v>0.99992000000000003</v>
      </c>
      <c r="N553">
        <v>0</v>
      </c>
      <c r="O553">
        <v>-6.9999369999999904E-4</v>
      </c>
      <c r="P553">
        <v>0.99766670000000002</v>
      </c>
      <c r="Q553">
        <v>2.9354749999999999E-2</v>
      </c>
      <c r="R553">
        <v>-6.1641939999999999E-2</v>
      </c>
      <c r="S553">
        <v>3.0012509999999999</v>
      </c>
      <c r="T553">
        <v>-0.85627949999999997</v>
      </c>
      <c r="U553">
        <v>-0.50158689999999995</v>
      </c>
      <c r="V553">
        <v>6.094455E-2</v>
      </c>
      <c r="W553">
        <v>4.1958240000000001E-2</v>
      </c>
      <c r="X553">
        <v>0.99725889999999995</v>
      </c>
      <c r="Y553">
        <v>0.1580384</v>
      </c>
      <c r="Z553">
        <v>-2.1765550000000002E-2</v>
      </c>
      <c r="AA553">
        <v>0.98719299999999999</v>
      </c>
      <c r="AB553">
        <v>27</v>
      </c>
      <c r="AC553">
        <v>0.72629999999997996</v>
      </c>
      <c r="AD553">
        <v>-0.2457492</v>
      </c>
      <c r="AE553">
        <v>-0.144199999999955</v>
      </c>
      <c r="AF553">
        <v>0.12943500005641301</v>
      </c>
      <c r="AG553">
        <v>-0.2457492</v>
      </c>
      <c r="AH553">
        <v>0.65433008472466203</v>
      </c>
      <c r="AI553">
        <v>110.22553761315</v>
      </c>
      <c r="AJ553">
        <v>78.810604203173895</v>
      </c>
      <c r="AK553">
        <v>0.71084031140336101</v>
      </c>
      <c r="AL553">
        <v>87.595264047742305</v>
      </c>
      <c r="AM553">
        <v>86.502885851380299</v>
      </c>
      <c r="AN553">
        <v>1.0000000228539001</v>
      </c>
    </row>
    <row r="554" spans="1:40" x14ac:dyDescent="0.25">
      <c r="A554" t="str">
        <f>"20190312154810930"</f>
        <v>20190312154810930</v>
      </c>
      <c r="B554" t="str">
        <f>"1552376890926372"</f>
        <v>1552376890926372</v>
      </c>
      <c r="C554" t="s">
        <v>40</v>
      </c>
      <c r="D554">
        <v>4.443333</v>
      </c>
      <c r="E554">
        <v>0.54466709999999996</v>
      </c>
      <c r="F554" t="s">
        <v>41</v>
      </c>
      <c r="G554">
        <v>-335.09769999999997</v>
      </c>
      <c r="H554">
        <v>0.89900040000000003</v>
      </c>
      <c r="I554">
        <v>367.48860000000002</v>
      </c>
      <c r="J554">
        <v>-335.70479999999998</v>
      </c>
      <c r="K554">
        <v>1.1099680000000001</v>
      </c>
      <c r="L554">
        <v>367.61200000000002</v>
      </c>
      <c r="M554">
        <v>0.99992000000000003</v>
      </c>
      <c r="N554">
        <v>0</v>
      </c>
      <c r="O554">
        <v>-6.9400219999999995E-4</v>
      </c>
      <c r="P554">
        <v>0.99766089999999996</v>
      </c>
      <c r="Q554">
        <v>2.9267629999999999E-2</v>
      </c>
      <c r="R554">
        <v>-6.177477E-2</v>
      </c>
      <c r="S554">
        <v>3.001312</v>
      </c>
      <c r="T554">
        <v>-0.85549089999999905</v>
      </c>
      <c r="U554">
        <v>-0.49963380000000002</v>
      </c>
      <c r="V554">
        <v>6.1083199999999997E-2</v>
      </c>
      <c r="W554">
        <v>4.1871529999999997E-2</v>
      </c>
      <c r="X554">
        <v>0.99725399999999997</v>
      </c>
      <c r="Y554">
        <v>0.15744900000000001</v>
      </c>
      <c r="Z554">
        <v>-2.166678E-2</v>
      </c>
      <c r="AA554">
        <v>0.98728939999999998</v>
      </c>
      <c r="AB554">
        <v>27</v>
      </c>
      <c r="AC554">
        <v>0.60710000000000197</v>
      </c>
      <c r="AD554">
        <v>-0.21096760000000001</v>
      </c>
      <c r="AE554">
        <v>-0.123399999999946</v>
      </c>
      <c r="AF554">
        <v>0.110199290720271</v>
      </c>
      <c r="AG554">
        <v>-0.21096760000000001</v>
      </c>
      <c r="AH554">
        <v>0.54408984303735697</v>
      </c>
      <c r="AI554">
        <v>110.808175461921</v>
      </c>
      <c r="AJ554">
        <v>78.550269578634797</v>
      </c>
      <c r="AK554">
        <v>0.59387285610762397</v>
      </c>
      <c r="AL554">
        <v>87.600236387081694</v>
      </c>
      <c r="AM554">
        <v>86.494932483772502</v>
      </c>
      <c r="AN554">
        <v>0.99999996143138903</v>
      </c>
    </row>
    <row r="555" spans="1:40" x14ac:dyDescent="0.25">
      <c r="A555" t="str">
        <f>"20190312154810941"</f>
        <v>20190312154810941</v>
      </c>
      <c r="B555" t="str">
        <f>"1552376890937109"</f>
        <v>1552376890937109</v>
      </c>
      <c r="C555" t="s">
        <v>40</v>
      </c>
      <c r="D555">
        <v>4.4751329999999996</v>
      </c>
      <c r="E555">
        <v>0.54455969999999998</v>
      </c>
      <c r="F555" t="s">
        <v>41</v>
      </c>
      <c r="G555">
        <v>-334.87079999999997</v>
      </c>
      <c r="H555">
        <v>0.87285040000000003</v>
      </c>
      <c r="I555">
        <v>367.47340000000003</v>
      </c>
      <c r="J555">
        <v>-335.5684</v>
      </c>
      <c r="K555">
        <v>1.10997099999999</v>
      </c>
      <c r="L555">
        <v>367.61189999999999</v>
      </c>
      <c r="M555">
        <v>0.99992000000000003</v>
      </c>
      <c r="N555">
        <v>0</v>
      </c>
      <c r="O555">
        <v>-6.8610100000000005E-4</v>
      </c>
      <c r="P555">
        <v>0.99766310000000002</v>
      </c>
      <c r="Q555">
        <v>2.909316E-2</v>
      </c>
      <c r="R555">
        <v>-6.1822740000000001E-2</v>
      </c>
      <c r="S555">
        <v>3.0011899999999998</v>
      </c>
      <c r="T555">
        <v>-0.85335830000000001</v>
      </c>
      <c r="U555">
        <v>-0.49859619999999999</v>
      </c>
      <c r="V555">
        <v>6.113876E-2</v>
      </c>
      <c r="W555">
        <v>4.1697629999999999E-2</v>
      </c>
      <c r="X555">
        <v>0.99725790000000003</v>
      </c>
      <c r="Y555">
        <v>0.15717049999999999</v>
      </c>
      <c r="Z555">
        <v>-2.15798E-2</v>
      </c>
      <c r="AA555">
        <v>0.98733570000000004</v>
      </c>
      <c r="AB555">
        <v>27</v>
      </c>
      <c r="AC555">
        <v>0.69760000000002198</v>
      </c>
      <c r="AD555">
        <v>-0.23712059999999899</v>
      </c>
      <c r="AE555">
        <v>-0.13849999999996401</v>
      </c>
      <c r="AF555">
        <v>0.124214076683679</v>
      </c>
      <c r="AG555">
        <v>-0.23712059999999899</v>
      </c>
      <c r="AH555">
        <v>0.62789961143727402</v>
      </c>
      <c r="AI555">
        <v>110.327731702111</v>
      </c>
      <c r="AJ555">
        <v>78.809957196297404</v>
      </c>
      <c r="AK555">
        <v>0.682578374865347</v>
      </c>
      <c r="AL555">
        <v>87.610208876766094</v>
      </c>
      <c r="AM555">
        <v>86.491765992257399</v>
      </c>
      <c r="AN555">
        <v>0.99999997971718202</v>
      </c>
    </row>
    <row r="556" spans="1:40" x14ac:dyDescent="0.25">
      <c r="A556" t="str">
        <f>"20190312154810952"</f>
        <v>20190312154810952</v>
      </c>
      <c r="B556" t="str">
        <f>"1552376890946868"</f>
        <v>1552376890946868</v>
      </c>
      <c r="C556" t="s">
        <v>40</v>
      </c>
      <c r="D556">
        <v>4.4559199999999999</v>
      </c>
      <c r="E556">
        <v>0.54446909999999904</v>
      </c>
      <c r="F556" t="s">
        <v>41</v>
      </c>
      <c r="G556">
        <v>-334.85680000000002</v>
      </c>
      <c r="H556">
        <v>0.90781559999999994</v>
      </c>
      <c r="I556">
        <v>367.49380000000002</v>
      </c>
      <c r="J556">
        <v>-335.43369999999999</v>
      </c>
      <c r="K556">
        <v>1.1099760000000001</v>
      </c>
      <c r="L556">
        <v>367.61180000000002</v>
      </c>
      <c r="M556">
        <v>0.99991989999999997</v>
      </c>
      <c r="N556">
        <v>0</v>
      </c>
      <c r="O556">
        <v>-6.7666269999999999E-4</v>
      </c>
      <c r="P556">
        <v>0.99767380000000006</v>
      </c>
      <c r="Q556">
        <v>2.8904619999999999E-2</v>
      </c>
      <c r="R556">
        <v>-6.1738870000000001E-2</v>
      </c>
      <c r="S556">
        <v>3.0010680000000001</v>
      </c>
      <c r="T556">
        <v>-0.85260239999999998</v>
      </c>
      <c r="U556">
        <v>-0.49786380000000002</v>
      </c>
      <c r="V556">
        <v>6.106396E-2</v>
      </c>
      <c r="W556">
        <v>4.1512309999999997E-2</v>
      </c>
      <c r="X556">
        <v>0.9972702</v>
      </c>
      <c r="Y556">
        <v>0.15696889999999999</v>
      </c>
      <c r="Z556">
        <v>-2.153735E-2</v>
      </c>
      <c r="AA556">
        <v>0.98736869999999999</v>
      </c>
      <c r="AB556">
        <v>27</v>
      </c>
      <c r="AC556">
        <v>0.576899999999966</v>
      </c>
      <c r="AD556">
        <v>-0.20216039999999999</v>
      </c>
      <c r="AE556">
        <v>-0.117999999999994</v>
      </c>
      <c r="AF556">
        <v>0.10520894147233301</v>
      </c>
      <c r="AG556">
        <v>-0.20216039999999999</v>
      </c>
      <c r="AH556">
        <v>0.51614356737073097</v>
      </c>
      <c r="AI556">
        <v>110.99594919280101</v>
      </c>
      <c r="AJ556">
        <v>78.478858877691593</v>
      </c>
      <c r="AK556">
        <v>0.56421798166318005</v>
      </c>
      <c r="AL556">
        <v>87.620836098626498</v>
      </c>
      <c r="AM556">
        <v>86.4960905374449</v>
      </c>
      <c r="AN556">
        <v>0.99999996545022796</v>
      </c>
    </row>
    <row r="557" spans="1:40" x14ac:dyDescent="0.25">
      <c r="A557" t="str">
        <f>"20190312154810963"</f>
        <v>20190312154810963</v>
      </c>
      <c r="B557" t="str">
        <f>"1552376890956628"</f>
        <v>1552376890956628</v>
      </c>
      <c r="C557" t="s">
        <v>40</v>
      </c>
      <c r="D557">
        <v>4.4473949999999904</v>
      </c>
      <c r="E557">
        <v>0.54439599999999999</v>
      </c>
      <c r="F557" t="s">
        <v>41</v>
      </c>
      <c r="G557">
        <v>-334.62990000000002</v>
      </c>
      <c r="H557">
        <v>0.88179189999999996</v>
      </c>
      <c r="I557">
        <v>367.4785</v>
      </c>
      <c r="J557">
        <v>-335.29300000000001</v>
      </c>
      <c r="K557">
        <v>1.1099810000000001</v>
      </c>
      <c r="L557">
        <v>367.61180000000002</v>
      </c>
      <c r="M557">
        <v>0.99991989999999997</v>
      </c>
      <c r="N557">
        <v>0</v>
      </c>
      <c r="O557">
        <v>-6.657996E-4</v>
      </c>
      <c r="P557">
        <v>0.99767320000000004</v>
      </c>
      <c r="Q557">
        <v>2.8618169999999998E-2</v>
      </c>
      <c r="R557">
        <v>-6.1880190000000002E-2</v>
      </c>
      <c r="S557">
        <v>3.0008849999999998</v>
      </c>
      <c r="T557">
        <v>-0.85188019999999998</v>
      </c>
      <c r="U557">
        <v>-0.49746699999999999</v>
      </c>
      <c r="V557">
        <v>6.1216069999999997E-2</v>
      </c>
      <c r="W557">
        <v>4.1229309999999998E-2</v>
      </c>
      <c r="X557">
        <v>0.99727270000000001</v>
      </c>
      <c r="Y557">
        <v>0.15687470000000001</v>
      </c>
      <c r="Z557">
        <v>-2.1511229999999999E-2</v>
      </c>
      <c r="AA557">
        <v>0.98738419999999905</v>
      </c>
      <c r="AB557">
        <v>27</v>
      </c>
      <c r="AC557">
        <v>0.66309999999998503</v>
      </c>
      <c r="AD557">
        <v>-0.22818909999999901</v>
      </c>
      <c r="AE557">
        <v>-0.13330000000001899</v>
      </c>
      <c r="AF557">
        <v>0.11928156232841</v>
      </c>
      <c r="AG557">
        <v>-0.22818909999999901</v>
      </c>
      <c r="AH557">
        <v>0.59541698363901296</v>
      </c>
      <c r="AI557">
        <v>110.595021781548</v>
      </c>
      <c r="AJ557">
        <v>78.671733048708703</v>
      </c>
      <c r="AK557">
        <v>0.64870620536271795</v>
      </c>
      <c r="AL557">
        <v>87.637064900320496</v>
      </c>
      <c r="AM557">
        <v>86.487392927702004</v>
      </c>
      <c r="AN557">
        <v>1.0000000506972999</v>
      </c>
    </row>
    <row r="558" spans="1:40" x14ac:dyDescent="0.25">
      <c r="A558" t="str">
        <f>"20190312154810975"</f>
        <v>20190312154810975</v>
      </c>
      <c r="B558" t="str">
        <f>"1552376890966390"</f>
        <v>1552376890966390</v>
      </c>
      <c r="C558" t="s">
        <v>40</v>
      </c>
      <c r="D558">
        <v>4.4704519999999999</v>
      </c>
      <c r="E558">
        <v>0.54430249999999902</v>
      </c>
      <c r="F558" t="s">
        <v>41</v>
      </c>
      <c r="G558">
        <v>-334.6155</v>
      </c>
      <c r="H558">
        <v>0.91769780000000001</v>
      </c>
      <c r="I558">
        <v>367.49939999999998</v>
      </c>
      <c r="J558">
        <v>-335.16269999999997</v>
      </c>
      <c r="K558">
        <v>1.1099870000000001</v>
      </c>
      <c r="L558">
        <v>367.61169999999998</v>
      </c>
      <c r="M558">
        <v>0.99991989999999997</v>
      </c>
      <c r="N558">
        <v>0</v>
      </c>
      <c r="O558">
        <v>-6.5330469999999997E-4</v>
      </c>
      <c r="P558">
        <v>0.99767380000000006</v>
      </c>
      <c r="Q558">
        <v>2.8525390000000001E-2</v>
      </c>
      <c r="R558">
        <v>-6.191559E-2</v>
      </c>
      <c r="S558">
        <v>3.0005799999999998</v>
      </c>
      <c r="T558">
        <v>-0.851570099999999</v>
      </c>
      <c r="U558">
        <v>-0.49722290000000002</v>
      </c>
      <c r="V558">
        <v>6.1263560000000002E-2</v>
      </c>
      <c r="W558">
        <v>4.1145460000000002E-2</v>
      </c>
      <c r="X558">
        <v>0.99727319999999997</v>
      </c>
      <c r="Y558">
        <v>0.15682929999999901</v>
      </c>
      <c r="Z558">
        <v>-2.1503080000000001E-2</v>
      </c>
      <c r="AA558">
        <v>0.98739160000000004</v>
      </c>
      <c r="AB558">
        <v>27</v>
      </c>
      <c r="AC558">
        <v>0.54719999999997504</v>
      </c>
      <c r="AD558">
        <v>-0.19228919999999899</v>
      </c>
      <c r="AE558">
        <v>-0.11230000000000399</v>
      </c>
      <c r="AF558">
        <v>0.100083093783565</v>
      </c>
      <c r="AG558">
        <v>-0.19228919999999899</v>
      </c>
      <c r="AH558">
        <v>0.48929424050220899</v>
      </c>
      <c r="AI558">
        <v>111.057756439702</v>
      </c>
      <c r="AJ558">
        <v>78.439848867273597</v>
      </c>
      <c r="AK558">
        <v>0.535164101829115</v>
      </c>
      <c r="AL558">
        <v>87.641873121287702</v>
      </c>
      <c r="AM558">
        <v>86.484676517786795</v>
      </c>
      <c r="AN558">
        <v>1.00000000405036</v>
      </c>
    </row>
    <row r="559" spans="1:40" x14ac:dyDescent="0.25">
      <c r="A559" t="str">
        <f>"20190312154810988"</f>
        <v>20190312154810988</v>
      </c>
      <c r="B559" t="str">
        <f>"1552376890976149"</f>
        <v>1552376890976149</v>
      </c>
      <c r="C559" t="s">
        <v>40</v>
      </c>
      <c r="D559">
        <v>4.436585</v>
      </c>
      <c r="E559">
        <v>0.54424790000000001</v>
      </c>
      <c r="F559" t="s">
        <v>41</v>
      </c>
      <c r="G559">
        <v>-334.38920000000002</v>
      </c>
      <c r="H559">
        <v>0.8906385</v>
      </c>
      <c r="I559">
        <v>367.48329999999999</v>
      </c>
      <c r="J559">
        <v>-335.00619999999998</v>
      </c>
      <c r="K559">
        <v>1.1099870000000001</v>
      </c>
      <c r="L559">
        <v>367.61160000000001</v>
      </c>
      <c r="M559">
        <v>0.99991969999999997</v>
      </c>
      <c r="N559">
        <v>0</v>
      </c>
      <c r="O559">
        <v>-6.3737150000000003E-4</v>
      </c>
      <c r="P559">
        <v>0.99767539999999999</v>
      </c>
      <c r="Q559">
        <v>2.8362789999999999E-2</v>
      </c>
      <c r="R559">
        <v>-6.1964239999999997E-2</v>
      </c>
      <c r="S559">
        <v>3.0004879999999998</v>
      </c>
      <c r="T559">
        <v>-0.85093050000000003</v>
      </c>
      <c r="U559">
        <v>-0.49694820000000001</v>
      </c>
      <c r="V559">
        <v>6.1327890000000003E-2</v>
      </c>
      <c r="W559">
        <v>4.0995379999999998E-2</v>
      </c>
      <c r="X559">
        <v>0.99727540000000003</v>
      </c>
      <c r="Y559">
        <v>0.15677189999999999</v>
      </c>
      <c r="Z559">
        <v>-2.1484779999999998E-2</v>
      </c>
      <c r="AA559">
        <v>0.98740110000000003</v>
      </c>
      <c r="AB559">
        <v>27</v>
      </c>
      <c r="AC559">
        <v>0.61699999999996102</v>
      </c>
      <c r="AD559">
        <v>-0.2193485</v>
      </c>
      <c r="AE559">
        <v>-0.12830000000002401</v>
      </c>
      <c r="AF559">
        <v>0.114085497569255</v>
      </c>
      <c r="AG559">
        <v>-0.2193485</v>
      </c>
      <c r="AH559">
        <v>0.55040178855418098</v>
      </c>
      <c r="AI559">
        <v>111.317202742444</v>
      </c>
      <c r="AJ559">
        <v>78.289742482969899</v>
      </c>
      <c r="AK559">
        <v>0.60338328950304598</v>
      </c>
      <c r="AL559">
        <v>87.650479270557497</v>
      </c>
      <c r="AM559">
        <v>86.481002255386201</v>
      </c>
      <c r="AN559">
        <v>0.99999997735917801</v>
      </c>
    </row>
    <row r="560" spans="1:40" x14ac:dyDescent="0.25">
      <c r="A560" t="str">
        <f>"20190312154811008"</f>
        <v>20190312154811008</v>
      </c>
      <c r="B560" t="str">
        <f>"1552376890996644"</f>
        <v>1552376890996644</v>
      </c>
      <c r="C560" t="s">
        <v>40</v>
      </c>
      <c r="D560">
        <v>4.4486270000000001</v>
      </c>
      <c r="E560">
        <v>0.54410150000000002</v>
      </c>
      <c r="F560" t="s">
        <v>41</v>
      </c>
      <c r="G560">
        <v>-334.16030000000001</v>
      </c>
      <c r="H560">
        <v>0.87027310000000002</v>
      </c>
      <c r="I560">
        <v>367.47109999999998</v>
      </c>
      <c r="J560">
        <v>-334.7792</v>
      </c>
      <c r="K560">
        <v>1.109998</v>
      </c>
      <c r="L560">
        <v>367.61149999999998</v>
      </c>
      <c r="M560">
        <v>0.99991940000000001</v>
      </c>
      <c r="N560">
        <v>0</v>
      </c>
      <c r="O560">
        <v>-6.1089650000000005E-4</v>
      </c>
      <c r="P560">
        <v>0.997672</v>
      </c>
      <c r="Q560">
        <v>2.8566390000000001E-2</v>
      </c>
      <c r="R560">
        <v>-6.1927349999999999E-2</v>
      </c>
      <c r="S560">
        <v>3.000305</v>
      </c>
      <c r="T560">
        <v>-0.85023510000000002</v>
      </c>
      <c r="U560">
        <v>-0.49679570000000001</v>
      </c>
      <c r="V560">
        <v>6.1317120000000003E-2</v>
      </c>
      <c r="W560">
        <v>4.1224070000000002E-2</v>
      </c>
      <c r="X560">
        <v>0.99726669999999995</v>
      </c>
      <c r="Y560">
        <v>0.15676679999999901</v>
      </c>
      <c r="Z560">
        <v>-2.147582E-2</v>
      </c>
      <c r="AA560">
        <v>0.98740209999999995</v>
      </c>
      <c r="AB560">
        <v>27</v>
      </c>
      <c r="AC560">
        <v>0.61889999999999601</v>
      </c>
      <c r="AD560">
        <v>-0.23972489999999999</v>
      </c>
      <c r="AE560">
        <v>-0.140399999999999</v>
      </c>
      <c r="AF560">
        <v>0.12253712268063401</v>
      </c>
      <c r="AG560">
        <v>-0.23972489999999999</v>
      </c>
      <c r="AH560">
        <v>0.54169200549403396</v>
      </c>
      <c r="AI560">
        <v>113.347064832491</v>
      </c>
      <c r="AJ560">
        <v>77.253548326942095</v>
      </c>
      <c r="AK560">
        <v>0.60490792930082105</v>
      </c>
      <c r="AL560">
        <v>87.637365365192807</v>
      </c>
      <c r="AM560">
        <v>86.481588069360498</v>
      </c>
      <c r="AN560">
        <v>1.0000000420406701</v>
      </c>
    </row>
    <row r="561" spans="1:40" x14ac:dyDescent="0.25">
      <c r="A561" t="str">
        <f>"20190312154811021"</f>
        <v>20190312154811021</v>
      </c>
      <c r="B561" t="str">
        <f>"1552376891016164"</f>
        <v>1552376891016164</v>
      </c>
      <c r="C561" t="s">
        <v>40</v>
      </c>
      <c r="D561">
        <v>4.4581489999999997</v>
      </c>
      <c r="E561">
        <v>0.54392529999999994</v>
      </c>
      <c r="F561" t="s">
        <v>41</v>
      </c>
      <c r="G561">
        <v>-333.92419999999998</v>
      </c>
      <c r="H561">
        <v>0.86845919999999899</v>
      </c>
      <c r="I561">
        <v>367.46980000000002</v>
      </c>
      <c r="J561">
        <v>-334.62189999999998</v>
      </c>
      <c r="K561">
        <v>1.1100049999999999</v>
      </c>
      <c r="L561">
        <v>367.61149999999998</v>
      </c>
      <c r="M561">
        <v>0.99991920000000001</v>
      </c>
      <c r="N561">
        <v>0</v>
      </c>
      <c r="O561">
        <v>-5.9048439999999998E-4</v>
      </c>
      <c r="P561">
        <v>0.99766600000000005</v>
      </c>
      <c r="Q561">
        <v>2.8931510000000001E-2</v>
      </c>
      <c r="R561">
        <v>-6.1852659999999997E-2</v>
      </c>
      <c r="S561">
        <v>3.0004580000000001</v>
      </c>
      <c r="T561">
        <v>-0.84760389999999997</v>
      </c>
      <c r="U561">
        <v>-0.49646000000000001</v>
      </c>
      <c r="V561">
        <v>6.1262499999999998E-2</v>
      </c>
      <c r="W561">
        <v>4.1609019999999997E-2</v>
      </c>
      <c r="X561">
        <v>0.99725399999999997</v>
      </c>
      <c r="Y561">
        <v>0.1567095</v>
      </c>
      <c r="Z561">
        <v>-2.1408690000000001E-2</v>
      </c>
      <c r="AA561">
        <v>0.98741270000000003</v>
      </c>
      <c r="AB561">
        <v>27</v>
      </c>
      <c r="AC561">
        <v>0.69769999999999699</v>
      </c>
      <c r="AD561">
        <v>-0.2415458</v>
      </c>
      <c r="AE561">
        <v>-0.141699999999957</v>
      </c>
      <c r="AF561">
        <v>0.12670333119979199</v>
      </c>
      <c r="AG561">
        <v>-0.2415458</v>
      </c>
      <c r="AH561">
        <v>0.62575395951094803</v>
      </c>
      <c r="AI561">
        <v>110.723135597409</v>
      </c>
      <c r="AJ561">
        <v>78.553445632372103</v>
      </c>
      <c r="AK561">
        <v>0.68261711484432697</v>
      </c>
      <c r="AL561">
        <v>87.615290248651505</v>
      </c>
      <c r="AM561">
        <v>86.484669679242501</v>
      </c>
      <c r="AN561">
        <v>0.99999997248380401</v>
      </c>
    </row>
    <row r="562" spans="1:40" x14ac:dyDescent="0.25">
      <c r="A562" t="str">
        <f>"20190312154811042"</f>
        <v>20190312154811042</v>
      </c>
      <c r="B562" t="str">
        <f>"1552376891036660"</f>
        <v>1552376891036660</v>
      </c>
      <c r="C562" t="s">
        <v>40</v>
      </c>
      <c r="D562">
        <v>4.4686190000000003</v>
      </c>
      <c r="E562">
        <v>0.54383000000000004</v>
      </c>
      <c r="F562" t="s">
        <v>41</v>
      </c>
      <c r="G562">
        <v>-333.90780000000001</v>
      </c>
      <c r="H562">
        <v>0.90911359999999997</v>
      </c>
      <c r="I562">
        <v>367.49340000000001</v>
      </c>
      <c r="J562">
        <v>-334.36840000000001</v>
      </c>
      <c r="K562">
        <v>1.110015</v>
      </c>
      <c r="L562">
        <v>367.61130000000003</v>
      </c>
      <c r="M562">
        <v>0.9999188</v>
      </c>
      <c r="N562">
        <v>0</v>
      </c>
      <c r="O562">
        <v>-5.5550230000000003E-4</v>
      </c>
      <c r="P562">
        <v>0.99766060000000001</v>
      </c>
      <c r="Q562">
        <v>2.921909E-2</v>
      </c>
      <c r="R562">
        <v>-6.1804440000000002E-2</v>
      </c>
      <c r="S562">
        <v>3.0007929999999998</v>
      </c>
      <c r="T562">
        <v>-0.84432770000000001</v>
      </c>
      <c r="U562">
        <v>-0.49511719999999998</v>
      </c>
      <c r="V562">
        <v>6.1249079999999997E-2</v>
      </c>
      <c r="W562">
        <v>4.1931080000000003E-2</v>
      </c>
      <c r="X562">
        <v>0.99724139999999994</v>
      </c>
      <c r="Y562">
        <v>0.1563541</v>
      </c>
      <c r="Z562">
        <v>-2.1288310000000001E-2</v>
      </c>
      <c r="AA562">
        <v>0.9874716</v>
      </c>
      <c r="AB562">
        <v>27</v>
      </c>
      <c r="AC562">
        <v>0.46059999999999901</v>
      </c>
      <c r="AD562">
        <v>-0.20090139999999901</v>
      </c>
      <c r="AE562">
        <v>-0.11790000000002</v>
      </c>
      <c r="AF562">
        <v>9.9821179473900595E-2</v>
      </c>
      <c r="AG562">
        <v>-0.20090139999999901</v>
      </c>
      <c r="AH562">
        <v>0.39087525551716701</v>
      </c>
      <c r="AI562">
        <v>116.47310173122401</v>
      </c>
      <c r="AJ562">
        <v>75.674081689463307</v>
      </c>
      <c r="AK562">
        <v>0.45067627602208099</v>
      </c>
      <c r="AL562">
        <v>87.596821607191799</v>
      </c>
      <c r="AM562">
        <v>86.485393513047796</v>
      </c>
      <c r="AN562">
        <v>1.0000000375723801</v>
      </c>
    </row>
    <row r="563" spans="1:40" x14ac:dyDescent="0.25">
      <c r="A563" t="str">
        <f>"20190312154811063"</f>
        <v>20190312154811063</v>
      </c>
      <c r="B563" t="str">
        <f>"1552376891056180"</f>
        <v>1552376891056180</v>
      </c>
      <c r="C563" t="s">
        <v>40</v>
      </c>
      <c r="D563">
        <v>4.4735589999999998</v>
      </c>
      <c r="E563">
        <v>0.54370430000000003</v>
      </c>
      <c r="F563" t="s">
        <v>41</v>
      </c>
      <c r="G563">
        <v>-333.66919999999999</v>
      </c>
      <c r="H563">
        <v>0.91390309999999997</v>
      </c>
      <c r="I563">
        <v>367.4957</v>
      </c>
      <c r="J563">
        <v>-334.11200000000002</v>
      </c>
      <c r="K563">
        <v>1.1100159999999999</v>
      </c>
      <c r="L563">
        <v>367.6112</v>
      </c>
      <c r="M563">
        <v>0.99991819999999998</v>
      </c>
      <c r="N563">
        <v>0</v>
      </c>
      <c r="O563">
        <v>-5.1828400000000004E-4</v>
      </c>
      <c r="P563">
        <v>0.99767760000000005</v>
      </c>
      <c r="Q563">
        <v>2.9331579999999999E-2</v>
      </c>
      <c r="R563">
        <v>-6.1477549999999999E-2</v>
      </c>
      <c r="S563">
        <v>3.0010379999999999</v>
      </c>
      <c r="T563">
        <v>-0.84170349999999905</v>
      </c>
      <c r="U563">
        <v>-0.494751</v>
      </c>
      <c r="V563">
        <v>6.0959069999999997E-2</v>
      </c>
      <c r="W563">
        <v>4.2081149999999998E-2</v>
      </c>
      <c r="X563">
        <v>0.99725280000000005</v>
      </c>
      <c r="Y563">
        <v>0.15629799999999999</v>
      </c>
      <c r="Z563">
        <v>-2.1225620000000001E-2</v>
      </c>
      <c r="AA563">
        <v>0.98748179999999997</v>
      </c>
      <c r="AB563">
        <v>26</v>
      </c>
      <c r="AC563">
        <v>0.44279999999997699</v>
      </c>
      <c r="AD563">
        <v>-0.19611290000000001</v>
      </c>
      <c r="AE563">
        <v>-0.11549999999999699</v>
      </c>
      <c r="AF563">
        <v>9.7384920188244198E-2</v>
      </c>
      <c r="AG563">
        <v>-0.19611290000000001</v>
      </c>
      <c r="AH563">
        <v>0.37414497515732098</v>
      </c>
      <c r="AI563">
        <v>116.896911992184</v>
      </c>
      <c r="AJ563">
        <v>75.410404148275305</v>
      </c>
      <c r="AK563">
        <v>0.43350727175210502</v>
      </c>
      <c r="AL563">
        <v>87.588215517242702</v>
      </c>
      <c r="AM563">
        <v>86.502033391555798</v>
      </c>
      <c r="AN563">
        <v>0.99999998925421296</v>
      </c>
    </row>
    <row r="564" spans="1:40" x14ac:dyDescent="0.25">
      <c r="A564" t="str">
        <f>"20190312154811076"</f>
        <v>20190312154811076</v>
      </c>
      <c r="B564" t="str">
        <f>"1552376891066916"</f>
        <v>1552376891066916</v>
      </c>
      <c r="C564" t="s">
        <v>40</v>
      </c>
      <c r="D564">
        <v>4.476375</v>
      </c>
      <c r="E564">
        <v>0.54361459999999995</v>
      </c>
      <c r="F564" t="s">
        <v>41</v>
      </c>
      <c r="G564">
        <v>-333.43040000000002</v>
      </c>
      <c r="H564">
        <v>0.91930089999999998</v>
      </c>
      <c r="I564">
        <v>367.49939999999998</v>
      </c>
      <c r="J564">
        <v>-333.96069999999997</v>
      </c>
      <c r="K564">
        <v>1.1100179999999999</v>
      </c>
      <c r="L564">
        <v>367.6112</v>
      </c>
      <c r="M564">
        <v>0.99991790000000003</v>
      </c>
      <c r="N564">
        <v>0</v>
      </c>
      <c r="O564">
        <v>-4.9602040000000004E-4</v>
      </c>
      <c r="P564">
        <v>0.99768480000000004</v>
      </c>
      <c r="Q564">
        <v>2.9137590000000001E-2</v>
      </c>
      <c r="R564">
        <v>-6.1452229999999997E-2</v>
      </c>
      <c r="S564">
        <v>3.0012509999999999</v>
      </c>
      <c r="T564">
        <v>-0.83982000000000001</v>
      </c>
      <c r="U564">
        <v>-0.49304199999999998</v>
      </c>
      <c r="V564">
        <v>6.0955929999999998E-2</v>
      </c>
      <c r="W564">
        <v>4.1911549999999999E-2</v>
      </c>
      <c r="X564">
        <v>0.99726020000000004</v>
      </c>
      <c r="Y564">
        <v>0.15580469999999999</v>
      </c>
      <c r="Z564">
        <v>-2.1118120000000001E-2</v>
      </c>
      <c r="AA564">
        <v>0.9875621</v>
      </c>
      <c r="AB564">
        <v>26</v>
      </c>
      <c r="AC564">
        <v>0.53029999999995403</v>
      </c>
      <c r="AD564">
        <v>-0.1907171</v>
      </c>
      <c r="AE564">
        <v>-0.111800000000016</v>
      </c>
      <c r="AF564">
        <v>9.9246550516572399E-2</v>
      </c>
      <c r="AG564">
        <v>-0.1907171</v>
      </c>
      <c r="AH564">
        <v>0.47191495920433202</v>
      </c>
      <c r="AI564">
        <v>111.57796718041</v>
      </c>
      <c r="AJ564">
        <v>78.123429569677995</v>
      </c>
      <c r="AK564">
        <v>0.51858135209692502</v>
      </c>
      <c r="AL564">
        <v>87.597941620075204</v>
      </c>
      <c r="AM564">
        <v>86.502239014667694</v>
      </c>
      <c r="AN564">
        <v>1.0000000549648</v>
      </c>
    </row>
    <row r="565" spans="1:40" x14ac:dyDescent="0.25">
      <c r="A565" t="str">
        <f>"20190312154811096"</f>
        <v>20190312154811096</v>
      </c>
      <c r="B565" t="str">
        <f>"1552376891086436"</f>
        <v>1552376891086436</v>
      </c>
      <c r="C565" t="s">
        <v>40</v>
      </c>
      <c r="D565">
        <v>4.4769119999999996</v>
      </c>
      <c r="E565">
        <v>0.54355690000000001</v>
      </c>
      <c r="F565" t="s">
        <v>41</v>
      </c>
      <c r="G565">
        <v>-333.20280000000002</v>
      </c>
      <c r="H565">
        <v>0.89790000000000003</v>
      </c>
      <c r="I565">
        <v>367.48649999999998</v>
      </c>
      <c r="J565">
        <v>-333.72669999999999</v>
      </c>
      <c r="K565">
        <v>1.1100190000000001</v>
      </c>
      <c r="L565">
        <v>367.61110000000002</v>
      </c>
      <c r="M565">
        <v>0.99991750000000001</v>
      </c>
      <c r="N565">
        <v>0</v>
      </c>
      <c r="O565">
        <v>-4.6133380000000002E-4</v>
      </c>
      <c r="P565">
        <v>0.99771699999999996</v>
      </c>
      <c r="Q565">
        <v>2.8647200000000001E-2</v>
      </c>
      <c r="R565">
        <v>-6.1159659999999998E-2</v>
      </c>
      <c r="S565">
        <v>3.00116</v>
      </c>
      <c r="T565">
        <v>-0.84001409999999999</v>
      </c>
      <c r="U565">
        <v>-0.49224849999999998</v>
      </c>
      <c r="V565">
        <v>6.069807E-2</v>
      </c>
      <c r="W565">
        <v>4.146085E-2</v>
      </c>
      <c r="X565">
        <v>0.99729469999999998</v>
      </c>
      <c r="Y565">
        <v>0.155592799999999</v>
      </c>
      <c r="Z565">
        <v>-2.1104419999999999E-2</v>
      </c>
      <c r="AA565">
        <v>0.98759580000000002</v>
      </c>
      <c r="AB565">
        <v>26</v>
      </c>
      <c r="AC565">
        <v>0.52389999999996895</v>
      </c>
      <c r="AD565">
        <v>-0.212119</v>
      </c>
      <c r="AE565">
        <v>-0.124600000000043</v>
      </c>
      <c r="AF565">
        <v>0.107655027329248</v>
      </c>
      <c r="AG565">
        <v>-0.212119</v>
      </c>
      <c r="AH565">
        <v>0.45358181435737199</v>
      </c>
      <c r="AI565">
        <v>114.46614502045399</v>
      </c>
      <c r="AJ565">
        <v>76.648230168266196</v>
      </c>
      <c r="AK565">
        <v>0.512172370775685</v>
      </c>
      <c r="AL565">
        <v>87.623787134284996</v>
      </c>
      <c r="AM565">
        <v>86.517119175751603</v>
      </c>
      <c r="AN565">
        <v>0.99999998821626801</v>
      </c>
    </row>
    <row r="566" spans="1:40" x14ac:dyDescent="0.25">
      <c r="A566" t="str">
        <f>"20190312154811107"</f>
        <v>20190312154811107</v>
      </c>
      <c r="B566" t="str">
        <f>"1552376891096197"</f>
        <v>1552376891096197</v>
      </c>
      <c r="C566" t="s">
        <v>40</v>
      </c>
      <c r="D566">
        <v>4.4857360000000002</v>
      </c>
      <c r="E566">
        <v>0.54352509999999998</v>
      </c>
      <c r="F566" t="s">
        <v>41</v>
      </c>
      <c r="G566">
        <v>-332.96699999999998</v>
      </c>
      <c r="H566">
        <v>0.89703169999999899</v>
      </c>
      <c r="I566">
        <v>367.48669999999998</v>
      </c>
      <c r="J566">
        <v>-333.59089999999998</v>
      </c>
      <c r="K566">
        <v>1.1100179999999999</v>
      </c>
      <c r="L566">
        <v>367.61110000000002</v>
      </c>
      <c r="M566">
        <v>0.99991730000000001</v>
      </c>
      <c r="N566">
        <v>0</v>
      </c>
      <c r="O566">
        <v>-4.4086E-4</v>
      </c>
      <c r="P566">
        <v>0.99773650000000003</v>
      </c>
      <c r="Q566">
        <v>2.866082E-2</v>
      </c>
      <c r="R566">
        <v>-6.083363E-2</v>
      </c>
      <c r="S566">
        <v>3.0009160000000001</v>
      </c>
      <c r="T566">
        <v>-0.84130689999999997</v>
      </c>
      <c r="U566">
        <v>-0.4912415</v>
      </c>
      <c r="V566">
        <v>6.039224E-2</v>
      </c>
      <c r="W566">
        <v>4.1498489999999999E-2</v>
      </c>
      <c r="X566">
        <v>0.99731170000000002</v>
      </c>
      <c r="Y566">
        <v>0.15529470000000001</v>
      </c>
      <c r="Z566">
        <v>-2.1102739999999998E-2</v>
      </c>
      <c r="AA566">
        <v>0.98764280000000004</v>
      </c>
      <c r="AB566">
        <v>26</v>
      </c>
      <c r="AC566">
        <v>0.62389999999999102</v>
      </c>
      <c r="AD566">
        <v>-0.21298629999999999</v>
      </c>
      <c r="AE566">
        <v>-0.124400000000036</v>
      </c>
      <c r="AF566">
        <v>0.111614743345559</v>
      </c>
      <c r="AG566">
        <v>-0.21298629999999999</v>
      </c>
      <c r="AH566">
        <v>0.56106829740263098</v>
      </c>
      <c r="AI566">
        <v>110.420953014319</v>
      </c>
      <c r="AJ566">
        <v>78.748888008788896</v>
      </c>
      <c r="AK566">
        <v>0.61042497431713305</v>
      </c>
      <c r="AL566">
        <v>87.621628660867003</v>
      </c>
      <c r="AM566">
        <v>86.534683883189999</v>
      </c>
      <c r="AN566">
        <v>0.99999998714069305</v>
      </c>
    </row>
    <row r="567" spans="1:40" x14ac:dyDescent="0.25">
      <c r="A567" t="str">
        <f>"20190312154811120"</f>
        <v>20190312154811120</v>
      </c>
      <c r="B567" t="str">
        <f>"1552376891116692"</f>
        <v>1552376891116692</v>
      </c>
      <c r="C567" t="s">
        <v>40</v>
      </c>
      <c r="D567">
        <v>4.4990230000000002</v>
      </c>
      <c r="E567">
        <v>0.54346260000000002</v>
      </c>
      <c r="F567" t="s">
        <v>41</v>
      </c>
      <c r="G567">
        <v>-332.74119999999999</v>
      </c>
      <c r="H567">
        <v>0.87186229999999998</v>
      </c>
      <c r="I567">
        <v>367.47199999999998</v>
      </c>
      <c r="J567">
        <v>-333.44740000000002</v>
      </c>
      <c r="K567">
        <v>1.110028</v>
      </c>
      <c r="L567">
        <v>367.61110000000002</v>
      </c>
      <c r="M567">
        <v>0.9999169</v>
      </c>
      <c r="N567">
        <v>0</v>
      </c>
      <c r="O567">
        <v>-4.1909720000000002E-4</v>
      </c>
      <c r="P567">
        <v>0.99773730000000005</v>
      </c>
      <c r="Q567">
        <v>2.8670000000000001E-2</v>
      </c>
      <c r="R567">
        <v>-6.0815630000000002E-2</v>
      </c>
      <c r="S567">
        <v>3.0010680000000001</v>
      </c>
      <c r="T567">
        <v>-0.84122479999999999</v>
      </c>
      <c r="U567">
        <v>-0.4901123</v>
      </c>
      <c r="V567">
        <v>6.0395919999999999E-2</v>
      </c>
      <c r="W567">
        <v>4.1533269999999997E-2</v>
      </c>
      <c r="X567">
        <v>0.99731000000000003</v>
      </c>
      <c r="Y567">
        <v>0.15495919999999999</v>
      </c>
      <c r="Z567">
        <v>-2.106044E-2</v>
      </c>
      <c r="AA567">
        <v>0.98769629999999997</v>
      </c>
      <c r="AB567">
        <v>26</v>
      </c>
      <c r="AC567">
        <v>0.70620000000002303</v>
      </c>
      <c r="AD567">
        <v>-0.23816570000000001</v>
      </c>
      <c r="AE567">
        <v>-0.139100000000041</v>
      </c>
      <c r="AF567">
        <v>0.125106188428556</v>
      </c>
      <c r="AG567">
        <v>-0.23816570000000001</v>
      </c>
      <c r="AH567">
        <v>0.63656147094752302</v>
      </c>
      <c r="AI567">
        <v>110.159250582132</v>
      </c>
      <c r="AJ567">
        <v>78.881124636621905</v>
      </c>
      <c r="AK567">
        <v>0.69107522407802002</v>
      </c>
      <c r="AL567">
        <v>87.619634124408705</v>
      </c>
      <c r="AM567">
        <v>86.534467345941806</v>
      </c>
      <c r="AN567">
        <v>0.99999995788476803</v>
      </c>
    </row>
    <row r="568" spans="1:40" x14ac:dyDescent="0.25">
      <c r="A568" t="str">
        <f>"20190312154811131"</f>
        <v>20190312154811131</v>
      </c>
      <c r="B568" t="str">
        <f>"1552376891126452"</f>
        <v>1552376891126452</v>
      </c>
      <c r="C568" t="s">
        <v>40</v>
      </c>
      <c r="D568">
        <v>4.5188199999999998</v>
      </c>
      <c r="E568">
        <v>0.54343710000000001</v>
      </c>
      <c r="F568" t="s">
        <v>41</v>
      </c>
      <c r="G568">
        <v>-332.72669999999999</v>
      </c>
      <c r="H568">
        <v>0.90803020000000001</v>
      </c>
      <c r="I568">
        <v>367.49329999999998</v>
      </c>
      <c r="J568">
        <v>-333.31479999999999</v>
      </c>
      <c r="K568">
        <v>1.110031</v>
      </c>
      <c r="L568">
        <v>367.61099999999999</v>
      </c>
      <c r="M568">
        <v>0.99991660000000004</v>
      </c>
      <c r="N568">
        <v>0</v>
      </c>
      <c r="O568">
        <v>-3.995863E-4</v>
      </c>
      <c r="P568">
        <v>0.99773940000000005</v>
      </c>
      <c r="Q568">
        <v>2.8690549999999999E-2</v>
      </c>
      <c r="R568">
        <v>-6.0768570000000001E-2</v>
      </c>
      <c r="S568">
        <v>3.00116</v>
      </c>
      <c r="T568">
        <v>-0.84126639999999997</v>
      </c>
      <c r="U568">
        <v>-0.48937989999999998</v>
      </c>
      <c r="V568">
        <v>6.0368579999999998E-2</v>
      </c>
      <c r="W568">
        <v>4.1578520000000001E-2</v>
      </c>
      <c r="X568">
        <v>0.99730980000000002</v>
      </c>
      <c r="Y568">
        <v>0.15474570000000001</v>
      </c>
      <c r="Z568">
        <v>-2.1037380000000001E-2</v>
      </c>
      <c r="AA568">
        <v>0.98773029999999995</v>
      </c>
      <c r="AB568">
        <v>26</v>
      </c>
      <c r="AC568">
        <v>0.58809999999999696</v>
      </c>
      <c r="AD568">
        <v>-0.20200080000000001</v>
      </c>
      <c r="AE568">
        <v>-0.117700000000013</v>
      </c>
      <c r="AF568">
        <v>0.105497811446816</v>
      </c>
      <c r="AG568">
        <v>-0.20200080000000001</v>
      </c>
      <c r="AH568">
        <v>0.52822741784884697</v>
      </c>
      <c r="AI568">
        <v>110.55637251014799</v>
      </c>
      <c r="AJ568">
        <v>78.705469990266195</v>
      </c>
      <c r="AK568">
        <v>0.57528976732423098</v>
      </c>
      <c r="AL568">
        <v>87.617039320520902</v>
      </c>
      <c r="AM568">
        <v>86.536031608070303</v>
      </c>
      <c r="AN568">
        <v>0.99999998797632295</v>
      </c>
    </row>
    <row r="569" spans="1:40" x14ac:dyDescent="0.25">
      <c r="A569" t="str">
        <f>"20190312154811152"</f>
        <v>20190312154811152</v>
      </c>
      <c r="B569" t="str">
        <f>"1552376891146949"</f>
        <v>1552376891146949</v>
      </c>
      <c r="C569" t="s">
        <v>40</v>
      </c>
      <c r="D569">
        <v>4.5429430000000002</v>
      </c>
      <c r="E569">
        <v>0.54341790000000001</v>
      </c>
      <c r="F569" t="s">
        <v>41</v>
      </c>
      <c r="G569">
        <v>-332.50139999999999</v>
      </c>
      <c r="H569">
        <v>0.88204280000000002</v>
      </c>
      <c r="I569">
        <v>367.47829999999999</v>
      </c>
      <c r="J569">
        <v>-333.06720000000001</v>
      </c>
      <c r="K569">
        <v>1.110039</v>
      </c>
      <c r="L569">
        <v>367.61099999999999</v>
      </c>
      <c r="M569">
        <v>0.99991600000000003</v>
      </c>
      <c r="N569">
        <v>0</v>
      </c>
      <c r="O569">
        <v>-3.6280349999999998E-4</v>
      </c>
      <c r="P569">
        <v>0.99774189999999996</v>
      </c>
      <c r="Q569">
        <v>2.8991059999999999E-2</v>
      </c>
      <c r="R569">
        <v>-6.0586460000000002E-2</v>
      </c>
      <c r="S569">
        <v>3.00116</v>
      </c>
      <c r="T569">
        <v>-0.84122189999999997</v>
      </c>
      <c r="U569">
        <v>-0.48913570000000001</v>
      </c>
      <c r="V569">
        <v>6.0223190000000003E-2</v>
      </c>
      <c r="W569">
        <v>4.1923929999999998E-2</v>
      </c>
      <c r="X569">
        <v>0.99730410000000003</v>
      </c>
      <c r="Y569">
        <v>0.15470439999999999</v>
      </c>
      <c r="Z569">
        <v>-2.104085E-2</v>
      </c>
      <c r="AA569">
        <v>0.98773670000000002</v>
      </c>
      <c r="AB569">
        <v>26</v>
      </c>
      <c r="AC569">
        <v>0.56580000000002395</v>
      </c>
      <c r="AD569">
        <v>-0.22799620000000001</v>
      </c>
      <c r="AE569">
        <v>-0.13269999999999901</v>
      </c>
      <c r="AF569">
        <v>0.114822130450297</v>
      </c>
      <c r="AG569">
        <v>-0.22799620000000001</v>
      </c>
      <c r="AH569">
        <v>0.49037346918166402</v>
      </c>
      <c r="AI569">
        <v>114.35623584792999</v>
      </c>
      <c r="AJ569">
        <v>76.821479170488601</v>
      </c>
      <c r="AK569">
        <v>0.55284041832417197</v>
      </c>
      <c r="AL569">
        <v>87.597231441724801</v>
      </c>
      <c r="AM569">
        <v>86.544334189422102</v>
      </c>
      <c r="AN569">
        <v>0.99999995819861398</v>
      </c>
    </row>
    <row r="570" spans="1:40" x14ac:dyDescent="0.25">
      <c r="A570" t="str">
        <f>"20190312154811163"</f>
        <v>20190312154811163</v>
      </c>
      <c r="B570" t="str">
        <f>"1552376891156708"</f>
        <v>1552376891156708</v>
      </c>
      <c r="C570" t="s">
        <v>40</v>
      </c>
      <c r="D570">
        <v>4.4572539999999998</v>
      </c>
      <c r="E570">
        <v>0.54341790000000001</v>
      </c>
      <c r="F570" t="s">
        <v>41</v>
      </c>
      <c r="G570">
        <v>-332.2645</v>
      </c>
      <c r="H570">
        <v>0.88520980000000005</v>
      </c>
      <c r="I570">
        <v>367.47980000000001</v>
      </c>
      <c r="J570">
        <v>-332.93150000000003</v>
      </c>
      <c r="K570">
        <v>1.1100399999999999</v>
      </c>
      <c r="L570">
        <v>367.61090000000002</v>
      </c>
      <c r="M570">
        <v>0.99991549999999996</v>
      </c>
      <c r="N570">
        <v>0</v>
      </c>
      <c r="O570">
        <v>-3.4221529999999998E-4</v>
      </c>
      <c r="P570">
        <v>0.99772490000000003</v>
      </c>
      <c r="Q570">
        <v>2.9297469999999999E-2</v>
      </c>
      <c r="R570">
        <v>-6.071903E-2</v>
      </c>
      <c r="S570">
        <v>3.0015260000000001</v>
      </c>
      <c r="T570">
        <v>-0.84083079999999999</v>
      </c>
      <c r="U570">
        <v>-0.4888306</v>
      </c>
      <c r="V570">
        <v>6.0376060000000002E-2</v>
      </c>
      <c r="W570">
        <v>4.2254569999999998E-2</v>
      </c>
      <c r="X570">
        <v>0.99728099999999997</v>
      </c>
      <c r="Y570">
        <v>0.1546168</v>
      </c>
      <c r="Z570">
        <v>-2.1022800000000001E-2</v>
      </c>
      <c r="AA570">
        <v>0.98775080000000004</v>
      </c>
      <c r="AB570">
        <v>26</v>
      </c>
      <c r="AC570">
        <v>0.66700000000003001</v>
      </c>
      <c r="AD570">
        <v>-0.22483019999999901</v>
      </c>
      <c r="AE570">
        <v>-0.13110000000000299</v>
      </c>
      <c r="AF570">
        <v>0.11796679143483001</v>
      </c>
      <c r="AG570">
        <v>-0.22483019999999901</v>
      </c>
      <c r="AH570">
        <v>0.60126925037288304</v>
      </c>
      <c r="AI570">
        <v>110.14962979106301</v>
      </c>
      <c r="AJ570">
        <v>78.899774780981303</v>
      </c>
      <c r="AK570">
        <v>0.65267870668303296</v>
      </c>
      <c r="AL570">
        <v>87.578270596929499</v>
      </c>
      <c r="AM570">
        <v>86.535503645611399</v>
      </c>
      <c r="AN570">
        <v>1.000000055134</v>
      </c>
    </row>
    <row r="571" spans="1:40" x14ac:dyDescent="0.25">
      <c r="A571" t="str">
        <f>"20190312154811175"</f>
        <v>20190312154811175</v>
      </c>
      <c r="B571" t="str">
        <f>"1552376891166469"</f>
        <v>1552376891166469</v>
      </c>
      <c r="C571" t="s">
        <v>40</v>
      </c>
      <c r="D571">
        <v>4.588724</v>
      </c>
      <c r="E571">
        <v>0.54341249999999997</v>
      </c>
      <c r="F571" t="s">
        <v>41</v>
      </c>
      <c r="G571">
        <v>-332.25060000000002</v>
      </c>
      <c r="H571">
        <v>0.91956289999999996</v>
      </c>
      <c r="I571">
        <v>367.49950000000001</v>
      </c>
      <c r="J571">
        <v>-332.80250000000001</v>
      </c>
      <c r="K571">
        <v>1.110044</v>
      </c>
      <c r="L571">
        <v>367.61090000000002</v>
      </c>
      <c r="M571">
        <v>0.99991549999999996</v>
      </c>
      <c r="N571">
        <v>0</v>
      </c>
      <c r="O571">
        <v>-3.2221849999999999E-4</v>
      </c>
      <c r="P571">
        <v>0.99773040000000002</v>
      </c>
      <c r="Q571">
        <v>2.9371560000000001E-2</v>
      </c>
      <c r="R571">
        <v>-6.0595019999999999E-2</v>
      </c>
      <c r="S571">
        <v>3.001709</v>
      </c>
      <c r="T571">
        <v>-0.83977959999999996</v>
      </c>
      <c r="U571">
        <v>-0.48910520000000002</v>
      </c>
      <c r="V571">
        <v>6.0272029999999997E-2</v>
      </c>
      <c r="W571">
        <v>4.2351760000000002E-2</v>
      </c>
      <c r="X571">
        <v>0.99728309999999998</v>
      </c>
      <c r="Y571">
        <v>0.15472520000000001</v>
      </c>
      <c r="Z571">
        <v>-2.101635E-2</v>
      </c>
      <c r="AA571">
        <v>0.987734</v>
      </c>
      <c r="AB571">
        <v>26</v>
      </c>
      <c r="AC571">
        <v>0.55189999999998895</v>
      </c>
      <c r="AD571">
        <v>-0.19048109999999999</v>
      </c>
      <c r="AE571">
        <v>-0.111400000000003</v>
      </c>
      <c r="AF571">
        <v>9.9799470625413902E-2</v>
      </c>
      <c r="AG571">
        <v>-0.19048109999999999</v>
      </c>
      <c r="AH571">
        <v>0.49525125326513503</v>
      </c>
      <c r="AI571">
        <v>110.65825020612201</v>
      </c>
      <c r="AJ571">
        <v>78.6067480708343</v>
      </c>
      <c r="AK571">
        <v>0.53992294603490398</v>
      </c>
      <c r="AL571">
        <v>87.572696861618994</v>
      </c>
      <c r="AM571">
        <v>86.541465853023396</v>
      </c>
      <c r="AN571">
        <v>0.99999998536051404</v>
      </c>
    </row>
    <row r="572" spans="1:40" x14ac:dyDescent="0.25">
      <c r="A572" t="str">
        <f>"20190312154811185"</f>
        <v>20190312154811185</v>
      </c>
      <c r="B572" t="str">
        <f>"1552376891176228"</f>
        <v>1552376891176228</v>
      </c>
      <c r="C572" t="s">
        <v>40</v>
      </c>
      <c r="D572">
        <v>4.6271620000000002</v>
      </c>
      <c r="E572">
        <v>0.54340200000000005</v>
      </c>
      <c r="F572" t="s">
        <v>41</v>
      </c>
      <c r="G572">
        <v>-332.02609999999999</v>
      </c>
      <c r="H572">
        <v>0.89284959999999902</v>
      </c>
      <c r="I572">
        <v>367.48419999999999</v>
      </c>
      <c r="J572">
        <v>-332.67469999999997</v>
      </c>
      <c r="K572">
        <v>1.1100540000000001</v>
      </c>
      <c r="L572">
        <v>367.61090000000002</v>
      </c>
      <c r="M572">
        <v>0.99991509999999995</v>
      </c>
      <c r="N572">
        <v>0</v>
      </c>
      <c r="O572">
        <v>-3.0222019999999998E-4</v>
      </c>
      <c r="P572">
        <v>0.99771509999999997</v>
      </c>
      <c r="Q572">
        <v>2.950939E-2</v>
      </c>
      <c r="R572">
        <v>-6.0779619999999999E-2</v>
      </c>
      <c r="S572">
        <v>3.0018919999999998</v>
      </c>
      <c r="T572">
        <v>-0.83976390000000001</v>
      </c>
      <c r="U572">
        <v>-0.48876950000000002</v>
      </c>
      <c r="V572">
        <v>6.0476429999999998E-2</v>
      </c>
      <c r="W572">
        <v>4.251278E-2</v>
      </c>
      <c r="X572">
        <v>0.99726389999999998</v>
      </c>
      <c r="Y572">
        <v>0.1546313</v>
      </c>
      <c r="Z572">
        <v>-2.1007580000000001E-2</v>
      </c>
      <c r="AA572">
        <v>0.98774890000000004</v>
      </c>
      <c r="AB572">
        <v>26</v>
      </c>
      <c r="AC572">
        <v>0.64859999999998696</v>
      </c>
      <c r="AD572">
        <v>-0.21720439999999999</v>
      </c>
      <c r="AE572">
        <v>-0.12670000000002801</v>
      </c>
      <c r="AF572">
        <v>0.11417079607017799</v>
      </c>
      <c r="AG572">
        <v>-0.21720439999999999</v>
      </c>
      <c r="AH572">
        <v>0.58540103011988898</v>
      </c>
      <c r="AI572">
        <v>110.01030179218201</v>
      </c>
      <c r="AJ572">
        <v>78.964131971433503</v>
      </c>
      <c r="AK572">
        <v>0.63474962632528198</v>
      </c>
      <c r="AL572">
        <v>87.563462839985405</v>
      </c>
      <c r="AM572">
        <v>86.5296989234797</v>
      </c>
      <c r="AN572">
        <v>1.00000001064604</v>
      </c>
    </row>
    <row r="573" spans="1:40" x14ac:dyDescent="0.25">
      <c r="A573" t="str">
        <f>"20190312154811197"</f>
        <v>20190312154811197</v>
      </c>
      <c r="B573" t="str">
        <f>"1552376891186965"</f>
        <v>1552376891186965</v>
      </c>
      <c r="C573" t="s">
        <v>40</v>
      </c>
      <c r="D573">
        <v>4.5831439999999999</v>
      </c>
      <c r="E573">
        <v>0.5433694</v>
      </c>
      <c r="F573" t="s">
        <v>41</v>
      </c>
      <c r="G573">
        <v>-331.80180000000001</v>
      </c>
      <c r="H573">
        <v>0.86595259999999996</v>
      </c>
      <c r="I573">
        <v>367.4683</v>
      </c>
      <c r="J573">
        <v>-332.53250000000003</v>
      </c>
      <c r="K573">
        <v>1.1100570000000001</v>
      </c>
      <c r="L573">
        <v>367.61090000000002</v>
      </c>
      <c r="M573">
        <v>0.99991479999999999</v>
      </c>
      <c r="N573">
        <v>0</v>
      </c>
      <c r="O573">
        <v>-2.7889240000000001E-4</v>
      </c>
      <c r="P573">
        <v>0.99771319999999997</v>
      </c>
      <c r="Q573">
        <v>2.9392669999999999E-2</v>
      </c>
      <c r="R573">
        <v>-6.0864979999999999E-2</v>
      </c>
      <c r="S573">
        <v>3.0019230000000001</v>
      </c>
      <c r="T573">
        <v>-0.83944850000000004</v>
      </c>
      <c r="U573">
        <v>-0.48898320000000001</v>
      </c>
      <c r="V573">
        <v>6.0585090000000001E-2</v>
      </c>
      <c r="W573">
        <v>4.2421779999999999E-2</v>
      </c>
      <c r="X573">
        <v>0.99726119999999996</v>
      </c>
      <c r="Y573">
        <v>0.15472139999999901</v>
      </c>
      <c r="Z573">
        <v>-2.1018309999999998E-2</v>
      </c>
      <c r="AA573">
        <v>0.98773460000000002</v>
      </c>
      <c r="AB573">
        <v>26</v>
      </c>
      <c r="AC573">
        <v>0.73070000000001301</v>
      </c>
      <c r="AD573">
        <v>-0.2441044</v>
      </c>
      <c r="AE573">
        <v>-0.14260000000001499</v>
      </c>
      <c r="AF573">
        <v>0.12857353685437001</v>
      </c>
      <c r="AG573">
        <v>-0.2441044</v>
      </c>
      <c r="AH573">
        <v>0.65980552752179999</v>
      </c>
      <c r="AI573">
        <v>109.957671459396</v>
      </c>
      <c r="AJ573">
        <v>78.973198200634499</v>
      </c>
      <c r="AK573">
        <v>0.71516532817728395</v>
      </c>
      <c r="AL573">
        <v>87.568681512805</v>
      </c>
      <c r="AM573">
        <v>86.52346960861</v>
      </c>
      <c r="AN573">
        <v>1.00000003078705</v>
      </c>
    </row>
    <row r="574" spans="1:40" x14ac:dyDescent="0.25">
      <c r="A574" t="str">
        <f>"20190312154811209"</f>
        <v>20190312154811209</v>
      </c>
      <c r="B574" t="str">
        <f>"1552376891196725"</f>
        <v>1552376891196725</v>
      </c>
      <c r="C574" t="s">
        <v>40</v>
      </c>
      <c r="D574">
        <v>4.6234510000000002</v>
      </c>
      <c r="E574">
        <v>0.54333679999999995</v>
      </c>
      <c r="F574" t="s">
        <v>41</v>
      </c>
      <c r="G574">
        <v>-331.78739999999999</v>
      </c>
      <c r="H574">
        <v>0.90158439999999995</v>
      </c>
      <c r="I574">
        <v>367.4889</v>
      </c>
      <c r="J574">
        <v>-332.40769999999998</v>
      </c>
      <c r="K574">
        <v>1.1100589999999999</v>
      </c>
      <c r="L574">
        <v>367.61079999999998</v>
      </c>
      <c r="M574">
        <v>0.99991439999999998</v>
      </c>
      <c r="N574">
        <v>0</v>
      </c>
      <c r="O574">
        <v>-2.5816400000000002E-4</v>
      </c>
      <c r="P574">
        <v>0.99771430000000005</v>
      </c>
      <c r="Q574">
        <v>2.922742E-2</v>
      </c>
      <c r="R574">
        <v>-6.0927479999999999E-2</v>
      </c>
      <c r="S574">
        <v>3.00177</v>
      </c>
      <c r="T574">
        <v>-0.83999979999999996</v>
      </c>
      <c r="U574">
        <v>-0.48941040000000002</v>
      </c>
      <c r="V574">
        <v>6.0668300000000001E-2</v>
      </c>
      <c r="W574">
        <v>4.2278860000000001E-2</v>
      </c>
      <c r="X574">
        <v>0.99726219999999999</v>
      </c>
      <c r="Y574">
        <v>0.1548725</v>
      </c>
      <c r="Z574">
        <v>-2.105866E-2</v>
      </c>
      <c r="AA574">
        <v>0.98770999999999998</v>
      </c>
      <c r="AB574">
        <v>26</v>
      </c>
      <c r="AC574">
        <v>0.62029999999998597</v>
      </c>
      <c r="AD574">
        <v>-0.20847459999999901</v>
      </c>
      <c r="AE574">
        <v>-0.12189999999998199</v>
      </c>
      <c r="AF574">
        <v>0.109798757950755</v>
      </c>
      <c r="AG574">
        <v>-0.20847459999999901</v>
      </c>
      <c r="AH574">
        <v>0.55948505627857903</v>
      </c>
      <c r="AI574">
        <v>110.08463781679799</v>
      </c>
      <c r="AJ574">
        <v>78.896829260259196</v>
      </c>
      <c r="AK574">
        <v>0.60707574016075905</v>
      </c>
      <c r="AL574">
        <v>87.576877552751597</v>
      </c>
      <c r="AM574">
        <v>86.518710019172303</v>
      </c>
      <c r="AN574">
        <v>1.0000000200883099</v>
      </c>
    </row>
    <row r="575" spans="1:40" x14ac:dyDescent="0.25">
      <c r="A575" t="str">
        <f>"20190312154811222"</f>
        <v>20190312154811222</v>
      </c>
      <c r="B575" t="str">
        <f>"1552376891216244"</f>
        <v>1552376891216244</v>
      </c>
      <c r="C575" t="s">
        <v>40</v>
      </c>
      <c r="D575">
        <v>4.6447279999999997</v>
      </c>
      <c r="E575">
        <v>0.5433074</v>
      </c>
      <c r="F575" t="s">
        <v>41</v>
      </c>
      <c r="G575">
        <v>-331.56380000000001</v>
      </c>
      <c r="H575">
        <v>0.87374159999999901</v>
      </c>
      <c r="I575">
        <v>367.47309999999999</v>
      </c>
      <c r="J575">
        <v>-332.25349999999997</v>
      </c>
      <c r="K575">
        <v>1.110058</v>
      </c>
      <c r="L575">
        <v>367.61079999999998</v>
      </c>
      <c r="M575">
        <v>0.99991410000000003</v>
      </c>
      <c r="N575">
        <v>0</v>
      </c>
      <c r="O575">
        <v>-2.314967E-4</v>
      </c>
      <c r="P575">
        <v>0.99771480000000001</v>
      </c>
      <c r="Q575">
        <v>2.8932639999999999E-2</v>
      </c>
      <c r="R575">
        <v>-6.1060789999999997E-2</v>
      </c>
      <c r="S575">
        <v>3.0016479999999999</v>
      </c>
      <c r="T575">
        <v>-0.84050729999999996</v>
      </c>
      <c r="U575">
        <v>-0.4890137</v>
      </c>
      <c r="V575">
        <v>6.0827909999999999E-2</v>
      </c>
      <c r="W575">
        <v>4.2010640000000002E-2</v>
      </c>
      <c r="X575">
        <v>0.99726380000000003</v>
      </c>
      <c r="Y575">
        <v>0.1547733</v>
      </c>
      <c r="Z575">
        <v>-2.1065690000000001E-2</v>
      </c>
      <c r="AA575">
        <v>0.98772539999999998</v>
      </c>
      <c r="AB575">
        <v>26</v>
      </c>
      <c r="AC575">
        <v>0.68969999999995901</v>
      </c>
      <c r="AD575">
        <v>-0.23631640000000001</v>
      </c>
      <c r="AE575">
        <v>-0.13769999999999499</v>
      </c>
      <c r="AF575">
        <v>0.12358736756182</v>
      </c>
      <c r="AG575">
        <v>-0.23631640000000001</v>
      </c>
      <c r="AH575">
        <v>0.61976113976487701</v>
      </c>
      <c r="AI575">
        <v>110.502782068043</v>
      </c>
      <c r="AJ575">
        <v>78.722504534533002</v>
      </c>
      <c r="AK575">
        <v>0.67470226670175004</v>
      </c>
      <c r="AL575">
        <v>87.592259062764796</v>
      </c>
      <c r="AM575">
        <v>86.509579421053303</v>
      </c>
      <c r="AN575">
        <v>1.0000000076493001</v>
      </c>
    </row>
    <row r="576" spans="1:40" x14ac:dyDescent="0.25">
      <c r="A576" t="str">
        <f>"20190312154811236"</f>
        <v>20190312154811236</v>
      </c>
      <c r="B576" t="str">
        <f>"1552376891226981"</f>
        <v>1552376891226981</v>
      </c>
      <c r="C576" t="s">
        <v>40</v>
      </c>
      <c r="D576">
        <v>4.6764900000000003</v>
      </c>
      <c r="E576">
        <v>0.54330349999999905</v>
      </c>
      <c r="F576" t="s">
        <v>41</v>
      </c>
      <c r="G576">
        <v>-331.54829999999998</v>
      </c>
      <c r="H576">
        <v>0.91220800000000002</v>
      </c>
      <c r="I576">
        <v>367.4957</v>
      </c>
      <c r="J576">
        <v>-332.084</v>
      </c>
      <c r="K576">
        <v>1.110058</v>
      </c>
      <c r="L576">
        <v>367.61079999999998</v>
      </c>
      <c r="M576">
        <v>0.99991379999999996</v>
      </c>
      <c r="N576">
        <v>0</v>
      </c>
      <c r="O576">
        <v>-2.0005700000000001E-4</v>
      </c>
      <c r="P576">
        <v>0.99770619999999999</v>
      </c>
      <c r="Q576">
        <v>2.882173E-2</v>
      </c>
      <c r="R576">
        <v>-6.1254450000000002E-2</v>
      </c>
      <c r="S576">
        <v>3.001404</v>
      </c>
      <c r="T576">
        <v>-0.84209369999999995</v>
      </c>
      <c r="U576">
        <v>-0.48898320000000001</v>
      </c>
      <c r="V576">
        <v>6.105265E-2</v>
      </c>
      <c r="W576">
        <v>4.1927270000000003E-2</v>
      </c>
      <c r="X576">
        <v>0.99725359999999996</v>
      </c>
      <c r="Y576">
        <v>0.15478329999999901</v>
      </c>
      <c r="Z576">
        <v>-2.111563E-2</v>
      </c>
      <c r="AA576">
        <v>0.98772280000000001</v>
      </c>
      <c r="AB576">
        <v>26</v>
      </c>
      <c r="AC576">
        <v>0.53570000000001905</v>
      </c>
      <c r="AD576">
        <v>-0.19785</v>
      </c>
      <c r="AE576">
        <v>-0.11509999999998401</v>
      </c>
      <c r="AF576">
        <v>0.101728862315987</v>
      </c>
      <c r="AG576">
        <v>-0.19785</v>
      </c>
      <c r="AH576">
        <v>0.47392953841153401</v>
      </c>
      <c r="AI576">
        <v>112.203803924376</v>
      </c>
      <c r="AJ576">
        <v>77.885301783760994</v>
      </c>
      <c r="AK576">
        <v>0.52354807926977998</v>
      </c>
      <c r="AL576">
        <v>87.597040083755104</v>
      </c>
      <c r="AM576">
        <v>86.496679730761599</v>
      </c>
      <c r="AN576">
        <v>1.0000000323773099</v>
      </c>
    </row>
    <row r="577" spans="1:40" x14ac:dyDescent="0.25">
      <c r="A577" t="str">
        <f>"20190312154811254"</f>
        <v>20190312154811254</v>
      </c>
      <c r="B577" t="str">
        <f>"1552376891246500"</f>
        <v>1552376891246500</v>
      </c>
      <c r="C577" t="s">
        <v>40</v>
      </c>
      <c r="D577">
        <v>4.6637089999999999</v>
      </c>
      <c r="E577">
        <v>0.5432998</v>
      </c>
      <c r="F577" t="s">
        <v>41</v>
      </c>
      <c r="G577">
        <v>-331.32029999999997</v>
      </c>
      <c r="H577">
        <v>0.89563760000000003</v>
      </c>
      <c r="I577">
        <v>367.48590000000002</v>
      </c>
      <c r="J577">
        <v>-331.87090000000001</v>
      </c>
      <c r="K577">
        <v>1.1100650000000001</v>
      </c>
      <c r="L577">
        <v>367.61079999999998</v>
      </c>
      <c r="M577">
        <v>0.9999133</v>
      </c>
      <c r="N577">
        <v>0</v>
      </c>
      <c r="O577">
        <v>-1.5873729999999999E-4</v>
      </c>
      <c r="P577">
        <v>0.99769220000000003</v>
      </c>
      <c r="Q577">
        <v>2.835621E-2</v>
      </c>
      <c r="R577">
        <v>-6.1695750000000001E-2</v>
      </c>
      <c r="S577">
        <v>3.0012509999999999</v>
      </c>
      <c r="T577">
        <v>-0.84272039999999904</v>
      </c>
      <c r="U577">
        <v>-0.48956300000000003</v>
      </c>
      <c r="V577">
        <v>6.1535079999999999E-2</v>
      </c>
      <c r="W577">
        <v>4.149373E-2</v>
      </c>
      <c r="X577">
        <v>0.99724199999999996</v>
      </c>
      <c r="Y577">
        <v>0.15499930000000001</v>
      </c>
      <c r="Z577">
        <v>-2.1172360000000001E-2</v>
      </c>
      <c r="AA577">
        <v>0.9876876</v>
      </c>
      <c r="AB577">
        <v>26</v>
      </c>
      <c r="AC577">
        <v>0.55060000000003095</v>
      </c>
      <c r="AD577">
        <v>-0.21442739999999899</v>
      </c>
      <c r="AE577">
        <v>-0.12489999999996799</v>
      </c>
      <c r="AF577">
        <v>0.10907869751947701</v>
      </c>
      <c r="AG577">
        <v>-0.21442739999999899</v>
      </c>
      <c r="AH577">
        <v>0.48120860937691401</v>
      </c>
      <c r="AI577">
        <v>113.48864927076301</v>
      </c>
      <c r="AJ577">
        <v>77.228219954470305</v>
      </c>
      <c r="AK577">
        <v>0.53799535115256303</v>
      </c>
      <c r="AL577">
        <v>87.621901538211901</v>
      </c>
      <c r="AM577">
        <v>86.469025749882107</v>
      </c>
      <c r="AN577">
        <v>0.99999995113195805</v>
      </c>
    </row>
    <row r="578" spans="1:40" x14ac:dyDescent="0.25">
      <c r="A578" t="str">
        <f>"20190312154811275"</f>
        <v>20190312154811275</v>
      </c>
      <c r="B578" t="str">
        <f>"1552376891266996"</f>
        <v>1552376891266996</v>
      </c>
      <c r="C578" t="s">
        <v>40</v>
      </c>
      <c r="D578">
        <v>4.6799379999999999</v>
      </c>
      <c r="E578">
        <v>0.54329450000000001</v>
      </c>
      <c r="F578" t="s">
        <v>41</v>
      </c>
      <c r="G578">
        <v>-331.08819999999997</v>
      </c>
      <c r="H578">
        <v>0.88976630000000001</v>
      </c>
      <c r="I578">
        <v>367.48259999999999</v>
      </c>
      <c r="J578">
        <v>-331.62520000000001</v>
      </c>
      <c r="K578">
        <v>1.110069</v>
      </c>
      <c r="L578">
        <v>367.61079999999998</v>
      </c>
      <c r="M578">
        <v>0.99991289999999999</v>
      </c>
      <c r="N578">
        <v>0</v>
      </c>
      <c r="O578">
        <v>-1.068018E-4</v>
      </c>
      <c r="P578">
        <v>0.99767249999999996</v>
      </c>
      <c r="Q578">
        <v>2.8463680000000002E-2</v>
      </c>
      <c r="R578">
        <v>-6.1964150000000003E-2</v>
      </c>
      <c r="S578">
        <v>3.0005799999999998</v>
      </c>
      <c r="T578">
        <v>-0.84458259999999996</v>
      </c>
      <c r="U578">
        <v>-0.49078369999999999</v>
      </c>
      <c r="V578">
        <v>6.185496E-2</v>
      </c>
      <c r="W578">
        <v>4.1633799999999999E-2</v>
      </c>
      <c r="X578">
        <v>0.9972164</v>
      </c>
      <c r="Y578">
        <v>0.15543129999999999</v>
      </c>
      <c r="Z578">
        <v>-2.1294810000000001E-2</v>
      </c>
      <c r="AA578">
        <v>0.98761710000000003</v>
      </c>
      <c r="AB578">
        <v>26</v>
      </c>
      <c r="AC578">
        <v>0.53700000000003401</v>
      </c>
      <c r="AD578">
        <v>-0.22030269999999999</v>
      </c>
      <c r="AE578">
        <v>-0.12819999999999199</v>
      </c>
      <c r="AF578">
        <v>0.110541389881742</v>
      </c>
      <c r="AG578">
        <v>-0.22030269999999999</v>
      </c>
      <c r="AH578">
        <v>0.463251255794567</v>
      </c>
      <c r="AI578">
        <v>114.823875713135</v>
      </c>
      <c r="AJ578">
        <v>76.579008079174201</v>
      </c>
      <c r="AK578">
        <v>0.52474222671662396</v>
      </c>
      <c r="AL578">
        <v>87.613869243143895</v>
      </c>
      <c r="AM578">
        <v>86.4506264787113</v>
      </c>
      <c r="AN578">
        <v>0.99999997890400005</v>
      </c>
    </row>
    <row r="579" spans="1:40" x14ac:dyDescent="0.25">
      <c r="A579" t="str">
        <f>"20190312154811288"</f>
        <v>20190312154811288</v>
      </c>
      <c r="B579" t="str">
        <f>"1552376891276446"</f>
        <v>1552376891276446</v>
      </c>
      <c r="C579" t="s">
        <v>40</v>
      </c>
      <c r="D579">
        <v>4.6970049999999999</v>
      </c>
      <c r="E579">
        <v>0.54327340000000002</v>
      </c>
      <c r="F579" t="s">
        <v>41</v>
      </c>
      <c r="G579">
        <v>-330.8528</v>
      </c>
      <c r="H579">
        <v>0.89256389999999997</v>
      </c>
      <c r="I579">
        <v>367.48410000000001</v>
      </c>
      <c r="J579">
        <v>-331.48059999999998</v>
      </c>
      <c r="K579">
        <v>1.1100680000000001</v>
      </c>
      <c r="L579">
        <v>367.61090000000002</v>
      </c>
      <c r="M579">
        <v>0.99991269999999999</v>
      </c>
      <c r="N579">
        <v>0</v>
      </c>
      <c r="O579" s="1">
        <v>-7.3743679999999995E-5</v>
      </c>
      <c r="P579">
        <v>0.99766500000000002</v>
      </c>
      <c r="Q579">
        <v>2.8288600000000001E-2</v>
      </c>
      <c r="R579">
        <v>-6.216402E-2</v>
      </c>
      <c r="S579">
        <v>3.0005799999999998</v>
      </c>
      <c r="T579">
        <v>-0.84503329999999999</v>
      </c>
      <c r="U579">
        <v>-0.49130249999999998</v>
      </c>
      <c r="V579">
        <v>6.2087669999999998E-2</v>
      </c>
      <c r="W579">
        <v>4.1477519999999997E-2</v>
      </c>
      <c r="X579">
        <v>0.99720850000000005</v>
      </c>
      <c r="Y579">
        <v>0.155616</v>
      </c>
      <c r="Z579">
        <v>-2.1339899999999998E-2</v>
      </c>
      <c r="AA579">
        <v>0.98758710000000005</v>
      </c>
      <c r="AB579">
        <v>26</v>
      </c>
      <c r="AC579">
        <v>0.62779999999997904</v>
      </c>
      <c r="AD579">
        <v>-0.21750410000000001</v>
      </c>
      <c r="AE579">
        <v>-0.12680000000000199</v>
      </c>
      <c r="AF579">
        <v>0.113647212456056</v>
      </c>
      <c r="AG579">
        <v>-0.21750410000000001</v>
      </c>
      <c r="AH579">
        <v>0.56289309847428903</v>
      </c>
      <c r="AI579">
        <v>110.744748994248</v>
      </c>
      <c r="AJ579">
        <v>78.585519317876106</v>
      </c>
      <c r="AK579">
        <v>0.61406218148150704</v>
      </c>
      <c r="AL579">
        <v>87.622831285823494</v>
      </c>
      <c r="AM579">
        <v>86.437279245528899</v>
      </c>
      <c r="AN579">
        <v>1.00000002795181</v>
      </c>
    </row>
    <row r="580" spans="1:40" x14ac:dyDescent="0.25">
      <c r="A580" t="str">
        <f>"20190312154811298"</f>
        <v>20190312154811298</v>
      </c>
      <c r="B580" t="str">
        <f>"1552376891296942"</f>
        <v>1552376891296942</v>
      </c>
      <c r="C580" t="s">
        <v>40</v>
      </c>
      <c r="D580">
        <v>4.7330319999999997</v>
      </c>
      <c r="E580">
        <v>0.54324220000000001</v>
      </c>
      <c r="F580" t="s">
        <v>41</v>
      </c>
      <c r="G580">
        <v>-330.62799999999999</v>
      </c>
      <c r="H580">
        <v>0.86967669999999997</v>
      </c>
      <c r="I580">
        <v>367.4708</v>
      </c>
      <c r="J580">
        <v>-331.34410000000003</v>
      </c>
      <c r="K580">
        <v>1.1100699999999999</v>
      </c>
      <c r="L580">
        <v>367.61090000000002</v>
      </c>
      <c r="M580">
        <v>0.99991240000000003</v>
      </c>
      <c r="N580">
        <v>0</v>
      </c>
      <c r="O580" s="1">
        <v>-4.0071870000000003E-5</v>
      </c>
      <c r="P580">
        <v>0.99767030000000001</v>
      </c>
      <c r="Q580">
        <v>2.8226939999999999E-2</v>
      </c>
      <c r="R580">
        <v>-6.2107879999999997E-2</v>
      </c>
      <c r="S580">
        <v>3.0003660000000001</v>
      </c>
      <c r="T580">
        <v>-0.84598909999999905</v>
      </c>
      <c r="U580">
        <v>-0.49182130000000002</v>
      </c>
      <c r="V580">
        <v>6.2064950000000001E-2</v>
      </c>
      <c r="W580">
        <v>4.1431790000000003E-2</v>
      </c>
      <c r="X580">
        <v>0.99721179999999998</v>
      </c>
      <c r="Y580">
        <v>0.15580459999999999</v>
      </c>
      <c r="Z580">
        <v>-2.139949E-2</v>
      </c>
      <c r="AA580">
        <v>0.98755599999999999</v>
      </c>
      <c r="AB580">
        <v>26</v>
      </c>
      <c r="AC580">
        <v>0.71609999999998297</v>
      </c>
      <c r="AD580">
        <v>-0.2403933</v>
      </c>
      <c r="AE580">
        <v>-0.14010000000001799</v>
      </c>
      <c r="AF580">
        <v>0.126356713178706</v>
      </c>
      <c r="AG580">
        <v>-0.2403933</v>
      </c>
      <c r="AH580">
        <v>0.645990652188138</v>
      </c>
      <c r="AI580">
        <v>110.062716795307</v>
      </c>
      <c r="AJ580">
        <v>78.932596144743101</v>
      </c>
      <c r="AK580">
        <v>0.70075593494787602</v>
      </c>
      <c r="AL580">
        <v>87.625453639634699</v>
      </c>
      <c r="AM580">
        <v>86.438591365880001</v>
      </c>
      <c r="AN580">
        <v>1.00000001265017</v>
      </c>
    </row>
    <row r="581" spans="1:40" x14ac:dyDescent="0.25">
      <c r="A581" t="str">
        <f>"20190312154811310"</f>
        <v>20190312154811310</v>
      </c>
      <c r="B581" t="str">
        <f>"1552376891306704"</f>
        <v>1552376891306704</v>
      </c>
      <c r="C581" t="s">
        <v>40</v>
      </c>
      <c r="D581">
        <v>4.739007</v>
      </c>
      <c r="E581">
        <v>0.54324349999999999</v>
      </c>
      <c r="F581" t="s">
        <v>41</v>
      </c>
      <c r="G581">
        <v>-330.61419999999998</v>
      </c>
      <c r="H581">
        <v>0.90411980000000003</v>
      </c>
      <c r="I581">
        <v>367.49099999999999</v>
      </c>
      <c r="J581">
        <v>-331.2183</v>
      </c>
      <c r="K581">
        <v>1.11007099999999</v>
      </c>
      <c r="L581">
        <v>367.61090000000002</v>
      </c>
      <c r="M581">
        <v>0.99991229999999998</v>
      </c>
      <c r="N581">
        <v>0</v>
      </c>
      <c r="O581" s="1">
        <v>-7.7625120000000001E-6</v>
      </c>
      <c r="P581">
        <v>0.99767189999999994</v>
      </c>
      <c r="Q581">
        <v>2.822038E-2</v>
      </c>
      <c r="R581">
        <v>-6.2085630000000003E-2</v>
      </c>
      <c r="S581">
        <v>3.0003660000000001</v>
      </c>
      <c r="T581">
        <v>-0.84653959999999995</v>
      </c>
      <c r="U581">
        <v>-0.49151610000000001</v>
      </c>
      <c r="V581">
        <v>6.2074579999999997E-2</v>
      </c>
      <c r="W581">
        <v>4.1439410000000003E-2</v>
      </c>
      <c r="X581">
        <v>0.99721090000000001</v>
      </c>
      <c r="Y581">
        <v>0.1557325</v>
      </c>
      <c r="Z581">
        <v>-2.141204E-2</v>
      </c>
      <c r="AA581">
        <v>0.98756719999999998</v>
      </c>
      <c r="AB581">
        <v>26</v>
      </c>
      <c r="AC581">
        <v>0.60410000000001596</v>
      </c>
      <c r="AD581">
        <v>-0.205951199999999</v>
      </c>
      <c r="AE581">
        <v>-0.119900000000029</v>
      </c>
      <c r="AF581">
        <v>0.10783668843658201</v>
      </c>
      <c r="AG581">
        <v>-0.205951199999999</v>
      </c>
      <c r="AH581">
        <v>0.54334271891856001</v>
      </c>
      <c r="AI581">
        <v>110.394782318541</v>
      </c>
      <c r="AJ581">
        <v>78.774438065234406</v>
      </c>
      <c r="AK581">
        <v>0.59098727427603903</v>
      </c>
      <c r="AL581">
        <v>87.625016708497199</v>
      </c>
      <c r="AM581">
        <v>86.438036993698503</v>
      </c>
      <c r="AN581">
        <v>1.00000002863106</v>
      </c>
    </row>
    <row r="582" spans="1:40" x14ac:dyDescent="0.25">
      <c r="A582" t="str">
        <f>"20190312154811321"</f>
        <v>20190312154811321</v>
      </c>
      <c r="B582" t="str">
        <f>"1552376891316463"</f>
        <v>1552376891316463</v>
      </c>
      <c r="C582" t="s">
        <v>40</v>
      </c>
      <c r="D582">
        <v>4.7285680000000001</v>
      </c>
      <c r="E582">
        <v>0.54325590000000001</v>
      </c>
      <c r="F582" t="s">
        <v>41</v>
      </c>
      <c r="G582">
        <v>-330.39139999999998</v>
      </c>
      <c r="H582">
        <v>0.87667929999999905</v>
      </c>
      <c r="I582">
        <v>367.4753</v>
      </c>
      <c r="J582">
        <v>-331.0883</v>
      </c>
      <c r="K582">
        <v>1.110074</v>
      </c>
      <c r="L582">
        <v>367.61090000000002</v>
      </c>
      <c r="M582">
        <v>0.99991209999999997</v>
      </c>
      <c r="N582">
        <v>0</v>
      </c>
      <c r="O582" s="1">
        <v>2.7290599999999999E-5</v>
      </c>
      <c r="P582">
        <v>0.99767450000000002</v>
      </c>
      <c r="Q582">
        <v>2.7905119999999999E-2</v>
      </c>
      <c r="R582">
        <v>-6.2184650000000001E-2</v>
      </c>
      <c r="S582">
        <v>3.000397</v>
      </c>
      <c r="T582">
        <v>-0.84691759999999905</v>
      </c>
      <c r="U582">
        <v>-0.49102780000000001</v>
      </c>
      <c r="V582">
        <v>6.2208270000000003E-2</v>
      </c>
      <c r="W582">
        <v>4.1137359999999998E-2</v>
      </c>
      <c r="X582">
        <v>0.99721499999999996</v>
      </c>
      <c r="Y582">
        <v>0.1556072</v>
      </c>
      <c r="Z582">
        <v>-2.1413700000000001E-2</v>
      </c>
      <c r="AA582">
        <v>0.98758690000000005</v>
      </c>
      <c r="AB582">
        <v>26</v>
      </c>
      <c r="AC582">
        <v>0.69690000000002705</v>
      </c>
      <c r="AD582">
        <v>-0.23339470000000001</v>
      </c>
      <c r="AE582">
        <v>-0.13560000000000999</v>
      </c>
      <c r="AF582">
        <v>0.12239218245237</v>
      </c>
      <c r="AG582">
        <v>-0.23339470000000001</v>
      </c>
      <c r="AH582">
        <v>0.62892843995806802</v>
      </c>
      <c r="AI582">
        <v>110.014939681168</v>
      </c>
      <c r="AJ582">
        <v>78.987633719473294</v>
      </c>
      <c r="AK582">
        <v>0.68191195538840199</v>
      </c>
      <c r="AL582">
        <v>87.642337491672393</v>
      </c>
      <c r="AM582">
        <v>86.430400047925303</v>
      </c>
      <c r="AN582">
        <v>0.99999995373457995</v>
      </c>
    </row>
    <row r="583" spans="1:40" x14ac:dyDescent="0.25">
      <c r="A583" t="str">
        <f>"20190312154811333"</f>
        <v>20190312154811333</v>
      </c>
      <c r="B583" t="str">
        <f>"1552376891327198"</f>
        <v>1552376891327198</v>
      </c>
      <c r="C583" t="s">
        <v>40</v>
      </c>
      <c r="D583">
        <v>4.7476079999999996</v>
      </c>
      <c r="E583">
        <v>0.543261199999999</v>
      </c>
      <c r="F583" t="s">
        <v>41</v>
      </c>
      <c r="G583">
        <v>-330.37830000000002</v>
      </c>
      <c r="H583">
        <v>0.90929660000000001</v>
      </c>
      <c r="I583">
        <v>367.49439999999998</v>
      </c>
      <c r="J583">
        <v>-330.95760000000001</v>
      </c>
      <c r="K583">
        <v>1.1100779999999999</v>
      </c>
      <c r="L583">
        <v>367.61099999999999</v>
      </c>
      <c r="M583">
        <v>0.99991200000000002</v>
      </c>
      <c r="N583">
        <v>0</v>
      </c>
      <c r="O583" s="1">
        <v>6.4496610000000003E-5</v>
      </c>
      <c r="P583">
        <v>0.99770139999999996</v>
      </c>
      <c r="Q583">
        <v>2.72342E-2</v>
      </c>
      <c r="R583">
        <v>-6.2052040000000003E-2</v>
      </c>
      <c r="S583">
        <v>3.000092</v>
      </c>
      <c r="T583">
        <v>-0.84843519999999994</v>
      </c>
      <c r="U583">
        <v>-0.49121090000000001</v>
      </c>
      <c r="V583">
        <v>6.2112870000000001E-2</v>
      </c>
      <c r="W583">
        <v>4.0479870000000001E-2</v>
      </c>
      <c r="X583">
        <v>0.99724789999999996</v>
      </c>
      <c r="Y583">
        <v>0.15569189999999999</v>
      </c>
      <c r="Z583">
        <v>-2.147456E-2</v>
      </c>
      <c r="AA583">
        <v>0.98757220000000001</v>
      </c>
      <c r="AB583">
        <v>26</v>
      </c>
      <c r="AC583">
        <v>0.57929999999998905</v>
      </c>
      <c r="AD583">
        <v>-0.2007814</v>
      </c>
      <c r="AE583">
        <v>-0.11660000000000501</v>
      </c>
      <c r="AF583">
        <v>0.104565336194477</v>
      </c>
      <c r="AG583">
        <v>-0.2007814</v>
      </c>
      <c r="AH583">
        <v>0.51933539663857298</v>
      </c>
      <c r="AI583">
        <v>110.757015727916</v>
      </c>
      <c r="AJ583">
        <v>78.616014285888696</v>
      </c>
      <c r="AK583">
        <v>0.56653008245032199</v>
      </c>
      <c r="AL583">
        <v>87.680040413663903</v>
      </c>
      <c r="AM583">
        <v>86.4359773960214</v>
      </c>
      <c r="AN583">
        <v>1.00000000127463</v>
      </c>
    </row>
    <row r="584" spans="1:40" x14ac:dyDescent="0.25">
      <c r="A584" t="str">
        <f>"20190312154811343"</f>
        <v>20190312154811343</v>
      </c>
      <c r="B584" t="str">
        <f>"1552376891336958"</f>
        <v>1552376891336958</v>
      </c>
      <c r="C584" t="s">
        <v>40</v>
      </c>
      <c r="D584">
        <v>4.7637</v>
      </c>
      <c r="E584">
        <v>0.5432669</v>
      </c>
      <c r="F584" t="s">
        <v>41</v>
      </c>
      <c r="G584">
        <v>-330.15539999999999</v>
      </c>
      <c r="H584">
        <v>0.88254379999999999</v>
      </c>
      <c r="I584">
        <v>367.47949999999997</v>
      </c>
      <c r="J584">
        <v>-330.81810000000002</v>
      </c>
      <c r="K584">
        <v>1.110079</v>
      </c>
      <c r="L584">
        <v>367.61110000000002</v>
      </c>
      <c r="M584">
        <v>0.99991180000000002</v>
      </c>
      <c r="N584">
        <v>0</v>
      </c>
      <c r="O584">
        <v>1.055778E-4</v>
      </c>
      <c r="P584">
        <v>0.99770780000000003</v>
      </c>
      <c r="Q584">
        <v>2.7235100000000002E-2</v>
      </c>
      <c r="R584">
        <v>-6.1945790000000001E-2</v>
      </c>
      <c r="S584">
        <v>2.9996339999999999</v>
      </c>
      <c r="T584">
        <v>-0.85090239999999995</v>
      </c>
      <c r="U584">
        <v>-0.49078369999999999</v>
      </c>
      <c r="V584">
        <v>6.2047209999999998E-2</v>
      </c>
      <c r="W584">
        <v>4.0493689999999999E-2</v>
      </c>
      <c r="X584">
        <v>0.99725149999999996</v>
      </c>
      <c r="Y584">
        <v>0.155586</v>
      </c>
      <c r="Z584">
        <v>-2.1534770000000002E-2</v>
      </c>
      <c r="AA584">
        <v>0.98758760000000001</v>
      </c>
      <c r="AB584">
        <v>26</v>
      </c>
      <c r="AC584">
        <v>0.66270000000002904</v>
      </c>
      <c r="AD584">
        <v>-0.22753519999999999</v>
      </c>
      <c r="AE584">
        <v>-0.13160000000004801</v>
      </c>
      <c r="AF584">
        <v>0.118257890286733</v>
      </c>
      <c r="AG584">
        <v>-0.22753519999999999</v>
      </c>
      <c r="AH584">
        <v>0.59518399778644304</v>
      </c>
      <c r="AI584">
        <v>110.554239958134</v>
      </c>
      <c r="AJ584">
        <v>78.762183920061005</v>
      </c>
      <c r="AK584">
        <v>0.64807498568850996</v>
      </c>
      <c r="AL584">
        <v>87.679248106773599</v>
      </c>
      <c r="AM584">
        <v>86.439748075627094</v>
      </c>
      <c r="AN584">
        <v>1.0000000747254201</v>
      </c>
    </row>
    <row r="585" spans="1:40" x14ac:dyDescent="0.25">
      <c r="A585" t="str">
        <f>"20190312154811355"</f>
        <v>20190312154811355</v>
      </c>
      <c r="B585" t="str">
        <f>"1552376891346719"</f>
        <v>1552376891346719</v>
      </c>
      <c r="C585" t="s">
        <v>40</v>
      </c>
      <c r="D585">
        <v>4.7818059999999996</v>
      </c>
      <c r="E585">
        <v>0.54327749999999997</v>
      </c>
      <c r="F585" t="s">
        <v>41</v>
      </c>
      <c r="G585">
        <v>-330.14109999999999</v>
      </c>
      <c r="H585">
        <v>0.91791420000000001</v>
      </c>
      <c r="I585">
        <v>367.50009999999997</v>
      </c>
      <c r="J585">
        <v>-330.69130000000001</v>
      </c>
      <c r="K585">
        <v>1.110085</v>
      </c>
      <c r="L585">
        <v>367.61110000000002</v>
      </c>
      <c r="M585">
        <v>0.99991160000000001</v>
      </c>
      <c r="N585">
        <v>0</v>
      </c>
      <c r="O585">
        <v>1.4613580000000001E-4</v>
      </c>
      <c r="P585">
        <v>0.99771449999999995</v>
      </c>
      <c r="Q585">
        <v>2.7183010000000001E-2</v>
      </c>
      <c r="R585">
        <v>-6.1860760000000001E-2</v>
      </c>
      <c r="S585">
        <v>2.9996339999999999</v>
      </c>
      <c r="T585">
        <v>-0.85153749999999995</v>
      </c>
      <c r="U585">
        <v>-0.49066159999999998</v>
      </c>
      <c r="V585">
        <v>6.2002509999999997E-2</v>
      </c>
      <c r="W585">
        <v>4.0452229999999999E-2</v>
      </c>
      <c r="X585">
        <v>0.99725589999999997</v>
      </c>
      <c r="Y585">
        <v>0.15557689999999999</v>
      </c>
      <c r="Z585">
        <v>-2.1560260000000001E-2</v>
      </c>
      <c r="AA585">
        <v>0.98758849999999998</v>
      </c>
      <c r="AB585">
        <v>26</v>
      </c>
      <c r="AC585">
        <v>0.55020000000001801</v>
      </c>
      <c r="AD585">
        <v>-0.1921708</v>
      </c>
      <c r="AE585">
        <v>-0.11100000000004601</v>
      </c>
      <c r="AF585">
        <v>9.9425583371156701E-2</v>
      </c>
      <c r="AG585">
        <v>-0.1921708</v>
      </c>
      <c r="AH585">
        <v>0.492457153637335</v>
      </c>
      <c r="AI585">
        <v>110.93236839343101</v>
      </c>
      <c r="AJ585">
        <v>78.5856003607758</v>
      </c>
      <c r="AK585">
        <v>0.53789321539681201</v>
      </c>
      <c r="AL585">
        <v>87.681625392381903</v>
      </c>
      <c r="AM585">
        <v>86.442322015968102</v>
      </c>
      <c r="AN585">
        <v>1.00000001212154</v>
      </c>
    </row>
    <row r="586" spans="1:40" x14ac:dyDescent="0.25">
      <c r="A586" t="str">
        <f>"20190312154811366"</f>
        <v>20190312154811366</v>
      </c>
      <c r="B586" t="str">
        <f>"1552376891356479"</f>
        <v>1552376891356479</v>
      </c>
      <c r="C586" t="s">
        <v>40</v>
      </c>
      <c r="D586">
        <v>4.8002149999999997</v>
      </c>
      <c r="E586">
        <v>0.54325669999999904</v>
      </c>
      <c r="F586" t="s">
        <v>41</v>
      </c>
      <c r="G586">
        <v>-329.9187</v>
      </c>
      <c r="H586">
        <v>0.89063110000000001</v>
      </c>
      <c r="I586">
        <v>367.48430000000002</v>
      </c>
      <c r="J586">
        <v>-330.56049999999999</v>
      </c>
      <c r="K586">
        <v>1.110085</v>
      </c>
      <c r="L586">
        <v>367.61110000000002</v>
      </c>
      <c r="M586">
        <v>0.99991160000000001</v>
      </c>
      <c r="N586">
        <v>0</v>
      </c>
      <c r="O586">
        <v>1.8860249999999999E-4</v>
      </c>
      <c r="P586">
        <v>0.99772899999999998</v>
      </c>
      <c r="Q586">
        <v>2.7300959999999999E-2</v>
      </c>
      <c r="R586">
        <v>-6.1579790000000002E-2</v>
      </c>
      <c r="S586">
        <v>2.9996640000000001</v>
      </c>
      <c r="T586">
        <v>-0.85211340000000002</v>
      </c>
      <c r="U586">
        <v>-0.49047849999999998</v>
      </c>
      <c r="V586">
        <v>6.176338E-2</v>
      </c>
      <c r="W586">
        <v>4.0580400000000003E-2</v>
      </c>
      <c r="X586">
        <v>0.99726550000000003</v>
      </c>
      <c r="Y586">
        <v>0.15554999999999999</v>
      </c>
      <c r="Z586">
        <v>-2.1582230000000001E-2</v>
      </c>
      <c r="AA586">
        <v>0.98759220000000003</v>
      </c>
      <c r="AB586">
        <v>26</v>
      </c>
      <c r="AC586">
        <v>0.64179999999998905</v>
      </c>
      <c r="AD586">
        <v>-0.21945390000000001</v>
      </c>
      <c r="AE586">
        <v>-0.12680000000000199</v>
      </c>
      <c r="AF586">
        <v>0.11408354940901901</v>
      </c>
      <c r="AG586">
        <v>-0.21945390000000001</v>
      </c>
      <c r="AH586">
        <v>0.57686325591338405</v>
      </c>
      <c r="AI586">
        <v>110.465478984133</v>
      </c>
      <c r="AJ586">
        <v>78.813233183392995</v>
      </c>
      <c r="AK586">
        <v>0.62765140523539098</v>
      </c>
      <c r="AL586">
        <v>87.674275684407306</v>
      </c>
      <c r="AM586">
        <v>86.456042185182099</v>
      </c>
      <c r="AN586">
        <v>0.99999998073171703</v>
      </c>
    </row>
    <row r="587" spans="1:40" x14ac:dyDescent="0.25">
      <c r="A587" t="str">
        <f>"20190312154811376"</f>
        <v>20190312154811376</v>
      </c>
      <c r="B587" t="str">
        <f>"1552376891366238"</f>
        <v>1552376891366238</v>
      </c>
      <c r="C587" t="s">
        <v>40</v>
      </c>
      <c r="D587">
        <v>4.8022869999999998</v>
      </c>
      <c r="E587">
        <v>0.54322219999999999</v>
      </c>
      <c r="F587" t="s">
        <v>41</v>
      </c>
      <c r="G587">
        <v>-329.69619999999998</v>
      </c>
      <c r="H587">
        <v>0.86461880000000002</v>
      </c>
      <c r="I587">
        <v>367.47</v>
      </c>
      <c r="J587">
        <v>-330.43029999999999</v>
      </c>
      <c r="K587">
        <v>1.110088</v>
      </c>
      <c r="L587">
        <v>367.6112</v>
      </c>
      <c r="M587">
        <v>0.99991140000000001</v>
      </c>
      <c r="N587">
        <v>0</v>
      </c>
      <c r="O587">
        <v>2.3376390000000001E-4</v>
      </c>
      <c r="P587">
        <v>0.9977298</v>
      </c>
      <c r="Q587">
        <v>2.760642E-2</v>
      </c>
      <c r="R587">
        <v>-6.1427929999999999E-2</v>
      </c>
      <c r="S587">
        <v>2.9999389999999999</v>
      </c>
      <c r="T587">
        <v>-0.852045099999999</v>
      </c>
      <c r="U587">
        <v>-0.48937989999999998</v>
      </c>
      <c r="V587">
        <v>6.1656540000000003E-2</v>
      </c>
      <c r="W587">
        <v>4.0894859999999998E-2</v>
      </c>
      <c r="X587">
        <v>0.99725929999999996</v>
      </c>
      <c r="Y587">
        <v>0.15523970000000001</v>
      </c>
      <c r="Z587">
        <v>-2.1548830000000001E-2</v>
      </c>
      <c r="AA587">
        <v>0.98764180000000001</v>
      </c>
      <c r="AB587">
        <v>26</v>
      </c>
      <c r="AC587">
        <v>0.73410000000001197</v>
      </c>
      <c r="AD587">
        <v>-0.245469199999999</v>
      </c>
      <c r="AE587">
        <v>-0.14119999999996899</v>
      </c>
      <c r="AF587">
        <v>0.12761224330062801</v>
      </c>
      <c r="AG587">
        <v>-0.245469199999999</v>
      </c>
      <c r="AH587">
        <v>0.66262192104891104</v>
      </c>
      <c r="AI587">
        <v>109.98970654548501</v>
      </c>
      <c r="AJ587">
        <v>79.099051708235194</v>
      </c>
      <c r="AK587">
        <v>0.71805837022028296</v>
      </c>
      <c r="AL587">
        <v>87.656243564522597</v>
      </c>
      <c r="AM587">
        <v>86.462135098343296</v>
      </c>
      <c r="AN587">
        <v>1.0000000149678401</v>
      </c>
    </row>
    <row r="588" spans="1:40" x14ac:dyDescent="0.25">
      <c r="A588" t="str">
        <f>"20190312154811388"</f>
        <v>20190312154811388</v>
      </c>
      <c r="B588" t="str">
        <f>"1552376891376974"</f>
        <v>1552376891376974</v>
      </c>
      <c r="C588" t="s">
        <v>40</v>
      </c>
      <c r="D588">
        <v>4.7990690000000003</v>
      </c>
      <c r="E588">
        <v>0.54327209999999904</v>
      </c>
      <c r="F588" t="s">
        <v>41</v>
      </c>
      <c r="G588">
        <v>-329.68270000000001</v>
      </c>
      <c r="H588">
        <v>0.89799390000000001</v>
      </c>
      <c r="I588">
        <v>367.48919999999998</v>
      </c>
      <c r="J588">
        <v>-330.30959999999999</v>
      </c>
      <c r="K588">
        <v>1.1100939999999999</v>
      </c>
      <c r="L588">
        <v>367.61130000000003</v>
      </c>
      <c r="M588">
        <v>0.99991140000000001</v>
      </c>
      <c r="N588">
        <v>0</v>
      </c>
      <c r="O588">
        <v>2.7606769999999998E-4</v>
      </c>
      <c r="P588">
        <v>0.99772959999999999</v>
      </c>
      <c r="Q588">
        <v>2.7406759999999999E-2</v>
      </c>
      <c r="R588">
        <v>-6.1520320000000003E-2</v>
      </c>
      <c r="S588">
        <v>3.000305</v>
      </c>
      <c r="T588">
        <v>-0.85129439999999901</v>
      </c>
      <c r="U588">
        <v>-0.48889159999999998</v>
      </c>
      <c r="V588">
        <v>6.179105E-2</v>
      </c>
      <c r="W588">
        <v>4.0703799999999998E-2</v>
      </c>
      <c r="X588">
        <v>0.9972588</v>
      </c>
      <c r="Y588">
        <v>0.15512020000000001</v>
      </c>
      <c r="Z588">
        <v>-2.1523509999999999E-2</v>
      </c>
      <c r="AA588">
        <v>0.98766109999999896</v>
      </c>
      <c r="AB588">
        <v>26</v>
      </c>
      <c r="AC588">
        <v>0.62689999999997703</v>
      </c>
      <c r="AD588">
        <v>-0.21210010000000001</v>
      </c>
      <c r="AE588">
        <v>-0.12210000000004501</v>
      </c>
      <c r="AF588">
        <v>0.11012767999561</v>
      </c>
      <c r="AG588">
        <v>-0.21210010000000001</v>
      </c>
      <c r="AH588">
        <v>0.56459957385964099</v>
      </c>
      <c r="AI588">
        <v>110.239737197485</v>
      </c>
      <c r="AJ588">
        <v>78.962783536986905</v>
      </c>
      <c r="AK588">
        <v>0.61309643378812295</v>
      </c>
      <c r="AL588">
        <v>87.667199638799104</v>
      </c>
      <c r="AM588">
        <v>86.454434781258698</v>
      </c>
      <c r="AN588">
        <v>1.0000000236859901</v>
      </c>
    </row>
    <row r="589" spans="1:40" x14ac:dyDescent="0.25">
      <c r="A589" t="str">
        <f>"20190312154811398"</f>
        <v>20190312154811398</v>
      </c>
      <c r="B589" t="str">
        <f>"1552376891386734"</f>
        <v>1552376891386734</v>
      </c>
      <c r="C589" t="s">
        <v>40</v>
      </c>
      <c r="D589">
        <v>4.8205989999999996</v>
      </c>
      <c r="E589">
        <v>0.54327209999999904</v>
      </c>
      <c r="F589" t="s">
        <v>41</v>
      </c>
      <c r="G589">
        <v>-329.46140000000003</v>
      </c>
      <c r="H589">
        <v>0.86908770000000002</v>
      </c>
      <c r="I589">
        <v>367.47239999999999</v>
      </c>
      <c r="J589">
        <v>-330.1814</v>
      </c>
      <c r="K589">
        <v>1.1100969999999999</v>
      </c>
      <c r="L589">
        <v>367.6114</v>
      </c>
      <c r="M589">
        <v>0.9999112</v>
      </c>
      <c r="N589">
        <v>0</v>
      </c>
      <c r="O589">
        <v>3.2290619999999999E-4</v>
      </c>
      <c r="P589">
        <v>0.99773440000000002</v>
      </c>
      <c r="Q589">
        <v>2.762268E-2</v>
      </c>
      <c r="R589">
        <v>-6.1343109999999999E-2</v>
      </c>
      <c r="S589">
        <v>3.0000610000000001</v>
      </c>
      <c r="T589">
        <v>-0.85252249999999996</v>
      </c>
      <c r="U589">
        <v>-0.48965449999999999</v>
      </c>
      <c r="V589">
        <v>6.166029E-2</v>
      </c>
      <c r="W589">
        <v>4.0927239999999997E-2</v>
      </c>
      <c r="X589">
        <v>0.99725770000000002</v>
      </c>
      <c r="Y589">
        <v>0.155393899999999</v>
      </c>
      <c r="Z589">
        <v>-2.1605510000000001E-2</v>
      </c>
      <c r="AA589">
        <v>0.9876163</v>
      </c>
      <c r="AB589">
        <v>26</v>
      </c>
      <c r="AC589">
        <v>0.71999999999997</v>
      </c>
      <c r="AD589">
        <v>-0.24100929999999901</v>
      </c>
      <c r="AE589">
        <v>-0.13900000000001</v>
      </c>
      <c r="AF589">
        <v>0.12565865671884399</v>
      </c>
      <c r="AG589">
        <v>-0.24100929999999901</v>
      </c>
      <c r="AH589">
        <v>0.64976628128587299</v>
      </c>
      <c r="AI589">
        <v>110.010079168123</v>
      </c>
      <c r="AJ589">
        <v>79.054654622898099</v>
      </c>
      <c r="AK589">
        <v>0.70432364789984603</v>
      </c>
      <c r="AL589">
        <v>87.654386679529097</v>
      </c>
      <c r="AM589">
        <v>86.461914807072603</v>
      </c>
      <c r="AN589">
        <v>0.99999997527309503</v>
      </c>
    </row>
    <row r="590" spans="1:40" x14ac:dyDescent="0.25">
      <c r="A590" t="str">
        <f>"20190312154811411"</f>
        <v>20190312154811411</v>
      </c>
      <c r="B590" t="str">
        <f>"1552376891406254"</f>
        <v>1552376891406254</v>
      </c>
      <c r="C590" t="s">
        <v>40</v>
      </c>
      <c r="D590">
        <v>4.816141</v>
      </c>
      <c r="E590">
        <v>0.54811200000000004</v>
      </c>
      <c r="F590" t="s">
        <v>41</v>
      </c>
      <c r="G590">
        <v>-329.44819999999999</v>
      </c>
      <c r="H590">
        <v>0.90196569999999998</v>
      </c>
      <c r="I590">
        <v>367.4914</v>
      </c>
      <c r="J590">
        <v>-330.04770000000002</v>
      </c>
      <c r="K590">
        <v>1.1101019999999999</v>
      </c>
      <c r="L590">
        <v>367.61149999999998</v>
      </c>
      <c r="M590">
        <v>0.99991099999999999</v>
      </c>
      <c r="N590">
        <v>0</v>
      </c>
      <c r="O590">
        <v>3.7296120000000001E-4</v>
      </c>
      <c r="P590">
        <v>0.99773659999999997</v>
      </c>
      <c r="Q590">
        <v>2.7527659999999999E-2</v>
      </c>
      <c r="R590">
        <v>-6.1349880000000002E-2</v>
      </c>
      <c r="S590">
        <v>3.000305</v>
      </c>
      <c r="T590">
        <v>-0.85177719999999901</v>
      </c>
      <c r="U590">
        <v>-0.48925780000000002</v>
      </c>
      <c r="V590">
        <v>6.1716680000000003E-2</v>
      </c>
      <c r="W590">
        <v>4.0840059999999997E-2</v>
      </c>
      <c r="X590">
        <v>0.99725779999999997</v>
      </c>
      <c r="Y590">
        <v>0.1553155</v>
      </c>
      <c r="Z590">
        <v>-2.1588880000000001E-2</v>
      </c>
      <c r="AA590">
        <v>0.98762899999999998</v>
      </c>
      <c r="AB590">
        <v>26</v>
      </c>
      <c r="AC590">
        <v>0.59950000000003401</v>
      </c>
      <c r="AD590">
        <v>-0.2081363</v>
      </c>
      <c r="AE590">
        <v>-0.120099999999979</v>
      </c>
      <c r="AF590">
        <v>0.107827934210218</v>
      </c>
      <c r="AG590">
        <v>-0.2081363</v>
      </c>
      <c r="AH590">
        <v>0.53720143665656295</v>
      </c>
      <c r="AI590">
        <v>110.800222151893</v>
      </c>
      <c r="AJ590">
        <v>78.650318353953793</v>
      </c>
      <c r="AK590">
        <v>0.58611685380955303</v>
      </c>
      <c r="AL590">
        <v>87.659385938522604</v>
      </c>
      <c r="AM590">
        <v>86.458687717360405</v>
      </c>
      <c r="AN590">
        <v>0.99999998937593204</v>
      </c>
    </row>
    <row r="591" spans="1:40" x14ac:dyDescent="0.25">
      <c r="A591" t="str">
        <f>"20190312154811421"</f>
        <v>20190312154811421</v>
      </c>
      <c r="B591" t="str">
        <f>"1552376891416990"</f>
        <v>1552376891416990</v>
      </c>
      <c r="C591" t="s">
        <v>40</v>
      </c>
      <c r="D591">
        <v>4.7258120000000003</v>
      </c>
      <c r="E591">
        <v>0.54811200000000004</v>
      </c>
      <c r="F591" t="s">
        <v>41</v>
      </c>
      <c r="G591">
        <v>-329.23219999999998</v>
      </c>
      <c r="H591">
        <v>0.86038840000000005</v>
      </c>
      <c r="I591">
        <v>367.46870000000001</v>
      </c>
      <c r="J591">
        <v>-329.91309999999999</v>
      </c>
      <c r="K591">
        <v>1.110106</v>
      </c>
      <c r="L591">
        <v>367.61160000000001</v>
      </c>
      <c r="M591">
        <v>0.99991090000000005</v>
      </c>
      <c r="N591">
        <v>0</v>
      </c>
      <c r="O591">
        <v>4.2420629999999999E-4</v>
      </c>
      <c r="P591">
        <v>0.99774620000000003</v>
      </c>
      <c r="Q591">
        <v>2.725493E-2</v>
      </c>
      <c r="R591">
        <v>-6.1318589999999999E-2</v>
      </c>
      <c r="S591">
        <v>2.9998779999999998</v>
      </c>
      <c r="T591">
        <v>-0.91864040000000002</v>
      </c>
      <c r="U591">
        <v>-0.52508540000000004</v>
      </c>
      <c r="V591">
        <v>6.1736279999999998E-2</v>
      </c>
      <c r="W591">
        <v>4.0575159999999999E-2</v>
      </c>
      <c r="X591">
        <v>0.99726740000000003</v>
      </c>
      <c r="Y591">
        <v>0.16545019999999999</v>
      </c>
      <c r="Z591">
        <v>-2.4716269999999999E-2</v>
      </c>
      <c r="AA591">
        <v>0.98590840000000002</v>
      </c>
      <c r="AB591">
        <v>26</v>
      </c>
      <c r="AC591">
        <v>0.68090000000000805</v>
      </c>
      <c r="AD591">
        <v>-0.24971760000000001</v>
      </c>
      <c r="AE591">
        <v>-0.142899999999997</v>
      </c>
      <c r="AF591">
        <v>0.12684729271616499</v>
      </c>
      <c r="AG591">
        <v>-0.24971760000000001</v>
      </c>
      <c r="AH591">
        <v>0.60313788970637605</v>
      </c>
      <c r="AI591">
        <v>112.056173149214</v>
      </c>
      <c r="AJ591">
        <v>78.123086447646699</v>
      </c>
      <c r="AK591">
        <v>0.66499957099132101</v>
      </c>
      <c r="AL591">
        <v>87.674576182153999</v>
      </c>
      <c r="AM591">
        <v>86.4575999435733</v>
      </c>
      <c r="AN591">
        <v>0.99999998949001201</v>
      </c>
    </row>
    <row r="592" spans="1:40" x14ac:dyDescent="0.25">
      <c r="A592" t="str">
        <f>"20190312154811435"</f>
        <v>20190312154811435</v>
      </c>
      <c r="B592" t="str">
        <f>"1552376891426750"</f>
        <v>1552376891426750</v>
      </c>
      <c r="C592" t="s">
        <v>40</v>
      </c>
      <c r="D592">
        <v>4.7752480000000004</v>
      </c>
      <c r="E592">
        <v>0.54610550000000002</v>
      </c>
      <c r="F592" t="s">
        <v>41</v>
      </c>
      <c r="G592">
        <v>-329.21749999999997</v>
      </c>
      <c r="H592">
        <v>0.89690099999999995</v>
      </c>
      <c r="I592">
        <v>367.4898</v>
      </c>
      <c r="J592">
        <v>-329.7595</v>
      </c>
      <c r="K592">
        <v>1.110107</v>
      </c>
      <c r="L592">
        <v>367.61169999999998</v>
      </c>
      <c r="M592">
        <v>0.99991079999999999</v>
      </c>
      <c r="N592">
        <v>0</v>
      </c>
      <c r="O592">
        <v>4.8396790000000001E-4</v>
      </c>
      <c r="P592">
        <v>0.99775599999999998</v>
      </c>
      <c r="Q592">
        <v>2.7263369999999999E-2</v>
      </c>
      <c r="R592">
        <v>-6.1155760000000003E-2</v>
      </c>
      <c r="S592">
        <v>2.9996339999999999</v>
      </c>
      <c r="T592">
        <v>-0.91937429999999998</v>
      </c>
      <c r="U592">
        <v>-0.52481080000000002</v>
      </c>
      <c r="V592">
        <v>6.1632880000000001E-2</v>
      </c>
      <c r="W592">
        <v>4.0590399999999999E-2</v>
      </c>
      <c r="X592">
        <v>0.99727319999999997</v>
      </c>
      <c r="Y592">
        <v>0.16542089999999901</v>
      </c>
      <c r="Z592">
        <v>-2.4750660000000001E-2</v>
      </c>
      <c r="AA592">
        <v>0.98591240000000002</v>
      </c>
      <c r="AB592">
        <v>26</v>
      </c>
      <c r="AC592">
        <v>0.54200000000003001</v>
      </c>
      <c r="AD592">
        <v>-0.21320599999999901</v>
      </c>
      <c r="AE592">
        <v>-0.12189999999998199</v>
      </c>
      <c r="AF592">
        <v>0.10647913640878</v>
      </c>
      <c r="AG592">
        <v>-0.21320599999999901</v>
      </c>
      <c r="AH592">
        <v>0.47236662621751302</v>
      </c>
      <c r="AI592">
        <v>113.764327368925</v>
      </c>
      <c r="AJ592">
        <v>77.296915717205295</v>
      </c>
      <c r="AK592">
        <v>0.52907923271517199</v>
      </c>
      <c r="AL592">
        <v>87.673702331463303</v>
      </c>
      <c r="AM592">
        <v>86.463538434588202</v>
      </c>
      <c r="AN592">
        <v>1.0000000139537399</v>
      </c>
    </row>
    <row r="593" spans="1:40" x14ac:dyDescent="0.25">
      <c r="A593" t="str">
        <f>"20190312154811455"</f>
        <v>20190312154811455</v>
      </c>
      <c r="B593" t="str">
        <f>"1552376891446271"</f>
        <v>1552376891446271</v>
      </c>
      <c r="C593" t="s">
        <v>40</v>
      </c>
      <c r="D593">
        <v>4.834746</v>
      </c>
      <c r="E593">
        <v>0.54879489999999997</v>
      </c>
      <c r="F593" t="s">
        <v>41</v>
      </c>
      <c r="G593">
        <v>-329.00349999999997</v>
      </c>
      <c r="H593">
        <v>0.85329599999999906</v>
      </c>
      <c r="I593">
        <v>367.48450000000003</v>
      </c>
      <c r="J593">
        <v>-329.53100000000001</v>
      </c>
      <c r="K593">
        <v>1.110109</v>
      </c>
      <c r="L593">
        <v>367.61189999999999</v>
      </c>
      <c r="M593">
        <v>0.99991070000000004</v>
      </c>
      <c r="N593">
        <v>0</v>
      </c>
      <c r="O593">
        <v>5.749447E-4</v>
      </c>
      <c r="P593">
        <v>0.99775519999999995</v>
      </c>
      <c r="Q593">
        <v>2.6860930000000002E-2</v>
      </c>
      <c r="R593">
        <v>-6.1346749999999999E-2</v>
      </c>
      <c r="S593">
        <v>3.0037539999999998</v>
      </c>
      <c r="T593">
        <v>-1.020437</v>
      </c>
      <c r="U593">
        <v>-0.50411989999999995</v>
      </c>
      <c r="V593">
        <v>6.1914700000000003E-2</v>
      </c>
      <c r="W593">
        <v>4.019781E-2</v>
      </c>
      <c r="X593">
        <v>0.99727169999999998</v>
      </c>
      <c r="Y593">
        <v>0.157448799999999</v>
      </c>
      <c r="Z593">
        <v>-2.6036420000000001E-2</v>
      </c>
      <c r="AA593">
        <v>0.9871839</v>
      </c>
      <c r="AB593">
        <v>26</v>
      </c>
      <c r="AC593">
        <v>0.52750000000003106</v>
      </c>
      <c r="AD593">
        <v>-0.25681300000000001</v>
      </c>
      <c r="AE593">
        <v>-0.12739999999996501</v>
      </c>
      <c r="AF593">
        <v>0.104336276368148</v>
      </c>
      <c r="AG593">
        <v>-0.25681300000000001</v>
      </c>
      <c r="AH593">
        <v>0.43091868569466901</v>
      </c>
      <c r="AI593">
        <v>120.080688918465</v>
      </c>
      <c r="AJ593">
        <v>76.389188632217</v>
      </c>
      <c r="AK593">
        <v>0.51237670635596999</v>
      </c>
      <c r="AL593">
        <v>87.696214581656307</v>
      </c>
      <c r="AM593">
        <v>86.447403744740896</v>
      </c>
      <c r="AN593">
        <v>1.0000000688128801</v>
      </c>
    </row>
    <row r="594" spans="1:40" x14ac:dyDescent="0.25">
      <c r="A594" t="str">
        <f>"20190312154811469"</f>
        <v>20190312154811469</v>
      </c>
      <c r="B594" t="str">
        <f>"1552376891466766"</f>
        <v>1552376891466766</v>
      </c>
      <c r="C594" t="s">
        <v>40</v>
      </c>
      <c r="D594">
        <v>4.7415669999999999</v>
      </c>
      <c r="E594">
        <v>0.54884750000000004</v>
      </c>
      <c r="F594" t="s">
        <v>41</v>
      </c>
      <c r="G594">
        <v>-328.76199999999898</v>
      </c>
      <c r="H594">
        <v>0.87363639999999998</v>
      </c>
      <c r="I594">
        <v>367.47579999999999</v>
      </c>
      <c r="J594">
        <v>-329.36680000000001</v>
      </c>
      <c r="K594">
        <v>1.110109</v>
      </c>
      <c r="L594">
        <v>367.6121</v>
      </c>
      <c r="M594">
        <v>0.99991070000000004</v>
      </c>
      <c r="N594">
        <v>0</v>
      </c>
      <c r="O594">
        <v>6.4101469999999999E-4</v>
      </c>
      <c r="P594">
        <v>0.99776540000000002</v>
      </c>
      <c r="Q594">
        <v>2.6847289999999999E-2</v>
      </c>
      <c r="R594">
        <v>-6.1187650000000003E-2</v>
      </c>
      <c r="S594">
        <v>2.9990540000000001</v>
      </c>
      <c r="T594">
        <v>-0.92224930000000005</v>
      </c>
      <c r="U594">
        <v>-0.53012079999999995</v>
      </c>
      <c r="V594">
        <v>6.1821330000000001E-2</v>
      </c>
      <c r="W594">
        <v>4.0190179999999999E-2</v>
      </c>
      <c r="X594">
        <v>0.99727770000000004</v>
      </c>
      <c r="Y594">
        <v>0.16717000000000001</v>
      </c>
      <c r="Z594">
        <v>-2.5133550000000001E-2</v>
      </c>
      <c r="AA594">
        <v>0.98560769999999998</v>
      </c>
      <c r="AB594">
        <v>26</v>
      </c>
      <c r="AC594">
        <v>0.60480000000006795</v>
      </c>
      <c r="AD594">
        <v>-0.23647260000000001</v>
      </c>
      <c r="AE594">
        <v>-0.136300000000005</v>
      </c>
      <c r="AF594">
        <v>0.11932719795114401</v>
      </c>
      <c r="AG594">
        <v>-0.23647260000000001</v>
      </c>
      <c r="AH594">
        <v>0.527908890209702</v>
      </c>
      <c r="AI594">
        <v>113.60144835278599</v>
      </c>
      <c r="AJ594">
        <v>77.263049894346096</v>
      </c>
      <c r="AK594">
        <v>0.59063192182955204</v>
      </c>
      <c r="AL594">
        <v>87.696651872337299</v>
      </c>
      <c r="AM594">
        <v>86.452768808145805</v>
      </c>
      <c r="AN594">
        <v>0.99999996916434497</v>
      </c>
    </row>
    <row r="595" spans="1:40" x14ac:dyDescent="0.25">
      <c r="A595" t="str">
        <f>"20190312154811480"</f>
        <v>20190312154811480</v>
      </c>
      <c r="B595" t="str">
        <f>"1552376891476527"</f>
        <v>1552376891476527</v>
      </c>
      <c r="C595" t="s">
        <v>40</v>
      </c>
      <c r="D595">
        <v>4.7839130000000001</v>
      </c>
      <c r="E595">
        <v>0.54652519999999905</v>
      </c>
      <c r="F595" t="s">
        <v>41</v>
      </c>
      <c r="G595">
        <v>-328.53750000000002</v>
      </c>
      <c r="H595">
        <v>0.85482369999999996</v>
      </c>
      <c r="I595">
        <v>367.46530000000001</v>
      </c>
      <c r="J595">
        <v>-329.23680000000002</v>
      </c>
      <c r="K595">
        <v>1.110109</v>
      </c>
      <c r="L595">
        <v>367.61219999999997</v>
      </c>
      <c r="M595">
        <v>0.99991030000000003</v>
      </c>
      <c r="N595">
        <v>0</v>
      </c>
      <c r="O595">
        <v>6.9338329999999999E-4</v>
      </c>
      <c r="P595">
        <v>0.9977589</v>
      </c>
      <c r="Q595">
        <v>2.7089240000000001E-2</v>
      </c>
      <c r="R595">
        <v>-6.1183069999999999E-2</v>
      </c>
      <c r="S595">
        <v>2.9990540000000001</v>
      </c>
      <c r="T595">
        <v>-0.92317629999999995</v>
      </c>
      <c r="U595">
        <v>-0.52993769999999996</v>
      </c>
      <c r="V595">
        <v>6.1868920000000001E-2</v>
      </c>
      <c r="W595">
        <v>4.0436029999999998E-2</v>
      </c>
      <c r="X595">
        <v>0.99726490000000001</v>
      </c>
      <c r="Y595">
        <v>0.16714699999999999</v>
      </c>
      <c r="Z595">
        <v>-2.5170040000000001E-2</v>
      </c>
      <c r="AA595">
        <v>0.98561069999999995</v>
      </c>
      <c r="AB595">
        <v>26</v>
      </c>
      <c r="AC595">
        <v>0.69929999999999304</v>
      </c>
      <c r="AD595">
        <v>-0.25528529999999999</v>
      </c>
      <c r="AE595">
        <v>-0.14689999999995901</v>
      </c>
      <c r="AF595">
        <v>0.130702625410173</v>
      </c>
      <c r="AG595">
        <v>-0.25528529999999999</v>
      </c>
      <c r="AH595">
        <v>0.62005683928348199</v>
      </c>
      <c r="AI595">
        <v>111.942527574789</v>
      </c>
      <c r="AJ595">
        <v>78.096801231273503</v>
      </c>
      <c r="AK595">
        <v>0.68317219251622296</v>
      </c>
      <c r="AL595">
        <v>87.682554451089302</v>
      </c>
      <c r="AM595">
        <v>86.449999685818</v>
      </c>
      <c r="AN595">
        <v>1.0000000582780599</v>
      </c>
    </row>
    <row r="596" spans="1:40" x14ac:dyDescent="0.25">
      <c r="A596" t="str">
        <f>"20190312154811491"</f>
        <v>20190312154811491</v>
      </c>
      <c r="B596" t="str">
        <f>"1552376891486287"</f>
        <v>1552376891486287</v>
      </c>
      <c r="C596" t="s">
        <v>40</v>
      </c>
      <c r="D596">
        <v>4.799531</v>
      </c>
      <c r="E596">
        <v>0.54747060000000003</v>
      </c>
      <c r="F596" t="s">
        <v>41</v>
      </c>
      <c r="G596">
        <v>-328.53</v>
      </c>
      <c r="H596">
        <v>0.87563840000000004</v>
      </c>
      <c r="I596">
        <v>367.49239999999998</v>
      </c>
      <c r="J596">
        <v>-329.10829999999999</v>
      </c>
      <c r="K596">
        <v>1.1101110000000001</v>
      </c>
      <c r="L596">
        <v>367.61239999999998</v>
      </c>
      <c r="M596">
        <v>0.99991050000000004</v>
      </c>
      <c r="N596">
        <v>0</v>
      </c>
      <c r="O596">
        <v>7.4509520000000005E-4</v>
      </c>
      <c r="P596">
        <v>0.99775239999999998</v>
      </c>
      <c r="Q596">
        <v>2.734197E-2</v>
      </c>
      <c r="R596">
        <v>-6.1180890000000002E-2</v>
      </c>
      <c r="S596">
        <v>3.0026549999999999</v>
      </c>
      <c r="T596">
        <v>-0.99594749999999999</v>
      </c>
      <c r="U596">
        <v>-0.50820920000000003</v>
      </c>
      <c r="V596">
        <v>6.1918319999999999E-2</v>
      </c>
      <c r="W596">
        <v>4.0692359999999997E-2</v>
      </c>
      <c r="X596">
        <v>0.99725129999999995</v>
      </c>
      <c r="Y596">
        <v>0.15927430000000001</v>
      </c>
      <c r="Z596">
        <v>-2.5796679999999999E-2</v>
      </c>
      <c r="AA596">
        <v>0.98689729999999998</v>
      </c>
      <c r="AB596">
        <v>26</v>
      </c>
      <c r="AC596">
        <v>0.57830000000001203</v>
      </c>
      <c r="AD596">
        <v>-0.2344726</v>
      </c>
      <c r="AE596">
        <v>-0.12000000000000401</v>
      </c>
      <c r="AF596">
        <v>0.10403455514122199</v>
      </c>
      <c r="AG596">
        <v>-0.2344726</v>
      </c>
      <c r="AH596">
        <v>0.49948864436498702</v>
      </c>
      <c r="AI596">
        <v>114.681754850499</v>
      </c>
      <c r="AJ596">
        <v>78.234523193812194</v>
      </c>
      <c r="AK596">
        <v>0.56150645113281095</v>
      </c>
      <c r="AL596">
        <v>87.667855476245094</v>
      </c>
      <c r="AM596">
        <v>86.447124074399596</v>
      </c>
      <c r="AN596">
        <v>0.999999950932839</v>
      </c>
    </row>
    <row r="597" spans="1:40" x14ac:dyDescent="0.25">
      <c r="A597" t="str">
        <f>"20190312154811501"</f>
        <v>20190312154811501</v>
      </c>
      <c r="B597" t="str">
        <f>"1552376891497023"</f>
        <v>1552376891497023</v>
      </c>
      <c r="C597" t="s">
        <v>40</v>
      </c>
      <c r="D597">
        <v>4.8626239999999896</v>
      </c>
      <c r="E597">
        <v>0.54747060000000003</v>
      </c>
      <c r="F597" t="s">
        <v>41</v>
      </c>
      <c r="G597">
        <v>-328.31020000000001</v>
      </c>
      <c r="H597">
        <v>0.84540199999999999</v>
      </c>
      <c r="I597">
        <v>367.47519999999997</v>
      </c>
      <c r="J597">
        <v>-328.97649999999999</v>
      </c>
      <c r="K597">
        <v>1.110112</v>
      </c>
      <c r="L597">
        <v>367.61250000000001</v>
      </c>
      <c r="M597">
        <v>0.99991019999999997</v>
      </c>
      <c r="N597">
        <v>0</v>
      </c>
      <c r="O597">
        <v>7.9829550000000003E-4</v>
      </c>
      <c r="P597">
        <v>0.99774960000000001</v>
      </c>
      <c r="Q597">
        <v>2.7266499999999999E-2</v>
      </c>
      <c r="R597">
        <v>-6.1256489999999997E-2</v>
      </c>
      <c r="S597">
        <v>3.0024109999999999</v>
      </c>
      <c r="T597">
        <v>-0.99568009999999996</v>
      </c>
      <c r="U597">
        <v>-0.51565550000000004</v>
      </c>
      <c r="V597">
        <v>6.204701E-2</v>
      </c>
      <c r="W597">
        <v>4.062089E-2</v>
      </c>
      <c r="X597">
        <v>0.99724630000000003</v>
      </c>
      <c r="Y597">
        <v>0.1616012</v>
      </c>
      <c r="Z597">
        <v>-2.6177430000000002E-2</v>
      </c>
      <c r="AA597">
        <v>0.98650890000000002</v>
      </c>
      <c r="AB597">
        <v>26</v>
      </c>
      <c r="AC597">
        <v>0.66629999999997802</v>
      </c>
      <c r="AD597">
        <v>-0.264709999999999</v>
      </c>
      <c r="AE597">
        <v>-0.137300000000038</v>
      </c>
      <c r="AF597">
        <v>0.119707560766078</v>
      </c>
      <c r="AG597">
        <v>-0.264709999999999</v>
      </c>
      <c r="AH597">
        <v>0.57858881561249398</v>
      </c>
      <c r="AI597">
        <v>114.133392204294</v>
      </c>
      <c r="AJ597">
        <v>78.310675461396897</v>
      </c>
      <c r="AK597">
        <v>0.64743053817103202</v>
      </c>
      <c r="AL597">
        <v>87.671953991395895</v>
      </c>
      <c r="AM597">
        <v>86.439741005433604</v>
      </c>
      <c r="AN597">
        <v>1.00000003550901</v>
      </c>
    </row>
    <row r="598" spans="1:40" x14ac:dyDescent="0.25">
      <c r="A598" t="str">
        <f>"20190312154811514"</f>
        <v>20190312154811514</v>
      </c>
      <c r="B598" t="str">
        <f>"1552376891506782"</f>
        <v>1552376891506782</v>
      </c>
      <c r="C598" t="s">
        <v>40</v>
      </c>
      <c r="D598">
        <v>4.8180370000000003</v>
      </c>
      <c r="E598">
        <v>0.54742999999999997</v>
      </c>
      <c r="F598" t="s">
        <v>41</v>
      </c>
      <c r="G598">
        <v>-328.2946</v>
      </c>
      <c r="H598">
        <v>0.88392219999999999</v>
      </c>
      <c r="I598">
        <v>367.49540000000002</v>
      </c>
      <c r="J598">
        <v>-328.84249999999997</v>
      </c>
      <c r="K598">
        <v>1.110112</v>
      </c>
      <c r="L598">
        <v>367.61270000000002</v>
      </c>
      <c r="M598">
        <v>0.99991010000000002</v>
      </c>
      <c r="N598">
        <v>0</v>
      </c>
      <c r="O598">
        <v>8.5221220000000005E-4</v>
      </c>
      <c r="P598">
        <v>0.99776370000000003</v>
      </c>
      <c r="Q598">
        <v>2.7217180000000001E-2</v>
      </c>
      <c r="R598">
        <v>-6.1049249999999999E-2</v>
      </c>
      <c r="S598">
        <v>3.0022890000000002</v>
      </c>
      <c r="T598">
        <v>-0.99582159999999997</v>
      </c>
      <c r="U598">
        <v>-0.51547240000000005</v>
      </c>
      <c r="V598">
        <v>6.1893570000000002E-2</v>
      </c>
      <c r="W598">
        <v>4.0575159999999999E-2</v>
      </c>
      <c r="X598">
        <v>0.99725759999999997</v>
      </c>
      <c r="Y598">
        <v>0.16159689999999999</v>
      </c>
      <c r="Z598">
        <v>-2.619869E-2</v>
      </c>
      <c r="AA598">
        <v>0.98650899999999997</v>
      </c>
      <c r="AB598">
        <v>26</v>
      </c>
      <c r="AC598">
        <v>0.54789999999996997</v>
      </c>
      <c r="AD598">
        <v>-0.226189799999999</v>
      </c>
      <c r="AE598">
        <v>-0.1173</v>
      </c>
      <c r="AF598">
        <v>0.10126483166549501</v>
      </c>
      <c r="AG598">
        <v>-0.226189799999999</v>
      </c>
      <c r="AH598">
        <v>0.47103935782608503</v>
      </c>
      <c r="AI598">
        <v>115.14849797700001</v>
      </c>
      <c r="AJ598">
        <v>77.867123211157903</v>
      </c>
      <c r="AK598">
        <v>0.53225413890123097</v>
      </c>
      <c r="AL598">
        <v>87.674576065114096</v>
      </c>
      <c r="AM598">
        <v>86.448562973272701</v>
      </c>
      <c r="AN598">
        <v>0.99999993918706298</v>
      </c>
    </row>
    <row r="599" spans="1:40" x14ac:dyDescent="0.25">
      <c r="A599" t="str">
        <f>"20190312154811526"</f>
        <v>20190312154811526</v>
      </c>
      <c r="B599" t="str">
        <f>"1552376891516543"</f>
        <v>1552376891516543</v>
      </c>
      <c r="C599" t="s">
        <v>40</v>
      </c>
      <c r="D599">
        <v>4.8769140000000002</v>
      </c>
      <c r="E599">
        <v>0.54742999999999997</v>
      </c>
      <c r="F599" t="s">
        <v>41</v>
      </c>
      <c r="G599">
        <v>-328.07459999999998</v>
      </c>
      <c r="H599">
        <v>0.85506859999999996</v>
      </c>
      <c r="I599">
        <v>367.48070000000001</v>
      </c>
      <c r="J599">
        <v>-328.6986</v>
      </c>
      <c r="K599">
        <v>1.1101129999999999</v>
      </c>
      <c r="L599">
        <v>367.61279999999999</v>
      </c>
      <c r="M599">
        <v>0.99991010000000002</v>
      </c>
      <c r="N599">
        <v>0</v>
      </c>
      <c r="O599">
        <v>9.0946569999999995E-4</v>
      </c>
      <c r="P599">
        <v>0.99775210000000003</v>
      </c>
      <c r="Q599">
        <v>2.7016350000000001E-2</v>
      </c>
      <c r="R599">
        <v>-6.1325650000000002E-2</v>
      </c>
      <c r="S599">
        <v>3.0024109999999999</v>
      </c>
      <c r="T599">
        <v>-0.99724889999999999</v>
      </c>
      <c r="U599">
        <v>-0.51486209999999999</v>
      </c>
      <c r="V599">
        <v>6.222722E-2</v>
      </c>
      <c r="W599">
        <v>4.0376960000000003E-2</v>
      </c>
      <c r="X599">
        <v>0.99724500000000005</v>
      </c>
      <c r="Y599">
        <v>0.16143389999999999</v>
      </c>
      <c r="Z599">
        <v>-2.6226010000000001E-2</v>
      </c>
      <c r="AA599">
        <v>0.98653500000000005</v>
      </c>
      <c r="AB599">
        <v>26</v>
      </c>
      <c r="AC599">
        <v>0.62400000000002298</v>
      </c>
      <c r="AD599">
        <v>-0.25504439999999901</v>
      </c>
      <c r="AE599">
        <v>-0.13209999999997901</v>
      </c>
      <c r="AF599">
        <v>0.114379341652609</v>
      </c>
      <c r="AG599">
        <v>-0.25504439999999901</v>
      </c>
      <c r="AH599">
        <v>0.53787804383950899</v>
      </c>
      <c r="AI599">
        <v>114.881741413379</v>
      </c>
      <c r="AJ599">
        <v>77.994921146824296</v>
      </c>
      <c r="AK599">
        <v>0.60617082560352697</v>
      </c>
      <c r="AL599">
        <v>87.685941678017898</v>
      </c>
      <c r="AM599">
        <v>86.429422621091703</v>
      </c>
      <c r="AN599">
        <v>1.0000000579163799</v>
      </c>
    </row>
    <row r="600" spans="1:40" x14ac:dyDescent="0.25">
      <c r="A600" t="str">
        <f>"20190312154811538"</f>
        <v>20190312154811538</v>
      </c>
      <c r="B600" t="str">
        <f>"1552376891526302"</f>
        <v>1552376891526302</v>
      </c>
      <c r="C600" t="s">
        <v>40</v>
      </c>
      <c r="D600">
        <v>4.880757</v>
      </c>
      <c r="E600">
        <v>0.54947579999999996</v>
      </c>
      <c r="F600" t="s">
        <v>41</v>
      </c>
      <c r="G600">
        <v>-327.85340000000002</v>
      </c>
      <c r="H600">
        <v>0.8292098</v>
      </c>
      <c r="I600">
        <v>367.4676</v>
      </c>
      <c r="J600">
        <v>-328.5686</v>
      </c>
      <c r="K600">
        <v>1.110114</v>
      </c>
      <c r="L600">
        <v>367.613</v>
      </c>
      <c r="M600">
        <v>0.99990999999999997</v>
      </c>
      <c r="N600">
        <v>0</v>
      </c>
      <c r="O600">
        <v>9.6100160000000005E-4</v>
      </c>
      <c r="P600">
        <v>0.99774649999999998</v>
      </c>
      <c r="Q600">
        <v>2.6867519999999999E-2</v>
      </c>
      <c r="R600">
        <v>-6.1483669999999997E-2</v>
      </c>
      <c r="S600">
        <v>3.0021059999999999</v>
      </c>
      <c r="T600">
        <v>-0.99776770000000004</v>
      </c>
      <c r="U600">
        <v>-0.51547240000000005</v>
      </c>
      <c r="V600">
        <v>6.2436760000000001E-2</v>
      </c>
      <c r="W600">
        <v>4.0230679999999998E-2</v>
      </c>
      <c r="X600">
        <v>0.9972377</v>
      </c>
      <c r="Y600">
        <v>0.16167119999999999</v>
      </c>
      <c r="Z600">
        <v>-2.6295760000000001E-2</v>
      </c>
      <c r="AA600">
        <v>0.98649430000000005</v>
      </c>
      <c r="AB600">
        <v>26</v>
      </c>
      <c r="AC600">
        <v>0.71519999999998096</v>
      </c>
      <c r="AD600">
        <v>-0.28090419999999999</v>
      </c>
      <c r="AE600">
        <v>-0.14540000000005099</v>
      </c>
      <c r="AF600">
        <v>0.127238216052837</v>
      </c>
      <c r="AG600">
        <v>-0.28090419999999999</v>
      </c>
      <c r="AH600">
        <v>0.62279847629676299</v>
      </c>
      <c r="AI600">
        <v>113.840989807992</v>
      </c>
      <c r="AJ600">
        <v>78.453325555902794</v>
      </c>
      <c r="AK600">
        <v>0.69496379422205801</v>
      </c>
      <c r="AL600">
        <v>87.6943294556457</v>
      </c>
      <c r="AM600">
        <v>86.417404389682304</v>
      </c>
      <c r="AN600">
        <v>0.999999943456923</v>
      </c>
    </row>
    <row r="601" spans="1:40" x14ac:dyDescent="0.25">
      <c r="A601" t="str">
        <f>"20190312154811554"</f>
        <v>20190312154811554</v>
      </c>
      <c r="B601" t="str">
        <f>"1552376891546798"</f>
        <v>1552376891546798</v>
      </c>
      <c r="C601" t="s">
        <v>40</v>
      </c>
      <c r="D601">
        <v>4.8117359999999998</v>
      </c>
      <c r="E601">
        <v>0.54625429999999997</v>
      </c>
      <c r="F601" t="s">
        <v>41</v>
      </c>
      <c r="G601">
        <v>-327.8329</v>
      </c>
      <c r="H601">
        <v>0.87890219999999897</v>
      </c>
      <c r="I601">
        <v>367.48180000000002</v>
      </c>
      <c r="J601">
        <v>-328.37729999999999</v>
      </c>
      <c r="K601">
        <v>1.110114</v>
      </c>
      <c r="L601">
        <v>367.61329999999998</v>
      </c>
      <c r="M601">
        <v>0.99990979999999996</v>
      </c>
      <c r="N601">
        <v>0</v>
      </c>
      <c r="O601">
        <v>1.0363130000000001E-3</v>
      </c>
      <c r="P601">
        <v>0.99770950000000003</v>
      </c>
      <c r="Q601">
        <v>2.6959159999999999E-2</v>
      </c>
      <c r="R601">
        <v>-6.203823E-2</v>
      </c>
      <c r="S601">
        <v>2.9992070000000002</v>
      </c>
      <c r="T601">
        <v>-0.94258549999999997</v>
      </c>
      <c r="U601">
        <v>-0.53463749999999999</v>
      </c>
      <c r="V601">
        <v>6.3066449999999996E-2</v>
      </c>
      <c r="W601">
        <v>4.03255E-2</v>
      </c>
      <c r="X601">
        <v>0.99719429999999998</v>
      </c>
      <c r="Y601">
        <v>0.1685799</v>
      </c>
      <c r="Z601">
        <v>-2.5993889999999999E-2</v>
      </c>
      <c r="AA601">
        <v>0.98534520000000003</v>
      </c>
      <c r="AB601">
        <v>26</v>
      </c>
      <c r="AC601">
        <v>0.544399999999996</v>
      </c>
      <c r="AD601">
        <v>-0.2312118</v>
      </c>
      <c r="AE601">
        <v>-0.13149999999995901</v>
      </c>
      <c r="AF601">
        <v>0.112833500870996</v>
      </c>
      <c r="AG601">
        <v>-0.2312118</v>
      </c>
      <c r="AH601">
        <v>0.46500997944804701</v>
      </c>
      <c r="AI601">
        <v>115.78972355944801</v>
      </c>
      <c r="AJ601">
        <v>76.360925020139803</v>
      </c>
      <c r="AK601">
        <v>0.53143633331220197</v>
      </c>
      <c r="AL601">
        <v>87.688892382270495</v>
      </c>
      <c r="AM601">
        <v>86.381211491345297</v>
      </c>
      <c r="AN601">
        <v>0.99999999750917101</v>
      </c>
    </row>
    <row r="602" spans="1:40" x14ac:dyDescent="0.25">
      <c r="A602" t="str">
        <f>"20190312154811566"</f>
        <v>20190312154811566</v>
      </c>
      <c r="B602" t="str">
        <f>"1552376891556559"</f>
        <v>1552376891556559</v>
      </c>
      <c r="C602" t="s">
        <v>40</v>
      </c>
      <c r="D602">
        <v>4.8788049999999998</v>
      </c>
      <c r="E602">
        <v>0.54625429999999997</v>
      </c>
      <c r="F602" t="s">
        <v>41</v>
      </c>
      <c r="G602">
        <v>-327.61349999999999</v>
      </c>
      <c r="H602">
        <v>0.85162939999999998</v>
      </c>
      <c r="I602">
        <v>367.48399999999998</v>
      </c>
      <c r="J602">
        <v>-328.24040000000002</v>
      </c>
      <c r="K602">
        <v>1.1101160000000001</v>
      </c>
      <c r="L602">
        <v>367.61349999999999</v>
      </c>
      <c r="M602">
        <v>0.99990979999999996</v>
      </c>
      <c r="N602">
        <v>0</v>
      </c>
      <c r="O602">
        <v>1.089879E-3</v>
      </c>
      <c r="P602">
        <v>0.99770170000000002</v>
      </c>
      <c r="Q602">
        <v>2.7238109999999999E-2</v>
      </c>
      <c r="R602">
        <v>-6.2045629999999997E-2</v>
      </c>
      <c r="S602">
        <v>3.002777</v>
      </c>
      <c r="T602">
        <v>-1.0161979999999999</v>
      </c>
      <c r="U602">
        <v>-0.50762940000000001</v>
      </c>
      <c r="V602">
        <v>6.3127119999999995E-2</v>
      </c>
      <c r="W602">
        <v>4.0606129999999997E-2</v>
      </c>
      <c r="X602">
        <v>0.99717909999999998</v>
      </c>
      <c r="Y602">
        <v>0.15908059999999999</v>
      </c>
      <c r="Z602">
        <v>-2.63748E-2</v>
      </c>
      <c r="AA602">
        <v>0.98691329999999999</v>
      </c>
      <c r="AB602">
        <v>26</v>
      </c>
      <c r="AC602">
        <v>0.62690000000003399</v>
      </c>
      <c r="AD602">
        <v>-0.25848659999999901</v>
      </c>
      <c r="AE602">
        <v>-0.12949999999994999</v>
      </c>
      <c r="AF602">
        <v>0.111932218376217</v>
      </c>
      <c r="AG602">
        <v>-0.25848659999999901</v>
      </c>
      <c r="AH602">
        <v>0.53889020007381905</v>
      </c>
      <c r="AI602">
        <v>115.156666229186</v>
      </c>
      <c r="AJ602">
        <v>78.266011859103102</v>
      </c>
      <c r="AK602">
        <v>0.608068081406829</v>
      </c>
      <c r="AL602">
        <v>87.6728003492384</v>
      </c>
      <c r="AM602">
        <v>86.377684409555897</v>
      </c>
      <c r="AN602">
        <v>1.0000000242749401</v>
      </c>
    </row>
    <row r="603" spans="1:40" x14ac:dyDescent="0.25">
      <c r="A603" t="str">
        <f>"20190312154811578"</f>
        <v>20190312154811578</v>
      </c>
      <c r="B603" t="str">
        <f>"1552376891566318"</f>
        <v>1552376891566318</v>
      </c>
      <c r="C603" t="s">
        <v>40</v>
      </c>
      <c r="D603">
        <v>4.9206839999999996</v>
      </c>
      <c r="E603">
        <v>0.54909189999999997</v>
      </c>
      <c r="F603" t="s">
        <v>41</v>
      </c>
      <c r="G603">
        <v>-327.39339999999999</v>
      </c>
      <c r="H603">
        <v>0.82375710000000002</v>
      </c>
      <c r="I603">
        <v>367.47019999999998</v>
      </c>
      <c r="J603">
        <v>-328.09739999999999</v>
      </c>
      <c r="K603">
        <v>1.1101190000000001</v>
      </c>
      <c r="L603">
        <v>367.61369999999999</v>
      </c>
      <c r="M603">
        <v>0.99990979999999996</v>
      </c>
      <c r="N603">
        <v>0</v>
      </c>
      <c r="O603">
        <v>1.1458250000000001E-3</v>
      </c>
      <c r="P603">
        <v>0.99767819999999996</v>
      </c>
      <c r="Q603">
        <v>2.7325200000000001E-2</v>
      </c>
      <c r="R603">
        <v>-6.2384530000000001E-2</v>
      </c>
      <c r="S603">
        <v>3.0030209999999999</v>
      </c>
      <c r="T603">
        <v>-1.015298</v>
      </c>
      <c r="U603">
        <v>-0.50778199999999996</v>
      </c>
      <c r="V603">
        <v>6.352178E-2</v>
      </c>
      <c r="W603">
        <v>4.069474E-2</v>
      </c>
      <c r="X603">
        <v>0.99715039999999999</v>
      </c>
      <c r="Y603">
        <v>0.1591793</v>
      </c>
      <c r="Z603">
        <v>-2.6384939999999999E-2</v>
      </c>
      <c r="AA603">
        <v>0.98689709999999997</v>
      </c>
      <c r="AB603">
        <v>26</v>
      </c>
      <c r="AC603">
        <v>0.70400000000000695</v>
      </c>
      <c r="AD603">
        <v>-0.2863619</v>
      </c>
      <c r="AE603">
        <v>-0.143500000000017</v>
      </c>
      <c r="AF603">
        <v>0.12452500739865199</v>
      </c>
      <c r="AG603">
        <v>-0.2863619</v>
      </c>
      <c r="AH603">
        <v>0.60735300467351006</v>
      </c>
      <c r="AI603">
        <v>114.791438598656</v>
      </c>
      <c r="AJ603">
        <v>78.413276664979307</v>
      </c>
      <c r="AK603">
        <v>0.682925535856718</v>
      </c>
      <c r="AL603">
        <v>87.667719112125198</v>
      </c>
      <c r="AM603">
        <v>86.354994544717101</v>
      </c>
      <c r="AN603">
        <v>0.999999999309098</v>
      </c>
    </row>
    <row r="604" spans="1:40" x14ac:dyDescent="0.25">
      <c r="A604" t="str">
        <f>"20190312154811590"</f>
        <v>20190312154811590</v>
      </c>
      <c r="B604" t="str">
        <f>"1552376891586345"</f>
        <v>1552376891586345</v>
      </c>
      <c r="C604" t="s">
        <v>40</v>
      </c>
      <c r="D604">
        <v>4.9334809999999996</v>
      </c>
      <c r="E604">
        <v>0.54865730000000001</v>
      </c>
      <c r="F604" t="s">
        <v>41</v>
      </c>
      <c r="G604">
        <v>-327.36829999999998</v>
      </c>
      <c r="H604">
        <v>0.8843027</v>
      </c>
      <c r="I604">
        <v>367.4837</v>
      </c>
      <c r="J604">
        <v>-327.9742</v>
      </c>
      <c r="K604">
        <v>1.1101209999999999</v>
      </c>
      <c r="L604">
        <v>367.6139</v>
      </c>
      <c r="M604">
        <v>0.99990950000000001</v>
      </c>
      <c r="N604">
        <v>0</v>
      </c>
      <c r="O604">
        <v>1.1941479999999999E-3</v>
      </c>
      <c r="P604">
        <v>0.9976486</v>
      </c>
      <c r="Q604">
        <v>2.785723E-2</v>
      </c>
      <c r="R604">
        <v>-6.2620369999999995E-2</v>
      </c>
      <c r="S604">
        <v>2.998993</v>
      </c>
      <c r="T604">
        <v>-0.92881380000000002</v>
      </c>
      <c r="U604">
        <v>-0.53469849999999997</v>
      </c>
      <c r="V604">
        <v>6.3805760000000003E-2</v>
      </c>
      <c r="W604">
        <v>4.1227880000000001E-2</v>
      </c>
      <c r="X604">
        <v>0.99711039999999995</v>
      </c>
      <c r="Y604">
        <v>0.16896620000000001</v>
      </c>
      <c r="Z604">
        <v>-2.5737969999999999E-2</v>
      </c>
      <c r="AA604">
        <v>0.98528579999999999</v>
      </c>
      <c r="AB604">
        <v>26</v>
      </c>
      <c r="AC604">
        <v>0.60590000000001898</v>
      </c>
      <c r="AD604">
        <v>-0.225818299999999</v>
      </c>
      <c r="AE604">
        <v>-0.13020000000000201</v>
      </c>
      <c r="AF604">
        <v>0.115577831736034</v>
      </c>
      <c r="AG604">
        <v>-0.225818299999999</v>
      </c>
      <c r="AH604">
        <v>0.53474420908962605</v>
      </c>
      <c r="AI604">
        <v>112.42893300068999</v>
      </c>
      <c r="AJ604">
        <v>77.803885548362899</v>
      </c>
      <c r="AK604">
        <v>0.591864434612</v>
      </c>
      <c r="AL604">
        <v>87.637146857484495</v>
      </c>
      <c r="AM604">
        <v>86.338596960255003</v>
      </c>
      <c r="AN604">
        <v>1.00000003144331</v>
      </c>
    </row>
    <row r="605" spans="1:40" x14ac:dyDescent="0.25">
      <c r="A605" t="str">
        <f>"20190312154811602"</f>
        <v>20190312154811602</v>
      </c>
      <c r="B605" t="str">
        <f>"1552376891597080"</f>
        <v>1552376891597080</v>
      </c>
      <c r="C605" t="s">
        <v>40</v>
      </c>
      <c r="D605">
        <v>4.9132099999999896</v>
      </c>
      <c r="E605">
        <v>0.54862330000000004</v>
      </c>
      <c r="F605" t="s">
        <v>41</v>
      </c>
      <c r="G605">
        <v>-327.14890000000003</v>
      </c>
      <c r="H605">
        <v>0.85586569999999995</v>
      </c>
      <c r="I605">
        <v>367.46710000000002</v>
      </c>
      <c r="J605">
        <v>-327.82119999999998</v>
      </c>
      <c r="K605">
        <v>1.1101219999999901</v>
      </c>
      <c r="L605">
        <v>367.61410000000001</v>
      </c>
      <c r="M605">
        <v>0.99990950000000001</v>
      </c>
      <c r="N605">
        <v>0</v>
      </c>
      <c r="O605">
        <v>1.2534390000000001E-3</v>
      </c>
      <c r="P605">
        <v>0.99766279999999996</v>
      </c>
      <c r="Q605">
        <v>2.7955540000000001E-2</v>
      </c>
      <c r="R605">
        <v>-6.235214E-2</v>
      </c>
      <c r="S605">
        <v>2.9995419999999999</v>
      </c>
      <c r="T605">
        <v>-0.92416620000000005</v>
      </c>
      <c r="U605">
        <v>-0.532196</v>
      </c>
      <c r="V605">
        <v>6.3596539999999993E-2</v>
      </c>
      <c r="W605">
        <v>4.1327929999999999E-2</v>
      </c>
      <c r="X605">
        <v>0.99711959999999999</v>
      </c>
      <c r="Y605">
        <v>0.1683007</v>
      </c>
      <c r="Z605">
        <v>-2.5530359999999998E-2</v>
      </c>
      <c r="AA605">
        <v>0.98540499999999998</v>
      </c>
      <c r="AB605">
        <v>26</v>
      </c>
      <c r="AC605">
        <v>0.67229999999995005</v>
      </c>
      <c r="AD605">
        <v>-0.25425629999999899</v>
      </c>
      <c r="AE605">
        <v>-0.146999999999991</v>
      </c>
      <c r="AF605">
        <v>0.130085829152643</v>
      </c>
      <c r="AG605">
        <v>-0.25425629999999899</v>
      </c>
      <c r="AH605">
        <v>0.59138999961019401</v>
      </c>
      <c r="AI605">
        <v>112.777132144042</v>
      </c>
      <c r="AJ605">
        <v>77.594426995116905</v>
      </c>
      <c r="AK605">
        <v>0.65674250713271598</v>
      </c>
      <c r="AL605">
        <v>87.631409467564595</v>
      </c>
      <c r="AM605">
        <v>86.350603835507897</v>
      </c>
      <c r="AN605">
        <v>1.0000000072010999</v>
      </c>
    </row>
    <row r="606" spans="1:40" x14ac:dyDescent="0.25">
      <c r="A606" t="str">
        <f>"20190312154811614"</f>
        <v>20190312154811614</v>
      </c>
      <c r="B606" t="str">
        <f>"1552376891606841"</f>
        <v>1552376891606841</v>
      </c>
      <c r="C606" t="s">
        <v>40</v>
      </c>
      <c r="D606">
        <v>4.975015</v>
      </c>
      <c r="E606">
        <v>0.54906029999999995</v>
      </c>
      <c r="F606" t="s">
        <v>41</v>
      </c>
      <c r="G606">
        <v>-327.13209999999998</v>
      </c>
      <c r="H606">
        <v>0.89764650000000001</v>
      </c>
      <c r="I606">
        <v>367.49180000000001</v>
      </c>
      <c r="J606">
        <v>-327.68459999999999</v>
      </c>
      <c r="K606">
        <v>1.1101240000000001</v>
      </c>
      <c r="L606">
        <v>367.61439999999999</v>
      </c>
      <c r="M606">
        <v>0.99990950000000001</v>
      </c>
      <c r="N606">
        <v>0</v>
      </c>
      <c r="O606">
        <v>1.3066519999999999E-3</v>
      </c>
      <c r="P606">
        <v>0.99764070000000005</v>
      </c>
      <c r="Q606">
        <v>2.807407E-2</v>
      </c>
      <c r="R606">
        <v>-6.2650269999999994E-2</v>
      </c>
      <c r="S606">
        <v>2.9997859999999998</v>
      </c>
      <c r="T606">
        <v>-0.9250737</v>
      </c>
      <c r="U606">
        <v>-0.53091429999999995</v>
      </c>
      <c r="V606">
        <v>6.394801E-2</v>
      </c>
      <c r="W606">
        <v>4.1447039999999997E-2</v>
      </c>
      <c r="X606">
        <v>0.99709219999999998</v>
      </c>
      <c r="Y606">
        <v>0.1679312</v>
      </c>
      <c r="Z606">
        <v>-2.5513910000000001E-2</v>
      </c>
      <c r="AA606">
        <v>0.98546849999999997</v>
      </c>
      <c r="AB606">
        <v>26</v>
      </c>
      <c r="AC606">
        <v>0.55250000000000898</v>
      </c>
      <c r="AD606">
        <v>-0.21247749999999899</v>
      </c>
      <c r="AE606">
        <v>-0.12259999999997701</v>
      </c>
      <c r="AF606">
        <v>0.10808635907901799</v>
      </c>
      <c r="AG606">
        <v>-0.21247749999999899</v>
      </c>
      <c r="AH606">
        <v>0.48410179397750103</v>
      </c>
      <c r="AI606">
        <v>113.188529473278</v>
      </c>
      <c r="AJ606">
        <v>77.413889578251101</v>
      </c>
      <c r="AK606">
        <v>0.53961458093480297</v>
      </c>
      <c r="AL606">
        <v>87.624579169540993</v>
      </c>
      <c r="AM606">
        <v>86.330389627029803</v>
      </c>
      <c r="AN606">
        <v>1.00000003020428</v>
      </c>
    </row>
    <row r="607" spans="1:40" x14ac:dyDescent="0.25">
      <c r="A607" t="str">
        <f>"20190312154811627"</f>
        <v>20190312154811627</v>
      </c>
      <c r="B607" t="str">
        <f>"1552376891616601"</f>
        <v>1552376891616601</v>
      </c>
      <c r="C607" t="s">
        <v>40</v>
      </c>
      <c r="D607">
        <v>4.892258</v>
      </c>
      <c r="E607">
        <v>0.5486645</v>
      </c>
      <c r="F607" t="s">
        <v>41</v>
      </c>
      <c r="G607">
        <v>-326.91210000000001</v>
      </c>
      <c r="H607">
        <v>0.87104400000000004</v>
      </c>
      <c r="I607">
        <v>367.47649999999999</v>
      </c>
      <c r="J607">
        <v>-327.53769999999997</v>
      </c>
      <c r="K607">
        <v>1.1101259999999999</v>
      </c>
      <c r="L607">
        <v>367.6146</v>
      </c>
      <c r="M607">
        <v>0.9999093</v>
      </c>
      <c r="N607">
        <v>0</v>
      </c>
      <c r="O607">
        <v>1.363918E-3</v>
      </c>
      <c r="P607">
        <v>0.99763939999999995</v>
      </c>
      <c r="Q607">
        <v>2.829079E-2</v>
      </c>
      <c r="R607">
        <v>-6.257132E-2</v>
      </c>
      <c r="S607">
        <v>2.999603</v>
      </c>
      <c r="T607">
        <v>-0.92844939999999998</v>
      </c>
      <c r="U607">
        <v>-0.53527829999999998</v>
      </c>
      <c r="V607">
        <v>6.3926129999999998E-2</v>
      </c>
      <c r="W607">
        <v>4.1664760000000002E-2</v>
      </c>
      <c r="X607">
        <v>0.99708450000000004</v>
      </c>
      <c r="Y607">
        <v>0.169270899999999</v>
      </c>
      <c r="Z607">
        <v>-2.5819709999999999E-2</v>
      </c>
      <c r="AA607">
        <v>0.98523130000000003</v>
      </c>
      <c r="AB607">
        <v>26</v>
      </c>
      <c r="AC607">
        <v>0.62559999999996296</v>
      </c>
      <c r="AD607">
        <v>-0.23908199999999899</v>
      </c>
      <c r="AE607">
        <v>-0.13810000000000799</v>
      </c>
      <c r="AF607">
        <v>0.121967603342817</v>
      </c>
      <c r="AG607">
        <v>-0.23908199999999899</v>
      </c>
      <c r="AH607">
        <v>0.54896092916091099</v>
      </c>
      <c r="AI607">
        <v>113.03278442745101</v>
      </c>
      <c r="AJ607">
        <v>77.473550925251502</v>
      </c>
      <c r="AK607">
        <v>0.61106006311524097</v>
      </c>
      <c r="AL607">
        <v>87.612093878575493</v>
      </c>
      <c r="AM607">
        <v>86.331613514450595</v>
      </c>
      <c r="AN607">
        <v>1.0000000012314401</v>
      </c>
    </row>
    <row r="608" spans="1:40" x14ac:dyDescent="0.25">
      <c r="A608" t="str">
        <f>"20190312154811645"</f>
        <v>20190312154811645</v>
      </c>
      <c r="B608" t="str">
        <f>"1552376891637096"</f>
        <v>1552376891637096</v>
      </c>
      <c r="C608" t="s">
        <v>40</v>
      </c>
      <c r="D608">
        <v>4.9123049999999999</v>
      </c>
      <c r="E608">
        <v>0.54829939999999999</v>
      </c>
      <c r="F608" t="s">
        <v>41</v>
      </c>
      <c r="G608">
        <v>-326.69080000000002</v>
      </c>
      <c r="H608">
        <v>0.84849569999999996</v>
      </c>
      <c r="I608">
        <v>367.46440000000001</v>
      </c>
      <c r="J608">
        <v>-327.32279999999997</v>
      </c>
      <c r="K608">
        <v>1.110128</v>
      </c>
      <c r="L608">
        <v>367.61500000000001</v>
      </c>
      <c r="M608">
        <v>0.9999093</v>
      </c>
      <c r="N608">
        <v>0</v>
      </c>
      <c r="O608">
        <v>1.447465E-3</v>
      </c>
      <c r="P608">
        <v>0.99764379999999997</v>
      </c>
      <c r="Q608">
        <v>2.8263199999999999E-2</v>
      </c>
      <c r="R608">
        <v>-6.2517110000000001E-2</v>
      </c>
      <c r="S608">
        <v>3.0000309999999999</v>
      </c>
      <c r="T608">
        <v>-0.92673919999999999</v>
      </c>
      <c r="U608">
        <v>-0.53146359999999904</v>
      </c>
      <c r="V608">
        <v>6.3955349999999994E-2</v>
      </c>
      <c r="W608">
        <v>4.1638559999999998E-2</v>
      </c>
      <c r="X608">
        <v>0.99708370000000002</v>
      </c>
      <c r="Y608">
        <v>0.16818749999999999</v>
      </c>
      <c r="Z608">
        <v>-2.5636119999999998E-2</v>
      </c>
      <c r="AA608">
        <v>0.98542160000000001</v>
      </c>
      <c r="AB608">
        <v>26</v>
      </c>
      <c r="AC608">
        <v>0.63199999999994805</v>
      </c>
      <c r="AD608">
        <v>-0.26163229999999899</v>
      </c>
      <c r="AE608">
        <v>-0.15059999999999699</v>
      </c>
      <c r="AF608">
        <v>0.130372573610917</v>
      </c>
      <c r="AG608">
        <v>-0.26163229999999899</v>
      </c>
      <c r="AH608">
        <v>0.54362346318997901</v>
      </c>
      <c r="AI608">
        <v>115.079805828193</v>
      </c>
      <c r="AJ608">
        <v>76.513939468563606</v>
      </c>
      <c r="AK608">
        <v>0.61723167294289905</v>
      </c>
      <c r="AL608">
        <v>87.613596282666194</v>
      </c>
      <c r="AM608">
        <v>86.329938376532894</v>
      </c>
      <c r="AN608">
        <v>0.99999998063909201</v>
      </c>
    </row>
    <row r="609" spans="1:40" x14ac:dyDescent="0.25">
      <c r="A609" t="str">
        <f>"20190312154811668"</f>
        <v>20190312154811668</v>
      </c>
      <c r="B609" t="str">
        <f>"1552376891656616"</f>
        <v>1552376891656616</v>
      </c>
      <c r="C609" t="s">
        <v>40</v>
      </c>
      <c r="D609">
        <v>4.8755889999999997</v>
      </c>
      <c r="E609">
        <v>0.54818369999999905</v>
      </c>
      <c r="F609" t="s">
        <v>41</v>
      </c>
      <c r="G609">
        <v>-326.46249999999998</v>
      </c>
      <c r="H609">
        <v>0.84391579999999999</v>
      </c>
      <c r="I609">
        <v>367.4633</v>
      </c>
      <c r="J609">
        <v>-327.07380000000001</v>
      </c>
      <c r="K609">
        <v>1.1101259999999999</v>
      </c>
      <c r="L609">
        <v>367.61540000000002</v>
      </c>
      <c r="M609">
        <v>0.99990919999999905</v>
      </c>
      <c r="N609">
        <v>0</v>
      </c>
      <c r="O609">
        <v>1.5444879999999999E-3</v>
      </c>
      <c r="P609">
        <v>0.99765340000000002</v>
      </c>
      <c r="Q609">
        <v>2.8535000000000001E-2</v>
      </c>
      <c r="R609">
        <v>-6.2238950000000001E-2</v>
      </c>
      <c r="S609">
        <v>3.0002749999999998</v>
      </c>
      <c r="T609">
        <v>-0.92845449999999996</v>
      </c>
      <c r="U609">
        <v>-0.5285339</v>
      </c>
      <c r="V609">
        <v>6.3774049999999999E-2</v>
      </c>
      <c r="W609">
        <v>4.1911070000000002E-2</v>
      </c>
      <c r="X609">
        <v>0.99708390000000002</v>
      </c>
      <c r="Y609">
        <v>0.16734189999999999</v>
      </c>
      <c r="Z609">
        <v>-2.5583749999999999E-2</v>
      </c>
      <c r="AA609">
        <v>0.98556690000000002</v>
      </c>
      <c r="AB609">
        <v>26</v>
      </c>
      <c r="AC609">
        <v>0.61130000000002804</v>
      </c>
      <c r="AD609">
        <v>-0.26621019999999901</v>
      </c>
      <c r="AE609">
        <v>-0.152100000000018</v>
      </c>
      <c r="AF609">
        <v>0.12985367360629399</v>
      </c>
      <c r="AG609">
        <v>-0.26621019999999901</v>
      </c>
      <c r="AH609">
        <v>0.51847131035462701</v>
      </c>
      <c r="AI609">
        <v>116.476443873478</v>
      </c>
      <c r="AJ609">
        <v>75.939229160871804</v>
      </c>
      <c r="AK609">
        <v>0.59711167028783996</v>
      </c>
      <c r="AL609">
        <v>87.597968979136894</v>
      </c>
      <c r="AM609">
        <v>86.340314649111207</v>
      </c>
      <c r="AN609">
        <v>0.999999985440578</v>
      </c>
    </row>
    <row r="610" spans="1:40" x14ac:dyDescent="0.25">
      <c r="A610" t="str">
        <f>"20190312154811683"</f>
        <v>20190312154811683</v>
      </c>
      <c r="B610" t="str">
        <f>"1552376891676644"</f>
        <v>1552376891676644</v>
      </c>
      <c r="C610" t="s">
        <v>40</v>
      </c>
      <c r="D610">
        <v>4.9378549999999999</v>
      </c>
      <c r="E610">
        <v>0.54793000000000003</v>
      </c>
      <c r="F610" t="s">
        <v>41</v>
      </c>
      <c r="G610">
        <v>-326.2303</v>
      </c>
      <c r="H610">
        <v>0.849425599999999</v>
      </c>
      <c r="I610">
        <v>367.46699999999998</v>
      </c>
      <c r="J610">
        <v>-326.89609999999999</v>
      </c>
      <c r="K610">
        <v>1.1101259999999999</v>
      </c>
      <c r="L610">
        <v>367.61579999999998</v>
      </c>
      <c r="M610">
        <v>0.99990889999999999</v>
      </c>
      <c r="N610">
        <v>0</v>
      </c>
      <c r="O610">
        <v>1.613529E-3</v>
      </c>
      <c r="P610">
        <v>0.99766370000000004</v>
      </c>
      <c r="Q610">
        <v>2.8638609999999998E-2</v>
      </c>
      <c r="R610">
        <v>-6.2022910000000001E-2</v>
      </c>
      <c r="S610">
        <v>3.0006710000000001</v>
      </c>
      <c r="T610">
        <v>-0.92731019999999997</v>
      </c>
      <c r="U610">
        <v>-0.52700809999999998</v>
      </c>
      <c r="V610">
        <v>6.3626829999999995E-2</v>
      </c>
      <c r="W610">
        <v>4.2011590000000001E-2</v>
      </c>
      <c r="X610">
        <v>0.99708909999999995</v>
      </c>
      <c r="Y610">
        <v>0.16693629999999901</v>
      </c>
      <c r="Z610">
        <v>-2.5511349999999999E-2</v>
      </c>
      <c r="AA610">
        <v>0.9856376</v>
      </c>
      <c r="AB610">
        <v>26</v>
      </c>
      <c r="AC610">
        <v>0.66579999999998996</v>
      </c>
      <c r="AD610">
        <v>-0.2607004</v>
      </c>
      <c r="AE610">
        <v>-0.14879999999999399</v>
      </c>
      <c r="AF610">
        <v>0.13077738723041199</v>
      </c>
      <c r="AG610">
        <v>-0.2607004</v>
      </c>
      <c r="AH610">
        <v>0.58075422645119901</v>
      </c>
      <c r="AI610">
        <v>113.650223389804</v>
      </c>
      <c r="AJ610">
        <v>77.3095047740387</v>
      </c>
      <c r="AK610">
        <v>0.64987913884960402</v>
      </c>
      <c r="AL610">
        <v>87.592204589977996</v>
      </c>
      <c r="AM610">
        <v>86.348759005452806</v>
      </c>
      <c r="AN610">
        <v>1.0000000102644899</v>
      </c>
    </row>
    <row r="611" spans="1:40" x14ac:dyDescent="0.25">
      <c r="A611" t="str">
        <f>"20190312154811699"</f>
        <v>20190312154811699</v>
      </c>
      <c r="B611" t="str">
        <f>"1552376891696671"</f>
        <v>1552376891696671</v>
      </c>
      <c r="C611" t="s">
        <v>40</v>
      </c>
      <c r="D611">
        <v>4.9310970000000003</v>
      </c>
      <c r="E611">
        <v>0.54778919999999998</v>
      </c>
      <c r="F611" t="s">
        <v>41</v>
      </c>
      <c r="G611">
        <v>-326.21069999999997</v>
      </c>
      <c r="H611">
        <v>0.89827969999999902</v>
      </c>
      <c r="I611">
        <v>367.49579999999997</v>
      </c>
      <c r="J611">
        <v>-326.70679999999999</v>
      </c>
      <c r="K611">
        <v>1.1101270000000001</v>
      </c>
      <c r="L611">
        <v>367.61619999999999</v>
      </c>
      <c r="M611">
        <v>0.99990889999999999</v>
      </c>
      <c r="N611">
        <v>0</v>
      </c>
      <c r="O611">
        <v>1.6875579999999901E-3</v>
      </c>
      <c r="P611">
        <v>0.99767099999999997</v>
      </c>
      <c r="Q611">
        <v>2.842358E-2</v>
      </c>
      <c r="R611">
        <v>-6.2006869999999999E-2</v>
      </c>
      <c r="S611">
        <v>3.001007</v>
      </c>
      <c r="T611">
        <v>-0.92739819999999995</v>
      </c>
      <c r="U611">
        <v>-0.52416989999999997</v>
      </c>
      <c r="V611">
        <v>6.3684519999999994E-2</v>
      </c>
      <c r="W611">
        <v>4.1786719999999999E-2</v>
      </c>
      <c r="X611">
        <v>0.99709490000000001</v>
      </c>
      <c r="Y611">
        <v>0.1661184</v>
      </c>
      <c r="Z611">
        <v>-2.5412480000000001E-2</v>
      </c>
      <c r="AA611">
        <v>0.9857783</v>
      </c>
      <c r="AB611">
        <v>26</v>
      </c>
      <c r="AC611">
        <v>0.49610000000001198</v>
      </c>
      <c r="AD611">
        <v>-0.21184729999999999</v>
      </c>
      <c r="AE611">
        <v>-0.12040000000001699</v>
      </c>
      <c r="AF611">
        <v>0.103426298562963</v>
      </c>
      <c r="AG611">
        <v>-0.21184729999999999</v>
      </c>
      <c r="AH611">
        <v>0.42304457065641798</v>
      </c>
      <c r="AI611">
        <v>115.940221358023</v>
      </c>
      <c r="AJ611">
        <v>76.261763137507003</v>
      </c>
      <c r="AK611">
        <v>0.48429638292433902</v>
      </c>
      <c r="AL611">
        <v>87.605100096432295</v>
      </c>
      <c r="AM611">
        <v>86.345478619073006</v>
      </c>
      <c r="AN611">
        <v>1.0000000438309899</v>
      </c>
    </row>
    <row r="612" spans="1:40" x14ac:dyDescent="0.25">
      <c r="A612" t="str">
        <f>"20190312154811711"</f>
        <v>20190312154811711</v>
      </c>
      <c r="B612" t="str">
        <f>"1552376891706431"</f>
        <v>1552376891706431</v>
      </c>
      <c r="C612" t="s">
        <v>40</v>
      </c>
      <c r="D612">
        <v>4.9212569999999998</v>
      </c>
      <c r="E612">
        <v>0.54773249999999996</v>
      </c>
      <c r="F612" t="s">
        <v>41</v>
      </c>
      <c r="G612">
        <v>-325.9855</v>
      </c>
      <c r="H612">
        <v>0.88676189999999999</v>
      </c>
      <c r="I612">
        <v>367.49040000000002</v>
      </c>
      <c r="J612">
        <v>-326.57350000000002</v>
      </c>
      <c r="K612">
        <v>1.1101240000000001</v>
      </c>
      <c r="L612">
        <v>367.61649999999997</v>
      </c>
      <c r="M612">
        <v>0.99990900000000005</v>
      </c>
      <c r="N612">
        <v>0</v>
      </c>
      <c r="O612">
        <v>1.7394820000000001E-3</v>
      </c>
      <c r="P612">
        <v>0.99767930000000005</v>
      </c>
      <c r="Q612">
        <v>2.8589E-2</v>
      </c>
      <c r="R612">
        <v>-6.179552E-2</v>
      </c>
      <c r="S612">
        <v>3.0009459999999999</v>
      </c>
      <c r="T612">
        <v>-0.92936830000000004</v>
      </c>
      <c r="U612">
        <v>-0.52291869999999996</v>
      </c>
      <c r="V612">
        <v>6.3525150000000002E-2</v>
      </c>
      <c r="W612">
        <v>4.1941560000000003E-2</v>
      </c>
      <c r="X612">
        <v>0.9970985</v>
      </c>
      <c r="Y612">
        <v>0.1657555</v>
      </c>
      <c r="Z612">
        <v>-2.5426520000000001E-2</v>
      </c>
      <c r="AA612">
        <v>0.98583900000000002</v>
      </c>
      <c r="AB612">
        <v>26</v>
      </c>
      <c r="AC612">
        <v>0.58800000000002195</v>
      </c>
      <c r="AD612">
        <v>-0.22336209999999901</v>
      </c>
      <c r="AE612">
        <v>-0.126099999999951</v>
      </c>
      <c r="AF612">
        <v>0.111711586602109</v>
      </c>
      <c r="AG612">
        <v>-0.22336209999999901</v>
      </c>
      <c r="AH612">
        <v>0.51652300657192696</v>
      </c>
      <c r="AI612">
        <v>112.91192697474099</v>
      </c>
      <c r="AJ612">
        <v>77.796252913835701</v>
      </c>
      <c r="AK612">
        <v>0.57373000846711297</v>
      </c>
      <c r="AL612">
        <v>87.596220477676695</v>
      </c>
      <c r="AM612">
        <v>86.354612464116997</v>
      </c>
      <c r="AN612">
        <v>0.99999997892000203</v>
      </c>
    </row>
    <row r="613" spans="1:40" x14ac:dyDescent="0.25">
      <c r="A613" t="str">
        <f>"20190312154811722"</f>
        <v>20190312154811722</v>
      </c>
      <c r="B613" t="str">
        <f>"1552376891716191"</f>
        <v>1552376891716191</v>
      </c>
      <c r="C613" t="s">
        <v>40</v>
      </c>
      <c r="D613">
        <v>4.8831419999999897</v>
      </c>
      <c r="E613">
        <v>0.54773249999999996</v>
      </c>
      <c r="F613" t="s">
        <v>41</v>
      </c>
      <c r="G613">
        <v>-325.76650000000001</v>
      </c>
      <c r="H613">
        <v>0.86024509999999899</v>
      </c>
      <c r="I613">
        <v>367.47579999999999</v>
      </c>
      <c r="J613">
        <v>-326.43810000000002</v>
      </c>
      <c r="K613">
        <v>1.1101190000000001</v>
      </c>
      <c r="L613">
        <v>367.61680000000001</v>
      </c>
      <c r="M613">
        <v>0.9999091</v>
      </c>
      <c r="N613">
        <v>0</v>
      </c>
      <c r="O613">
        <v>1.7921429999999999E-3</v>
      </c>
      <c r="P613">
        <v>0.99768469999999998</v>
      </c>
      <c r="Q613">
        <v>2.8562259999999999E-2</v>
      </c>
      <c r="R613">
        <v>-6.1721280000000003E-2</v>
      </c>
      <c r="S613">
        <v>3.0012210000000001</v>
      </c>
      <c r="T613">
        <v>-0.92920179999999997</v>
      </c>
      <c r="U613">
        <v>-0.52246090000000001</v>
      </c>
      <c r="V613">
        <v>6.3503320000000002E-2</v>
      </c>
      <c r="W613">
        <v>4.1901069999999999E-2</v>
      </c>
      <c r="X613">
        <v>0.99710160000000003</v>
      </c>
      <c r="Y613">
        <v>0.1656523</v>
      </c>
      <c r="Z613">
        <v>-2.5420600000000002E-2</v>
      </c>
      <c r="AA613">
        <v>0.98585650000000002</v>
      </c>
      <c r="AB613">
        <v>26</v>
      </c>
      <c r="AC613">
        <v>0.67160000000001197</v>
      </c>
      <c r="AD613">
        <v>-0.24987390000000001</v>
      </c>
      <c r="AE613">
        <v>-0.141000000000019</v>
      </c>
      <c r="AF613">
        <v>0.12555679391906599</v>
      </c>
      <c r="AG613">
        <v>-0.24987390000000001</v>
      </c>
      <c r="AH613">
        <v>0.59275676506193598</v>
      </c>
      <c r="AI613">
        <v>112.411027926058</v>
      </c>
      <c r="AJ613">
        <v>78.040470979562002</v>
      </c>
      <c r="AK613">
        <v>0.65540983890016202</v>
      </c>
      <c r="AL613">
        <v>87.598542442088004</v>
      </c>
      <c r="AM613">
        <v>86.355873100508006</v>
      </c>
      <c r="AN613">
        <v>0.999999986020363</v>
      </c>
    </row>
    <row r="614" spans="1:40" x14ac:dyDescent="0.25">
      <c r="A614" t="str">
        <f>"20190312154811735"</f>
        <v>20190312154811735</v>
      </c>
      <c r="B614" t="str">
        <f>"1552376891726927"</f>
        <v>1552376891726927</v>
      </c>
      <c r="C614" t="s">
        <v>40</v>
      </c>
      <c r="D614">
        <v>4.933878</v>
      </c>
      <c r="E614">
        <v>0.54771199999999998</v>
      </c>
      <c r="F614" t="s">
        <v>41</v>
      </c>
      <c r="G614">
        <v>-325.75150000000002</v>
      </c>
      <c r="H614">
        <v>0.89755030000000002</v>
      </c>
      <c r="I614">
        <v>367.49720000000002</v>
      </c>
      <c r="J614">
        <v>-326.29719999999998</v>
      </c>
      <c r="K614">
        <v>1.1101160000000001</v>
      </c>
      <c r="L614">
        <v>367.61709999999999</v>
      </c>
      <c r="M614">
        <v>0.9999093</v>
      </c>
      <c r="N614">
        <v>0</v>
      </c>
      <c r="O614">
        <v>1.8461370000000001E-3</v>
      </c>
      <c r="P614">
        <v>0.99767419999999996</v>
      </c>
      <c r="Q614">
        <v>2.8581390000000002E-2</v>
      </c>
      <c r="R614">
        <v>-6.1883460000000001E-2</v>
      </c>
      <c r="S614">
        <v>3.0012819999999998</v>
      </c>
      <c r="T614">
        <v>-0.92917669999999997</v>
      </c>
      <c r="U614">
        <v>-0.52197269999999996</v>
      </c>
      <c r="V614">
        <v>6.3719330000000005E-2</v>
      </c>
      <c r="W614">
        <v>4.1904400000000001E-2</v>
      </c>
      <c r="X614">
        <v>0.99708770000000002</v>
      </c>
      <c r="Y614">
        <v>0.1655491</v>
      </c>
      <c r="Z614">
        <v>-2.5420499999999999E-2</v>
      </c>
      <c r="AA614">
        <v>0.98587389999999997</v>
      </c>
      <c r="AB614">
        <v>26</v>
      </c>
      <c r="AC614">
        <v>0.545699999999953</v>
      </c>
      <c r="AD614">
        <v>-0.212565699999999</v>
      </c>
      <c r="AE614">
        <v>-0.119899999999972</v>
      </c>
      <c r="AF614">
        <v>0.10561945867005</v>
      </c>
      <c r="AG614">
        <v>-0.212565699999999</v>
      </c>
      <c r="AH614">
        <v>0.47650595628526199</v>
      </c>
      <c r="AI614">
        <v>113.534184845876</v>
      </c>
      <c r="AJ614">
        <v>77.502219822748899</v>
      </c>
      <c r="AK614">
        <v>0.53235098688889104</v>
      </c>
      <c r="AL614">
        <v>87.598351528925704</v>
      </c>
      <c r="AM614">
        <v>86.343460140997806</v>
      </c>
      <c r="AN614">
        <v>1.00000000662314</v>
      </c>
    </row>
    <row r="615" spans="1:40" x14ac:dyDescent="0.25">
      <c r="A615" t="str">
        <f>"20190312154811746"</f>
        <v>20190312154811746</v>
      </c>
      <c r="B615" t="str">
        <f>"1552376891736687"</f>
        <v>1552376891736687</v>
      </c>
      <c r="C615" t="s">
        <v>40</v>
      </c>
      <c r="D615">
        <v>4.9359060000000001</v>
      </c>
      <c r="E615">
        <v>0.54771199999999998</v>
      </c>
      <c r="F615" t="s">
        <v>41</v>
      </c>
      <c r="G615">
        <v>-325.53179999999998</v>
      </c>
      <c r="H615">
        <v>0.87299139999999997</v>
      </c>
      <c r="I615">
        <v>367.48410000000001</v>
      </c>
      <c r="J615">
        <v>-326.16390000000001</v>
      </c>
      <c r="K615">
        <v>1.1101129999999999</v>
      </c>
      <c r="L615">
        <v>367.61739999999998</v>
      </c>
      <c r="M615">
        <v>0.9999093</v>
      </c>
      <c r="N615">
        <v>0</v>
      </c>
      <c r="O615">
        <v>1.897447E-3</v>
      </c>
      <c r="P615">
        <v>0.99766699999999997</v>
      </c>
      <c r="Q615">
        <v>2.8684850000000001E-2</v>
      </c>
      <c r="R615">
        <v>-6.1948110000000001E-2</v>
      </c>
      <c r="S615">
        <v>3.0012819999999998</v>
      </c>
      <c r="T615">
        <v>-0.92984290000000003</v>
      </c>
      <c r="U615">
        <v>-0.52172850000000004</v>
      </c>
      <c r="V615">
        <v>6.3835249999999996E-2</v>
      </c>
      <c r="W615">
        <v>4.1992050000000003E-2</v>
      </c>
      <c r="X615">
        <v>0.99707659999999998</v>
      </c>
      <c r="Y615">
        <v>0.1655104</v>
      </c>
      <c r="Z615">
        <v>-2.54477E-2</v>
      </c>
      <c r="AA615">
        <v>0.98587970000000003</v>
      </c>
      <c r="AB615">
        <v>26</v>
      </c>
      <c r="AC615">
        <v>0.63210000000003597</v>
      </c>
      <c r="AD615">
        <v>-0.23712159999999899</v>
      </c>
      <c r="AE615">
        <v>-0.133299999999962</v>
      </c>
      <c r="AF615">
        <v>0.118529425731825</v>
      </c>
      <c r="AG615">
        <v>-0.23712159999999899</v>
      </c>
      <c r="AH615">
        <v>0.55682345290769297</v>
      </c>
      <c r="AI615">
        <v>112.612455239067</v>
      </c>
      <c r="AJ615">
        <v>77.982974502832803</v>
      </c>
      <c r="AK615">
        <v>0.61670757710516499</v>
      </c>
      <c r="AL615">
        <v>87.593325134905399</v>
      </c>
      <c r="AM615">
        <v>86.336785487514504</v>
      </c>
      <c r="AN615">
        <v>1.0000000088366601</v>
      </c>
    </row>
    <row r="616" spans="1:40" x14ac:dyDescent="0.25">
      <c r="A616" t="str">
        <f>"20190312154811767"</f>
        <v>20190312154811767</v>
      </c>
      <c r="B616" t="str">
        <f>"1552376891756208"</f>
        <v>1552376891756208</v>
      </c>
      <c r="C616" t="s">
        <v>40</v>
      </c>
      <c r="D616">
        <v>4.9902920000000002</v>
      </c>
      <c r="E616">
        <v>0.54783079999999995</v>
      </c>
      <c r="F616" t="s">
        <v>41</v>
      </c>
      <c r="G616">
        <v>-325.31299999999999</v>
      </c>
      <c r="H616">
        <v>0.84654839999999998</v>
      </c>
      <c r="I616">
        <v>367.4692</v>
      </c>
      <c r="J616">
        <v>-325.92570000000001</v>
      </c>
      <c r="K616">
        <v>1.1101049999999999</v>
      </c>
      <c r="L616">
        <v>367.61799999999999</v>
      </c>
      <c r="M616">
        <v>0.99990959999999995</v>
      </c>
      <c r="N616">
        <v>0</v>
      </c>
      <c r="O616">
        <v>1.9884389999999998E-3</v>
      </c>
      <c r="P616">
        <v>0.99766180000000004</v>
      </c>
      <c r="Q616">
        <v>2.8562779999999999E-2</v>
      </c>
      <c r="R616">
        <v>-6.2089400000000003E-2</v>
      </c>
      <c r="S616">
        <v>3.001404</v>
      </c>
      <c r="T616">
        <v>-0.92978910000000003</v>
      </c>
      <c r="U616">
        <v>-0.52160640000000003</v>
      </c>
      <c r="V616">
        <v>6.4067180000000001E-2</v>
      </c>
      <c r="W616">
        <v>4.1837699999999999E-2</v>
      </c>
      <c r="X616">
        <v>0.99706819999999896</v>
      </c>
      <c r="Y616">
        <v>0.16554969999999999</v>
      </c>
      <c r="Z616">
        <v>-2.5478669999999998E-2</v>
      </c>
      <c r="AA616">
        <v>0.98587230000000003</v>
      </c>
      <c r="AB616">
        <v>26</v>
      </c>
      <c r="AC616">
        <v>0.61270000000001801</v>
      </c>
      <c r="AD616">
        <v>-0.26355659999999898</v>
      </c>
      <c r="AE616">
        <v>-0.148800000000051</v>
      </c>
      <c r="AF616">
        <v>0.12770450224339799</v>
      </c>
      <c r="AG616">
        <v>-0.26355659999999898</v>
      </c>
      <c r="AH616">
        <v>0.52131435880906696</v>
      </c>
      <c r="AI616">
        <v>116.153023573059</v>
      </c>
      <c r="AJ616">
        <v>76.235515402312302</v>
      </c>
      <c r="AK616">
        <v>0.59794580188952096</v>
      </c>
      <c r="AL616">
        <v>87.602176486503893</v>
      </c>
      <c r="AM616">
        <v>86.323481629268798</v>
      </c>
      <c r="AN616">
        <v>0.99999999607284096</v>
      </c>
    </row>
    <row r="617" spans="1:40" x14ac:dyDescent="0.25">
      <c r="A617" t="str">
        <f>"20190312154811778"</f>
        <v>20190312154811778</v>
      </c>
      <c r="B617" t="str">
        <f>"1552376891766944"</f>
        <v>1552376891766944</v>
      </c>
      <c r="C617" t="s">
        <v>40</v>
      </c>
      <c r="D617">
        <v>4.8510559999999998</v>
      </c>
      <c r="E617">
        <v>0.54783079999999995</v>
      </c>
      <c r="F617" t="s">
        <v>41</v>
      </c>
      <c r="G617">
        <v>-325.0829</v>
      </c>
      <c r="H617">
        <v>0.84878869999999895</v>
      </c>
      <c r="I617">
        <v>367.47089999999997</v>
      </c>
      <c r="J617">
        <v>-325.79410000000001</v>
      </c>
      <c r="K617">
        <v>1.110101</v>
      </c>
      <c r="L617">
        <v>367.61829999999998</v>
      </c>
      <c r="M617">
        <v>0.99990979999999996</v>
      </c>
      <c r="N617">
        <v>0</v>
      </c>
      <c r="O617">
        <v>2.0387479999999999E-3</v>
      </c>
      <c r="P617">
        <v>0.99766330000000003</v>
      </c>
      <c r="Q617">
        <v>2.846752E-2</v>
      </c>
      <c r="R617">
        <v>-6.2112069999999998E-2</v>
      </c>
      <c r="S617">
        <v>3.001099</v>
      </c>
      <c r="T617">
        <v>-0.93046779999999996</v>
      </c>
      <c r="U617">
        <v>-0.52316279999999904</v>
      </c>
      <c r="V617">
        <v>6.4139979999999999E-2</v>
      </c>
      <c r="W617">
        <v>4.1723370000000003E-2</v>
      </c>
      <c r="X617">
        <v>0.99706830000000002</v>
      </c>
      <c r="Y617">
        <v>0.16607459999999999</v>
      </c>
      <c r="Z617">
        <v>-2.5591920000000001E-2</v>
      </c>
      <c r="AA617">
        <v>0.98578109999999997</v>
      </c>
      <c r="AB617">
        <v>26</v>
      </c>
      <c r="AC617">
        <v>0.71120000000001904</v>
      </c>
      <c r="AD617">
        <v>-0.2613123</v>
      </c>
      <c r="AE617">
        <v>-0.147400000000004</v>
      </c>
      <c r="AF617">
        <v>0.13179070290940401</v>
      </c>
      <c r="AG617">
        <v>-0.2613123</v>
      </c>
      <c r="AH617">
        <v>0.62942481756680102</v>
      </c>
      <c r="AI617">
        <v>112.114298066109</v>
      </c>
      <c r="AJ617">
        <v>78.174096821029906</v>
      </c>
      <c r="AK617">
        <v>0.69413868100952603</v>
      </c>
      <c r="AL617">
        <v>87.608732813236003</v>
      </c>
      <c r="AM617">
        <v>86.319315820541803</v>
      </c>
      <c r="AN617">
        <v>0.999999985751723</v>
      </c>
    </row>
    <row r="618" spans="1:40" x14ac:dyDescent="0.25">
      <c r="A618" t="str">
        <f>"20190312154811790"</f>
        <v>20190312154811790</v>
      </c>
      <c r="B618" t="str">
        <f>"1552376891786463"</f>
        <v>1552376891786463</v>
      </c>
      <c r="C618" t="s">
        <v>40</v>
      </c>
      <c r="D618">
        <v>4.8915959999999998</v>
      </c>
      <c r="E618">
        <v>0.54769019999999902</v>
      </c>
      <c r="F618" t="s">
        <v>41</v>
      </c>
      <c r="G618">
        <v>-325.0684</v>
      </c>
      <c r="H618">
        <v>0.88502039999999904</v>
      </c>
      <c r="I618">
        <v>367.49160000000001</v>
      </c>
      <c r="J618">
        <v>-325.67129999999997</v>
      </c>
      <c r="K618">
        <v>1.110101</v>
      </c>
      <c r="L618">
        <v>367.61860000000001</v>
      </c>
      <c r="M618">
        <v>0.99990990000000002</v>
      </c>
      <c r="N618">
        <v>0</v>
      </c>
      <c r="O618">
        <v>2.0860739999999998E-3</v>
      </c>
      <c r="P618">
        <v>0.99767539999999999</v>
      </c>
      <c r="Q618">
        <v>2.826437E-2</v>
      </c>
      <c r="R618">
        <v>-6.2011730000000001E-2</v>
      </c>
      <c r="S618">
        <v>3.0010379999999999</v>
      </c>
      <c r="T618">
        <v>-0.93077779999999999</v>
      </c>
      <c r="U618">
        <v>-0.52291869999999996</v>
      </c>
      <c r="V618">
        <v>6.4086909999999997E-2</v>
      </c>
      <c r="W618">
        <v>4.1501820000000002E-2</v>
      </c>
      <c r="X618">
        <v>0.997081</v>
      </c>
      <c r="Y618">
        <v>0.16604070000000001</v>
      </c>
      <c r="Z618">
        <v>-2.560987E-2</v>
      </c>
      <c r="AA618">
        <v>0.9857863</v>
      </c>
      <c r="AB618">
        <v>26</v>
      </c>
      <c r="AC618">
        <v>0.60289999999997601</v>
      </c>
      <c r="AD618">
        <v>-0.22508059999999999</v>
      </c>
      <c r="AE618">
        <v>-0.12700000000000899</v>
      </c>
      <c r="AF618">
        <v>0.113156408172826</v>
      </c>
      <c r="AG618">
        <v>-0.22508059999999999</v>
      </c>
      <c r="AH618">
        <v>0.53167926782241204</v>
      </c>
      <c r="AI618">
        <v>112.49274320082</v>
      </c>
      <c r="AJ618">
        <v>77.985103001986502</v>
      </c>
      <c r="AK618">
        <v>0.58834385612421503</v>
      </c>
      <c r="AL618">
        <v>87.621437795861695</v>
      </c>
      <c r="AM618">
        <v>86.322399604951997</v>
      </c>
      <c r="AN618">
        <v>1.0000000268288201</v>
      </c>
    </row>
    <row r="619" spans="1:40" x14ac:dyDescent="0.25">
      <c r="A619" t="str">
        <f>"20190312154811802"</f>
        <v>20190312154811802</v>
      </c>
      <c r="B619" t="str">
        <f>"1552376891796224"</f>
        <v>1552376891796224</v>
      </c>
      <c r="C619" t="s">
        <v>40</v>
      </c>
      <c r="D619">
        <v>4.9187830000000003</v>
      </c>
      <c r="E619">
        <v>0.54759569999999902</v>
      </c>
      <c r="F619" t="s">
        <v>41</v>
      </c>
      <c r="G619">
        <v>-324.851</v>
      </c>
      <c r="H619">
        <v>0.85589459999999995</v>
      </c>
      <c r="I619">
        <v>367.47579999999999</v>
      </c>
      <c r="J619">
        <v>-325.5249</v>
      </c>
      <c r="K619">
        <v>1.1100950000000001</v>
      </c>
      <c r="L619">
        <v>367.61900000000003</v>
      </c>
      <c r="M619">
        <v>0.99991010000000002</v>
      </c>
      <c r="N619">
        <v>0</v>
      </c>
      <c r="O619">
        <v>2.1427870000000002E-3</v>
      </c>
      <c r="P619">
        <v>0.99766860000000002</v>
      </c>
      <c r="Q619">
        <v>2.826004E-2</v>
      </c>
      <c r="R619">
        <v>-6.2118769999999997E-2</v>
      </c>
      <c r="S619">
        <v>3.0009160000000001</v>
      </c>
      <c r="T619">
        <v>-0.92997839999999998</v>
      </c>
      <c r="U619">
        <v>-0.5215149</v>
      </c>
      <c r="V619">
        <v>6.4250730000000006E-2</v>
      </c>
      <c r="W619">
        <v>4.1473709999999997E-2</v>
      </c>
      <c r="X619">
        <v>0.99707159999999995</v>
      </c>
      <c r="Y619">
        <v>0.1656811</v>
      </c>
      <c r="Z619">
        <v>-2.5553759999999998E-2</v>
      </c>
      <c r="AA619">
        <v>0.98584819999999995</v>
      </c>
      <c r="AB619">
        <v>26</v>
      </c>
      <c r="AC619">
        <v>0.67390000000000305</v>
      </c>
      <c r="AD619">
        <v>-0.25420039999999999</v>
      </c>
      <c r="AE619">
        <v>-0.14320000000003499</v>
      </c>
      <c r="AF619">
        <v>0.127311774093017</v>
      </c>
      <c r="AG619">
        <v>-0.25420039999999999</v>
      </c>
      <c r="AH619">
        <v>0.59287799358405702</v>
      </c>
      <c r="AI619">
        <v>112.743463969445</v>
      </c>
      <c r="AJ619">
        <v>77.880622244974305</v>
      </c>
      <c r="AK619">
        <v>0.65751840009168405</v>
      </c>
      <c r="AL619">
        <v>87.623049704800806</v>
      </c>
      <c r="AM619">
        <v>86.312990096944603</v>
      </c>
      <c r="AN619">
        <v>1.0000000002266201</v>
      </c>
    </row>
    <row r="620" spans="1:40" x14ac:dyDescent="0.25">
      <c r="A620" t="str">
        <f>"20190312154811814"</f>
        <v>20190312154811814</v>
      </c>
      <c r="B620" t="str">
        <f>"1552376891806959"</f>
        <v>1552376891806959</v>
      </c>
      <c r="C620" t="s">
        <v>40</v>
      </c>
      <c r="D620">
        <v>4.9418089999999903</v>
      </c>
      <c r="E620">
        <v>0.54753379999999996</v>
      </c>
      <c r="F620" t="s">
        <v>41</v>
      </c>
      <c r="G620">
        <v>-324.8347</v>
      </c>
      <c r="H620">
        <v>0.89633799999999997</v>
      </c>
      <c r="I620">
        <v>367.49889999999999</v>
      </c>
      <c r="J620">
        <v>-325.3877</v>
      </c>
      <c r="K620">
        <v>1.11009</v>
      </c>
      <c r="L620">
        <v>367.61930000000001</v>
      </c>
      <c r="M620">
        <v>0.99991039999999998</v>
      </c>
      <c r="N620">
        <v>0</v>
      </c>
      <c r="O620">
        <v>2.195818E-3</v>
      </c>
      <c r="P620">
        <v>0.99766809999999995</v>
      </c>
      <c r="Q620">
        <v>2.820491E-2</v>
      </c>
      <c r="R620">
        <v>-6.215437E-2</v>
      </c>
      <c r="S620">
        <v>3.0008849999999998</v>
      </c>
      <c r="T620">
        <v>-0.92945659999999997</v>
      </c>
      <c r="U620">
        <v>-0.52090449999999999</v>
      </c>
      <c r="V620">
        <v>6.4339110000000005E-2</v>
      </c>
      <c r="W620">
        <v>4.1392720000000001E-2</v>
      </c>
      <c r="X620">
        <v>0.99706919999999999</v>
      </c>
      <c r="Y620">
        <v>0.1655517</v>
      </c>
      <c r="Z620">
        <v>-2.5537219999999999E-2</v>
      </c>
      <c r="AA620">
        <v>0.98587040000000004</v>
      </c>
      <c r="AB620">
        <v>26</v>
      </c>
      <c r="AC620">
        <v>0.55299999999999705</v>
      </c>
      <c r="AD620">
        <v>-0.213752</v>
      </c>
      <c r="AE620">
        <v>-0.12040000000001699</v>
      </c>
      <c r="AF620">
        <v>0.106432100018391</v>
      </c>
      <c r="AG620">
        <v>-0.213752</v>
      </c>
      <c r="AH620">
        <v>0.48373229239035098</v>
      </c>
      <c r="AI620">
        <v>113.343016339778</v>
      </c>
      <c r="AJ620">
        <v>77.591339216737396</v>
      </c>
      <c r="AK620">
        <v>0.53945772783374701</v>
      </c>
      <c r="AL620">
        <v>87.627693920941496</v>
      </c>
      <c r="AM620">
        <v>86.307923591601096</v>
      </c>
      <c r="AN620">
        <v>0.99999993396661302</v>
      </c>
    </row>
    <row r="621" spans="1:40" x14ac:dyDescent="0.25">
      <c r="A621" t="str">
        <f>"20190312154811826"</f>
        <v>20190312154811826</v>
      </c>
      <c r="B621" t="str">
        <f>"1552376891816719"</f>
        <v>1552376891816719</v>
      </c>
      <c r="C621" t="s">
        <v>40</v>
      </c>
      <c r="D621">
        <v>4.8874170000000001</v>
      </c>
      <c r="E621">
        <v>0.54744659999999901</v>
      </c>
      <c r="F621" t="s">
        <v>41</v>
      </c>
      <c r="G621">
        <v>-324.61579999999998</v>
      </c>
      <c r="H621">
        <v>0.87109550000000002</v>
      </c>
      <c r="I621">
        <v>367.48540000000003</v>
      </c>
      <c r="J621">
        <v>-325.25400000000002</v>
      </c>
      <c r="K621">
        <v>1.11009</v>
      </c>
      <c r="L621">
        <v>367.61970000000002</v>
      </c>
      <c r="M621">
        <v>0.99991070000000004</v>
      </c>
      <c r="N621">
        <v>0</v>
      </c>
      <c r="O621">
        <v>2.2475440000000002E-3</v>
      </c>
      <c r="P621">
        <v>0.9976756</v>
      </c>
      <c r="Q621">
        <v>2.805877E-2</v>
      </c>
      <c r="R621">
        <v>-6.210251E-2</v>
      </c>
      <c r="S621">
        <v>3.0008539999999999</v>
      </c>
      <c r="T621">
        <v>-0.92919779999999996</v>
      </c>
      <c r="U621">
        <v>-0.52041629999999905</v>
      </c>
      <c r="V621">
        <v>6.4338649999999997E-2</v>
      </c>
      <c r="W621">
        <v>4.1221210000000001E-2</v>
      </c>
      <c r="X621">
        <v>0.99707639999999997</v>
      </c>
      <c r="Y621">
        <v>0.1654545</v>
      </c>
      <c r="Z621">
        <v>-2.5531930000000001E-2</v>
      </c>
      <c r="AA621">
        <v>0.98588690000000001</v>
      </c>
      <c r="AB621">
        <v>26</v>
      </c>
      <c r="AC621">
        <v>0.63820000000003996</v>
      </c>
      <c r="AD621">
        <v>-0.2389945</v>
      </c>
      <c r="AE621">
        <v>-0.13429999999999601</v>
      </c>
      <c r="AF621">
        <v>0.119664422421667</v>
      </c>
      <c r="AG621">
        <v>-0.2389945</v>
      </c>
      <c r="AH621">
        <v>0.56237511487081304</v>
      </c>
      <c r="AI621">
        <v>112.571070101042</v>
      </c>
      <c r="AJ621">
        <v>77.987533018028799</v>
      </c>
      <c r="AK621">
        <v>0.62265858610455305</v>
      </c>
      <c r="AL621">
        <v>87.637529268161302</v>
      </c>
      <c r="AM621">
        <v>86.307976502487406</v>
      </c>
      <c r="AN621">
        <v>0.99999999873732304</v>
      </c>
    </row>
    <row r="622" spans="1:40" x14ac:dyDescent="0.25">
      <c r="A622" t="str">
        <f>"20190312154811838"</f>
        <v>20190312154811838</v>
      </c>
      <c r="B622" t="str">
        <f>"1552376891826480"</f>
        <v>1552376891826480</v>
      </c>
      <c r="C622" t="s">
        <v>40</v>
      </c>
      <c r="D622">
        <v>4.9224119999999996</v>
      </c>
      <c r="E622">
        <v>0.54744150000000003</v>
      </c>
      <c r="F622" t="s">
        <v>41</v>
      </c>
      <c r="G622">
        <v>-324.3974</v>
      </c>
      <c r="H622">
        <v>0.84497239999999996</v>
      </c>
      <c r="I622">
        <v>367.47109999999998</v>
      </c>
      <c r="J622">
        <v>-325.11239999999998</v>
      </c>
      <c r="K622">
        <v>1.110085</v>
      </c>
      <c r="L622">
        <v>367.62009999999998</v>
      </c>
      <c r="M622">
        <v>0.99991090000000005</v>
      </c>
      <c r="N622">
        <v>0</v>
      </c>
      <c r="O622">
        <v>2.3006319999999999E-3</v>
      </c>
      <c r="P622">
        <v>0.99766200000000005</v>
      </c>
      <c r="Q622">
        <v>2.832546E-2</v>
      </c>
      <c r="R622">
        <v>-6.219914E-2</v>
      </c>
      <c r="S622">
        <v>3.0007320000000002</v>
      </c>
      <c r="T622">
        <v>-0.928678</v>
      </c>
      <c r="U622">
        <v>-0.51983639999999998</v>
      </c>
      <c r="V622">
        <v>6.4488210000000004E-2</v>
      </c>
      <c r="W622">
        <v>4.1455619999999999E-2</v>
      </c>
      <c r="X622">
        <v>0.99705699999999997</v>
      </c>
      <c r="Y622">
        <v>0.16533879999999901</v>
      </c>
      <c r="Z622">
        <v>-2.5518220000000001E-2</v>
      </c>
      <c r="AA622">
        <v>0.98590670000000002</v>
      </c>
      <c r="AB622">
        <v>26</v>
      </c>
      <c r="AC622">
        <v>0.71499999999997499</v>
      </c>
      <c r="AD622">
        <v>-0.26511259999999898</v>
      </c>
      <c r="AE622">
        <v>-0.14899999999999999</v>
      </c>
      <c r="AF622">
        <v>0.133106471079766</v>
      </c>
      <c r="AG622">
        <v>-0.26511259999999898</v>
      </c>
      <c r="AH622">
        <v>0.63145429627463701</v>
      </c>
      <c r="AI622">
        <v>112.333671376317</v>
      </c>
      <c r="AJ622">
        <v>78.096683063212296</v>
      </c>
      <c r="AK622">
        <v>0.69766507122383903</v>
      </c>
      <c r="AL622">
        <v>87.624087028239998</v>
      </c>
      <c r="AM622">
        <v>86.299346135159396</v>
      </c>
      <c r="AN622">
        <v>0.99999997945379404</v>
      </c>
    </row>
    <row r="623" spans="1:40" x14ac:dyDescent="0.25">
      <c r="A623" t="str">
        <f>"20190312154811852"</f>
        <v>20190312154811852</v>
      </c>
      <c r="B623" t="str">
        <f>"1552376891846975"</f>
        <v>1552376891846975</v>
      </c>
      <c r="C623" t="s">
        <v>40</v>
      </c>
      <c r="D623">
        <v>4.9122440000000003</v>
      </c>
      <c r="E623">
        <v>0.54729319999999904</v>
      </c>
      <c r="F623" t="s">
        <v>41</v>
      </c>
      <c r="G623">
        <v>-324.38159999999999</v>
      </c>
      <c r="H623">
        <v>0.88419840000000005</v>
      </c>
      <c r="I623">
        <v>367.4932</v>
      </c>
      <c r="J623">
        <v>-324.95119999999997</v>
      </c>
      <c r="K623">
        <v>1.1100810000000001</v>
      </c>
      <c r="L623">
        <v>367.62049999999999</v>
      </c>
      <c r="M623">
        <v>0.99991129999999995</v>
      </c>
      <c r="N623">
        <v>0</v>
      </c>
      <c r="O623">
        <v>2.3601490000000002E-3</v>
      </c>
      <c r="P623">
        <v>0.99766730000000003</v>
      </c>
      <c r="Q623">
        <v>2.8546120000000001E-2</v>
      </c>
      <c r="R623">
        <v>-6.2010589999999997E-2</v>
      </c>
      <c r="S623">
        <v>3.0009459999999999</v>
      </c>
      <c r="T623">
        <v>-0.92756879999999997</v>
      </c>
      <c r="U623">
        <v>-0.5200806</v>
      </c>
      <c r="V623">
        <v>6.4359139999999995E-2</v>
      </c>
      <c r="W623">
        <v>4.1638080000000001E-2</v>
      </c>
      <c r="X623">
        <v>0.99705770000000005</v>
      </c>
      <c r="Y623">
        <v>0.1654737</v>
      </c>
      <c r="Z623">
        <v>-2.5525280000000001E-2</v>
      </c>
      <c r="AA623">
        <v>0.98588379999999998</v>
      </c>
      <c r="AB623">
        <v>26</v>
      </c>
      <c r="AC623">
        <v>0.56959999999997901</v>
      </c>
      <c r="AD623">
        <v>-0.22588259999999899</v>
      </c>
      <c r="AE623">
        <v>-0.127299999999991</v>
      </c>
      <c r="AF623">
        <v>0.11188570506037999</v>
      </c>
      <c r="AG623">
        <v>-0.22588259999999899</v>
      </c>
      <c r="AH623">
        <v>0.49513580948762598</v>
      </c>
      <c r="AI623">
        <v>113.988289604339</v>
      </c>
      <c r="AJ623">
        <v>77.266743342279895</v>
      </c>
      <c r="AK623">
        <v>0.55560852208779599</v>
      </c>
      <c r="AL623">
        <v>87.613623718325599</v>
      </c>
      <c r="AM623">
        <v>86.306734878545498</v>
      </c>
      <c r="AN623">
        <v>0.99999994286845595</v>
      </c>
    </row>
    <row r="624" spans="1:40" x14ac:dyDescent="0.25">
      <c r="A624" t="str">
        <f>"20190312154811868"</f>
        <v>20190312154811868</v>
      </c>
      <c r="B624" t="str">
        <f>"1552376891856735"</f>
        <v>1552376891856735</v>
      </c>
      <c r="C624" t="s">
        <v>40</v>
      </c>
      <c r="D624">
        <v>4.9341460000000001</v>
      </c>
      <c r="E624">
        <v>0.54726750000000002</v>
      </c>
      <c r="F624" t="s">
        <v>41</v>
      </c>
      <c r="G624">
        <v>-324.1601</v>
      </c>
      <c r="H624">
        <v>0.86602500000000004</v>
      </c>
      <c r="I624">
        <v>367.48410000000001</v>
      </c>
      <c r="J624">
        <v>-324.77069999999998</v>
      </c>
      <c r="K624">
        <v>1.1100730000000001</v>
      </c>
      <c r="L624">
        <v>367.62099999999998</v>
      </c>
      <c r="M624">
        <v>0.99991180000000002</v>
      </c>
      <c r="N624">
        <v>0</v>
      </c>
      <c r="O624">
        <v>2.4283659999999999E-3</v>
      </c>
      <c r="P624">
        <v>0.99767969999999895</v>
      </c>
      <c r="Q624">
        <v>2.8680549999999999E-2</v>
      </c>
      <c r="R624">
        <v>-6.1749400000000003E-2</v>
      </c>
      <c r="S624">
        <v>3.001312</v>
      </c>
      <c r="T624">
        <v>-0.92595680000000002</v>
      </c>
      <c r="U624">
        <v>-0.5175476</v>
      </c>
      <c r="V624">
        <v>6.416587E-2</v>
      </c>
      <c r="W624">
        <v>4.1725739999999997E-2</v>
      </c>
      <c r="X624">
        <v>0.99706660000000003</v>
      </c>
      <c r="Y624">
        <v>0.16476779999999999</v>
      </c>
      <c r="Z624">
        <v>-2.5396370000000001E-2</v>
      </c>
      <c r="AA624">
        <v>0.98600540000000003</v>
      </c>
      <c r="AB624">
        <v>26</v>
      </c>
      <c r="AC624">
        <v>0.61059999999997605</v>
      </c>
      <c r="AD624">
        <v>-0.24404799999999899</v>
      </c>
      <c r="AE624">
        <v>-0.13689999999996799</v>
      </c>
      <c r="AF624">
        <v>0.120112983617046</v>
      </c>
      <c r="AG624">
        <v>-0.24404799999999899</v>
      </c>
      <c r="AH624">
        <v>0.52969737046244403</v>
      </c>
      <c r="AI624">
        <v>114.195522383625</v>
      </c>
      <c r="AJ624">
        <v>77.223793894071207</v>
      </c>
      <c r="AK624">
        <v>0.59545433024894201</v>
      </c>
      <c r="AL624">
        <v>87.608597058913404</v>
      </c>
      <c r="AM624">
        <v>86.317827943995098</v>
      </c>
      <c r="AN624">
        <v>1.0000000505434801</v>
      </c>
    </row>
    <row r="625" spans="1:40" x14ac:dyDescent="0.25">
      <c r="A625" t="str">
        <f>"20190312154811883"</f>
        <v>20190312154811883</v>
      </c>
      <c r="B625" t="str">
        <f>"1552376891876255"</f>
        <v>1552376891876255</v>
      </c>
      <c r="C625" t="s">
        <v>40</v>
      </c>
      <c r="D625">
        <v>4.9220160000000002</v>
      </c>
      <c r="E625">
        <v>0.54714240000000003</v>
      </c>
      <c r="F625" t="s">
        <v>41</v>
      </c>
      <c r="G625">
        <v>-323.93650000000002</v>
      </c>
      <c r="H625">
        <v>0.85290849999999996</v>
      </c>
      <c r="I625">
        <v>367.47710000000001</v>
      </c>
      <c r="J625">
        <v>-324.60820000000001</v>
      </c>
      <c r="K625">
        <v>1.1100650000000001</v>
      </c>
      <c r="L625">
        <v>367.62150000000003</v>
      </c>
      <c r="M625">
        <v>0.99991220000000003</v>
      </c>
      <c r="N625">
        <v>0</v>
      </c>
      <c r="O625">
        <v>2.4975280000000002E-3</v>
      </c>
      <c r="P625">
        <v>0.99770199999999998</v>
      </c>
      <c r="Q625">
        <v>2.8640570000000001E-2</v>
      </c>
      <c r="R625">
        <v>-6.1405059999999997E-2</v>
      </c>
      <c r="S625">
        <v>3.001617</v>
      </c>
      <c r="T625">
        <v>-0.92531739999999996</v>
      </c>
      <c r="U625">
        <v>-0.5164185</v>
      </c>
      <c r="V625">
        <v>6.3890589999999997E-2</v>
      </c>
      <c r="W625">
        <v>4.1637130000000001E-2</v>
      </c>
      <c r="X625">
        <v>0.99708799999999997</v>
      </c>
      <c r="Y625">
        <v>0.16447989999999901</v>
      </c>
      <c r="Z625">
        <v>-2.5355530000000001E-2</v>
      </c>
      <c r="AA625">
        <v>0.98605449999999994</v>
      </c>
      <c r="AB625">
        <v>26</v>
      </c>
      <c r="AC625">
        <v>0.67169999999998697</v>
      </c>
      <c r="AD625">
        <v>-0.25715649999999901</v>
      </c>
      <c r="AE625">
        <v>-0.14440000000001799</v>
      </c>
      <c r="AF625">
        <v>0.12812726310903499</v>
      </c>
      <c r="AG625">
        <v>-0.25715649999999901</v>
      </c>
      <c r="AH625">
        <v>0.588843120204808</v>
      </c>
      <c r="AI625">
        <v>113.109378689837</v>
      </c>
      <c r="AJ625">
        <v>77.724273483075606</v>
      </c>
      <c r="AK625">
        <v>0.65519636847024398</v>
      </c>
      <c r="AL625">
        <v>87.613678497524603</v>
      </c>
      <c r="AM625">
        <v>86.333660239604797</v>
      </c>
      <c r="AN625">
        <v>1.00000006891459</v>
      </c>
    </row>
    <row r="626" spans="1:40" x14ac:dyDescent="0.25">
      <c r="A626" t="str">
        <f>"20190312154811901"</f>
        <v>20190312154811901</v>
      </c>
      <c r="B626" t="str">
        <f>"1552376891896751"</f>
        <v>1552376891896751</v>
      </c>
      <c r="C626" t="s">
        <v>40</v>
      </c>
      <c r="D626">
        <v>4.8295339999999998</v>
      </c>
      <c r="E626">
        <v>0.54713610000000001</v>
      </c>
      <c r="F626" t="s">
        <v>41</v>
      </c>
      <c r="G626">
        <v>-323.91860000000003</v>
      </c>
      <c r="H626">
        <v>0.89769019999999999</v>
      </c>
      <c r="I626">
        <v>367.50310000000002</v>
      </c>
      <c r="J626">
        <v>-324.39769999999999</v>
      </c>
      <c r="K626">
        <v>1.11005</v>
      </c>
      <c r="L626">
        <v>367.62209999999999</v>
      </c>
      <c r="M626">
        <v>0.99991280000000005</v>
      </c>
      <c r="N626">
        <v>0</v>
      </c>
      <c r="O626">
        <v>2.5877299999999999E-3</v>
      </c>
      <c r="P626">
        <v>0.99774110000000005</v>
      </c>
      <c r="Q626">
        <v>2.8810590000000001E-2</v>
      </c>
      <c r="R626">
        <v>-6.0683809999999998E-2</v>
      </c>
      <c r="S626">
        <v>3.0018310000000001</v>
      </c>
      <c r="T626">
        <v>-0.92450129999999997</v>
      </c>
      <c r="U626">
        <v>-0.51361080000000003</v>
      </c>
      <c r="V626">
        <v>6.3259679999999999E-2</v>
      </c>
      <c r="W626">
        <v>4.1733359999999997E-2</v>
      </c>
      <c r="X626">
        <v>0.99712409999999996</v>
      </c>
      <c r="Y626">
        <v>0.1637045</v>
      </c>
      <c r="Z626">
        <v>-2.524537E-2</v>
      </c>
      <c r="AA626">
        <v>0.98618629999999996</v>
      </c>
      <c r="AB626">
        <v>26</v>
      </c>
      <c r="AC626">
        <v>0.479099999999959</v>
      </c>
      <c r="AD626">
        <v>-0.21235979999999999</v>
      </c>
      <c r="AE626">
        <v>-0.118999999999971</v>
      </c>
      <c r="AF626">
        <v>0.10146349801503</v>
      </c>
      <c r="AG626">
        <v>-0.21235979999999999</v>
      </c>
      <c r="AH626">
        <v>0.40402494292922198</v>
      </c>
      <c r="AI626">
        <v>117.011630052294</v>
      </c>
      <c r="AJ626">
        <v>75.902741745628603</v>
      </c>
      <c r="AK626">
        <v>0.46757639011657498</v>
      </c>
      <c r="AL626">
        <v>87.608159881238194</v>
      </c>
      <c r="AM626">
        <v>86.369898576490897</v>
      </c>
      <c r="AN626">
        <v>0.99999996562570004</v>
      </c>
    </row>
    <row r="627" spans="1:40" x14ac:dyDescent="0.25">
      <c r="A627" t="str">
        <f>"20190312154811913"</f>
        <v>20190312154811913</v>
      </c>
      <c r="B627" t="str">
        <f>"1552376891906512"</f>
        <v>1552376891906512</v>
      </c>
      <c r="C627" t="s">
        <v>40</v>
      </c>
      <c r="D627">
        <v>4.8949309999999997</v>
      </c>
      <c r="E627">
        <v>0.54713619999999996</v>
      </c>
      <c r="F627" t="s">
        <v>41</v>
      </c>
      <c r="G627">
        <v>-323.69170000000003</v>
      </c>
      <c r="H627">
        <v>0.89280349999999997</v>
      </c>
      <c r="I627">
        <v>367.50200000000001</v>
      </c>
      <c r="J627">
        <v>-324.25729999999999</v>
      </c>
      <c r="K627">
        <v>1.110036</v>
      </c>
      <c r="L627">
        <v>367.62259999999998</v>
      </c>
      <c r="M627">
        <v>0.99991350000000001</v>
      </c>
      <c r="N627">
        <v>0</v>
      </c>
      <c r="O627">
        <v>2.6467880000000002E-3</v>
      </c>
      <c r="P627">
        <v>0.99776089999999995</v>
      </c>
      <c r="Q627">
        <v>2.930352E-2</v>
      </c>
      <c r="R627">
        <v>-6.0123360000000001E-2</v>
      </c>
      <c r="S627">
        <v>3.0024109999999999</v>
      </c>
      <c r="T627">
        <v>-0.92396069999999997</v>
      </c>
      <c r="U627">
        <v>-0.51049800000000001</v>
      </c>
      <c r="V627">
        <v>6.2758129999999995E-2</v>
      </c>
      <c r="W627">
        <v>4.2165950000000001E-2</v>
      </c>
      <c r="X627">
        <v>0.99713759999999996</v>
      </c>
      <c r="Y627">
        <v>0.16278589999999901</v>
      </c>
      <c r="Z627">
        <v>-2.5109099999999999E-2</v>
      </c>
      <c r="AA627">
        <v>0.98634189999999999</v>
      </c>
      <c r="AB627">
        <v>26</v>
      </c>
      <c r="AC627">
        <v>0.56559999999996002</v>
      </c>
      <c r="AD627">
        <v>-0.2172325</v>
      </c>
      <c r="AE627">
        <v>-0.12060000000002399</v>
      </c>
      <c r="AF627">
        <v>0.106999317817236</v>
      </c>
      <c r="AG627">
        <v>-0.2172325</v>
      </c>
      <c r="AH627">
        <v>0.49538138567115098</v>
      </c>
      <c r="AI627">
        <v>113.201479235796</v>
      </c>
      <c r="AJ627">
        <v>77.811705105905304</v>
      </c>
      <c r="AK627">
        <v>0.55139961039075203</v>
      </c>
      <c r="AL627">
        <v>87.583352476473195</v>
      </c>
      <c r="AM627">
        <v>86.398652165917298</v>
      </c>
      <c r="AN627">
        <v>0.99999997177712896</v>
      </c>
    </row>
    <row r="628" spans="1:40" x14ac:dyDescent="0.25">
      <c r="A628" t="str">
        <f>"20190312154811924"</f>
        <v>20190312154811924</v>
      </c>
      <c r="B628" t="str">
        <f>"1552376891916272"</f>
        <v>1552376891916272</v>
      </c>
      <c r="C628" t="s">
        <v>40</v>
      </c>
      <c r="D628">
        <v>4.9117739999999896</v>
      </c>
      <c r="E628">
        <v>0.54708710000000005</v>
      </c>
      <c r="F628" t="s">
        <v>41</v>
      </c>
      <c r="G628">
        <v>-323.47239999999999</v>
      </c>
      <c r="H628">
        <v>0.86898169999999897</v>
      </c>
      <c r="I628">
        <v>367.4896</v>
      </c>
      <c r="J628">
        <v>-324.13170000000002</v>
      </c>
      <c r="K628">
        <v>1.1100270000000001</v>
      </c>
      <c r="L628">
        <v>367.62299999999999</v>
      </c>
      <c r="M628">
        <v>0.99991419999999998</v>
      </c>
      <c r="N628">
        <v>0</v>
      </c>
      <c r="O628">
        <v>2.699693E-3</v>
      </c>
      <c r="P628">
        <v>0.99780000000000002</v>
      </c>
      <c r="Q628">
        <v>2.9320840000000001E-2</v>
      </c>
      <c r="R628">
        <v>-5.9463469999999997E-2</v>
      </c>
      <c r="S628">
        <v>3.0032040000000002</v>
      </c>
      <c r="T628">
        <v>-0.92232040000000004</v>
      </c>
      <c r="U628">
        <v>-0.50808719999999996</v>
      </c>
      <c r="V628">
        <v>6.2151419999999999E-2</v>
      </c>
      <c r="W628">
        <v>4.2124979999999999E-2</v>
      </c>
      <c r="X628">
        <v>0.99717739999999999</v>
      </c>
      <c r="Y628">
        <v>0.1620828</v>
      </c>
      <c r="Z628">
        <v>-2.497272E-2</v>
      </c>
      <c r="AA628">
        <v>0.98646109999999998</v>
      </c>
      <c r="AB628">
        <v>26</v>
      </c>
      <c r="AC628">
        <v>0.65930000000002997</v>
      </c>
      <c r="AD628">
        <v>-0.24104529999999999</v>
      </c>
      <c r="AE628">
        <v>-0.13340000000005101</v>
      </c>
      <c r="AF628">
        <v>0.11979628783068599</v>
      </c>
      <c r="AG628">
        <v>-0.24104529999999999</v>
      </c>
      <c r="AH628">
        <v>0.58395110458338495</v>
      </c>
      <c r="AI628">
        <v>112.016543460516</v>
      </c>
      <c r="AJ628">
        <v>78.406746901741201</v>
      </c>
      <c r="AK628">
        <v>0.64300301692469397</v>
      </c>
      <c r="AL628">
        <v>87.585702137018799</v>
      </c>
      <c r="AM628">
        <v>86.433519632411404</v>
      </c>
      <c r="AN628">
        <v>1.00000004000938</v>
      </c>
    </row>
    <row r="629" spans="1:40" x14ac:dyDescent="0.25">
      <c r="A629" t="str">
        <f>"20190312154811934"</f>
        <v>20190312154811934</v>
      </c>
      <c r="B629" t="str">
        <f>"1552376891927008"</f>
        <v>1552376891927008</v>
      </c>
      <c r="C629" t="s">
        <v>40</v>
      </c>
      <c r="D629">
        <v>4.8805509999999996</v>
      </c>
      <c r="E629">
        <v>0.54706599999999905</v>
      </c>
      <c r="F629" t="s">
        <v>41</v>
      </c>
      <c r="G629">
        <v>-323.45859999999999</v>
      </c>
      <c r="H629">
        <v>0.90336099999999997</v>
      </c>
      <c r="I629">
        <v>367.50970000000001</v>
      </c>
      <c r="J629">
        <v>-324.01240000000001</v>
      </c>
      <c r="K629">
        <v>1.1100139999999901</v>
      </c>
      <c r="L629">
        <v>367.62329999999997</v>
      </c>
      <c r="M629">
        <v>0.99991490000000005</v>
      </c>
      <c r="N629">
        <v>0</v>
      </c>
      <c r="O629">
        <v>2.7490610000000001E-3</v>
      </c>
      <c r="P629">
        <v>0.99784620000000002</v>
      </c>
      <c r="Q629">
        <v>2.9436750000000001E-2</v>
      </c>
      <c r="R629">
        <v>-5.8624250000000003E-2</v>
      </c>
      <c r="S629">
        <v>3.0036320000000001</v>
      </c>
      <c r="T629">
        <v>-0.92231700000000005</v>
      </c>
      <c r="U629">
        <v>-0.50485230000000003</v>
      </c>
      <c r="V629">
        <v>6.1361699999999998E-2</v>
      </c>
      <c r="W629">
        <v>4.2178340000000002E-2</v>
      </c>
      <c r="X629">
        <v>0.997224</v>
      </c>
      <c r="Y629">
        <v>0.16111679999999901</v>
      </c>
      <c r="Z629">
        <v>-2.4842059999999999E-2</v>
      </c>
      <c r="AA629">
        <v>0.98662260000000002</v>
      </c>
      <c r="AB629">
        <v>26</v>
      </c>
      <c r="AC629">
        <v>0.55380000000002305</v>
      </c>
      <c r="AD629">
        <v>-0.206652999999999</v>
      </c>
      <c r="AE629">
        <v>-0.113599999999962</v>
      </c>
      <c r="AF629">
        <v>0.10155249273418999</v>
      </c>
      <c r="AG629">
        <v>-0.206652999999999</v>
      </c>
      <c r="AH629">
        <v>0.488245343310169</v>
      </c>
      <c r="AI629">
        <v>112.508519781747</v>
      </c>
      <c r="AJ629">
        <v>78.250301988465793</v>
      </c>
      <c r="AK629">
        <v>0.53981653036341204</v>
      </c>
      <c r="AL629">
        <v>87.582641989800095</v>
      </c>
      <c r="AM629">
        <v>86.478886091619898</v>
      </c>
      <c r="AN629">
        <v>0.99999998838402204</v>
      </c>
    </row>
    <row r="630" spans="1:40" x14ac:dyDescent="0.25">
      <c r="A630" t="str">
        <f>"20190312154811947"</f>
        <v>20190312154811947</v>
      </c>
      <c r="B630" t="str">
        <f>"1552376891936766"</f>
        <v>1552376891936766</v>
      </c>
      <c r="C630" t="s">
        <v>40</v>
      </c>
      <c r="D630">
        <v>4.8377489999999996</v>
      </c>
      <c r="E630">
        <v>0.54706599999999905</v>
      </c>
      <c r="F630" t="s">
        <v>41</v>
      </c>
      <c r="G630">
        <v>-323.24160000000001</v>
      </c>
      <c r="H630">
        <v>0.87353780000000003</v>
      </c>
      <c r="I630">
        <v>367.49439999999998</v>
      </c>
      <c r="J630">
        <v>-323.86799999999999</v>
      </c>
      <c r="K630">
        <v>1.109998</v>
      </c>
      <c r="L630">
        <v>367.62380000000002</v>
      </c>
      <c r="M630">
        <v>0.99991560000000002</v>
      </c>
      <c r="N630">
        <v>0</v>
      </c>
      <c r="O630">
        <v>2.808596E-3</v>
      </c>
      <c r="P630">
        <v>0.99789019999999995</v>
      </c>
      <c r="Q630">
        <v>2.9463199999999998E-2</v>
      </c>
      <c r="R630">
        <v>-5.7856009999999999E-2</v>
      </c>
      <c r="S630">
        <v>3.0041500000000001</v>
      </c>
      <c r="T630">
        <v>-0.92161879999999996</v>
      </c>
      <c r="U630">
        <v>-0.50180049999999998</v>
      </c>
      <c r="V630">
        <v>6.0653260000000001E-2</v>
      </c>
      <c r="W630">
        <v>4.212689E-2</v>
      </c>
      <c r="X630">
        <v>0.99726950000000003</v>
      </c>
      <c r="Y630">
        <v>0.160222</v>
      </c>
      <c r="Z630">
        <v>-2.470638E-2</v>
      </c>
      <c r="AA630">
        <v>0.98677179999999998</v>
      </c>
      <c r="AB630">
        <v>26</v>
      </c>
      <c r="AC630">
        <v>0.62639999999998897</v>
      </c>
      <c r="AD630">
        <v>-0.23646020000000001</v>
      </c>
      <c r="AE630">
        <v>-0.12940000000003199</v>
      </c>
      <c r="AF630">
        <v>0.115389048495109</v>
      </c>
      <c r="AG630">
        <v>-0.23646020000000001</v>
      </c>
      <c r="AH630">
        <v>0.55076289705159598</v>
      </c>
      <c r="AI630">
        <v>112.79258127094</v>
      </c>
      <c r="AJ630">
        <v>78.167240812714496</v>
      </c>
      <c r="AK630">
        <v>0.61038334468210498</v>
      </c>
      <c r="AL630">
        <v>87.585592445917001</v>
      </c>
      <c r="AM630">
        <v>86.5195963421545</v>
      </c>
      <c r="AN630">
        <v>0.999999974219974</v>
      </c>
    </row>
    <row r="631" spans="1:40" x14ac:dyDescent="0.25">
      <c r="A631" t="str">
        <f>"20190312154811960"</f>
        <v>20190312154811960</v>
      </c>
      <c r="B631" t="str">
        <f>"1552376891956288"</f>
        <v>1552376891956288</v>
      </c>
      <c r="C631" t="s">
        <v>40</v>
      </c>
      <c r="D631">
        <v>4.9043239999999999</v>
      </c>
      <c r="E631">
        <v>0.54705890000000001</v>
      </c>
      <c r="F631" t="s">
        <v>41</v>
      </c>
      <c r="G631">
        <v>-323.02179999999998</v>
      </c>
      <c r="H631">
        <v>0.8504313</v>
      </c>
      <c r="I631">
        <v>367.483</v>
      </c>
      <c r="J631">
        <v>-323.71890000000002</v>
      </c>
      <c r="K631">
        <v>1.109982</v>
      </c>
      <c r="L631">
        <v>367.62430000000001</v>
      </c>
      <c r="M631">
        <v>0.99991660000000004</v>
      </c>
      <c r="N631">
        <v>0</v>
      </c>
      <c r="O631">
        <v>2.8689179999999998E-3</v>
      </c>
      <c r="P631">
        <v>0.99796059999999998</v>
      </c>
      <c r="Q631">
        <v>2.9288660000000001E-2</v>
      </c>
      <c r="R631">
        <v>-5.6716429999999998E-2</v>
      </c>
      <c r="S631">
        <v>3.0046080000000002</v>
      </c>
      <c r="T631">
        <v>-0.92167310000000002</v>
      </c>
      <c r="U631">
        <v>-0.49917600000000001</v>
      </c>
      <c r="V631">
        <v>5.9574160000000001E-2</v>
      </c>
      <c r="W631">
        <v>4.186438E-2</v>
      </c>
      <c r="X631">
        <v>0.99734560000000005</v>
      </c>
      <c r="Y631">
        <v>0.15945019999999999</v>
      </c>
      <c r="Z631">
        <v>-2.4608870000000001E-2</v>
      </c>
      <c r="AA631">
        <v>0.98689919999999998</v>
      </c>
      <c r="AB631">
        <v>26</v>
      </c>
      <c r="AC631">
        <v>0.69710000000003403</v>
      </c>
      <c r="AD631">
        <v>-0.25955070000000002</v>
      </c>
      <c r="AE631">
        <v>-0.14130000000000101</v>
      </c>
      <c r="AF631">
        <v>0.12646028681573299</v>
      </c>
      <c r="AG631">
        <v>-0.25955070000000002</v>
      </c>
      <c r="AH631">
        <v>0.61482304519521103</v>
      </c>
      <c r="AI631">
        <v>112.46503901488001</v>
      </c>
      <c r="AJ631">
        <v>78.377177560815895</v>
      </c>
      <c r="AK631">
        <v>0.679239388518599</v>
      </c>
      <c r="AL631">
        <v>87.600646447255997</v>
      </c>
      <c r="AM631">
        <v>86.581629277282403</v>
      </c>
      <c r="AN631">
        <v>0.99999997634592397</v>
      </c>
    </row>
    <row r="632" spans="1:40" x14ac:dyDescent="0.25">
      <c r="A632" t="str">
        <f>"20190312154811972"</f>
        <v>20190312154811972</v>
      </c>
      <c r="B632" t="str">
        <f>"1552376891967023"</f>
        <v>1552376891967023</v>
      </c>
      <c r="C632" t="s">
        <v>40</v>
      </c>
      <c r="D632">
        <v>4.8955229999999998</v>
      </c>
      <c r="E632">
        <v>0.54702769999999901</v>
      </c>
      <c r="F632" t="s">
        <v>41</v>
      </c>
      <c r="G632">
        <v>-323.00549999999998</v>
      </c>
      <c r="H632">
        <v>0.89116859999999998</v>
      </c>
      <c r="I632">
        <v>367.50650000000002</v>
      </c>
      <c r="J632">
        <v>-323.57900000000001</v>
      </c>
      <c r="K632">
        <v>1.1099669999999999</v>
      </c>
      <c r="L632">
        <v>367.62470000000002</v>
      </c>
      <c r="M632">
        <v>0.99991750000000001</v>
      </c>
      <c r="N632">
        <v>0</v>
      </c>
      <c r="O632">
        <v>2.9246430000000002E-3</v>
      </c>
      <c r="P632">
        <v>0.99802590000000002</v>
      </c>
      <c r="Q632">
        <v>2.8981300000000002E-2</v>
      </c>
      <c r="R632">
        <v>-5.5720939999999997E-2</v>
      </c>
      <c r="S632">
        <v>3.0050659999999998</v>
      </c>
      <c r="T632">
        <v>-0.92164950000000001</v>
      </c>
      <c r="U632">
        <v>-0.49526979999999998</v>
      </c>
      <c r="V632">
        <v>5.8634409999999998E-2</v>
      </c>
      <c r="W632">
        <v>4.147228E-2</v>
      </c>
      <c r="X632">
        <v>0.99741769999999996</v>
      </c>
      <c r="Y632">
        <v>0.15828249999999999</v>
      </c>
      <c r="Z632">
        <v>-2.4449809999999999E-2</v>
      </c>
      <c r="AA632">
        <v>0.9870911</v>
      </c>
      <c r="AB632">
        <v>26</v>
      </c>
      <c r="AC632">
        <v>0.57350000000002399</v>
      </c>
      <c r="AD632">
        <v>-0.218798399999999</v>
      </c>
      <c r="AE632">
        <v>-0.118200000000001</v>
      </c>
      <c r="AF632">
        <v>0.105190046139917</v>
      </c>
      <c r="AG632">
        <v>-0.218798399999999</v>
      </c>
      <c r="AH632">
        <v>0.502931448156961</v>
      </c>
      <c r="AI632">
        <v>113.0658465361</v>
      </c>
      <c r="AJ632">
        <v>78.186662171562105</v>
      </c>
      <c r="AK632">
        <v>0.55846013930694804</v>
      </c>
      <c r="AL632">
        <v>87.623131722427502</v>
      </c>
      <c r="AM632">
        <v>86.635670004952203</v>
      </c>
      <c r="AN632">
        <v>1.0000000061588601</v>
      </c>
    </row>
    <row r="633" spans="1:40" x14ac:dyDescent="0.25">
      <c r="A633" t="str">
        <f>"20190312154811987"</f>
        <v>20190312154811987</v>
      </c>
      <c r="B633" t="str">
        <f>"1552376891976784"</f>
        <v>1552376891976784</v>
      </c>
      <c r="C633" t="s">
        <v>40</v>
      </c>
      <c r="D633">
        <v>4.910901</v>
      </c>
      <c r="E633">
        <v>0.54702399999999995</v>
      </c>
      <c r="F633" t="s">
        <v>41</v>
      </c>
      <c r="G633">
        <v>-322.786</v>
      </c>
      <c r="H633">
        <v>0.86673409999999995</v>
      </c>
      <c r="I633">
        <v>367.49470000000002</v>
      </c>
      <c r="J633">
        <v>-323.41219999999998</v>
      </c>
      <c r="K633">
        <v>1.1099509999999999</v>
      </c>
      <c r="L633">
        <v>367.62529999999998</v>
      </c>
      <c r="M633">
        <v>0.99991859999999999</v>
      </c>
      <c r="N633">
        <v>0</v>
      </c>
      <c r="O633">
        <v>2.9902700000000002E-3</v>
      </c>
      <c r="P633">
        <v>0.99810529999999997</v>
      </c>
      <c r="Q633">
        <v>2.8413339999999999E-2</v>
      </c>
      <c r="R633">
        <v>-5.4578000000000002E-2</v>
      </c>
      <c r="S633">
        <v>3.0052189999999999</v>
      </c>
      <c r="T633">
        <v>-0.92182359999999997</v>
      </c>
      <c r="U633">
        <v>-0.4923401</v>
      </c>
      <c r="V633">
        <v>5.7557329999999997E-2</v>
      </c>
      <c r="W633">
        <v>4.0800040000000003E-2</v>
      </c>
      <c r="X633">
        <v>0.99750819999999996</v>
      </c>
      <c r="Y633">
        <v>0.15743389999999999</v>
      </c>
      <c r="Z633">
        <v>-2.4347980000000002E-2</v>
      </c>
      <c r="AA633">
        <v>0.98722929999999998</v>
      </c>
      <c r="AB633">
        <v>26</v>
      </c>
      <c r="AC633">
        <v>0.62619999999998299</v>
      </c>
      <c r="AD633">
        <v>-0.24321690000000001</v>
      </c>
      <c r="AE633">
        <v>-0.130599999999958</v>
      </c>
      <c r="AF633">
        <v>0.11573986512731101</v>
      </c>
      <c r="AG633">
        <v>-0.24321690000000001</v>
      </c>
      <c r="AH633">
        <v>0.54676263259007596</v>
      </c>
      <c r="AI633">
        <v>113.518072828141</v>
      </c>
      <c r="AJ633">
        <v>78.047945377270295</v>
      </c>
      <c r="AK633">
        <v>0.60950763179974099</v>
      </c>
      <c r="AL633">
        <v>87.661680968562806</v>
      </c>
      <c r="AM633">
        <v>86.697631685216805</v>
      </c>
      <c r="AN633">
        <v>1.00000004928398</v>
      </c>
    </row>
    <row r="634" spans="1:40" x14ac:dyDescent="0.25">
      <c r="A634" t="str">
        <f>"20190312154812001"</f>
        <v>20190312154812001</v>
      </c>
      <c r="B634" t="str">
        <f>"1552376891996305"</f>
        <v>1552376891996305</v>
      </c>
      <c r="C634" t="s">
        <v>40</v>
      </c>
      <c r="D634">
        <v>4.8989349999999998</v>
      </c>
      <c r="E634">
        <v>0.54705579999999998</v>
      </c>
      <c r="F634" t="s">
        <v>41</v>
      </c>
      <c r="G634">
        <v>-322.56360000000001</v>
      </c>
      <c r="H634">
        <v>0.8493309</v>
      </c>
      <c r="I634">
        <v>367.48689999999999</v>
      </c>
      <c r="J634">
        <v>-323.24549999999999</v>
      </c>
      <c r="K634">
        <v>1.1099300000000001</v>
      </c>
      <c r="L634">
        <v>367.62580000000003</v>
      </c>
      <c r="M634">
        <v>0.99991980000000003</v>
      </c>
      <c r="N634">
        <v>0</v>
      </c>
      <c r="O634">
        <v>3.0552819999999999E-3</v>
      </c>
      <c r="P634">
        <v>0.99819749999999996</v>
      </c>
      <c r="Q634">
        <v>2.8151470000000001E-2</v>
      </c>
      <c r="R634">
        <v>-5.300593E-2</v>
      </c>
      <c r="S634">
        <v>3.0052490000000001</v>
      </c>
      <c r="T634">
        <v>-0.92295240000000001</v>
      </c>
      <c r="U634">
        <v>-0.48922729999999998</v>
      </c>
      <c r="V634">
        <v>5.6050379999999997E-2</v>
      </c>
      <c r="W634">
        <v>4.0426980000000001E-2</v>
      </c>
      <c r="X634">
        <v>0.99760910000000003</v>
      </c>
      <c r="Y634">
        <v>0.15651989999999999</v>
      </c>
      <c r="Z634">
        <v>-2.4261209999999998E-2</v>
      </c>
      <c r="AA634">
        <v>0.98737680000000005</v>
      </c>
      <c r="AB634">
        <v>26</v>
      </c>
      <c r="AC634">
        <v>0.68189999999998396</v>
      </c>
      <c r="AD634">
        <v>-0.26059909999999897</v>
      </c>
      <c r="AE634">
        <v>-0.138900000000035</v>
      </c>
      <c r="AF634">
        <v>0.123644003015193</v>
      </c>
      <c r="AG634">
        <v>-0.26059909999999897</v>
      </c>
      <c r="AH634">
        <v>0.59766094174717499</v>
      </c>
      <c r="AI634">
        <v>113.121996295215</v>
      </c>
      <c r="AJ634">
        <v>78.311548757031503</v>
      </c>
      <c r="AK634">
        <v>0.66362514395745398</v>
      </c>
      <c r="AL634">
        <v>87.683073153759295</v>
      </c>
      <c r="AM634">
        <v>86.784234043485199</v>
      </c>
      <c r="AN634">
        <v>0.99999995110643602</v>
      </c>
    </row>
    <row r="635" spans="1:40" x14ac:dyDescent="0.25">
      <c r="A635" t="str">
        <f>"20190312154812013"</f>
        <v>20190312154812013</v>
      </c>
      <c r="B635" t="str">
        <f>"1552376892007040"</f>
        <v>1552376892007040</v>
      </c>
      <c r="C635" t="s">
        <v>40</v>
      </c>
      <c r="D635">
        <v>4.8944419999999997</v>
      </c>
      <c r="E635">
        <v>0.54707019999999995</v>
      </c>
      <c r="F635" t="s">
        <v>41</v>
      </c>
      <c r="G635">
        <v>-322.5453</v>
      </c>
      <c r="H635">
        <v>0.89500369999999996</v>
      </c>
      <c r="I635">
        <v>367.51229999999998</v>
      </c>
      <c r="J635">
        <v>-323.11500000000001</v>
      </c>
      <c r="K635">
        <v>1.109915</v>
      </c>
      <c r="L635">
        <v>367.62630000000001</v>
      </c>
      <c r="M635">
        <v>0.99992080000000005</v>
      </c>
      <c r="N635">
        <v>0</v>
      </c>
      <c r="O635">
        <v>3.1054960000000001E-3</v>
      </c>
      <c r="P635">
        <v>0.99822089999999997</v>
      </c>
      <c r="Q635">
        <v>2.8172949999999999E-2</v>
      </c>
      <c r="R635">
        <v>-5.2552540000000002E-2</v>
      </c>
      <c r="S635">
        <v>3.005585</v>
      </c>
      <c r="T635">
        <v>-0.92250169999999998</v>
      </c>
      <c r="U635">
        <v>-0.4859619</v>
      </c>
      <c r="V635">
        <v>5.5647080000000002E-2</v>
      </c>
      <c r="W635">
        <v>4.0358379999999999E-2</v>
      </c>
      <c r="X635">
        <v>0.99763449999999998</v>
      </c>
      <c r="Y635">
        <v>0.15555459999999999</v>
      </c>
      <c r="Z635">
        <v>-2.4120329999999999E-2</v>
      </c>
      <c r="AA635">
        <v>0.98753279999999999</v>
      </c>
      <c r="AB635">
        <v>26</v>
      </c>
      <c r="AC635">
        <v>0.56970000000001098</v>
      </c>
      <c r="AD635">
        <v>-0.214911299999999</v>
      </c>
      <c r="AE635">
        <v>-0.11400000000003201</v>
      </c>
      <c r="AF635">
        <v>0.10183491090451301</v>
      </c>
      <c r="AG635">
        <v>-0.214911299999999</v>
      </c>
      <c r="AH635">
        <v>0.50081734095279096</v>
      </c>
      <c r="AI635">
        <v>112.807523998798</v>
      </c>
      <c r="AJ635">
        <v>78.506320086461898</v>
      </c>
      <c r="AK635">
        <v>0.554414308027529</v>
      </c>
      <c r="AL635">
        <v>87.687006958612997</v>
      </c>
      <c r="AM635">
        <v>86.807405562551693</v>
      </c>
      <c r="AN635">
        <v>0.99999999596949996</v>
      </c>
    </row>
    <row r="636" spans="1:40" x14ac:dyDescent="0.25">
      <c r="A636" t="str">
        <f>"20190312154812024"</f>
        <v>20190312154812024</v>
      </c>
      <c r="B636" t="str">
        <f>"1552376892016547"</f>
        <v>1552376892016547</v>
      </c>
      <c r="C636" t="s">
        <v>40</v>
      </c>
      <c r="D636">
        <v>4.8825690000000002</v>
      </c>
      <c r="E636">
        <v>0.54708419999999902</v>
      </c>
      <c r="F636" t="s">
        <v>41</v>
      </c>
      <c r="G636">
        <v>-322.32639999999998</v>
      </c>
      <c r="H636">
        <v>0.86802539999999995</v>
      </c>
      <c r="I636">
        <v>367.49880000000002</v>
      </c>
      <c r="J636">
        <v>-322.98020000000002</v>
      </c>
      <c r="K636">
        <v>1.1099000000000001</v>
      </c>
      <c r="L636">
        <v>367.6268</v>
      </c>
      <c r="M636">
        <v>0.99992170000000002</v>
      </c>
      <c r="N636">
        <v>0</v>
      </c>
      <c r="O636">
        <v>3.1571049999999999E-3</v>
      </c>
      <c r="P636">
        <v>0.99823609999999896</v>
      </c>
      <c r="Q636">
        <v>2.8157149999999999E-2</v>
      </c>
      <c r="R636">
        <v>-5.2266510000000002E-2</v>
      </c>
      <c r="S636">
        <v>3.0058289999999999</v>
      </c>
      <c r="T636">
        <v>-0.92205619999999999</v>
      </c>
      <c r="U636">
        <v>-0.48483280000000001</v>
      </c>
      <c r="V636">
        <v>5.5412709999999997E-2</v>
      </c>
      <c r="W636">
        <v>4.0248310000000002E-2</v>
      </c>
      <c r="X636">
        <v>0.99765199999999998</v>
      </c>
      <c r="Y636">
        <v>0.15525</v>
      </c>
      <c r="Z636">
        <v>-2.4077990000000001E-2</v>
      </c>
      <c r="AA636">
        <v>0.98758170000000001</v>
      </c>
      <c r="AB636">
        <v>26</v>
      </c>
      <c r="AC636">
        <v>0.65380000000004601</v>
      </c>
      <c r="AD636">
        <v>-0.2418746</v>
      </c>
      <c r="AE636">
        <v>-0.12799999999998499</v>
      </c>
      <c r="AF636">
        <v>0.11491626292371999</v>
      </c>
      <c r="AG636">
        <v>-0.2418746</v>
      </c>
      <c r="AH636">
        <v>0.57729771860905799</v>
      </c>
      <c r="AI636">
        <v>112.338504416449</v>
      </c>
      <c r="AJ636">
        <v>78.741922723488798</v>
      </c>
      <c r="AK636">
        <v>0.63638174511902601</v>
      </c>
      <c r="AL636">
        <v>87.693318651914794</v>
      </c>
      <c r="AM636">
        <v>86.820879892810794</v>
      </c>
      <c r="AN636">
        <v>1.0000000039957</v>
      </c>
    </row>
    <row r="637" spans="1:40" x14ac:dyDescent="0.25">
      <c r="A637" t="str">
        <f>"20190312154812035"</f>
        <v>20190312154812035</v>
      </c>
      <c r="B637" t="str">
        <f>"1552376892026306"</f>
        <v>1552376892026306</v>
      </c>
      <c r="C637" t="s">
        <v>40</v>
      </c>
      <c r="D637">
        <v>4.8765619999999998</v>
      </c>
      <c r="E637">
        <v>0.54712179999999999</v>
      </c>
      <c r="F637" t="s">
        <v>41</v>
      </c>
      <c r="G637">
        <v>-322.3116</v>
      </c>
      <c r="H637">
        <v>0.90491100000000002</v>
      </c>
      <c r="I637">
        <v>367.51870000000002</v>
      </c>
      <c r="J637">
        <v>-322.86349999999999</v>
      </c>
      <c r="K637">
        <v>1.109888</v>
      </c>
      <c r="L637">
        <v>367.62720000000002</v>
      </c>
      <c r="M637">
        <v>0.99992270000000005</v>
      </c>
      <c r="N637">
        <v>0</v>
      </c>
      <c r="O637">
        <v>3.2020519999999999E-3</v>
      </c>
      <c r="P637">
        <v>0.99823439999999997</v>
      </c>
      <c r="Q637">
        <v>2.8161430000000001E-2</v>
      </c>
      <c r="R637">
        <v>-5.229864E-2</v>
      </c>
      <c r="S637">
        <v>3.005951</v>
      </c>
      <c r="T637">
        <v>-0.92162509999999997</v>
      </c>
      <c r="U637">
        <v>-0.48492429999999997</v>
      </c>
      <c r="V637">
        <v>5.5489570000000002E-2</v>
      </c>
      <c r="W637">
        <v>4.0163509999999999E-2</v>
      </c>
      <c r="X637">
        <v>0.99765119999999896</v>
      </c>
      <c r="Y637">
        <v>0.15531929999999999</v>
      </c>
      <c r="Z637">
        <v>-2.4089960000000001E-2</v>
      </c>
      <c r="AA637">
        <v>0.98757050000000002</v>
      </c>
      <c r="AB637">
        <v>26</v>
      </c>
      <c r="AC637">
        <v>0.55189999999998895</v>
      </c>
      <c r="AD637">
        <v>-0.20497699999999999</v>
      </c>
      <c r="AE637">
        <v>-0.10849999999999201</v>
      </c>
      <c r="AF637">
        <v>9.7339434734205393E-2</v>
      </c>
      <c r="AG637">
        <v>-0.20497699999999999</v>
      </c>
      <c r="AH637">
        <v>0.48688767729384802</v>
      </c>
      <c r="AI637">
        <v>112.432069482486</v>
      </c>
      <c r="AJ637">
        <v>78.694378746916101</v>
      </c>
      <c r="AK637">
        <v>0.53716863868246501</v>
      </c>
      <c r="AL637">
        <v>87.698181391102096</v>
      </c>
      <c r="AM637">
        <v>86.816476821910797</v>
      </c>
      <c r="AN637">
        <v>1.0000000583878701</v>
      </c>
    </row>
    <row r="638" spans="1:40" x14ac:dyDescent="0.25">
      <c r="A638" t="str">
        <f>"20190312154812046"</f>
        <v>20190312154812046</v>
      </c>
      <c r="B638" t="str">
        <f>"1552376892037042"</f>
        <v>1552376892037042</v>
      </c>
      <c r="C638" t="s">
        <v>40</v>
      </c>
      <c r="D638">
        <v>4.8885129999999997</v>
      </c>
      <c r="E638">
        <v>0.54715170000000002</v>
      </c>
      <c r="F638" t="s">
        <v>41</v>
      </c>
      <c r="G638">
        <v>-322.09399999999999</v>
      </c>
      <c r="H638">
        <v>0.87405089999999996</v>
      </c>
      <c r="I638">
        <v>367.50290000000001</v>
      </c>
      <c r="J638">
        <v>-322.73270000000002</v>
      </c>
      <c r="K638">
        <v>1.1098730000000001</v>
      </c>
      <c r="L638">
        <v>367.6277</v>
      </c>
      <c r="M638">
        <v>0.99992369999999997</v>
      </c>
      <c r="N638">
        <v>0</v>
      </c>
      <c r="O638">
        <v>3.2526690000000001E-3</v>
      </c>
      <c r="P638">
        <v>0.9982316</v>
      </c>
      <c r="Q638">
        <v>2.7942990000000001E-2</v>
      </c>
      <c r="R638">
        <v>-5.2469090000000003E-2</v>
      </c>
      <c r="S638">
        <v>3.0058590000000001</v>
      </c>
      <c r="T638">
        <v>-0.9210874</v>
      </c>
      <c r="U638">
        <v>-0.48541260000000003</v>
      </c>
      <c r="V638">
        <v>5.5710570000000001E-2</v>
      </c>
      <c r="W638">
        <v>3.9844280000000003E-2</v>
      </c>
      <c r="X638">
        <v>0.99765159999999997</v>
      </c>
      <c r="Y638">
        <v>0.15552669999999999</v>
      </c>
      <c r="Z638">
        <v>-2.4122859999999999E-2</v>
      </c>
      <c r="AA638">
        <v>0.98753709999999995</v>
      </c>
      <c r="AB638">
        <v>26</v>
      </c>
      <c r="AC638">
        <v>0.63870000000002802</v>
      </c>
      <c r="AD638">
        <v>-0.23582209999999901</v>
      </c>
      <c r="AE638">
        <v>-0.124799999999993</v>
      </c>
      <c r="AF638">
        <v>0.11215034464170499</v>
      </c>
      <c r="AG638">
        <v>-0.23582209999999901</v>
      </c>
      <c r="AH638">
        <v>0.56420419800002597</v>
      </c>
      <c r="AI638">
        <v>112.291294796682</v>
      </c>
      <c r="AJ638">
        <v>78.757507208326302</v>
      </c>
      <c r="AK638">
        <v>0.62170422203208198</v>
      </c>
      <c r="AL638">
        <v>87.716486383282898</v>
      </c>
      <c r="AM638">
        <v>86.803825221221999</v>
      </c>
      <c r="AN638">
        <v>0.99999997462050105</v>
      </c>
    </row>
    <row r="639" spans="1:40" x14ac:dyDescent="0.25">
      <c r="A639" t="str">
        <f>"20190312154812059"</f>
        <v>20190312154812059</v>
      </c>
      <c r="B639" t="str">
        <f>"1552376892056562"</f>
        <v>1552376892056562</v>
      </c>
      <c r="C639" t="s">
        <v>40</v>
      </c>
      <c r="D639">
        <v>4.8661779999999997</v>
      </c>
      <c r="E639">
        <v>0.547234</v>
      </c>
      <c r="F639" t="s">
        <v>41</v>
      </c>
      <c r="G639">
        <v>-321.87450000000001</v>
      </c>
      <c r="H639">
        <v>0.84682289999999905</v>
      </c>
      <c r="I639">
        <v>367.48869999999999</v>
      </c>
      <c r="J639">
        <v>-322.56909999999999</v>
      </c>
      <c r="K639">
        <v>1.1098479999999999</v>
      </c>
      <c r="L639">
        <v>367.62830000000002</v>
      </c>
      <c r="M639">
        <v>0.99992519999999996</v>
      </c>
      <c r="N639">
        <v>0</v>
      </c>
      <c r="O639">
        <v>3.316252E-3</v>
      </c>
      <c r="P639">
        <v>0.99822029999999995</v>
      </c>
      <c r="Q639">
        <v>2.778709E-2</v>
      </c>
      <c r="R639">
        <v>-5.2765020000000003E-2</v>
      </c>
      <c r="S639">
        <v>3.005493</v>
      </c>
      <c r="T639">
        <v>-0.9212747</v>
      </c>
      <c r="U639">
        <v>-0.4866028</v>
      </c>
      <c r="V639">
        <v>5.606978E-2</v>
      </c>
      <c r="W639">
        <v>3.9550309999999998E-2</v>
      </c>
      <c r="X639">
        <v>0.99764319999999895</v>
      </c>
      <c r="Y639">
        <v>0.15596309999999999</v>
      </c>
      <c r="Z639">
        <v>-2.421355E-2</v>
      </c>
      <c r="AA639">
        <v>0.98746599999999995</v>
      </c>
      <c r="AB639">
        <v>26</v>
      </c>
      <c r="AC639">
        <v>0.69459999999997901</v>
      </c>
      <c r="AD639">
        <v>-0.26302509999999901</v>
      </c>
      <c r="AE639">
        <v>-0.13960000000002901</v>
      </c>
      <c r="AF639">
        <v>0.124714148965768</v>
      </c>
      <c r="AG639">
        <v>-0.26302509999999901</v>
      </c>
      <c r="AH639">
        <v>0.61005275628660605</v>
      </c>
      <c r="AI639">
        <v>112.899919986104</v>
      </c>
      <c r="AJ639">
        <v>78.446122834742596</v>
      </c>
      <c r="AK639">
        <v>0.67594392343977105</v>
      </c>
      <c r="AL639">
        <v>87.733342970753199</v>
      </c>
      <c r="AM639">
        <v>86.783233072505993</v>
      </c>
      <c r="AN639">
        <v>1.0000000008782901</v>
      </c>
    </row>
    <row r="640" spans="1:40" x14ac:dyDescent="0.25">
      <c r="A640" t="str">
        <f>"20190312154812080"</f>
        <v>20190312154812080</v>
      </c>
      <c r="B640" t="str">
        <f>"1552376892077059"</f>
        <v>1552376892077059</v>
      </c>
      <c r="C640" t="s">
        <v>40</v>
      </c>
      <c r="D640">
        <v>4.9050019999999996</v>
      </c>
      <c r="E640">
        <v>0.54734340000000004</v>
      </c>
      <c r="F640" t="s">
        <v>41</v>
      </c>
      <c r="G640">
        <v>-321.85660000000001</v>
      </c>
      <c r="H640">
        <v>0.89150549999999995</v>
      </c>
      <c r="I640">
        <v>367.51249999999999</v>
      </c>
      <c r="J640">
        <v>-322.3347</v>
      </c>
      <c r="K640">
        <v>1.10982</v>
      </c>
      <c r="L640">
        <v>367.62909999999999</v>
      </c>
      <c r="M640">
        <v>0.99992729999999996</v>
      </c>
      <c r="N640">
        <v>0</v>
      </c>
      <c r="O640">
        <v>3.4087990000000001E-3</v>
      </c>
      <c r="P640">
        <v>0.99816419999999995</v>
      </c>
      <c r="Q640">
        <v>2.793085E-2</v>
      </c>
      <c r="R640">
        <v>-5.3743819999999998E-2</v>
      </c>
      <c r="S640">
        <v>3.0051269999999999</v>
      </c>
      <c r="T640">
        <v>-0.92091140000000005</v>
      </c>
      <c r="U640">
        <v>-0.48846440000000002</v>
      </c>
      <c r="V640">
        <v>5.7140749999999997E-2</v>
      </c>
      <c r="W640">
        <v>3.9491690000000003E-2</v>
      </c>
      <c r="X640">
        <v>0.99758480000000005</v>
      </c>
      <c r="Y640">
        <v>0.15663959999999999</v>
      </c>
      <c r="Z640">
        <v>-2.4334350000000001E-2</v>
      </c>
      <c r="AA640">
        <v>0.98735600000000001</v>
      </c>
      <c r="AB640">
        <v>26</v>
      </c>
      <c r="AC640">
        <v>0.47809999999998298</v>
      </c>
      <c r="AD640">
        <v>-0.21831449999999999</v>
      </c>
      <c r="AE640">
        <v>-0.11660000000000501</v>
      </c>
      <c r="AF640">
        <v>9.8787358140819598E-2</v>
      </c>
      <c r="AG640">
        <v>-0.21831449999999999</v>
      </c>
      <c r="AH640">
        <v>0.39914592089663298</v>
      </c>
      <c r="AI640">
        <v>117.965381562556</v>
      </c>
      <c r="AJ640">
        <v>76.098819290963306</v>
      </c>
      <c r="AK640">
        <v>0.46555088788135102</v>
      </c>
      <c r="AL640">
        <v>87.736704377666598</v>
      </c>
      <c r="AM640">
        <v>86.721731947873593</v>
      </c>
      <c r="AN640">
        <v>1.00000004604032</v>
      </c>
    </row>
    <row r="641" spans="1:40" x14ac:dyDescent="0.25">
      <c r="A641" t="str">
        <f>"20190312154812095"</f>
        <v>20190312154812095</v>
      </c>
      <c r="B641" t="str">
        <f>"1552376892086818"</f>
        <v>1552376892086818</v>
      </c>
      <c r="C641" t="s">
        <v>40</v>
      </c>
      <c r="D641">
        <v>4.9758659999999999</v>
      </c>
      <c r="E641">
        <v>0.54734340000000004</v>
      </c>
      <c r="F641" t="s">
        <v>41</v>
      </c>
      <c r="G641">
        <v>-321.62520000000001</v>
      </c>
      <c r="H641">
        <v>0.89271019999999901</v>
      </c>
      <c r="I641">
        <v>367.51249999999999</v>
      </c>
      <c r="J641">
        <v>-322.16969999999998</v>
      </c>
      <c r="K641">
        <v>1.1097939999999999</v>
      </c>
      <c r="L641">
        <v>367.62979999999999</v>
      </c>
      <c r="M641">
        <v>0.9999287</v>
      </c>
      <c r="N641">
        <v>0</v>
      </c>
      <c r="O641">
        <v>3.4742420000000002E-3</v>
      </c>
      <c r="P641">
        <v>0.99814499999999995</v>
      </c>
      <c r="Q641">
        <v>2.804305E-2</v>
      </c>
      <c r="R641">
        <v>-5.4040289999999998E-2</v>
      </c>
      <c r="S641">
        <v>3.0047299999999999</v>
      </c>
      <c r="T641">
        <v>-0.91957650000000002</v>
      </c>
      <c r="U641">
        <v>-0.49261470000000002</v>
      </c>
      <c r="V641">
        <v>5.7502520000000001E-2</v>
      </c>
      <c r="W641">
        <v>3.9458819999999999E-2</v>
      </c>
      <c r="X641">
        <v>0.99756529999999999</v>
      </c>
      <c r="Y641">
        <v>0.15800939999999999</v>
      </c>
      <c r="Z641">
        <v>-2.4524219999999999E-2</v>
      </c>
      <c r="AA641">
        <v>0.98713300000000004</v>
      </c>
      <c r="AB641">
        <v>26</v>
      </c>
      <c r="AC641">
        <v>0.54449999999997001</v>
      </c>
      <c r="AD641">
        <v>-0.21708379999999999</v>
      </c>
      <c r="AE641">
        <v>-0.1173</v>
      </c>
      <c r="AF641">
        <v>0.103473516382891</v>
      </c>
      <c r="AG641">
        <v>-0.21708379999999999</v>
      </c>
      <c r="AH641">
        <v>0.47234063139074001</v>
      </c>
      <c r="AI641">
        <v>114.177480753805</v>
      </c>
      <c r="AJ641">
        <v>77.643664880793594</v>
      </c>
      <c r="AK641">
        <v>0.53003567509902905</v>
      </c>
      <c r="AL641">
        <v>87.738589129495693</v>
      </c>
      <c r="AM641">
        <v>86.700957903291595</v>
      </c>
      <c r="AN641">
        <v>1.00000003302311</v>
      </c>
    </row>
    <row r="642" spans="1:40" x14ac:dyDescent="0.25">
      <c r="A642" t="str">
        <f>"20190312154812109"</f>
        <v>20190312154812109</v>
      </c>
      <c r="B642" t="str">
        <f>"1552376892096579"</f>
        <v>1552376892096579</v>
      </c>
      <c r="C642" t="s">
        <v>40</v>
      </c>
      <c r="D642">
        <v>4.825793</v>
      </c>
      <c r="E642">
        <v>0.54737650000000004</v>
      </c>
      <c r="F642" t="s">
        <v>41</v>
      </c>
      <c r="G642">
        <v>-321.40129999999999</v>
      </c>
      <c r="H642">
        <v>0.87473869999999898</v>
      </c>
      <c r="I642">
        <v>367.5034</v>
      </c>
      <c r="J642">
        <v>-322.01280000000003</v>
      </c>
      <c r="K642">
        <v>1.109775</v>
      </c>
      <c r="L642">
        <v>367.63040000000001</v>
      </c>
      <c r="M642">
        <v>0.99992999999999999</v>
      </c>
      <c r="N642">
        <v>0</v>
      </c>
      <c r="O642">
        <v>3.5368439999999999E-3</v>
      </c>
      <c r="P642">
        <v>0.99811439999999996</v>
      </c>
      <c r="Q642">
        <v>2.826354E-2</v>
      </c>
      <c r="R642">
        <v>-5.4488580000000002E-2</v>
      </c>
      <c r="S642">
        <v>3.0046390000000001</v>
      </c>
      <c r="T642">
        <v>-0.91909580000000002</v>
      </c>
      <c r="U642">
        <v>-0.49432369999999998</v>
      </c>
      <c r="V642">
        <v>5.8012929999999997E-2</v>
      </c>
      <c r="W642">
        <v>3.9538879999999998E-2</v>
      </c>
      <c r="X642">
        <v>0.99753250000000004</v>
      </c>
      <c r="Y642">
        <v>0.1586012</v>
      </c>
      <c r="Z642">
        <v>-2.461814E-2</v>
      </c>
      <c r="AA642">
        <v>0.98703580000000002</v>
      </c>
      <c r="AB642">
        <v>26</v>
      </c>
      <c r="AC642">
        <v>0.61150000000003502</v>
      </c>
      <c r="AD642">
        <v>-0.2350363</v>
      </c>
      <c r="AE642">
        <v>-0.12700000000000899</v>
      </c>
      <c r="AF642">
        <v>0.113138927932177</v>
      </c>
      <c r="AG642">
        <v>-0.2350363</v>
      </c>
      <c r="AH642">
        <v>0.535243590496573</v>
      </c>
      <c r="AI642">
        <v>113.249670191023</v>
      </c>
      <c r="AJ642">
        <v>78.064601740152</v>
      </c>
      <c r="AK642">
        <v>0.595422690614824</v>
      </c>
      <c r="AL642">
        <v>87.733998272003703</v>
      </c>
      <c r="AM642">
        <v>86.671630944710202</v>
      </c>
      <c r="AN642">
        <v>0.99999995581754297</v>
      </c>
    </row>
    <row r="643" spans="1:40" x14ac:dyDescent="0.25">
      <c r="A643" t="str">
        <f>"20190312154812123"</f>
        <v>20190312154812123</v>
      </c>
      <c r="B643" t="str">
        <f>"1552376892117075"</f>
        <v>1552376892117075</v>
      </c>
      <c r="C643" t="s">
        <v>40</v>
      </c>
      <c r="D643">
        <v>4.79101</v>
      </c>
      <c r="E643">
        <v>0.54699149999999996</v>
      </c>
      <c r="F643" t="s">
        <v>41</v>
      </c>
      <c r="G643">
        <v>-321.17770000000002</v>
      </c>
      <c r="H643">
        <v>0.85464580000000001</v>
      </c>
      <c r="I643">
        <v>367.4923</v>
      </c>
      <c r="J643">
        <v>-321.83460000000002</v>
      </c>
      <c r="K643">
        <v>1.109761</v>
      </c>
      <c r="L643">
        <v>367.6311</v>
      </c>
      <c r="M643">
        <v>0.99993160000000003</v>
      </c>
      <c r="N643">
        <v>0</v>
      </c>
      <c r="O643">
        <v>3.6078989999999999E-3</v>
      </c>
      <c r="P643">
        <v>0.99806779999999995</v>
      </c>
      <c r="Q643">
        <v>2.886913E-2</v>
      </c>
      <c r="R643">
        <v>-5.5023299999999997E-2</v>
      </c>
      <c r="S643">
        <v>3.0046080000000002</v>
      </c>
      <c r="T643">
        <v>-0.91801069999999996</v>
      </c>
      <c r="U643">
        <v>-0.49557499999999999</v>
      </c>
      <c r="V643">
        <v>5.8618459999999997E-2</v>
      </c>
      <c r="W643">
        <v>3.998198E-2</v>
      </c>
      <c r="X643">
        <v>0.99747949999999996</v>
      </c>
      <c r="Y643">
        <v>0.15906629999999899</v>
      </c>
      <c r="Z643">
        <v>-2.4679909999999999E-2</v>
      </c>
      <c r="AA643">
        <v>0.98695940000000004</v>
      </c>
      <c r="AB643">
        <v>26</v>
      </c>
      <c r="AC643">
        <v>0.65690000000000703</v>
      </c>
      <c r="AD643">
        <v>-0.25511519999999999</v>
      </c>
      <c r="AE643">
        <v>-0.138800000000003</v>
      </c>
      <c r="AF643">
        <v>0.123358807234319</v>
      </c>
      <c r="AG643">
        <v>-0.25511519999999999</v>
      </c>
      <c r="AH643">
        <v>0.57358157916111296</v>
      </c>
      <c r="AI643">
        <v>113.50099692088401</v>
      </c>
      <c r="AJ643">
        <v>77.862418425183705</v>
      </c>
      <c r="AK643">
        <v>0.63976322850431899</v>
      </c>
      <c r="AL643">
        <v>87.708590561278001</v>
      </c>
      <c r="AM643">
        <v>86.636790990091001</v>
      </c>
      <c r="AN643">
        <v>1.0000000177488699</v>
      </c>
    </row>
    <row r="644" spans="1:40" x14ac:dyDescent="0.25">
      <c r="A644" t="str">
        <f>"20190312154812135"</f>
        <v>20190312154812135</v>
      </c>
      <c r="B644" t="str">
        <f>"1552376892126834"</f>
        <v>1552376892126834</v>
      </c>
      <c r="C644" t="s">
        <v>40</v>
      </c>
      <c r="D644">
        <v>4.7919559999999999</v>
      </c>
      <c r="E644">
        <v>0.54703889999999999</v>
      </c>
      <c r="F644" t="s">
        <v>41</v>
      </c>
      <c r="G644">
        <v>-321.15780000000001</v>
      </c>
      <c r="H644">
        <v>0.90453729999999999</v>
      </c>
      <c r="I644">
        <v>367.51940000000002</v>
      </c>
      <c r="J644">
        <v>-321.7004</v>
      </c>
      <c r="K644">
        <v>1.1097490000000001</v>
      </c>
      <c r="L644">
        <v>367.63159999999999</v>
      </c>
      <c r="M644">
        <v>0.99993279999999995</v>
      </c>
      <c r="N644">
        <v>0</v>
      </c>
      <c r="O644">
        <v>3.661376E-3</v>
      </c>
      <c r="P644">
        <v>0.99804680000000001</v>
      </c>
      <c r="Q644">
        <v>2.925343E-2</v>
      </c>
      <c r="R644">
        <v>-5.5199980000000003E-2</v>
      </c>
      <c r="S644">
        <v>3.0049130000000002</v>
      </c>
      <c r="T644">
        <v>-0.9111475</v>
      </c>
      <c r="U644">
        <v>-0.4942627</v>
      </c>
      <c r="V644">
        <v>5.8848379999999999E-2</v>
      </c>
      <c r="W644">
        <v>4.024498E-2</v>
      </c>
      <c r="X644">
        <v>0.99745539999999999</v>
      </c>
      <c r="Y644">
        <v>0.15879889999999999</v>
      </c>
      <c r="Z644">
        <v>-2.447804E-2</v>
      </c>
      <c r="AA644">
        <v>0.98700739999999998</v>
      </c>
      <c r="AB644">
        <v>26</v>
      </c>
      <c r="AC644">
        <v>0.54259999999999298</v>
      </c>
      <c r="AD644">
        <v>-0.205211699999999</v>
      </c>
      <c r="AE644">
        <v>-0.112199999999973</v>
      </c>
      <c r="AF644">
        <v>0.100412408857565</v>
      </c>
      <c r="AG644">
        <v>-0.205211699999999</v>
      </c>
      <c r="AH644">
        <v>0.47678472520499698</v>
      </c>
      <c r="AI644">
        <v>112.839297361756</v>
      </c>
      <c r="AJ644">
        <v>78.107121537106806</v>
      </c>
      <c r="AK644">
        <v>0.52869477759693595</v>
      </c>
      <c r="AL644">
        <v>87.6935096676212</v>
      </c>
      <c r="AM644">
        <v>86.623548498048507</v>
      </c>
      <c r="AN644">
        <v>1.00000003261649</v>
      </c>
    </row>
    <row r="645" spans="1:40" x14ac:dyDescent="0.25">
      <c r="A645" t="str">
        <f>"20190312154812148"</f>
        <v>20190312154812148</v>
      </c>
      <c r="B645" t="str">
        <f>"1552376892136595"</f>
        <v>1552376892136595</v>
      </c>
      <c r="C645" t="s">
        <v>40</v>
      </c>
      <c r="D645">
        <v>4.7831939999999999</v>
      </c>
      <c r="E645">
        <v>0.54704609999999998</v>
      </c>
      <c r="F645" t="s">
        <v>41</v>
      </c>
      <c r="G645">
        <v>-320.93619999999999</v>
      </c>
      <c r="H645">
        <v>0.87834639999999997</v>
      </c>
      <c r="I645">
        <v>367.50580000000002</v>
      </c>
      <c r="J645">
        <v>-321.55189999999999</v>
      </c>
      <c r="K645">
        <v>1.1097330000000001</v>
      </c>
      <c r="L645">
        <v>367.63229999999999</v>
      </c>
      <c r="M645">
        <v>0.99993410000000005</v>
      </c>
      <c r="N645">
        <v>0</v>
      </c>
      <c r="O645">
        <v>3.7206990000000001E-3</v>
      </c>
      <c r="P645">
        <v>0.99803310000000001</v>
      </c>
      <c r="Q645">
        <v>2.9881080000000001E-2</v>
      </c>
      <c r="R645">
        <v>-5.5112420000000002E-2</v>
      </c>
      <c r="S645">
        <v>3.0051269999999999</v>
      </c>
      <c r="T645">
        <v>-0.90993270000000004</v>
      </c>
      <c r="U645">
        <v>-0.49493409999999899</v>
      </c>
      <c r="V645">
        <v>5.8819700000000003E-2</v>
      </c>
      <c r="W645">
        <v>4.0737620000000002E-2</v>
      </c>
      <c r="X645">
        <v>0.99743709999999997</v>
      </c>
      <c r="Y645">
        <v>0.1590664</v>
      </c>
      <c r="Z645">
        <v>-2.450155E-2</v>
      </c>
      <c r="AA645">
        <v>0.98696379999999995</v>
      </c>
      <c r="AB645">
        <v>26</v>
      </c>
      <c r="AC645">
        <v>0.61570000000000302</v>
      </c>
      <c r="AD645">
        <v>-0.2313866</v>
      </c>
      <c r="AE645">
        <v>-0.126499999999964</v>
      </c>
      <c r="AF645">
        <v>0.113420159500897</v>
      </c>
      <c r="AG645">
        <v>-0.2313866</v>
      </c>
      <c r="AH645">
        <v>0.54180349043147902</v>
      </c>
      <c r="AI645">
        <v>112.685246879343</v>
      </c>
      <c r="AJ645">
        <v>78.176543290275802</v>
      </c>
      <c r="AK645">
        <v>0.59996242672729305</v>
      </c>
      <c r="AL645">
        <v>87.665260324252699</v>
      </c>
      <c r="AM645">
        <v>86.625128446711003</v>
      </c>
      <c r="AN645">
        <v>1.00000003962388</v>
      </c>
    </row>
    <row r="646" spans="1:40" x14ac:dyDescent="0.25">
      <c r="A646" t="str">
        <f>"20190312154812159"</f>
        <v>20190312154812159</v>
      </c>
      <c r="B646" t="str">
        <f>"1552376892146354"</f>
        <v>1552376892146354</v>
      </c>
      <c r="C646" t="s">
        <v>40</v>
      </c>
      <c r="D646">
        <v>4.7757319999999996</v>
      </c>
      <c r="E646">
        <v>0.54703440000000003</v>
      </c>
      <c r="F646" t="s">
        <v>41</v>
      </c>
      <c r="G646">
        <v>-320.71249999999998</v>
      </c>
      <c r="H646">
        <v>0.85622500000000001</v>
      </c>
      <c r="I646">
        <v>367.49400000000003</v>
      </c>
      <c r="J646">
        <v>-321.4237</v>
      </c>
      <c r="K646">
        <v>1.1097220000000001</v>
      </c>
      <c r="L646">
        <v>367.63279999999997</v>
      </c>
      <c r="M646">
        <v>0.99993520000000002</v>
      </c>
      <c r="N646">
        <v>0</v>
      </c>
      <c r="O646">
        <v>3.7719920000000001E-3</v>
      </c>
      <c r="P646">
        <v>0.99802210000000002</v>
      </c>
      <c r="Q646">
        <v>3.0454990000000001E-2</v>
      </c>
      <c r="R646">
        <v>-5.4995660000000002E-2</v>
      </c>
      <c r="S646">
        <v>3.0057680000000002</v>
      </c>
      <c r="T646">
        <v>-0.90780680000000002</v>
      </c>
      <c r="U646">
        <v>-0.4944153</v>
      </c>
      <c r="V646">
        <v>5.8754220000000003E-2</v>
      </c>
      <c r="W646">
        <v>4.119453E-2</v>
      </c>
      <c r="X646">
        <v>0.99742220000000004</v>
      </c>
      <c r="Y646">
        <v>0.15895519999999999</v>
      </c>
      <c r="Z646">
        <v>-2.444083E-2</v>
      </c>
      <c r="AA646">
        <v>0.98698319999999995</v>
      </c>
      <c r="AB646">
        <v>26</v>
      </c>
      <c r="AC646">
        <v>0.71120000000001904</v>
      </c>
      <c r="AD646">
        <v>-0.25349699999999897</v>
      </c>
      <c r="AE646">
        <v>-0.13879999999994599</v>
      </c>
      <c r="AF646">
        <v>0.12605462910880699</v>
      </c>
      <c r="AG646">
        <v>-0.25349699999999897</v>
      </c>
      <c r="AH646">
        <v>0.63317973996438104</v>
      </c>
      <c r="AI646">
        <v>111.43745659875</v>
      </c>
      <c r="AJ646">
        <v>78.740656198760306</v>
      </c>
      <c r="AK646">
        <v>0.69358999533594801</v>
      </c>
      <c r="AL646">
        <v>87.639059331609701</v>
      </c>
      <c r="AM646">
        <v>86.628826550361595</v>
      </c>
      <c r="AN646">
        <v>1.0000000463612799</v>
      </c>
    </row>
    <row r="647" spans="1:40" x14ac:dyDescent="0.25">
      <c r="A647" t="str">
        <f>"20190312154812170"</f>
        <v>20190312154812170</v>
      </c>
      <c r="B647" t="str">
        <f>"1552376892166851"</f>
        <v>1552376892166851</v>
      </c>
      <c r="C647" t="s">
        <v>40</v>
      </c>
      <c r="D647">
        <v>4.7630660000000002</v>
      </c>
      <c r="E647">
        <v>0.54700130000000002</v>
      </c>
      <c r="F647" t="s">
        <v>41</v>
      </c>
      <c r="G647">
        <v>-320.69850000000002</v>
      </c>
      <c r="H647">
        <v>0.89128490000000005</v>
      </c>
      <c r="I647">
        <v>367.51350000000002</v>
      </c>
      <c r="J647">
        <v>-321.29599999999999</v>
      </c>
      <c r="K647">
        <v>1.1096699999999999</v>
      </c>
      <c r="L647">
        <v>367.63330000000002</v>
      </c>
      <c r="M647">
        <v>0.99993770000000004</v>
      </c>
      <c r="N647">
        <v>0</v>
      </c>
      <c r="O647">
        <v>3.8238249999999999E-3</v>
      </c>
      <c r="P647">
        <v>0.9980137</v>
      </c>
      <c r="Q647">
        <v>3.0908990000000001E-2</v>
      </c>
      <c r="R647">
        <v>-5.4897330000000001E-2</v>
      </c>
      <c r="S647">
        <v>3.0063780000000002</v>
      </c>
      <c r="T647">
        <v>-0.90564199999999995</v>
      </c>
      <c r="U647">
        <v>-0.49401859999999997</v>
      </c>
      <c r="V647">
        <v>5.87074E-2</v>
      </c>
      <c r="W647">
        <v>4.1392239999999997E-2</v>
      </c>
      <c r="X647">
        <v>0.99741670000000004</v>
      </c>
      <c r="Y647">
        <v>0.15888379999999999</v>
      </c>
      <c r="Z647">
        <v>-2.4385270000000001E-2</v>
      </c>
      <c r="AA647">
        <v>0.98699610000000004</v>
      </c>
      <c r="AB647">
        <v>26</v>
      </c>
      <c r="AC647">
        <v>0.59749999999996795</v>
      </c>
      <c r="AD647">
        <v>-0.2183851</v>
      </c>
      <c r="AE647">
        <v>-0.11979999999999701</v>
      </c>
      <c r="AF647">
        <v>0.108189626462321</v>
      </c>
      <c r="AG647">
        <v>-0.2183851</v>
      </c>
      <c r="AH647">
        <v>0.52908876882172196</v>
      </c>
      <c r="AI647">
        <v>112.017874825061</v>
      </c>
      <c r="AJ647">
        <v>78.443307279275999</v>
      </c>
      <c r="AK647">
        <v>0.582522078954397</v>
      </c>
      <c r="AL647">
        <v>87.627721543652001</v>
      </c>
      <c r="AM647">
        <v>86.631488247099199</v>
      </c>
      <c r="AN647">
        <v>0.99999997489293302</v>
      </c>
    </row>
    <row r="648" spans="1:40" x14ac:dyDescent="0.25">
      <c r="A648" t="str">
        <f>"20190312154812181"</f>
        <v>20190312154812181</v>
      </c>
      <c r="B648" t="str">
        <f>"1552376892176610"</f>
        <v>1552376892176610</v>
      </c>
      <c r="C648" t="s">
        <v>40</v>
      </c>
      <c r="D648">
        <v>4.7692519999999998</v>
      </c>
      <c r="E648">
        <v>0.54699989999999998</v>
      </c>
      <c r="F648" t="s">
        <v>41</v>
      </c>
      <c r="G648">
        <v>-320.47469999999998</v>
      </c>
      <c r="H648">
        <v>0.86303200000000002</v>
      </c>
      <c r="I648">
        <v>367.49829999999997</v>
      </c>
      <c r="J648">
        <v>-321.16359999999997</v>
      </c>
      <c r="K648">
        <v>1.109572</v>
      </c>
      <c r="L648">
        <v>367.63389999999998</v>
      </c>
      <c r="M648">
        <v>0.99994170000000004</v>
      </c>
      <c r="N648">
        <v>0</v>
      </c>
      <c r="O648">
        <v>3.87813E-3</v>
      </c>
      <c r="P648">
        <v>0.99800860000000002</v>
      </c>
      <c r="Q648">
        <v>3.1341500000000001E-2</v>
      </c>
      <c r="R648">
        <v>-5.4744559999999998E-2</v>
      </c>
      <c r="S648">
        <v>3.0067140000000001</v>
      </c>
      <c r="T648">
        <v>-0.90292700000000004</v>
      </c>
      <c r="U648">
        <v>-0.49371340000000002</v>
      </c>
      <c r="V648">
        <v>5.8608670000000002E-2</v>
      </c>
      <c r="W648">
        <v>4.1403200000000001E-2</v>
      </c>
      <c r="X648">
        <v>0.99742209999999998</v>
      </c>
      <c r="Y648">
        <v>0.15886330000000001</v>
      </c>
      <c r="Z648">
        <v>-2.4325679999999999E-2</v>
      </c>
      <c r="AA648">
        <v>0.98700089999999996</v>
      </c>
      <c r="AB648">
        <v>26</v>
      </c>
      <c r="AC648">
        <v>0.68889999999998897</v>
      </c>
      <c r="AD648">
        <v>-0.24654000000000001</v>
      </c>
      <c r="AE648">
        <v>-0.13560000000000999</v>
      </c>
      <c r="AF648">
        <v>0.12309363851538201</v>
      </c>
      <c r="AG648">
        <v>-0.24654000000000001</v>
      </c>
      <c r="AH648">
        <v>0.61281094405927306</v>
      </c>
      <c r="AI648">
        <v>111.525839985606</v>
      </c>
      <c r="AJ648">
        <v>78.642297835723596</v>
      </c>
      <c r="AK648">
        <v>0.67191611723620104</v>
      </c>
      <c r="AL648">
        <v>87.627093158203493</v>
      </c>
      <c r="AM648">
        <v>86.637158327312505</v>
      </c>
      <c r="AN648">
        <v>1.0000000233688999</v>
      </c>
    </row>
    <row r="649" spans="1:40" x14ac:dyDescent="0.25">
      <c r="A649" t="str">
        <f>"20190312154812193"</f>
        <v>20190312154812193</v>
      </c>
      <c r="B649" t="str">
        <f>"1552376892186370"</f>
        <v>1552376892186370</v>
      </c>
      <c r="C649" t="s">
        <v>40</v>
      </c>
      <c r="D649">
        <v>4.7223169999999897</v>
      </c>
      <c r="E649">
        <v>0.54701049999999996</v>
      </c>
      <c r="F649" t="s">
        <v>41</v>
      </c>
      <c r="G649">
        <v>-320.46039999999999</v>
      </c>
      <c r="H649">
        <v>0.89896830000000005</v>
      </c>
      <c r="I649">
        <v>367.51830000000001</v>
      </c>
      <c r="J649">
        <v>-321.03019999999998</v>
      </c>
      <c r="K649">
        <v>1.1094469999999901</v>
      </c>
      <c r="L649">
        <v>367.63440000000003</v>
      </c>
      <c r="M649">
        <v>0.99994530000000004</v>
      </c>
      <c r="N649">
        <v>0</v>
      </c>
      <c r="O649">
        <v>3.932601E-3</v>
      </c>
      <c r="P649">
        <v>0.9980156</v>
      </c>
      <c r="Q649">
        <v>3.1701130000000001E-2</v>
      </c>
      <c r="R649">
        <v>-5.440859E-2</v>
      </c>
      <c r="S649">
        <v>3.0072019999999999</v>
      </c>
      <c r="T649">
        <v>-0.90068879999999996</v>
      </c>
      <c r="U649">
        <v>-0.4934692</v>
      </c>
      <c r="V649">
        <v>5.8327410000000003E-2</v>
      </c>
      <c r="W649">
        <v>4.1387479999999997E-2</v>
      </c>
      <c r="X649">
        <v>0.99743919999999997</v>
      </c>
      <c r="Y649">
        <v>0.15884760000000001</v>
      </c>
      <c r="Z649">
        <v>-2.4277880000000002E-2</v>
      </c>
      <c r="AA649">
        <v>0.98700460000000001</v>
      </c>
      <c r="AB649">
        <v>26</v>
      </c>
      <c r="AC649">
        <v>0.56979999999998598</v>
      </c>
      <c r="AD649">
        <v>-0.21047869999999899</v>
      </c>
      <c r="AE649">
        <v>-0.116100000000017</v>
      </c>
      <c r="AF649">
        <v>0.104632121953843</v>
      </c>
      <c r="AG649">
        <v>-0.21047869999999899</v>
      </c>
      <c r="AH649">
        <v>0.50338977217721503</v>
      </c>
      <c r="AI649">
        <v>112.26286793481199</v>
      </c>
      <c r="AJ649">
        <v>78.257975561712996</v>
      </c>
      <c r="AK649">
        <v>0.55556316187350197</v>
      </c>
      <c r="AL649">
        <v>87.627994527038396</v>
      </c>
      <c r="AM649">
        <v>86.653316906695395</v>
      </c>
      <c r="AN649">
        <v>0.99999998397734902</v>
      </c>
    </row>
    <row r="650" spans="1:40" x14ac:dyDescent="0.25">
      <c r="A650" t="str">
        <f>"20190312154812204"</f>
        <v>20190312154812204</v>
      </c>
      <c r="B650" t="str">
        <f>"1552376892197106"</f>
        <v>1552376892197106</v>
      </c>
      <c r="C650" t="s">
        <v>40</v>
      </c>
      <c r="D650">
        <v>4.6907589999999999</v>
      </c>
      <c r="E650">
        <v>0.54706440000000001</v>
      </c>
      <c r="F650" t="s">
        <v>41</v>
      </c>
      <c r="G650">
        <v>-320.23469999999998</v>
      </c>
      <c r="H650">
        <v>0.87167909999999904</v>
      </c>
      <c r="I650">
        <v>367.50380000000001</v>
      </c>
      <c r="J650">
        <v>-320.88639999999998</v>
      </c>
      <c r="K650">
        <v>1.1093029999999999</v>
      </c>
      <c r="L650">
        <v>367.63499999999999</v>
      </c>
      <c r="M650">
        <v>0.99994870000000002</v>
      </c>
      <c r="N650">
        <v>0</v>
      </c>
      <c r="O650">
        <v>3.9917950000000002E-3</v>
      </c>
      <c r="P650">
        <v>0.99801280000000003</v>
      </c>
      <c r="Q650">
        <v>3.1793559999999998E-2</v>
      </c>
      <c r="R650">
        <v>-5.4404769999999998E-2</v>
      </c>
      <c r="S650">
        <v>3.00766</v>
      </c>
      <c r="T650">
        <v>-0.89902109999999902</v>
      </c>
      <c r="U650">
        <v>-0.49237059999999999</v>
      </c>
      <c r="V650">
        <v>5.8382700000000003E-2</v>
      </c>
      <c r="W650">
        <v>4.1098759999999998E-2</v>
      </c>
      <c r="X650">
        <v>0.99744790000000005</v>
      </c>
      <c r="Y650">
        <v>0.15856709999999999</v>
      </c>
      <c r="Z650">
        <v>-2.420839E-2</v>
      </c>
      <c r="AA650">
        <v>0.98705140000000002</v>
      </c>
      <c r="AB650">
        <v>26</v>
      </c>
      <c r="AC650">
        <v>0.65170000000000505</v>
      </c>
      <c r="AD650">
        <v>-0.2376239</v>
      </c>
      <c r="AE650">
        <v>-0.131199999999978</v>
      </c>
      <c r="AF650">
        <v>0.118641628127184</v>
      </c>
      <c r="AG650">
        <v>-0.2376239</v>
      </c>
      <c r="AH650">
        <v>0.57739682025744499</v>
      </c>
      <c r="AI650">
        <v>111.955419799231</v>
      </c>
      <c r="AJ650">
        <v>78.388661545598893</v>
      </c>
      <c r="AK650">
        <v>0.63555333514921197</v>
      </c>
      <c r="AL650">
        <v>87.644551043841105</v>
      </c>
      <c r="AM650">
        <v>86.650180875466205</v>
      </c>
      <c r="AN650">
        <v>0.99999998047361804</v>
      </c>
    </row>
    <row r="651" spans="1:40" x14ac:dyDescent="0.25">
      <c r="A651" t="str">
        <f>"20190312154812215"</f>
        <v>20190312154812215</v>
      </c>
      <c r="B651" t="str">
        <f>"1552376892206866"</f>
        <v>1552376892206866</v>
      </c>
      <c r="C651" t="s">
        <v>40</v>
      </c>
      <c r="D651">
        <v>4.6975410000000002</v>
      </c>
      <c r="E651">
        <v>0.54711929999999998</v>
      </c>
      <c r="F651" t="s">
        <v>41</v>
      </c>
      <c r="G651">
        <v>-320.21949999999998</v>
      </c>
      <c r="H651">
        <v>0.91011399999999998</v>
      </c>
      <c r="I651">
        <v>367.52519999999998</v>
      </c>
      <c r="J651">
        <v>-320.75700000000001</v>
      </c>
      <c r="K651">
        <v>1.1091580000000001</v>
      </c>
      <c r="L651">
        <v>367.63560000000001</v>
      </c>
      <c r="M651">
        <v>0.99994910000000004</v>
      </c>
      <c r="N651">
        <v>0</v>
      </c>
      <c r="O651">
        <v>4.0442849999999999E-3</v>
      </c>
      <c r="P651">
        <v>0.99803609999999998</v>
      </c>
      <c r="Q651">
        <v>3.1189000000000001E-2</v>
      </c>
      <c r="R651">
        <v>-5.4328099999999997E-2</v>
      </c>
      <c r="S651">
        <v>3.0076900000000002</v>
      </c>
      <c r="T651">
        <v>-0.89841130000000002</v>
      </c>
      <c r="U651">
        <v>-0.49343870000000001</v>
      </c>
      <c r="V651">
        <v>5.835833E-2</v>
      </c>
      <c r="W651">
        <v>4.0422699999999999E-2</v>
      </c>
      <c r="X651">
        <v>0.99747699999999995</v>
      </c>
      <c r="Y651">
        <v>0.15894990000000001</v>
      </c>
      <c r="Z651">
        <v>-2.4262619999999999E-2</v>
      </c>
      <c r="AA651">
        <v>0.98698850000000005</v>
      </c>
      <c r="AB651">
        <v>26</v>
      </c>
      <c r="AC651">
        <v>0.53750000000002196</v>
      </c>
      <c r="AD651">
        <v>-0.199044</v>
      </c>
      <c r="AE651">
        <v>-0.11040000000002601</v>
      </c>
      <c r="AF651">
        <v>9.9482868310688394E-2</v>
      </c>
      <c r="AG651">
        <v>-0.199044</v>
      </c>
      <c r="AH651">
        <v>0.47460037250999398</v>
      </c>
      <c r="AI651">
        <v>112.31678276253</v>
      </c>
      <c r="AJ651">
        <v>78.161406204479306</v>
      </c>
      <c r="AK651">
        <v>0.52417637166315201</v>
      </c>
      <c r="AL651">
        <v>87.683318757266093</v>
      </c>
      <c r="AM651">
        <v>86.6516734319638</v>
      </c>
      <c r="AN651">
        <v>1.00000002744233</v>
      </c>
    </row>
    <row r="652" spans="1:40" x14ac:dyDescent="0.25">
      <c r="A652" t="str">
        <f>"20190312154812227"</f>
        <v>20190312154812227</v>
      </c>
      <c r="B652" t="str">
        <f>"1552376892216627"</f>
        <v>1552376892216627</v>
      </c>
      <c r="C652" t="s">
        <v>40</v>
      </c>
      <c r="D652">
        <v>4.6640779999999999</v>
      </c>
      <c r="E652">
        <v>0.54715939999999996</v>
      </c>
      <c r="F652" t="s">
        <v>41</v>
      </c>
      <c r="G652">
        <v>-319.99419999999998</v>
      </c>
      <c r="H652">
        <v>0.88094169999999905</v>
      </c>
      <c r="I652">
        <v>367.51029999999997</v>
      </c>
      <c r="J652">
        <v>-320.62880000000001</v>
      </c>
      <c r="K652">
        <v>1.109005</v>
      </c>
      <c r="L652">
        <v>367.6361</v>
      </c>
      <c r="M652">
        <v>0.99994919999999998</v>
      </c>
      <c r="N652">
        <v>0</v>
      </c>
      <c r="O652">
        <v>4.0962459999999996E-3</v>
      </c>
      <c r="P652">
        <v>0.99806050000000002</v>
      </c>
      <c r="Q652">
        <v>3.047395E-2</v>
      </c>
      <c r="R652">
        <v>-5.4282320000000002E-2</v>
      </c>
      <c r="S652">
        <v>3.0071110000000001</v>
      </c>
      <c r="T652">
        <v>-0.89970339999999904</v>
      </c>
      <c r="U652">
        <v>-0.49374390000000001</v>
      </c>
      <c r="V652">
        <v>5.836467E-2</v>
      </c>
      <c r="W652">
        <v>3.9673229999999997E-2</v>
      </c>
      <c r="X652">
        <v>0.99750669999999997</v>
      </c>
      <c r="Y652">
        <v>0.1590985</v>
      </c>
      <c r="Z652">
        <v>-2.4337060000000001E-2</v>
      </c>
      <c r="AA652">
        <v>0.98696269999999997</v>
      </c>
      <c r="AB652">
        <v>26</v>
      </c>
      <c r="AC652">
        <v>0.63460000000003403</v>
      </c>
      <c r="AD652">
        <v>-0.2280633</v>
      </c>
      <c r="AE652">
        <v>-0.125800000000026</v>
      </c>
      <c r="AF652">
        <v>0.11420600122581601</v>
      </c>
      <c r="AG652">
        <v>-0.2280633</v>
      </c>
      <c r="AH652">
        <v>0.563991388133115</v>
      </c>
      <c r="AI652">
        <v>111.619892752569</v>
      </c>
      <c r="AJ652">
        <v>78.552623785055602</v>
      </c>
      <c r="AK652">
        <v>0.61898478609025498</v>
      </c>
      <c r="AL652">
        <v>87.726294658314501</v>
      </c>
      <c r="AM652">
        <v>86.651409978123695</v>
      </c>
      <c r="AN652">
        <v>1.00000000821386</v>
      </c>
    </row>
    <row r="653" spans="1:40" x14ac:dyDescent="0.25">
      <c r="A653" t="str">
        <f>"20190312154812238"</f>
        <v>20190312154812238</v>
      </c>
      <c r="B653" t="str">
        <f>"1552376892226387"</f>
        <v>1552376892226387</v>
      </c>
      <c r="C653" t="s">
        <v>40</v>
      </c>
      <c r="D653">
        <v>4.6224379999999998</v>
      </c>
      <c r="E653">
        <v>0.54718290000000003</v>
      </c>
      <c r="F653" t="s">
        <v>41</v>
      </c>
      <c r="G653">
        <v>-319.76859999999999</v>
      </c>
      <c r="H653">
        <v>0.85108899999999998</v>
      </c>
      <c r="I653">
        <v>367.4948</v>
      </c>
      <c r="J653">
        <v>-320.4923</v>
      </c>
      <c r="K653">
        <v>1.1087819999999999</v>
      </c>
      <c r="L653">
        <v>367.63679999999999</v>
      </c>
      <c r="M653">
        <v>0.99994740000000004</v>
      </c>
      <c r="N653">
        <v>0</v>
      </c>
      <c r="O653">
        <v>4.1507039999999999E-3</v>
      </c>
      <c r="P653">
        <v>0.99805969999999999</v>
      </c>
      <c r="Q653">
        <v>3.0144319999999999E-2</v>
      </c>
      <c r="R653">
        <v>-5.4482240000000001E-2</v>
      </c>
      <c r="S653">
        <v>3.0065309999999998</v>
      </c>
      <c r="T653">
        <v>-0.90152719999999997</v>
      </c>
      <c r="U653">
        <v>-0.4936218</v>
      </c>
      <c r="V653">
        <v>5.8618879999999998E-2</v>
      </c>
      <c r="W653">
        <v>3.9505520000000002E-2</v>
      </c>
      <c r="X653">
        <v>0.99749849999999995</v>
      </c>
      <c r="Y653">
        <v>0.15911040000000001</v>
      </c>
      <c r="Z653">
        <v>-2.4406500000000001E-2</v>
      </c>
      <c r="AA653">
        <v>0.98695900000000003</v>
      </c>
      <c r="AB653">
        <v>26</v>
      </c>
      <c r="AC653">
        <v>0.723700000000007</v>
      </c>
      <c r="AD653">
        <v>-0.25769299999999901</v>
      </c>
      <c r="AE653">
        <v>-0.14199999999999499</v>
      </c>
      <c r="AF653">
        <v>0.12922556754664399</v>
      </c>
      <c r="AG653">
        <v>-0.25769299999999901</v>
      </c>
      <c r="AH653">
        <v>0.644426079172704</v>
      </c>
      <c r="AI653">
        <v>111.408883058806</v>
      </c>
      <c r="AJ653">
        <v>78.660973757382095</v>
      </c>
      <c r="AK653">
        <v>0.705967351280962</v>
      </c>
      <c r="AL653">
        <v>87.735911386110899</v>
      </c>
      <c r="AM653">
        <v>86.636830862715001</v>
      </c>
      <c r="AN653">
        <v>1.0000000583525801</v>
      </c>
    </row>
    <row r="654" spans="1:40" x14ac:dyDescent="0.25">
      <c r="A654" t="str">
        <f>"20190312154812249"</f>
        <v>20190312154812249</v>
      </c>
      <c r="B654" t="str">
        <f>"1552376892246882"</f>
        <v>1552376892246882</v>
      </c>
      <c r="C654" t="s">
        <v>40</v>
      </c>
      <c r="D654">
        <v>4.5688449999999996</v>
      </c>
      <c r="E654">
        <v>0.54717910000000003</v>
      </c>
      <c r="F654" t="s">
        <v>41</v>
      </c>
      <c r="G654">
        <v>-319.75420000000003</v>
      </c>
      <c r="H654">
        <v>0.88736999999999999</v>
      </c>
      <c r="I654">
        <v>367.51510000000002</v>
      </c>
      <c r="J654">
        <v>-320.35919999999999</v>
      </c>
      <c r="K654">
        <v>1.108522</v>
      </c>
      <c r="L654">
        <v>367.63740000000001</v>
      </c>
      <c r="M654">
        <v>0.99994530000000004</v>
      </c>
      <c r="N654">
        <v>0</v>
      </c>
      <c r="O654">
        <v>4.2037589999999996E-3</v>
      </c>
      <c r="P654">
        <v>0.99806620000000001</v>
      </c>
      <c r="Q654">
        <v>2.930748E-2</v>
      </c>
      <c r="R654">
        <v>-5.4816499999999997E-2</v>
      </c>
      <c r="S654">
        <v>3.0060419999999999</v>
      </c>
      <c r="T654">
        <v>-0.90179659999999995</v>
      </c>
      <c r="U654">
        <v>-0.49493409999999899</v>
      </c>
      <c r="V654">
        <v>5.9006040000000003E-2</v>
      </c>
      <c r="W654">
        <v>3.8874190000000003E-2</v>
      </c>
      <c r="X654">
        <v>0.99750039999999995</v>
      </c>
      <c r="Y654">
        <v>0.15957969999999999</v>
      </c>
      <c r="Z654">
        <v>-2.4500379999999999E-2</v>
      </c>
      <c r="AA654">
        <v>0.98688100000000001</v>
      </c>
      <c r="AB654">
        <v>26</v>
      </c>
      <c r="AC654">
        <v>0.60499999999996101</v>
      </c>
      <c r="AD654">
        <v>-0.22115199999999899</v>
      </c>
      <c r="AE654">
        <v>-0.122299999999995</v>
      </c>
      <c r="AF654">
        <v>0.110639126754146</v>
      </c>
      <c r="AG654">
        <v>-0.22115199999999899</v>
      </c>
      <c r="AH654">
        <v>0.53570937415724795</v>
      </c>
      <c r="AI654">
        <v>112.01292396816299</v>
      </c>
      <c r="AJ654">
        <v>78.330867476083199</v>
      </c>
      <c r="AK654">
        <v>0.59002860696145099</v>
      </c>
      <c r="AL654">
        <v>87.772111567969702</v>
      </c>
      <c r="AM654">
        <v>86.614676071747795</v>
      </c>
      <c r="AN654">
        <v>0.99999998170239801</v>
      </c>
    </row>
    <row r="655" spans="1:40" x14ac:dyDescent="0.25">
      <c r="A655" t="str">
        <f>"20190312154812263"</f>
        <v>20190312154812263</v>
      </c>
      <c r="B655" t="str">
        <f>"1552376892257618"</f>
        <v>1552376892257618</v>
      </c>
      <c r="C655" t="s">
        <v>40</v>
      </c>
      <c r="D655">
        <v>4.6247220000000002</v>
      </c>
      <c r="E655">
        <v>0.54719110000000004</v>
      </c>
      <c r="F655" t="s">
        <v>41</v>
      </c>
      <c r="G655">
        <v>-319.52760000000001</v>
      </c>
      <c r="H655">
        <v>0.85807289999999903</v>
      </c>
      <c r="I655">
        <v>367.50040000000001</v>
      </c>
      <c r="J655">
        <v>-320.19450000000001</v>
      </c>
      <c r="K655">
        <v>1.108117</v>
      </c>
      <c r="L655">
        <v>367.63810000000001</v>
      </c>
      <c r="M655">
        <v>0.99994170000000004</v>
      </c>
      <c r="N655">
        <v>0</v>
      </c>
      <c r="O655">
        <v>4.2684150000000002E-3</v>
      </c>
      <c r="P655">
        <v>0.99806930000000005</v>
      </c>
      <c r="Q655">
        <v>2.8537860000000002E-2</v>
      </c>
      <c r="R655">
        <v>-5.5169240000000001E-2</v>
      </c>
      <c r="S655">
        <v>3.0051570000000001</v>
      </c>
      <c r="T655">
        <v>-0.90508650000000002</v>
      </c>
      <c r="U655">
        <v>-0.4958496</v>
      </c>
      <c r="V655">
        <v>5.9423089999999998E-2</v>
      </c>
      <c r="W655">
        <v>3.8446309999999997E-2</v>
      </c>
      <c r="X655">
        <v>0.9974923</v>
      </c>
      <c r="Y655">
        <v>0.15991169999999999</v>
      </c>
      <c r="Z655">
        <v>-2.4659859999999999E-2</v>
      </c>
      <c r="AA655">
        <v>0.98682329999999996</v>
      </c>
      <c r="AB655">
        <v>27</v>
      </c>
      <c r="AC655">
        <v>0.66689999999999805</v>
      </c>
      <c r="AD655">
        <v>-0.25004409999999999</v>
      </c>
      <c r="AE655">
        <v>-0.13769999999999499</v>
      </c>
      <c r="AF655">
        <v>0.123847387900185</v>
      </c>
      <c r="AG655">
        <v>-0.25004409999999999</v>
      </c>
      <c r="AH655">
        <v>0.58714280648480099</v>
      </c>
      <c r="AI655">
        <v>112.621338455727</v>
      </c>
      <c r="AJ655">
        <v>78.089069319306304</v>
      </c>
      <c r="AK655">
        <v>0.65007453621977696</v>
      </c>
      <c r="AL655">
        <v>87.796645790700396</v>
      </c>
      <c r="AM655">
        <v>86.5907774908232</v>
      </c>
      <c r="AN655">
        <v>1.00000005546852</v>
      </c>
    </row>
    <row r="656" spans="1:40" x14ac:dyDescent="0.25">
      <c r="A656" t="str">
        <f>"20190312154812278"</f>
        <v>20190312154812278</v>
      </c>
      <c r="B656" t="str">
        <f>"1552376892266404"</f>
        <v>1552376892266404</v>
      </c>
      <c r="C656" t="s">
        <v>40</v>
      </c>
      <c r="D656">
        <v>4.5727099999999998</v>
      </c>
      <c r="E656">
        <v>0.5472013</v>
      </c>
      <c r="F656" t="s">
        <v>41</v>
      </c>
      <c r="G656">
        <v>-319.5104</v>
      </c>
      <c r="H656">
        <v>0.90162889999999996</v>
      </c>
      <c r="I656">
        <v>367.52499999999998</v>
      </c>
      <c r="J656">
        <v>-320.02749999999997</v>
      </c>
      <c r="K656">
        <v>1.107567</v>
      </c>
      <c r="L656">
        <v>367.63889999999998</v>
      </c>
      <c r="M656">
        <v>0.99993679999999996</v>
      </c>
      <c r="N656">
        <v>0</v>
      </c>
      <c r="O656">
        <v>4.32921E-3</v>
      </c>
      <c r="P656">
        <v>0.99805619999999995</v>
      </c>
      <c r="Q656">
        <v>2.8006420000000001E-2</v>
      </c>
      <c r="R656">
        <v>-5.5674899999999999E-2</v>
      </c>
      <c r="S656">
        <v>3.0042110000000002</v>
      </c>
      <c r="T656">
        <v>-0.90674259999999995</v>
      </c>
      <c r="U656">
        <v>-0.49758910000000001</v>
      </c>
      <c r="V656">
        <v>5.998912E-2</v>
      </c>
      <c r="W656">
        <v>3.8372459999999997E-2</v>
      </c>
      <c r="X656">
        <v>0.99746120000000005</v>
      </c>
      <c r="Y656">
        <v>0.16051969999999999</v>
      </c>
      <c r="Z656">
        <v>-2.4816390000000001E-2</v>
      </c>
      <c r="AA656">
        <v>0.98672059999999995</v>
      </c>
      <c r="AB656">
        <v>27</v>
      </c>
      <c r="AC656">
        <v>0.51709999999997003</v>
      </c>
      <c r="AD656">
        <v>-0.20593809999999901</v>
      </c>
      <c r="AE656">
        <v>-0.1139</v>
      </c>
      <c r="AF656">
        <v>0.10087801620111</v>
      </c>
      <c r="AG656">
        <v>-0.20593809999999901</v>
      </c>
      <c r="AH656">
        <v>0.44872417454117902</v>
      </c>
      <c r="AI656">
        <v>114.12120515683699</v>
      </c>
      <c r="AJ656">
        <v>77.329937910839902</v>
      </c>
      <c r="AK656">
        <v>0.50392485551116095</v>
      </c>
      <c r="AL656">
        <v>87.8008800706519</v>
      </c>
      <c r="AM656">
        <v>86.558273850147501</v>
      </c>
      <c r="AN656">
        <v>0.99999999285513297</v>
      </c>
    </row>
    <row r="657" spans="1:40" x14ac:dyDescent="0.25">
      <c r="A657" t="str">
        <f>"20190312154812292"</f>
        <v>20190312154812292</v>
      </c>
      <c r="B657" t="str">
        <f>"1552376892286898"</f>
        <v>1552376892286898</v>
      </c>
      <c r="C657" t="s">
        <v>40</v>
      </c>
      <c r="D657">
        <v>4.5822580000000004</v>
      </c>
      <c r="E657">
        <v>0.54709929999999996</v>
      </c>
      <c r="F657" t="s">
        <v>41</v>
      </c>
      <c r="G657">
        <v>-319.27910000000003</v>
      </c>
      <c r="H657">
        <v>0.881461099999999</v>
      </c>
      <c r="I657">
        <v>367.51429999999999</v>
      </c>
      <c r="J657">
        <v>-319.85140000000001</v>
      </c>
      <c r="K657">
        <v>1.1069119999999999</v>
      </c>
      <c r="L657">
        <v>367.6397</v>
      </c>
      <c r="M657">
        <v>0.99992959999999997</v>
      </c>
      <c r="N657">
        <v>0</v>
      </c>
      <c r="O657">
        <v>4.3930970000000003E-3</v>
      </c>
      <c r="P657">
        <v>0.99802869999999999</v>
      </c>
      <c r="Q657">
        <v>2.7311760000000001E-2</v>
      </c>
      <c r="R657">
        <v>-5.6507050000000003E-2</v>
      </c>
      <c r="S657">
        <v>3.0034480000000001</v>
      </c>
      <c r="T657">
        <v>-0.90747250000000002</v>
      </c>
      <c r="U657">
        <v>-0.49880980000000003</v>
      </c>
      <c r="V657">
        <v>6.0884649999999998E-2</v>
      </c>
      <c r="W657">
        <v>3.8328139999999997E-2</v>
      </c>
      <c r="X657">
        <v>0.99740859999999998</v>
      </c>
      <c r="Y657">
        <v>0.1609766</v>
      </c>
      <c r="Z657">
        <v>-2.492658E-2</v>
      </c>
      <c r="AA657">
        <v>0.98664339999999995</v>
      </c>
      <c r="AB657">
        <v>27</v>
      </c>
      <c r="AC657">
        <v>0.57229999999998404</v>
      </c>
      <c r="AD657">
        <v>-0.22545090000000001</v>
      </c>
      <c r="AE657">
        <v>-0.125400000000013</v>
      </c>
      <c r="AF657">
        <v>0.111415009276741</v>
      </c>
      <c r="AG657">
        <v>-0.22545090000000001</v>
      </c>
      <c r="AH657">
        <v>0.498000649406525</v>
      </c>
      <c r="AI657">
        <v>113.835393116047</v>
      </c>
      <c r="AJ657">
        <v>77.389187904308699</v>
      </c>
      <c r="AK657">
        <v>0.55789430846018395</v>
      </c>
      <c r="AL657">
        <v>87.803421197368195</v>
      </c>
      <c r="AM657">
        <v>86.506837574608497</v>
      </c>
      <c r="AN657">
        <v>0.999999951137719</v>
      </c>
    </row>
    <row r="658" spans="1:40" x14ac:dyDescent="0.25">
      <c r="A658" t="str">
        <f>"20190312154812307"</f>
        <v>20190312154812307</v>
      </c>
      <c r="B658" t="str">
        <f>"1552376892296658"</f>
        <v>1552376892296658</v>
      </c>
      <c r="C658" t="s">
        <v>40</v>
      </c>
      <c r="D658">
        <v>4.5853789999999996</v>
      </c>
      <c r="E658">
        <v>0.54713059999999902</v>
      </c>
      <c r="F658" t="s">
        <v>41</v>
      </c>
      <c r="G658">
        <v>-319.04689999999999</v>
      </c>
      <c r="H658">
        <v>0.8637686</v>
      </c>
      <c r="I658">
        <v>367.50529999999998</v>
      </c>
      <c r="J658">
        <v>-319.68340000000001</v>
      </c>
      <c r="K658">
        <v>1.106225</v>
      </c>
      <c r="L658">
        <v>367.64049999999997</v>
      </c>
      <c r="M658">
        <v>0.99992020000000004</v>
      </c>
      <c r="N658">
        <v>0</v>
      </c>
      <c r="O658">
        <v>4.454749E-3</v>
      </c>
      <c r="P658">
        <v>0.99802210000000002</v>
      </c>
      <c r="Q658">
        <v>2.656791E-2</v>
      </c>
      <c r="R658">
        <v>-5.6974839999999999E-2</v>
      </c>
      <c r="S658">
        <v>3.0024410000000001</v>
      </c>
      <c r="T658">
        <v>-0.90750109999999995</v>
      </c>
      <c r="U658">
        <v>-0.50042719999999996</v>
      </c>
      <c r="V658">
        <v>6.141369E-2</v>
      </c>
      <c r="W658">
        <v>3.8377219999999997E-2</v>
      </c>
      <c r="X658">
        <v>0.99737439999999999</v>
      </c>
      <c r="Y658">
        <v>0.16157489999999999</v>
      </c>
      <c r="Z658">
        <v>-2.5040219999999998E-2</v>
      </c>
      <c r="AA658">
        <v>0.98654269999999999</v>
      </c>
      <c r="AB658">
        <v>27</v>
      </c>
      <c r="AC658">
        <v>0.63650000000001195</v>
      </c>
      <c r="AD658">
        <v>-0.24245639999999999</v>
      </c>
      <c r="AE658">
        <v>-0.13519999999999699</v>
      </c>
      <c r="AF658">
        <v>0.121206386640516</v>
      </c>
      <c r="AG658">
        <v>-0.24245639999999999</v>
      </c>
      <c r="AH658">
        <v>0.55836912727256005</v>
      </c>
      <c r="AI658">
        <v>112.993454068153</v>
      </c>
      <c r="AJ658">
        <v>77.7526884665794</v>
      </c>
      <c r="AK658">
        <v>0.62068685853216699</v>
      </c>
      <c r="AL658">
        <v>87.800607318181306</v>
      </c>
      <c r="AM658">
        <v>86.476440348042104</v>
      </c>
      <c r="AN658">
        <v>1.00000007305484</v>
      </c>
    </row>
    <row r="659" spans="1:40" x14ac:dyDescent="0.25">
      <c r="A659" t="str">
        <f>"20190312154812317"</f>
        <v>20190312154812317</v>
      </c>
      <c r="B659" t="str">
        <f>"1552376892306419"</f>
        <v>1552376892306419</v>
      </c>
      <c r="C659" t="s">
        <v>40</v>
      </c>
      <c r="D659">
        <v>4.5624949999999904</v>
      </c>
      <c r="E659">
        <v>0.54715819999999904</v>
      </c>
      <c r="F659" t="s">
        <v>41</v>
      </c>
      <c r="G659">
        <v>-318.81580000000002</v>
      </c>
      <c r="H659">
        <v>0.843373699999999</v>
      </c>
      <c r="I659">
        <v>367.49509999999998</v>
      </c>
      <c r="J659">
        <v>-319.5437</v>
      </c>
      <c r="K659">
        <v>1.105569</v>
      </c>
      <c r="L659">
        <v>367.64120000000003</v>
      </c>
      <c r="M659">
        <v>0.99990990000000002</v>
      </c>
      <c r="N659">
        <v>0</v>
      </c>
      <c r="O659">
        <v>4.5072699999999999E-3</v>
      </c>
      <c r="P659">
        <v>0.99800279999999997</v>
      </c>
      <c r="Q659">
        <v>2.6226070000000001E-2</v>
      </c>
      <c r="R659">
        <v>-5.7468409999999998E-2</v>
      </c>
      <c r="S659">
        <v>3.0015559999999999</v>
      </c>
      <c r="T659">
        <v>-0.90930390000000005</v>
      </c>
      <c r="U659">
        <v>-0.50176999999999905</v>
      </c>
      <c r="V659">
        <v>6.195937E-2</v>
      </c>
      <c r="W659">
        <v>3.8842260000000003E-2</v>
      </c>
      <c r="X659">
        <v>0.99732259999999995</v>
      </c>
      <c r="Y659">
        <v>0.16204869999999999</v>
      </c>
      <c r="Z659">
        <v>-2.5179219999999999E-2</v>
      </c>
      <c r="AA659">
        <v>0.98646149999999999</v>
      </c>
      <c r="AB659">
        <v>27</v>
      </c>
      <c r="AC659">
        <v>0.72789999999997601</v>
      </c>
      <c r="AD659">
        <v>-0.26219530000000002</v>
      </c>
      <c r="AE659">
        <v>-0.146100000000046</v>
      </c>
      <c r="AF659">
        <v>0.132814350386806</v>
      </c>
      <c r="AG659">
        <v>-0.26219530000000002</v>
      </c>
      <c r="AH659">
        <v>0.64658831458063704</v>
      </c>
      <c r="AI659">
        <v>111.66360320507999</v>
      </c>
      <c r="AJ659">
        <v>78.392446966177801</v>
      </c>
      <c r="AK659">
        <v>0.71025521861017504</v>
      </c>
      <c r="AL659">
        <v>87.773942504966499</v>
      </c>
      <c r="AM659">
        <v>86.445028179237994</v>
      </c>
      <c r="AN659">
        <v>1.0000000265817299</v>
      </c>
    </row>
    <row r="660" spans="1:40" x14ac:dyDescent="0.25">
      <c r="A660" t="str">
        <f>"20190312154812328"</f>
        <v>20190312154812328</v>
      </c>
      <c r="B660" t="str">
        <f>"1552376892317154"</f>
        <v>1552376892317154</v>
      </c>
      <c r="C660" t="s">
        <v>40</v>
      </c>
      <c r="D660">
        <v>4.5386569999999997</v>
      </c>
      <c r="E660">
        <v>0.54714289999999999</v>
      </c>
      <c r="F660" t="s">
        <v>41</v>
      </c>
      <c r="G660">
        <v>-318.80090000000001</v>
      </c>
      <c r="H660">
        <v>0.88039149999999999</v>
      </c>
      <c r="I660">
        <v>367.5163</v>
      </c>
      <c r="J660">
        <v>-319.41520000000003</v>
      </c>
      <c r="K660">
        <v>1.104943</v>
      </c>
      <c r="L660">
        <v>367.64179999999999</v>
      </c>
      <c r="M660">
        <v>0.99990020000000002</v>
      </c>
      <c r="N660">
        <v>0</v>
      </c>
      <c r="O660">
        <v>4.5561519999999999E-3</v>
      </c>
      <c r="P660">
        <v>0.99799340000000003</v>
      </c>
      <c r="Q660">
        <v>2.5637190000000001E-2</v>
      </c>
      <c r="R660">
        <v>-5.7897499999999998E-2</v>
      </c>
      <c r="S660">
        <v>3.0009160000000001</v>
      </c>
      <c r="T660">
        <v>-0.90978709999999996</v>
      </c>
      <c r="U660">
        <v>-0.50341800000000003</v>
      </c>
      <c r="V660">
        <v>6.2437029999999998E-2</v>
      </c>
      <c r="W660">
        <v>3.8992840000000001E-2</v>
      </c>
      <c r="X660">
        <v>0.99728689999999998</v>
      </c>
      <c r="Y660">
        <v>0.16262109999999999</v>
      </c>
      <c r="Z660">
        <v>-2.5294759999999999E-2</v>
      </c>
      <c r="AA660">
        <v>0.98636429999999997</v>
      </c>
      <c r="AB660">
        <v>27</v>
      </c>
      <c r="AC660">
        <v>0.61430000000001395</v>
      </c>
      <c r="AD660">
        <v>-0.22455149999999899</v>
      </c>
      <c r="AE660">
        <v>-0.12549999999998801</v>
      </c>
      <c r="AF660">
        <v>0.113712330829936</v>
      </c>
      <c r="AG660">
        <v>-0.22455149999999899</v>
      </c>
      <c r="AH660">
        <v>0.54395116695142998</v>
      </c>
      <c r="AI660">
        <v>112.00267429733999</v>
      </c>
      <c r="AJ660">
        <v>78.192429469535497</v>
      </c>
      <c r="AK660">
        <v>0.59936361448026598</v>
      </c>
      <c r="AL660">
        <v>87.765308289723095</v>
      </c>
      <c r="AM660">
        <v>86.417565221237197</v>
      </c>
      <c r="AN660">
        <v>0.99999999259904804</v>
      </c>
    </row>
    <row r="661" spans="1:40" x14ac:dyDescent="0.25">
      <c r="A661" t="str">
        <f>"20190312154812339"</f>
        <v>20190312154812339</v>
      </c>
      <c r="B661" t="str">
        <f>"1552376892336675"</f>
        <v>1552376892336675</v>
      </c>
      <c r="C661" t="s">
        <v>40</v>
      </c>
      <c r="D661">
        <v>4.5315059999999896</v>
      </c>
      <c r="E661">
        <v>0.5471568</v>
      </c>
      <c r="F661" t="s">
        <v>41</v>
      </c>
      <c r="G661">
        <v>-318.57350000000002</v>
      </c>
      <c r="H661">
        <v>0.84944889999999995</v>
      </c>
      <c r="I661">
        <v>367.50029999999998</v>
      </c>
      <c r="J661">
        <v>-319.28070000000002</v>
      </c>
      <c r="K661">
        <v>1.104223</v>
      </c>
      <c r="L661">
        <v>367.64249999999998</v>
      </c>
      <c r="M661">
        <v>0.99988940000000004</v>
      </c>
      <c r="N661">
        <v>0</v>
      </c>
      <c r="O661">
        <v>4.6087749999999999E-3</v>
      </c>
      <c r="P661">
        <v>0.9979867</v>
      </c>
      <c r="Q661">
        <v>2.513696E-2</v>
      </c>
      <c r="R661">
        <v>-5.8229610000000001E-2</v>
      </c>
      <c r="S661">
        <v>3.0001829999999998</v>
      </c>
      <c r="T661">
        <v>-0.91073910000000002</v>
      </c>
      <c r="U661">
        <v>-0.50433349999999999</v>
      </c>
      <c r="V661">
        <v>6.2821870000000002E-2</v>
      </c>
      <c r="W661">
        <v>3.9259660000000002E-2</v>
      </c>
      <c r="X661">
        <v>0.99725229999999998</v>
      </c>
      <c r="Y661">
        <v>0.16296939999999999</v>
      </c>
      <c r="Z661">
        <v>-2.5392270000000002E-2</v>
      </c>
      <c r="AA661">
        <v>0.98630430000000002</v>
      </c>
      <c r="AB661">
        <v>27</v>
      </c>
      <c r="AC661">
        <v>0.70720000000000005</v>
      </c>
      <c r="AD661">
        <v>-0.2547741</v>
      </c>
      <c r="AE661">
        <v>-0.14220000000000199</v>
      </c>
      <c r="AF661">
        <v>0.12932578231254099</v>
      </c>
      <c r="AG661">
        <v>-0.2547741</v>
      </c>
      <c r="AH661">
        <v>0.62817699053640197</v>
      </c>
      <c r="AI661">
        <v>111.665241682865</v>
      </c>
      <c r="AJ661">
        <v>78.366783779129094</v>
      </c>
      <c r="AK661">
        <v>0.69010240648829202</v>
      </c>
      <c r="AL661">
        <v>87.750008996628694</v>
      </c>
      <c r="AM661">
        <v>86.395417653854494</v>
      </c>
      <c r="AN661">
        <v>1.00000002905445</v>
      </c>
    </row>
    <row r="662" spans="1:40" x14ac:dyDescent="0.25">
      <c r="A662" t="str">
        <f>"20190312154812351"</f>
        <v>20190312154812351</v>
      </c>
      <c r="B662" t="str">
        <f>"1552376892346436"</f>
        <v>1552376892346436</v>
      </c>
      <c r="C662" t="s">
        <v>40</v>
      </c>
      <c r="D662">
        <v>4.5145939999999998</v>
      </c>
      <c r="E662">
        <v>0.54716049999999905</v>
      </c>
      <c r="F662" t="s">
        <v>41</v>
      </c>
      <c r="G662">
        <v>-318.55919999999998</v>
      </c>
      <c r="H662">
        <v>0.88507190000000002</v>
      </c>
      <c r="I662">
        <v>367.52089999999998</v>
      </c>
      <c r="J662">
        <v>-319.15230000000003</v>
      </c>
      <c r="K662">
        <v>1.1034999999999999</v>
      </c>
      <c r="L662">
        <v>367.64319999999998</v>
      </c>
      <c r="M662">
        <v>0.99987890000000001</v>
      </c>
      <c r="N662">
        <v>0</v>
      </c>
      <c r="O662">
        <v>4.6598899999999999E-3</v>
      </c>
      <c r="P662">
        <v>0.99798489999999995</v>
      </c>
      <c r="Q662">
        <v>2.4771120000000001E-2</v>
      </c>
      <c r="R662">
        <v>-5.8416910000000002E-2</v>
      </c>
      <c r="S662">
        <v>2.9994809999999998</v>
      </c>
      <c r="T662">
        <v>-0.91109130000000005</v>
      </c>
      <c r="U662">
        <v>-0.50537109999999996</v>
      </c>
      <c r="V662">
        <v>6.3059980000000002E-2</v>
      </c>
      <c r="W662">
        <v>3.9590800000000002E-2</v>
      </c>
      <c r="X662">
        <v>0.99722420000000001</v>
      </c>
      <c r="Y662">
        <v>0.16336149999999999</v>
      </c>
      <c r="Z662">
        <v>-2.547957E-2</v>
      </c>
      <c r="AA662">
        <v>0.98623720000000004</v>
      </c>
      <c r="AB662">
        <v>27</v>
      </c>
      <c r="AC662">
        <v>0.59310000000004903</v>
      </c>
      <c r="AD662">
        <v>-0.21842809999999899</v>
      </c>
      <c r="AE662">
        <v>-0.122299999999995</v>
      </c>
      <c r="AF662">
        <v>0.11066523303021999</v>
      </c>
      <c r="AG662">
        <v>-0.21842809999999899</v>
      </c>
      <c r="AH662">
        <v>0.524310856023809</v>
      </c>
      <c r="AI662">
        <v>112.176774262303</v>
      </c>
      <c r="AJ662">
        <v>78.081627298337295</v>
      </c>
      <c r="AK662">
        <v>0.57867046098419594</v>
      </c>
      <c r="AL662">
        <v>87.731021354995306</v>
      </c>
      <c r="AM662">
        <v>86.381689960846401</v>
      </c>
      <c r="AN662">
        <v>1.00000004879393</v>
      </c>
    </row>
    <row r="663" spans="1:40" x14ac:dyDescent="0.25">
      <c r="A663" t="str">
        <f>"20190312154812362"</f>
        <v>20190312154812362</v>
      </c>
      <c r="B663" t="str">
        <f>"1552376892357170"</f>
        <v>1552376892357170</v>
      </c>
      <c r="C663" t="s">
        <v>40</v>
      </c>
      <c r="D663">
        <v>4.5172600000000003</v>
      </c>
      <c r="E663">
        <v>0.54712899999999998</v>
      </c>
      <c r="F663" t="s">
        <v>41</v>
      </c>
      <c r="G663">
        <v>-318.33109999999999</v>
      </c>
      <c r="H663">
        <v>0.85392389999999996</v>
      </c>
      <c r="I663">
        <v>367.5043</v>
      </c>
      <c r="J663">
        <v>-319.00729999999999</v>
      </c>
      <c r="K663">
        <v>1.1026469999999999</v>
      </c>
      <c r="L663">
        <v>367.64389999999997</v>
      </c>
      <c r="M663">
        <v>0.99986739999999996</v>
      </c>
      <c r="N663">
        <v>0</v>
      </c>
      <c r="O663">
        <v>4.7186340000000002E-3</v>
      </c>
      <c r="P663">
        <v>0.99797769999999997</v>
      </c>
      <c r="Q663">
        <v>2.4059219999999999E-2</v>
      </c>
      <c r="R663">
        <v>-5.8837699999999903E-2</v>
      </c>
      <c r="S663">
        <v>2.9990230000000002</v>
      </c>
      <c r="T663">
        <v>-0.91143320000000005</v>
      </c>
      <c r="U663">
        <v>-0.5058899</v>
      </c>
      <c r="V663">
        <v>6.3539390000000001E-2</v>
      </c>
      <c r="W663">
        <v>3.9627490000000001E-2</v>
      </c>
      <c r="X663">
        <v>0.99719230000000003</v>
      </c>
      <c r="Y663">
        <v>0.16359000000000001</v>
      </c>
      <c r="Z663">
        <v>-2.5543150000000001E-2</v>
      </c>
      <c r="AA663">
        <v>0.98619769999999896</v>
      </c>
      <c r="AB663">
        <v>27</v>
      </c>
      <c r="AC663">
        <v>0.67619999999999403</v>
      </c>
      <c r="AD663">
        <v>-0.2487231</v>
      </c>
      <c r="AE663">
        <v>-0.139599999999973</v>
      </c>
      <c r="AF663">
        <v>0.12638880557882601</v>
      </c>
      <c r="AG663">
        <v>-0.2487231</v>
      </c>
      <c r="AH663">
        <v>0.59794207305192804</v>
      </c>
      <c r="AI663">
        <v>112.144999423427</v>
      </c>
      <c r="AJ663">
        <v>78.064897694529193</v>
      </c>
      <c r="AK663">
        <v>0.65982727540992903</v>
      </c>
      <c r="AL663">
        <v>87.728917496556704</v>
      </c>
      <c r="AM663">
        <v>86.354139558295103</v>
      </c>
      <c r="AN663">
        <v>1.00000003761228</v>
      </c>
    </row>
    <row r="664" spans="1:40" x14ac:dyDescent="0.25">
      <c r="A664" t="str">
        <f>"20190312154812372"</f>
        <v>20190312154812372</v>
      </c>
      <c r="B664" t="str">
        <f>"1552376892366931"</f>
        <v>1552376892366931</v>
      </c>
      <c r="C664" t="s">
        <v>40</v>
      </c>
      <c r="D664">
        <v>4.5438049999999999</v>
      </c>
      <c r="E664">
        <v>0.5471355</v>
      </c>
      <c r="F664" t="s">
        <v>41</v>
      </c>
      <c r="G664">
        <v>-318.31580000000002</v>
      </c>
      <c r="H664">
        <v>0.89207449999999999</v>
      </c>
      <c r="I664">
        <v>367.52679999999998</v>
      </c>
      <c r="J664">
        <v>-318.88619999999997</v>
      </c>
      <c r="K664">
        <v>1.101918</v>
      </c>
      <c r="L664">
        <v>367.64449999999999</v>
      </c>
      <c r="M664">
        <v>0.99985780000000002</v>
      </c>
      <c r="N664">
        <v>0</v>
      </c>
      <c r="O664">
        <v>4.7681090000000004E-3</v>
      </c>
      <c r="P664">
        <v>0.9979749</v>
      </c>
      <c r="Q664">
        <v>2.3351730000000001E-2</v>
      </c>
      <c r="R664">
        <v>-5.9170639999999997E-2</v>
      </c>
      <c r="S664">
        <v>2.9982600000000001</v>
      </c>
      <c r="T664">
        <v>-0.91299719999999995</v>
      </c>
      <c r="U664">
        <v>-0.50640870000000004</v>
      </c>
      <c r="V664">
        <v>6.3921820000000004E-2</v>
      </c>
      <c r="W664">
        <v>3.9505520000000002E-2</v>
      </c>
      <c r="X664">
        <v>0.99717270000000002</v>
      </c>
      <c r="Y664">
        <v>0.1638059</v>
      </c>
      <c r="Z664">
        <v>-2.5637509999999999E-2</v>
      </c>
      <c r="AA664">
        <v>0.98615940000000002</v>
      </c>
      <c r="AB664">
        <v>27</v>
      </c>
      <c r="AC664">
        <v>0.57039999999994895</v>
      </c>
      <c r="AD664">
        <v>-0.20984349999999899</v>
      </c>
      <c r="AE664">
        <v>-0.117700000000013</v>
      </c>
      <c r="AF664">
        <v>0.10658276229281601</v>
      </c>
      <c r="AG664">
        <v>-0.20984349999999899</v>
      </c>
      <c r="AH664">
        <v>0.50435912290307905</v>
      </c>
      <c r="AI664">
        <v>112.149744689866</v>
      </c>
      <c r="AJ664">
        <v>78.067630972458304</v>
      </c>
      <c r="AK664">
        <v>0.55657192218596496</v>
      </c>
      <c r="AL664">
        <v>87.735911343187198</v>
      </c>
      <c r="AM664">
        <v>86.332183729082502</v>
      </c>
      <c r="AN664">
        <v>1.0000000394039299</v>
      </c>
    </row>
    <row r="665" spans="1:40" x14ac:dyDescent="0.25">
      <c r="A665" t="str">
        <f>"20190312154812383"</f>
        <v>20190312154812383</v>
      </c>
      <c r="B665" t="str">
        <f>"1552376892376692"</f>
        <v>1552376892376692</v>
      </c>
      <c r="C665" t="s">
        <v>40</v>
      </c>
      <c r="D665">
        <v>4.4602339999999998</v>
      </c>
      <c r="E665">
        <v>0.54710950000000003</v>
      </c>
      <c r="F665" t="s">
        <v>41</v>
      </c>
      <c r="G665">
        <v>-318.08819999999997</v>
      </c>
      <c r="H665">
        <v>0.85837889999999994</v>
      </c>
      <c r="I665">
        <v>367.50940000000003</v>
      </c>
      <c r="J665">
        <v>-318.74950000000001</v>
      </c>
      <c r="K665">
        <v>1.101094</v>
      </c>
      <c r="L665">
        <v>367.64519999999999</v>
      </c>
      <c r="M665">
        <v>0.99984669999999998</v>
      </c>
      <c r="N665">
        <v>0</v>
      </c>
      <c r="O665">
        <v>4.8239870000000001E-3</v>
      </c>
      <c r="P665">
        <v>0.99796890000000005</v>
      </c>
      <c r="Q665">
        <v>2.2533020000000001E-2</v>
      </c>
      <c r="R665">
        <v>-5.9584619999999998E-2</v>
      </c>
      <c r="S665">
        <v>2.9973749999999999</v>
      </c>
      <c r="T665">
        <v>-0.91470070000000003</v>
      </c>
      <c r="U665">
        <v>-0.50735470000000005</v>
      </c>
      <c r="V665">
        <v>6.439185E-2</v>
      </c>
      <c r="W665">
        <v>3.9333510000000002E-2</v>
      </c>
      <c r="X665">
        <v>0.99714919999999996</v>
      </c>
      <c r="Y665">
        <v>0.16416210000000001</v>
      </c>
      <c r="Z665">
        <v>-2.5759219999999999E-2</v>
      </c>
      <c r="AA665">
        <v>0.986097</v>
      </c>
      <c r="AB665">
        <v>27</v>
      </c>
      <c r="AC665">
        <v>0.66130000000003897</v>
      </c>
      <c r="AD665">
        <v>-0.24271509999999999</v>
      </c>
      <c r="AE665">
        <v>-0.13579999999996001</v>
      </c>
      <c r="AF665">
        <v>0.123079891712523</v>
      </c>
      <c r="AG665">
        <v>-0.24271509999999999</v>
      </c>
      <c r="AH665">
        <v>0.58501866708480998</v>
      </c>
      <c r="AI665">
        <v>112.096978726736</v>
      </c>
      <c r="AJ665">
        <v>78.119025999041895</v>
      </c>
      <c r="AK665">
        <v>0.64521788594990404</v>
      </c>
      <c r="AL665">
        <v>87.745774324705593</v>
      </c>
      <c r="AM665">
        <v>86.305201138681397</v>
      </c>
      <c r="AN665">
        <v>0.99999998120799105</v>
      </c>
    </row>
    <row r="666" spans="1:40" x14ac:dyDescent="0.25">
      <c r="A666" t="str">
        <f>"20190312154812395"</f>
        <v>20190312154812395</v>
      </c>
      <c r="B666" t="str">
        <f>"1552376892386451"</f>
        <v>1552376892386451</v>
      </c>
      <c r="C666" t="s">
        <v>40</v>
      </c>
      <c r="D666">
        <v>4.532667</v>
      </c>
      <c r="E666">
        <v>0.54709399999999997</v>
      </c>
      <c r="F666" t="s">
        <v>41</v>
      </c>
      <c r="G666">
        <v>-318.07369999999997</v>
      </c>
      <c r="H666">
        <v>0.89437999999999995</v>
      </c>
      <c r="I666">
        <v>367.53059999999999</v>
      </c>
      <c r="J666">
        <v>-318.61779999999999</v>
      </c>
      <c r="K666">
        <v>1.1002529999999999</v>
      </c>
      <c r="L666">
        <v>367.64580000000001</v>
      </c>
      <c r="M666">
        <v>0.99984010000000001</v>
      </c>
      <c r="N666">
        <v>0</v>
      </c>
      <c r="O666">
        <v>4.8796940000000004E-3</v>
      </c>
      <c r="P666">
        <v>0.99796220000000002</v>
      </c>
      <c r="Q666">
        <v>2.1915110000000002E-2</v>
      </c>
      <c r="R666">
        <v>-5.992716E-2</v>
      </c>
      <c r="S666">
        <v>2.996429</v>
      </c>
      <c r="T666">
        <v>-0.91645430000000005</v>
      </c>
      <c r="U666">
        <v>-0.50787349999999998</v>
      </c>
      <c r="V666">
        <v>6.479E-2</v>
      </c>
      <c r="W666">
        <v>3.9088129999999999E-2</v>
      </c>
      <c r="X666">
        <v>0.99713309999999999</v>
      </c>
      <c r="Y666">
        <v>0.16438920000000001</v>
      </c>
      <c r="Z666">
        <v>-2.5864120000000001E-2</v>
      </c>
      <c r="AA666">
        <v>0.98605640000000006</v>
      </c>
      <c r="AB666">
        <v>27</v>
      </c>
      <c r="AC666">
        <v>0.54410000000001402</v>
      </c>
      <c r="AD666">
        <v>-0.205873</v>
      </c>
      <c r="AE666">
        <v>-0.115200000000015</v>
      </c>
      <c r="AF666">
        <v>0.103651342021207</v>
      </c>
      <c r="AG666">
        <v>-0.205873</v>
      </c>
      <c r="AH666">
        <v>0.47802975194792302</v>
      </c>
      <c r="AI666">
        <v>112.82570704418001</v>
      </c>
      <c r="AJ666">
        <v>77.765921662438998</v>
      </c>
      <c r="AK666">
        <v>0.530697405853082</v>
      </c>
      <c r="AL666">
        <v>87.759844476504696</v>
      </c>
      <c r="AM666">
        <v>86.282359338510901</v>
      </c>
      <c r="AN666">
        <v>1.00000002256125</v>
      </c>
    </row>
    <row r="667" spans="1:40" x14ac:dyDescent="0.25">
      <c r="A667" t="str">
        <f>"20190312154812405"</f>
        <v>20190312154812405</v>
      </c>
      <c r="B667" t="str">
        <f>"1552376892397186"</f>
        <v>1552376892397186</v>
      </c>
      <c r="C667" t="s">
        <v>40</v>
      </c>
      <c r="D667">
        <v>4.494777</v>
      </c>
      <c r="E667">
        <v>0.54707600000000001</v>
      </c>
      <c r="F667" t="s">
        <v>41</v>
      </c>
      <c r="G667">
        <v>-317.84289999999999</v>
      </c>
      <c r="H667">
        <v>0.86287800000000003</v>
      </c>
      <c r="I667">
        <v>367.51389999999998</v>
      </c>
      <c r="J667">
        <v>-318.4898</v>
      </c>
      <c r="K667">
        <v>1.099431</v>
      </c>
      <c r="L667">
        <v>367.6465</v>
      </c>
      <c r="M667">
        <v>0.99983409999999995</v>
      </c>
      <c r="N667">
        <v>0</v>
      </c>
      <c r="O667">
        <v>4.9341200000000002E-3</v>
      </c>
      <c r="P667">
        <v>0.99795279999999997</v>
      </c>
      <c r="Q667">
        <v>2.1204480000000001E-2</v>
      </c>
      <c r="R667">
        <v>-6.0337769999999999E-2</v>
      </c>
      <c r="S667">
        <v>2.9957280000000002</v>
      </c>
      <c r="T667">
        <v>-0.91766380000000003</v>
      </c>
      <c r="U667">
        <v>-0.50888059999999902</v>
      </c>
      <c r="V667">
        <v>6.5255129999999995E-2</v>
      </c>
      <c r="W667">
        <v>3.8710759999999997E-2</v>
      </c>
      <c r="X667">
        <v>0.99711749999999999</v>
      </c>
      <c r="Y667">
        <v>0.16476170000000001</v>
      </c>
      <c r="Z667">
        <v>-2.5973449999999999E-2</v>
      </c>
      <c r="AA667">
        <v>0.98599139999999996</v>
      </c>
      <c r="AB667">
        <v>27</v>
      </c>
      <c r="AC667">
        <v>0.64690000000001602</v>
      </c>
      <c r="AD667">
        <v>-0.23655300000000001</v>
      </c>
      <c r="AE667">
        <v>-0.132600000000024</v>
      </c>
      <c r="AF667">
        <v>0.12034729686786599</v>
      </c>
      <c r="AG667">
        <v>-0.23655300000000001</v>
      </c>
      <c r="AH667">
        <v>0.57274123994408799</v>
      </c>
      <c r="AI667">
        <v>112.008179254803</v>
      </c>
      <c r="AJ667">
        <v>78.133357382982297</v>
      </c>
      <c r="AK667">
        <v>0.63124743294930996</v>
      </c>
      <c r="AL667">
        <v>87.781482582332998</v>
      </c>
      <c r="AM667">
        <v>86.255687485786098</v>
      </c>
      <c r="AN667">
        <v>1.0000000318686699</v>
      </c>
    </row>
    <row r="668" spans="1:40" x14ac:dyDescent="0.25">
      <c r="A668" t="str">
        <f>"20190312154812416"</f>
        <v>20190312154812416</v>
      </c>
      <c r="B668" t="str">
        <f>"1552376892406947"</f>
        <v>1552376892406947</v>
      </c>
      <c r="C668" t="s">
        <v>40</v>
      </c>
      <c r="D668">
        <v>4.5139399999999998</v>
      </c>
      <c r="E668">
        <v>0.54704929999999996</v>
      </c>
      <c r="F668" t="s">
        <v>41</v>
      </c>
      <c r="G668">
        <v>-317.61149999999998</v>
      </c>
      <c r="H668">
        <v>0.82980279999999995</v>
      </c>
      <c r="I668">
        <v>367.49709999999999</v>
      </c>
      <c r="J668">
        <v>-318.35489999999999</v>
      </c>
      <c r="K668">
        <v>1.098533</v>
      </c>
      <c r="L668">
        <v>367.64729999999997</v>
      </c>
      <c r="M668">
        <v>0.99982959999999999</v>
      </c>
      <c r="N668">
        <v>0</v>
      </c>
      <c r="O668">
        <v>4.9910450000000004E-3</v>
      </c>
      <c r="P668">
        <v>0.99793799999999999</v>
      </c>
      <c r="Q668">
        <v>2.1071690000000001E-2</v>
      </c>
      <c r="R668">
        <v>-6.0628120000000001E-2</v>
      </c>
      <c r="S668">
        <v>2.9948730000000001</v>
      </c>
      <c r="T668">
        <v>-0.91928220000000005</v>
      </c>
      <c r="U668">
        <v>-0.50949100000000003</v>
      </c>
      <c r="V668">
        <v>6.5602129999999995E-2</v>
      </c>
      <c r="W668">
        <v>3.8812729999999997E-2</v>
      </c>
      <c r="X668">
        <v>0.99709080000000005</v>
      </c>
      <c r="Y668">
        <v>0.16501559999999901</v>
      </c>
      <c r="Z668">
        <v>-2.607868E-2</v>
      </c>
      <c r="AA668">
        <v>0.98594610000000005</v>
      </c>
      <c r="AB668">
        <v>27</v>
      </c>
      <c r="AC668">
        <v>0.74340000000000805</v>
      </c>
      <c r="AD668">
        <v>-0.26873019999999898</v>
      </c>
      <c r="AE668">
        <v>-0.15019999999998301</v>
      </c>
      <c r="AF668">
        <v>0.13674138824396101</v>
      </c>
      <c r="AG668">
        <v>-0.26873019999999898</v>
      </c>
      <c r="AH668">
        <v>0.65980364009930503</v>
      </c>
      <c r="AI668">
        <v>111.742781776725</v>
      </c>
      <c r="AJ668">
        <v>78.291455184487702</v>
      </c>
      <c r="AK668">
        <v>0.72543433275467395</v>
      </c>
      <c r="AL668">
        <v>87.775635812617907</v>
      </c>
      <c r="AM668">
        <v>86.235733352930694</v>
      </c>
      <c r="AN668">
        <v>1.00000006545761</v>
      </c>
    </row>
    <row r="669" spans="1:40" x14ac:dyDescent="0.25">
      <c r="A669" t="str">
        <f>"20190312154812428"</f>
        <v>20190312154812428</v>
      </c>
      <c r="B669" t="str">
        <f>"1552376892416706"</f>
        <v>1552376892416706</v>
      </c>
      <c r="C669" t="s">
        <v>40</v>
      </c>
      <c r="D669">
        <v>4.4695010000000002</v>
      </c>
      <c r="E669">
        <v>0.54699849999999905</v>
      </c>
      <c r="F669" t="s">
        <v>41</v>
      </c>
      <c r="G669">
        <v>-317.59679999999997</v>
      </c>
      <c r="H669">
        <v>0.86586439999999998</v>
      </c>
      <c r="I669">
        <v>367.51799999999997</v>
      </c>
      <c r="J669">
        <v>-318.21269999999998</v>
      </c>
      <c r="K669">
        <v>1.0975820000000001</v>
      </c>
      <c r="L669">
        <v>367.64800000000002</v>
      </c>
      <c r="M669">
        <v>0.99982490000000002</v>
      </c>
      <c r="N669">
        <v>0</v>
      </c>
      <c r="O669">
        <v>5.0492280000000002E-3</v>
      </c>
      <c r="P669">
        <v>0.99793449999999995</v>
      </c>
      <c r="Q669">
        <v>2.0764870000000001E-2</v>
      </c>
      <c r="R669">
        <v>-6.0794290000000001E-2</v>
      </c>
      <c r="S669">
        <v>2.9945680000000001</v>
      </c>
      <c r="T669">
        <v>-0.91898990000000003</v>
      </c>
      <c r="U669">
        <v>-0.51058959999999998</v>
      </c>
      <c r="V669">
        <v>6.5826300000000004E-2</v>
      </c>
      <c r="W669">
        <v>3.8752679999999998E-2</v>
      </c>
      <c r="X669">
        <v>0.99707829999999997</v>
      </c>
      <c r="Y669">
        <v>0.16542399999999999</v>
      </c>
      <c r="Z669">
        <v>-2.6150699999999999E-2</v>
      </c>
      <c r="AA669">
        <v>0.98587579999999997</v>
      </c>
      <c r="AB669">
        <v>27</v>
      </c>
      <c r="AC669">
        <v>0.61590000000001</v>
      </c>
      <c r="AD669">
        <v>-0.2317176</v>
      </c>
      <c r="AE669">
        <v>-0.12999999999999501</v>
      </c>
      <c r="AF669">
        <v>0.11722380555384899</v>
      </c>
      <c r="AG669">
        <v>-0.2317176</v>
      </c>
      <c r="AH669">
        <v>0.54181493050426499</v>
      </c>
      <c r="AI669">
        <v>112.684835544159</v>
      </c>
      <c r="AJ669">
        <v>77.791991849837999</v>
      </c>
      <c r="AK669">
        <v>0.60083099591784395</v>
      </c>
      <c r="AL669">
        <v>87.779078878167098</v>
      </c>
      <c r="AM669">
        <v>86.222860378280799</v>
      </c>
      <c r="AN669">
        <v>1.00000000415488</v>
      </c>
    </row>
    <row r="670" spans="1:40" x14ac:dyDescent="0.25">
      <c r="A670" t="str">
        <f>"20190312154812439"</f>
        <v>20190312154812439</v>
      </c>
      <c r="B670" t="str">
        <f>"1552376892437202"</f>
        <v>1552376892437202</v>
      </c>
      <c r="C670" t="s">
        <v>40</v>
      </c>
      <c r="D670">
        <v>4.453157</v>
      </c>
      <c r="E670">
        <v>0.54695019999999905</v>
      </c>
      <c r="F670" t="s">
        <v>41</v>
      </c>
      <c r="G670">
        <v>-317.36309999999997</v>
      </c>
      <c r="H670">
        <v>0.83683059999999998</v>
      </c>
      <c r="I670">
        <v>367.50279999999998</v>
      </c>
      <c r="J670">
        <v>-318.07249999999999</v>
      </c>
      <c r="K670">
        <v>1.0966290000000001</v>
      </c>
      <c r="L670">
        <v>367.64879999999999</v>
      </c>
      <c r="M670">
        <v>0.9998203</v>
      </c>
      <c r="N670">
        <v>0</v>
      </c>
      <c r="O670">
        <v>5.1007659999999996E-3</v>
      </c>
      <c r="P670">
        <v>0.99793699999999996</v>
      </c>
      <c r="Q670">
        <v>2.0551159999999999E-2</v>
      </c>
      <c r="R670">
        <v>-6.082361E-2</v>
      </c>
      <c r="S670">
        <v>2.994202</v>
      </c>
      <c r="T670">
        <v>-0.9189503</v>
      </c>
      <c r="U670">
        <v>-0.51080320000000001</v>
      </c>
      <c r="V670">
        <v>6.5906999999999993E-2</v>
      </c>
      <c r="W670">
        <v>3.8778890000000003E-2</v>
      </c>
      <c r="X670">
        <v>0.99707190000000001</v>
      </c>
      <c r="Y670">
        <v>0.1655539</v>
      </c>
      <c r="Z670">
        <v>-2.6187220000000001E-2</v>
      </c>
      <c r="AA670">
        <v>0.98585299999999998</v>
      </c>
      <c r="AB670">
        <v>27</v>
      </c>
      <c r="AC670">
        <v>0.70940000000001602</v>
      </c>
      <c r="AD670">
        <v>-0.25979839999999998</v>
      </c>
      <c r="AE670">
        <v>-0.14600000000001501</v>
      </c>
      <c r="AF670">
        <v>0.132560721845006</v>
      </c>
      <c r="AG670">
        <v>-0.25979839999999998</v>
      </c>
      <c r="AH670">
        <v>0.62785979597157604</v>
      </c>
      <c r="AI670">
        <v>112.04100257568101</v>
      </c>
      <c r="AJ670">
        <v>78.078165707740794</v>
      </c>
      <c r="AK670">
        <v>0.69229724614221799</v>
      </c>
      <c r="AL670">
        <v>87.777575915423398</v>
      </c>
      <c r="AM670">
        <v>86.218219004908704</v>
      </c>
      <c r="AN670">
        <v>0.99999995436412004</v>
      </c>
    </row>
    <row r="671" spans="1:40" x14ac:dyDescent="0.25">
      <c r="A671" t="str">
        <f>"20190312154812450"</f>
        <v>20190312154812450</v>
      </c>
      <c r="B671" t="str">
        <f>"1552376892446962"</f>
        <v>1552376892446962</v>
      </c>
      <c r="C671" t="s">
        <v>40</v>
      </c>
      <c r="D671">
        <v>4.4839149999999997</v>
      </c>
      <c r="E671">
        <v>0.54694030000000005</v>
      </c>
      <c r="F671" t="s">
        <v>41</v>
      </c>
      <c r="G671">
        <v>-317.34789999999998</v>
      </c>
      <c r="H671">
        <v>0.87442609999999998</v>
      </c>
      <c r="I671">
        <v>367.52499999999998</v>
      </c>
      <c r="J671">
        <v>-317.9357</v>
      </c>
      <c r="K671">
        <v>1.0956619999999999</v>
      </c>
      <c r="L671">
        <v>367.64949999999999</v>
      </c>
      <c r="M671">
        <v>0.99981620000000004</v>
      </c>
      <c r="N671">
        <v>0</v>
      </c>
      <c r="O671">
        <v>5.151559E-3</v>
      </c>
      <c r="P671">
        <v>0.99794369999999999</v>
      </c>
      <c r="Q671">
        <v>2.0349530000000001E-2</v>
      </c>
      <c r="R671">
        <v>-6.0781139999999997E-2</v>
      </c>
      <c r="S671">
        <v>2.9939879999999999</v>
      </c>
      <c r="T671">
        <v>-0.91808579999999995</v>
      </c>
      <c r="U671">
        <v>-0.51043700000000003</v>
      </c>
      <c r="V671">
        <v>6.5914940000000005E-2</v>
      </c>
      <c r="W671">
        <v>3.8782240000000003E-2</v>
      </c>
      <c r="X671">
        <v>0.99707129999999999</v>
      </c>
      <c r="Y671">
        <v>0.16551089999999999</v>
      </c>
      <c r="Z671">
        <v>-2.6174389999999999E-2</v>
      </c>
      <c r="AA671">
        <v>0.98586059999999998</v>
      </c>
      <c r="AB671">
        <v>27</v>
      </c>
      <c r="AC671">
        <v>0.58780000000001498</v>
      </c>
      <c r="AD671">
        <v>-0.22123590000000001</v>
      </c>
      <c r="AE671">
        <v>-0.124500000000011</v>
      </c>
      <c r="AF671">
        <v>0.112301238253285</v>
      </c>
      <c r="AG671">
        <v>-0.22123590000000001</v>
      </c>
      <c r="AH671">
        <v>0.51704955440953704</v>
      </c>
      <c r="AI671">
        <v>112.69139149681401</v>
      </c>
      <c r="AJ671">
        <v>77.745896693834695</v>
      </c>
      <c r="AK671">
        <v>0.57349553902112604</v>
      </c>
      <c r="AL671">
        <v>87.777383952373697</v>
      </c>
      <c r="AM671">
        <v>86.217762456144797</v>
      </c>
      <c r="AN671">
        <v>1.0000000093691499</v>
      </c>
    </row>
    <row r="672" spans="1:40" x14ac:dyDescent="0.25">
      <c r="A672" t="str">
        <f>"20190312154812462"</f>
        <v>20190312154812462</v>
      </c>
      <c r="B672" t="str">
        <f>"1552376892456723"</f>
        <v>1552376892456723</v>
      </c>
      <c r="C672" t="s">
        <v>40</v>
      </c>
      <c r="D672">
        <v>4.4394939999999998</v>
      </c>
      <c r="E672">
        <v>0.54691449999999997</v>
      </c>
      <c r="F672" t="s">
        <v>41</v>
      </c>
      <c r="G672">
        <v>-317.11439999999999</v>
      </c>
      <c r="H672">
        <v>0.84389519999999996</v>
      </c>
      <c r="I672">
        <v>367.50940000000003</v>
      </c>
      <c r="J672">
        <v>-317.7842</v>
      </c>
      <c r="K672">
        <v>1.0945640000000001</v>
      </c>
      <c r="L672">
        <v>367.65039999999999</v>
      </c>
      <c r="M672">
        <v>0.99981240000000005</v>
      </c>
      <c r="N672">
        <v>0</v>
      </c>
      <c r="O672">
        <v>5.208112E-3</v>
      </c>
      <c r="P672">
        <v>0.99795230000000001</v>
      </c>
      <c r="Q672">
        <v>2.0269769999999999E-2</v>
      </c>
      <c r="R672">
        <v>-6.0669710000000002E-2</v>
      </c>
      <c r="S672">
        <v>2.993805</v>
      </c>
      <c r="T672">
        <v>-0.91780949999999994</v>
      </c>
      <c r="U672">
        <v>-0.51049800000000001</v>
      </c>
      <c r="V672">
        <v>6.5859760000000003E-2</v>
      </c>
      <c r="W672">
        <v>3.8899919999999998E-2</v>
      </c>
      <c r="X672">
        <v>0.99707040000000002</v>
      </c>
      <c r="Y672">
        <v>0.1655935</v>
      </c>
      <c r="Z672">
        <v>-2.6197459999999999E-2</v>
      </c>
      <c r="AA672">
        <v>0.98584609999999995</v>
      </c>
      <c r="AB672">
        <v>27</v>
      </c>
      <c r="AC672">
        <v>0.66980000000000905</v>
      </c>
      <c r="AD672">
        <v>-0.25066879999999903</v>
      </c>
      <c r="AE672">
        <v>-0.14099999999996199</v>
      </c>
      <c r="AF672">
        <v>0.12740068476148</v>
      </c>
      <c r="AG672">
        <v>-0.25066879999999903</v>
      </c>
      <c r="AH672">
        <v>0.58993679035631996</v>
      </c>
      <c r="AI672">
        <v>112.554737352849</v>
      </c>
      <c r="AJ672">
        <v>77.813748058138799</v>
      </c>
      <c r="AK672">
        <v>0.65352214835233402</v>
      </c>
      <c r="AL672">
        <v>87.770636377611496</v>
      </c>
      <c r="AM672">
        <v>86.220916136522106</v>
      </c>
      <c r="AN672">
        <v>1.0000000471597099</v>
      </c>
    </row>
    <row r="673" spans="1:40" x14ac:dyDescent="0.25">
      <c r="A673" t="str">
        <f>"20190312154812475"</f>
        <v>20190312154812475</v>
      </c>
      <c r="B673" t="str">
        <f>"1552376892466483"</f>
        <v>1552376892466483</v>
      </c>
      <c r="C673" t="s">
        <v>40</v>
      </c>
      <c r="D673">
        <v>4.4657809999999998</v>
      </c>
      <c r="E673">
        <v>0.5469041</v>
      </c>
      <c r="F673" t="s">
        <v>41</v>
      </c>
      <c r="G673">
        <v>-317.09809999999999</v>
      </c>
      <c r="H673">
        <v>0.88429829999999998</v>
      </c>
      <c r="I673">
        <v>367.53339999999997</v>
      </c>
      <c r="J673">
        <v>-317.63420000000002</v>
      </c>
      <c r="K673">
        <v>1.0934029999999999</v>
      </c>
      <c r="L673">
        <v>367.65120000000002</v>
      </c>
      <c r="M673">
        <v>0.99981050000000005</v>
      </c>
      <c r="N673">
        <v>0</v>
      </c>
      <c r="O673">
        <v>5.2660379999999998E-3</v>
      </c>
      <c r="P673">
        <v>0.99796739999999995</v>
      </c>
      <c r="Q673">
        <v>1.9956809999999998E-2</v>
      </c>
      <c r="R673">
        <v>-6.0523590000000002E-2</v>
      </c>
      <c r="S673">
        <v>2.993744</v>
      </c>
      <c r="T673">
        <v>-0.91739610000000005</v>
      </c>
      <c r="U673">
        <v>-0.51019289999999995</v>
      </c>
      <c r="V673">
        <v>6.5771540000000003E-2</v>
      </c>
      <c r="W673">
        <v>3.8665970000000001E-2</v>
      </c>
      <c r="X673">
        <v>0.99708529999999995</v>
      </c>
      <c r="Y673">
        <v>0.1655614</v>
      </c>
      <c r="Z673">
        <v>-2.619935E-2</v>
      </c>
      <c r="AA673">
        <v>0.98585140000000004</v>
      </c>
      <c r="AB673">
        <v>27</v>
      </c>
      <c r="AC673">
        <v>0.53610000000003299</v>
      </c>
      <c r="AD673">
        <v>-0.2091047</v>
      </c>
      <c r="AE673">
        <v>-0.11780000000004499</v>
      </c>
      <c r="AF673">
        <v>0.105334751751158</v>
      </c>
      <c r="AG673">
        <v>-0.2091047</v>
      </c>
      <c r="AH673">
        <v>0.467608143001919</v>
      </c>
      <c r="AI673">
        <v>113.56913799892099</v>
      </c>
      <c r="AJ673">
        <v>77.3052817810091</v>
      </c>
      <c r="AK673">
        <v>0.52295082071861398</v>
      </c>
      <c r="AL673">
        <v>87.784050765724501</v>
      </c>
      <c r="AM673">
        <v>86.226019863396203</v>
      </c>
      <c r="AN673">
        <v>1.00000002409305</v>
      </c>
    </row>
    <row r="674" spans="1:40" x14ac:dyDescent="0.25">
      <c r="A674" t="str">
        <f>"20190312154812488"</f>
        <v>20190312154812488</v>
      </c>
      <c r="B674" t="str">
        <f>"1552376892486978"</f>
        <v>1552376892486978</v>
      </c>
      <c r="C674" t="s">
        <v>40</v>
      </c>
      <c r="D674">
        <v>4.4484709999999996</v>
      </c>
      <c r="E674">
        <v>0.54685349999999999</v>
      </c>
      <c r="F674" t="s">
        <v>41</v>
      </c>
      <c r="G674">
        <v>-316.86259999999999</v>
      </c>
      <c r="H674">
        <v>0.85690189999999999</v>
      </c>
      <c r="I674">
        <v>367.51960000000003</v>
      </c>
      <c r="J674">
        <v>-317.46839999999997</v>
      </c>
      <c r="K674">
        <v>1.092069</v>
      </c>
      <c r="L674">
        <v>367.65219999999999</v>
      </c>
      <c r="M674">
        <v>0.99980979999999997</v>
      </c>
      <c r="N674">
        <v>0</v>
      </c>
      <c r="O674">
        <v>5.3306350000000002E-3</v>
      </c>
      <c r="P674">
        <v>0.99798010000000004</v>
      </c>
      <c r="Q674">
        <v>2.0016619999999999E-2</v>
      </c>
      <c r="R674">
        <v>-6.0292779999999997E-2</v>
      </c>
      <c r="S674">
        <v>2.9935299999999998</v>
      </c>
      <c r="T674">
        <v>-0.91759489999999999</v>
      </c>
      <c r="U674">
        <v>-0.50970459999999995</v>
      </c>
      <c r="V674">
        <v>6.5605200000000002E-2</v>
      </c>
      <c r="W674">
        <v>3.8740780000000002E-2</v>
      </c>
      <c r="X674">
        <v>0.99709329999999996</v>
      </c>
      <c r="Y674">
        <v>0.1654767</v>
      </c>
      <c r="Z674">
        <v>-2.6213520000000001E-2</v>
      </c>
      <c r="AA674">
        <v>0.9858652</v>
      </c>
      <c r="AB674">
        <v>27</v>
      </c>
      <c r="AC674">
        <v>0.60579999999998702</v>
      </c>
      <c r="AD674">
        <v>-0.23516709999999999</v>
      </c>
      <c r="AE674">
        <v>-0.13259999999996799</v>
      </c>
      <c r="AF674">
        <v>0.118751115493301</v>
      </c>
      <c r="AG674">
        <v>-0.23516709999999999</v>
      </c>
      <c r="AH674">
        <v>0.52901065681548598</v>
      </c>
      <c r="AI674">
        <v>113.448659421806</v>
      </c>
      <c r="AJ674">
        <v>77.348101235700597</v>
      </c>
      <c r="AK674">
        <v>0.59098025971910895</v>
      </c>
      <c r="AL674">
        <v>87.779761133577793</v>
      </c>
      <c r="AM674">
        <v>86.235567113464995</v>
      </c>
      <c r="AN674">
        <v>0.99999996960346804</v>
      </c>
    </row>
    <row r="675" spans="1:40" x14ac:dyDescent="0.25">
      <c r="A675" t="str">
        <f>"20190312154812504"</f>
        <v>20190312154812504</v>
      </c>
      <c r="B675" t="str">
        <f>"1552376892496738"</f>
        <v>1552376892496738</v>
      </c>
      <c r="C675" t="s">
        <v>40</v>
      </c>
      <c r="D675">
        <v>4.4461259999999996</v>
      </c>
      <c r="E675">
        <v>0.54683459999999995</v>
      </c>
      <c r="F675" t="s">
        <v>41</v>
      </c>
      <c r="G675">
        <v>-316.62479999999999</v>
      </c>
      <c r="H675">
        <v>0.83392809999999995</v>
      </c>
      <c r="I675">
        <v>367.50889999999998</v>
      </c>
      <c r="J675">
        <v>-317.2697</v>
      </c>
      <c r="K675">
        <v>1.0903860000000001</v>
      </c>
      <c r="L675">
        <v>367.6533</v>
      </c>
      <c r="M675">
        <v>0.99981180000000003</v>
      </c>
      <c r="N675">
        <v>0</v>
      </c>
      <c r="O675">
        <v>5.4087359999999999E-3</v>
      </c>
      <c r="P675">
        <v>0.99800199999999994</v>
      </c>
      <c r="Q675">
        <v>2.036665E-2</v>
      </c>
      <c r="R675">
        <v>-5.9808239999999999E-2</v>
      </c>
      <c r="S675">
        <v>2.993744</v>
      </c>
      <c r="T675">
        <v>-0.91608480000000003</v>
      </c>
      <c r="U675">
        <v>-0.50854489999999997</v>
      </c>
      <c r="V675">
        <v>6.5198850000000003E-2</v>
      </c>
      <c r="W675">
        <v>3.8962820000000002E-2</v>
      </c>
      <c r="X675">
        <v>0.99711130000000003</v>
      </c>
      <c r="Y675">
        <v>0.1652045</v>
      </c>
      <c r="Z675">
        <v>-2.6154009999999998E-2</v>
      </c>
      <c r="AA675">
        <v>0.98591249999999997</v>
      </c>
      <c r="AB675">
        <v>27</v>
      </c>
      <c r="AC675">
        <v>0.64490000000000602</v>
      </c>
      <c r="AD675">
        <v>-0.25645790000000002</v>
      </c>
      <c r="AE675">
        <v>-0.14440000000001799</v>
      </c>
      <c r="AF675">
        <v>0.12853086765079</v>
      </c>
      <c r="AG675">
        <v>-0.25645790000000002</v>
      </c>
      <c r="AH675">
        <v>0.55980696329736901</v>
      </c>
      <c r="AI675">
        <v>114.060801827985</v>
      </c>
      <c r="AJ675">
        <v>77.069083093848207</v>
      </c>
      <c r="AK675">
        <v>0.62902676776723698</v>
      </c>
      <c r="AL675">
        <v>87.767029562126794</v>
      </c>
      <c r="AM675">
        <v>86.258884438503799</v>
      </c>
      <c r="AN675">
        <v>0.99999996798568203</v>
      </c>
    </row>
    <row r="676" spans="1:40" x14ac:dyDescent="0.25">
      <c r="A676" t="str">
        <f>"20190312154812526"</f>
        <v>20190312154812526</v>
      </c>
      <c r="B676" t="str">
        <f>"1552376892516258"</f>
        <v>1552376892516258</v>
      </c>
      <c r="C676" t="s">
        <v>40</v>
      </c>
      <c r="D676">
        <v>4.4666699999999997</v>
      </c>
      <c r="E676">
        <v>0.54683329999999997</v>
      </c>
      <c r="F676" t="s">
        <v>41</v>
      </c>
      <c r="G676">
        <v>-316.60340000000002</v>
      </c>
      <c r="H676">
        <v>0.88687459999999996</v>
      </c>
      <c r="I676">
        <v>367.54059999999998</v>
      </c>
      <c r="J676">
        <v>-317.00799999999998</v>
      </c>
      <c r="K676">
        <v>1.0880449999999999</v>
      </c>
      <c r="L676">
        <v>367.65480000000002</v>
      </c>
      <c r="M676">
        <v>0.99981779999999998</v>
      </c>
      <c r="N676">
        <v>0</v>
      </c>
      <c r="O676">
        <v>5.5044259999999998E-3</v>
      </c>
      <c r="P676">
        <v>0.99800429999999996</v>
      </c>
      <c r="Q676">
        <v>2.1027899999999999E-2</v>
      </c>
      <c r="R676">
        <v>-5.954636E-2</v>
      </c>
      <c r="S676">
        <v>2.9943240000000002</v>
      </c>
      <c r="T676">
        <v>-0.91451110000000002</v>
      </c>
      <c r="U676">
        <v>-0.50653079999999995</v>
      </c>
      <c r="V676">
        <v>6.5031800000000001E-2</v>
      </c>
      <c r="W676">
        <v>3.9275869999999997E-2</v>
      </c>
      <c r="X676">
        <v>0.99710989999999999</v>
      </c>
      <c r="Y676">
        <v>0.16466929999999999</v>
      </c>
      <c r="Z676">
        <v>-2.6056619999999999E-2</v>
      </c>
      <c r="AA676">
        <v>0.98600460000000001</v>
      </c>
      <c r="AB676">
        <v>27</v>
      </c>
      <c r="AC676">
        <v>0.40459999999995899</v>
      </c>
      <c r="AD676">
        <v>-0.2011704</v>
      </c>
      <c r="AE676">
        <v>-0.11420000000003901</v>
      </c>
      <c r="AF676">
        <v>9.4734078482430997E-2</v>
      </c>
      <c r="AG676">
        <v>-0.2011704</v>
      </c>
      <c r="AH676">
        <v>0.32870110634025701</v>
      </c>
      <c r="AI676">
        <v>120.458907999421</v>
      </c>
      <c r="AJ676">
        <v>73.922629122475001</v>
      </c>
      <c r="AK676">
        <v>0.39684819864953902</v>
      </c>
      <c r="AL676">
        <v>87.749079316487197</v>
      </c>
      <c r="AM676">
        <v>86.268437440436401</v>
      </c>
      <c r="AN676">
        <v>0.99999994082675103</v>
      </c>
    </row>
    <row r="677" spans="1:40" x14ac:dyDescent="0.25">
      <c r="A677" t="str">
        <f>"20190312154812537"</f>
        <v>20190312154812537</v>
      </c>
      <c r="B677" t="str">
        <f>"1552376892526995"</f>
        <v>1552376892526995</v>
      </c>
      <c r="C677" t="s">
        <v>40</v>
      </c>
      <c r="D677">
        <v>4.444814</v>
      </c>
      <c r="E677">
        <v>0.54680039999999996</v>
      </c>
      <c r="F677" t="s">
        <v>41</v>
      </c>
      <c r="G677">
        <v>-316.13420000000002</v>
      </c>
      <c r="H677">
        <v>0.82220939999999998</v>
      </c>
      <c r="I677">
        <v>367.50700000000001</v>
      </c>
      <c r="J677">
        <v>-316.85829999999999</v>
      </c>
      <c r="K677">
        <v>1.086659</v>
      </c>
      <c r="L677">
        <v>367.65570000000002</v>
      </c>
      <c r="M677">
        <v>0.99982139999999997</v>
      </c>
      <c r="N677">
        <v>0</v>
      </c>
      <c r="O677">
        <v>5.5589009999999998E-3</v>
      </c>
      <c r="P677">
        <v>0.99801399999999996</v>
      </c>
      <c r="Q677">
        <v>2.1176980000000001E-2</v>
      </c>
      <c r="R677">
        <v>-5.9326120000000003E-2</v>
      </c>
      <c r="S677">
        <v>2.9949949999999999</v>
      </c>
      <c r="T677">
        <v>-0.91118379999999999</v>
      </c>
      <c r="U677">
        <v>-0.50601200000000002</v>
      </c>
      <c r="V677">
        <v>6.4865909999999999E-2</v>
      </c>
      <c r="W677">
        <v>3.9203439999999999E-2</v>
      </c>
      <c r="X677">
        <v>0.9971236</v>
      </c>
      <c r="Y677">
        <v>0.164578799999999</v>
      </c>
      <c r="Z677">
        <v>-2.5963429999999999E-2</v>
      </c>
      <c r="AA677">
        <v>0.98602219999999996</v>
      </c>
      <c r="AB677">
        <v>28</v>
      </c>
      <c r="AC677">
        <v>0.72409999999996399</v>
      </c>
      <c r="AD677">
        <v>-0.26444959999999901</v>
      </c>
      <c r="AE677">
        <v>-0.14870000000007599</v>
      </c>
      <c r="AF677">
        <v>0.13539537173545499</v>
      </c>
      <c r="AG677">
        <v>-0.26444959999999901</v>
      </c>
      <c r="AH677">
        <v>0.64119993640049899</v>
      </c>
      <c r="AI677">
        <v>111.97560168549499</v>
      </c>
      <c r="AJ677">
        <v>78.076614675280098</v>
      </c>
      <c r="AK677">
        <v>0.70668441051684905</v>
      </c>
      <c r="AL677">
        <v>87.753232547590997</v>
      </c>
      <c r="AM677">
        <v>86.277980509050494</v>
      </c>
      <c r="AN677">
        <v>0.99999998483246</v>
      </c>
    </row>
    <row r="678" spans="1:40" x14ac:dyDescent="0.25">
      <c r="A678" t="str">
        <f>"20190312154812550"</f>
        <v>20190312154812550</v>
      </c>
      <c r="B678" t="str">
        <f>"1552376892546515"</f>
        <v>1552376892546515</v>
      </c>
      <c r="C678" t="s">
        <v>40</v>
      </c>
      <c r="D678">
        <v>4.4733280000000004</v>
      </c>
      <c r="E678">
        <v>0.54677330000000002</v>
      </c>
      <c r="F678" t="s">
        <v>41</v>
      </c>
      <c r="G678">
        <v>-316.11829999999998</v>
      </c>
      <c r="H678">
        <v>0.86186189999999996</v>
      </c>
      <c r="I678">
        <v>367.53070000000002</v>
      </c>
      <c r="J678">
        <v>-316.71949999999998</v>
      </c>
      <c r="K678">
        <v>1.0853680000000001</v>
      </c>
      <c r="L678">
        <v>367.65649999999999</v>
      </c>
      <c r="M678">
        <v>0.99982519999999997</v>
      </c>
      <c r="N678">
        <v>0</v>
      </c>
      <c r="O678">
        <v>5.6104450000000004E-3</v>
      </c>
      <c r="P678">
        <v>0.99801649999999997</v>
      </c>
      <c r="Q678">
        <v>2.12905E-2</v>
      </c>
      <c r="R678">
        <v>-5.9244619999999998E-2</v>
      </c>
      <c r="S678">
        <v>2.9952700000000001</v>
      </c>
      <c r="T678">
        <v>-0.90990970000000004</v>
      </c>
      <c r="U678">
        <v>-0.50540160000000001</v>
      </c>
      <c r="V678">
        <v>6.4836009999999999E-2</v>
      </c>
      <c r="W678">
        <v>3.9098609999999999E-2</v>
      </c>
      <c r="X678">
        <v>0.99712970000000001</v>
      </c>
      <c r="Y678">
        <v>0.16444449999999999</v>
      </c>
      <c r="Z678">
        <v>-2.5922219999999999E-2</v>
      </c>
      <c r="AA678">
        <v>0.98604570000000002</v>
      </c>
      <c r="AB678">
        <v>28</v>
      </c>
      <c r="AC678">
        <v>0.60120000000000495</v>
      </c>
      <c r="AD678">
        <v>-0.22350610000000001</v>
      </c>
      <c r="AE678">
        <v>-0.12579999999996899</v>
      </c>
      <c r="AF678">
        <v>0.11406755531561499</v>
      </c>
      <c r="AG678">
        <v>-0.22350610000000001</v>
      </c>
      <c r="AH678">
        <v>0.53027009925858504</v>
      </c>
      <c r="AI678">
        <v>112.395028486692</v>
      </c>
      <c r="AJ678">
        <v>77.859976689979604</v>
      </c>
      <c r="AK678">
        <v>0.58664534608279295</v>
      </c>
      <c r="AL678">
        <v>87.759243560742206</v>
      </c>
      <c r="AM678">
        <v>86.279714053253599</v>
      </c>
      <c r="AN678">
        <v>1.0000000240593701</v>
      </c>
    </row>
    <row r="679" spans="1:40" x14ac:dyDescent="0.25">
      <c r="A679" t="str">
        <f>"20190312154812561"</f>
        <v>20190312154812561</v>
      </c>
      <c r="B679" t="str">
        <f>"1552376892556277"</f>
        <v>1552376892556277</v>
      </c>
      <c r="C679" t="s">
        <v>40</v>
      </c>
      <c r="D679">
        <v>4.4760489999999997</v>
      </c>
      <c r="E679">
        <v>0.54675450000000003</v>
      </c>
      <c r="F679" t="s">
        <v>41</v>
      </c>
      <c r="G679">
        <v>-315.88279999999997</v>
      </c>
      <c r="H679">
        <v>0.83158719999999997</v>
      </c>
      <c r="I679">
        <v>367.5154</v>
      </c>
      <c r="J679">
        <v>-316.56920000000002</v>
      </c>
      <c r="K679">
        <v>1.083955</v>
      </c>
      <c r="L679">
        <v>367.6574</v>
      </c>
      <c r="M679">
        <v>0.99982950000000004</v>
      </c>
      <c r="N679">
        <v>0</v>
      </c>
      <c r="O679">
        <v>5.6681819999999999E-3</v>
      </c>
      <c r="P679">
        <v>0.99800739999999999</v>
      </c>
      <c r="Q679">
        <v>2.1705479999999999E-2</v>
      </c>
      <c r="R679">
        <v>-5.9248040000000002E-2</v>
      </c>
      <c r="S679">
        <v>2.9953609999999999</v>
      </c>
      <c r="T679">
        <v>-0.90848660000000003</v>
      </c>
      <c r="U679">
        <v>-0.5050964</v>
      </c>
      <c r="V679">
        <v>6.4897049999999998E-2</v>
      </c>
      <c r="W679">
        <v>3.9256800000000001E-2</v>
      </c>
      <c r="X679">
        <v>0.99711950000000005</v>
      </c>
      <c r="Y679">
        <v>0.16442039999999999</v>
      </c>
      <c r="Z679">
        <v>-2.5896300000000001E-2</v>
      </c>
      <c r="AA679">
        <v>0.98605039999999999</v>
      </c>
      <c r="AB679">
        <v>28</v>
      </c>
      <c r="AC679">
        <v>0.68640000000004797</v>
      </c>
      <c r="AD679">
        <v>-0.25236779999999998</v>
      </c>
      <c r="AE679">
        <v>-0.14199999999999499</v>
      </c>
      <c r="AF679">
        <v>0.12914729889245999</v>
      </c>
      <c r="AG679">
        <v>-0.25236779999999998</v>
      </c>
      <c r="AH679">
        <v>0.60690896398516003</v>
      </c>
      <c r="AI679">
        <v>112.13247453138599</v>
      </c>
      <c r="AJ679">
        <v>77.986920109233495</v>
      </c>
      <c r="AK679">
        <v>0.66985597097704397</v>
      </c>
      <c r="AL679">
        <v>87.750172946900193</v>
      </c>
      <c r="AM679">
        <v>86.276183447003604</v>
      </c>
      <c r="AN679">
        <v>1.0000000103625899</v>
      </c>
    </row>
    <row r="680" spans="1:40" x14ac:dyDescent="0.25">
      <c r="A680" t="str">
        <f>"20190312154812571"</f>
        <v>20190312154812571</v>
      </c>
      <c r="B680" t="str">
        <f>"1552376892567010"</f>
        <v>1552376892567010</v>
      </c>
      <c r="C680" t="s">
        <v>40</v>
      </c>
      <c r="D680">
        <v>4.5124069999999996</v>
      </c>
      <c r="E680">
        <v>0.54676169999999902</v>
      </c>
      <c r="F680" t="s">
        <v>41</v>
      </c>
      <c r="G680">
        <v>-315.86680000000001</v>
      </c>
      <c r="H680">
        <v>0.87135209999999996</v>
      </c>
      <c r="I680">
        <v>367.53910000000002</v>
      </c>
      <c r="J680">
        <v>-316.44099999999997</v>
      </c>
      <c r="K680">
        <v>1.082754</v>
      </c>
      <c r="L680">
        <v>367.65820000000002</v>
      </c>
      <c r="M680">
        <v>0.99983359999999999</v>
      </c>
      <c r="N680">
        <v>0</v>
      </c>
      <c r="O680">
        <v>5.7189550000000004E-3</v>
      </c>
      <c r="P680">
        <v>0.99799979999999999</v>
      </c>
      <c r="Q680">
        <v>2.1897819999999998E-2</v>
      </c>
      <c r="R680">
        <v>-5.9302489999999999E-2</v>
      </c>
      <c r="S680">
        <v>2.9957889999999998</v>
      </c>
      <c r="T680">
        <v>-0.90677669999999999</v>
      </c>
      <c r="U680">
        <v>-0.5044556</v>
      </c>
      <c r="V680">
        <v>6.5002219999999999E-2</v>
      </c>
      <c r="W680">
        <v>3.9194380000000001E-2</v>
      </c>
      <c r="X680">
        <v>0.99711510000000003</v>
      </c>
      <c r="Y680">
        <v>0.16427539999999999</v>
      </c>
      <c r="Z680">
        <v>-2.5840169999999999E-2</v>
      </c>
      <c r="AA680">
        <v>0.98607599999999995</v>
      </c>
      <c r="AB680">
        <v>28</v>
      </c>
      <c r="AC680">
        <v>0.57419999999996196</v>
      </c>
      <c r="AD680">
        <v>-0.211401899999999</v>
      </c>
      <c r="AE680">
        <v>-0.119100000000003</v>
      </c>
      <c r="AF680">
        <v>0.108307160323414</v>
      </c>
      <c r="AG680">
        <v>-0.211401899999999</v>
      </c>
      <c r="AH680">
        <v>0.50755000778844495</v>
      </c>
      <c r="AI680">
        <v>112.163192578847</v>
      </c>
      <c r="AJ680">
        <v>77.954204565734301</v>
      </c>
      <c r="AK680">
        <v>0.56038220413123596</v>
      </c>
      <c r="AL680">
        <v>87.753752092718699</v>
      </c>
      <c r="AM680">
        <v>86.270149362293694</v>
      </c>
      <c r="AN680">
        <v>1.0000000053382601</v>
      </c>
    </row>
    <row r="681" spans="1:40" x14ac:dyDescent="0.25">
      <c r="A681" t="str">
        <f>"20190312154812583"</f>
        <v>20190312154812583</v>
      </c>
      <c r="B681" t="str">
        <f>"1552376892576770"</f>
        <v>1552376892576770</v>
      </c>
      <c r="C681" t="s">
        <v>40</v>
      </c>
      <c r="D681">
        <v>4.5100509999999998</v>
      </c>
      <c r="E681">
        <v>0.5467455</v>
      </c>
      <c r="F681" t="s">
        <v>41</v>
      </c>
      <c r="G681">
        <v>-315.63209999999998</v>
      </c>
      <c r="H681">
        <v>0.83821139999999905</v>
      </c>
      <c r="I681">
        <v>367.52179999999998</v>
      </c>
      <c r="J681">
        <v>-316.29469999999998</v>
      </c>
      <c r="K681">
        <v>1.0813820000000001</v>
      </c>
      <c r="L681">
        <v>367.65910000000002</v>
      </c>
      <c r="M681">
        <v>0.99983869999999997</v>
      </c>
      <c r="N681">
        <v>0</v>
      </c>
      <c r="O681">
        <v>5.7775469999999897E-3</v>
      </c>
      <c r="P681">
        <v>0.99798659999999995</v>
      </c>
      <c r="Q681">
        <v>2.199342E-2</v>
      </c>
      <c r="R681">
        <v>-5.9494190000000002E-2</v>
      </c>
      <c r="S681">
        <v>2.995911</v>
      </c>
      <c r="T681">
        <v>-0.90573939999999997</v>
      </c>
      <c r="U681">
        <v>-0.5044556</v>
      </c>
      <c r="V681">
        <v>6.5252119999999997E-2</v>
      </c>
      <c r="W681">
        <v>3.8980920000000002E-2</v>
      </c>
      <c r="X681">
        <v>0.99710710000000002</v>
      </c>
      <c r="Y681">
        <v>0.1643384</v>
      </c>
      <c r="Z681">
        <v>-2.583732E-2</v>
      </c>
      <c r="AA681">
        <v>0.98606559999999999</v>
      </c>
      <c r="AB681">
        <v>28</v>
      </c>
      <c r="AC681">
        <v>0.66259999999999697</v>
      </c>
      <c r="AD681">
        <v>-0.24317059999999999</v>
      </c>
      <c r="AE681">
        <v>-0.137300000000038</v>
      </c>
      <c r="AF681">
        <v>0.124985793367923</v>
      </c>
      <c r="AG681">
        <v>-0.24317059999999999</v>
      </c>
      <c r="AH681">
        <v>0.58610583348280398</v>
      </c>
      <c r="AI681">
        <v>112.085761917657</v>
      </c>
      <c r="AJ681">
        <v>77.9621110190851</v>
      </c>
      <c r="AK681">
        <v>0.64674062597825299</v>
      </c>
      <c r="AL681">
        <v>87.765991702372602</v>
      </c>
      <c r="AM681">
        <v>86.255820766116202</v>
      </c>
      <c r="AN681">
        <v>0.999999960079474</v>
      </c>
    </row>
    <row r="682" spans="1:40" x14ac:dyDescent="0.25">
      <c r="A682" t="str">
        <f>"20190312154812595"</f>
        <v>20190312154812595</v>
      </c>
      <c r="B682" t="str">
        <f>"1552376892586531"</f>
        <v>1552376892586531</v>
      </c>
      <c r="C682" t="s">
        <v>40</v>
      </c>
      <c r="D682">
        <v>4.5351290000000004</v>
      </c>
      <c r="E682">
        <v>0.5467033</v>
      </c>
      <c r="F682" t="s">
        <v>41</v>
      </c>
      <c r="G682">
        <v>-315.61669999999998</v>
      </c>
      <c r="H682">
        <v>0.87655680000000002</v>
      </c>
      <c r="I682">
        <v>367.5446</v>
      </c>
      <c r="J682">
        <v>-316.15539999999999</v>
      </c>
      <c r="K682">
        <v>1.080106</v>
      </c>
      <c r="L682">
        <v>367.65989999999999</v>
      </c>
      <c r="M682">
        <v>0.99984399999999996</v>
      </c>
      <c r="N682">
        <v>0</v>
      </c>
      <c r="O682">
        <v>5.835013E-3</v>
      </c>
      <c r="P682">
        <v>0.99795279999999997</v>
      </c>
      <c r="Q682">
        <v>2.2384879999999999E-2</v>
      </c>
      <c r="R682">
        <v>-5.9910169999999999E-2</v>
      </c>
      <c r="S682">
        <v>2.995911</v>
      </c>
      <c r="T682">
        <v>-0.90505860000000005</v>
      </c>
      <c r="U682">
        <v>-0.50482179999999999</v>
      </c>
      <c r="V682">
        <v>6.5725459999999999E-2</v>
      </c>
      <c r="W682">
        <v>3.9028569999999999E-2</v>
      </c>
      <c r="X682">
        <v>0.99707420000000002</v>
      </c>
      <c r="Y682">
        <v>0.1645132</v>
      </c>
      <c r="Z682">
        <v>-2.586099E-2</v>
      </c>
      <c r="AA682">
        <v>0.98603580000000002</v>
      </c>
      <c r="AB682">
        <v>28</v>
      </c>
      <c r="AC682">
        <v>0.53870000000000495</v>
      </c>
      <c r="AD682">
        <v>-0.20354919999999899</v>
      </c>
      <c r="AE682">
        <v>-0.11529999999998999</v>
      </c>
      <c r="AF682">
        <v>0.10421456689672</v>
      </c>
      <c r="AG682">
        <v>-0.20354919999999899</v>
      </c>
      <c r="AH682">
        <v>0.47339124068222699</v>
      </c>
      <c r="AI682">
        <v>112.77878837098299</v>
      </c>
      <c r="AJ682">
        <v>77.584674424059003</v>
      </c>
      <c r="AK682">
        <v>0.52573017749485296</v>
      </c>
      <c r="AL682">
        <v>87.763259597282001</v>
      </c>
      <c r="AM682">
        <v>86.228614443462803</v>
      </c>
      <c r="AN682">
        <v>1.0000000128370401</v>
      </c>
    </row>
    <row r="683" spans="1:40" x14ac:dyDescent="0.25">
      <c r="A683" t="str">
        <f>"20190312154812610"</f>
        <v>20190312154812610</v>
      </c>
      <c r="B683" t="str">
        <f>"1552376892607027"</f>
        <v>1552376892607027</v>
      </c>
      <c r="C683" t="s">
        <v>40</v>
      </c>
      <c r="D683">
        <v>4.5264819999999997</v>
      </c>
      <c r="E683">
        <v>0.54664440000000003</v>
      </c>
      <c r="F683" t="s">
        <v>41</v>
      </c>
      <c r="G683">
        <v>-315.38040000000001</v>
      </c>
      <c r="H683">
        <v>0.84648749999999995</v>
      </c>
      <c r="I683">
        <v>367.52910000000003</v>
      </c>
      <c r="J683">
        <v>-315.98950000000002</v>
      </c>
      <c r="K683">
        <v>1.078611</v>
      </c>
      <c r="L683">
        <v>367.661</v>
      </c>
      <c r="M683">
        <v>0.99985069999999998</v>
      </c>
      <c r="N683">
        <v>0</v>
      </c>
      <c r="O683">
        <v>5.9030350000000001E-3</v>
      </c>
      <c r="P683">
        <v>0.99793770000000004</v>
      </c>
      <c r="Q683">
        <v>2.2802949999999999E-2</v>
      </c>
      <c r="R683">
        <v>-6.0003180000000003E-2</v>
      </c>
      <c r="S683">
        <v>2.9960939999999998</v>
      </c>
      <c r="T683">
        <v>-0.90316669999999999</v>
      </c>
      <c r="U683">
        <v>-0.50561520000000004</v>
      </c>
      <c r="V683">
        <v>6.5886180000000003E-2</v>
      </c>
      <c r="W683">
        <v>3.9020939999999997E-2</v>
      </c>
      <c r="X683">
        <v>0.9970639</v>
      </c>
      <c r="Y683">
        <v>0.1648387</v>
      </c>
      <c r="Z683">
        <v>-2.5874769999999998E-2</v>
      </c>
      <c r="AA683">
        <v>0.98598110000000005</v>
      </c>
      <c r="AB683">
        <v>28</v>
      </c>
      <c r="AC683">
        <v>0.60910000000001197</v>
      </c>
      <c r="AD683">
        <v>-0.23212350000000001</v>
      </c>
      <c r="AE683">
        <v>-0.13189999999997301</v>
      </c>
      <c r="AF683">
        <v>0.11898708629851799</v>
      </c>
      <c r="AG683">
        <v>-0.23212350000000001</v>
      </c>
      <c r="AH683">
        <v>0.53420274781983401</v>
      </c>
      <c r="AI683">
        <v>112.983238222699</v>
      </c>
      <c r="AJ683">
        <v>77.443051051819197</v>
      </c>
      <c r="AK683">
        <v>0.59448450083776105</v>
      </c>
      <c r="AL683">
        <v>87.763697116900403</v>
      </c>
      <c r="AM683">
        <v>86.219379957371899</v>
      </c>
      <c r="AN683">
        <v>1.00000002157834</v>
      </c>
    </row>
    <row r="684" spans="1:40" x14ac:dyDescent="0.25">
      <c r="A684" t="str">
        <f>"20190312154812623"</f>
        <v>20190312154812623</v>
      </c>
      <c r="B684" t="str">
        <f>"1552376892616786"</f>
        <v>1552376892616786</v>
      </c>
      <c r="C684" t="s">
        <v>40</v>
      </c>
      <c r="D684">
        <v>4.5391810000000001</v>
      </c>
      <c r="E684">
        <v>0.54662409999999995</v>
      </c>
      <c r="F684" t="s">
        <v>41</v>
      </c>
      <c r="G684">
        <v>-315.14069999999998</v>
      </c>
      <c r="H684">
        <v>0.82343580000000005</v>
      </c>
      <c r="I684">
        <v>367.51780000000002</v>
      </c>
      <c r="J684">
        <v>-315.80680000000001</v>
      </c>
      <c r="K684">
        <v>1.0770280000000001</v>
      </c>
      <c r="L684">
        <v>367.66210000000001</v>
      </c>
      <c r="M684">
        <v>0.99985809999999997</v>
      </c>
      <c r="N684">
        <v>0</v>
      </c>
      <c r="O684">
        <v>5.9774650000000004E-3</v>
      </c>
      <c r="P684">
        <v>0.99790869999999998</v>
      </c>
      <c r="Q684">
        <v>2.3328169999999999E-2</v>
      </c>
      <c r="R684">
        <v>-6.0281220000000003E-2</v>
      </c>
      <c r="S684">
        <v>2.9963679999999999</v>
      </c>
      <c r="T684">
        <v>-0.90078060000000004</v>
      </c>
      <c r="U684">
        <v>-0.50604249999999995</v>
      </c>
      <c r="V684">
        <v>6.6238379999999999E-2</v>
      </c>
      <c r="W684">
        <v>3.9046669999999999E-2</v>
      </c>
      <c r="X684">
        <v>0.99703960000000003</v>
      </c>
      <c r="Y684">
        <v>0.1650607</v>
      </c>
      <c r="Z684">
        <v>-2.5860910000000001E-2</v>
      </c>
      <c r="AA684">
        <v>0.9859443</v>
      </c>
      <c r="AB684">
        <v>28</v>
      </c>
      <c r="AC684">
        <v>0.666100000000028</v>
      </c>
      <c r="AD684">
        <v>-0.25359219999999999</v>
      </c>
      <c r="AE684">
        <v>-0.14429999999998699</v>
      </c>
      <c r="AF684">
        <v>0.130247481464561</v>
      </c>
      <c r="AG684">
        <v>-0.25359219999999999</v>
      </c>
      <c r="AH684">
        <v>0.58432848523576797</v>
      </c>
      <c r="AI684">
        <v>112.957203180874</v>
      </c>
      <c r="AJ684">
        <v>77.434129424664704</v>
      </c>
      <c r="AK684">
        <v>0.65016397084629995</v>
      </c>
      <c r="AL684">
        <v>87.762221868687305</v>
      </c>
      <c r="AM684">
        <v>86.199137059047104</v>
      </c>
      <c r="AN684">
        <v>1.00000006469563</v>
      </c>
    </row>
    <row r="685" spans="1:40" x14ac:dyDescent="0.25">
      <c r="A685" t="str">
        <f>"20190312154812639"</f>
        <v>20190312154812639</v>
      </c>
      <c r="B685" t="str">
        <f>"1552376892626547"</f>
        <v>1552376892626547</v>
      </c>
      <c r="C685" t="s">
        <v>40</v>
      </c>
      <c r="D685">
        <v>4.5479510000000003</v>
      </c>
      <c r="E685">
        <v>0.54658109999999904</v>
      </c>
      <c r="F685" t="s">
        <v>41</v>
      </c>
      <c r="G685">
        <v>-315.12150000000003</v>
      </c>
      <c r="H685">
        <v>0.87143169999999903</v>
      </c>
      <c r="I685">
        <v>367.54640000000001</v>
      </c>
      <c r="J685">
        <v>-315.6207</v>
      </c>
      <c r="K685">
        <v>1.0755030000000001</v>
      </c>
      <c r="L685">
        <v>367.66329999999999</v>
      </c>
      <c r="M685">
        <v>0.99986589999999997</v>
      </c>
      <c r="N685">
        <v>0</v>
      </c>
      <c r="O685">
        <v>6.0518739999999996E-3</v>
      </c>
      <c r="P685">
        <v>0.99788200000000005</v>
      </c>
      <c r="Q685">
        <v>2.3614380000000001E-2</v>
      </c>
      <c r="R685">
        <v>-6.061486E-2</v>
      </c>
      <c r="S685">
        <v>2.9966430000000002</v>
      </c>
      <c r="T685">
        <v>-0.89893219999999996</v>
      </c>
      <c r="U685">
        <v>-0.50695800000000002</v>
      </c>
      <c r="V685">
        <v>6.6645880000000005E-2</v>
      </c>
      <c r="W685">
        <v>3.8811779999999997E-2</v>
      </c>
      <c r="X685">
        <v>0.99702159999999995</v>
      </c>
      <c r="Y685">
        <v>0.1654245</v>
      </c>
      <c r="Z685">
        <v>-2.5881910000000001E-2</v>
      </c>
      <c r="AA685">
        <v>0.98588279999999995</v>
      </c>
      <c r="AB685">
        <v>28</v>
      </c>
      <c r="AC685">
        <v>0.499199999999973</v>
      </c>
      <c r="AD685">
        <v>-0.20407130000000001</v>
      </c>
      <c r="AE685">
        <v>-0.116899999999986</v>
      </c>
      <c r="AF685">
        <v>0.10351909127257999</v>
      </c>
      <c r="AG685">
        <v>-0.20407130000000001</v>
      </c>
      <c r="AH685">
        <v>0.43031052987961799</v>
      </c>
      <c r="AI685">
        <v>114.75382693642</v>
      </c>
      <c r="AJ685">
        <v>76.4734805341797</v>
      </c>
      <c r="AK685">
        <v>0.48736890531389898</v>
      </c>
      <c r="AL685">
        <v>87.775690248528704</v>
      </c>
      <c r="AM685">
        <v>86.175754400805602</v>
      </c>
      <c r="AN685">
        <v>1.0000000492271499</v>
      </c>
    </row>
    <row r="686" spans="1:40" x14ac:dyDescent="0.25">
      <c r="A686" t="str">
        <f>"20190312154812651"</f>
        <v>20190312154812651</v>
      </c>
      <c r="B686" t="str">
        <f>"1552376892647043"</f>
        <v>1552376892647043</v>
      </c>
      <c r="C686" t="s">
        <v>40</v>
      </c>
      <c r="D686">
        <v>4.5328559999999998</v>
      </c>
      <c r="E686">
        <v>0.54648079999999999</v>
      </c>
      <c r="F686" t="s">
        <v>41</v>
      </c>
      <c r="G686">
        <v>-314.87920000000003</v>
      </c>
      <c r="H686">
        <v>0.85343930000000001</v>
      </c>
      <c r="I686">
        <v>367.53739999999999</v>
      </c>
      <c r="J686">
        <v>-315.452</v>
      </c>
      <c r="K686">
        <v>1.0741830000000001</v>
      </c>
      <c r="L686">
        <v>367.6644</v>
      </c>
      <c r="M686">
        <v>0.99987239999999999</v>
      </c>
      <c r="N686">
        <v>0</v>
      </c>
      <c r="O686">
        <v>6.118737E-3</v>
      </c>
      <c r="P686">
        <v>0.99786169999999996</v>
      </c>
      <c r="Q686">
        <v>2.392505E-2</v>
      </c>
      <c r="R686">
        <v>-6.0824530000000002E-2</v>
      </c>
      <c r="S686">
        <v>2.9967959999999998</v>
      </c>
      <c r="T686">
        <v>-0.897482</v>
      </c>
      <c r="U686">
        <v>-0.50753779999999904</v>
      </c>
      <c r="V686">
        <v>6.6922159999999994E-2</v>
      </c>
      <c r="W686">
        <v>3.865263E-2</v>
      </c>
      <c r="X686">
        <v>0.99700920000000004</v>
      </c>
      <c r="Y686">
        <v>0.16567789999999999</v>
      </c>
      <c r="Z686">
        <v>-2.5896590000000001E-2</v>
      </c>
      <c r="AA686">
        <v>0.98583980000000004</v>
      </c>
      <c r="AB686">
        <v>28</v>
      </c>
      <c r="AC686">
        <v>0.572799999999972</v>
      </c>
      <c r="AD686">
        <v>-0.22074369999999899</v>
      </c>
      <c r="AE686">
        <v>-0.12700000000000899</v>
      </c>
      <c r="AF686">
        <v>0.114320081795159</v>
      </c>
      <c r="AG686">
        <v>-0.22074369999999899</v>
      </c>
      <c r="AH686">
        <v>0.50108092041545105</v>
      </c>
      <c r="AI686">
        <v>113.243469384389</v>
      </c>
      <c r="AJ686">
        <v>77.1481140568131</v>
      </c>
      <c r="AK686">
        <v>0.55935583575729098</v>
      </c>
      <c r="AL686">
        <v>87.7848155501772</v>
      </c>
      <c r="AM686">
        <v>86.159900736854595</v>
      </c>
      <c r="AN686">
        <v>0.99999997309481004</v>
      </c>
    </row>
    <row r="687" spans="1:40" x14ac:dyDescent="0.25">
      <c r="A687" t="str">
        <f>"20190312154812666"</f>
        <v>20190312154812666</v>
      </c>
      <c r="B687" t="str">
        <f>"1552376892656803"</f>
        <v>1552376892656803</v>
      </c>
      <c r="C687" t="s">
        <v>40</v>
      </c>
      <c r="D687">
        <v>4.5470660000000001</v>
      </c>
      <c r="E687">
        <v>0.54641629999999997</v>
      </c>
      <c r="F687" t="s">
        <v>41</v>
      </c>
      <c r="G687">
        <v>-314.63799999999998</v>
      </c>
      <c r="H687">
        <v>0.83089939999999995</v>
      </c>
      <c r="I687">
        <v>367.5265</v>
      </c>
      <c r="J687">
        <v>-315.28120000000001</v>
      </c>
      <c r="K687">
        <v>1.072908</v>
      </c>
      <c r="L687">
        <v>367.66550000000001</v>
      </c>
      <c r="M687">
        <v>0.99987879999999996</v>
      </c>
      <c r="N687">
        <v>0</v>
      </c>
      <c r="O687">
        <v>6.1863359999999997E-3</v>
      </c>
      <c r="P687">
        <v>0.99784949999999994</v>
      </c>
      <c r="Q687">
        <v>2.4448669999999999E-2</v>
      </c>
      <c r="R687">
        <v>-6.0816389999999998E-2</v>
      </c>
      <c r="S687">
        <v>2.9969790000000001</v>
      </c>
      <c r="T687">
        <v>-0.89572129999999905</v>
      </c>
      <c r="U687">
        <v>-0.50741579999999997</v>
      </c>
      <c r="V687">
        <v>6.6981289999999999E-2</v>
      </c>
      <c r="W687">
        <v>3.8704089999999997E-2</v>
      </c>
      <c r="X687">
        <v>0.99700330000000004</v>
      </c>
      <c r="Y687">
        <v>0.165719799999999</v>
      </c>
      <c r="Z687">
        <v>-2.5872200000000001E-2</v>
      </c>
      <c r="AA687">
        <v>0.98583350000000003</v>
      </c>
      <c r="AB687">
        <v>28</v>
      </c>
      <c r="AC687">
        <v>0.64320000000003497</v>
      </c>
      <c r="AD687">
        <v>-0.24200859999999899</v>
      </c>
      <c r="AE687">
        <v>-0.13900000000001</v>
      </c>
      <c r="AF687">
        <v>0.125942690906369</v>
      </c>
      <c r="AG687">
        <v>-0.24200859999999899</v>
      </c>
      <c r="AH687">
        <v>0.56580145002968296</v>
      </c>
      <c r="AI687">
        <v>112.660972830202</v>
      </c>
      <c r="AJ687">
        <v>77.451022081812795</v>
      </c>
      <c r="AK687">
        <v>0.62814091151778195</v>
      </c>
      <c r="AL687">
        <v>87.781865049832305</v>
      </c>
      <c r="AM687">
        <v>86.156495252616494</v>
      </c>
      <c r="AN687">
        <v>1.0000000400018401</v>
      </c>
    </row>
    <row r="688" spans="1:40" x14ac:dyDescent="0.25">
      <c r="A688" t="str">
        <f>"20190312154812680"</f>
        <v>20190312154812680</v>
      </c>
      <c r="B688" t="str">
        <f>"1552376892676323"</f>
        <v>1552376892676323</v>
      </c>
      <c r="C688" t="s">
        <v>40</v>
      </c>
      <c r="D688">
        <v>4.5567979999999997</v>
      </c>
      <c r="E688">
        <v>0.54628849999999995</v>
      </c>
      <c r="F688" t="s">
        <v>41</v>
      </c>
      <c r="G688">
        <v>-314.39589999999998</v>
      </c>
      <c r="H688">
        <v>0.8090212</v>
      </c>
      <c r="I688">
        <v>367.51549999999997</v>
      </c>
      <c r="J688">
        <v>-315.09899999999999</v>
      </c>
      <c r="K688">
        <v>1.0716680000000001</v>
      </c>
      <c r="L688">
        <v>367.66669999999999</v>
      </c>
      <c r="M688">
        <v>0.99988540000000004</v>
      </c>
      <c r="N688">
        <v>0</v>
      </c>
      <c r="O688">
        <v>6.2578E-3</v>
      </c>
      <c r="P688">
        <v>0.99784360000000005</v>
      </c>
      <c r="Q688">
        <v>2.481891E-2</v>
      </c>
      <c r="R688">
        <v>-6.0767050000000003E-2</v>
      </c>
      <c r="S688">
        <v>2.9974980000000002</v>
      </c>
      <c r="T688">
        <v>-0.89355409999999902</v>
      </c>
      <c r="U688">
        <v>-0.5068665</v>
      </c>
      <c r="V688">
        <v>6.7003149999999997E-2</v>
      </c>
      <c r="W688">
        <v>3.8587349999999999E-2</v>
      </c>
      <c r="X688">
        <v>0.99700630000000001</v>
      </c>
      <c r="Y688">
        <v>0.1656242</v>
      </c>
      <c r="Z688">
        <v>-2.5815149999999999E-2</v>
      </c>
      <c r="AA688">
        <v>0.98585100000000003</v>
      </c>
      <c r="AB688">
        <v>28</v>
      </c>
      <c r="AC688">
        <v>0.70310000000000605</v>
      </c>
      <c r="AD688">
        <v>-0.26264680000000001</v>
      </c>
      <c r="AE688">
        <v>-0.15120000000001699</v>
      </c>
      <c r="AF688">
        <v>0.137286627858204</v>
      </c>
      <c r="AG688">
        <v>-0.26264680000000001</v>
      </c>
      <c r="AH688">
        <v>0.61951214792101705</v>
      </c>
      <c r="AI688">
        <v>112.485439939415</v>
      </c>
      <c r="AJ688">
        <v>77.504928606159794</v>
      </c>
      <c r="AK688">
        <v>0.68675050867154797</v>
      </c>
      <c r="AL688">
        <v>87.788558635251704</v>
      </c>
      <c r="AM688">
        <v>86.155256182921093</v>
      </c>
      <c r="AN688">
        <v>0.99999998396481704</v>
      </c>
    </row>
    <row r="689" spans="1:40" x14ac:dyDescent="0.25">
      <c r="A689" t="str">
        <f>"20190312154812694"</f>
        <v>20190312154812694</v>
      </c>
      <c r="B689" t="str">
        <f>"1552376892687058"</f>
        <v>1552376892687058</v>
      </c>
      <c r="C689" t="s">
        <v>40</v>
      </c>
      <c r="D689">
        <v>4.5720589999999897</v>
      </c>
      <c r="E689">
        <v>0.54622389999999998</v>
      </c>
      <c r="F689" t="s">
        <v>41</v>
      </c>
      <c r="G689">
        <v>-314.37689999999998</v>
      </c>
      <c r="H689">
        <v>0.85702719999999899</v>
      </c>
      <c r="I689">
        <v>367.5446</v>
      </c>
      <c r="J689">
        <v>-314.91520000000003</v>
      </c>
      <c r="K689">
        <v>1.070503</v>
      </c>
      <c r="L689">
        <v>367.66789999999997</v>
      </c>
      <c r="M689">
        <v>0.99989130000000004</v>
      </c>
      <c r="N689">
        <v>0</v>
      </c>
      <c r="O689">
        <v>6.3306019999999899E-3</v>
      </c>
      <c r="P689">
        <v>0.99783549999999999</v>
      </c>
      <c r="Q689">
        <v>2.5152399999999998E-2</v>
      </c>
      <c r="R689">
        <v>-6.0760519999999998E-2</v>
      </c>
      <c r="S689">
        <v>2.997833</v>
      </c>
      <c r="T689">
        <v>-0.89109769999999899</v>
      </c>
      <c r="U689">
        <v>-0.5055847</v>
      </c>
      <c r="V689">
        <v>6.7069199999999995E-2</v>
      </c>
      <c r="W689">
        <v>3.844678E-2</v>
      </c>
      <c r="X689">
        <v>0.99700730000000004</v>
      </c>
      <c r="Y689">
        <v>0.16531779999999999</v>
      </c>
      <c r="Z689">
        <v>-2.572195E-2</v>
      </c>
      <c r="AA689">
        <v>0.98590489999999997</v>
      </c>
      <c r="AB689">
        <v>28</v>
      </c>
      <c r="AC689">
        <v>0.53830000000004896</v>
      </c>
      <c r="AD689">
        <v>-0.21347579999999999</v>
      </c>
      <c r="AE689">
        <v>-0.123299999999972</v>
      </c>
      <c r="AF689">
        <v>0.110233325871519</v>
      </c>
      <c r="AG689">
        <v>-0.21347579999999999</v>
      </c>
      <c r="AH689">
        <v>0.46763016892235698</v>
      </c>
      <c r="AI689">
        <v>113.95689020184</v>
      </c>
      <c r="AJ689">
        <v>76.735949899413797</v>
      </c>
      <c r="AK689">
        <v>0.52573879275234003</v>
      </c>
      <c r="AL689">
        <v>87.796618707064994</v>
      </c>
      <c r="AM689">
        <v>86.151481364710307</v>
      </c>
      <c r="AN689">
        <v>0.99999999436714904</v>
      </c>
    </row>
    <row r="690" spans="1:40" x14ac:dyDescent="0.25">
      <c r="A690" t="str">
        <f>"20190312154812709"</f>
        <v>20190312154812709</v>
      </c>
      <c r="B690" t="str">
        <f>"1552376892706579"</f>
        <v>1552376892706579</v>
      </c>
      <c r="C690" t="s">
        <v>40</v>
      </c>
      <c r="D690">
        <v>4.6207979999999997</v>
      </c>
      <c r="E690">
        <v>0.5460988</v>
      </c>
      <c r="F690" t="s">
        <v>41</v>
      </c>
      <c r="G690">
        <v>-314.13279999999997</v>
      </c>
      <c r="H690">
        <v>0.83838219999999997</v>
      </c>
      <c r="I690">
        <v>367.53609999999998</v>
      </c>
      <c r="J690">
        <v>-314.7321</v>
      </c>
      <c r="K690">
        <v>1.0694140000000001</v>
      </c>
      <c r="L690">
        <v>367.66919999999999</v>
      </c>
      <c r="M690">
        <v>0.99989680000000003</v>
      </c>
      <c r="N690">
        <v>0</v>
      </c>
      <c r="O690">
        <v>6.4029400000000002E-3</v>
      </c>
      <c r="P690">
        <v>0.99783820000000001</v>
      </c>
      <c r="Q690">
        <v>2.56394E-2</v>
      </c>
      <c r="R690">
        <v>-6.0514079999999998E-2</v>
      </c>
      <c r="S690">
        <v>2.99823</v>
      </c>
      <c r="T690">
        <v>-0.88954219999999895</v>
      </c>
      <c r="U690">
        <v>-0.50512699999999999</v>
      </c>
      <c r="V690">
        <v>6.6894839999999997E-2</v>
      </c>
      <c r="W690">
        <v>3.847681E-2</v>
      </c>
      <c r="X690">
        <v>0.99701790000000001</v>
      </c>
      <c r="Y690">
        <v>0.16524749999999999</v>
      </c>
      <c r="Z690">
        <v>-2.568668E-2</v>
      </c>
      <c r="AA690">
        <v>0.98591759999999995</v>
      </c>
      <c r="AB690">
        <v>28</v>
      </c>
      <c r="AC690">
        <v>0.59930000000002703</v>
      </c>
      <c r="AD690">
        <v>-0.23103179999999901</v>
      </c>
      <c r="AE690">
        <v>-0.13310000000001301</v>
      </c>
      <c r="AF690">
        <v>0.11994715840895501</v>
      </c>
      <c r="AG690">
        <v>-0.23103179999999901</v>
      </c>
      <c r="AH690">
        <v>0.52419538444807601</v>
      </c>
      <c r="AI690">
        <v>113.24990462810101</v>
      </c>
      <c r="AJ690">
        <v>77.111384178909006</v>
      </c>
      <c r="AK690">
        <v>0.58527242759102305</v>
      </c>
      <c r="AL690">
        <v>87.794896938596807</v>
      </c>
      <c r="AM690">
        <v>86.161497109077104</v>
      </c>
      <c r="AN690">
        <v>1.0000000387234</v>
      </c>
    </row>
    <row r="691" spans="1:40" x14ac:dyDescent="0.25">
      <c r="A691" t="str">
        <f>"20190312154812721"</f>
        <v>20190312154812721</v>
      </c>
      <c r="B691" t="str">
        <f>"1552376892716338"</f>
        <v>1552376892716338</v>
      </c>
      <c r="C691" t="s">
        <v>40</v>
      </c>
      <c r="D691">
        <v>4.6123710000000004</v>
      </c>
      <c r="E691">
        <v>0.54604030000000003</v>
      </c>
      <c r="F691" t="s">
        <v>41</v>
      </c>
      <c r="G691">
        <v>-313.88799999999998</v>
      </c>
      <c r="H691">
        <v>0.81984279999999998</v>
      </c>
      <c r="I691">
        <v>367.52719999999999</v>
      </c>
      <c r="J691">
        <v>-314.5806</v>
      </c>
      <c r="K691">
        <v>1.068587</v>
      </c>
      <c r="L691">
        <v>367.67020000000002</v>
      </c>
      <c r="M691">
        <v>0.99990109999999999</v>
      </c>
      <c r="N691">
        <v>0</v>
      </c>
      <c r="O691">
        <v>6.4632169999999899E-3</v>
      </c>
      <c r="P691">
        <v>0.99783860000000002</v>
      </c>
      <c r="Q691">
        <v>2.592966E-2</v>
      </c>
      <c r="R691">
        <v>-6.0383569999999998E-2</v>
      </c>
      <c r="S691">
        <v>2.9987789999999999</v>
      </c>
      <c r="T691">
        <v>-0.88667240000000003</v>
      </c>
      <c r="U691">
        <v>-0.50332639999999995</v>
      </c>
      <c r="V691">
        <v>6.6824590000000003E-2</v>
      </c>
      <c r="W691">
        <v>3.8403430000000002E-2</v>
      </c>
      <c r="X691">
        <v>0.99702539999999995</v>
      </c>
      <c r="Y691">
        <v>0.1647662</v>
      </c>
      <c r="Z691">
        <v>-2.555203E-2</v>
      </c>
      <c r="AA691">
        <v>0.98600160000000003</v>
      </c>
      <c r="AB691">
        <v>28</v>
      </c>
      <c r="AC691">
        <v>0.69260000000002697</v>
      </c>
      <c r="AD691">
        <v>-0.2487442</v>
      </c>
      <c r="AE691">
        <v>-0.14300000000002899</v>
      </c>
      <c r="AF691">
        <v>0.13123808800015799</v>
      </c>
      <c r="AG691">
        <v>-0.2487442</v>
      </c>
      <c r="AH691">
        <v>0.615514786773252</v>
      </c>
      <c r="AI691">
        <v>111.565895082577</v>
      </c>
      <c r="AJ691">
        <v>77.963811694925198</v>
      </c>
      <c r="AK691">
        <v>0.67672414284706806</v>
      </c>
      <c r="AL691">
        <v>87.799104324446304</v>
      </c>
      <c r="AM691">
        <v>86.165544861479802</v>
      </c>
      <c r="AN691">
        <v>0.99999999875479595</v>
      </c>
    </row>
    <row r="692" spans="1:40" x14ac:dyDescent="0.25">
      <c r="A692" t="str">
        <f>"20190312154812737"</f>
        <v>20190312154812737</v>
      </c>
      <c r="B692" t="str">
        <f>"1552376892727075"</f>
        <v>1552376892727075</v>
      </c>
      <c r="C692" t="s">
        <v>40</v>
      </c>
      <c r="D692">
        <v>4.5998910000000004</v>
      </c>
      <c r="E692">
        <v>0.54597910000000005</v>
      </c>
      <c r="F692" t="s">
        <v>41</v>
      </c>
      <c r="G692">
        <v>-313.8723</v>
      </c>
      <c r="H692">
        <v>0.85955119999999896</v>
      </c>
      <c r="I692">
        <v>367.55110000000002</v>
      </c>
      <c r="J692">
        <v>-314.36959999999999</v>
      </c>
      <c r="K692">
        <v>1.0675330000000001</v>
      </c>
      <c r="L692">
        <v>367.67160000000001</v>
      </c>
      <c r="M692">
        <v>0.99990650000000003</v>
      </c>
      <c r="N692">
        <v>0</v>
      </c>
      <c r="O692">
        <v>6.5473069999999996E-3</v>
      </c>
      <c r="P692">
        <v>0.99785690000000005</v>
      </c>
      <c r="Q692">
        <v>2.6133360000000001E-2</v>
      </c>
      <c r="R692">
        <v>-5.9987100000000002E-2</v>
      </c>
      <c r="S692">
        <v>2.9990540000000001</v>
      </c>
      <c r="T692">
        <v>-0.88502510000000001</v>
      </c>
      <c r="U692">
        <v>-0.50305180000000005</v>
      </c>
      <c r="V692">
        <v>6.6512379999999996E-2</v>
      </c>
      <c r="W692">
        <v>3.8116589999999999E-2</v>
      </c>
      <c r="X692">
        <v>0.99705730000000004</v>
      </c>
      <c r="Y692">
        <v>0.16476979999999999</v>
      </c>
      <c r="Z692">
        <v>-2.5529079999999999E-2</v>
      </c>
      <c r="AA692">
        <v>0.98600160000000003</v>
      </c>
      <c r="AB692">
        <v>28</v>
      </c>
      <c r="AC692">
        <v>0.49729999999999502</v>
      </c>
      <c r="AD692">
        <v>-0.20798179999999999</v>
      </c>
      <c r="AE692">
        <v>-0.120499999999992</v>
      </c>
      <c r="AF692">
        <v>0.10620717925157599</v>
      </c>
      <c r="AG692">
        <v>-0.20798179999999999</v>
      </c>
      <c r="AH692">
        <v>0.42610387206704298</v>
      </c>
      <c r="AI692">
        <v>115.342747432632</v>
      </c>
      <c r="AJ692">
        <v>76.004107839077705</v>
      </c>
      <c r="AK692">
        <v>0.48590215460146202</v>
      </c>
      <c r="AL692">
        <v>87.815551124117306</v>
      </c>
      <c r="AM692">
        <v>86.183528429154805</v>
      </c>
      <c r="AN692">
        <v>1.00000001530489</v>
      </c>
    </row>
    <row r="693" spans="1:40" x14ac:dyDescent="0.25">
      <c r="A693" t="str">
        <f>"20190312154812750"</f>
        <v>20190312154812750</v>
      </c>
      <c r="B693" t="str">
        <f>"1552376892746595"</f>
        <v>1552376892746595</v>
      </c>
      <c r="C693" t="s">
        <v>40</v>
      </c>
      <c r="D693">
        <v>4.5855449999999998</v>
      </c>
      <c r="E693">
        <v>0.54585240000000002</v>
      </c>
      <c r="F693" t="s">
        <v>41</v>
      </c>
      <c r="G693">
        <v>-313.62400000000002</v>
      </c>
      <c r="H693">
        <v>0.84784169999999903</v>
      </c>
      <c r="I693">
        <v>367.54700000000003</v>
      </c>
      <c r="J693">
        <v>-314.22050000000002</v>
      </c>
      <c r="K693">
        <v>1.0668420000000001</v>
      </c>
      <c r="L693">
        <v>367.67270000000002</v>
      </c>
      <c r="M693">
        <v>0.99991019999999997</v>
      </c>
      <c r="N693">
        <v>0</v>
      </c>
      <c r="O693">
        <v>6.6065630000000002E-3</v>
      </c>
      <c r="P693">
        <v>0.99786030000000003</v>
      </c>
      <c r="Q693">
        <v>2.6541749999999999E-2</v>
      </c>
      <c r="R693">
        <v>-5.9755269999999999E-2</v>
      </c>
      <c r="S693">
        <v>2.9994809999999998</v>
      </c>
      <c r="T693">
        <v>-0.88384769999999901</v>
      </c>
      <c r="U693">
        <v>-0.50106809999999902</v>
      </c>
      <c r="V693">
        <v>6.6339659999999995E-2</v>
      </c>
      <c r="W693">
        <v>3.8187110000000003E-2</v>
      </c>
      <c r="X693">
        <v>0.99706609999999996</v>
      </c>
      <c r="Y693">
        <v>0.1642112</v>
      </c>
      <c r="Z693">
        <v>-2.5431260000000001E-2</v>
      </c>
      <c r="AA693">
        <v>0.98609729999999995</v>
      </c>
      <c r="AB693">
        <v>28</v>
      </c>
      <c r="AC693">
        <v>0.59649999999999104</v>
      </c>
      <c r="AD693">
        <v>-0.21900030000000001</v>
      </c>
      <c r="AE693">
        <v>-0.12570000000005099</v>
      </c>
      <c r="AF693">
        <v>0.114819491146211</v>
      </c>
      <c r="AG693">
        <v>-0.21900030000000001</v>
      </c>
      <c r="AH693">
        <v>0.52756749493951205</v>
      </c>
      <c r="AI693">
        <v>112.078361743054</v>
      </c>
      <c r="AJ693">
        <v>77.721651725596701</v>
      </c>
      <c r="AK693">
        <v>0.58264235055814195</v>
      </c>
      <c r="AL693">
        <v>87.811507663400803</v>
      </c>
      <c r="AM693">
        <v>86.193443402308503</v>
      </c>
      <c r="AN693">
        <v>1.0000000068141299</v>
      </c>
    </row>
    <row r="694" spans="1:40" x14ac:dyDescent="0.25">
      <c r="A694" t="str">
        <f>"20190312154812762"</f>
        <v>20190312154812762</v>
      </c>
      <c r="B694" t="str">
        <f>"1552376892756354"</f>
        <v>1552376892756354</v>
      </c>
      <c r="C694" t="s">
        <v>40</v>
      </c>
      <c r="D694">
        <v>4.6089089999999997</v>
      </c>
      <c r="E694">
        <v>0.54579180000000005</v>
      </c>
      <c r="F694" t="s">
        <v>41</v>
      </c>
      <c r="G694">
        <v>-313.3811</v>
      </c>
      <c r="H694">
        <v>0.82019880000000001</v>
      </c>
      <c r="I694">
        <v>367.53269999999998</v>
      </c>
      <c r="J694">
        <v>-314.07089999999999</v>
      </c>
      <c r="K694">
        <v>1.0661989999999999</v>
      </c>
      <c r="L694">
        <v>367.6737</v>
      </c>
      <c r="M694">
        <v>0.99991370000000002</v>
      </c>
      <c r="N694">
        <v>0</v>
      </c>
      <c r="O694">
        <v>6.6664469999999998E-3</v>
      </c>
      <c r="P694">
        <v>0.99785710000000005</v>
      </c>
      <c r="Q694">
        <v>2.681886E-2</v>
      </c>
      <c r="R694">
        <v>-5.9687009999999999E-2</v>
      </c>
      <c r="S694">
        <v>3</v>
      </c>
      <c r="T694">
        <v>-0.88144369999999905</v>
      </c>
      <c r="U694">
        <v>-0.49969479999999999</v>
      </c>
      <c r="V694">
        <v>6.6331080000000001E-2</v>
      </c>
      <c r="W694">
        <v>3.8131360000000003E-2</v>
      </c>
      <c r="X694">
        <v>0.99706879999999998</v>
      </c>
      <c r="Y694">
        <v>0.163854799999999</v>
      </c>
      <c r="Z694">
        <v>-2.532775E-2</v>
      </c>
      <c r="AA694">
        <v>0.98615929999999996</v>
      </c>
      <c r="AB694">
        <v>28</v>
      </c>
      <c r="AC694">
        <v>0.68979999999999098</v>
      </c>
      <c r="AD694">
        <v>-0.246000199999999</v>
      </c>
      <c r="AE694">
        <v>-0.141000000000019</v>
      </c>
      <c r="AF694">
        <v>0.12975506599924699</v>
      </c>
      <c r="AG694">
        <v>-0.246000199999999</v>
      </c>
      <c r="AH694">
        <v>0.61389928683109796</v>
      </c>
      <c r="AI694">
        <v>111.40795354632</v>
      </c>
      <c r="AJ694">
        <v>78.065493018914793</v>
      </c>
      <c r="AK694">
        <v>0.67396202409649097</v>
      </c>
      <c r="AL694">
        <v>87.814704221504599</v>
      </c>
      <c r="AM694">
        <v>86.193944550181698</v>
      </c>
      <c r="AN694">
        <v>1.0000000023614199</v>
      </c>
    </row>
    <row r="695" spans="1:40" x14ac:dyDescent="0.25">
      <c r="A695" t="str">
        <f>"20190312154812772"</f>
        <v>20190312154812772</v>
      </c>
      <c r="B695" t="str">
        <f>"1552376892767091"</f>
        <v>1552376892767091</v>
      </c>
      <c r="C695" t="s">
        <v>40</v>
      </c>
      <c r="D695">
        <v>4.6388350000000003</v>
      </c>
      <c r="E695">
        <v>0.54574419999999901</v>
      </c>
      <c r="F695" t="s">
        <v>41</v>
      </c>
      <c r="G695">
        <v>-313.36559999999997</v>
      </c>
      <c r="H695">
        <v>0.85936679999999999</v>
      </c>
      <c r="I695">
        <v>367.55619999999999</v>
      </c>
      <c r="J695">
        <v>-313.93610000000001</v>
      </c>
      <c r="K695">
        <v>1.065666</v>
      </c>
      <c r="L695">
        <v>367.67469999999997</v>
      </c>
      <c r="M695">
        <v>0.99991660000000004</v>
      </c>
      <c r="N695">
        <v>0</v>
      </c>
      <c r="O695">
        <v>6.7201639999999998E-3</v>
      </c>
      <c r="P695">
        <v>0.99786629999999998</v>
      </c>
      <c r="Q695">
        <v>2.7250139999999999E-2</v>
      </c>
      <c r="R695">
        <v>-5.9332599999999999E-2</v>
      </c>
      <c r="S695">
        <v>3.0002439999999999</v>
      </c>
      <c r="T695">
        <v>-0.87985829999999998</v>
      </c>
      <c r="U695">
        <v>-0.499054</v>
      </c>
      <c r="V695">
        <v>6.6030430000000001E-2</v>
      </c>
      <c r="W695">
        <v>3.8269530000000003E-2</v>
      </c>
      <c r="X695">
        <v>0.99708350000000001</v>
      </c>
      <c r="Y695">
        <v>0.16371859999999999</v>
      </c>
      <c r="Z695">
        <v>-2.527836E-2</v>
      </c>
      <c r="AA695">
        <v>0.98618320000000004</v>
      </c>
      <c r="AB695">
        <v>28</v>
      </c>
      <c r="AC695">
        <v>0.57050000000003798</v>
      </c>
      <c r="AD695">
        <v>-0.20629919999999999</v>
      </c>
      <c r="AE695">
        <v>-0.11849999999998299</v>
      </c>
      <c r="AF695">
        <v>0.10870479458368</v>
      </c>
      <c r="AG695">
        <v>-0.20629919999999999</v>
      </c>
      <c r="AH695">
        <v>0.50623231831643001</v>
      </c>
      <c r="AI695">
        <v>111.724134211601</v>
      </c>
      <c r="AJ695">
        <v>77.880741598607202</v>
      </c>
      <c r="AK695">
        <v>0.55735738300855697</v>
      </c>
      <c r="AL695">
        <v>87.806781964350094</v>
      </c>
      <c r="AM695">
        <v>86.211201082343607</v>
      </c>
      <c r="AN695">
        <v>1.0000000402923199</v>
      </c>
    </row>
    <row r="696" spans="1:40" x14ac:dyDescent="0.25">
      <c r="A696" t="str">
        <f>"20190312154812785"</f>
        <v>20190312154812785</v>
      </c>
      <c r="B696" t="str">
        <f>"1552376892776850"</f>
        <v>1552376892776850</v>
      </c>
      <c r="C696" t="s">
        <v>40</v>
      </c>
      <c r="D696">
        <v>4.5993449999999996</v>
      </c>
      <c r="E696">
        <v>0.54568919999999999</v>
      </c>
      <c r="F696" t="s">
        <v>41</v>
      </c>
      <c r="G696">
        <v>-313.12329999999997</v>
      </c>
      <c r="H696">
        <v>0.82784939999999996</v>
      </c>
      <c r="I696">
        <v>367.53969999999998</v>
      </c>
      <c r="J696">
        <v>-313.76819999999998</v>
      </c>
      <c r="K696">
        <v>1.0650299999999999</v>
      </c>
      <c r="L696">
        <v>367.67590000000001</v>
      </c>
      <c r="M696">
        <v>0.99992000000000003</v>
      </c>
      <c r="N696">
        <v>0</v>
      </c>
      <c r="O696">
        <v>6.7869540000000004E-3</v>
      </c>
      <c r="P696">
        <v>0.99785599999999997</v>
      </c>
      <c r="Q696">
        <v>2.7812480000000001E-2</v>
      </c>
      <c r="R696">
        <v>-5.924712E-2</v>
      </c>
      <c r="S696">
        <v>3.0007630000000001</v>
      </c>
      <c r="T696">
        <v>-0.87794919999999999</v>
      </c>
      <c r="U696">
        <v>-0.49786380000000002</v>
      </c>
      <c r="V696">
        <v>6.6011310000000004E-2</v>
      </c>
      <c r="W696">
        <v>3.847014E-2</v>
      </c>
      <c r="X696">
        <v>0.99707699999999999</v>
      </c>
      <c r="Y696">
        <v>0.16341720000000001</v>
      </c>
      <c r="Z696">
        <v>-2.5198419999999999E-2</v>
      </c>
      <c r="AA696">
        <v>0.98623519999999998</v>
      </c>
      <c r="AB696">
        <v>28</v>
      </c>
      <c r="AC696">
        <v>0.64490000000000602</v>
      </c>
      <c r="AD696">
        <v>-0.23718059999999899</v>
      </c>
      <c r="AE696">
        <v>-0.13620000000002999</v>
      </c>
      <c r="AF696">
        <v>0.124458422880763</v>
      </c>
      <c r="AG696">
        <v>-0.23718059999999899</v>
      </c>
      <c r="AH696">
        <v>0.570136181769201</v>
      </c>
      <c r="AI696">
        <v>112.11857832930301</v>
      </c>
      <c r="AJ696">
        <v>77.685741874158396</v>
      </c>
      <c r="AK696">
        <v>0.62992047260324102</v>
      </c>
      <c r="AL696">
        <v>87.795279286649901</v>
      </c>
      <c r="AM696">
        <v>86.2122703656336</v>
      </c>
      <c r="AN696">
        <v>0.99999999432426701</v>
      </c>
    </row>
    <row r="697" spans="1:40" x14ac:dyDescent="0.25">
      <c r="A697" t="str">
        <f>"20190312154812797"</f>
        <v>20190312154812797</v>
      </c>
      <c r="B697" t="str">
        <f>"1552376892786611"</f>
        <v>1552376892786611</v>
      </c>
      <c r="C697" t="s">
        <v>40</v>
      </c>
      <c r="D697">
        <v>4.6149620000000002</v>
      </c>
      <c r="E697">
        <v>0.54563399999999995</v>
      </c>
      <c r="F697" t="s">
        <v>41</v>
      </c>
      <c r="G697">
        <v>-312.87650000000002</v>
      </c>
      <c r="H697">
        <v>0.80484460000000002</v>
      </c>
      <c r="I697">
        <v>367.52789999999999</v>
      </c>
      <c r="J697">
        <v>-313.61759999999998</v>
      </c>
      <c r="K697">
        <v>1.0645279999999999</v>
      </c>
      <c r="L697">
        <v>367.67700000000002</v>
      </c>
      <c r="M697">
        <v>0.99992289999999995</v>
      </c>
      <c r="N697">
        <v>0</v>
      </c>
      <c r="O697">
        <v>6.8467119999999996E-3</v>
      </c>
      <c r="P697">
        <v>0.99785380000000001</v>
      </c>
      <c r="Q697">
        <v>2.8475259999999999E-2</v>
      </c>
      <c r="R697">
        <v>-5.8968800000000002E-2</v>
      </c>
      <c r="S697">
        <v>3.0013429999999999</v>
      </c>
      <c r="T697">
        <v>-0.87573389999999995</v>
      </c>
      <c r="U697">
        <v>-0.4969788</v>
      </c>
      <c r="V697">
        <v>6.579248E-2</v>
      </c>
      <c r="W697">
        <v>3.8817020000000001E-2</v>
      </c>
      <c r="X697">
        <v>0.99707800000000002</v>
      </c>
      <c r="Y697">
        <v>0.16320499999999999</v>
      </c>
      <c r="Z697">
        <v>-2.5120139999999999E-2</v>
      </c>
      <c r="AA697">
        <v>0.98627229999999999</v>
      </c>
      <c r="AB697">
        <v>28</v>
      </c>
      <c r="AC697">
        <v>0.74109999999996001</v>
      </c>
      <c r="AD697">
        <v>-0.25968340000000001</v>
      </c>
      <c r="AE697">
        <v>-0.149099999999975</v>
      </c>
      <c r="AF697">
        <v>0.13789812758747999</v>
      </c>
      <c r="AG697">
        <v>-0.25968340000000001</v>
      </c>
      <c r="AH697">
        <v>0.66194815527922501</v>
      </c>
      <c r="AI697">
        <v>111.009615533318</v>
      </c>
      <c r="AJ697">
        <v>78.232352989265706</v>
      </c>
      <c r="AK697">
        <v>0.72431120528765902</v>
      </c>
      <c r="AL697">
        <v>87.775389626536096</v>
      </c>
      <c r="AM697">
        <v>86.224794237647899</v>
      </c>
      <c r="AN697">
        <v>0.99999997477511504</v>
      </c>
    </row>
    <row r="698" spans="1:40" x14ac:dyDescent="0.25">
      <c r="A698" t="str">
        <f>"20190312154812809"</f>
        <v>20190312154812809</v>
      </c>
      <c r="B698" t="str">
        <f>"1552376892796371"</f>
        <v>1552376892796371</v>
      </c>
      <c r="C698" t="s">
        <v>40</v>
      </c>
      <c r="D698">
        <v>4.6889629999999904</v>
      </c>
      <c r="E698">
        <v>0.54560640000000005</v>
      </c>
      <c r="F698" t="s">
        <v>41</v>
      </c>
      <c r="G698">
        <v>-312.86090000000002</v>
      </c>
      <c r="H698">
        <v>0.84446119999999902</v>
      </c>
      <c r="I698">
        <v>367.55169999999998</v>
      </c>
      <c r="J698">
        <v>-313.47230000000002</v>
      </c>
      <c r="K698">
        <v>1.0640639999999999</v>
      </c>
      <c r="L698">
        <v>367.678</v>
      </c>
      <c r="M698">
        <v>0.99992559999999997</v>
      </c>
      <c r="N698">
        <v>0</v>
      </c>
      <c r="O698">
        <v>6.9043719999999998E-3</v>
      </c>
      <c r="P698">
        <v>0.99784039999999996</v>
      </c>
      <c r="Q698">
        <v>2.8983220000000001E-2</v>
      </c>
      <c r="R698">
        <v>-5.8948489999999999E-2</v>
      </c>
      <c r="S698">
        <v>3.002075</v>
      </c>
      <c r="T698">
        <v>-0.87316749999999899</v>
      </c>
      <c r="U698">
        <v>-0.49563600000000002</v>
      </c>
      <c r="V698">
        <v>6.5829460000000006E-2</v>
      </c>
      <c r="W698">
        <v>3.9025709999999998E-2</v>
      </c>
      <c r="X698">
        <v>0.9970675</v>
      </c>
      <c r="Y698">
        <v>0.16284789999999999</v>
      </c>
      <c r="Z698">
        <v>-2.5010230000000001E-2</v>
      </c>
      <c r="AA698">
        <v>0.98633409999999999</v>
      </c>
      <c r="AB698">
        <v>28</v>
      </c>
      <c r="AC698">
        <v>0.61140000000000305</v>
      </c>
      <c r="AD698">
        <v>-0.21960279999999999</v>
      </c>
      <c r="AE698">
        <v>-0.12630000000007099</v>
      </c>
      <c r="AF698">
        <v>0.11614754602218801</v>
      </c>
      <c r="AG698">
        <v>-0.21960279999999999</v>
      </c>
      <c r="AH698">
        <v>0.54329163340876496</v>
      </c>
      <c r="AI698">
        <v>111.56769926435</v>
      </c>
      <c r="AJ698">
        <v>77.932680671500904</v>
      </c>
      <c r="AK698">
        <v>0.59739554831516795</v>
      </c>
      <c r="AL698">
        <v>87.763423697488093</v>
      </c>
      <c r="AM698">
        <v>86.222638784536699</v>
      </c>
      <c r="AN698">
        <v>1.00000006170057</v>
      </c>
    </row>
    <row r="699" spans="1:40" x14ac:dyDescent="0.25">
      <c r="A699" t="str">
        <f>"20190312154812820"</f>
        <v>20190312154812820</v>
      </c>
      <c r="B699" t="str">
        <f>"1552376892816867"</f>
        <v>1552376892816867</v>
      </c>
      <c r="C699" t="s">
        <v>40</v>
      </c>
      <c r="D699">
        <v>4.6296059999999999</v>
      </c>
      <c r="E699">
        <v>0.54549720000000002</v>
      </c>
      <c r="F699" t="s">
        <v>41</v>
      </c>
      <c r="G699">
        <v>-312.6155</v>
      </c>
      <c r="H699">
        <v>0.815463099999999</v>
      </c>
      <c r="I699">
        <v>367.53649999999999</v>
      </c>
      <c r="J699">
        <v>-313.31729999999999</v>
      </c>
      <c r="K699">
        <v>1.063609</v>
      </c>
      <c r="L699">
        <v>367.67919999999998</v>
      </c>
      <c r="M699">
        <v>0.99992840000000005</v>
      </c>
      <c r="N699">
        <v>0</v>
      </c>
      <c r="O699">
        <v>6.9654919999999898E-3</v>
      </c>
      <c r="P699">
        <v>0.99784280000000003</v>
      </c>
      <c r="Q699">
        <v>2.9413970000000001E-2</v>
      </c>
      <c r="R699">
        <v>-5.8692899999999999E-2</v>
      </c>
      <c r="S699">
        <v>3.0025019999999998</v>
      </c>
      <c r="T699">
        <v>-0.87119040000000003</v>
      </c>
      <c r="U699">
        <v>-0.49578860000000002</v>
      </c>
      <c r="V699">
        <v>6.5635020000000002E-2</v>
      </c>
      <c r="W699">
        <v>3.9147210000000002E-2</v>
      </c>
      <c r="X699">
        <v>0.9970755</v>
      </c>
      <c r="Y699">
        <v>0.16295979999999999</v>
      </c>
      <c r="Z699">
        <v>-2.498541E-2</v>
      </c>
      <c r="AA699">
        <v>0.98631630000000003</v>
      </c>
      <c r="AB699">
        <v>29</v>
      </c>
      <c r="AC699">
        <v>0.70179999999999099</v>
      </c>
      <c r="AD699">
        <v>-0.2481459</v>
      </c>
      <c r="AE699">
        <v>-0.14269999999999</v>
      </c>
      <c r="AF699">
        <v>0.13176557431397601</v>
      </c>
      <c r="AG699">
        <v>-0.2481459</v>
      </c>
      <c r="AH699">
        <v>0.62567173959964195</v>
      </c>
      <c r="AI699">
        <v>111.210944536342</v>
      </c>
      <c r="AJ699">
        <v>78.107377795535101</v>
      </c>
      <c r="AK699">
        <v>0.68585981074469105</v>
      </c>
      <c r="AL699">
        <v>87.756456812574498</v>
      </c>
      <c r="AM699">
        <v>86.233793921751897</v>
      </c>
      <c r="AN699">
        <v>1.00000000630071</v>
      </c>
    </row>
    <row r="700" spans="1:40" x14ac:dyDescent="0.25">
      <c r="A700" t="str">
        <f>"20190312154812833"</f>
        <v>20190312154812833</v>
      </c>
      <c r="B700" t="str">
        <f>"1552376892826628"</f>
        <v>1552376892826628</v>
      </c>
      <c r="C700" t="s">
        <v>40</v>
      </c>
      <c r="D700">
        <v>4.6202249999999996</v>
      </c>
      <c r="E700">
        <v>0.54543730000000001</v>
      </c>
      <c r="F700" t="s">
        <v>41</v>
      </c>
      <c r="G700">
        <v>-312.59960000000001</v>
      </c>
      <c r="H700">
        <v>0.85597780000000001</v>
      </c>
      <c r="I700">
        <v>367.56119999999999</v>
      </c>
      <c r="J700">
        <v>-313.16250000000002</v>
      </c>
      <c r="K700">
        <v>1.0631949999999999</v>
      </c>
      <c r="L700">
        <v>367.68020000000001</v>
      </c>
      <c r="M700">
        <v>0.99993089999999996</v>
      </c>
      <c r="N700">
        <v>0</v>
      </c>
      <c r="O700">
        <v>7.0264029999999996E-3</v>
      </c>
      <c r="P700">
        <v>0.99784209999999995</v>
      </c>
      <c r="Q700">
        <v>2.9699070000000001E-2</v>
      </c>
      <c r="R700">
        <v>-5.8562910000000003E-2</v>
      </c>
      <c r="S700">
        <v>3.003082</v>
      </c>
      <c r="T700">
        <v>-0.86882530000000002</v>
      </c>
      <c r="U700">
        <v>-0.49353029999999998</v>
      </c>
      <c r="V700">
        <v>6.5565670000000006E-2</v>
      </c>
      <c r="W700">
        <v>3.913196E-2</v>
      </c>
      <c r="X700">
        <v>0.99708070000000004</v>
      </c>
      <c r="Y700">
        <v>0.16232769999999999</v>
      </c>
      <c r="Z700">
        <v>-2.484519E-2</v>
      </c>
      <c r="AA700">
        <v>0.98642410000000003</v>
      </c>
      <c r="AB700">
        <v>29</v>
      </c>
      <c r="AC700">
        <v>0.56290000000001295</v>
      </c>
      <c r="AD700">
        <v>-0.20721719999999999</v>
      </c>
      <c r="AE700">
        <v>-0.119000000000028</v>
      </c>
      <c r="AF700">
        <v>0.108834579183278</v>
      </c>
      <c r="AG700">
        <v>-0.20721719999999999</v>
      </c>
      <c r="AH700">
        <v>0.49751340306656</v>
      </c>
      <c r="AI700">
        <v>112.14061553859</v>
      </c>
      <c r="AJ700">
        <v>77.660525607426607</v>
      </c>
      <c r="AK700">
        <v>0.54982135265257803</v>
      </c>
      <c r="AL700">
        <v>87.757331329721097</v>
      </c>
      <c r="AM700">
        <v>86.237781427128098</v>
      </c>
      <c r="AN700">
        <v>1.0000000448442301</v>
      </c>
    </row>
    <row r="701" spans="1:40" x14ac:dyDescent="0.25">
      <c r="A701" t="str">
        <f>"20190312154812843"</f>
        <v>20190312154812843</v>
      </c>
      <c r="B701" t="str">
        <f>"1552376892836387"</f>
        <v>1552376892836387</v>
      </c>
      <c r="C701" t="s">
        <v>40</v>
      </c>
      <c r="D701">
        <v>4.6378560000000002</v>
      </c>
      <c r="E701">
        <v>0.54538549999999997</v>
      </c>
      <c r="F701" t="s">
        <v>41</v>
      </c>
      <c r="G701">
        <v>-312.35219999999998</v>
      </c>
      <c r="H701">
        <v>0.82912160000000001</v>
      </c>
      <c r="I701">
        <v>367.54700000000003</v>
      </c>
      <c r="J701">
        <v>-313.02839999999998</v>
      </c>
      <c r="K701">
        <v>1.0628550000000001</v>
      </c>
      <c r="L701">
        <v>367.68119999999999</v>
      </c>
      <c r="M701">
        <v>0.99993290000000001</v>
      </c>
      <c r="N701">
        <v>0</v>
      </c>
      <c r="O701">
        <v>7.0791430000000004E-3</v>
      </c>
      <c r="P701">
        <v>0.99784819999999996</v>
      </c>
      <c r="Q701">
        <v>2.9687849999999998E-2</v>
      </c>
      <c r="R701">
        <v>-5.8463439999999998E-2</v>
      </c>
      <c r="S701">
        <v>3.0033259999999999</v>
      </c>
      <c r="T701">
        <v>-0.86757850000000003</v>
      </c>
      <c r="U701">
        <v>-0.49337769999999997</v>
      </c>
      <c r="V701">
        <v>6.5518999999999994E-2</v>
      </c>
      <c r="W701">
        <v>3.8865610000000002E-2</v>
      </c>
      <c r="X701">
        <v>0.99709420000000004</v>
      </c>
      <c r="Y701">
        <v>0.1623356</v>
      </c>
      <c r="Z701">
        <v>-2.482504E-2</v>
      </c>
      <c r="AA701">
        <v>0.9864233</v>
      </c>
      <c r="AB701">
        <v>29</v>
      </c>
      <c r="AC701">
        <v>0.67619999999999403</v>
      </c>
      <c r="AD701">
        <v>-0.23373339999999901</v>
      </c>
      <c r="AE701">
        <v>-0.134200000000021</v>
      </c>
      <c r="AF701">
        <v>0.124654552422559</v>
      </c>
      <c r="AG701">
        <v>-0.23373339999999901</v>
      </c>
      <c r="AH701">
        <v>0.60561658279268205</v>
      </c>
      <c r="AI701">
        <v>110.70750989616199</v>
      </c>
      <c r="AJ701">
        <v>78.369199076739307</v>
      </c>
      <c r="AK701">
        <v>0.66101551046001406</v>
      </c>
      <c r="AL701">
        <v>87.772603710569896</v>
      </c>
      <c r="AM701">
        <v>86.240502467766404</v>
      </c>
      <c r="AN701">
        <v>1.0000000593376499</v>
      </c>
    </row>
    <row r="702" spans="1:40" x14ac:dyDescent="0.25">
      <c r="A702" t="str">
        <f>"20190312154812853"</f>
        <v>20190312154812853</v>
      </c>
      <c r="B702" t="str">
        <f>"1552376892847123"</f>
        <v>1552376892847123</v>
      </c>
      <c r="C702" t="s">
        <v>40</v>
      </c>
      <c r="D702">
        <v>4.6429529999999897</v>
      </c>
      <c r="E702">
        <v>0.54533350000000003</v>
      </c>
      <c r="F702" t="s">
        <v>41</v>
      </c>
      <c r="G702">
        <v>-312.33870000000002</v>
      </c>
      <c r="H702">
        <v>0.86374889999999904</v>
      </c>
      <c r="I702">
        <v>367.56799999999998</v>
      </c>
      <c r="J702">
        <v>-312.88979999999998</v>
      </c>
      <c r="K702">
        <v>1.0625450000000001</v>
      </c>
      <c r="L702">
        <v>367.6823</v>
      </c>
      <c r="M702">
        <v>0.99993469999999995</v>
      </c>
      <c r="N702">
        <v>0</v>
      </c>
      <c r="O702">
        <v>7.1335790000000001E-3</v>
      </c>
      <c r="P702">
        <v>0.99784419999999996</v>
      </c>
      <c r="Q702">
        <v>2.982841E-2</v>
      </c>
      <c r="R702">
        <v>-5.8456689999999999E-2</v>
      </c>
      <c r="S702">
        <v>3.003387</v>
      </c>
      <c r="T702">
        <v>-0.86700509999999997</v>
      </c>
      <c r="U702">
        <v>-0.4926758</v>
      </c>
      <c r="V702">
        <v>6.5566550000000001E-2</v>
      </c>
      <c r="W702">
        <v>3.8749829999999999E-2</v>
      </c>
      <c r="X702">
        <v>0.99709550000000002</v>
      </c>
      <c r="Y702">
        <v>0.1621744</v>
      </c>
      <c r="Z702">
        <v>-2.4801879999999998E-2</v>
      </c>
      <c r="AA702">
        <v>0.98645039999999995</v>
      </c>
      <c r="AB702">
        <v>29</v>
      </c>
      <c r="AC702">
        <v>0.55109999999996195</v>
      </c>
      <c r="AD702">
        <v>-0.1987961</v>
      </c>
      <c r="AE702">
        <v>-0.11429999999995701</v>
      </c>
      <c r="AF702">
        <v>0.10511478979340801</v>
      </c>
      <c r="AG702">
        <v>-0.1987961</v>
      </c>
      <c r="AH702">
        <v>0.48923520830637901</v>
      </c>
      <c r="AI702">
        <v>111.66665490923501</v>
      </c>
      <c r="AJ702">
        <v>77.874043077489006</v>
      </c>
      <c r="AK702">
        <v>0.53844228795211602</v>
      </c>
      <c r="AL702">
        <v>87.779242237906402</v>
      </c>
      <c r="AM702">
        <v>86.237786760336704</v>
      </c>
      <c r="AN702">
        <v>0.99999997896209003</v>
      </c>
    </row>
    <row r="703" spans="1:40" x14ac:dyDescent="0.25">
      <c r="A703" t="str">
        <f>"20190312154812865"</f>
        <v>20190312154812865</v>
      </c>
      <c r="B703" t="str">
        <f>"1552376892856882"</f>
        <v>1552376892856882</v>
      </c>
      <c r="C703" t="s">
        <v>40</v>
      </c>
      <c r="D703">
        <v>4.6485300000000001</v>
      </c>
      <c r="E703">
        <v>0.54527829999999999</v>
      </c>
      <c r="F703" t="s">
        <v>41</v>
      </c>
      <c r="G703">
        <v>-312.09190000000001</v>
      </c>
      <c r="H703">
        <v>0.83249139999999999</v>
      </c>
      <c r="I703">
        <v>367.5514</v>
      </c>
      <c r="J703">
        <v>-312.73950000000002</v>
      </c>
      <c r="K703">
        <v>1.062216</v>
      </c>
      <c r="L703">
        <v>367.68340000000001</v>
      </c>
      <c r="M703">
        <v>0.99993670000000001</v>
      </c>
      <c r="N703">
        <v>0</v>
      </c>
      <c r="O703">
        <v>7.1922349999999999E-3</v>
      </c>
      <c r="P703">
        <v>0.99784229999999996</v>
      </c>
      <c r="Q703">
        <v>3.0164199999999999E-2</v>
      </c>
      <c r="R703">
        <v>-5.8316880000000001E-2</v>
      </c>
      <c r="S703">
        <v>3.0034480000000001</v>
      </c>
      <c r="T703">
        <v>-0.86602159999999995</v>
      </c>
      <c r="U703">
        <v>-0.49240109999999898</v>
      </c>
      <c r="V703">
        <v>6.5485249999999995E-2</v>
      </c>
      <c r="W703">
        <v>3.8810820000000003E-2</v>
      </c>
      <c r="X703">
        <v>0.9970985</v>
      </c>
      <c r="Y703">
        <v>0.16215479999999999</v>
      </c>
      <c r="Z703">
        <v>-2.4788230000000001E-2</v>
      </c>
      <c r="AA703">
        <v>0.98645400000000005</v>
      </c>
      <c r="AB703">
        <v>29</v>
      </c>
      <c r="AC703">
        <v>0.64760000000001094</v>
      </c>
      <c r="AD703">
        <v>-0.229724599999999</v>
      </c>
      <c r="AE703">
        <v>-0.132000000000005</v>
      </c>
      <c r="AF703">
        <v>0.121924126450144</v>
      </c>
      <c r="AG703">
        <v>-0.229724599999999</v>
      </c>
      <c r="AH703">
        <v>0.57693156040742699</v>
      </c>
      <c r="AI703">
        <v>111.28484046224</v>
      </c>
      <c r="AJ703">
        <v>78.067143520759402</v>
      </c>
      <c r="AK703">
        <v>0.632841931172342</v>
      </c>
      <c r="AL703">
        <v>87.775745202668205</v>
      </c>
      <c r="AM703">
        <v>86.242449660351397</v>
      </c>
      <c r="AN703">
        <v>1.00000000820944</v>
      </c>
    </row>
    <row r="704" spans="1:40" x14ac:dyDescent="0.25">
      <c r="A704" t="str">
        <f>"20190312154812878"</f>
        <v>20190312154812878</v>
      </c>
      <c r="B704" t="str">
        <f>"1552376892866642"</f>
        <v>1552376892866642</v>
      </c>
      <c r="C704" t="s">
        <v>40</v>
      </c>
      <c r="D704">
        <v>4.6874859999999998</v>
      </c>
      <c r="E704">
        <v>0.54523149999999998</v>
      </c>
      <c r="F704" t="s">
        <v>41</v>
      </c>
      <c r="G704">
        <v>-311.84269999999998</v>
      </c>
      <c r="H704">
        <v>0.80415689999999995</v>
      </c>
      <c r="I704">
        <v>367.53629999999998</v>
      </c>
      <c r="J704">
        <v>-312.56889999999999</v>
      </c>
      <c r="K704">
        <v>1.0618920000000001</v>
      </c>
      <c r="L704">
        <v>367.68470000000002</v>
      </c>
      <c r="M704">
        <v>0.99993869999999896</v>
      </c>
      <c r="N704">
        <v>0</v>
      </c>
      <c r="O704">
        <v>7.2594649999999997E-3</v>
      </c>
      <c r="P704">
        <v>0.99783370000000005</v>
      </c>
      <c r="Q704">
        <v>3.0191389999999999E-2</v>
      </c>
      <c r="R704">
        <v>-5.8451459999999997E-2</v>
      </c>
      <c r="S704">
        <v>3.003876</v>
      </c>
      <c r="T704">
        <v>-0.86447369999999901</v>
      </c>
      <c r="U704">
        <v>-0.49148560000000002</v>
      </c>
      <c r="V704">
        <v>6.5686700000000001E-2</v>
      </c>
      <c r="W704">
        <v>3.8540650000000003E-2</v>
      </c>
      <c r="X704">
        <v>0.99709570000000003</v>
      </c>
      <c r="Y704">
        <v>0.16193679999999999</v>
      </c>
      <c r="Z704">
        <v>-2.4731139999999999E-2</v>
      </c>
      <c r="AA704">
        <v>0.98649120000000001</v>
      </c>
      <c r="AB704">
        <v>29</v>
      </c>
      <c r="AC704">
        <v>0.72620000000000495</v>
      </c>
      <c r="AD704">
        <v>-0.25773509999999999</v>
      </c>
      <c r="AE704">
        <v>-0.148400000000037</v>
      </c>
      <c r="AF704">
        <v>0.13709210194171501</v>
      </c>
      <c r="AG704">
        <v>-0.25773509999999999</v>
      </c>
      <c r="AH704">
        <v>0.64688746516672502</v>
      </c>
      <c r="AI704">
        <v>111.294186287806</v>
      </c>
      <c r="AJ704">
        <v>78.034585708897595</v>
      </c>
      <c r="AK704">
        <v>0.70970769953315205</v>
      </c>
      <c r="AL704">
        <v>87.791236330430394</v>
      </c>
      <c r="AM704">
        <v>86.230913152801605</v>
      </c>
      <c r="AN704">
        <v>0.99999997960890097</v>
      </c>
    </row>
    <row r="705" spans="1:40" x14ac:dyDescent="0.25">
      <c r="A705" t="str">
        <f>"20190312154812896"</f>
        <v>20190312154812896</v>
      </c>
      <c r="B705" t="str">
        <f>"1552376892886416"</f>
        <v>1552376892886416</v>
      </c>
      <c r="C705" t="s">
        <v>40</v>
      </c>
      <c r="D705">
        <v>4.6800160000000002</v>
      </c>
      <c r="E705">
        <v>0.54518310000000003</v>
      </c>
      <c r="F705" t="s">
        <v>41</v>
      </c>
      <c r="G705">
        <v>-311.82560000000001</v>
      </c>
      <c r="H705">
        <v>0.84809599999999996</v>
      </c>
      <c r="I705">
        <v>367.56279999999998</v>
      </c>
      <c r="J705">
        <v>-312.3467</v>
      </c>
      <c r="K705">
        <v>1.061509</v>
      </c>
      <c r="L705">
        <v>367.68639999999999</v>
      </c>
      <c r="M705">
        <v>0.99994119999999997</v>
      </c>
      <c r="N705">
        <v>0</v>
      </c>
      <c r="O705">
        <v>7.3466119999999998E-3</v>
      </c>
      <c r="P705">
        <v>0.99781719999999896</v>
      </c>
      <c r="Q705">
        <v>3.0710769999999998E-2</v>
      </c>
      <c r="R705">
        <v>-5.8465509999999998E-2</v>
      </c>
      <c r="S705">
        <v>3.003876</v>
      </c>
      <c r="T705">
        <v>-0.86408090000000004</v>
      </c>
      <c r="U705">
        <v>-0.49114989999999997</v>
      </c>
      <c r="V705">
        <v>6.5787460000000006E-2</v>
      </c>
      <c r="W705">
        <v>3.8689330000000001E-2</v>
      </c>
      <c r="X705">
        <v>0.99708330000000001</v>
      </c>
      <c r="Y705">
        <v>0.16191839999999999</v>
      </c>
      <c r="Z705">
        <v>-2.474239E-2</v>
      </c>
      <c r="AA705">
        <v>0.98649390000000003</v>
      </c>
      <c r="AB705">
        <v>29</v>
      </c>
      <c r="AC705">
        <v>0.52109999999998902</v>
      </c>
      <c r="AD705">
        <v>-0.21341299999999999</v>
      </c>
      <c r="AE705">
        <v>-0.12360000000000999</v>
      </c>
      <c r="AF705">
        <v>0.109963728798078</v>
      </c>
      <c r="AG705">
        <v>-0.21341299999999999</v>
      </c>
      <c r="AH705">
        <v>0.44889660922842001</v>
      </c>
      <c r="AI705">
        <v>114.7857919854</v>
      </c>
      <c r="AJ705">
        <v>76.235618711005898</v>
      </c>
      <c r="AK705">
        <v>0.50906315521450796</v>
      </c>
      <c r="AL705">
        <v>87.782711237716697</v>
      </c>
      <c r="AM705">
        <v>86.225101462475806</v>
      </c>
      <c r="AN705">
        <v>0.99999998064399498</v>
      </c>
    </row>
    <row r="706" spans="1:40" x14ac:dyDescent="0.25">
      <c r="A706" t="str">
        <f>"20190312154812917"</f>
        <v>20190312154812917</v>
      </c>
      <c r="B706" t="str">
        <f>"1552376892906910"</f>
        <v>1552376892906910</v>
      </c>
      <c r="C706" t="s">
        <v>40</v>
      </c>
      <c r="D706">
        <v>4.6442870000000003</v>
      </c>
      <c r="E706">
        <v>0.54510380000000003</v>
      </c>
      <c r="F706" t="s">
        <v>41</v>
      </c>
      <c r="G706">
        <v>-311.56810000000002</v>
      </c>
      <c r="H706">
        <v>0.83808799999999894</v>
      </c>
      <c r="I706">
        <v>367.55919999999998</v>
      </c>
      <c r="J706">
        <v>-312.06849999999997</v>
      </c>
      <c r="K706">
        <v>1.061094</v>
      </c>
      <c r="L706">
        <v>367.68860000000001</v>
      </c>
      <c r="M706">
        <v>0.9999439</v>
      </c>
      <c r="N706">
        <v>0</v>
      </c>
      <c r="O706">
        <v>7.4556279999999997E-3</v>
      </c>
      <c r="P706">
        <v>0.99779180000000001</v>
      </c>
      <c r="Q706">
        <v>3.1256630000000001E-2</v>
      </c>
      <c r="R706">
        <v>-5.8606239999999997E-2</v>
      </c>
      <c r="S706">
        <v>3.0043639999999998</v>
      </c>
      <c r="T706">
        <v>-0.86215499999999901</v>
      </c>
      <c r="U706">
        <v>-0.49050899999999997</v>
      </c>
      <c r="V706">
        <v>6.6036709999999998E-2</v>
      </c>
      <c r="W706">
        <v>3.8800340000000003E-2</v>
      </c>
      <c r="X706">
        <v>0.99706249999999996</v>
      </c>
      <c r="Y706">
        <v>0.16182569999999999</v>
      </c>
      <c r="Z706">
        <v>-2.4703449999999998E-2</v>
      </c>
      <c r="AA706">
        <v>0.98651009999999995</v>
      </c>
      <c r="AB706">
        <v>29</v>
      </c>
      <c r="AC706">
        <v>0.50039999999995599</v>
      </c>
      <c r="AD706">
        <v>-0.22300600000000001</v>
      </c>
      <c r="AE706">
        <v>-0.12940000000003199</v>
      </c>
      <c r="AF706">
        <v>0.112233832903118</v>
      </c>
      <c r="AG706">
        <v>-0.22300600000000001</v>
      </c>
      <c r="AH706">
        <v>0.421040351616008</v>
      </c>
      <c r="AI706">
        <v>117.10264305120999</v>
      </c>
      <c r="AJ706">
        <v>75.074121475910601</v>
      </c>
      <c r="AK706">
        <v>0.48949268326815298</v>
      </c>
      <c r="AL706">
        <v>87.776346032667604</v>
      </c>
      <c r="AM706">
        <v>86.210762213972103</v>
      </c>
      <c r="AN706">
        <v>0.99999997117899397</v>
      </c>
    </row>
    <row r="707" spans="1:40" x14ac:dyDescent="0.25">
      <c r="A707" t="str">
        <f>"20190312154812928"</f>
        <v>20190312154812928</v>
      </c>
      <c r="B707" t="str">
        <f>"1552376892916672"</f>
        <v>1552376892916672</v>
      </c>
      <c r="C707" t="s">
        <v>40</v>
      </c>
      <c r="D707">
        <v>4.6531529999999997</v>
      </c>
      <c r="E707">
        <v>0.545073699999999</v>
      </c>
      <c r="F707" t="s">
        <v>41</v>
      </c>
      <c r="G707">
        <v>-311.3039</v>
      </c>
      <c r="H707">
        <v>0.84237929999999905</v>
      </c>
      <c r="I707">
        <v>367.56349999999998</v>
      </c>
      <c r="J707">
        <v>-311.9178</v>
      </c>
      <c r="K707">
        <v>1.0608919999999999</v>
      </c>
      <c r="L707">
        <v>367.68970000000002</v>
      </c>
      <c r="M707">
        <v>0.99994499999999997</v>
      </c>
      <c r="N707">
        <v>0</v>
      </c>
      <c r="O707">
        <v>7.5150379999999999E-3</v>
      </c>
      <c r="P707">
        <v>0.99777559999999998</v>
      </c>
      <c r="Q707">
        <v>3.1617810000000003E-2</v>
      </c>
      <c r="R707">
        <v>-5.869013E-2</v>
      </c>
      <c r="S707">
        <v>3.0047609999999998</v>
      </c>
      <c r="T707">
        <v>-0.85946049999999996</v>
      </c>
      <c r="U707">
        <v>-0.49035640000000003</v>
      </c>
      <c r="V707">
        <v>6.6179799999999997E-2</v>
      </c>
      <c r="W707">
        <v>3.8938029999999998E-2</v>
      </c>
      <c r="X707">
        <v>0.99704769999999998</v>
      </c>
      <c r="Y707">
        <v>0.16185369999999999</v>
      </c>
      <c r="Z707">
        <v>-2.4646640000000001E-2</v>
      </c>
      <c r="AA707">
        <v>0.98650689999999996</v>
      </c>
      <c r="AB707">
        <v>29</v>
      </c>
      <c r="AC707">
        <v>0.613900000000001</v>
      </c>
      <c r="AD707">
        <v>-0.2185127</v>
      </c>
      <c r="AE707">
        <v>-0.126200000000039</v>
      </c>
      <c r="AF707">
        <v>0.116632472807652</v>
      </c>
      <c r="AG707">
        <v>-0.2185127</v>
      </c>
      <c r="AH707">
        <v>0.546502664062122</v>
      </c>
      <c r="AI707">
        <v>111.35710828141799</v>
      </c>
      <c r="AJ707">
        <v>77.952888618297294</v>
      </c>
      <c r="AK707">
        <v>0.60001341285134202</v>
      </c>
      <c r="AL707">
        <v>87.768451132947504</v>
      </c>
      <c r="AM707">
        <v>86.202519392734899</v>
      </c>
      <c r="AN707">
        <v>1.0000000260918001</v>
      </c>
    </row>
    <row r="708" spans="1:40" x14ac:dyDescent="0.25">
      <c r="A708" t="str">
        <f>"20190312154812940"</f>
        <v>20190312154812940</v>
      </c>
      <c r="B708" t="str">
        <f>"1552376892937167"</f>
        <v>1552376892937167</v>
      </c>
      <c r="C708" t="s">
        <v>40</v>
      </c>
      <c r="D708">
        <v>4.6449860000000003</v>
      </c>
      <c r="E708">
        <v>0.54500409999999999</v>
      </c>
      <c r="F708" t="s">
        <v>41</v>
      </c>
      <c r="G708">
        <v>-311.05130000000003</v>
      </c>
      <c r="H708">
        <v>0.81353809999999904</v>
      </c>
      <c r="I708">
        <v>367.54809999999998</v>
      </c>
      <c r="J708">
        <v>-311.75749999999999</v>
      </c>
      <c r="K708">
        <v>1.0607009999999999</v>
      </c>
      <c r="L708">
        <v>367.69099999999997</v>
      </c>
      <c r="M708">
        <v>0.99994609999999995</v>
      </c>
      <c r="N708">
        <v>0</v>
      </c>
      <c r="O708">
        <v>7.5781819999999897E-3</v>
      </c>
      <c r="P708">
        <v>0.99777110000000002</v>
      </c>
      <c r="Q708">
        <v>3.1781789999999997E-2</v>
      </c>
      <c r="R708">
        <v>-5.867269E-2</v>
      </c>
      <c r="S708">
        <v>3.0050050000000001</v>
      </c>
      <c r="T708">
        <v>-0.8579118</v>
      </c>
      <c r="U708">
        <v>-0.4906006</v>
      </c>
      <c r="V708">
        <v>6.6225300000000001E-2</v>
      </c>
      <c r="W708">
        <v>3.887753E-2</v>
      </c>
      <c r="X708">
        <v>0.99704700000000002</v>
      </c>
      <c r="Y708">
        <v>0.16199769999999999</v>
      </c>
      <c r="Z708">
        <v>-2.4639459999999998E-2</v>
      </c>
      <c r="AA708">
        <v>0.98648349999999996</v>
      </c>
      <c r="AB708">
        <v>29</v>
      </c>
      <c r="AC708">
        <v>0.70619999999996697</v>
      </c>
      <c r="AD708">
        <v>-0.24716289999999999</v>
      </c>
      <c r="AE708">
        <v>-0.142899999999997</v>
      </c>
      <c r="AF708">
        <v>0.13263943948120299</v>
      </c>
      <c r="AG708">
        <v>-0.24716289999999999</v>
      </c>
      <c r="AH708">
        <v>0.63086046626803705</v>
      </c>
      <c r="AI708">
        <v>110.977036318145</v>
      </c>
      <c r="AJ708">
        <v>78.126413352278405</v>
      </c>
      <c r="AK708">
        <v>0.69041121655302096</v>
      </c>
      <c r="AL708">
        <v>87.771920065880494</v>
      </c>
      <c r="AM708">
        <v>86.199913532250605</v>
      </c>
      <c r="AN708">
        <v>0.99999998645399502</v>
      </c>
    </row>
    <row r="709" spans="1:40" x14ac:dyDescent="0.25">
      <c r="A709" t="str">
        <f>"20190312154812950"</f>
        <v>20190312154812950</v>
      </c>
      <c r="B709" t="str">
        <f>"1552376892946927"</f>
        <v>1552376892946927</v>
      </c>
      <c r="C709" t="s">
        <v>40</v>
      </c>
      <c r="D709">
        <v>4.6883790000000003</v>
      </c>
      <c r="E709">
        <v>0.54497589999999996</v>
      </c>
      <c r="F709" t="s">
        <v>41</v>
      </c>
      <c r="G709">
        <v>-311.03519999999997</v>
      </c>
      <c r="H709">
        <v>0.85486960000000001</v>
      </c>
      <c r="I709">
        <v>367.57310000000001</v>
      </c>
      <c r="J709">
        <v>-311.62200000000001</v>
      </c>
      <c r="K709">
        <v>1.0605519999999999</v>
      </c>
      <c r="L709">
        <v>367.69209999999998</v>
      </c>
      <c r="M709">
        <v>0.99994709999999998</v>
      </c>
      <c r="N709">
        <v>0</v>
      </c>
      <c r="O709">
        <v>7.6313789999999998E-3</v>
      </c>
      <c r="P709">
        <v>0.9977452</v>
      </c>
      <c r="Q709">
        <v>3.2290340000000001E-2</v>
      </c>
      <c r="R709">
        <v>-5.884197E-2</v>
      </c>
      <c r="S709">
        <v>3.0051269999999999</v>
      </c>
      <c r="T709">
        <v>-0.85640499999999997</v>
      </c>
      <c r="U709">
        <v>-0.49020390000000003</v>
      </c>
      <c r="V709">
        <v>6.6447099999999995E-2</v>
      </c>
      <c r="W709">
        <v>3.9204860000000001E-2</v>
      </c>
      <c r="X709">
        <v>0.9970194</v>
      </c>
      <c r="Y709">
        <v>0.16194020000000001</v>
      </c>
      <c r="Z709">
        <v>-2.4603880000000002E-2</v>
      </c>
      <c r="AA709">
        <v>0.98649379999999998</v>
      </c>
      <c r="AB709">
        <v>29</v>
      </c>
      <c r="AC709">
        <v>0.58680000000003896</v>
      </c>
      <c r="AD709">
        <v>-0.20568239999999999</v>
      </c>
      <c r="AE709">
        <v>-0.118999999999971</v>
      </c>
      <c r="AF709">
        <v>0.110441742595642</v>
      </c>
      <c r="AG709">
        <v>-0.20568239999999999</v>
      </c>
      <c r="AH709">
        <v>0.52403456771505996</v>
      </c>
      <c r="AI709">
        <v>111.009838625097</v>
      </c>
      <c r="AJ709">
        <v>78.098917699920307</v>
      </c>
      <c r="AK709">
        <v>0.57368532867560096</v>
      </c>
      <c r="AL709">
        <v>87.753151071549098</v>
      </c>
      <c r="AM709">
        <v>86.187118626099306</v>
      </c>
      <c r="AN709">
        <v>0.99999996106119304</v>
      </c>
    </row>
    <row r="710" spans="1:40" x14ac:dyDescent="0.25">
      <c r="A710" t="str">
        <f>"20190312154812961"</f>
        <v>20190312154812961</v>
      </c>
      <c r="B710" t="str">
        <f>"1552376892956688"</f>
        <v>1552376892956688</v>
      </c>
      <c r="C710" t="s">
        <v>40</v>
      </c>
      <c r="D710">
        <v>4.6774899999999997</v>
      </c>
      <c r="E710">
        <v>0.54493290000000005</v>
      </c>
      <c r="F710" t="s">
        <v>41</v>
      </c>
      <c r="G710">
        <v>-310.78300000000002</v>
      </c>
      <c r="H710">
        <v>0.82199489999999997</v>
      </c>
      <c r="I710">
        <v>367.55489999999998</v>
      </c>
      <c r="J710">
        <v>-311.48059999999998</v>
      </c>
      <c r="K710">
        <v>1.0604089999999999</v>
      </c>
      <c r="L710">
        <v>367.69319999999999</v>
      </c>
      <c r="M710">
        <v>0.99994780000000005</v>
      </c>
      <c r="N710">
        <v>0</v>
      </c>
      <c r="O710">
        <v>7.6867089999999999E-3</v>
      </c>
      <c r="P710">
        <v>0.99774910000000006</v>
      </c>
      <c r="Q710">
        <v>3.2238959999999997E-2</v>
      </c>
      <c r="R710">
        <v>-5.8800690000000003E-2</v>
      </c>
      <c r="S710">
        <v>3.0055239999999999</v>
      </c>
      <c r="T710">
        <v>-0.854465699999999</v>
      </c>
      <c r="U710">
        <v>-0.490448</v>
      </c>
      <c r="V710">
        <v>6.6461039999999999E-2</v>
      </c>
      <c r="W710">
        <v>3.8971390000000002E-2</v>
      </c>
      <c r="X710">
        <v>0.99702760000000001</v>
      </c>
      <c r="Y710">
        <v>0.16207569999999999</v>
      </c>
      <c r="Z710">
        <v>-2.458113E-2</v>
      </c>
      <c r="AA710">
        <v>0.98647209999999996</v>
      </c>
      <c r="AB710">
        <v>30</v>
      </c>
      <c r="AC710">
        <v>0.69759999999996503</v>
      </c>
      <c r="AD710">
        <v>-0.23841409999999899</v>
      </c>
      <c r="AE710">
        <v>-0.13830000000001499</v>
      </c>
      <c r="AF710">
        <v>0.12914438580370399</v>
      </c>
      <c r="AG710">
        <v>-0.23841409999999899</v>
      </c>
      <c r="AH710">
        <v>0.626146760631901</v>
      </c>
      <c r="AI710">
        <v>110.451220756566</v>
      </c>
      <c r="AJ710">
        <v>78.346017538125594</v>
      </c>
      <c r="AK710">
        <v>0.68233373162496402</v>
      </c>
      <c r="AL710">
        <v>87.766538095086503</v>
      </c>
      <c r="AM710">
        <v>86.186352351216598</v>
      </c>
      <c r="AN710">
        <v>0.99999993711908397</v>
      </c>
    </row>
    <row r="711" spans="1:40" x14ac:dyDescent="0.25">
      <c r="A711" t="str">
        <f>"20190312154812972"</f>
        <v>20190312154812972</v>
      </c>
      <c r="B711" t="str">
        <f>"1552376892966447"</f>
        <v>1552376892966447</v>
      </c>
      <c r="C711" t="s">
        <v>40</v>
      </c>
      <c r="D711">
        <v>4.6957620000000002</v>
      </c>
      <c r="E711">
        <v>0.54489770000000004</v>
      </c>
      <c r="F711" t="s">
        <v>41</v>
      </c>
      <c r="G711">
        <v>-310.76889999999997</v>
      </c>
      <c r="H711">
        <v>0.85817540000000003</v>
      </c>
      <c r="I711">
        <v>367.57690000000002</v>
      </c>
      <c r="J711">
        <v>-311.33260000000001</v>
      </c>
      <c r="K711">
        <v>1.060273</v>
      </c>
      <c r="L711">
        <v>367.69439999999997</v>
      </c>
      <c r="M711">
        <v>0.99994859999999997</v>
      </c>
      <c r="N711">
        <v>0</v>
      </c>
      <c r="O711">
        <v>7.7442159999999999E-3</v>
      </c>
      <c r="P711">
        <v>0.99774890000000005</v>
      </c>
      <c r="Q711">
        <v>3.2439809999999999E-2</v>
      </c>
      <c r="R711">
        <v>-5.8693509999999997E-2</v>
      </c>
      <c r="S711">
        <v>3.0055239999999999</v>
      </c>
      <c r="T711">
        <v>-0.85408700000000004</v>
      </c>
      <c r="U711">
        <v>-0.48999019999999999</v>
      </c>
      <c r="V711">
        <v>6.6411349999999994E-2</v>
      </c>
      <c r="W711">
        <v>3.8994269999999998E-2</v>
      </c>
      <c r="X711">
        <v>0.99703010000000003</v>
      </c>
      <c r="Y711">
        <v>0.16199249999999901</v>
      </c>
      <c r="Z711">
        <v>-2.4575320000000001E-2</v>
      </c>
      <c r="AA711">
        <v>0.98648599999999997</v>
      </c>
      <c r="AB711">
        <v>30</v>
      </c>
      <c r="AC711">
        <v>0.56370000000003895</v>
      </c>
      <c r="AD711">
        <v>-0.20209759999999999</v>
      </c>
      <c r="AE711">
        <v>-0.11749999999994901</v>
      </c>
      <c r="AF711">
        <v>0.108496882366309</v>
      </c>
      <c r="AG711">
        <v>-0.20209759999999999</v>
      </c>
      <c r="AH711">
        <v>0.50105150067611204</v>
      </c>
      <c r="AI711">
        <v>111.51489350492599</v>
      </c>
      <c r="AJ711">
        <v>77.781897981419107</v>
      </c>
      <c r="AK711">
        <v>0.55106045016745098</v>
      </c>
      <c r="AL711">
        <v>87.765226356566203</v>
      </c>
      <c r="AM711">
        <v>86.189204770672902</v>
      </c>
      <c r="AN711">
        <v>1.00000002040383</v>
      </c>
    </row>
    <row r="712" spans="1:40" x14ac:dyDescent="0.25">
      <c r="A712" t="str">
        <f>"20190312154812984"</f>
        <v>20190312154812984</v>
      </c>
      <c r="B712" t="str">
        <f>"1552376892977182"</f>
        <v>1552376892977182</v>
      </c>
      <c r="C712" t="s">
        <v>40</v>
      </c>
      <c r="D712">
        <v>4.6882510000000002</v>
      </c>
      <c r="E712">
        <v>0.54486230000000002</v>
      </c>
      <c r="F712" t="s">
        <v>41</v>
      </c>
      <c r="G712">
        <v>-310.51440000000002</v>
      </c>
      <c r="H712">
        <v>0.82804580000000005</v>
      </c>
      <c r="I712">
        <v>367.56139999999999</v>
      </c>
      <c r="J712">
        <v>-311.17469999999997</v>
      </c>
      <c r="K712">
        <v>1.0601309999999999</v>
      </c>
      <c r="L712">
        <v>367.69569999999999</v>
      </c>
      <c r="M712">
        <v>0.99994919999999998</v>
      </c>
      <c r="N712">
        <v>0</v>
      </c>
      <c r="O712">
        <v>7.8056019999999896E-3</v>
      </c>
      <c r="P712">
        <v>0.99773769999999995</v>
      </c>
      <c r="Q712">
        <v>3.2746450000000003E-2</v>
      </c>
      <c r="R712">
        <v>-5.8713540000000002E-2</v>
      </c>
      <c r="S712">
        <v>3.0057369999999999</v>
      </c>
      <c r="T712">
        <v>-0.85313819999999996</v>
      </c>
      <c r="U712">
        <v>-0.48904419999999998</v>
      </c>
      <c r="V712">
        <v>6.6492380000000004E-2</v>
      </c>
      <c r="W712">
        <v>3.9116720000000001E-2</v>
      </c>
      <c r="X712">
        <v>0.99701989999999996</v>
      </c>
      <c r="Y712">
        <v>0.16176070000000001</v>
      </c>
      <c r="Z712">
        <v>-2.45329E-2</v>
      </c>
      <c r="AA712">
        <v>0.98652499999999999</v>
      </c>
      <c r="AB712">
        <v>30</v>
      </c>
      <c r="AC712">
        <v>0.66029999999994904</v>
      </c>
      <c r="AD712">
        <v>-0.23208519999999899</v>
      </c>
      <c r="AE712">
        <v>-0.13429999999999601</v>
      </c>
      <c r="AF712">
        <v>0.124661056718202</v>
      </c>
      <c r="AG712">
        <v>-0.23208519999999899</v>
      </c>
      <c r="AH712">
        <v>0.58931856088818002</v>
      </c>
      <c r="AI712">
        <v>111.07135551224199</v>
      </c>
      <c r="AJ712">
        <v>78.056054065384004</v>
      </c>
      <c r="AK712">
        <v>0.64552326474609301</v>
      </c>
      <c r="AL712">
        <v>87.758205125522196</v>
      </c>
      <c r="AM712">
        <v>86.184529939513894</v>
      </c>
      <c r="AN712">
        <v>1.00000001768881</v>
      </c>
    </row>
    <row r="713" spans="1:40" x14ac:dyDescent="0.25">
      <c r="A713" t="str">
        <f>"20190312154812997"</f>
        <v>20190312154812997</v>
      </c>
      <c r="B713" t="str">
        <f>"1552376892986943"</f>
        <v>1552376892986943</v>
      </c>
      <c r="C713" t="s">
        <v>40</v>
      </c>
      <c r="D713">
        <v>4.7077980000000004</v>
      </c>
      <c r="E713">
        <v>0.54484109999999997</v>
      </c>
      <c r="F713" t="s">
        <v>41</v>
      </c>
      <c r="G713">
        <v>-310.49860000000001</v>
      </c>
      <c r="H713">
        <v>0.86859730000000002</v>
      </c>
      <c r="I713">
        <v>367.58569999999997</v>
      </c>
      <c r="J713">
        <v>-311.0009</v>
      </c>
      <c r="K713">
        <v>1.0600039999999999</v>
      </c>
      <c r="L713">
        <v>367.69709999999998</v>
      </c>
      <c r="M713">
        <v>0.99994989999999995</v>
      </c>
      <c r="N713">
        <v>0</v>
      </c>
      <c r="O713">
        <v>7.8733420000000002E-3</v>
      </c>
      <c r="P713">
        <v>0.9977454</v>
      </c>
      <c r="Q713">
        <v>3.2658729999999997E-2</v>
      </c>
      <c r="R713">
        <v>-5.863372E-2</v>
      </c>
      <c r="S713">
        <v>3.0059200000000001</v>
      </c>
      <c r="T713">
        <v>-0.85158180000000006</v>
      </c>
      <c r="U713">
        <v>-0.48934939999999999</v>
      </c>
      <c r="V713">
        <v>6.6480090000000006E-2</v>
      </c>
      <c r="W713">
        <v>3.8845600000000001E-2</v>
      </c>
      <c r="X713">
        <v>0.99703129999999995</v>
      </c>
      <c r="Y713">
        <v>0.16193060000000001</v>
      </c>
      <c r="Z713">
        <v>-2.4530380000000001E-2</v>
      </c>
      <c r="AA713">
        <v>0.98649719999999996</v>
      </c>
      <c r="AB713">
        <v>30</v>
      </c>
      <c r="AC713">
        <v>0.50229999999999098</v>
      </c>
      <c r="AD713">
        <v>-0.19140670000000001</v>
      </c>
      <c r="AE713">
        <v>-0.111400000000003</v>
      </c>
      <c r="AF713">
        <v>0.101327676936478</v>
      </c>
      <c r="AG713">
        <v>-0.19140670000000001</v>
      </c>
      <c r="AH713">
        <v>0.44044925589950801</v>
      </c>
      <c r="AI713">
        <v>112.953085583346</v>
      </c>
      <c r="AJ713">
        <v>77.044227339355103</v>
      </c>
      <c r="AK713">
        <v>0.49081500582262499</v>
      </c>
      <c r="AL713">
        <v>87.773750929076101</v>
      </c>
      <c r="AM713">
        <v>86.185276571647506</v>
      </c>
      <c r="AN713">
        <v>0.99999999809272899</v>
      </c>
    </row>
    <row r="714" spans="1:40" x14ac:dyDescent="0.25">
      <c r="A714" t="str">
        <f>"20190312154813009"</f>
        <v>20190312154813009</v>
      </c>
      <c r="B714" t="str">
        <f>"1552376892996704"</f>
        <v>1552376892996704</v>
      </c>
      <c r="C714" t="s">
        <v>40</v>
      </c>
      <c r="D714">
        <v>4.6615250000000001</v>
      </c>
      <c r="E714">
        <v>0.54480119999999999</v>
      </c>
      <c r="F714" t="s">
        <v>41</v>
      </c>
      <c r="G714">
        <v>-310.2405</v>
      </c>
      <c r="H714">
        <v>0.84459079999999997</v>
      </c>
      <c r="I714">
        <v>367.57319999999999</v>
      </c>
      <c r="J714">
        <v>-310.8485</v>
      </c>
      <c r="K714">
        <v>1.059898</v>
      </c>
      <c r="L714">
        <v>367.69839999999999</v>
      </c>
      <c r="M714">
        <v>0.99995040000000002</v>
      </c>
      <c r="N714">
        <v>0</v>
      </c>
      <c r="O714">
        <v>7.9327540000000002E-3</v>
      </c>
      <c r="P714">
        <v>0.99775650000000005</v>
      </c>
      <c r="Q714">
        <v>3.2901340000000001E-2</v>
      </c>
      <c r="R714">
        <v>-5.8306539999999997E-2</v>
      </c>
      <c r="S714">
        <v>3.005951</v>
      </c>
      <c r="T714">
        <v>-0.85150800000000004</v>
      </c>
      <c r="U714">
        <v>-0.48861690000000002</v>
      </c>
      <c r="V714">
        <v>6.621233E-2</v>
      </c>
      <c r="W714">
        <v>3.8934700000000003E-2</v>
      </c>
      <c r="X714">
        <v>0.99704559999999998</v>
      </c>
      <c r="Y714">
        <v>0.16175870000000001</v>
      </c>
      <c r="Z714">
        <v>-2.4521210000000002E-2</v>
      </c>
      <c r="AA714">
        <v>0.98652569999999995</v>
      </c>
      <c r="AB714">
        <v>30</v>
      </c>
      <c r="AC714">
        <v>0.60800000000000398</v>
      </c>
      <c r="AD714">
        <v>-0.215307199999999</v>
      </c>
      <c r="AE714">
        <v>-0.125200000000006</v>
      </c>
      <c r="AF714">
        <v>0.116057297275831</v>
      </c>
      <c r="AG714">
        <v>-0.215307199999999</v>
      </c>
      <c r="AH714">
        <v>0.54180701511049401</v>
      </c>
      <c r="AI714">
        <v>111.234767773234</v>
      </c>
      <c r="AJ714">
        <v>77.909712519557601</v>
      </c>
      <c r="AK714">
        <v>0.59445885328233905</v>
      </c>
      <c r="AL714">
        <v>87.768641916186297</v>
      </c>
      <c r="AM714">
        <v>86.200650267084796</v>
      </c>
      <c r="AN714">
        <v>0.99999995599373803</v>
      </c>
    </row>
    <row r="715" spans="1:40" x14ac:dyDescent="0.25">
      <c r="A715" t="str">
        <f>"20190312154813020"</f>
        <v>20190312154813020</v>
      </c>
      <c r="B715" t="str">
        <f>"1552376893017199"</f>
        <v>1552376893017199</v>
      </c>
      <c r="C715" t="s">
        <v>40</v>
      </c>
      <c r="D715">
        <v>4.6707999999999998</v>
      </c>
      <c r="E715">
        <v>0.54474460000000002</v>
      </c>
      <c r="F715" t="s">
        <v>41</v>
      </c>
      <c r="G715">
        <v>-309.98320000000001</v>
      </c>
      <c r="H715">
        <v>0.8151581</v>
      </c>
      <c r="I715">
        <v>367.55799999999999</v>
      </c>
      <c r="J715">
        <v>-310.6961</v>
      </c>
      <c r="K715">
        <v>1.059801</v>
      </c>
      <c r="L715">
        <v>367.69959999999998</v>
      </c>
      <c r="M715">
        <v>0.99995080000000003</v>
      </c>
      <c r="N715">
        <v>0</v>
      </c>
      <c r="O715">
        <v>7.9919429999999996E-3</v>
      </c>
      <c r="P715">
        <v>0.99776030000000004</v>
      </c>
      <c r="Q715">
        <v>3.3172630000000002E-2</v>
      </c>
      <c r="R715">
        <v>-5.8084759999999999E-2</v>
      </c>
      <c r="S715">
        <v>3.0062869999999999</v>
      </c>
      <c r="T715">
        <v>-0.85021340000000001</v>
      </c>
      <c r="U715">
        <v>-0.4875488</v>
      </c>
      <c r="V715">
        <v>6.6049670000000005E-2</v>
      </c>
      <c r="W715">
        <v>3.9062880000000001E-2</v>
      </c>
      <c r="X715">
        <v>0.99705140000000003</v>
      </c>
      <c r="Y715">
        <v>0.16148650000000001</v>
      </c>
      <c r="Z715">
        <v>-2.4462169999999998E-2</v>
      </c>
      <c r="AA715">
        <v>0.98657169999999905</v>
      </c>
      <c r="AB715">
        <v>30</v>
      </c>
      <c r="AC715">
        <v>0.71289999999998999</v>
      </c>
      <c r="AD715">
        <v>-0.2446429</v>
      </c>
      <c r="AE715">
        <v>-0.14159999999992501</v>
      </c>
      <c r="AF715">
        <v>0.13230390898787101</v>
      </c>
      <c r="AG715">
        <v>-0.2446429</v>
      </c>
      <c r="AH715">
        <v>0.63931550250704505</v>
      </c>
      <c r="AI715">
        <v>110.54217105564</v>
      </c>
      <c r="AJ715">
        <v>78.307903401759305</v>
      </c>
      <c r="AK715">
        <v>0.697193505850217</v>
      </c>
      <c r="AL715">
        <v>87.761292207286004</v>
      </c>
      <c r="AM715">
        <v>86.209978656018293</v>
      </c>
      <c r="AN715">
        <v>0.99999998087148101</v>
      </c>
    </row>
    <row r="716" spans="1:40" x14ac:dyDescent="0.25">
      <c r="A716" t="str">
        <f>"20190312154813031"</f>
        <v>20190312154813031</v>
      </c>
      <c r="B716" t="str">
        <f>"1552376893026959"</f>
        <v>1552376893026959</v>
      </c>
      <c r="C716" t="s">
        <v>40</v>
      </c>
      <c r="D716">
        <v>4.8631169999999999</v>
      </c>
      <c r="E716">
        <v>0.5447708</v>
      </c>
      <c r="F716" t="s">
        <v>41</v>
      </c>
      <c r="G716">
        <v>-309.96800000000002</v>
      </c>
      <c r="H716">
        <v>0.85430620000000002</v>
      </c>
      <c r="I716">
        <v>367.58190000000002</v>
      </c>
      <c r="J716">
        <v>-310.5403</v>
      </c>
      <c r="K716">
        <v>1.059714</v>
      </c>
      <c r="L716">
        <v>367.70089999999999</v>
      </c>
      <c r="M716">
        <v>0.99995100000000003</v>
      </c>
      <c r="N716">
        <v>0</v>
      </c>
      <c r="O716">
        <v>8.0524140000000008E-3</v>
      </c>
      <c r="P716">
        <v>0.99777329999999997</v>
      </c>
      <c r="Q716">
        <v>3.3334929999999999E-2</v>
      </c>
      <c r="R716">
        <v>-5.7768319999999998E-2</v>
      </c>
      <c r="S716">
        <v>3.006653</v>
      </c>
      <c r="T716">
        <v>-0.84861019999999898</v>
      </c>
      <c r="U716">
        <v>-0.4861145</v>
      </c>
      <c r="V716">
        <v>6.5793439999999995E-2</v>
      </c>
      <c r="W716">
        <v>3.9089560000000002E-2</v>
      </c>
      <c r="X716">
        <v>0.99706729999999999</v>
      </c>
      <c r="Y716">
        <v>0.16110559999999999</v>
      </c>
      <c r="Z716">
        <v>-2.4380039999999999E-2</v>
      </c>
      <c r="AA716">
        <v>0.98663599999999996</v>
      </c>
      <c r="AB716">
        <v>30</v>
      </c>
      <c r="AC716">
        <v>0.57229999999998404</v>
      </c>
      <c r="AD716">
        <v>-0.2054078</v>
      </c>
      <c r="AE716">
        <v>-0.118999999999971</v>
      </c>
      <c r="AF716">
        <v>0.110019218090637</v>
      </c>
      <c r="AG716">
        <v>-0.2054078</v>
      </c>
      <c r="AH716">
        <v>0.50852899769489401</v>
      </c>
      <c r="AI716">
        <v>111.543695304617</v>
      </c>
      <c r="AJ716">
        <v>77.792319491639006</v>
      </c>
      <c r="AK716">
        <v>0.55937316180407604</v>
      </c>
      <c r="AL716">
        <v>87.759762398006103</v>
      </c>
      <c r="AM716">
        <v>86.224698914720193</v>
      </c>
      <c r="AN716">
        <v>0.99999998558865799</v>
      </c>
    </row>
    <row r="717" spans="1:40" x14ac:dyDescent="0.25">
      <c r="A717" t="str">
        <f>"20190312154813043"</f>
        <v>20190312154813043</v>
      </c>
      <c r="B717" t="str">
        <f>"1552376893036719"</f>
        <v>1552376893036719</v>
      </c>
      <c r="C717" t="s">
        <v>40</v>
      </c>
      <c r="D717">
        <v>4.6840359999999999</v>
      </c>
      <c r="E717">
        <v>0.54474880000000003</v>
      </c>
      <c r="F717" t="s">
        <v>41</v>
      </c>
      <c r="G717">
        <v>-309.70929999999998</v>
      </c>
      <c r="H717">
        <v>0.82533449999999997</v>
      </c>
      <c r="I717">
        <v>367.56650000000002</v>
      </c>
      <c r="J717">
        <v>-310.38119999999998</v>
      </c>
      <c r="K717">
        <v>1.059631</v>
      </c>
      <c r="L717">
        <v>367.7022</v>
      </c>
      <c r="M717">
        <v>0.99995129999999999</v>
      </c>
      <c r="N717">
        <v>0</v>
      </c>
      <c r="O717">
        <v>8.1141169999999901E-3</v>
      </c>
      <c r="P717">
        <v>0.99777729999999998</v>
      </c>
      <c r="Q717">
        <v>3.348918E-2</v>
      </c>
      <c r="R717">
        <v>-5.7611120000000002E-2</v>
      </c>
      <c r="S717">
        <v>3.0069270000000001</v>
      </c>
      <c r="T717">
        <v>-0.84817089999999995</v>
      </c>
      <c r="U717">
        <v>-0.48541260000000003</v>
      </c>
      <c r="V717">
        <v>6.5697599999999995E-2</v>
      </c>
      <c r="W717">
        <v>3.9111949999999999E-2</v>
      </c>
      <c r="X717">
        <v>0.99707279999999998</v>
      </c>
      <c r="Y717">
        <v>0.1609392</v>
      </c>
      <c r="Z717">
        <v>-2.436027E-2</v>
      </c>
      <c r="AA717">
        <v>0.98666359999999997</v>
      </c>
      <c r="AB717">
        <v>30</v>
      </c>
      <c r="AC717">
        <v>0.67189999999999295</v>
      </c>
      <c r="AD717">
        <v>-0.23429649999999999</v>
      </c>
      <c r="AE717">
        <v>-0.135699999999985</v>
      </c>
      <c r="AF717">
        <v>0.126382103973463</v>
      </c>
      <c r="AG717">
        <v>-0.23429649999999999</v>
      </c>
      <c r="AH717">
        <v>0.60060705362737099</v>
      </c>
      <c r="AI717">
        <v>110.89383784696101</v>
      </c>
      <c r="AJ717">
        <v>78.116958710732902</v>
      </c>
      <c r="AK717">
        <v>0.656959754462906</v>
      </c>
      <c r="AL717">
        <v>87.758478694450304</v>
      </c>
      <c r="AM717">
        <v>86.230203186538901</v>
      </c>
      <c r="AN717">
        <v>1.0000000438892001</v>
      </c>
    </row>
    <row r="718" spans="1:40" x14ac:dyDescent="0.25">
      <c r="A718" t="str">
        <f>"20190312154813055"</f>
        <v>20190312154813055</v>
      </c>
      <c r="B718" t="str">
        <f>"1552376893046480"</f>
        <v>1552376893046480</v>
      </c>
      <c r="C718" t="s">
        <v>40</v>
      </c>
      <c r="D718">
        <v>4.6861199999999998</v>
      </c>
      <c r="E718">
        <v>0.54473289999999996</v>
      </c>
      <c r="F718" t="s">
        <v>41</v>
      </c>
      <c r="G718">
        <v>-309.6936</v>
      </c>
      <c r="H718">
        <v>0.86587990000000004</v>
      </c>
      <c r="I718">
        <v>367.59120000000001</v>
      </c>
      <c r="J718">
        <v>-310.22969999999998</v>
      </c>
      <c r="K718">
        <v>1.0595619999999999</v>
      </c>
      <c r="L718">
        <v>367.70350000000002</v>
      </c>
      <c r="M718">
        <v>0.99995140000000005</v>
      </c>
      <c r="N718">
        <v>0</v>
      </c>
      <c r="O718">
        <v>8.1728389999999995E-3</v>
      </c>
      <c r="P718">
        <v>0.99778049999999996</v>
      </c>
      <c r="Q718">
        <v>3.3611500000000002E-2</v>
      </c>
      <c r="R718">
        <v>-5.748499E-2</v>
      </c>
      <c r="S718">
        <v>3.0071409999999998</v>
      </c>
      <c r="T718">
        <v>-0.847418</v>
      </c>
      <c r="U718">
        <v>-0.48440549999999999</v>
      </c>
      <c r="V718">
        <v>6.5630090000000002E-2</v>
      </c>
      <c r="W718">
        <v>3.912148E-2</v>
      </c>
      <c r="X718">
        <v>0.99707679999999999</v>
      </c>
      <c r="Y718">
        <v>0.1606832</v>
      </c>
      <c r="Z718">
        <v>-2.431939E-2</v>
      </c>
      <c r="AA718">
        <v>0.98670639999999998</v>
      </c>
      <c r="AB718">
        <v>30</v>
      </c>
      <c r="AC718">
        <v>0.53609999999997604</v>
      </c>
      <c r="AD718">
        <v>-0.1936821</v>
      </c>
      <c r="AE718">
        <v>-0.11230000000000399</v>
      </c>
      <c r="AF718">
        <v>0.10371021503593</v>
      </c>
      <c r="AG718">
        <v>-0.1936821</v>
      </c>
      <c r="AH718">
        <v>0.47568615086876398</v>
      </c>
      <c r="AI718">
        <v>111.693577434403</v>
      </c>
      <c r="AJ718">
        <v>77.700705851002994</v>
      </c>
      <c r="AK718">
        <v>0.52397125750517004</v>
      </c>
      <c r="AL718">
        <v>87.757932086218801</v>
      </c>
      <c r="AM718">
        <v>86.234080892159795</v>
      </c>
      <c r="AN718">
        <v>0.99999997200451796</v>
      </c>
    </row>
    <row r="719" spans="1:40" x14ac:dyDescent="0.25">
      <c r="A719" t="str">
        <f>"20190312154813065"</f>
        <v>20190312154813065</v>
      </c>
      <c r="B719" t="str">
        <f>"1552376893057215"</f>
        <v>1552376893057215</v>
      </c>
      <c r="C719" t="s">
        <v>40</v>
      </c>
      <c r="D719">
        <v>4.6672989999999999</v>
      </c>
      <c r="E719">
        <v>0.54470909999999995</v>
      </c>
      <c r="F719" t="s">
        <v>41</v>
      </c>
      <c r="G719">
        <v>-309.43419999999998</v>
      </c>
      <c r="H719">
        <v>0.83555170000000001</v>
      </c>
      <c r="I719">
        <v>367.57549999999998</v>
      </c>
      <c r="J719">
        <v>-310.07010000000002</v>
      </c>
      <c r="K719">
        <v>1.0594920000000001</v>
      </c>
      <c r="L719">
        <v>367.70479999999998</v>
      </c>
      <c r="M719">
        <v>0.99995149999999999</v>
      </c>
      <c r="N719">
        <v>0</v>
      </c>
      <c r="O719">
        <v>8.2347779999999999E-3</v>
      </c>
      <c r="P719">
        <v>0.99779370000000001</v>
      </c>
      <c r="Q719">
        <v>3.3624519999999998E-2</v>
      </c>
      <c r="R719">
        <v>-5.7245650000000002E-2</v>
      </c>
      <c r="S719">
        <v>3.0073240000000001</v>
      </c>
      <c r="T719">
        <v>-0.84678169999999897</v>
      </c>
      <c r="U719">
        <v>-0.4838867</v>
      </c>
      <c r="V719">
        <v>6.5452769999999993E-2</v>
      </c>
      <c r="W719">
        <v>3.901951E-2</v>
      </c>
      <c r="X719">
        <v>0.99709250000000005</v>
      </c>
      <c r="Y719">
        <v>0.16058039999999901</v>
      </c>
      <c r="Z719">
        <v>-2.430359E-2</v>
      </c>
      <c r="AA719">
        <v>0.98672349999999998</v>
      </c>
      <c r="AB719">
        <v>30</v>
      </c>
      <c r="AC719">
        <v>0.63590000000004898</v>
      </c>
      <c r="AD719">
        <v>-0.22394030000000001</v>
      </c>
      <c r="AE719">
        <v>-0.1293</v>
      </c>
      <c r="AF719">
        <v>0.120215196915177</v>
      </c>
      <c r="AG719">
        <v>-0.22394030000000001</v>
      </c>
      <c r="AH719">
        <v>0.56725644072870296</v>
      </c>
      <c r="AI719">
        <v>111.116593903142</v>
      </c>
      <c r="AJ719">
        <v>78.034686392990395</v>
      </c>
      <c r="AK719">
        <v>0.62159538373578704</v>
      </c>
      <c r="AL719">
        <v>87.763779109692507</v>
      </c>
      <c r="AM719">
        <v>86.244285495642302</v>
      </c>
      <c r="AN719">
        <v>1.00000002040878</v>
      </c>
    </row>
    <row r="720" spans="1:40" x14ac:dyDescent="0.25">
      <c r="A720" t="str">
        <f>"20190312154813079"</f>
        <v>20190312154813079</v>
      </c>
      <c r="B720" t="str">
        <f>"1552376893066976"</f>
        <v>1552376893066976</v>
      </c>
      <c r="C720" t="s">
        <v>40</v>
      </c>
      <c r="D720">
        <v>4.66275</v>
      </c>
      <c r="E720">
        <v>0.54467710000000003</v>
      </c>
      <c r="F720" t="s">
        <v>41</v>
      </c>
      <c r="G720">
        <v>-309.17290000000003</v>
      </c>
      <c r="H720">
        <v>0.80702419999999997</v>
      </c>
      <c r="I720">
        <v>367.56049999999999</v>
      </c>
      <c r="J720">
        <v>-309.90219999999999</v>
      </c>
      <c r="K720">
        <v>1.059429</v>
      </c>
      <c r="L720">
        <v>367.7063</v>
      </c>
      <c r="M720">
        <v>0.9999517</v>
      </c>
      <c r="N720">
        <v>0</v>
      </c>
      <c r="O720">
        <v>8.2994950000000005E-3</v>
      </c>
      <c r="P720">
        <v>0.99778060000000002</v>
      </c>
      <c r="Q720">
        <v>3.374489E-2</v>
      </c>
      <c r="R720">
        <v>-5.7403269999999999E-2</v>
      </c>
      <c r="S720">
        <v>3.0074770000000002</v>
      </c>
      <c r="T720">
        <v>-0.84628999999999999</v>
      </c>
      <c r="U720">
        <v>-0.48272710000000002</v>
      </c>
      <c r="V720">
        <v>6.5674700000000003E-2</v>
      </c>
      <c r="W720">
        <v>3.9031419999999997E-2</v>
      </c>
      <c r="X720">
        <v>0.9970774</v>
      </c>
      <c r="Y720">
        <v>0.1602817</v>
      </c>
      <c r="Z720">
        <v>-2.4266320000000001E-2</v>
      </c>
      <c r="AA720">
        <v>0.98677300000000001</v>
      </c>
      <c r="AB720">
        <v>30</v>
      </c>
      <c r="AC720">
        <v>0.72929999999996598</v>
      </c>
      <c r="AD720">
        <v>-0.25240479999999998</v>
      </c>
      <c r="AE720">
        <v>-0.14580000000000801</v>
      </c>
      <c r="AF720">
        <v>0.13616491076401599</v>
      </c>
      <c r="AG720">
        <v>-0.25240479999999998</v>
      </c>
      <c r="AH720">
        <v>0.65286967270928498</v>
      </c>
      <c r="AI720">
        <v>110.729874538564</v>
      </c>
      <c r="AJ720">
        <v>78.219061976189494</v>
      </c>
      <c r="AK720">
        <v>0.71308335805145595</v>
      </c>
      <c r="AL720">
        <v>87.763096105809595</v>
      </c>
      <c r="AM720">
        <v>86.231530761128198</v>
      </c>
      <c r="AN720">
        <v>0.99999997977903299</v>
      </c>
    </row>
    <row r="721" spans="1:40" x14ac:dyDescent="0.25">
      <c r="A721" t="str">
        <f>"20190312154813097"</f>
        <v>20190312154813097</v>
      </c>
      <c r="B721" t="str">
        <f>"1552376893086495"</f>
        <v>1552376893086495</v>
      </c>
      <c r="C721" t="s">
        <v>40</v>
      </c>
      <c r="D721">
        <v>4.7004669999999997</v>
      </c>
      <c r="E721">
        <v>0.5446299</v>
      </c>
      <c r="F721" t="s">
        <v>41</v>
      </c>
      <c r="G721">
        <v>-309.15640000000002</v>
      </c>
      <c r="H721">
        <v>0.84972599999999998</v>
      </c>
      <c r="I721">
        <v>367.58620000000002</v>
      </c>
      <c r="J721">
        <v>-309.65899999999999</v>
      </c>
      <c r="K721">
        <v>1.059345</v>
      </c>
      <c r="L721">
        <v>367.70839999999998</v>
      </c>
      <c r="M721">
        <v>0.99995160000000005</v>
      </c>
      <c r="N721">
        <v>0</v>
      </c>
      <c r="O721">
        <v>8.3935609999999904E-3</v>
      </c>
      <c r="P721">
        <v>0.99776880000000001</v>
      </c>
      <c r="Q721">
        <v>3.3499470000000003E-2</v>
      </c>
      <c r="R721">
        <v>-5.7752869999999998E-2</v>
      </c>
      <c r="S721">
        <v>3.0075069999999999</v>
      </c>
      <c r="T721">
        <v>-0.8456186</v>
      </c>
      <c r="U721">
        <v>-0.48266599999999998</v>
      </c>
      <c r="V721">
        <v>6.6117899999999993E-2</v>
      </c>
      <c r="W721">
        <v>3.8643089999999998E-2</v>
      </c>
      <c r="X721">
        <v>0.99706329999999999</v>
      </c>
      <c r="Y721">
        <v>0.160357</v>
      </c>
      <c r="Z721">
        <v>-2.4283699999999998E-2</v>
      </c>
      <c r="AA721">
        <v>0.98676030000000003</v>
      </c>
      <c r="AB721">
        <v>30</v>
      </c>
      <c r="AC721">
        <v>0.50259999999997196</v>
      </c>
      <c r="AD721">
        <v>-0.209619</v>
      </c>
      <c r="AE721">
        <v>-0.122199999999963</v>
      </c>
      <c r="AF721">
        <v>0.108581211276061</v>
      </c>
      <c r="AG721">
        <v>-0.209619</v>
      </c>
      <c r="AH721">
        <v>0.43080251487322102</v>
      </c>
      <c r="AI721">
        <v>115.258976046792</v>
      </c>
      <c r="AJ721">
        <v>75.853583276652103</v>
      </c>
      <c r="AK721">
        <v>0.49124414645293102</v>
      </c>
      <c r="AL721">
        <v>87.785362719165207</v>
      </c>
      <c r="AM721">
        <v>86.206120101115303</v>
      </c>
      <c r="AN721">
        <v>1.00000004465602</v>
      </c>
    </row>
    <row r="722" spans="1:40" x14ac:dyDescent="0.25">
      <c r="A722" t="str">
        <f>"20190312154813112"</f>
        <v>20190312154813112</v>
      </c>
      <c r="B722" t="str">
        <f>"1552376893106990"</f>
        <v>1552376893106990</v>
      </c>
      <c r="C722" t="s">
        <v>40</v>
      </c>
      <c r="D722">
        <v>4.6457439999999997</v>
      </c>
      <c r="E722">
        <v>0.54455129999999996</v>
      </c>
      <c r="F722" t="s">
        <v>41</v>
      </c>
      <c r="G722">
        <v>-308.88580000000002</v>
      </c>
      <c r="H722">
        <v>0.8419141</v>
      </c>
      <c r="I722">
        <v>367.58409999999998</v>
      </c>
      <c r="J722">
        <v>-309.44510000000002</v>
      </c>
      <c r="K722">
        <v>1.0592809999999999</v>
      </c>
      <c r="L722">
        <v>367.71019999999999</v>
      </c>
      <c r="M722">
        <v>0.99995149999999999</v>
      </c>
      <c r="N722">
        <v>0</v>
      </c>
      <c r="O722">
        <v>8.4765740000000006E-3</v>
      </c>
      <c r="P722">
        <v>0.99776010000000004</v>
      </c>
      <c r="Q722">
        <v>3.3634530000000003E-2</v>
      </c>
      <c r="R722">
        <v>-5.7825210000000002E-2</v>
      </c>
      <c r="S722">
        <v>3.0071409999999998</v>
      </c>
      <c r="T722">
        <v>-0.84563889999999997</v>
      </c>
      <c r="U722">
        <v>-0.48355100000000001</v>
      </c>
      <c r="V722">
        <v>6.6272929999999994E-2</v>
      </c>
      <c r="W722">
        <v>3.8665020000000001E-2</v>
      </c>
      <c r="X722">
        <v>0.9970521</v>
      </c>
      <c r="Y722">
        <v>0.16072229999999901</v>
      </c>
      <c r="Z722">
        <v>-2.435938E-2</v>
      </c>
      <c r="AA722">
        <v>0.98669899999999999</v>
      </c>
      <c r="AB722">
        <v>30</v>
      </c>
      <c r="AC722">
        <v>0.55930000000000701</v>
      </c>
      <c r="AD722">
        <v>-0.217366899999999</v>
      </c>
      <c r="AE722">
        <v>-0.12610000000000801</v>
      </c>
      <c r="AF722">
        <v>0.114394008674594</v>
      </c>
      <c r="AG722">
        <v>-0.217366899999999</v>
      </c>
      <c r="AH722">
        <v>0.48805956126185701</v>
      </c>
      <c r="AI722">
        <v>113.442429197579</v>
      </c>
      <c r="AJ722">
        <v>76.808827425105505</v>
      </c>
      <c r="AK722">
        <v>0.54638493187071902</v>
      </c>
      <c r="AL722">
        <v>87.784105156471895</v>
      </c>
      <c r="AM722">
        <v>86.197207877323095</v>
      </c>
      <c r="AN722">
        <v>0.99999998756839703</v>
      </c>
    </row>
    <row r="723" spans="1:40" x14ac:dyDescent="0.25">
      <c r="A723" t="str">
        <f>"20190312154813129"</f>
        <v>20190312154813129</v>
      </c>
      <c r="B723" t="str">
        <f>"1552376893126511"</f>
        <v>1552376893126511</v>
      </c>
      <c r="C723" t="s">
        <v>40</v>
      </c>
      <c r="D723">
        <v>4.6858089999999999</v>
      </c>
      <c r="E723">
        <v>0.54450449999999995</v>
      </c>
      <c r="F723" t="s">
        <v>41</v>
      </c>
      <c r="G723">
        <v>-308.61680000000001</v>
      </c>
      <c r="H723">
        <v>0.82679829999999999</v>
      </c>
      <c r="I723">
        <v>367.57690000000002</v>
      </c>
      <c r="J723">
        <v>-309.20960000000002</v>
      </c>
      <c r="K723">
        <v>1.0592220000000001</v>
      </c>
      <c r="L723">
        <v>367.71230000000003</v>
      </c>
      <c r="M723">
        <v>0.99995120000000004</v>
      </c>
      <c r="N723">
        <v>0</v>
      </c>
      <c r="O723">
        <v>8.5680400000000007E-3</v>
      </c>
      <c r="P723">
        <v>0.99771989999999999</v>
      </c>
      <c r="Q723">
        <v>3.37311E-2</v>
      </c>
      <c r="R723">
        <v>-5.8458589999999998E-2</v>
      </c>
      <c r="S723">
        <v>3.0072019999999999</v>
      </c>
      <c r="T723">
        <v>-0.84413249999999995</v>
      </c>
      <c r="U723">
        <v>-0.4830933</v>
      </c>
      <c r="V723">
        <v>6.6997169999999995E-2</v>
      </c>
      <c r="W723">
        <v>3.864977E-2</v>
      </c>
      <c r="X723">
        <v>0.99700429999999995</v>
      </c>
      <c r="Y723">
        <v>0.160683399999999</v>
      </c>
      <c r="Z723">
        <v>-2.4337089999999999E-2</v>
      </c>
      <c r="AA723">
        <v>0.98670590000000002</v>
      </c>
      <c r="AB723">
        <v>31</v>
      </c>
      <c r="AC723">
        <v>0.59280000000001098</v>
      </c>
      <c r="AD723">
        <v>-0.23242369999999901</v>
      </c>
      <c r="AE723">
        <v>-0.13540000000000399</v>
      </c>
      <c r="AF723">
        <v>0.122566864444603</v>
      </c>
      <c r="AG723">
        <v>-0.23242369999999901</v>
      </c>
      <c r="AH723">
        <v>0.51619987155870495</v>
      </c>
      <c r="AI723">
        <v>113.65723536697701</v>
      </c>
      <c r="AJ723">
        <v>76.642997234079601</v>
      </c>
      <c r="AK723">
        <v>0.57922855590750599</v>
      </c>
      <c r="AL723">
        <v>87.784979597972594</v>
      </c>
      <c r="AM723">
        <v>86.155590606722598</v>
      </c>
      <c r="AN723">
        <v>0.99999999986377497</v>
      </c>
    </row>
    <row r="724" spans="1:40" x14ac:dyDescent="0.25">
      <c r="A724" t="str">
        <f>"20190312154813143"</f>
        <v>20190312154813143</v>
      </c>
      <c r="B724" t="str">
        <f>"1552376893137249"</f>
        <v>1552376893137249</v>
      </c>
      <c r="C724" t="s">
        <v>40</v>
      </c>
      <c r="D724">
        <v>4.6955920000000004</v>
      </c>
      <c r="E724">
        <v>0.54447599999999996</v>
      </c>
      <c r="F724" t="s">
        <v>41</v>
      </c>
      <c r="G724">
        <v>-308.34469999999999</v>
      </c>
      <c r="H724">
        <v>0.81669399999999903</v>
      </c>
      <c r="I724">
        <v>367.57299999999998</v>
      </c>
      <c r="J724">
        <v>-309.02539999999999</v>
      </c>
      <c r="K724">
        <v>1.05918</v>
      </c>
      <c r="L724">
        <v>367.714</v>
      </c>
      <c r="M724">
        <v>0.99995100000000003</v>
      </c>
      <c r="N724">
        <v>0</v>
      </c>
      <c r="O724">
        <v>8.6388609999999994E-3</v>
      </c>
      <c r="P724">
        <v>0.99771790000000005</v>
      </c>
      <c r="Q724">
        <v>3.3991920000000002E-2</v>
      </c>
      <c r="R724">
        <v>-5.834172E-2</v>
      </c>
      <c r="S724">
        <v>3.0069889999999999</v>
      </c>
      <c r="T724">
        <v>-0.84313700000000003</v>
      </c>
      <c r="U724">
        <v>-0.48449710000000001</v>
      </c>
      <c r="V724">
        <v>6.6950889999999999E-2</v>
      </c>
      <c r="W724">
        <v>3.8831789999999998E-2</v>
      </c>
      <c r="X724">
        <v>0.99700029999999995</v>
      </c>
      <c r="Y724">
        <v>0.1612054</v>
      </c>
      <c r="Z724">
        <v>-2.4400970000000001E-2</v>
      </c>
      <c r="AA724">
        <v>0.98661920000000003</v>
      </c>
      <c r="AB724">
        <v>31</v>
      </c>
      <c r="AC724">
        <v>0.68070000000000097</v>
      </c>
      <c r="AD724">
        <v>-0.24248600000000001</v>
      </c>
      <c r="AE724">
        <v>-0.14099999999996199</v>
      </c>
      <c r="AF724">
        <v>0.13094232372303499</v>
      </c>
      <c r="AG724">
        <v>-0.24248600000000001</v>
      </c>
      <c r="AH724">
        <v>0.60574940711388403</v>
      </c>
      <c r="AI724">
        <v>111.36892766590201</v>
      </c>
      <c r="AJ724">
        <v>77.802289251912299</v>
      </c>
      <c r="AK724">
        <v>0.66549056834549603</v>
      </c>
      <c r="AL724">
        <v>87.774542705102704</v>
      </c>
      <c r="AM724">
        <v>86.158222908036606</v>
      </c>
      <c r="AN724">
        <v>0.99999996389324197</v>
      </c>
    </row>
    <row r="725" spans="1:40" x14ac:dyDescent="0.25">
      <c r="A725" t="str">
        <f>"20190312154813154"</f>
        <v>20190312154813154</v>
      </c>
      <c r="B725" t="str">
        <f>"1552376893147008"</f>
        <v>1552376893147008</v>
      </c>
      <c r="C725" t="s">
        <v>40</v>
      </c>
      <c r="D725">
        <v>4.6806099999999997</v>
      </c>
      <c r="E725">
        <v>0.54443989999999998</v>
      </c>
      <c r="F725" t="s">
        <v>41</v>
      </c>
      <c r="G725">
        <v>-308.32659999999998</v>
      </c>
      <c r="H725">
        <v>0.86354889999999995</v>
      </c>
      <c r="I725">
        <v>367.60140000000001</v>
      </c>
      <c r="J725">
        <v>-308.85649999999998</v>
      </c>
      <c r="K725">
        <v>1.059142</v>
      </c>
      <c r="L725">
        <v>367.71550000000002</v>
      </c>
      <c r="M725">
        <v>0.99995069999999997</v>
      </c>
      <c r="N725">
        <v>0</v>
      </c>
      <c r="O725">
        <v>8.7041589999999995E-3</v>
      </c>
      <c r="P725">
        <v>0.99770159999999997</v>
      </c>
      <c r="Q725">
        <v>3.4188879999999998E-2</v>
      </c>
      <c r="R725">
        <v>-5.8502760000000001E-2</v>
      </c>
      <c r="S725">
        <v>3.0071720000000002</v>
      </c>
      <c r="T725">
        <v>-0.841900599999999</v>
      </c>
      <c r="U725">
        <v>-0.48431400000000002</v>
      </c>
      <c r="V725">
        <v>6.7176890000000003E-2</v>
      </c>
      <c r="W725">
        <v>3.8965199999999998E-2</v>
      </c>
      <c r="X725">
        <v>0.99697999999999998</v>
      </c>
      <c r="Y725">
        <v>0.1612179</v>
      </c>
      <c r="Z725">
        <v>-2.438473E-2</v>
      </c>
      <c r="AA725">
        <v>0.98661759999999998</v>
      </c>
      <c r="AB725">
        <v>31</v>
      </c>
      <c r="AC725">
        <v>0.52989999999999704</v>
      </c>
      <c r="AD725">
        <v>-0.19559309999999999</v>
      </c>
      <c r="AE725">
        <v>-0.114100000000007</v>
      </c>
      <c r="AF725">
        <v>0.105032088426318</v>
      </c>
      <c r="AG725">
        <v>-0.19559309999999999</v>
      </c>
      <c r="AH725">
        <v>0.46795542007011498</v>
      </c>
      <c r="AI725">
        <v>112.18698012692199</v>
      </c>
      <c r="AJ725">
        <v>77.349673196928094</v>
      </c>
      <c r="AK725">
        <v>0.51794852595581498</v>
      </c>
      <c r="AL725">
        <v>87.766893324427301</v>
      </c>
      <c r="AM725">
        <v>86.145215352293206</v>
      </c>
      <c r="AN725">
        <v>1.0000000708805501</v>
      </c>
    </row>
    <row r="726" spans="1:40" x14ac:dyDescent="0.25">
      <c r="A726" t="str">
        <f>"20190312154813168"</f>
        <v>20190312154813168</v>
      </c>
      <c r="B726" t="str">
        <f>"1552376893156767"</f>
        <v>1552376893156767</v>
      </c>
      <c r="C726" t="s">
        <v>40</v>
      </c>
      <c r="D726">
        <v>4.6903180000000004</v>
      </c>
      <c r="E726">
        <v>0.54440889999999997</v>
      </c>
      <c r="F726" t="s">
        <v>41</v>
      </c>
      <c r="G726">
        <v>-308.0598</v>
      </c>
      <c r="H726">
        <v>0.83639370000000002</v>
      </c>
      <c r="I726">
        <v>367.58690000000001</v>
      </c>
      <c r="J726">
        <v>-308.67169999999999</v>
      </c>
      <c r="K726">
        <v>1.05911</v>
      </c>
      <c r="L726">
        <v>367.71710000000002</v>
      </c>
      <c r="M726">
        <v>0.99995049999999996</v>
      </c>
      <c r="N726">
        <v>0</v>
      </c>
      <c r="O726">
        <v>8.7754800000000004E-3</v>
      </c>
      <c r="P726">
        <v>0.99769379999999996</v>
      </c>
      <c r="Q726">
        <v>3.4286999999999998E-2</v>
      </c>
      <c r="R726">
        <v>-5.8580930000000003E-2</v>
      </c>
      <c r="S726">
        <v>3.0072939999999999</v>
      </c>
      <c r="T726">
        <v>-0.84082730000000006</v>
      </c>
      <c r="U726">
        <v>-0.48471069999999999</v>
      </c>
      <c r="V726">
        <v>6.7325789999999996E-2</v>
      </c>
      <c r="W726">
        <v>3.8998070000000003E-2</v>
      </c>
      <c r="X726">
        <v>0.99696859999999998</v>
      </c>
      <c r="Y726">
        <v>0.16141529999999901</v>
      </c>
      <c r="Z726">
        <v>-2.439995E-2</v>
      </c>
      <c r="AA726">
        <v>0.98658489999999999</v>
      </c>
      <c r="AB726">
        <v>31</v>
      </c>
      <c r="AC726">
        <v>0.61189999999999101</v>
      </c>
      <c r="AD726">
        <v>-0.22271630000000001</v>
      </c>
      <c r="AE726">
        <v>-0.13020000000000201</v>
      </c>
      <c r="AF726">
        <v>0.120315961687553</v>
      </c>
      <c r="AG726">
        <v>-0.22271630000000001</v>
      </c>
      <c r="AH726">
        <v>0.54203637078248601</v>
      </c>
      <c r="AI726">
        <v>111.856957230741</v>
      </c>
      <c r="AJ726">
        <v>77.4849492787679</v>
      </c>
      <c r="AK726">
        <v>0.59823231956618605</v>
      </c>
      <c r="AL726">
        <v>87.765008422196402</v>
      </c>
      <c r="AM726">
        <v>86.136652886647994</v>
      </c>
      <c r="AN726">
        <v>1.0000000004244001</v>
      </c>
    </row>
    <row r="727" spans="1:40" x14ac:dyDescent="0.25">
      <c r="A727" t="str">
        <f>"20190312154813180"</f>
        <v>20190312154813180</v>
      </c>
      <c r="B727" t="str">
        <f>"1552376893177264"</f>
        <v>1552376893177264</v>
      </c>
      <c r="C727" t="s">
        <v>40</v>
      </c>
      <c r="D727">
        <v>4.6744079999999997</v>
      </c>
      <c r="E727">
        <v>0.54436870000000004</v>
      </c>
      <c r="F727" t="s">
        <v>41</v>
      </c>
      <c r="G727">
        <v>-307.79039999999998</v>
      </c>
      <c r="H727">
        <v>0.81292810000000004</v>
      </c>
      <c r="I727">
        <v>367.57510000000002</v>
      </c>
      <c r="J727">
        <v>-308.5052</v>
      </c>
      <c r="K727">
        <v>1.0590820000000001</v>
      </c>
      <c r="L727">
        <v>367.71870000000001</v>
      </c>
      <c r="M727">
        <v>0.99995020000000001</v>
      </c>
      <c r="N727">
        <v>0</v>
      </c>
      <c r="O727">
        <v>8.8397359999999904E-3</v>
      </c>
      <c r="P727">
        <v>0.99768780000000001</v>
      </c>
      <c r="Q727">
        <v>3.4523230000000002E-2</v>
      </c>
      <c r="R727">
        <v>-5.8545899999999998E-2</v>
      </c>
      <c r="S727">
        <v>3.0073850000000002</v>
      </c>
      <c r="T727">
        <v>-0.84009290000000003</v>
      </c>
      <c r="U727">
        <v>-0.48419190000000001</v>
      </c>
      <c r="V727">
        <v>6.7354720000000007E-2</v>
      </c>
      <c r="W727">
        <v>3.9181519999999997E-2</v>
      </c>
      <c r="X727">
        <v>0.99695940000000005</v>
      </c>
      <c r="Y727">
        <v>0.1613203</v>
      </c>
      <c r="Z727">
        <v>-2.4383599999999998E-2</v>
      </c>
      <c r="AA727">
        <v>0.98660079999999994</v>
      </c>
      <c r="AB727">
        <v>31</v>
      </c>
      <c r="AC727">
        <v>0.71480000000002497</v>
      </c>
      <c r="AD727">
        <v>-0.24615390000000001</v>
      </c>
      <c r="AE727">
        <v>-0.14359999999999201</v>
      </c>
      <c r="AF727">
        <v>0.134573289067204</v>
      </c>
      <c r="AG727">
        <v>-0.24615390000000001</v>
      </c>
      <c r="AH727">
        <v>0.64049373309632796</v>
      </c>
      <c r="AI727">
        <v>110.611626356603</v>
      </c>
      <c r="AJ727">
        <v>78.134257432579105</v>
      </c>
      <c r="AK727">
        <v>0.69923811019655302</v>
      </c>
      <c r="AL727">
        <v>87.754489352989296</v>
      </c>
      <c r="AM727">
        <v>86.134962272264005</v>
      </c>
      <c r="AN727">
        <v>0.999999947532073</v>
      </c>
    </row>
    <row r="728" spans="1:40" x14ac:dyDescent="0.25">
      <c r="A728" t="str">
        <f>"20190312154813196"</f>
        <v>20190312154813196</v>
      </c>
      <c r="B728" t="str">
        <f>"1552376893187023"</f>
        <v>1552376893187023</v>
      </c>
      <c r="C728" t="s">
        <v>40</v>
      </c>
      <c r="D728">
        <v>4.679659</v>
      </c>
      <c r="E728">
        <v>0.5443344</v>
      </c>
      <c r="F728" t="s">
        <v>41</v>
      </c>
      <c r="G728">
        <v>-307.77420000000001</v>
      </c>
      <c r="H728">
        <v>0.85515919999999901</v>
      </c>
      <c r="I728">
        <v>367.60090000000002</v>
      </c>
      <c r="J728">
        <v>-308.28199999999998</v>
      </c>
      <c r="K728">
        <v>1.059053</v>
      </c>
      <c r="L728">
        <v>367.7208</v>
      </c>
      <c r="M728">
        <v>0.99994970000000005</v>
      </c>
      <c r="N728">
        <v>0</v>
      </c>
      <c r="O728">
        <v>8.9259490000000007E-3</v>
      </c>
      <c r="P728">
        <v>0.99769200000000002</v>
      </c>
      <c r="Q728">
        <v>3.467344E-2</v>
      </c>
      <c r="R728">
        <v>-5.8383530000000003E-2</v>
      </c>
      <c r="S728">
        <v>3.0075989999999999</v>
      </c>
      <c r="T728">
        <v>-0.83899780000000002</v>
      </c>
      <c r="U728">
        <v>-0.4838867</v>
      </c>
      <c r="V728">
        <v>6.7278359999999995E-2</v>
      </c>
      <c r="W728">
        <v>3.9268230000000001E-2</v>
      </c>
      <c r="X728">
        <v>0.99696119999999999</v>
      </c>
      <c r="Y728">
        <v>0.1613108</v>
      </c>
      <c r="Z728">
        <v>-2.437367E-2</v>
      </c>
      <c r="AA728">
        <v>0.9866026</v>
      </c>
      <c r="AB728">
        <v>31</v>
      </c>
      <c r="AC728">
        <v>0.50779999999997405</v>
      </c>
      <c r="AD728">
        <v>-0.20389379999999999</v>
      </c>
      <c r="AE728">
        <v>-0.119899999999972</v>
      </c>
      <c r="AF728">
        <v>0.107943983058486</v>
      </c>
      <c r="AG728">
        <v>-0.20389379999999999</v>
      </c>
      <c r="AH728">
        <v>0.43958195821886398</v>
      </c>
      <c r="AI728">
        <v>114.249340698398</v>
      </c>
      <c r="AJ728">
        <v>76.203405296905103</v>
      </c>
      <c r="AK728">
        <v>0.496444239717314</v>
      </c>
      <c r="AL728">
        <v>87.749517534119704</v>
      </c>
      <c r="AM728">
        <v>86.139337753800106</v>
      </c>
      <c r="AN728">
        <v>1.0000000029585301</v>
      </c>
    </row>
    <row r="729" spans="1:40" x14ac:dyDescent="0.25">
      <c r="A729" t="str">
        <f>"20190312154813207"</f>
        <v>20190312154813207</v>
      </c>
      <c r="B729" t="str">
        <f>"1552376893196782"</f>
        <v>1552376893196782</v>
      </c>
      <c r="C729" t="s">
        <v>40</v>
      </c>
      <c r="D729">
        <v>4.6976589999999998</v>
      </c>
      <c r="E729">
        <v>0.5443036</v>
      </c>
      <c r="F729" t="s">
        <v>41</v>
      </c>
      <c r="G729">
        <v>-307.49990000000003</v>
      </c>
      <c r="H729">
        <v>0.84113969999999905</v>
      </c>
      <c r="I729">
        <v>367.5949</v>
      </c>
      <c r="J729">
        <v>-308.12169999999998</v>
      </c>
      <c r="K729">
        <v>1.0590310000000001</v>
      </c>
      <c r="L729">
        <v>367.72219999999999</v>
      </c>
      <c r="M729">
        <v>0.99994919999999998</v>
      </c>
      <c r="N729">
        <v>0</v>
      </c>
      <c r="O729">
        <v>8.9879729999999998E-3</v>
      </c>
      <c r="P729">
        <v>0.99770800000000004</v>
      </c>
      <c r="Q729">
        <v>3.4647240000000003E-2</v>
      </c>
      <c r="R729">
        <v>-5.8123220000000003E-2</v>
      </c>
      <c r="S729">
        <v>3.0078429999999998</v>
      </c>
      <c r="T729">
        <v>-0.8381054</v>
      </c>
      <c r="U729">
        <v>-0.48303220000000002</v>
      </c>
      <c r="V729">
        <v>6.7080210000000001E-2</v>
      </c>
      <c r="W729">
        <v>3.920009E-2</v>
      </c>
      <c r="X729">
        <v>0.99697720000000001</v>
      </c>
      <c r="Y729">
        <v>0.16110529999999901</v>
      </c>
      <c r="Z729">
        <v>-2.433625E-2</v>
      </c>
      <c r="AA729">
        <v>0.98663710000000004</v>
      </c>
      <c r="AB729">
        <v>31</v>
      </c>
      <c r="AC729">
        <v>0.62179999999994995</v>
      </c>
      <c r="AD729">
        <v>-0.21789130000000001</v>
      </c>
      <c r="AE729">
        <v>-0.127299999999991</v>
      </c>
      <c r="AF729">
        <v>0.11887380970719399</v>
      </c>
      <c r="AG729">
        <v>-0.21789130000000001</v>
      </c>
      <c r="AH729">
        <v>0.55519804626999203</v>
      </c>
      <c r="AI729">
        <v>110.994757459007</v>
      </c>
      <c r="AJ729">
        <v>77.914833830007893</v>
      </c>
      <c r="AK729">
        <v>0.60815497353224701</v>
      </c>
      <c r="AL729">
        <v>87.753424601590794</v>
      </c>
      <c r="AM729">
        <v>86.150735634169095</v>
      </c>
      <c r="AN729">
        <v>0.99999996947474501</v>
      </c>
    </row>
    <row r="730" spans="1:40" x14ac:dyDescent="0.25">
      <c r="A730" t="str">
        <f>"20190312154813218"</f>
        <v>20190312154813218</v>
      </c>
      <c r="B730" t="str">
        <f>"1552376893206543"</f>
        <v>1552376893206543</v>
      </c>
      <c r="C730" t="s">
        <v>40</v>
      </c>
      <c r="D730">
        <v>4.6782440000000003</v>
      </c>
      <c r="E730">
        <v>0.54426519999999901</v>
      </c>
      <c r="F730" t="s">
        <v>41</v>
      </c>
      <c r="G730">
        <v>-307.23079999999999</v>
      </c>
      <c r="H730">
        <v>0.810845699999999</v>
      </c>
      <c r="I730">
        <v>367.57960000000003</v>
      </c>
      <c r="J730">
        <v>-307.96879999999999</v>
      </c>
      <c r="K730">
        <v>1.059016</v>
      </c>
      <c r="L730">
        <v>367.72359999999998</v>
      </c>
      <c r="M730">
        <v>0.99994899999999998</v>
      </c>
      <c r="N730">
        <v>0</v>
      </c>
      <c r="O730">
        <v>9.0466439999999995E-3</v>
      </c>
      <c r="P730">
        <v>0.99770800000000004</v>
      </c>
      <c r="Q730">
        <v>3.4850279999999997E-2</v>
      </c>
      <c r="R730">
        <v>-5.8006090000000003E-2</v>
      </c>
      <c r="S730">
        <v>3.0079349999999998</v>
      </c>
      <c r="T730">
        <v>-0.83789609999999903</v>
      </c>
      <c r="U730">
        <v>-0.48193359999999902</v>
      </c>
      <c r="V730">
        <v>6.7021319999999995E-2</v>
      </c>
      <c r="W730">
        <v>3.9367819999999998E-2</v>
      </c>
      <c r="X730">
        <v>0.99697460000000004</v>
      </c>
      <c r="Y730">
        <v>0.16081870000000001</v>
      </c>
      <c r="Z730">
        <v>-2.4307349999999998E-2</v>
      </c>
      <c r="AA730">
        <v>0.98668460000000002</v>
      </c>
      <c r="AB730">
        <v>31</v>
      </c>
      <c r="AC730">
        <v>0.73799999999999899</v>
      </c>
      <c r="AD730">
        <v>-0.24817030000000001</v>
      </c>
      <c r="AE730">
        <v>-0.143999999999948</v>
      </c>
      <c r="AF730">
        <v>0.13586989271705299</v>
      </c>
      <c r="AG730">
        <v>-0.24817030000000001</v>
      </c>
      <c r="AH730">
        <v>0.66430263896645902</v>
      </c>
      <c r="AI730">
        <v>110.10278666815501</v>
      </c>
      <c r="AJ730">
        <v>78.440713005254295</v>
      </c>
      <c r="AK730">
        <v>0.72204371175631399</v>
      </c>
      <c r="AL730">
        <v>87.743807065330103</v>
      </c>
      <c r="AM730">
        <v>86.154094774366399</v>
      </c>
      <c r="AN730">
        <v>1.0000000178156201</v>
      </c>
    </row>
    <row r="731" spans="1:40" x14ac:dyDescent="0.25">
      <c r="A731" t="str">
        <f>"20190312154813229"</f>
        <v>20190312154813229</v>
      </c>
      <c r="B731" t="str">
        <f>"1552376893227040"</f>
        <v>1552376893227040</v>
      </c>
      <c r="C731" t="s">
        <v>40</v>
      </c>
      <c r="D731">
        <v>4.6714099999999998</v>
      </c>
      <c r="E731">
        <v>0.54420749999999996</v>
      </c>
      <c r="F731" t="s">
        <v>41</v>
      </c>
      <c r="G731">
        <v>-307.21589999999998</v>
      </c>
      <c r="H731">
        <v>0.8495511</v>
      </c>
      <c r="I731">
        <v>367.60320000000002</v>
      </c>
      <c r="J731">
        <v>-307.8116</v>
      </c>
      <c r="K731">
        <v>1.0589980000000001</v>
      </c>
      <c r="L731">
        <v>367.7251</v>
      </c>
      <c r="M731">
        <v>0.99994839999999996</v>
      </c>
      <c r="N731">
        <v>0</v>
      </c>
      <c r="O731">
        <v>9.1070999999999999E-3</v>
      </c>
      <c r="P731">
        <v>0.9977007</v>
      </c>
      <c r="Q731">
        <v>3.5121569999999998E-2</v>
      </c>
      <c r="R731">
        <v>-5.7961940000000003E-2</v>
      </c>
      <c r="S731">
        <v>3.0081790000000002</v>
      </c>
      <c r="T731">
        <v>-0.83682559999999995</v>
      </c>
      <c r="U731">
        <v>-0.4813538</v>
      </c>
      <c r="V731">
        <v>6.7037470000000002E-2</v>
      </c>
      <c r="W731">
        <v>3.960462E-2</v>
      </c>
      <c r="X731">
        <v>0.99696410000000002</v>
      </c>
      <c r="Y731">
        <v>0.16069910000000001</v>
      </c>
      <c r="Z731">
        <v>-2.427607E-2</v>
      </c>
      <c r="AA731">
        <v>0.9867049</v>
      </c>
      <c r="AB731">
        <v>31</v>
      </c>
      <c r="AC731">
        <v>0.59570000000002199</v>
      </c>
      <c r="AD731">
        <v>-0.20944689999999899</v>
      </c>
      <c r="AE731">
        <v>-0.12189999999998199</v>
      </c>
      <c r="AF731">
        <v>0.11381558682074799</v>
      </c>
      <c r="AG731">
        <v>-0.20944689999999899</v>
      </c>
      <c r="AH731">
        <v>0.53150114972300699</v>
      </c>
      <c r="AI731">
        <v>111.07321413912</v>
      </c>
      <c r="AJ731">
        <v>77.913232592878799</v>
      </c>
      <c r="AK731">
        <v>0.58250790885604298</v>
      </c>
      <c r="AL731">
        <v>87.730228755292899</v>
      </c>
      <c r="AM731">
        <v>86.153130423011106</v>
      </c>
      <c r="AN731">
        <v>0.99999998249907696</v>
      </c>
    </row>
    <row r="732" spans="1:40" x14ac:dyDescent="0.25">
      <c r="A732" t="str">
        <f>"20190312154813240"</f>
        <v>20190312154813240</v>
      </c>
      <c r="B732" t="str">
        <f>"1552376893236799"</f>
        <v>1552376893236799</v>
      </c>
      <c r="C732" t="s">
        <v>40</v>
      </c>
      <c r="D732">
        <v>4.7246889999999997</v>
      </c>
      <c r="E732">
        <v>0.54418129999999998</v>
      </c>
      <c r="F732" t="s">
        <v>41</v>
      </c>
      <c r="G732">
        <v>-306.94569999999999</v>
      </c>
      <c r="H732">
        <v>0.81852760000000002</v>
      </c>
      <c r="I732">
        <v>367.5865</v>
      </c>
      <c r="J732">
        <v>-307.65030000000002</v>
      </c>
      <c r="K732">
        <v>1.0589820000000001</v>
      </c>
      <c r="L732">
        <v>367.72660000000002</v>
      </c>
      <c r="M732">
        <v>0.99994819999999995</v>
      </c>
      <c r="N732">
        <v>0</v>
      </c>
      <c r="O732">
        <v>9.1691029999999996E-3</v>
      </c>
      <c r="P732">
        <v>0.99772380000000005</v>
      </c>
      <c r="Q732">
        <v>3.4926209999999999E-2</v>
      </c>
      <c r="R732">
        <v>-5.7687990000000001E-2</v>
      </c>
      <c r="S732">
        <v>3.0084230000000001</v>
      </c>
      <c r="T732">
        <v>-0.83552990000000005</v>
      </c>
      <c r="U732">
        <v>-0.4807129</v>
      </c>
      <c r="V732">
        <v>6.682536E-2</v>
      </c>
      <c r="W732">
        <v>3.9376389999999997E-2</v>
      </c>
      <c r="X732">
        <v>0.99698739999999997</v>
      </c>
      <c r="Y732">
        <v>0.16056529999999899</v>
      </c>
      <c r="Z732">
        <v>-2.4237020000000001E-2</v>
      </c>
      <c r="AA732">
        <v>0.98672760000000004</v>
      </c>
      <c r="AB732">
        <v>31</v>
      </c>
      <c r="AC732">
        <v>0.70460000000002698</v>
      </c>
      <c r="AD732">
        <v>-0.24045439999999901</v>
      </c>
      <c r="AE732">
        <v>-0.14010000000001799</v>
      </c>
      <c r="AF732">
        <v>0.131790065725362</v>
      </c>
      <c r="AG732">
        <v>-0.24045439999999901</v>
      </c>
      <c r="AH732">
        <v>0.63243324019965597</v>
      </c>
      <c r="AI732">
        <v>110.415746696882</v>
      </c>
      <c r="AJ732">
        <v>78.228833584253195</v>
      </c>
      <c r="AK732">
        <v>0.68931759241491197</v>
      </c>
      <c r="AL732">
        <v>87.743315624434999</v>
      </c>
      <c r="AM732">
        <v>86.165355094764394</v>
      </c>
      <c r="AN732">
        <v>1.0000000022936599</v>
      </c>
    </row>
    <row r="733" spans="1:40" x14ac:dyDescent="0.25">
      <c r="A733" t="str">
        <f>"20190312154813252"</f>
        <v>20190312154813252</v>
      </c>
      <c r="B733" t="str">
        <f>"1552376893246559"</f>
        <v>1552376893246559</v>
      </c>
      <c r="C733" t="s">
        <v>40</v>
      </c>
      <c r="D733">
        <v>4.6777199999999999</v>
      </c>
      <c r="E733">
        <v>0.54414390000000001</v>
      </c>
      <c r="F733" t="s">
        <v>41</v>
      </c>
      <c r="G733">
        <v>-306.93020000000001</v>
      </c>
      <c r="H733">
        <v>0.85891189999999995</v>
      </c>
      <c r="I733">
        <v>367.61160000000001</v>
      </c>
      <c r="J733">
        <v>-307.4982</v>
      </c>
      <c r="K733">
        <v>1.0589679999999999</v>
      </c>
      <c r="L733">
        <v>367.72809999999998</v>
      </c>
      <c r="M733">
        <v>0.99994769999999999</v>
      </c>
      <c r="N733">
        <v>0</v>
      </c>
      <c r="O733">
        <v>9.2275800000000009E-3</v>
      </c>
      <c r="P733">
        <v>0.99773080000000003</v>
      </c>
      <c r="Q733">
        <v>3.4844310000000003E-2</v>
      </c>
      <c r="R733">
        <v>-5.7612879999999998E-2</v>
      </c>
      <c r="S733">
        <v>3.008362</v>
      </c>
      <c r="T733">
        <v>-0.83589609999999903</v>
      </c>
      <c r="U733">
        <v>-0.47967530000000003</v>
      </c>
      <c r="V733">
        <v>6.6808569999999998E-2</v>
      </c>
      <c r="W733">
        <v>3.9265380000000003E-2</v>
      </c>
      <c r="X733">
        <v>0.99699289999999996</v>
      </c>
      <c r="Y733">
        <v>0.16029589999999999</v>
      </c>
      <c r="Z733">
        <v>-2.4227700000000001E-2</v>
      </c>
      <c r="AA733">
        <v>0.98677159999999997</v>
      </c>
      <c r="AB733">
        <v>31</v>
      </c>
      <c r="AC733">
        <v>0.56799999999998296</v>
      </c>
      <c r="AD733">
        <v>-0.20005609999999999</v>
      </c>
      <c r="AE733">
        <v>-0.116499999999973</v>
      </c>
      <c r="AF733">
        <v>0.108785946126288</v>
      </c>
      <c r="AG733">
        <v>-0.20005609999999999</v>
      </c>
      <c r="AH733">
        <v>0.50659343709445304</v>
      </c>
      <c r="AI733">
        <v>111.11171079274099</v>
      </c>
      <c r="AJ733">
        <v>77.880351583621106</v>
      </c>
      <c r="AK733">
        <v>0.55542212391025003</v>
      </c>
      <c r="AL733">
        <v>87.749680943923295</v>
      </c>
      <c r="AM733">
        <v>86.1663367690538</v>
      </c>
      <c r="AN733">
        <v>0.99999999887119895</v>
      </c>
    </row>
    <row r="734" spans="1:40" x14ac:dyDescent="0.25">
      <c r="A734" t="str">
        <f>"20190312154813263"</f>
        <v>20190312154813263</v>
      </c>
      <c r="B734" t="str">
        <f>"1552376893256319"</f>
        <v>1552376893256319</v>
      </c>
      <c r="C734" t="s">
        <v>40</v>
      </c>
      <c r="D734">
        <v>4.681597</v>
      </c>
      <c r="E734">
        <v>0.54411960000000004</v>
      </c>
      <c r="F734" t="s">
        <v>41</v>
      </c>
      <c r="G734">
        <v>-306.65969999999999</v>
      </c>
      <c r="H734">
        <v>0.82599719999999999</v>
      </c>
      <c r="I734">
        <v>367.59449999999998</v>
      </c>
      <c r="J734">
        <v>-307.34030000000001</v>
      </c>
      <c r="K734">
        <v>1.0589519999999999</v>
      </c>
      <c r="L734">
        <v>367.7296</v>
      </c>
      <c r="M734">
        <v>0.99994720000000004</v>
      </c>
      <c r="N734">
        <v>0</v>
      </c>
      <c r="O734">
        <v>9.2880849999999997E-3</v>
      </c>
      <c r="P734">
        <v>0.99773829999999997</v>
      </c>
      <c r="Q734">
        <v>3.4887260000000003E-2</v>
      </c>
      <c r="R734">
        <v>-5.7456319999999998E-2</v>
      </c>
      <c r="S734">
        <v>3.008362</v>
      </c>
      <c r="T734">
        <v>-0.83585669999999901</v>
      </c>
      <c r="U734">
        <v>-0.47906490000000002</v>
      </c>
      <c r="V734">
        <v>6.6712450000000006E-2</v>
      </c>
      <c r="W734">
        <v>3.9278720000000003E-2</v>
      </c>
      <c r="X734">
        <v>0.99699879999999996</v>
      </c>
      <c r="Y734">
        <v>0.16016329999999901</v>
      </c>
      <c r="Z734">
        <v>-2.4225389999999999E-2</v>
      </c>
      <c r="AA734">
        <v>0.98679320000000004</v>
      </c>
      <c r="AB734">
        <v>32</v>
      </c>
      <c r="AC734">
        <v>0.68060000000002596</v>
      </c>
      <c r="AD734">
        <v>-0.23295479999999999</v>
      </c>
      <c r="AE734">
        <v>-0.13510000000002201</v>
      </c>
      <c r="AF734">
        <v>0.12709086057080601</v>
      </c>
      <c r="AG734">
        <v>-0.23295479999999999</v>
      </c>
      <c r="AH734">
        <v>0.61050384298584404</v>
      </c>
      <c r="AI734">
        <v>110.484141336763</v>
      </c>
      <c r="AJ734">
        <v>78.240475697886197</v>
      </c>
      <c r="AK734">
        <v>0.66568383485266602</v>
      </c>
      <c r="AL734">
        <v>87.7489160036843</v>
      </c>
      <c r="AM734">
        <v>86.171858579112893</v>
      </c>
      <c r="AN734">
        <v>0.99999998801564005</v>
      </c>
    </row>
    <row r="735" spans="1:40" x14ac:dyDescent="0.25">
      <c r="A735" t="str">
        <f>"20190312154813274"</f>
        <v>20190312154813274</v>
      </c>
      <c r="B735" t="str">
        <f>"1552376893267055"</f>
        <v>1552376893267055</v>
      </c>
      <c r="C735" t="s">
        <v>40</v>
      </c>
      <c r="D735">
        <v>4.7028160000000003</v>
      </c>
      <c r="E735">
        <v>0.54409869999999905</v>
      </c>
      <c r="F735" t="s">
        <v>41</v>
      </c>
      <c r="G735">
        <v>-306.64440000000002</v>
      </c>
      <c r="H735">
        <v>0.86572499999999997</v>
      </c>
      <c r="I735">
        <v>367.61880000000002</v>
      </c>
      <c r="J735">
        <v>-307.18400000000003</v>
      </c>
      <c r="K735">
        <v>1.058937</v>
      </c>
      <c r="L735">
        <v>367.73110000000003</v>
      </c>
      <c r="M735">
        <v>0.99994680000000002</v>
      </c>
      <c r="N735">
        <v>0</v>
      </c>
      <c r="O735">
        <v>9.3483439999999998E-3</v>
      </c>
      <c r="P735">
        <v>0.99774169999999995</v>
      </c>
      <c r="Q735">
        <v>3.478092E-2</v>
      </c>
      <c r="R735">
        <v>-5.7462350000000002E-2</v>
      </c>
      <c r="S735">
        <v>3.0084230000000001</v>
      </c>
      <c r="T735">
        <v>-0.8353758</v>
      </c>
      <c r="U735">
        <v>-0.47854609999999898</v>
      </c>
      <c r="V735">
        <v>6.6778649999999995E-2</v>
      </c>
      <c r="W735">
        <v>3.9144829999999999E-2</v>
      </c>
      <c r="X735">
        <v>0.99699959999999999</v>
      </c>
      <c r="Y735">
        <v>0.16006219999999999</v>
      </c>
      <c r="Z735">
        <v>-2.4214429999999999E-2</v>
      </c>
      <c r="AA735">
        <v>0.98680990000000002</v>
      </c>
      <c r="AB735">
        <v>32</v>
      </c>
      <c r="AC735">
        <v>0.53960000000000696</v>
      </c>
      <c r="AD735">
        <v>-0.19321199999999999</v>
      </c>
      <c r="AE735">
        <v>-0.11230000000000399</v>
      </c>
      <c r="AF735">
        <v>0.104497953071716</v>
      </c>
      <c r="AG735">
        <v>-0.19321199999999999</v>
      </c>
      <c r="AH735">
        <v>0.47959061612361797</v>
      </c>
      <c r="AI735">
        <v>111.486230451819</v>
      </c>
      <c r="AJ735">
        <v>77.707950622377297</v>
      </c>
      <c r="AK735">
        <v>0.52750152437126596</v>
      </c>
      <c r="AL735">
        <v>87.756593163977797</v>
      </c>
      <c r="AM735">
        <v>86.168074220947005</v>
      </c>
      <c r="AN735">
        <v>0.99999995410585396</v>
      </c>
    </row>
    <row r="736" spans="1:40" x14ac:dyDescent="0.25">
      <c r="A736" t="str">
        <f>"20190312154813287"</f>
        <v>20190312154813287</v>
      </c>
      <c r="B736" t="str">
        <f>"1552376893276817"</f>
        <v>1552376893276817</v>
      </c>
      <c r="C736" t="s">
        <v>40</v>
      </c>
      <c r="D736">
        <v>4.6985549999999998</v>
      </c>
      <c r="E736">
        <v>0.54406880000000002</v>
      </c>
      <c r="F736" t="s">
        <v>41</v>
      </c>
      <c r="G736">
        <v>-306.3723</v>
      </c>
      <c r="H736">
        <v>0.83354530000000004</v>
      </c>
      <c r="I736">
        <v>367.60180000000003</v>
      </c>
      <c r="J736">
        <v>-307.00439999999998</v>
      </c>
      <c r="K736">
        <v>1.0589170000000001</v>
      </c>
      <c r="L736">
        <v>367.7328</v>
      </c>
      <c r="M736">
        <v>0.99994640000000001</v>
      </c>
      <c r="N736">
        <v>0</v>
      </c>
      <c r="O736">
        <v>9.4177299999999992E-3</v>
      </c>
      <c r="P736">
        <v>0.99775040000000004</v>
      </c>
      <c r="Q736">
        <v>3.4595760000000003E-2</v>
      </c>
      <c r="R736">
        <v>-5.7425850000000001E-2</v>
      </c>
      <c r="S736">
        <v>3.0083310000000001</v>
      </c>
      <c r="T736">
        <v>-0.83541540000000003</v>
      </c>
      <c r="U736">
        <v>-0.47851559999999999</v>
      </c>
      <c r="V736">
        <v>6.6811369999999995E-2</v>
      </c>
      <c r="W736">
        <v>3.8928989999999997E-2</v>
      </c>
      <c r="X736">
        <v>0.9970059</v>
      </c>
      <c r="Y736">
        <v>0.16011989999999901</v>
      </c>
      <c r="Z736">
        <v>-2.424287E-2</v>
      </c>
      <c r="AA736">
        <v>0.9867998</v>
      </c>
      <c r="AB736">
        <v>32</v>
      </c>
      <c r="AC736">
        <v>0.63209999999997901</v>
      </c>
      <c r="AD736">
        <v>-0.22537169999999901</v>
      </c>
      <c r="AE736">
        <v>-0.130999999999971</v>
      </c>
      <c r="AF736">
        <v>0.12206843258181201</v>
      </c>
      <c r="AG736">
        <v>-0.22537169999999901</v>
      </c>
      <c r="AH736">
        <v>0.56230020426480198</v>
      </c>
      <c r="AI736">
        <v>111.389287579548</v>
      </c>
      <c r="AJ736">
        <v>77.7518400608203</v>
      </c>
      <c r="AK736">
        <v>0.61796005138690702</v>
      </c>
      <c r="AL736">
        <v>87.768969410452996</v>
      </c>
      <c r="AM736">
        <v>86.166226416645699</v>
      </c>
      <c r="AN736">
        <v>0.99999999502925296</v>
      </c>
    </row>
    <row r="737" spans="1:40" x14ac:dyDescent="0.25">
      <c r="A737" t="str">
        <f>"20190312154813300"</f>
        <v>20190312154813300</v>
      </c>
      <c r="B737" t="str">
        <f>"1552376893296336"</f>
        <v>1552376893296336</v>
      </c>
      <c r="C737" t="s">
        <v>40</v>
      </c>
      <c r="D737">
        <v>4.7195410000000004</v>
      </c>
      <c r="E737">
        <v>0.54403690000000005</v>
      </c>
      <c r="F737" t="s">
        <v>41</v>
      </c>
      <c r="G737">
        <v>-306.09690000000001</v>
      </c>
      <c r="H737">
        <v>0.80681659999999999</v>
      </c>
      <c r="I737">
        <v>367.58850000000001</v>
      </c>
      <c r="J737">
        <v>-306.80829999999997</v>
      </c>
      <c r="K737">
        <v>1.058897</v>
      </c>
      <c r="L737">
        <v>367.73469999999998</v>
      </c>
      <c r="M737">
        <v>0.99994590000000005</v>
      </c>
      <c r="N737">
        <v>0</v>
      </c>
      <c r="O737">
        <v>9.4929590000000005E-3</v>
      </c>
      <c r="P737">
        <v>0.99774879999999999</v>
      </c>
      <c r="Q737">
        <v>3.4751780000000003E-2</v>
      </c>
      <c r="R737">
        <v>-5.7357770000000002E-2</v>
      </c>
      <c r="S737">
        <v>3.0082399999999998</v>
      </c>
      <c r="T737">
        <v>-0.83566569999999996</v>
      </c>
      <c r="U737">
        <v>-0.47802729999999999</v>
      </c>
      <c r="V737">
        <v>6.6818340000000004E-2</v>
      </c>
      <c r="W737">
        <v>3.9053820000000003E-2</v>
      </c>
      <c r="X737">
        <v>0.99700060000000001</v>
      </c>
      <c r="Y737">
        <v>0.1600385</v>
      </c>
      <c r="Z737">
        <v>-2.4260230000000001E-2</v>
      </c>
      <c r="AA737">
        <v>0.98681260000000004</v>
      </c>
      <c r="AB737">
        <v>32</v>
      </c>
      <c r="AC737">
        <v>0.71139999999996895</v>
      </c>
      <c r="AD737">
        <v>-0.25208039999999998</v>
      </c>
      <c r="AE737">
        <v>-0.146199999999964</v>
      </c>
      <c r="AF737">
        <v>0.136502122798174</v>
      </c>
      <c r="AG737">
        <v>-0.25208039999999998</v>
      </c>
      <c r="AH737">
        <v>0.63364390824525196</v>
      </c>
      <c r="AI737">
        <v>111.251301287967</v>
      </c>
      <c r="AJ737">
        <v>77.842900277642002</v>
      </c>
      <c r="AK737">
        <v>0.69547247253136102</v>
      </c>
      <c r="AL737">
        <v>87.761811844630401</v>
      </c>
      <c r="AM737">
        <v>86.165807335183203</v>
      </c>
      <c r="AN737">
        <v>1.00000004390865</v>
      </c>
    </row>
    <row r="738" spans="1:40" x14ac:dyDescent="0.25">
      <c r="A738" t="str">
        <f>"20190312154813313"</f>
        <v>20190312154813313</v>
      </c>
      <c r="B738" t="str">
        <f>"1552376893307071"</f>
        <v>1552376893307071</v>
      </c>
      <c r="C738" t="s">
        <v>40</v>
      </c>
      <c r="D738">
        <v>4.6976469999999999</v>
      </c>
      <c r="E738">
        <v>0.54401699999999997</v>
      </c>
      <c r="F738" t="s">
        <v>41</v>
      </c>
      <c r="G738">
        <v>-306.0779</v>
      </c>
      <c r="H738">
        <v>0.85625620000000002</v>
      </c>
      <c r="I738">
        <v>367.61869999999999</v>
      </c>
      <c r="J738">
        <v>-306.62270000000001</v>
      </c>
      <c r="K738">
        <v>1.0588850000000001</v>
      </c>
      <c r="L738">
        <v>367.73660000000001</v>
      </c>
      <c r="M738">
        <v>0.99994530000000004</v>
      </c>
      <c r="N738">
        <v>0</v>
      </c>
      <c r="O738">
        <v>9.5641860000000006E-3</v>
      </c>
      <c r="P738">
        <v>0.99775590000000003</v>
      </c>
      <c r="Q738">
        <v>3.4449649999999998E-2</v>
      </c>
      <c r="R738">
        <v>-5.7415599999999997E-2</v>
      </c>
      <c r="S738">
        <v>3.008362</v>
      </c>
      <c r="T738">
        <v>-0.83467219999999998</v>
      </c>
      <c r="U738">
        <v>-0.4778442</v>
      </c>
      <c r="V738">
        <v>6.6947300000000001E-2</v>
      </c>
      <c r="W738">
        <v>3.8724580000000002E-2</v>
      </c>
      <c r="X738">
        <v>0.99700469999999997</v>
      </c>
      <c r="Y738">
        <v>0.1600557</v>
      </c>
      <c r="Z738">
        <v>-2.4253219999999999E-2</v>
      </c>
      <c r="AA738">
        <v>0.98680999999999996</v>
      </c>
      <c r="AB738">
        <v>32</v>
      </c>
      <c r="AC738">
        <v>0.54480000000000905</v>
      </c>
      <c r="AD738">
        <v>-0.2026288</v>
      </c>
      <c r="AE738">
        <v>-0.11790000000002</v>
      </c>
      <c r="AF738">
        <v>0.108736270109921</v>
      </c>
      <c r="AG738">
        <v>-0.2026288</v>
      </c>
      <c r="AH738">
        <v>0.480192433174848</v>
      </c>
      <c r="AI738">
        <v>112.36983781441</v>
      </c>
      <c r="AJ738">
        <v>77.240940700874205</v>
      </c>
      <c r="AK738">
        <v>0.53241598389345801</v>
      </c>
      <c r="AL738">
        <v>87.780689985281995</v>
      </c>
      <c r="AM738">
        <v>86.158445195569797</v>
      </c>
      <c r="AN738">
        <v>0.99999995294777699</v>
      </c>
    </row>
    <row r="739" spans="1:40" x14ac:dyDescent="0.25">
      <c r="A739" t="str">
        <f>"20190312154813326"</f>
        <v>20190312154813326</v>
      </c>
      <c r="B739" t="str">
        <f>"1552376893316833"</f>
        <v>1552376893316833</v>
      </c>
      <c r="C739" t="s">
        <v>40</v>
      </c>
      <c r="D739">
        <v>4.6974939999999998</v>
      </c>
      <c r="E739">
        <v>0.54399549999999997</v>
      </c>
      <c r="F739" t="s">
        <v>41</v>
      </c>
      <c r="G739">
        <v>-305.80079999999998</v>
      </c>
      <c r="H739">
        <v>0.83066149999999905</v>
      </c>
      <c r="I739">
        <v>367.60590000000002</v>
      </c>
      <c r="J739">
        <v>-306.43540000000002</v>
      </c>
      <c r="K739">
        <v>1.058872</v>
      </c>
      <c r="L739">
        <v>367.73840000000001</v>
      </c>
      <c r="M739">
        <v>0.99994470000000002</v>
      </c>
      <c r="N739">
        <v>0</v>
      </c>
      <c r="O739">
        <v>9.6357060000000008E-3</v>
      </c>
      <c r="P739">
        <v>0.99775539999999996</v>
      </c>
      <c r="Q739">
        <v>3.4439280000000003E-2</v>
      </c>
      <c r="R739">
        <v>-5.7432440000000001E-2</v>
      </c>
      <c r="S739">
        <v>3.0081790000000002</v>
      </c>
      <c r="T739">
        <v>-0.83535490000000001</v>
      </c>
      <c r="U739">
        <v>-0.47760010000000003</v>
      </c>
      <c r="V739">
        <v>6.7035330000000004E-2</v>
      </c>
      <c r="W739">
        <v>3.8687899999999997E-2</v>
      </c>
      <c r="X739">
        <v>0.99700029999999995</v>
      </c>
      <c r="Y739">
        <v>0.1600443</v>
      </c>
      <c r="Z739">
        <v>-2.4291730000000001E-2</v>
      </c>
      <c r="AA739">
        <v>0.98681090000000005</v>
      </c>
      <c r="AB739">
        <v>32</v>
      </c>
      <c r="AC739">
        <v>0.63460000000003403</v>
      </c>
      <c r="AD739">
        <v>-0.22821050000000001</v>
      </c>
      <c r="AE739">
        <v>-0.13249999999999301</v>
      </c>
      <c r="AF739">
        <v>0.123326210860028</v>
      </c>
      <c r="AG739">
        <v>-0.22821050000000001</v>
      </c>
      <c r="AH739">
        <v>0.56346904539221099</v>
      </c>
      <c r="AI739">
        <v>111.58594270296901</v>
      </c>
      <c r="AJ739">
        <v>77.654376513671707</v>
      </c>
      <c r="AK739">
        <v>0.62031181812903802</v>
      </c>
      <c r="AL739">
        <v>87.782793371809902</v>
      </c>
      <c r="AM739">
        <v>86.153392107700597</v>
      </c>
      <c r="AN739">
        <v>1.00000004363735</v>
      </c>
    </row>
    <row r="740" spans="1:40" x14ac:dyDescent="0.25">
      <c r="A740" t="str">
        <f>"20190312154813341"</f>
        <v>20190312154813341</v>
      </c>
      <c r="B740" t="str">
        <f>"1552376893336351"</f>
        <v>1552376893336351</v>
      </c>
      <c r="C740" t="s">
        <v>40</v>
      </c>
      <c r="D740">
        <v>4.7061089999999997</v>
      </c>
      <c r="E740">
        <v>0.54396219999999995</v>
      </c>
      <c r="F740" t="s">
        <v>41</v>
      </c>
      <c r="G740">
        <v>-305.5224</v>
      </c>
      <c r="H740">
        <v>0.80544340000000003</v>
      </c>
      <c r="I740">
        <v>367.5933</v>
      </c>
      <c r="J740">
        <v>-306.22770000000003</v>
      </c>
      <c r="K740">
        <v>1.0588610000000001</v>
      </c>
      <c r="L740">
        <v>367.7405</v>
      </c>
      <c r="M740">
        <v>0.99994400000000006</v>
      </c>
      <c r="N740">
        <v>0</v>
      </c>
      <c r="O740">
        <v>9.7154509999999999E-3</v>
      </c>
      <c r="P740">
        <v>0.99774499999999999</v>
      </c>
      <c r="Q740">
        <v>3.457197E-2</v>
      </c>
      <c r="R740">
        <v>-5.7533309999999997E-2</v>
      </c>
      <c r="S740">
        <v>3.0080870000000002</v>
      </c>
      <c r="T740">
        <v>-0.83492719999999898</v>
      </c>
      <c r="U740">
        <v>-0.4779968</v>
      </c>
      <c r="V740">
        <v>6.7215559999999994E-2</v>
      </c>
      <c r="W740">
        <v>3.8795099999999999E-2</v>
      </c>
      <c r="X740">
        <v>0.99698390000000003</v>
      </c>
      <c r="Y740">
        <v>0.16025</v>
      </c>
      <c r="Z740">
        <v>-2.4329670000000001E-2</v>
      </c>
      <c r="AA740">
        <v>0.9867766</v>
      </c>
      <c r="AB740">
        <v>32</v>
      </c>
      <c r="AC740">
        <v>0.70530000000002202</v>
      </c>
      <c r="AD740">
        <v>-0.25341760000000002</v>
      </c>
      <c r="AE740">
        <v>-0.147199999999998</v>
      </c>
      <c r="AF740">
        <v>0.13708630280728501</v>
      </c>
      <c r="AG740">
        <v>-0.25341760000000002</v>
      </c>
      <c r="AH740">
        <v>0.626350039436122</v>
      </c>
      <c r="AI740">
        <v>111.565843347238</v>
      </c>
      <c r="AJ740">
        <v>77.654607170992406</v>
      </c>
      <c r="AK740">
        <v>0.68943999471220196</v>
      </c>
      <c r="AL740">
        <v>87.776646428486103</v>
      </c>
      <c r="AM740">
        <v>86.143018105121598</v>
      </c>
      <c r="AN740">
        <v>0.99999994407466497</v>
      </c>
    </row>
    <row r="741" spans="1:40" x14ac:dyDescent="0.25">
      <c r="A741" t="str">
        <f>"20190312154813351"</f>
        <v>20190312154813351</v>
      </c>
      <c r="B741" t="str">
        <f>"1552376893347087"</f>
        <v>1552376893347087</v>
      </c>
      <c r="C741" t="s">
        <v>40</v>
      </c>
      <c r="D741">
        <v>4.7168089999999996</v>
      </c>
      <c r="E741">
        <v>0.5439387</v>
      </c>
      <c r="F741" t="s">
        <v>41</v>
      </c>
      <c r="G741">
        <v>-305.50229999999999</v>
      </c>
      <c r="H741">
        <v>0.85773909999999998</v>
      </c>
      <c r="I741">
        <v>367.62520000000001</v>
      </c>
      <c r="J741">
        <v>-306.06529999999998</v>
      </c>
      <c r="K741">
        <v>1.0588489999999999</v>
      </c>
      <c r="L741">
        <v>367.74209999999999</v>
      </c>
      <c r="M741">
        <v>0.99994340000000004</v>
      </c>
      <c r="N741">
        <v>0</v>
      </c>
      <c r="O741">
        <v>9.7777149999999993E-3</v>
      </c>
      <c r="P741">
        <v>0.99774759999999996</v>
      </c>
      <c r="Q741">
        <v>3.4694679999999999E-2</v>
      </c>
      <c r="R741">
        <v>-5.7410639999999999E-2</v>
      </c>
      <c r="S741">
        <v>3.0081180000000001</v>
      </c>
      <c r="T741">
        <v>-0.83404409999999896</v>
      </c>
      <c r="U741">
        <v>-0.4779968</v>
      </c>
      <c r="V741">
        <v>6.7155099999999995E-2</v>
      </c>
      <c r="W741">
        <v>3.8899919999999998E-2</v>
      </c>
      <c r="X741">
        <v>0.99698390000000003</v>
      </c>
      <c r="Y741">
        <v>0.16031819999999999</v>
      </c>
      <c r="Z741">
        <v>-2.43307E-2</v>
      </c>
      <c r="AA741">
        <v>0.98676540000000001</v>
      </c>
      <c r="AB741">
        <v>32</v>
      </c>
      <c r="AC741">
        <v>0.56299999999998795</v>
      </c>
      <c r="AD741">
        <v>-0.20110989999999901</v>
      </c>
      <c r="AE741">
        <v>-0.116899999999986</v>
      </c>
      <c r="AF741">
        <v>0.109058615275828</v>
      </c>
      <c r="AG741">
        <v>-0.20110989999999901</v>
      </c>
      <c r="AH741">
        <v>0.50059437978127996</v>
      </c>
      <c r="AI741">
        <v>111.431740949927</v>
      </c>
      <c r="AJ741">
        <v>77.7096820745559</v>
      </c>
      <c r="AK741">
        <v>0.55039413742562204</v>
      </c>
      <c r="AL741">
        <v>87.770636169921502</v>
      </c>
      <c r="AM741">
        <v>86.146476980123097</v>
      </c>
      <c r="AN741">
        <v>0.99999995404561204</v>
      </c>
    </row>
    <row r="742" spans="1:40" x14ac:dyDescent="0.25">
      <c r="A742" t="str">
        <f>"20190312154813363"</f>
        <v>20190312154813363</v>
      </c>
      <c r="B742" t="str">
        <f>"1552376893356847"</f>
        <v>1552376893356847</v>
      </c>
      <c r="C742" t="s">
        <v>40</v>
      </c>
      <c r="D742">
        <v>4.7038719999999996</v>
      </c>
      <c r="E742">
        <v>0.54390799999999995</v>
      </c>
      <c r="F742" t="s">
        <v>41</v>
      </c>
      <c r="G742">
        <v>-305.2251</v>
      </c>
      <c r="H742">
        <v>0.8260921</v>
      </c>
      <c r="I742">
        <v>367.60849999999999</v>
      </c>
      <c r="J742">
        <v>-305.89429999999999</v>
      </c>
      <c r="K742">
        <v>1.05884</v>
      </c>
      <c r="L742">
        <v>367.74380000000002</v>
      </c>
      <c r="M742">
        <v>0.99994289999999997</v>
      </c>
      <c r="N742">
        <v>0</v>
      </c>
      <c r="O742">
        <v>9.8431979999999992E-3</v>
      </c>
      <c r="P742">
        <v>0.99772959999999999</v>
      </c>
      <c r="Q742">
        <v>3.5023690000000003E-2</v>
      </c>
      <c r="R742">
        <v>-5.7526010000000002E-2</v>
      </c>
      <c r="S742">
        <v>3.0083009999999999</v>
      </c>
      <c r="T742">
        <v>-0.83333169999999901</v>
      </c>
      <c r="U742">
        <v>-0.47747800000000001</v>
      </c>
      <c r="V742">
        <v>6.7335320000000004E-2</v>
      </c>
      <c r="W742">
        <v>3.9211530000000001E-2</v>
      </c>
      <c r="X742">
        <v>0.99695959999999995</v>
      </c>
      <c r="Y742">
        <v>0.16021969999999999</v>
      </c>
      <c r="Z742">
        <v>-2.4313939999999999E-2</v>
      </c>
      <c r="AA742">
        <v>0.98678189999999999</v>
      </c>
      <c r="AB742">
        <v>32</v>
      </c>
      <c r="AC742">
        <v>0.66919999999998903</v>
      </c>
      <c r="AD742">
        <v>-0.23274789999999901</v>
      </c>
      <c r="AE742">
        <v>-0.13530000000002901</v>
      </c>
      <c r="AF742">
        <v>0.12710870393052401</v>
      </c>
      <c r="AG742">
        <v>-0.23274789999999901</v>
      </c>
      <c r="AH742">
        <v>0.598304198302406</v>
      </c>
      <c r="AI742">
        <v>110.832829163762</v>
      </c>
      <c r="AJ742">
        <v>78.005935470320694</v>
      </c>
      <c r="AK742">
        <v>0.65444336750829102</v>
      </c>
      <c r="AL742">
        <v>87.752768739738102</v>
      </c>
      <c r="AM742">
        <v>86.136072908857997</v>
      </c>
      <c r="AN742">
        <v>1.0000000167183001</v>
      </c>
    </row>
    <row r="743" spans="1:40" x14ac:dyDescent="0.25">
      <c r="A743" t="str">
        <f>"20190312154813374"</f>
        <v>20190312154813374</v>
      </c>
      <c r="B743" t="str">
        <f>"1552376893366607"</f>
        <v>1552376893366607</v>
      </c>
      <c r="C743" t="s">
        <v>40</v>
      </c>
      <c r="D743">
        <v>4.7369139999999996</v>
      </c>
      <c r="E743">
        <v>0.54388639999999999</v>
      </c>
      <c r="F743" t="s">
        <v>41</v>
      </c>
      <c r="G743">
        <v>-305.20850000000002</v>
      </c>
      <c r="H743">
        <v>0.86915779999999998</v>
      </c>
      <c r="I743">
        <v>367.63459999999998</v>
      </c>
      <c r="J743">
        <v>-305.74239999999998</v>
      </c>
      <c r="K743">
        <v>1.058835</v>
      </c>
      <c r="L743">
        <v>367.74540000000002</v>
      </c>
      <c r="M743">
        <v>0.99994240000000001</v>
      </c>
      <c r="N743">
        <v>0</v>
      </c>
      <c r="O743">
        <v>9.9015709999999996E-3</v>
      </c>
      <c r="P743">
        <v>0.99774149999999995</v>
      </c>
      <c r="Q743">
        <v>3.5213969999999997E-2</v>
      </c>
      <c r="R743">
        <v>-5.7202389999999999E-2</v>
      </c>
      <c r="S743">
        <v>3.0084529999999998</v>
      </c>
      <c r="T743">
        <v>-0.83207629999999999</v>
      </c>
      <c r="U743">
        <v>-0.47775269999999997</v>
      </c>
      <c r="V743">
        <v>6.7070080000000004E-2</v>
      </c>
      <c r="W743">
        <v>3.9391170000000003E-2</v>
      </c>
      <c r="X743">
        <v>0.99697040000000003</v>
      </c>
      <c r="Y743">
        <v>0.16036900000000001</v>
      </c>
      <c r="Z743">
        <v>-2.4313189999999998E-2</v>
      </c>
      <c r="AA743">
        <v>0.98675760000000001</v>
      </c>
      <c r="AB743">
        <v>32</v>
      </c>
      <c r="AC743">
        <v>0.53389999999995996</v>
      </c>
      <c r="AD743">
        <v>-0.18967719999999899</v>
      </c>
      <c r="AE743">
        <v>-0.11080000000004001</v>
      </c>
      <c r="AF743">
        <v>0.103551034633472</v>
      </c>
      <c r="AG743">
        <v>-0.18967719999999899</v>
      </c>
      <c r="AH743">
        <v>0.47526771199184398</v>
      </c>
      <c r="AI743">
        <v>111.30315420866999</v>
      </c>
      <c r="AJ743">
        <v>77.708526223779103</v>
      </c>
      <c r="AK743">
        <v>0.52209161555752304</v>
      </c>
      <c r="AL743">
        <v>87.742468173463294</v>
      </c>
      <c r="AM743">
        <v>86.151289005253105</v>
      </c>
      <c r="AN743">
        <v>1.00000001919066</v>
      </c>
    </row>
    <row r="744" spans="1:40" x14ac:dyDescent="0.25">
      <c r="A744" t="str">
        <f>"20190312154813386"</f>
        <v>20190312154813386</v>
      </c>
      <c r="B744" t="str">
        <f>"1552376893376368"</f>
        <v>1552376893376368</v>
      </c>
      <c r="C744" t="s">
        <v>40</v>
      </c>
      <c r="D744">
        <v>4.7214710000000002</v>
      </c>
      <c r="E744">
        <v>0.54386569999999901</v>
      </c>
      <c r="F744" t="s">
        <v>41</v>
      </c>
      <c r="G744">
        <v>-304.93119999999999</v>
      </c>
      <c r="H744">
        <v>0.83471700000000004</v>
      </c>
      <c r="I744">
        <v>367.61689999999999</v>
      </c>
      <c r="J744">
        <v>-305.57830000000001</v>
      </c>
      <c r="K744">
        <v>1.0588280000000001</v>
      </c>
      <c r="L744">
        <v>367.74700000000001</v>
      </c>
      <c r="M744">
        <v>0.99994159999999999</v>
      </c>
      <c r="N744">
        <v>0</v>
      </c>
      <c r="O744">
        <v>9.9650109999999993E-3</v>
      </c>
      <c r="P744">
        <v>0.99773160000000005</v>
      </c>
      <c r="Q744">
        <v>3.5353959999999997E-2</v>
      </c>
      <c r="R744">
        <v>-5.7286980000000001E-2</v>
      </c>
      <c r="S744">
        <v>3.0088499999999998</v>
      </c>
      <c r="T744">
        <v>-0.83133950000000001</v>
      </c>
      <c r="U744">
        <v>-0.47631839999999998</v>
      </c>
      <c r="V744">
        <v>6.7217719999999995E-2</v>
      </c>
      <c r="W744">
        <v>3.9521720000000003E-2</v>
      </c>
      <c r="X744">
        <v>0.99695529999999999</v>
      </c>
      <c r="Y744">
        <v>0.15997649999999999</v>
      </c>
      <c r="Z744">
        <v>-2.4254419999999999E-2</v>
      </c>
      <c r="AA744">
        <v>0.9868228</v>
      </c>
      <c r="AB744">
        <v>32</v>
      </c>
      <c r="AC744">
        <v>0.64710000000002299</v>
      </c>
      <c r="AD744">
        <v>-0.224111</v>
      </c>
      <c r="AE744">
        <v>-0.13009999999996999</v>
      </c>
      <c r="AF744">
        <v>0.122427817175684</v>
      </c>
      <c r="AG744">
        <v>-0.224111</v>
      </c>
      <c r="AH744">
        <v>0.57901898398704799</v>
      </c>
      <c r="AI744">
        <v>110.740708274724</v>
      </c>
      <c r="AJ744">
        <v>78.061218624850198</v>
      </c>
      <c r="AK744">
        <v>0.63283275401704397</v>
      </c>
      <c r="AL744">
        <v>87.734982403053095</v>
      </c>
      <c r="AM744">
        <v>86.142784217428797</v>
      </c>
      <c r="AN744">
        <v>1.0000000292159199</v>
      </c>
    </row>
    <row r="745" spans="1:40" x14ac:dyDescent="0.25">
      <c r="A745" t="str">
        <f>"20190312154813396"</f>
        <v>20190312154813396</v>
      </c>
      <c r="B745" t="str">
        <f>"1552376893387107"</f>
        <v>1552376893387107</v>
      </c>
      <c r="C745" t="s">
        <v>40</v>
      </c>
      <c r="D745">
        <v>4.7206029999999997</v>
      </c>
      <c r="E745">
        <v>0.54383819999999905</v>
      </c>
      <c r="F745" t="s">
        <v>41</v>
      </c>
      <c r="G745">
        <v>-304.65170000000001</v>
      </c>
      <c r="H745">
        <v>0.80301140000000004</v>
      </c>
      <c r="I745">
        <v>367.59989999999999</v>
      </c>
      <c r="J745">
        <v>-305.411</v>
      </c>
      <c r="K745">
        <v>1.0588229999999901</v>
      </c>
      <c r="L745">
        <v>367.74880000000002</v>
      </c>
      <c r="M745">
        <v>0.99994119999999997</v>
      </c>
      <c r="N745">
        <v>0</v>
      </c>
      <c r="O745">
        <v>1.002892E-2</v>
      </c>
      <c r="P745">
        <v>0.99772850000000002</v>
      </c>
      <c r="Q745">
        <v>3.5519059999999998E-2</v>
      </c>
      <c r="R745">
        <v>-5.7239579999999998E-2</v>
      </c>
      <c r="S745">
        <v>3.0088810000000001</v>
      </c>
      <c r="T745">
        <v>-0.83065859999999903</v>
      </c>
      <c r="U745">
        <v>-0.47631839999999998</v>
      </c>
      <c r="V745">
        <v>6.7234039999999995E-2</v>
      </c>
      <c r="W745">
        <v>3.968228E-2</v>
      </c>
      <c r="X745">
        <v>0.99694780000000005</v>
      </c>
      <c r="Y745">
        <v>0.1600433</v>
      </c>
      <c r="Z745">
        <v>-2.4261230000000002E-2</v>
      </c>
      <c r="AA745">
        <v>0.98681180000000002</v>
      </c>
      <c r="AB745">
        <v>33</v>
      </c>
      <c r="AC745">
        <v>0.75929999999999598</v>
      </c>
      <c r="AD745">
        <v>-0.25581159999999897</v>
      </c>
      <c r="AE745">
        <v>-0.14890000000002601</v>
      </c>
      <c r="AF745">
        <v>0.141086578336442</v>
      </c>
      <c r="AG745">
        <v>-0.25581159999999897</v>
      </c>
      <c r="AH745">
        <v>0.68310425987413004</v>
      </c>
      <c r="AI745">
        <v>110.14018120426501</v>
      </c>
      <c r="AJ745">
        <v>78.330365359954499</v>
      </c>
      <c r="AK745">
        <v>0.74295116066900901</v>
      </c>
      <c r="AL745">
        <v>87.725775721703997</v>
      </c>
      <c r="AM745">
        <v>86.141821602961798</v>
      </c>
      <c r="AN745">
        <v>1.00000000770278</v>
      </c>
    </row>
    <row r="746" spans="1:40" x14ac:dyDescent="0.25">
      <c r="A746" t="str">
        <f>"20190312154813408"</f>
        <v>20190312154813408</v>
      </c>
      <c r="B746" t="str">
        <f>"1552376893396868"</f>
        <v>1552376893396868</v>
      </c>
      <c r="C746" t="s">
        <v>40</v>
      </c>
      <c r="D746">
        <v>4.6903680000000003</v>
      </c>
      <c r="E746">
        <v>0.54381409999999997</v>
      </c>
      <c r="F746" t="s">
        <v>41</v>
      </c>
      <c r="G746">
        <v>-304.63560000000001</v>
      </c>
      <c r="H746">
        <v>0.84497929999999999</v>
      </c>
      <c r="I746">
        <v>367.62569999999999</v>
      </c>
      <c r="J746">
        <v>-305.24509999999998</v>
      </c>
      <c r="K746">
        <v>1.058819</v>
      </c>
      <c r="L746">
        <v>367.75049999999999</v>
      </c>
      <c r="M746">
        <v>0.99994050000000001</v>
      </c>
      <c r="N746">
        <v>0</v>
      </c>
      <c r="O746">
        <v>1.0092520000000001E-2</v>
      </c>
      <c r="P746">
        <v>0.99773400000000001</v>
      </c>
      <c r="Q746">
        <v>3.5520019999999999E-2</v>
      </c>
      <c r="R746">
        <v>-5.7145710000000002E-2</v>
      </c>
      <c r="S746">
        <v>3.009125</v>
      </c>
      <c r="T746">
        <v>-0.82982279999999997</v>
      </c>
      <c r="U746">
        <v>-0.47601320000000003</v>
      </c>
      <c r="V746">
        <v>6.7203330000000006E-2</v>
      </c>
      <c r="W746">
        <v>3.9680859999999998E-2</v>
      </c>
      <c r="X746">
        <v>0.99694989999999994</v>
      </c>
      <c r="Y746">
        <v>0.16000809999999999</v>
      </c>
      <c r="Z746">
        <v>-2.4248390000000002E-2</v>
      </c>
      <c r="AA746">
        <v>0.98681779999999997</v>
      </c>
      <c r="AB746">
        <v>33</v>
      </c>
      <c r="AC746">
        <v>0.60949999999996796</v>
      </c>
      <c r="AD746">
        <v>-0.21383969999999999</v>
      </c>
      <c r="AE746">
        <v>-0.124799999999993</v>
      </c>
      <c r="AF746">
        <v>0.11710987123065</v>
      </c>
      <c r="AG746">
        <v>-0.21383969999999999</v>
      </c>
      <c r="AH746">
        <v>0.54394804665817298</v>
      </c>
      <c r="AI746">
        <v>111.02271955330001</v>
      </c>
      <c r="AJ746">
        <v>77.849907303587301</v>
      </c>
      <c r="AK746">
        <v>0.59608859802800396</v>
      </c>
      <c r="AL746">
        <v>87.725857084314299</v>
      </c>
      <c r="AM746">
        <v>86.143586654837094</v>
      </c>
      <c r="AN746">
        <v>0.99999998066171902</v>
      </c>
    </row>
    <row r="747" spans="1:40" x14ac:dyDescent="0.25">
      <c r="A747" t="str">
        <f>"20190312154813419"</f>
        <v>20190312154813419</v>
      </c>
      <c r="B747" t="str">
        <f>"1552376893416387"</f>
        <v>1552376893416387</v>
      </c>
      <c r="C747" t="s">
        <v>40</v>
      </c>
      <c r="D747">
        <v>4.7193839999999998</v>
      </c>
      <c r="E747">
        <v>0.54377730000000002</v>
      </c>
      <c r="F747" t="s">
        <v>41</v>
      </c>
      <c r="G747">
        <v>-304.35489999999999</v>
      </c>
      <c r="H747">
        <v>0.81340649999999903</v>
      </c>
      <c r="I747">
        <v>367.60980000000001</v>
      </c>
      <c r="J747">
        <v>-305.0849</v>
      </c>
      <c r="K747">
        <v>1.058819</v>
      </c>
      <c r="L747">
        <v>367.75220000000002</v>
      </c>
      <c r="M747">
        <v>0.99993989999999999</v>
      </c>
      <c r="N747">
        <v>0</v>
      </c>
      <c r="O747">
        <v>1.015373E-2</v>
      </c>
      <c r="P747">
        <v>0.99772470000000002</v>
      </c>
      <c r="Q747">
        <v>3.5771549999999999E-2</v>
      </c>
      <c r="R747">
        <v>-5.7148940000000002E-2</v>
      </c>
      <c r="S747">
        <v>3.009125</v>
      </c>
      <c r="T747">
        <v>-0.82954169999999905</v>
      </c>
      <c r="U747">
        <v>-0.47570800000000002</v>
      </c>
      <c r="V747">
        <v>6.7267800000000003E-2</v>
      </c>
      <c r="W747">
        <v>3.9934329999999997E-2</v>
      </c>
      <c r="X747">
        <v>0.99693540000000003</v>
      </c>
      <c r="Y747">
        <v>0.159973799999999</v>
      </c>
      <c r="Z747">
        <v>-2.4252510000000001E-2</v>
      </c>
      <c r="AA747">
        <v>0.98682329999999996</v>
      </c>
      <c r="AB747">
        <v>33</v>
      </c>
      <c r="AC747">
        <v>0.73000000000001797</v>
      </c>
      <c r="AD747">
        <v>-0.24541250000000001</v>
      </c>
      <c r="AE747">
        <v>-0.14240000000000899</v>
      </c>
      <c r="AF747">
        <v>0.135096317538213</v>
      </c>
      <c r="AG747">
        <v>-0.24541250000000001</v>
      </c>
      <c r="AH747">
        <v>0.65698693269842001</v>
      </c>
      <c r="AI747">
        <v>110.096915308362</v>
      </c>
      <c r="AJ747">
        <v>78.380229588495794</v>
      </c>
      <c r="AK747">
        <v>0.714219952049167</v>
      </c>
      <c r="AL747">
        <v>87.7113227314629</v>
      </c>
      <c r="AM747">
        <v>86.139842296996605</v>
      </c>
      <c r="AN747">
        <v>0.99999994970127304</v>
      </c>
    </row>
    <row r="748" spans="1:40" x14ac:dyDescent="0.25">
      <c r="A748" t="str">
        <f>"20190312154813430"</f>
        <v>20190312154813430</v>
      </c>
      <c r="B748" t="str">
        <f>"1552376893427123"</f>
        <v>1552376893427123</v>
      </c>
      <c r="C748" t="s">
        <v>40</v>
      </c>
      <c r="D748">
        <v>4.7249670000000004</v>
      </c>
      <c r="E748">
        <v>0.5437613</v>
      </c>
      <c r="F748" t="s">
        <v>41</v>
      </c>
      <c r="G748">
        <v>-304.33940000000001</v>
      </c>
      <c r="H748">
        <v>0.85363199999999995</v>
      </c>
      <c r="I748">
        <v>367.63440000000003</v>
      </c>
      <c r="J748">
        <v>-304.9271</v>
      </c>
      <c r="K748">
        <v>1.0588169999999999</v>
      </c>
      <c r="L748">
        <v>367.75380000000001</v>
      </c>
      <c r="M748">
        <v>0.99993929999999998</v>
      </c>
      <c r="N748">
        <v>0</v>
      </c>
      <c r="O748">
        <v>1.021393E-2</v>
      </c>
      <c r="P748">
        <v>0.9977319</v>
      </c>
      <c r="Q748">
        <v>3.5458480000000001E-2</v>
      </c>
      <c r="R748">
        <v>-5.7217770000000001E-2</v>
      </c>
      <c r="S748">
        <v>3.0093079999999999</v>
      </c>
      <c r="T748">
        <v>-0.82827309999999998</v>
      </c>
      <c r="U748">
        <v>-0.4756165</v>
      </c>
      <c r="V748">
        <v>6.739668E-2</v>
      </c>
      <c r="W748">
        <v>3.9625580000000001E-2</v>
      </c>
      <c r="X748">
        <v>0.99693909999999997</v>
      </c>
      <c r="Y748">
        <v>0.1600104</v>
      </c>
      <c r="Z748">
        <v>-2.423647E-2</v>
      </c>
      <c r="AA748">
        <v>0.98681770000000002</v>
      </c>
      <c r="AB748">
        <v>33</v>
      </c>
      <c r="AC748">
        <v>0.58769999999998301</v>
      </c>
      <c r="AD748">
        <v>-0.20518499999999901</v>
      </c>
      <c r="AE748">
        <v>-0.11939999999998401</v>
      </c>
      <c r="AF748">
        <v>0.112255728377533</v>
      </c>
      <c r="AG748">
        <v>-0.20518499999999901</v>
      </c>
      <c r="AH748">
        <v>0.52499329954042195</v>
      </c>
      <c r="AI748">
        <v>110.91656518347099</v>
      </c>
      <c r="AJ748">
        <v>77.930583992634993</v>
      </c>
      <c r="AK748">
        <v>0.57473489309499004</v>
      </c>
      <c r="AL748">
        <v>87.729027009503696</v>
      </c>
      <c r="AM748">
        <v>86.132483261610602</v>
      </c>
      <c r="AN748">
        <v>1.00000003408708</v>
      </c>
    </row>
    <row r="749" spans="1:40" x14ac:dyDescent="0.25">
      <c r="A749" t="str">
        <f>"20190312154813440"</f>
        <v>20190312154813440</v>
      </c>
      <c r="B749" t="str">
        <f>"1552376893436883"</f>
        <v>1552376893436883</v>
      </c>
      <c r="C749" t="s">
        <v>40</v>
      </c>
      <c r="D749">
        <v>4.7757889999999996</v>
      </c>
      <c r="E749">
        <v>0.54374960000000006</v>
      </c>
      <c r="F749" t="s">
        <v>41</v>
      </c>
      <c r="G749">
        <v>-304.05849999999998</v>
      </c>
      <c r="H749">
        <v>0.8194785</v>
      </c>
      <c r="I749">
        <v>367.61630000000002</v>
      </c>
      <c r="J749">
        <v>-304.7663</v>
      </c>
      <c r="K749">
        <v>1.0588139999999999</v>
      </c>
      <c r="L749">
        <v>367.75560000000002</v>
      </c>
      <c r="M749">
        <v>0.99993849999999995</v>
      </c>
      <c r="N749">
        <v>0</v>
      </c>
      <c r="O749">
        <v>1.027549E-2</v>
      </c>
      <c r="P749">
        <v>0.99774390000000002</v>
      </c>
      <c r="Q749">
        <v>3.5274470000000002E-2</v>
      </c>
      <c r="R749">
        <v>-5.7120749999999998E-2</v>
      </c>
      <c r="S749">
        <v>3.0090029999999999</v>
      </c>
      <c r="T749">
        <v>-0.82913989999999904</v>
      </c>
      <c r="U749">
        <v>-0.47555540000000002</v>
      </c>
      <c r="V749">
        <v>6.7361180000000007E-2</v>
      </c>
      <c r="W749">
        <v>3.9448820000000002E-2</v>
      </c>
      <c r="X749">
        <v>0.99694850000000002</v>
      </c>
      <c r="Y749">
        <v>0.16004939999999901</v>
      </c>
      <c r="Z749">
        <v>-2.428512E-2</v>
      </c>
      <c r="AA749">
        <v>0.98681019999999997</v>
      </c>
      <c r="AB749">
        <v>33</v>
      </c>
      <c r="AC749">
        <v>0.70780000000001997</v>
      </c>
      <c r="AD749">
        <v>-0.23933549999999901</v>
      </c>
      <c r="AE749">
        <v>-0.13929999999999099</v>
      </c>
      <c r="AF749">
        <v>0.13203223559967001</v>
      </c>
      <c r="AG749">
        <v>-0.23933549999999901</v>
      </c>
      <c r="AH749">
        <v>0.63629138772327498</v>
      </c>
      <c r="AI749">
        <v>110.218549141078</v>
      </c>
      <c r="AJ749">
        <v>78.277325998375204</v>
      </c>
      <c r="AK749">
        <v>0.69251766973017204</v>
      </c>
      <c r="AL749">
        <v>87.739162515152202</v>
      </c>
      <c r="AM749">
        <v>86.134550565922794</v>
      </c>
      <c r="AN749">
        <v>1.0000000248113099</v>
      </c>
    </row>
    <row r="750" spans="1:40" x14ac:dyDescent="0.25">
      <c r="A750" t="str">
        <f>"20190312154813453"</f>
        <v>20190312154813453</v>
      </c>
      <c r="B750" t="str">
        <f>"1552376893446643"</f>
        <v>1552376893446643</v>
      </c>
      <c r="C750" t="s">
        <v>40</v>
      </c>
      <c r="D750">
        <v>4.876735</v>
      </c>
      <c r="E750">
        <v>0.54376480000000005</v>
      </c>
      <c r="F750" t="s">
        <v>41</v>
      </c>
      <c r="G750">
        <v>-304.04320000000001</v>
      </c>
      <c r="H750">
        <v>0.85947359999999995</v>
      </c>
      <c r="I750">
        <v>367.64109999999999</v>
      </c>
      <c r="J750">
        <v>-304.58949999999999</v>
      </c>
      <c r="K750">
        <v>1.05881</v>
      </c>
      <c r="L750">
        <v>367.75740000000002</v>
      </c>
      <c r="M750">
        <v>0.99993799999999999</v>
      </c>
      <c r="N750">
        <v>0</v>
      </c>
      <c r="O750">
        <v>1.03427E-2</v>
      </c>
      <c r="P750">
        <v>0.99776569999999998</v>
      </c>
      <c r="Q750">
        <v>3.4836560000000003E-2</v>
      </c>
      <c r="R750">
        <v>-5.7014179999999998E-2</v>
      </c>
      <c r="S750">
        <v>3.0089419999999998</v>
      </c>
      <c r="T750">
        <v>-0.82945609999999903</v>
      </c>
      <c r="U750">
        <v>-0.47521970000000002</v>
      </c>
      <c r="V750">
        <v>6.7321790000000006E-2</v>
      </c>
      <c r="W750">
        <v>3.9023330000000002E-2</v>
      </c>
      <c r="X750">
        <v>0.99696790000000002</v>
      </c>
      <c r="Y750">
        <v>0.16000539999999999</v>
      </c>
      <c r="Z750">
        <v>-2.4306899999999999E-2</v>
      </c>
      <c r="AA750">
        <v>0.98681680000000005</v>
      </c>
      <c r="AB750">
        <v>33</v>
      </c>
      <c r="AC750">
        <v>0.54629999999997303</v>
      </c>
      <c r="AD750">
        <v>-0.1993364</v>
      </c>
      <c r="AE750">
        <v>-0.116300000000023</v>
      </c>
      <c r="AF750">
        <v>0.108167000652395</v>
      </c>
      <c r="AG750">
        <v>-0.1993364</v>
      </c>
      <c r="AH750">
        <v>0.48348700908790898</v>
      </c>
      <c r="AI750">
        <v>111.917042745065</v>
      </c>
      <c r="AJ750">
        <v>77.389295102846603</v>
      </c>
      <c r="AK750">
        <v>0.534036317446546</v>
      </c>
      <c r="AL750">
        <v>87.763560069086196</v>
      </c>
      <c r="AM750">
        <v>86.136879018913405</v>
      </c>
      <c r="AN750">
        <v>1.0000000186617499</v>
      </c>
    </row>
    <row r="751" spans="1:40" x14ac:dyDescent="0.25">
      <c r="A751" t="str">
        <f>"20190312154813464"</f>
        <v>20190312154813464</v>
      </c>
      <c r="B751" t="str">
        <f>"1552376893456403"</f>
        <v>1552376893456403</v>
      </c>
      <c r="C751" t="s">
        <v>40</v>
      </c>
      <c r="D751">
        <v>4.7580970000000002</v>
      </c>
      <c r="E751">
        <v>0.54375419999999997</v>
      </c>
      <c r="F751" t="s">
        <v>41</v>
      </c>
      <c r="G751">
        <v>-303.7595</v>
      </c>
      <c r="H751">
        <v>0.82964859999999896</v>
      </c>
      <c r="I751">
        <v>367.62630000000001</v>
      </c>
      <c r="J751">
        <v>-304.4264</v>
      </c>
      <c r="K751">
        <v>1.058808</v>
      </c>
      <c r="L751">
        <v>367.75920000000002</v>
      </c>
      <c r="M751">
        <v>0.99993719999999997</v>
      </c>
      <c r="N751">
        <v>0</v>
      </c>
      <c r="O751">
        <v>1.04049E-2</v>
      </c>
      <c r="P751">
        <v>0.99777570000000004</v>
      </c>
      <c r="Q751">
        <v>3.4466719999999999E-2</v>
      </c>
      <c r="R751">
        <v>-5.706323E-2</v>
      </c>
      <c r="S751">
        <v>3.0085449999999998</v>
      </c>
      <c r="T751">
        <v>-0.83061109999999905</v>
      </c>
      <c r="U751">
        <v>-0.47509770000000001</v>
      </c>
      <c r="V751">
        <v>6.7433010000000002E-2</v>
      </c>
      <c r="W751">
        <v>3.8667399999999998E-2</v>
      </c>
      <c r="X751">
        <v>0.99697420000000003</v>
      </c>
      <c r="Y751">
        <v>0.1600261</v>
      </c>
      <c r="Z751">
        <v>-2.4362229999999999E-2</v>
      </c>
      <c r="AA751">
        <v>0.98681209999999997</v>
      </c>
      <c r="AB751">
        <v>33</v>
      </c>
      <c r="AC751">
        <v>0.66689999999999805</v>
      </c>
      <c r="AD751">
        <v>-0.22915940000000001</v>
      </c>
      <c r="AE751">
        <v>-0.13290000000000601</v>
      </c>
      <c r="AF751">
        <v>0.12557149493229</v>
      </c>
      <c r="AG751">
        <v>-0.22915940000000001</v>
      </c>
      <c r="AH751">
        <v>0.59761368670711201</v>
      </c>
      <c r="AI751">
        <v>110.569243346419</v>
      </c>
      <c r="AJ751">
        <v>78.133552658462804</v>
      </c>
      <c r="AK751">
        <v>0.65224562052002799</v>
      </c>
      <c r="AL751">
        <v>87.783968645000101</v>
      </c>
      <c r="AM751">
        <v>86.130540640204202</v>
      </c>
      <c r="AN751">
        <v>0.99999996706302896</v>
      </c>
    </row>
    <row r="752" spans="1:40" x14ac:dyDescent="0.25">
      <c r="A752" t="str">
        <f>"20190312154813474"</f>
        <v>20190312154813474</v>
      </c>
      <c r="B752" t="str">
        <f>"1552376893467140"</f>
        <v>1552376893467140</v>
      </c>
      <c r="C752" t="s">
        <v>40</v>
      </c>
      <c r="D752">
        <v>4.767315</v>
      </c>
      <c r="E752">
        <v>0.54374319999999998</v>
      </c>
      <c r="F752" t="s">
        <v>41</v>
      </c>
      <c r="G752">
        <v>-303.74400000000003</v>
      </c>
      <c r="H752">
        <v>0.87017479999999903</v>
      </c>
      <c r="I752">
        <v>367.65129999999999</v>
      </c>
      <c r="J752">
        <v>-304.26929999999999</v>
      </c>
      <c r="K752">
        <v>1.0588089999999999</v>
      </c>
      <c r="L752">
        <v>367.76080000000002</v>
      </c>
      <c r="M752">
        <v>0.9999363</v>
      </c>
      <c r="N752">
        <v>0</v>
      </c>
      <c r="O752">
        <v>1.0464879999999999E-2</v>
      </c>
      <c r="P752">
        <v>0.99778290000000003</v>
      </c>
      <c r="Q752">
        <v>3.4101199999999901E-2</v>
      </c>
      <c r="R752">
        <v>-5.7154419999999997E-2</v>
      </c>
      <c r="S752">
        <v>3.0082089999999999</v>
      </c>
      <c r="T752">
        <v>-0.83151909999999896</v>
      </c>
      <c r="U752">
        <v>-0.47555540000000002</v>
      </c>
      <c r="V752">
        <v>6.758401E-2</v>
      </c>
      <c r="W752">
        <v>3.8321470000000003E-2</v>
      </c>
      <c r="X752">
        <v>0.99697740000000001</v>
      </c>
      <c r="Y752">
        <v>0.1602247</v>
      </c>
      <c r="Z752">
        <v>-2.443321E-2</v>
      </c>
      <c r="AA752">
        <v>0.98677809999999999</v>
      </c>
      <c r="AB752">
        <v>33</v>
      </c>
      <c r="AC752">
        <v>0.52529999999995802</v>
      </c>
      <c r="AD752">
        <v>-0.1886342</v>
      </c>
      <c r="AE752">
        <v>-0.10950000000002499</v>
      </c>
      <c r="AF752">
        <v>0.10234349279070799</v>
      </c>
      <c r="AG752">
        <v>-0.1886342</v>
      </c>
      <c r="AH752">
        <v>0.46647735246490601</v>
      </c>
      <c r="AI752">
        <v>111.553307744798</v>
      </c>
      <c r="AJ752">
        <v>77.625567999852606</v>
      </c>
      <c r="AK752">
        <v>0.51347655476069198</v>
      </c>
      <c r="AL752">
        <v>87.803803825012807</v>
      </c>
      <c r="AM752">
        <v>86.121914736980301</v>
      </c>
      <c r="AN752">
        <v>1.0000000347906901</v>
      </c>
    </row>
    <row r="753" spans="1:40" x14ac:dyDescent="0.25">
      <c r="A753" t="str">
        <f>"20190312154813487"</f>
        <v>20190312154813487</v>
      </c>
      <c r="B753" t="str">
        <f>"1552376893476899"</f>
        <v>1552376893476899</v>
      </c>
      <c r="C753" t="s">
        <v>40</v>
      </c>
      <c r="D753">
        <v>4.7618450000000001</v>
      </c>
      <c r="E753">
        <v>0.54375490000000004</v>
      </c>
      <c r="F753" t="s">
        <v>41</v>
      </c>
      <c r="G753">
        <v>-303.46120000000002</v>
      </c>
      <c r="H753">
        <v>0.83514959999999905</v>
      </c>
      <c r="I753">
        <v>367.63279999999997</v>
      </c>
      <c r="J753">
        <v>-304.0883</v>
      </c>
      <c r="K753">
        <v>1.058808</v>
      </c>
      <c r="L753">
        <v>367.76280000000003</v>
      </c>
      <c r="M753">
        <v>0.99993560000000004</v>
      </c>
      <c r="N753">
        <v>0</v>
      </c>
      <c r="O753">
        <v>1.053362E-2</v>
      </c>
      <c r="P753">
        <v>0.99777910000000003</v>
      </c>
      <c r="Q753">
        <v>3.4213140000000003E-2</v>
      </c>
      <c r="R753">
        <v>-5.7156520000000002E-2</v>
      </c>
      <c r="S753">
        <v>3.0079039999999999</v>
      </c>
      <c r="T753">
        <v>-0.83249869999999904</v>
      </c>
      <c r="U753">
        <v>-0.4756165</v>
      </c>
      <c r="V753">
        <v>6.7654549999999994E-2</v>
      </c>
      <c r="W753">
        <v>3.8458220000000001E-2</v>
      </c>
      <c r="X753">
        <v>0.9969673</v>
      </c>
      <c r="Y753">
        <v>0.16030620000000001</v>
      </c>
      <c r="Z753">
        <v>-2.449287E-2</v>
      </c>
      <c r="AA753">
        <v>0.98676339999999996</v>
      </c>
      <c r="AB753">
        <v>33</v>
      </c>
      <c r="AC753">
        <v>0.627099999999984</v>
      </c>
      <c r="AD753">
        <v>-0.22365840000000001</v>
      </c>
      <c r="AE753">
        <v>-0.13000000000005199</v>
      </c>
      <c r="AF753">
        <v>0.12174969438472601</v>
      </c>
      <c r="AG753">
        <v>-0.22365840000000001</v>
      </c>
      <c r="AH753">
        <v>0.55768025940923005</v>
      </c>
      <c r="AI753">
        <v>111.396369559673</v>
      </c>
      <c r="AJ753">
        <v>77.684726991369402</v>
      </c>
      <c r="AK753">
        <v>0.61306878872446302</v>
      </c>
      <c r="AL753">
        <v>87.795962737667097</v>
      </c>
      <c r="AM753">
        <v>86.1178401940318</v>
      </c>
      <c r="AN753">
        <v>0.99999998504527998</v>
      </c>
    </row>
    <row r="754" spans="1:40" x14ac:dyDescent="0.25">
      <c r="A754" t="str">
        <f>"20190312154813501"</f>
        <v>20190312154813501</v>
      </c>
      <c r="B754" t="str">
        <f>"1552376893496419"</f>
        <v>1552376893496419</v>
      </c>
      <c r="C754" t="s">
        <v>40</v>
      </c>
      <c r="D754">
        <v>4.7702</v>
      </c>
      <c r="E754">
        <v>0.54379040000000001</v>
      </c>
      <c r="F754" t="s">
        <v>41</v>
      </c>
      <c r="G754">
        <v>-303.17500000000001</v>
      </c>
      <c r="H754">
        <v>0.80616750000000004</v>
      </c>
      <c r="I754">
        <v>367.6182</v>
      </c>
      <c r="J754">
        <v>-303.88330000000002</v>
      </c>
      <c r="K754">
        <v>1.0588109999999999</v>
      </c>
      <c r="L754">
        <v>367.76499999999999</v>
      </c>
      <c r="M754">
        <v>0.99993460000000001</v>
      </c>
      <c r="N754">
        <v>0</v>
      </c>
      <c r="O754">
        <v>1.061169E-2</v>
      </c>
      <c r="P754">
        <v>0.99778100000000003</v>
      </c>
      <c r="Q754">
        <v>3.4136689999999997E-2</v>
      </c>
      <c r="R754">
        <v>-5.7168570000000002E-2</v>
      </c>
      <c r="S754">
        <v>3.007965</v>
      </c>
      <c r="T754">
        <v>-0.83212919999999901</v>
      </c>
      <c r="U754">
        <v>-0.47610469999999999</v>
      </c>
      <c r="V754">
        <v>6.7744310000000002E-2</v>
      </c>
      <c r="W754">
        <v>3.8419630000000003E-2</v>
      </c>
      <c r="X754">
        <v>0.99696269999999998</v>
      </c>
      <c r="Y754">
        <v>0.16053110000000001</v>
      </c>
      <c r="Z754">
        <v>-2.4533070000000001E-2</v>
      </c>
      <c r="AA754">
        <v>0.98672590000000004</v>
      </c>
      <c r="AB754">
        <v>33</v>
      </c>
      <c r="AC754">
        <v>0.70830000000000803</v>
      </c>
      <c r="AD754">
        <v>-0.25264350000000002</v>
      </c>
      <c r="AE754">
        <v>-0.146799999999984</v>
      </c>
      <c r="AF754">
        <v>0.13753097520846</v>
      </c>
      <c r="AG754">
        <v>-0.25264350000000002</v>
      </c>
      <c r="AH754">
        <v>0.62986635922482503</v>
      </c>
      <c r="AI754">
        <v>111.39890658749199</v>
      </c>
      <c r="AJ754">
        <v>77.682816159615896</v>
      </c>
      <c r="AK754">
        <v>0.692441432698229</v>
      </c>
      <c r="AL754">
        <v>87.798175433198793</v>
      </c>
      <c r="AM754">
        <v>86.112687477042002</v>
      </c>
      <c r="AN754">
        <v>0.99999999234900105</v>
      </c>
    </row>
    <row r="755" spans="1:40" x14ac:dyDescent="0.25">
      <c r="A755" t="str">
        <f>"20190312154813514"</f>
        <v>20190312154813514</v>
      </c>
      <c r="B755" t="str">
        <f>"1552376893507155"</f>
        <v>1552376893507155</v>
      </c>
      <c r="C755" t="s">
        <v>40</v>
      </c>
      <c r="D755">
        <v>4.7832339999999904</v>
      </c>
      <c r="E755">
        <v>0.54380139999999999</v>
      </c>
      <c r="F755" t="s">
        <v>41</v>
      </c>
      <c r="G755">
        <v>-303.15539999999999</v>
      </c>
      <c r="H755">
        <v>0.85730200000000001</v>
      </c>
      <c r="I755">
        <v>367.64980000000003</v>
      </c>
      <c r="J755">
        <v>-303.67950000000002</v>
      </c>
      <c r="K755">
        <v>1.0588150000000001</v>
      </c>
      <c r="L755">
        <v>367.7672</v>
      </c>
      <c r="M755">
        <v>0.99993370000000004</v>
      </c>
      <c r="N755">
        <v>0</v>
      </c>
      <c r="O755">
        <v>1.0689209999999999E-2</v>
      </c>
      <c r="P755">
        <v>0.99779280000000004</v>
      </c>
      <c r="Q755">
        <v>3.4055699999999897E-2</v>
      </c>
      <c r="R755">
        <v>-5.7009990000000003E-2</v>
      </c>
      <c r="S755">
        <v>3.0079039999999999</v>
      </c>
      <c r="T755">
        <v>-0.83279530000000002</v>
      </c>
      <c r="U755">
        <v>-0.47613529999999998</v>
      </c>
      <c r="V755">
        <v>6.7663360000000006E-2</v>
      </c>
      <c r="W755">
        <v>3.8380560000000001E-2</v>
      </c>
      <c r="X755">
        <v>0.99696969999999996</v>
      </c>
      <c r="Y755">
        <v>0.16060479999999899</v>
      </c>
      <c r="Z755">
        <v>-2.458337E-2</v>
      </c>
      <c r="AA755">
        <v>0.98671260000000005</v>
      </c>
      <c r="AB755">
        <v>33</v>
      </c>
      <c r="AC755">
        <v>0.52410000000003198</v>
      </c>
      <c r="AD755">
        <v>-0.201513</v>
      </c>
      <c r="AE755">
        <v>-0.117399999999975</v>
      </c>
      <c r="AF755">
        <v>0.107817861987169</v>
      </c>
      <c r="AG755">
        <v>-0.201513</v>
      </c>
      <c r="AH755">
        <v>0.45829955350129198</v>
      </c>
      <c r="AI755">
        <v>113.17152262426001</v>
      </c>
      <c r="AJ755">
        <v>76.761532664568605</v>
      </c>
      <c r="AK755">
        <v>0.51212367771073397</v>
      </c>
      <c r="AL755">
        <v>87.800415626852995</v>
      </c>
      <c r="AM755">
        <v>86.117345522042996</v>
      </c>
      <c r="AN755">
        <v>0.99999999019524599</v>
      </c>
    </row>
    <row r="756" spans="1:40" x14ac:dyDescent="0.25">
      <c r="A756" t="str">
        <f>"20190312154813532"</f>
        <v>20190312154813532</v>
      </c>
      <c r="B756" t="str">
        <f>"1552376893526675"</f>
        <v>1552376893526675</v>
      </c>
      <c r="C756" t="s">
        <v>40</v>
      </c>
      <c r="D756">
        <v>4.820818</v>
      </c>
      <c r="E756">
        <v>0.5438269</v>
      </c>
      <c r="F756" t="s">
        <v>41</v>
      </c>
      <c r="G756">
        <v>-302.86619999999999</v>
      </c>
      <c r="H756">
        <v>0.83357269999999895</v>
      </c>
      <c r="I756">
        <v>367.63839999999999</v>
      </c>
      <c r="J756">
        <v>-303.42169999999999</v>
      </c>
      <c r="K756">
        <v>1.0588280000000001</v>
      </c>
      <c r="L756">
        <v>367.77010000000001</v>
      </c>
      <c r="M756">
        <v>0.99993240000000005</v>
      </c>
      <c r="N756">
        <v>0</v>
      </c>
      <c r="O756">
        <v>1.078702E-2</v>
      </c>
      <c r="P756">
        <v>0.99780930000000001</v>
      </c>
      <c r="Q756">
        <v>3.3879100000000002E-2</v>
      </c>
      <c r="R756">
        <v>-5.6825939999999998E-2</v>
      </c>
      <c r="S756">
        <v>3.0078740000000002</v>
      </c>
      <c r="T756">
        <v>-0.83302069999999995</v>
      </c>
      <c r="U756">
        <v>-0.475769</v>
      </c>
      <c r="V756">
        <v>6.7577020000000002E-2</v>
      </c>
      <c r="W756">
        <v>3.8264289999999999E-2</v>
      </c>
      <c r="X756">
        <v>0.99697999999999998</v>
      </c>
      <c r="Y756">
        <v>0.16057929999999901</v>
      </c>
      <c r="Z756">
        <v>-2.4613240000000002E-2</v>
      </c>
      <c r="AA756">
        <v>0.98671600000000004</v>
      </c>
      <c r="AB756">
        <v>33</v>
      </c>
      <c r="AC756">
        <v>0.555499999999995</v>
      </c>
      <c r="AD756">
        <v>-0.22525529999999999</v>
      </c>
      <c r="AE756">
        <v>-0.13170000000002299</v>
      </c>
      <c r="AF756">
        <v>0.11913731398381</v>
      </c>
      <c r="AG756">
        <v>-0.22525529999999999</v>
      </c>
      <c r="AH756">
        <v>0.47941223074733003</v>
      </c>
      <c r="AI756">
        <v>114.512425797566</v>
      </c>
      <c r="AJ756">
        <v>76.044293341765496</v>
      </c>
      <c r="AK756">
        <v>0.54292700867749999</v>
      </c>
      <c r="AL756">
        <v>87.807082249009198</v>
      </c>
      <c r="AM756">
        <v>86.122324692996798</v>
      </c>
      <c r="AN756">
        <v>0.99999996496064103</v>
      </c>
    </row>
    <row r="757" spans="1:40" x14ac:dyDescent="0.25">
      <c r="A757" t="str">
        <f>"20190312154813544"</f>
        <v>20190312154813544</v>
      </c>
      <c r="B757" t="str">
        <f>"1552376893536435"</f>
        <v>1552376893536435</v>
      </c>
      <c r="C757" t="s">
        <v>40</v>
      </c>
      <c r="D757">
        <v>4.8205499999999999</v>
      </c>
      <c r="E757">
        <v>0.54384100000000002</v>
      </c>
      <c r="F757" t="s">
        <v>41</v>
      </c>
      <c r="G757">
        <v>-302.57089999999999</v>
      </c>
      <c r="H757">
        <v>0.82306679999999999</v>
      </c>
      <c r="I757">
        <v>367.63529999999997</v>
      </c>
      <c r="J757">
        <v>-303.23860000000002</v>
      </c>
      <c r="K757">
        <v>1.058832</v>
      </c>
      <c r="L757">
        <v>367.77210000000002</v>
      </c>
      <c r="M757">
        <v>0.99993129999999997</v>
      </c>
      <c r="N757">
        <v>0</v>
      </c>
      <c r="O757">
        <v>1.085654E-2</v>
      </c>
      <c r="P757">
        <v>0.99782040000000005</v>
      </c>
      <c r="Q757">
        <v>3.4141119999999997E-2</v>
      </c>
      <c r="R757">
        <v>-5.6472609999999999E-2</v>
      </c>
      <c r="S757">
        <v>3.0078130000000001</v>
      </c>
      <c r="T757">
        <v>-0.83346100000000001</v>
      </c>
      <c r="U757">
        <v>-0.4759216</v>
      </c>
      <c r="V757">
        <v>6.7292790000000005E-2</v>
      </c>
      <c r="W757">
        <v>3.8574009999999999E-2</v>
      </c>
      <c r="X757">
        <v>0.99698730000000002</v>
      </c>
      <c r="Y757">
        <v>0.16068650000000001</v>
      </c>
      <c r="Z757">
        <v>-2.4659469999999999E-2</v>
      </c>
      <c r="AA757">
        <v>0.98669739999999995</v>
      </c>
      <c r="AB757">
        <v>33</v>
      </c>
      <c r="AC757">
        <v>0.66770000000002405</v>
      </c>
      <c r="AD757">
        <v>-0.23576520000000001</v>
      </c>
      <c r="AE757">
        <v>-0.13680000000004999</v>
      </c>
      <c r="AF757">
        <v>0.12864734732988001</v>
      </c>
      <c r="AG757">
        <v>-0.23576520000000001</v>
      </c>
      <c r="AH757">
        <v>0.59498165960390204</v>
      </c>
      <c r="AI757">
        <v>111.17169019320301</v>
      </c>
      <c r="AJ757">
        <v>77.799286175495297</v>
      </c>
      <c r="AK757">
        <v>0.65279288045372297</v>
      </c>
      <c r="AL757">
        <v>87.789323510823294</v>
      </c>
      <c r="AM757">
        <v>86.138612999509604</v>
      </c>
      <c r="AN757">
        <v>0.99999997509737604</v>
      </c>
    </row>
    <row r="758" spans="1:40" x14ac:dyDescent="0.25">
      <c r="A758" t="str">
        <f>"20190312154813555"</f>
        <v>20190312154813555</v>
      </c>
      <c r="B758" t="str">
        <f>"1552376893547170"</f>
        <v>1552376893547170</v>
      </c>
      <c r="C758" t="s">
        <v>40</v>
      </c>
      <c r="D758">
        <v>4.7911250000000001</v>
      </c>
      <c r="E758">
        <v>0.54385499999999998</v>
      </c>
      <c r="F758" t="s">
        <v>41</v>
      </c>
      <c r="G758">
        <v>-302.5532</v>
      </c>
      <c r="H758">
        <v>0.86914629999999904</v>
      </c>
      <c r="I758">
        <v>367.66370000000001</v>
      </c>
      <c r="J758">
        <v>-303.06299999999999</v>
      </c>
      <c r="K758">
        <v>1.0588340000000001</v>
      </c>
      <c r="L758">
        <v>367.774</v>
      </c>
      <c r="M758">
        <v>0.9999304</v>
      </c>
      <c r="N758">
        <v>0</v>
      </c>
      <c r="O758">
        <v>1.092312E-2</v>
      </c>
      <c r="P758">
        <v>0.99782420000000005</v>
      </c>
      <c r="Q758">
        <v>3.4026760000000003E-2</v>
      </c>
      <c r="R758">
        <v>-5.6475329999999997E-2</v>
      </c>
      <c r="S758">
        <v>3.0081479999999998</v>
      </c>
      <c r="T758">
        <v>-0.8325688</v>
      </c>
      <c r="U758">
        <v>-0.4749756</v>
      </c>
      <c r="V758">
        <v>6.7361980000000002E-2</v>
      </c>
      <c r="W758">
        <v>3.8513020000000002E-2</v>
      </c>
      <c r="X758">
        <v>0.99698500000000001</v>
      </c>
      <c r="Y758">
        <v>0.16045279999999901</v>
      </c>
      <c r="Z758">
        <v>-2.461839E-2</v>
      </c>
      <c r="AA758">
        <v>0.98673650000000002</v>
      </c>
      <c r="AB758">
        <v>33</v>
      </c>
      <c r="AC758">
        <v>0.50979999999998404</v>
      </c>
      <c r="AD758">
        <v>-0.18968769999999999</v>
      </c>
      <c r="AE758">
        <v>-0.110299999999995</v>
      </c>
      <c r="AF758">
        <v>0.102328661944595</v>
      </c>
      <c r="AG758">
        <v>-0.18968769999999999</v>
      </c>
      <c r="AH758">
        <v>0.449161192903684</v>
      </c>
      <c r="AI758">
        <v>112.380136719785</v>
      </c>
      <c r="AJ758">
        <v>77.165829105576805</v>
      </c>
      <c r="AK758">
        <v>0.498195098126549</v>
      </c>
      <c r="AL758">
        <v>87.792820611214196</v>
      </c>
      <c r="AM758">
        <v>86.134645886192601</v>
      </c>
      <c r="AN758">
        <v>0.99999998964201997</v>
      </c>
    </row>
    <row r="759" spans="1:40" x14ac:dyDescent="0.25">
      <c r="A759" t="str">
        <f>"20190312154813567"</f>
        <v>20190312154813567</v>
      </c>
      <c r="B759" t="str">
        <f>"1552376893556933"</f>
        <v>1552376893556933</v>
      </c>
      <c r="C759" t="s">
        <v>40</v>
      </c>
      <c r="D759">
        <v>4.8074949999999896</v>
      </c>
      <c r="E759">
        <v>0.54387019999999997</v>
      </c>
      <c r="F759" t="s">
        <v>41</v>
      </c>
      <c r="G759">
        <v>-302.26499999999999</v>
      </c>
      <c r="H759">
        <v>0.83780159999999904</v>
      </c>
      <c r="I759">
        <v>367.64789999999999</v>
      </c>
      <c r="J759">
        <v>-302.88499999999999</v>
      </c>
      <c r="K759">
        <v>1.0588409999999999</v>
      </c>
      <c r="L759">
        <v>367.77609999999999</v>
      </c>
      <c r="M759">
        <v>0.99992939999999997</v>
      </c>
      <c r="N759">
        <v>0</v>
      </c>
      <c r="O759">
        <v>1.099089E-2</v>
      </c>
      <c r="P759">
        <v>0.99782579999999998</v>
      </c>
      <c r="Q759">
        <v>3.3991809999999997E-2</v>
      </c>
      <c r="R759">
        <v>-5.6467499999999997E-2</v>
      </c>
      <c r="S759">
        <v>3.0080260000000001</v>
      </c>
      <c r="T759">
        <v>-0.83304249999999902</v>
      </c>
      <c r="U759">
        <v>-0.47509770000000001</v>
      </c>
      <c r="V759">
        <v>6.742186E-2</v>
      </c>
      <c r="W759">
        <v>3.853637E-2</v>
      </c>
      <c r="X759">
        <v>0.99698010000000004</v>
      </c>
      <c r="Y759">
        <v>0.16055120000000001</v>
      </c>
      <c r="Z759">
        <v>-2.4664390000000001E-2</v>
      </c>
      <c r="AA759">
        <v>0.98671929999999997</v>
      </c>
      <c r="AB759">
        <v>33</v>
      </c>
      <c r="AC759">
        <v>0.62000000000000399</v>
      </c>
      <c r="AD759">
        <v>-0.221039399999999</v>
      </c>
      <c r="AE759">
        <v>-0.12819999999999199</v>
      </c>
      <c r="AF759">
        <v>0.120338442114015</v>
      </c>
      <c r="AG759">
        <v>-0.221039399999999</v>
      </c>
      <c r="AH759">
        <v>0.55134876514964204</v>
      </c>
      <c r="AI759">
        <v>111.38956355118501</v>
      </c>
      <c r="AJ759">
        <v>77.687603104546398</v>
      </c>
      <c r="AK759">
        <v>0.60607360760457396</v>
      </c>
      <c r="AL759">
        <v>87.791481870813001</v>
      </c>
      <c r="AM759">
        <v>86.1312013350218</v>
      </c>
      <c r="AN759">
        <v>1.0000000394073201</v>
      </c>
    </row>
    <row r="760" spans="1:40" x14ac:dyDescent="0.25">
      <c r="A760" t="str">
        <f>"20190312154813579"</f>
        <v>20190312154813579</v>
      </c>
      <c r="B760" t="str">
        <f>"1552376893566691"</f>
        <v>1552376893566691</v>
      </c>
      <c r="C760" t="s">
        <v>40</v>
      </c>
      <c r="D760">
        <v>4.8310589999999998</v>
      </c>
      <c r="E760">
        <v>0.54389189999999998</v>
      </c>
      <c r="F760" t="s">
        <v>41</v>
      </c>
      <c r="G760">
        <v>-301.97559999999999</v>
      </c>
      <c r="H760">
        <v>0.80697609999999997</v>
      </c>
      <c r="I760">
        <v>367.63220000000001</v>
      </c>
      <c r="J760">
        <v>-302.70949999999999</v>
      </c>
      <c r="K760">
        <v>1.058854</v>
      </c>
      <c r="L760">
        <v>367.77800000000002</v>
      </c>
      <c r="M760">
        <v>0.99992829999999999</v>
      </c>
      <c r="N760">
        <v>0</v>
      </c>
      <c r="O760">
        <v>1.1057320000000001E-2</v>
      </c>
      <c r="P760">
        <v>0.99785199999999996</v>
      </c>
      <c r="Q760">
        <v>3.3904820000000002E-2</v>
      </c>
      <c r="R760">
        <v>-5.6053579999999999E-2</v>
      </c>
      <c r="S760">
        <v>3.008057</v>
      </c>
      <c r="T760">
        <v>-0.83309339999999998</v>
      </c>
      <c r="U760">
        <v>-0.47549439999999998</v>
      </c>
      <c r="V760">
        <v>6.7074339999999996E-2</v>
      </c>
      <c r="W760">
        <v>3.8516830000000002E-2</v>
      </c>
      <c r="X760">
        <v>0.99700429999999995</v>
      </c>
      <c r="Y760">
        <v>0.1607326</v>
      </c>
      <c r="Z760">
        <v>-2.4707839999999998E-2</v>
      </c>
      <c r="AA760">
        <v>0.98668869999999997</v>
      </c>
      <c r="AB760">
        <v>34</v>
      </c>
      <c r="AC760">
        <v>0.73390000000000499</v>
      </c>
      <c r="AD760">
        <v>-0.25187789999999999</v>
      </c>
      <c r="AE760">
        <v>-0.14580000000000801</v>
      </c>
      <c r="AF760">
        <v>0.13824106550690601</v>
      </c>
      <c r="AG760">
        <v>-0.25187789999999999</v>
      </c>
      <c r="AH760">
        <v>0.65771285808428004</v>
      </c>
      <c r="AI760">
        <v>110.54456644493401</v>
      </c>
      <c r="AJ760">
        <v>78.130095235185905</v>
      </c>
      <c r="AK760">
        <v>0.71773203383316198</v>
      </c>
      <c r="AL760">
        <v>87.792602271695799</v>
      </c>
      <c r="AM760">
        <v>86.151175764872406</v>
      </c>
      <c r="AN760">
        <v>1.0000000437490799</v>
      </c>
    </row>
    <row r="761" spans="1:40" x14ac:dyDescent="0.25">
      <c r="A761" t="str">
        <f>"20190312154813590"</f>
        <v>20190312154813590</v>
      </c>
      <c r="B761" t="str">
        <f>"1552376893586581"</f>
        <v>1552376893586581</v>
      </c>
      <c r="C761" t="s">
        <v>40</v>
      </c>
      <c r="D761">
        <v>4.7938280000000004</v>
      </c>
      <c r="E761">
        <v>0.54393059999999904</v>
      </c>
      <c r="F761" t="s">
        <v>41</v>
      </c>
      <c r="G761">
        <v>-301.95870000000002</v>
      </c>
      <c r="H761">
        <v>0.85088680000000005</v>
      </c>
      <c r="I761">
        <v>367.65960000000001</v>
      </c>
      <c r="J761">
        <v>-302.54289999999997</v>
      </c>
      <c r="K761">
        <v>1.058864</v>
      </c>
      <c r="L761">
        <v>367.7799</v>
      </c>
      <c r="M761">
        <v>0.99992720000000002</v>
      </c>
      <c r="N761">
        <v>0</v>
      </c>
      <c r="O761">
        <v>1.112053E-2</v>
      </c>
      <c r="P761">
        <v>0.99783949999999999</v>
      </c>
      <c r="Q761">
        <v>3.4327629999999998E-2</v>
      </c>
      <c r="R761">
        <v>-5.6017810000000001E-2</v>
      </c>
      <c r="S761">
        <v>3.0081479999999998</v>
      </c>
      <c r="T761">
        <v>-0.83333299999999999</v>
      </c>
      <c r="U761">
        <v>-0.4743347</v>
      </c>
      <c r="V761">
        <v>6.710141E-2</v>
      </c>
      <c r="W761">
        <v>3.9008559999999998E-2</v>
      </c>
      <c r="X761">
        <v>0.99698330000000002</v>
      </c>
      <c r="Y761">
        <v>0.1604245</v>
      </c>
      <c r="Z761">
        <v>-2.4690119999999999E-2</v>
      </c>
      <c r="AA761">
        <v>0.98673929999999999</v>
      </c>
      <c r="AB761">
        <v>34</v>
      </c>
      <c r="AC761">
        <v>0.58419999999995298</v>
      </c>
      <c r="AD761">
        <v>-0.2079772</v>
      </c>
      <c r="AE761">
        <v>-0.120299999999986</v>
      </c>
      <c r="AF761">
        <v>0.113044924777046</v>
      </c>
      <c r="AG761">
        <v>-0.2079772</v>
      </c>
      <c r="AH761">
        <v>0.51964602918527103</v>
      </c>
      <c r="AI761">
        <v>111.359557164468</v>
      </c>
      <c r="AJ761">
        <v>77.726972640740101</v>
      </c>
      <c r="AK761">
        <v>0.57102159887845605</v>
      </c>
      <c r="AL761">
        <v>87.764406894439006</v>
      </c>
      <c r="AM761">
        <v>86.149546261374297</v>
      </c>
      <c r="AN761">
        <v>0.99999998372807497</v>
      </c>
    </row>
    <row r="762" spans="1:40" x14ac:dyDescent="0.25">
      <c r="A762" t="str">
        <f>"20190312154813603"</f>
        <v>20190312154813603</v>
      </c>
      <c r="B762" t="str">
        <f>"1552376893596340"</f>
        <v>1552376893596340</v>
      </c>
      <c r="C762" t="s">
        <v>40</v>
      </c>
      <c r="D762">
        <v>4.8208510000000002</v>
      </c>
      <c r="E762">
        <v>0.54394869999999995</v>
      </c>
      <c r="F762" t="s">
        <v>41</v>
      </c>
      <c r="G762">
        <v>-301.66950000000003</v>
      </c>
      <c r="H762">
        <v>0.81726290000000001</v>
      </c>
      <c r="I762">
        <v>367.64179999999999</v>
      </c>
      <c r="J762">
        <v>-302.34010000000001</v>
      </c>
      <c r="K762">
        <v>1.058878</v>
      </c>
      <c r="L762">
        <v>367.78230000000002</v>
      </c>
      <c r="M762">
        <v>0.99992610000000004</v>
      </c>
      <c r="N762">
        <v>0</v>
      </c>
      <c r="O762">
        <v>1.1197449999999999E-2</v>
      </c>
      <c r="P762">
        <v>0.99783750000000004</v>
      </c>
      <c r="Q762">
        <v>3.4530350000000001E-2</v>
      </c>
      <c r="R762">
        <v>-5.5929600000000003E-2</v>
      </c>
      <c r="S762">
        <v>3.0084840000000002</v>
      </c>
      <c r="T762">
        <v>-0.83217730000000001</v>
      </c>
      <c r="U762">
        <v>-0.47479250000000001</v>
      </c>
      <c r="V762">
        <v>6.7089850000000006E-2</v>
      </c>
      <c r="W762">
        <v>3.9302549999999999E-2</v>
      </c>
      <c r="X762">
        <v>0.99697259999999999</v>
      </c>
      <c r="Y762">
        <v>0.1606379</v>
      </c>
      <c r="Z762">
        <v>-2.4703780000000002E-2</v>
      </c>
      <c r="AA762">
        <v>0.98670420000000003</v>
      </c>
      <c r="AB762">
        <v>34</v>
      </c>
      <c r="AC762">
        <v>0.67059999999997899</v>
      </c>
      <c r="AD762">
        <v>-0.2416151</v>
      </c>
      <c r="AE762">
        <v>-0.14050000000003099</v>
      </c>
      <c r="AF762">
        <v>0.13163125995447</v>
      </c>
      <c r="AG762">
        <v>-0.2416151</v>
      </c>
      <c r="AH762">
        <v>0.59499411320868401</v>
      </c>
      <c r="AI762">
        <v>111.627974116331</v>
      </c>
      <c r="AJ762">
        <v>77.5253131143985</v>
      </c>
      <c r="AK762">
        <v>0.655532333221024</v>
      </c>
      <c r="AL762">
        <v>87.747549733831903</v>
      </c>
      <c r="AM762">
        <v>86.150166415777406</v>
      </c>
      <c r="AN762">
        <v>1.00000005178014</v>
      </c>
    </row>
    <row r="763" spans="1:40" x14ac:dyDescent="0.25">
      <c r="A763" t="str">
        <f>"20190312154813616"</f>
        <v>20190312154813616</v>
      </c>
      <c r="B763" t="str">
        <f>"1552376893607077"</f>
        <v>1552376893607077</v>
      </c>
      <c r="C763" t="s">
        <v>40</v>
      </c>
      <c r="D763">
        <v>4.8368019999999996</v>
      </c>
      <c r="E763">
        <v>0.54397259999999903</v>
      </c>
      <c r="F763" t="s">
        <v>41</v>
      </c>
      <c r="G763">
        <v>-301.64999999999998</v>
      </c>
      <c r="H763">
        <v>0.86812140000000004</v>
      </c>
      <c r="I763">
        <v>367.67309999999998</v>
      </c>
      <c r="J763">
        <v>-302.15379999999999</v>
      </c>
      <c r="K763">
        <v>1.058889</v>
      </c>
      <c r="L763">
        <v>367.78440000000001</v>
      </c>
      <c r="M763">
        <v>0.99992479999999995</v>
      </c>
      <c r="N763">
        <v>0</v>
      </c>
      <c r="O763">
        <v>1.126836E-2</v>
      </c>
      <c r="P763">
        <v>0.99783390000000005</v>
      </c>
      <c r="Q763">
        <v>3.4874919999999997E-2</v>
      </c>
      <c r="R763">
        <v>-5.5780250000000003E-2</v>
      </c>
      <c r="S763">
        <v>3.0086979999999999</v>
      </c>
      <c r="T763">
        <v>-0.83169419999999905</v>
      </c>
      <c r="U763">
        <v>-0.47460940000000001</v>
      </c>
      <c r="V763">
        <v>6.7010959999999994E-2</v>
      </c>
      <c r="W763">
        <v>3.9736130000000001E-2</v>
      </c>
      <c r="X763">
        <v>0.99696059999999997</v>
      </c>
      <c r="Y763">
        <v>0.1606436</v>
      </c>
      <c r="Z763">
        <v>-2.4708299999999999E-2</v>
      </c>
      <c r="AA763">
        <v>0.9867032</v>
      </c>
      <c r="AB763">
        <v>34</v>
      </c>
      <c r="AC763">
        <v>0.50380000000001202</v>
      </c>
      <c r="AD763">
        <v>-0.19076759999999901</v>
      </c>
      <c r="AE763">
        <v>-0.111300000000028</v>
      </c>
      <c r="AF763">
        <v>0.10290230853181601</v>
      </c>
      <c r="AG763">
        <v>-0.19076759999999901</v>
      </c>
      <c r="AH763">
        <v>0.442077740604223</v>
      </c>
      <c r="AI763">
        <v>112.79648925446899</v>
      </c>
      <c r="AJ763">
        <v>76.896607213130494</v>
      </c>
      <c r="AK763">
        <v>0.49235545193353097</v>
      </c>
      <c r="AL763">
        <v>87.722687739207601</v>
      </c>
      <c r="AM763">
        <v>86.154633645301601</v>
      </c>
      <c r="AN763">
        <v>0.99999993336992699</v>
      </c>
    </row>
    <row r="764" spans="1:40" x14ac:dyDescent="0.25">
      <c r="A764" t="str">
        <f>"20190312154813632"</f>
        <v>20190312154813632</v>
      </c>
      <c r="B764" t="str">
        <f>"1552376893626597"</f>
        <v>1552376893626597</v>
      </c>
      <c r="C764" t="s">
        <v>40</v>
      </c>
      <c r="D764">
        <v>4.7969839999999904</v>
      </c>
      <c r="E764">
        <v>0.5440142</v>
      </c>
      <c r="F764" t="s">
        <v>41</v>
      </c>
      <c r="G764">
        <v>-301.35820000000001</v>
      </c>
      <c r="H764">
        <v>0.83922890000000006</v>
      </c>
      <c r="I764">
        <v>367.65890000000002</v>
      </c>
      <c r="J764">
        <v>-301.90910000000002</v>
      </c>
      <c r="K764">
        <v>1.0589029999999999</v>
      </c>
      <c r="L764">
        <v>367.78719999999998</v>
      </c>
      <c r="M764">
        <v>0.99992320000000001</v>
      </c>
      <c r="N764">
        <v>0</v>
      </c>
      <c r="O764">
        <v>1.136159E-2</v>
      </c>
      <c r="P764">
        <v>0.99783529999999998</v>
      </c>
      <c r="Q764">
        <v>3.4751240000000003E-2</v>
      </c>
      <c r="R764">
        <v>-5.583465E-2</v>
      </c>
      <c r="S764">
        <v>3.0090330000000001</v>
      </c>
      <c r="T764">
        <v>-0.83070710000000003</v>
      </c>
      <c r="U764">
        <v>-0.4744873</v>
      </c>
      <c r="V764">
        <v>6.7157980000000006E-2</v>
      </c>
      <c r="W764">
        <v>3.9733739999999997E-2</v>
      </c>
      <c r="X764">
        <v>0.99695089999999997</v>
      </c>
      <c r="Y764">
        <v>0.16069040000000001</v>
      </c>
      <c r="Z764">
        <v>-2.4708899999999999E-2</v>
      </c>
      <c r="AA764">
        <v>0.98669549999999995</v>
      </c>
      <c r="AB764">
        <v>34</v>
      </c>
      <c r="AC764">
        <v>0.55090000000001205</v>
      </c>
      <c r="AD764">
        <v>-0.21967410000000001</v>
      </c>
      <c r="AE764">
        <v>-0.128299999999967</v>
      </c>
      <c r="AF764">
        <v>0.11691690493231</v>
      </c>
      <c r="AG764">
        <v>-0.21967410000000001</v>
      </c>
      <c r="AH764">
        <v>0.47740250588121202</v>
      </c>
      <c r="AI764">
        <v>114.08161591216999</v>
      </c>
      <c r="AJ764">
        <v>76.238987811983705</v>
      </c>
      <c r="AK764">
        <v>0.53836737038143501</v>
      </c>
      <c r="AL764">
        <v>87.722825006095306</v>
      </c>
      <c r="AM764">
        <v>86.1461850404053</v>
      </c>
      <c r="AN764">
        <v>1.0000000306914301</v>
      </c>
    </row>
    <row r="765" spans="1:40" x14ac:dyDescent="0.25">
      <c r="A765" t="str">
        <f>"20190312154813644"</f>
        <v>20190312154813644</v>
      </c>
      <c r="B765" t="str">
        <f>"1552376893636358"</f>
        <v>1552376893636358</v>
      </c>
      <c r="C765" t="s">
        <v>40</v>
      </c>
      <c r="D765">
        <v>4.8394909999999998</v>
      </c>
      <c r="E765">
        <v>0.54404430000000004</v>
      </c>
      <c r="F765" t="s">
        <v>41</v>
      </c>
      <c r="G765">
        <v>-301.06009999999998</v>
      </c>
      <c r="H765">
        <v>0.82438250000000002</v>
      </c>
      <c r="I765">
        <v>367.65280000000001</v>
      </c>
      <c r="J765">
        <v>-301.72309999999999</v>
      </c>
      <c r="K765">
        <v>1.0589150000000001</v>
      </c>
      <c r="L765">
        <v>367.7894</v>
      </c>
      <c r="M765">
        <v>0.99992170000000002</v>
      </c>
      <c r="N765">
        <v>0</v>
      </c>
      <c r="O765">
        <v>1.143241E-2</v>
      </c>
      <c r="P765">
        <v>0.99785749999999995</v>
      </c>
      <c r="Q765">
        <v>3.4531869999999999E-2</v>
      </c>
      <c r="R765">
        <v>-5.5566520000000001E-2</v>
      </c>
      <c r="S765">
        <v>3.0088810000000001</v>
      </c>
      <c r="T765">
        <v>-0.83121809999999996</v>
      </c>
      <c r="U765">
        <v>-0.47518919999999998</v>
      </c>
      <c r="V765">
        <v>6.6961320000000005E-2</v>
      </c>
      <c r="W765">
        <v>3.960843E-2</v>
      </c>
      <c r="X765">
        <v>0.99696910000000005</v>
      </c>
      <c r="Y765">
        <v>0.1609717</v>
      </c>
      <c r="Z765">
        <v>-2.4781350000000001E-2</v>
      </c>
      <c r="AA765">
        <v>0.98664779999999996</v>
      </c>
      <c r="AB765">
        <v>34</v>
      </c>
      <c r="AC765">
        <v>0.66300000000001003</v>
      </c>
      <c r="AD765">
        <v>-0.2345325</v>
      </c>
      <c r="AE765">
        <v>-0.13659999999998701</v>
      </c>
      <c r="AF765">
        <v>0.128719449708255</v>
      </c>
      <c r="AG765">
        <v>-0.2345325</v>
      </c>
      <c r="AH765">
        <v>0.59051044751531701</v>
      </c>
      <c r="AI765">
        <v>111.209080244597</v>
      </c>
      <c r="AJ765">
        <v>77.703024170430496</v>
      </c>
      <c r="AK765">
        <v>0.64828757424015604</v>
      </c>
      <c r="AL765">
        <v>87.730010363555394</v>
      </c>
      <c r="AM765">
        <v>86.157506319964298</v>
      </c>
      <c r="AN765">
        <v>1.0000000162289999</v>
      </c>
    </row>
    <row r="766" spans="1:40" x14ac:dyDescent="0.25">
      <c r="A766" t="str">
        <f>"20190312154813656"</f>
        <v>20190312154813656</v>
      </c>
      <c r="B766" t="str">
        <f>"1552376893647093"</f>
        <v>1552376893647093</v>
      </c>
      <c r="C766" t="s">
        <v>40</v>
      </c>
      <c r="D766">
        <v>4.8388689999999999</v>
      </c>
      <c r="E766">
        <v>0.54406750000000004</v>
      </c>
      <c r="F766" t="s">
        <v>41</v>
      </c>
      <c r="G766">
        <v>-301.04239999999999</v>
      </c>
      <c r="H766">
        <v>0.87067909999999904</v>
      </c>
      <c r="I766">
        <v>367.68169999999998</v>
      </c>
      <c r="J766">
        <v>-301.5446</v>
      </c>
      <c r="K766">
        <v>1.058934</v>
      </c>
      <c r="L766">
        <v>367.79149999999998</v>
      </c>
      <c r="M766">
        <v>0.99992049999999999</v>
      </c>
      <c r="N766">
        <v>0</v>
      </c>
      <c r="O766">
        <v>1.150061E-2</v>
      </c>
      <c r="P766">
        <v>0.99785000000000001</v>
      </c>
      <c r="Q766">
        <v>3.4479540000000003E-2</v>
      </c>
      <c r="R766">
        <v>-5.5736580000000001E-2</v>
      </c>
      <c r="S766">
        <v>3.0087890000000002</v>
      </c>
      <c r="T766">
        <v>-0.83204129999999998</v>
      </c>
      <c r="U766">
        <v>-0.47467039999999999</v>
      </c>
      <c r="V766">
        <v>6.7199010000000003E-2</v>
      </c>
      <c r="W766">
        <v>3.9648929999999999E-2</v>
      </c>
      <c r="X766">
        <v>0.99695149999999999</v>
      </c>
      <c r="Y766">
        <v>0.16086610000000001</v>
      </c>
      <c r="Z766">
        <v>-2.4810209999999999E-2</v>
      </c>
      <c r="AA766">
        <v>0.9866644</v>
      </c>
      <c r="AB766">
        <v>34</v>
      </c>
      <c r="AC766">
        <v>0.50220000000001597</v>
      </c>
      <c r="AD766">
        <v>-0.1882549</v>
      </c>
      <c r="AE766">
        <v>-0.109800000000006</v>
      </c>
      <c r="AF766">
        <v>0.101902344380666</v>
      </c>
      <c r="AG766">
        <v>-0.1882549</v>
      </c>
      <c r="AH766">
        <v>0.441671620880702</v>
      </c>
      <c r="AI766">
        <v>112.55418320516399</v>
      </c>
      <c r="AJ766">
        <v>77.008077588694604</v>
      </c>
      <c r="AK766">
        <v>0.49081342265230699</v>
      </c>
      <c r="AL766">
        <v>87.727688066536203</v>
      </c>
      <c r="AM766">
        <v>86.1438399769509</v>
      </c>
      <c r="AN766">
        <v>1.00000001897368</v>
      </c>
    </row>
    <row r="767" spans="1:40" x14ac:dyDescent="0.25">
      <c r="A767" t="str">
        <f>"20190312154813670"</f>
        <v>20190312154813670</v>
      </c>
      <c r="B767" t="str">
        <f>"1552376893666612"</f>
        <v>1552376893666612</v>
      </c>
      <c r="C767" t="s">
        <v>40</v>
      </c>
      <c r="D767">
        <v>4.8707900000000004</v>
      </c>
      <c r="E767">
        <v>0.54412369999999899</v>
      </c>
      <c r="F767" t="s">
        <v>41</v>
      </c>
      <c r="G767">
        <v>-300.74990000000003</v>
      </c>
      <c r="H767">
        <v>0.83913470000000001</v>
      </c>
      <c r="I767">
        <v>367.66590000000002</v>
      </c>
      <c r="J767">
        <v>-301.33769999999998</v>
      </c>
      <c r="K767">
        <v>1.0589440000000001</v>
      </c>
      <c r="L767">
        <v>367.79399999999998</v>
      </c>
      <c r="M767">
        <v>0.99991909999999895</v>
      </c>
      <c r="N767">
        <v>0</v>
      </c>
      <c r="O767">
        <v>1.1579610000000001E-2</v>
      </c>
      <c r="P767">
        <v>0.99784240000000002</v>
      </c>
      <c r="Q767">
        <v>3.4661240000000003E-2</v>
      </c>
      <c r="R767">
        <v>-5.5760030000000002E-2</v>
      </c>
      <c r="S767">
        <v>3.008667</v>
      </c>
      <c r="T767">
        <v>-0.83219460000000001</v>
      </c>
      <c r="U767">
        <v>-0.47531129999999999</v>
      </c>
      <c r="V767">
        <v>6.7301100000000003E-2</v>
      </c>
      <c r="W767">
        <v>3.9939570000000001E-2</v>
      </c>
      <c r="X767">
        <v>0.99693299999999996</v>
      </c>
      <c r="Y767">
        <v>0.1611397</v>
      </c>
      <c r="Z767">
        <v>-2.487346E-2</v>
      </c>
      <c r="AA767">
        <v>0.98661810000000005</v>
      </c>
      <c r="AB767">
        <v>34</v>
      </c>
      <c r="AC767">
        <v>0.58779999999995802</v>
      </c>
      <c r="AD767">
        <v>-0.21980930000000001</v>
      </c>
      <c r="AE767">
        <v>-0.12810000000001701</v>
      </c>
      <c r="AF767">
        <v>0.119010141332626</v>
      </c>
      <c r="AG767">
        <v>-0.21980930000000001</v>
      </c>
      <c r="AH767">
        <v>0.51722734791856895</v>
      </c>
      <c r="AI767">
        <v>112.497104855977</v>
      </c>
      <c r="AJ767">
        <v>77.042201186612303</v>
      </c>
      <c r="AK767">
        <v>0.57445946031149897</v>
      </c>
      <c r="AL767">
        <v>87.711022392847596</v>
      </c>
      <c r="AM767">
        <v>86.137927891170094</v>
      </c>
      <c r="AN767">
        <v>1.00000000690099</v>
      </c>
    </row>
    <row r="768" spans="1:40" x14ac:dyDescent="0.25">
      <c r="A768" t="str">
        <f>"20190312154813681"</f>
        <v>20190312154813681</v>
      </c>
      <c r="B768" t="str">
        <f>"1552376893676373"</f>
        <v>1552376893676373</v>
      </c>
      <c r="C768" t="s">
        <v>40</v>
      </c>
      <c r="D768">
        <v>4.8484509999999998</v>
      </c>
      <c r="E768">
        <v>0.54412099999999997</v>
      </c>
      <c r="F768" t="s">
        <v>41</v>
      </c>
      <c r="G768">
        <v>-300.45400000000001</v>
      </c>
      <c r="H768">
        <v>0.81464729999999996</v>
      </c>
      <c r="I768">
        <v>367.65390000000002</v>
      </c>
      <c r="J768">
        <v>-301.15260000000001</v>
      </c>
      <c r="K768">
        <v>1.0589569999999999</v>
      </c>
      <c r="L768">
        <v>367.7962</v>
      </c>
      <c r="M768">
        <v>0.99991770000000002</v>
      </c>
      <c r="N768">
        <v>0</v>
      </c>
      <c r="O768">
        <v>1.165005E-2</v>
      </c>
      <c r="P768">
        <v>0.99785270000000004</v>
      </c>
      <c r="Q768">
        <v>3.4587880000000001E-2</v>
      </c>
      <c r="R768">
        <v>-5.5623110000000003E-2</v>
      </c>
      <c r="S768">
        <v>3.0087890000000002</v>
      </c>
      <c r="T768">
        <v>-0.83184899999999995</v>
      </c>
      <c r="U768">
        <v>-0.47619630000000002</v>
      </c>
      <c r="V768">
        <v>6.7234310000000005E-2</v>
      </c>
      <c r="W768">
        <v>3.9964819999999998E-2</v>
      </c>
      <c r="X768">
        <v>0.9969365</v>
      </c>
      <c r="Y768">
        <v>0.16147719999999999</v>
      </c>
      <c r="Z768">
        <v>-2.4926540000000001E-2</v>
      </c>
      <c r="AA768">
        <v>0.98656160000000004</v>
      </c>
      <c r="AB768">
        <v>34</v>
      </c>
      <c r="AC768">
        <v>0.698599999999999</v>
      </c>
      <c r="AD768">
        <v>-0.24430969999999899</v>
      </c>
      <c r="AE768">
        <v>-0.142299999999977</v>
      </c>
      <c r="AF768">
        <v>0.13462101342306701</v>
      </c>
      <c r="AG768">
        <v>-0.24430969999999899</v>
      </c>
      <c r="AH768">
        <v>0.62366009070392203</v>
      </c>
      <c r="AI768">
        <v>110.95264817176501</v>
      </c>
      <c r="AJ768">
        <v>77.819228699217305</v>
      </c>
      <c r="AK768">
        <v>0.68319979179297696</v>
      </c>
      <c r="AL768">
        <v>87.709574530472395</v>
      </c>
      <c r="AM768">
        <v>86.141762556513697</v>
      </c>
      <c r="AN768">
        <v>1.0000000121555199</v>
      </c>
    </row>
    <row r="769" spans="1:40" x14ac:dyDescent="0.25">
      <c r="A769" t="str">
        <f>"20190312154813694"</f>
        <v>20190312154813694</v>
      </c>
      <c r="B769" t="str">
        <f>"1552376893686640"</f>
        <v>1552376893686640</v>
      </c>
      <c r="C769" t="s">
        <v>40</v>
      </c>
      <c r="D769">
        <v>4.8140289999999997</v>
      </c>
      <c r="E769">
        <v>0.54410429999999999</v>
      </c>
      <c r="F769" t="s">
        <v>41</v>
      </c>
      <c r="G769">
        <v>-300.43630000000002</v>
      </c>
      <c r="H769">
        <v>0.86088929999999997</v>
      </c>
      <c r="I769">
        <v>367.68270000000001</v>
      </c>
      <c r="J769">
        <v>-300.971</v>
      </c>
      <c r="K769">
        <v>1.058969</v>
      </c>
      <c r="L769">
        <v>367.79840000000002</v>
      </c>
      <c r="M769">
        <v>0.99991649999999999</v>
      </c>
      <c r="N769">
        <v>0</v>
      </c>
      <c r="O769">
        <v>1.171906E-2</v>
      </c>
      <c r="P769">
        <v>0.99782570000000004</v>
      </c>
      <c r="Q769">
        <v>3.4979919999999998E-2</v>
      </c>
      <c r="R769">
        <v>-5.5861769999999998E-2</v>
      </c>
      <c r="S769">
        <v>3.008759</v>
      </c>
      <c r="T769">
        <v>-0.8320128</v>
      </c>
      <c r="U769">
        <v>-0.47595209999999999</v>
      </c>
      <c r="V769">
        <v>6.7541439999999994E-2</v>
      </c>
      <c r="W769">
        <v>4.0455100000000001E-2</v>
      </c>
      <c r="X769">
        <v>0.996896</v>
      </c>
      <c r="Y769">
        <v>0.16146389999999999</v>
      </c>
      <c r="Z769">
        <v>-2.4948499999999998E-2</v>
      </c>
      <c r="AA769">
        <v>0.98656319999999997</v>
      </c>
      <c r="AB769">
        <v>34</v>
      </c>
      <c r="AC769">
        <v>0.53469999999998596</v>
      </c>
      <c r="AD769">
        <v>-0.1980797</v>
      </c>
      <c r="AE769">
        <v>-0.11570000000000299</v>
      </c>
      <c r="AF769">
        <v>0.107823219126205</v>
      </c>
      <c r="AG769">
        <v>-0.1980797</v>
      </c>
      <c r="AH769">
        <v>0.47149643201952202</v>
      </c>
      <c r="AI769">
        <v>112.27089070625</v>
      </c>
      <c r="AJ769">
        <v>77.118923347595</v>
      </c>
      <c r="AK769">
        <v>0.52265696163159203</v>
      </c>
      <c r="AL769">
        <v>87.681460902067499</v>
      </c>
      <c r="AM769">
        <v>86.124034533449702</v>
      </c>
      <c r="AN769">
        <v>1.00000004802464</v>
      </c>
    </row>
    <row r="770" spans="1:40" x14ac:dyDescent="0.25">
      <c r="A770" t="str">
        <f>"20190312154813711"</f>
        <v>20190312154813711</v>
      </c>
      <c r="B770" t="str">
        <f>"1552376893707136"</f>
        <v>1552376893707136</v>
      </c>
      <c r="C770" t="s">
        <v>40</v>
      </c>
      <c r="D770">
        <v>4.985144</v>
      </c>
      <c r="E770">
        <v>0.54412260000000001</v>
      </c>
      <c r="F770" t="s">
        <v>41</v>
      </c>
      <c r="G770">
        <v>-300.14210000000003</v>
      </c>
      <c r="H770">
        <v>0.83013760000000003</v>
      </c>
      <c r="I770">
        <v>367.6671</v>
      </c>
      <c r="J770">
        <v>-300.72089999999997</v>
      </c>
      <c r="K770">
        <v>1.0589850000000001</v>
      </c>
      <c r="L770">
        <v>367.8014</v>
      </c>
      <c r="M770">
        <v>0.99991450000000004</v>
      </c>
      <c r="N770">
        <v>0</v>
      </c>
      <c r="O770">
        <v>1.1814359999999999E-2</v>
      </c>
      <c r="P770">
        <v>0.99783449999999996</v>
      </c>
      <c r="Q770">
        <v>3.4832910000000002E-2</v>
      </c>
      <c r="R770">
        <v>-5.5796140000000001E-2</v>
      </c>
      <c r="S770">
        <v>3.0089419999999998</v>
      </c>
      <c r="T770">
        <v>-0.83067389999999997</v>
      </c>
      <c r="U770">
        <v>-0.47650150000000002</v>
      </c>
      <c r="V770">
        <v>6.7570980000000003E-2</v>
      </c>
      <c r="W770">
        <v>4.0443659999999999E-2</v>
      </c>
      <c r="X770">
        <v>0.99689439999999996</v>
      </c>
      <c r="Y770">
        <v>0.16173199999999999</v>
      </c>
      <c r="Z770">
        <v>-2.4969809999999999E-2</v>
      </c>
      <c r="AA770">
        <v>0.98651869999999997</v>
      </c>
      <c r="AB770">
        <v>34</v>
      </c>
      <c r="AC770">
        <v>0.57879999999994403</v>
      </c>
      <c r="AD770">
        <v>-0.22884740000000001</v>
      </c>
      <c r="AE770">
        <v>-0.13429999999999601</v>
      </c>
      <c r="AF770">
        <v>0.12289808023161899</v>
      </c>
      <c r="AG770">
        <v>-0.22884740000000001</v>
      </c>
      <c r="AH770">
        <v>0.50261462951628499</v>
      </c>
      <c r="AI770">
        <v>113.85903800926501</v>
      </c>
      <c r="AJ770">
        <v>76.259781183485401</v>
      </c>
      <c r="AK770">
        <v>0.56577074545717698</v>
      </c>
      <c r="AL770">
        <v>87.682116758467004</v>
      </c>
      <c r="AM770">
        <v>86.122338302718902</v>
      </c>
      <c r="AN770">
        <v>0.99999998586185701</v>
      </c>
    </row>
    <row r="771" spans="1:40" x14ac:dyDescent="0.25">
      <c r="A771" t="str">
        <f>"20190312154813723"</f>
        <v>20190312154813723</v>
      </c>
      <c r="B771" t="str">
        <f>"1552376893716895"</f>
        <v>1552376893716895</v>
      </c>
      <c r="C771" t="s">
        <v>40</v>
      </c>
      <c r="D771">
        <v>4.8771820000000004</v>
      </c>
      <c r="E771">
        <v>0.54412260000000001</v>
      </c>
      <c r="F771" t="s">
        <v>41</v>
      </c>
      <c r="G771">
        <v>-299.84089999999998</v>
      </c>
      <c r="H771">
        <v>0.81562019999999902</v>
      </c>
      <c r="I771">
        <v>367.6619</v>
      </c>
      <c r="J771">
        <v>-300.51170000000002</v>
      </c>
      <c r="K771">
        <v>1.0589999999999999</v>
      </c>
      <c r="L771">
        <v>367.8039</v>
      </c>
      <c r="M771">
        <v>0.99991300000000005</v>
      </c>
      <c r="N771">
        <v>0</v>
      </c>
      <c r="O771">
        <v>1.1893859999999999E-2</v>
      </c>
      <c r="P771">
        <v>0.99785409999999997</v>
      </c>
      <c r="Q771">
        <v>3.4468150000000003E-2</v>
      </c>
      <c r="R771">
        <v>-5.567221E-2</v>
      </c>
      <c r="S771">
        <v>3.0089419999999998</v>
      </c>
      <c r="T771">
        <v>-0.83211369999999896</v>
      </c>
      <c r="U771">
        <v>-0.47586060000000002</v>
      </c>
      <c r="V771">
        <v>6.7526589999999997E-2</v>
      </c>
      <c r="W771">
        <v>4.019114E-2</v>
      </c>
      <c r="X771">
        <v>0.99690769999999995</v>
      </c>
      <c r="Y771">
        <v>0.16158599999999901</v>
      </c>
      <c r="Z771">
        <v>-2.50137E-2</v>
      </c>
      <c r="AA771">
        <v>0.98654160000000002</v>
      </c>
      <c r="AB771">
        <v>34</v>
      </c>
      <c r="AC771">
        <v>0.67080000000004203</v>
      </c>
      <c r="AD771">
        <v>-0.24337980000000001</v>
      </c>
      <c r="AE771">
        <v>-0.14199999999999499</v>
      </c>
      <c r="AF771">
        <v>0.133187810854344</v>
      </c>
      <c r="AG771">
        <v>-0.24337980000000001</v>
      </c>
      <c r="AH771">
        <v>0.59419893840112403</v>
      </c>
      <c r="AI771">
        <v>111.78540156321201</v>
      </c>
      <c r="AJ771">
        <v>77.366152359708096</v>
      </c>
      <c r="AK771">
        <v>0.655778238740228</v>
      </c>
      <c r="AL771">
        <v>87.696597045250201</v>
      </c>
      <c r="AM771">
        <v>86.124929466917493</v>
      </c>
      <c r="AN771">
        <v>1.0000000652054</v>
      </c>
    </row>
    <row r="772" spans="1:40" x14ac:dyDescent="0.25">
      <c r="A772" t="str">
        <f>"20190312154813737"</f>
        <v>20190312154813737</v>
      </c>
      <c r="B772" t="str">
        <f>"1552376893726656"</f>
        <v>1552376893726656</v>
      </c>
      <c r="C772" t="s">
        <v>40</v>
      </c>
      <c r="D772">
        <v>3.5840730000000001</v>
      </c>
      <c r="E772">
        <v>0.54144869999999901</v>
      </c>
      <c r="F772" t="s">
        <v>41</v>
      </c>
      <c r="G772">
        <v>-299.82089999999999</v>
      </c>
      <c r="H772">
        <v>0.86771869999999995</v>
      </c>
      <c r="I772">
        <v>367.69450000000001</v>
      </c>
      <c r="J772">
        <v>-300.30590000000001</v>
      </c>
      <c r="K772">
        <v>1.0590120000000001</v>
      </c>
      <c r="L772">
        <v>367.80650000000003</v>
      </c>
      <c r="M772">
        <v>0.99991140000000001</v>
      </c>
      <c r="N772">
        <v>0</v>
      </c>
      <c r="O772">
        <v>1.1972119999999999E-2</v>
      </c>
      <c r="P772">
        <v>0.99787029999999999</v>
      </c>
      <c r="Q772">
        <v>3.4287900000000003E-2</v>
      </c>
      <c r="R772">
        <v>-5.5493550000000003E-2</v>
      </c>
      <c r="S772">
        <v>3.0086979999999999</v>
      </c>
      <c r="T772">
        <v>-0.8332212</v>
      </c>
      <c r="U772">
        <v>-0.47534179999999998</v>
      </c>
      <c r="V772">
        <v>6.7425970000000002E-2</v>
      </c>
      <c r="W772">
        <v>4.0120620000000003E-2</v>
      </c>
      <c r="X772">
        <v>0.99691730000000001</v>
      </c>
      <c r="Y772">
        <v>0.1614922</v>
      </c>
      <c r="Z772">
        <v>-2.505655E-2</v>
      </c>
      <c r="AA772">
        <v>0.98655579999999998</v>
      </c>
      <c r="AB772">
        <v>34</v>
      </c>
      <c r="AC772">
        <v>0.48500000000001298</v>
      </c>
      <c r="AD772">
        <v>-0.1912933</v>
      </c>
      <c r="AE772">
        <v>-0.112000000000023</v>
      </c>
      <c r="AF772">
        <v>0.102639648699375</v>
      </c>
      <c r="AG772">
        <v>-0.1912933</v>
      </c>
      <c r="AH772">
        <v>0.42138916457662101</v>
      </c>
      <c r="AI772">
        <v>113.80052226645699</v>
      </c>
      <c r="AJ772">
        <v>76.310775675242198</v>
      </c>
      <c r="AK772">
        <v>0.47402199541013301</v>
      </c>
      <c r="AL772">
        <v>87.700640687853394</v>
      </c>
      <c r="AM772">
        <v>86.1307232250807</v>
      </c>
      <c r="AN772">
        <v>1.0000000143094501</v>
      </c>
    </row>
    <row r="773" spans="1:40" x14ac:dyDescent="0.25">
      <c r="A773" t="str">
        <f>"20190312154813855"</f>
        <v>20190312154813855</v>
      </c>
      <c r="B773" t="str">
        <f>"1552376893847185"</f>
        <v>1552376893847185</v>
      </c>
      <c r="C773" t="s">
        <v>40</v>
      </c>
      <c r="D773">
        <v>4.3118869999999996</v>
      </c>
      <c r="E773">
        <v>0.53398579999999995</v>
      </c>
      <c r="F773" t="s">
        <v>41</v>
      </c>
      <c r="G773">
        <v>-298.00740000000002</v>
      </c>
      <c r="H773">
        <v>0.77095459999999905</v>
      </c>
      <c r="I773">
        <v>367.74239999999998</v>
      </c>
      <c r="J773">
        <v>-298.47750000000002</v>
      </c>
      <c r="K773">
        <v>1.059129</v>
      </c>
      <c r="L773">
        <v>367.8295</v>
      </c>
      <c r="M773">
        <v>0.99989620000000001</v>
      </c>
      <c r="N773">
        <v>0</v>
      </c>
      <c r="O773">
        <v>1.266572E-2</v>
      </c>
      <c r="P773">
        <v>0.99796689999999999</v>
      </c>
      <c r="Q773">
        <v>3.3596239999999999E-2</v>
      </c>
      <c r="R773">
        <v>-5.4161300000000002E-2</v>
      </c>
      <c r="S773">
        <v>3.03064</v>
      </c>
      <c r="T773">
        <v>-1.379675</v>
      </c>
      <c r="U773">
        <v>-0.40588380000000002</v>
      </c>
      <c r="V773">
        <v>6.678655E-2</v>
      </c>
      <c r="W773">
        <v>4.047796E-2</v>
      </c>
      <c r="X773">
        <v>0.99694590000000005</v>
      </c>
      <c r="Y773">
        <v>0.131301799999999</v>
      </c>
      <c r="Z773">
        <v>-3.3845510000000002E-2</v>
      </c>
      <c r="AA773">
        <v>0.99076450000000005</v>
      </c>
      <c r="AB773">
        <v>35</v>
      </c>
      <c r="AC773">
        <v>0.47010000000000202</v>
      </c>
      <c r="AD773">
        <v>-0.2881744</v>
      </c>
      <c r="AE773">
        <v>-8.71000000000208E-2</v>
      </c>
      <c r="AF773">
        <v>6.8251261448695894E-2</v>
      </c>
      <c r="AG773">
        <v>-0.2881744</v>
      </c>
      <c r="AH773">
        <v>0.34398683074544201</v>
      </c>
      <c r="AI773">
        <v>129.41096337061899</v>
      </c>
      <c r="AJ773">
        <v>78.777556971761896</v>
      </c>
      <c r="AK773">
        <v>0.45390490108721199</v>
      </c>
      <c r="AL773">
        <v>87.680149977230201</v>
      </c>
      <c r="AM773">
        <v>86.167416436074902</v>
      </c>
      <c r="AN773">
        <v>1.0000000180167301</v>
      </c>
    </row>
    <row r="774" spans="1:40" x14ac:dyDescent="0.25">
      <c r="A774" t="str">
        <f>"20190312154813868"</f>
        <v>20190312154813868</v>
      </c>
      <c r="B774" t="str">
        <f>"1552376893856946"</f>
        <v>1552376893856946</v>
      </c>
      <c r="C774" t="s">
        <v>40</v>
      </c>
      <c r="D774">
        <v>4.68391</v>
      </c>
      <c r="E774">
        <v>0.52928219999999904</v>
      </c>
      <c r="F774" t="s">
        <v>41</v>
      </c>
      <c r="G774">
        <v>-297.71109999999999</v>
      </c>
      <c r="H774">
        <v>0.73335410000000001</v>
      </c>
      <c r="I774">
        <v>367.73570000000001</v>
      </c>
      <c r="J774">
        <v>-298.28219999999999</v>
      </c>
      <c r="K774">
        <v>1.059142</v>
      </c>
      <c r="L774">
        <v>367.83199999999999</v>
      </c>
      <c r="M774">
        <v>0.99989439999999996</v>
      </c>
      <c r="N774">
        <v>0</v>
      </c>
      <c r="O774">
        <v>1.273971E-2</v>
      </c>
      <c r="P774">
        <v>0.99797170000000002</v>
      </c>
      <c r="Q774">
        <v>3.3600770000000002E-2</v>
      </c>
      <c r="R774">
        <v>-5.4071960000000002E-2</v>
      </c>
      <c r="S774">
        <v>3.0293269999999999</v>
      </c>
      <c r="T774">
        <v>-1.287563</v>
      </c>
      <c r="U774">
        <v>-0.37072749999999999</v>
      </c>
      <c r="V774">
        <v>6.6771040000000004E-2</v>
      </c>
      <c r="W774">
        <v>4.0601360000000003E-2</v>
      </c>
      <c r="X774">
        <v>0.99694190000000005</v>
      </c>
      <c r="Y774">
        <v>0.1225567</v>
      </c>
      <c r="Z774">
        <v>-3.0056739999999998E-2</v>
      </c>
      <c r="AA774">
        <v>0.99200630000000001</v>
      </c>
      <c r="AB774">
        <v>35</v>
      </c>
      <c r="AC774">
        <v>0.57110000000000105</v>
      </c>
      <c r="AD774">
        <v>-0.32578790000000002</v>
      </c>
      <c r="AE774">
        <v>-9.6299999999985106E-2</v>
      </c>
      <c r="AF774">
        <v>7.8673748292262605E-2</v>
      </c>
      <c r="AG774">
        <v>-0.32578790000000002</v>
      </c>
      <c r="AH774">
        <v>0.43285961436960602</v>
      </c>
      <c r="AI774">
        <v>126.520291190066</v>
      </c>
      <c r="AJ774">
        <v>79.6987411840242</v>
      </c>
      <c r="AK774">
        <v>0.54744384205959196</v>
      </c>
      <c r="AL774">
        <v>87.673073812391607</v>
      </c>
      <c r="AM774">
        <v>86.168288506422897</v>
      </c>
      <c r="AN774">
        <v>0.99999999709607001</v>
      </c>
    </row>
    <row r="775" spans="1:40" x14ac:dyDescent="0.25">
      <c r="A775" t="str">
        <f>"20190312154813878"</f>
        <v>20190312154813878</v>
      </c>
      <c r="B775" t="str">
        <f>"1552376893876465"</f>
        <v>1552376893876465</v>
      </c>
      <c r="C775" t="s">
        <v>40</v>
      </c>
      <c r="D775">
        <v>5.0504819999999997</v>
      </c>
      <c r="E775">
        <v>0.52684149999999996</v>
      </c>
      <c r="F775" t="s">
        <v>41</v>
      </c>
      <c r="G775">
        <v>-297.40730000000002</v>
      </c>
      <c r="H775">
        <v>0.71349810000000002</v>
      </c>
      <c r="I775">
        <v>367.73430000000002</v>
      </c>
      <c r="J775">
        <v>-298.1062</v>
      </c>
      <c r="K775">
        <v>1.0591549999999901</v>
      </c>
      <c r="L775">
        <v>367.83440000000002</v>
      </c>
      <c r="M775">
        <v>0.99989269999999997</v>
      </c>
      <c r="N775">
        <v>0</v>
      </c>
      <c r="O775">
        <v>1.280652E-2</v>
      </c>
      <c r="P775">
        <v>0.99797570000000002</v>
      </c>
      <c r="Q775">
        <v>3.3634030000000002E-2</v>
      </c>
      <c r="R775">
        <v>-5.3973510000000002E-2</v>
      </c>
      <c r="S775">
        <v>3.028076</v>
      </c>
      <c r="T775">
        <v>-1.196307</v>
      </c>
      <c r="U775">
        <v>-0.33728029999999998</v>
      </c>
      <c r="V775">
        <v>6.6739279999999998E-2</v>
      </c>
      <c r="W775">
        <v>4.0741909999999999E-2</v>
      </c>
      <c r="X775">
        <v>0.99693830000000005</v>
      </c>
      <c r="Y775">
        <v>0.11399140000000001</v>
      </c>
      <c r="Z775">
        <v>-2.650477E-2</v>
      </c>
      <c r="AA775">
        <v>0.99312809999999996</v>
      </c>
      <c r="AB775">
        <v>35</v>
      </c>
      <c r="AC775">
        <v>0.69889999999997998</v>
      </c>
      <c r="AD775">
        <v>-0.34565689999999899</v>
      </c>
      <c r="AE775">
        <v>-0.100099999999997</v>
      </c>
      <c r="AF775">
        <v>8.7959808218309093E-2</v>
      </c>
      <c r="AG775">
        <v>-0.34565689999999899</v>
      </c>
      <c r="AH775">
        <v>0.56269170606864205</v>
      </c>
      <c r="AI775">
        <v>121.25445277733699</v>
      </c>
      <c r="AJ775">
        <v>81.115441601893707</v>
      </c>
      <c r="AK775">
        <v>0.66621136019873695</v>
      </c>
      <c r="AL775">
        <v>87.665014238762396</v>
      </c>
      <c r="AM775">
        <v>86.170091866088796</v>
      </c>
      <c r="AN775">
        <v>1.0000000043661199</v>
      </c>
    </row>
    <row r="776" spans="1:40" x14ac:dyDescent="0.25">
      <c r="A776" t="str">
        <f>"20190312154813889"</f>
        <v>20190312154813889</v>
      </c>
      <c r="B776" t="str">
        <f>"1552376893886732"</f>
        <v>1552376893886732</v>
      </c>
      <c r="C776" t="s">
        <v>40</v>
      </c>
      <c r="D776">
        <v>5.2412580000000002</v>
      </c>
      <c r="E776">
        <v>0.50486030000000004</v>
      </c>
      <c r="F776" t="s">
        <v>41</v>
      </c>
      <c r="G776">
        <v>-297.3775</v>
      </c>
      <c r="H776">
        <v>0.7909813</v>
      </c>
      <c r="I776">
        <v>367.7568</v>
      </c>
      <c r="J776">
        <v>-297.9504</v>
      </c>
      <c r="K776">
        <v>1.0591619999999999</v>
      </c>
      <c r="L776">
        <v>367.83640000000003</v>
      </c>
      <c r="M776">
        <v>0.99989139999999999</v>
      </c>
      <c r="N776">
        <v>0</v>
      </c>
      <c r="O776">
        <v>1.286531E-2</v>
      </c>
      <c r="P776">
        <v>0.99798209999999998</v>
      </c>
      <c r="Q776">
        <v>3.3335339999999998E-2</v>
      </c>
      <c r="R776">
        <v>-5.4045530000000001E-2</v>
      </c>
      <c r="S776">
        <v>3.0263059999999999</v>
      </c>
      <c r="T776">
        <v>-1.1136360000000001</v>
      </c>
      <c r="U776">
        <v>-0.32064819999999999</v>
      </c>
      <c r="V776">
        <v>6.6869929999999994E-2</v>
      </c>
      <c r="W776">
        <v>4.0537509999999999E-2</v>
      </c>
      <c r="X776">
        <v>0.99693790000000004</v>
      </c>
      <c r="Y776">
        <v>0.1101675</v>
      </c>
      <c r="Z776">
        <v>-2.414999E-2</v>
      </c>
      <c r="AA776">
        <v>0.99361960000000005</v>
      </c>
      <c r="AB776">
        <v>35</v>
      </c>
      <c r="AC776">
        <v>0.57290000000000396</v>
      </c>
      <c r="AD776">
        <v>-0.26818069999999999</v>
      </c>
      <c r="AE776">
        <v>-7.9600000000027593E-2</v>
      </c>
      <c r="AF776">
        <v>7.1576740507693595E-2</v>
      </c>
      <c r="AG776">
        <v>-0.26818069999999999</v>
      </c>
      <c r="AH776">
        <v>0.470649389210542</v>
      </c>
      <c r="AI776">
        <v>119.39398071564401</v>
      </c>
      <c r="AJ776">
        <v>81.352671939586997</v>
      </c>
      <c r="AK776">
        <v>0.54640183491497596</v>
      </c>
      <c r="AL776">
        <v>87.676735231412707</v>
      </c>
      <c r="AM776">
        <v>86.162615213691097</v>
      </c>
      <c r="AN776">
        <v>1.0000000268558</v>
      </c>
    </row>
    <row r="777" spans="1:40" x14ac:dyDescent="0.25">
      <c r="A777" t="str">
        <f>"20190312154813903"</f>
        <v>20190312154813903</v>
      </c>
      <c r="B777" t="str">
        <f>"1552376893896491"</f>
        <v>1552376893896491</v>
      </c>
      <c r="C777" t="s">
        <v>40</v>
      </c>
      <c r="D777">
        <v>5.3254479999999997</v>
      </c>
      <c r="E777">
        <v>0.50532060000000001</v>
      </c>
      <c r="F777" t="s">
        <v>41</v>
      </c>
      <c r="G777">
        <v>-297.01479999999998</v>
      </c>
      <c r="H777">
        <v>0.90965870000000004</v>
      </c>
      <c r="I777">
        <v>367.78230000000002</v>
      </c>
      <c r="J777">
        <v>-297.73169999999999</v>
      </c>
      <c r="K777">
        <v>1.05918</v>
      </c>
      <c r="L777">
        <v>367.83929999999998</v>
      </c>
      <c r="M777">
        <v>0.99988940000000004</v>
      </c>
      <c r="N777">
        <v>0</v>
      </c>
      <c r="O777">
        <v>1.2948049999999999E-2</v>
      </c>
      <c r="P777">
        <v>0.99799380000000004</v>
      </c>
      <c r="Q777">
        <v>3.3346199999999999E-2</v>
      </c>
      <c r="R777">
        <v>-5.3821349999999997E-2</v>
      </c>
      <c r="S777">
        <v>3.0126650000000001</v>
      </c>
      <c r="T777">
        <v>-0.48145070000000001</v>
      </c>
      <c r="U777">
        <v>-0.17431640000000001</v>
      </c>
      <c r="V777">
        <v>6.6728579999999996E-2</v>
      </c>
      <c r="W777">
        <v>4.0680920000000002E-2</v>
      </c>
      <c r="X777">
        <v>0.99694150000000004</v>
      </c>
      <c r="Y777">
        <v>6.9641839999999997E-2</v>
      </c>
      <c r="Z777">
        <v>-7.5797629999999998E-3</v>
      </c>
      <c r="AA777">
        <v>0.99754330000000002</v>
      </c>
      <c r="AB777">
        <v>35</v>
      </c>
      <c r="AC777">
        <v>0.71690000000000897</v>
      </c>
      <c r="AD777">
        <v>-0.1495213</v>
      </c>
      <c r="AE777">
        <v>-5.69999999999595E-2</v>
      </c>
      <c r="AF777">
        <v>6.3531662515609294E-2</v>
      </c>
      <c r="AG777">
        <v>-0.1495213</v>
      </c>
      <c r="AH777">
        <v>0.68642974431301196</v>
      </c>
      <c r="AI777">
        <v>102.237760796137</v>
      </c>
      <c r="AJ777">
        <v>84.712124112686595</v>
      </c>
      <c r="AK777">
        <v>0.705392575218448</v>
      </c>
      <c r="AL777">
        <v>87.668511591902103</v>
      </c>
      <c r="AM777">
        <v>86.170716325312199</v>
      </c>
      <c r="AN777">
        <v>0.999999997531556</v>
      </c>
    </row>
    <row r="778" spans="1:40" x14ac:dyDescent="0.25">
      <c r="A778" t="str">
        <f>"20190312154813916"</f>
        <v>20190312154813916</v>
      </c>
      <c r="B778" t="str">
        <f>"1552376893907228"</f>
        <v>1552376893907228</v>
      </c>
      <c r="C778" t="s">
        <v>40</v>
      </c>
      <c r="D778">
        <v>4.9107320000000003</v>
      </c>
      <c r="E778">
        <v>0.50548839999999995</v>
      </c>
      <c r="F778" t="s">
        <v>41</v>
      </c>
      <c r="G778">
        <v>-296.99360000000001</v>
      </c>
      <c r="H778">
        <v>0.95352340000000002</v>
      </c>
      <c r="I778">
        <v>367.7953</v>
      </c>
      <c r="J778">
        <v>-297.51889999999997</v>
      </c>
      <c r="K778">
        <v>1.05919599999999</v>
      </c>
      <c r="L778">
        <v>367.84210000000002</v>
      </c>
      <c r="M778">
        <v>0.99988730000000003</v>
      </c>
      <c r="N778">
        <v>0</v>
      </c>
      <c r="O778">
        <v>1.302882E-2</v>
      </c>
      <c r="P778">
        <v>0.99798489999999995</v>
      </c>
      <c r="Q778">
        <v>3.3349539999999997E-2</v>
      </c>
      <c r="R778">
        <v>-5.3984110000000002E-2</v>
      </c>
      <c r="S778">
        <v>3.0107729999999999</v>
      </c>
      <c r="T778">
        <v>-0.43100430000000001</v>
      </c>
      <c r="U778">
        <v>-0.17965699999999901</v>
      </c>
      <c r="V778">
        <v>6.6971390000000006E-2</v>
      </c>
      <c r="W778">
        <v>4.0814330000000003E-2</v>
      </c>
      <c r="X778">
        <v>0.99691980000000002</v>
      </c>
      <c r="Y778">
        <v>7.1705480000000002E-2</v>
      </c>
      <c r="Z778">
        <v>-6.9562039999999997E-3</v>
      </c>
      <c r="AA778">
        <v>0.9974016</v>
      </c>
      <c r="AB778">
        <v>35</v>
      </c>
      <c r="AC778">
        <v>0.52529999999995802</v>
      </c>
      <c r="AD778">
        <v>-0.10567259999999901</v>
      </c>
      <c r="AE778">
        <v>-4.6800000000018799E-2</v>
      </c>
      <c r="AF778">
        <v>5.15697740288064E-2</v>
      </c>
      <c r="AG778">
        <v>-0.10567259999999901</v>
      </c>
      <c r="AH778">
        <v>0.50439462579888805</v>
      </c>
      <c r="AI778">
        <v>101.772901610411</v>
      </c>
      <c r="AJ778">
        <v>84.162310864904597</v>
      </c>
      <c r="AK778">
        <v>0.51791898837457395</v>
      </c>
      <c r="AL778">
        <v>87.660861489187198</v>
      </c>
      <c r="AM778">
        <v>86.156740717580902</v>
      </c>
      <c r="AN778">
        <v>1.00000003212196</v>
      </c>
    </row>
    <row r="779" spans="1:40" x14ac:dyDescent="0.25">
      <c r="A779" t="str">
        <f>"20190312154813930"</f>
        <v>20190312154813930</v>
      </c>
      <c r="B779" t="str">
        <f>"1552376893926748"</f>
        <v>1552376893926748</v>
      </c>
      <c r="C779" t="s">
        <v>40</v>
      </c>
      <c r="D779">
        <v>4.8482000000000003</v>
      </c>
      <c r="E779">
        <v>0.506471</v>
      </c>
      <c r="F779" t="s">
        <v>41</v>
      </c>
      <c r="G779">
        <v>-296.68079999999998</v>
      </c>
      <c r="H779">
        <v>0.95419940000000003</v>
      </c>
      <c r="I779">
        <v>367.79079999999999</v>
      </c>
      <c r="J779">
        <v>-297.30669999999998</v>
      </c>
      <c r="K779">
        <v>1.0592090000000001</v>
      </c>
      <c r="L779">
        <v>367.8449</v>
      </c>
      <c r="M779">
        <v>0.99988520000000003</v>
      </c>
      <c r="N779">
        <v>0</v>
      </c>
      <c r="O779">
        <v>1.310921E-2</v>
      </c>
      <c r="P779">
        <v>0.99798319999999996</v>
      </c>
      <c r="Q779">
        <v>3.3560149999999997E-2</v>
      </c>
      <c r="R779">
        <v>-5.3883399999999998E-2</v>
      </c>
      <c r="S779">
        <v>3.0086979999999999</v>
      </c>
      <c r="T779">
        <v>-0.37697209999999998</v>
      </c>
      <c r="U779">
        <v>-0.18386839999999999</v>
      </c>
      <c r="V779">
        <v>6.6950839999999998E-2</v>
      </c>
      <c r="W779">
        <v>4.1159279999999999E-2</v>
      </c>
      <c r="X779">
        <v>0.99690699999999999</v>
      </c>
      <c r="Y779">
        <v>7.3404380000000005E-2</v>
      </c>
      <c r="Z779">
        <v>-6.2112199999999999E-3</v>
      </c>
      <c r="AA779">
        <v>0.99728289999999997</v>
      </c>
      <c r="AB779">
        <v>35</v>
      </c>
      <c r="AC779">
        <v>0.62590000000000101</v>
      </c>
      <c r="AD779">
        <v>-0.10500959999999999</v>
      </c>
      <c r="AE779">
        <v>-5.4100000000005297E-2</v>
      </c>
      <c r="AF779">
        <v>6.0607316418319297E-2</v>
      </c>
      <c r="AG779">
        <v>-0.10500959999999999</v>
      </c>
      <c r="AH779">
        <v>0.60814581704902104</v>
      </c>
      <c r="AI779">
        <v>99.749397292403103</v>
      </c>
      <c r="AJ779">
        <v>84.308741442594496</v>
      </c>
      <c r="AK779">
        <v>0.62011418117134898</v>
      </c>
      <c r="AL779">
        <v>87.641080692914699</v>
      </c>
      <c r="AM779">
        <v>86.157867295775404</v>
      </c>
      <c r="AN779">
        <v>1.00000003397791</v>
      </c>
    </row>
    <row r="780" spans="1:40" x14ac:dyDescent="0.25">
      <c r="A780" t="str">
        <f>"20190312154813944"</f>
        <v>20190312154813944</v>
      </c>
      <c r="B780" t="str">
        <f>"1552376893936508"</f>
        <v>1552376893936508</v>
      </c>
      <c r="C780" t="s">
        <v>40</v>
      </c>
      <c r="D780">
        <v>4.7520160000000002</v>
      </c>
      <c r="E780">
        <v>0.50755689999999998</v>
      </c>
      <c r="F780" t="s">
        <v>41</v>
      </c>
      <c r="G780">
        <v>-296.36079999999998</v>
      </c>
      <c r="H780">
        <v>0.96919230000000001</v>
      </c>
      <c r="I780">
        <v>367.78339999999997</v>
      </c>
      <c r="J780">
        <v>-297.08</v>
      </c>
      <c r="K780">
        <v>1.0592299999999999</v>
      </c>
      <c r="L780">
        <v>367.84800000000001</v>
      </c>
      <c r="M780">
        <v>0.99988290000000002</v>
      </c>
      <c r="N780">
        <v>0</v>
      </c>
      <c r="O780">
        <v>1.3194890000000001E-2</v>
      </c>
      <c r="P780">
        <v>0.99795789999999995</v>
      </c>
      <c r="Q780">
        <v>3.3836810000000002E-2</v>
      </c>
      <c r="R780">
        <v>-5.4177620000000003E-2</v>
      </c>
      <c r="S780">
        <v>3.0051269999999999</v>
      </c>
      <c r="T780">
        <v>-0.28595029999999999</v>
      </c>
      <c r="U780">
        <v>-0.1957092</v>
      </c>
      <c r="V780">
        <v>6.7330089999999995E-2</v>
      </c>
      <c r="W780">
        <v>4.1587100000000002E-2</v>
      </c>
      <c r="X780">
        <v>0.99686370000000002</v>
      </c>
      <c r="Y780">
        <v>7.7740069999999994E-2</v>
      </c>
      <c r="Z780">
        <v>-4.9379790000000003E-3</v>
      </c>
      <c r="AA780">
        <v>0.9969614</v>
      </c>
      <c r="AB780">
        <v>35</v>
      </c>
      <c r="AC780">
        <v>0.71919999999999995</v>
      </c>
      <c r="AD780">
        <v>-9.0037699999999707E-2</v>
      </c>
      <c r="AE780">
        <v>-6.4600000000041194E-2</v>
      </c>
      <c r="AF780">
        <v>7.29502345494389E-2</v>
      </c>
      <c r="AG780">
        <v>-9.0037699999999707E-2</v>
      </c>
      <c r="AH780">
        <v>0.70728842741945097</v>
      </c>
      <c r="AI780">
        <v>97.216844953590197</v>
      </c>
      <c r="AJ780">
        <v>84.111294753868194</v>
      </c>
      <c r="AK780">
        <v>0.71671852473867903</v>
      </c>
      <c r="AL780">
        <v>87.616547402483505</v>
      </c>
      <c r="AM780">
        <v>86.136001553107107</v>
      </c>
      <c r="AN780">
        <v>1.0000000321417499</v>
      </c>
    </row>
    <row r="781" spans="1:40" x14ac:dyDescent="0.25">
      <c r="A781" t="str">
        <f>"20190312154813957"</f>
        <v>20190312154813957</v>
      </c>
      <c r="B781" t="str">
        <f>"1552376893946268"</f>
        <v>1552376893946268</v>
      </c>
      <c r="C781" t="s">
        <v>40</v>
      </c>
      <c r="D781">
        <v>4.7947350000000002</v>
      </c>
      <c r="E781">
        <v>0.50780059999999905</v>
      </c>
      <c r="F781" t="s">
        <v>41</v>
      </c>
      <c r="G781">
        <v>-296.3485</v>
      </c>
      <c r="H781">
        <v>0.99477230000000005</v>
      </c>
      <c r="I781">
        <v>367.7978</v>
      </c>
      <c r="J781">
        <v>-296.90449999999998</v>
      </c>
      <c r="K781">
        <v>1.05925</v>
      </c>
      <c r="L781">
        <v>367.85039999999998</v>
      </c>
      <c r="M781">
        <v>0.99988109999999997</v>
      </c>
      <c r="N781">
        <v>0</v>
      </c>
      <c r="O781">
        <v>1.326105E-2</v>
      </c>
      <c r="P781">
        <v>0.9979576</v>
      </c>
      <c r="Q781">
        <v>3.3913550000000001E-2</v>
      </c>
      <c r="R781">
        <v>-5.4135790000000003E-2</v>
      </c>
      <c r="S781">
        <v>3.0039060000000002</v>
      </c>
      <c r="T781">
        <v>-0.26467669999999999</v>
      </c>
      <c r="U781">
        <v>-0.20635990000000001</v>
      </c>
      <c r="V781">
        <v>6.7354220000000006E-2</v>
      </c>
      <c r="W781">
        <v>4.1788150000000003E-2</v>
      </c>
      <c r="X781">
        <v>0.99685360000000001</v>
      </c>
      <c r="Y781">
        <v>8.1394809999999998E-2</v>
      </c>
      <c r="Z781">
        <v>-4.7397230000000004E-3</v>
      </c>
      <c r="AA781">
        <v>0.99667070000000002</v>
      </c>
      <c r="AB781">
        <v>35</v>
      </c>
      <c r="AC781">
        <v>0.55599999999998295</v>
      </c>
      <c r="AD781">
        <v>-6.4477699999999999E-2</v>
      </c>
      <c r="AE781">
        <v>-5.2599999999983903E-2</v>
      </c>
      <c r="AF781">
        <v>5.91799331474894E-2</v>
      </c>
      <c r="AG781">
        <v>-6.4477699999999999E-2</v>
      </c>
      <c r="AH781">
        <v>0.54794989158288598</v>
      </c>
      <c r="AI781">
        <v>96.672726951494894</v>
      </c>
      <c r="AJ781">
        <v>83.835808555079296</v>
      </c>
      <c r="AK781">
        <v>0.55489523513031502</v>
      </c>
      <c r="AL781">
        <v>87.605017915232906</v>
      </c>
      <c r="AM781">
        <v>86.134581911810798</v>
      </c>
      <c r="AN781">
        <v>0.99999997013259401</v>
      </c>
    </row>
    <row r="782" spans="1:40" x14ac:dyDescent="0.25">
      <c r="A782" t="str">
        <f>"20190312154813967"</f>
        <v>20190312154813967</v>
      </c>
      <c r="B782" t="str">
        <f>"1552376893957005"</f>
        <v>1552376893957005</v>
      </c>
      <c r="C782" t="s">
        <v>40</v>
      </c>
      <c r="D782">
        <v>4.749987</v>
      </c>
      <c r="E782">
        <v>0.50797590000000004</v>
      </c>
      <c r="F782" t="s">
        <v>41</v>
      </c>
      <c r="G782">
        <v>-296.03910000000002</v>
      </c>
      <c r="H782">
        <v>0.98725070000000004</v>
      </c>
      <c r="I782">
        <v>367.78989999999999</v>
      </c>
      <c r="J782">
        <v>-296.7226</v>
      </c>
      <c r="K782">
        <v>1.0592699999999999</v>
      </c>
      <c r="L782">
        <v>367.8528</v>
      </c>
      <c r="M782">
        <v>0.99987910000000002</v>
      </c>
      <c r="N782">
        <v>0</v>
      </c>
      <c r="O782">
        <v>1.332974E-2</v>
      </c>
      <c r="P782">
        <v>0.99796910000000005</v>
      </c>
      <c r="Q782">
        <v>3.3656169999999999E-2</v>
      </c>
      <c r="R782">
        <v>-5.408458E-2</v>
      </c>
      <c r="S782">
        <v>3.0033569999999998</v>
      </c>
      <c r="T782">
        <v>-0.25010749999999998</v>
      </c>
      <c r="U782">
        <v>-0.20864869999999999</v>
      </c>
      <c r="V782">
        <v>6.7371689999999998E-2</v>
      </c>
      <c r="W782">
        <v>4.1663329999999998E-2</v>
      </c>
      <c r="X782">
        <v>0.99685769999999996</v>
      </c>
      <c r="Y782">
        <v>8.2267359999999998E-2</v>
      </c>
      <c r="Z782">
        <v>-4.5223759999999998E-3</v>
      </c>
      <c r="AA782">
        <v>0.99660000000000004</v>
      </c>
      <c r="AB782">
        <v>35</v>
      </c>
      <c r="AC782">
        <v>0.68349999999998001</v>
      </c>
      <c r="AD782">
        <v>-7.2019300000000203E-2</v>
      </c>
      <c r="AE782">
        <v>-6.2900000000013195E-2</v>
      </c>
      <c r="AF782">
        <v>7.1221484526943796E-2</v>
      </c>
      <c r="AG782">
        <v>-7.2019300000000203E-2</v>
      </c>
      <c r="AH782">
        <v>0.67516770389946901</v>
      </c>
      <c r="AI782">
        <v>96.055301206187906</v>
      </c>
      <c r="AJ782">
        <v>83.9783038941748</v>
      </c>
      <c r="AK782">
        <v>0.68272300958704601</v>
      </c>
      <c r="AL782">
        <v>87.612175941600299</v>
      </c>
      <c r="AM782">
        <v>86.133598213653002</v>
      </c>
      <c r="AN782">
        <v>1.0000000258647099</v>
      </c>
    </row>
    <row r="783" spans="1:40" x14ac:dyDescent="0.25">
      <c r="A783" t="str">
        <f>"20190312154813978"</f>
        <v>20190312154813978</v>
      </c>
      <c r="B783" t="str">
        <f>"1552376893966764"</f>
        <v>1552376893966764</v>
      </c>
      <c r="C783" t="s">
        <v>40</v>
      </c>
      <c r="D783">
        <v>4.7685060000000004</v>
      </c>
      <c r="E783">
        <v>0.50816379999999906</v>
      </c>
      <c r="F783" t="s">
        <v>41</v>
      </c>
      <c r="G783">
        <v>-295.7294</v>
      </c>
      <c r="H783">
        <v>0.97984159999999998</v>
      </c>
      <c r="I783">
        <v>367.78289999999998</v>
      </c>
      <c r="J783">
        <v>-296.55529999999999</v>
      </c>
      <c r="K783">
        <v>1.0592900000000001</v>
      </c>
      <c r="L783">
        <v>367.85509999999999</v>
      </c>
      <c r="M783">
        <v>0.99987729999999997</v>
      </c>
      <c r="N783">
        <v>0</v>
      </c>
      <c r="O783">
        <v>1.339269E-2</v>
      </c>
      <c r="P783">
        <v>0.997973</v>
      </c>
      <c r="Q783">
        <v>3.3511939999999997E-2</v>
      </c>
      <c r="R783">
        <v>-5.410425E-2</v>
      </c>
      <c r="S783">
        <v>3.0028079999999999</v>
      </c>
      <c r="T783">
        <v>-0.24034249999999999</v>
      </c>
      <c r="U783">
        <v>-0.21072389999999999</v>
      </c>
      <c r="V783">
        <v>6.7454260000000002E-2</v>
      </c>
      <c r="W783">
        <v>4.1651420000000001E-2</v>
      </c>
      <c r="X783">
        <v>0.99685259999999998</v>
      </c>
      <c r="Y783">
        <v>8.3050490000000005E-2</v>
      </c>
      <c r="Z783">
        <v>-4.3833470000000001E-3</v>
      </c>
      <c r="AA783">
        <v>0.99653570000000002</v>
      </c>
      <c r="AB783">
        <v>35</v>
      </c>
      <c r="AC783">
        <v>0.82589999999998998</v>
      </c>
      <c r="AD783">
        <v>-7.9448400000000002E-2</v>
      </c>
      <c r="AE783">
        <v>-7.2200000000009298E-2</v>
      </c>
      <c r="AF783">
        <v>8.2497296746574397E-2</v>
      </c>
      <c r="AG783">
        <v>-7.9448400000000002E-2</v>
      </c>
      <c r="AH783">
        <v>0.81735276639180598</v>
      </c>
      <c r="AI783">
        <v>95.523937655944394</v>
      </c>
      <c r="AJ783">
        <v>84.236523636168499</v>
      </c>
      <c r="AK783">
        <v>0.82533835301734904</v>
      </c>
      <c r="AL783">
        <v>87.612858894190396</v>
      </c>
      <c r="AM783">
        <v>86.128854248302403</v>
      </c>
      <c r="AN783">
        <v>1.00000001205346</v>
      </c>
    </row>
    <row r="784" spans="1:40" x14ac:dyDescent="0.25">
      <c r="A784" t="str">
        <f>"20190312154813992"</f>
        <v>20190312154813992</v>
      </c>
      <c r="B784" t="str">
        <f>"1552376893986792"</f>
        <v>1552376893986792</v>
      </c>
      <c r="C784" t="s">
        <v>40</v>
      </c>
      <c r="D784">
        <v>4.7819500000000001</v>
      </c>
      <c r="E784">
        <v>0.50907950000000002</v>
      </c>
      <c r="F784" t="s">
        <v>41</v>
      </c>
      <c r="G784">
        <v>-295.72219999999999</v>
      </c>
      <c r="H784">
        <v>0.99514809999999998</v>
      </c>
      <c r="I784">
        <v>367.79590000000002</v>
      </c>
      <c r="J784">
        <v>-296.34570000000002</v>
      </c>
      <c r="K784">
        <v>1.059312</v>
      </c>
      <c r="L784">
        <v>367.858</v>
      </c>
      <c r="M784">
        <v>0.99987459999999995</v>
      </c>
      <c r="N784">
        <v>0</v>
      </c>
      <c r="O784">
        <v>1.347168E-2</v>
      </c>
      <c r="P784">
        <v>0.99797670000000005</v>
      </c>
      <c r="Q784">
        <v>3.3376620000000003E-2</v>
      </c>
      <c r="R784">
        <v>-5.4116270000000001E-2</v>
      </c>
      <c r="S784">
        <v>3.0023499999999999</v>
      </c>
      <c r="T784">
        <v>-0.2313694</v>
      </c>
      <c r="U784">
        <v>-0.21255489999999999</v>
      </c>
      <c r="V784">
        <v>6.7544899999999894E-2</v>
      </c>
      <c r="W784">
        <v>4.1689530000000002E-2</v>
      </c>
      <c r="X784">
        <v>0.99684479999999998</v>
      </c>
      <c r="Y784">
        <v>8.3764610000000003E-2</v>
      </c>
      <c r="Z784">
        <v>-4.2542530000000004E-3</v>
      </c>
      <c r="AA784">
        <v>0.99647649999999999</v>
      </c>
      <c r="AB784">
        <v>35</v>
      </c>
      <c r="AC784">
        <v>0.62350000000003503</v>
      </c>
      <c r="AD784">
        <v>-6.4163899999999996E-2</v>
      </c>
      <c r="AE784">
        <v>-6.2099999999986701E-2</v>
      </c>
      <c r="AF784">
        <v>6.9762696268502594E-2</v>
      </c>
      <c r="AG784">
        <v>-6.4163899999999996E-2</v>
      </c>
      <c r="AH784">
        <v>0.61614571568267196</v>
      </c>
      <c r="AI784">
        <v>95.9077344691771</v>
      </c>
      <c r="AJ784">
        <v>83.540233247983494</v>
      </c>
      <c r="AK784">
        <v>0.62339344142200703</v>
      </c>
      <c r="AL784">
        <v>87.610673288376503</v>
      </c>
      <c r="AM784">
        <v>86.123638100708604</v>
      </c>
      <c r="AN784">
        <v>0.99999994285733296</v>
      </c>
    </row>
    <row r="785" spans="1:40" x14ac:dyDescent="0.25">
      <c r="A785" t="str">
        <f>"20190312154814004"</f>
        <v>20190312154814004</v>
      </c>
      <c r="B785" t="str">
        <f>"1552376893996552"</f>
        <v>1552376893996552</v>
      </c>
      <c r="C785" t="s">
        <v>40</v>
      </c>
      <c r="D785">
        <v>4.7678770000000004</v>
      </c>
      <c r="E785">
        <v>0.50951059999999904</v>
      </c>
      <c r="F785" t="s">
        <v>41</v>
      </c>
      <c r="G785">
        <v>-295.41059999999999</v>
      </c>
      <c r="H785">
        <v>0.99134230000000001</v>
      </c>
      <c r="I785">
        <v>367.78910000000002</v>
      </c>
      <c r="J785">
        <v>-296.14839999999998</v>
      </c>
      <c r="K785">
        <v>1.0593360000000001</v>
      </c>
      <c r="L785">
        <v>367.86070000000001</v>
      </c>
      <c r="M785">
        <v>0.99987219999999999</v>
      </c>
      <c r="N785">
        <v>0</v>
      </c>
      <c r="O785">
        <v>1.354585E-2</v>
      </c>
      <c r="P785">
        <v>0.99798480000000001</v>
      </c>
      <c r="Q785">
        <v>3.3208000000000001E-2</v>
      </c>
      <c r="R785">
        <v>-5.4071719999999997E-2</v>
      </c>
      <c r="S785">
        <v>3.001465</v>
      </c>
      <c r="T785">
        <v>-0.21832370000000001</v>
      </c>
      <c r="U785">
        <v>-0.22055050000000001</v>
      </c>
      <c r="V785">
        <v>6.757428E-2</v>
      </c>
      <c r="W785">
        <v>4.1690959999999999E-2</v>
      </c>
      <c r="X785">
        <v>0.99684280000000003</v>
      </c>
      <c r="Y785">
        <v>8.6523539999999996E-2</v>
      </c>
      <c r="Z785">
        <v>-4.1212820000000004E-3</v>
      </c>
      <c r="AA785">
        <v>0.9962413</v>
      </c>
      <c r="AB785">
        <v>35</v>
      </c>
      <c r="AC785">
        <v>0.73779999999999202</v>
      </c>
      <c r="AD785">
        <v>-6.7993699999999893E-2</v>
      </c>
      <c r="AE785">
        <v>-7.1599999999989394E-2</v>
      </c>
      <c r="AF785">
        <v>8.0907186641548501E-2</v>
      </c>
      <c r="AG785">
        <v>-6.7993699999999893E-2</v>
      </c>
      <c r="AH785">
        <v>0.73061517844243495</v>
      </c>
      <c r="AI785">
        <v>95.284719087017507</v>
      </c>
      <c r="AJ785">
        <v>83.680901082248596</v>
      </c>
      <c r="AK785">
        <v>0.738219245929291</v>
      </c>
      <c r="AL785">
        <v>87.610591405635802</v>
      </c>
      <c r="AM785">
        <v>86.121949386715499</v>
      </c>
      <c r="AN785">
        <v>0.99999999368754</v>
      </c>
    </row>
    <row r="786" spans="1:40" x14ac:dyDescent="0.25">
      <c r="A786" t="str">
        <f>"20190312154814015"</f>
        <v>20190312154814015</v>
      </c>
      <c r="B786" t="str">
        <f>"1552376894006312"</f>
        <v>1552376894006312</v>
      </c>
      <c r="C786" t="s">
        <v>40</v>
      </c>
      <c r="D786">
        <v>4.7815159999999999</v>
      </c>
      <c r="E786">
        <v>0.50940229999999997</v>
      </c>
      <c r="F786" t="s">
        <v>41</v>
      </c>
      <c r="G786">
        <v>-295.40010000000001</v>
      </c>
      <c r="H786">
        <v>1.0062930000000001</v>
      </c>
      <c r="I786">
        <v>367.80459999999999</v>
      </c>
      <c r="J786">
        <v>-295.98270000000002</v>
      </c>
      <c r="K786">
        <v>1.059361</v>
      </c>
      <c r="L786">
        <v>367.863</v>
      </c>
      <c r="M786">
        <v>0.99987009999999998</v>
      </c>
      <c r="N786">
        <v>0</v>
      </c>
      <c r="O786">
        <v>1.36083E-2</v>
      </c>
      <c r="P786">
        <v>0.99797659999999999</v>
      </c>
      <c r="Q786">
        <v>3.3343110000000002E-2</v>
      </c>
      <c r="R786">
        <v>-5.4140639999999997E-2</v>
      </c>
      <c r="S786">
        <v>3.001007</v>
      </c>
      <c r="T786">
        <v>-0.2129682</v>
      </c>
      <c r="U786">
        <v>-0.223999</v>
      </c>
      <c r="V786">
        <v>6.7705329999999994E-2</v>
      </c>
      <c r="W786">
        <v>4.1985399999999999E-2</v>
      </c>
      <c r="X786">
        <v>0.99682159999999997</v>
      </c>
      <c r="Y786">
        <v>8.7744840000000004E-2</v>
      </c>
      <c r="Z786">
        <v>-4.0685290000000004E-3</v>
      </c>
      <c r="AA786">
        <v>0.99613470000000004</v>
      </c>
      <c r="AB786">
        <v>35</v>
      </c>
      <c r="AC786">
        <v>0.582600000000013</v>
      </c>
      <c r="AD786">
        <v>-5.3067999999999803E-2</v>
      </c>
      <c r="AE786">
        <v>-5.8400000000062798E-2</v>
      </c>
      <c r="AF786">
        <v>6.5782709564021602E-2</v>
      </c>
      <c r="AG786">
        <v>-5.3067999999999803E-2</v>
      </c>
      <c r="AH786">
        <v>0.57701142017292495</v>
      </c>
      <c r="AI786">
        <v>95.221104075642103</v>
      </c>
      <c r="AJ786">
        <v>83.496023901839095</v>
      </c>
      <c r="AK786">
        <v>0.58316872045023105</v>
      </c>
      <c r="AL786">
        <v>87.593706572519395</v>
      </c>
      <c r="AM786">
        <v>86.114369131880906</v>
      </c>
      <c r="AN786">
        <v>1.00000004387506</v>
      </c>
    </row>
    <row r="787" spans="1:40" x14ac:dyDescent="0.25">
      <c r="A787" t="str">
        <f>"20190312154814027"</f>
        <v>20190312154814027</v>
      </c>
      <c r="B787" t="str">
        <f>"1552376894017048"</f>
        <v>1552376894017048</v>
      </c>
      <c r="C787" t="s">
        <v>40</v>
      </c>
      <c r="D787">
        <v>4.7923989999999996</v>
      </c>
      <c r="E787">
        <v>0.50916119999999998</v>
      </c>
      <c r="F787" t="s">
        <v>41</v>
      </c>
      <c r="G787">
        <v>-295.09399999999999</v>
      </c>
      <c r="H787">
        <v>0.99767649999999997</v>
      </c>
      <c r="I787">
        <v>367.79680000000002</v>
      </c>
      <c r="J787">
        <v>-295.7835</v>
      </c>
      <c r="K787">
        <v>1.0593969999999999</v>
      </c>
      <c r="L787">
        <v>367.86579999999998</v>
      </c>
      <c r="M787">
        <v>0.99986739999999996</v>
      </c>
      <c r="N787">
        <v>0</v>
      </c>
      <c r="O787">
        <v>1.3683270000000001E-2</v>
      </c>
      <c r="P787">
        <v>0.99798549999999997</v>
      </c>
      <c r="Q787">
        <v>3.293927E-2</v>
      </c>
      <c r="R787">
        <v>-5.4226169999999997E-2</v>
      </c>
      <c r="S787">
        <v>3.0008849999999998</v>
      </c>
      <c r="T787">
        <v>-0.20838989999999999</v>
      </c>
      <c r="U787">
        <v>-0.22335820000000001</v>
      </c>
      <c r="V787">
        <v>6.786565E-2</v>
      </c>
      <c r="W787">
        <v>4.1780530000000003E-2</v>
      </c>
      <c r="X787">
        <v>0.99681929999999996</v>
      </c>
      <c r="Y787">
        <v>8.7621879999999999E-2</v>
      </c>
      <c r="Z787">
        <v>-3.9824040000000002E-3</v>
      </c>
      <c r="AA787">
        <v>0.99614579999999997</v>
      </c>
      <c r="AB787">
        <v>35</v>
      </c>
      <c r="AC787">
        <v>0.68950000000000899</v>
      </c>
      <c r="AD787">
        <v>-6.17204999999999E-2</v>
      </c>
      <c r="AE787">
        <v>-6.8999999999959899E-2</v>
      </c>
      <c r="AF787">
        <v>7.7811209860449607E-2</v>
      </c>
      <c r="AG787">
        <v>-6.17204999999999E-2</v>
      </c>
      <c r="AH787">
        <v>0.68307213484915197</v>
      </c>
      <c r="AI787">
        <v>95.130068076097999</v>
      </c>
      <c r="AJ787">
        <v>83.5012445018222</v>
      </c>
      <c r="AK787">
        <v>0.69025469640385195</v>
      </c>
      <c r="AL787">
        <v>87.605455053310706</v>
      </c>
      <c r="AM787">
        <v>86.105187640582898</v>
      </c>
      <c r="AN787">
        <v>1.00000003799474</v>
      </c>
    </row>
    <row r="788" spans="1:40" x14ac:dyDescent="0.25">
      <c r="A788" t="str">
        <f>"20190312154814039"</f>
        <v>20190312154814039</v>
      </c>
      <c r="B788" t="str">
        <f>"1552376894026808"</f>
        <v>1552376894026808</v>
      </c>
      <c r="C788" t="s">
        <v>40</v>
      </c>
      <c r="D788">
        <v>4.7852110000000003</v>
      </c>
      <c r="E788">
        <v>0.50935259999999905</v>
      </c>
      <c r="F788" t="s">
        <v>41</v>
      </c>
      <c r="G788">
        <v>-294.78429999999997</v>
      </c>
      <c r="H788">
        <v>0.99091879999999999</v>
      </c>
      <c r="I788">
        <v>367.79169999999999</v>
      </c>
      <c r="J788">
        <v>-295.60210000000001</v>
      </c>
      <c r="K788">
        <v>1.0594319999999999</v>
      </c>
      <c r="L788">
        <v>367.86829999999998</v>
      </c>
      <c r="M788">
        <v>0.99986450000000004</v>
      </c>
      <c r="N788">
        <v>0</v>
      </c>
      <c r="O788">
        <v>1.375088E-2</v>
      </c>
      <c r="P788">
        <v>0.9980097</v>
      </c>
      <c r="Q788">
        <v>3.289313E-2</v>
      </c>
      <c r="R788">
        <v>-5.3803379999999998E-2</v>
      </c>
      <c r="S788">
        <v>3.0007929999999998</v>
      </c>
      <c r="T788">
        <v>-0.2057929</v>
      </c>
      <c r="U788">
        <v>-0.22183230000000001</v>
      </c>
      <c r="V788">
        <v>6.7510600000000004E-2</v>
      </c>
      <c r="W788">
        <v>4.1936319999999999E-2</v>
      </c>
      <c r="X788">
        <v>0.99683679999999997</v>
      </c>
      <c r="Y788">
        <v>8.7194540000000001E-2</v>
      </c>
      <c r="Z788">
        <v>-3.9230949999999997E-3</v>
      </c>
      <c r="AA788">
        <v>0.99618359999999995</v>
      </c>
      <c r="AB788">
        <v>35</v>
      </c>
      <c r="AC788">
        <v>0.81780000000003295</v>
      </c>
      <c r="AD788">
        <v>-6.8513199999999899E-2</v>
      </c>
      <c r="AE788">
        <v>-7.6599999999984902E-2</v>
      </c>
      <c r="AF788">
        <v>8.7231761752725803E-2</v>
      </c>
      <c r="AG788">
        <v>-6.8513199999999899E-2</v>
      </c>
      <c r="AH788">
        <v>0.81102649767576396</v>
      </c>
      <c r="AI788">
        <v>94.801158083682694</v>
      </c>
      <c r="AJ788">
        <v>83.861025227825294</v>
      </c>
      <c r="AK788">
        <v>0.81857645871655804</v>
      </c>
      <c r="AL788">
        <v>87.596520952760997</v>
      </c>
      <c r="AM788">
        <v>86.125569561912499</v>
      </c>
      <c r="AN788">
        <v>0.99999997094087001</v>
      </c>
    </row>
    <row r="789" spans="1:40" x14ac:dyDescent="0.25">
      <c r="A789" t="str">
        <f>"20190312154814051"</f>
        <v>20190312154814051</v>
      </c>
      <c r="B789" t="str">
        <f>"1552376894046327"</f>
        <v>1552376894046327</v>
      </c>
      <c r="C789" t="s">
        <v>40</v>
      </c>
      <c r="D789">
        <v>4.7983149999999997</v>
      </c>
      <c r="E789">
        <v>0.50945280000000004</v>
      </c>
      <c r="F789" t="s">
        <v>41</v>
      </c>
      <c r="G789">
        <v>-294.77550000000002</v>
      </c>
      <c r="H789">
        <v>1.003876</v>
      </c>
      <c r="I789">
        <v>367.80689999999998</v>
      </c>
      <c r="J789">
        <v>-295.42570000000001</v>
      </c>
      <c r="K789">
        <v>1.0594669999999999</v>
      </c>
      <c r="L789">
        <v>367.87079999999997</v>
      </c>
      <c r="M789">
        <v>0.99986169999999996</v>
      </c>
      <c r="N789">
        <v>0</v>
      </c>
      <c r="O789">
        <v>1.381493E-2</v>
      </c>
      <c r="P789">
        <v>0.9980038</v>
      </c>
      <c r="Q789">
        <v>3.2676620000000003E-2</v>
      </c>
      <c r="R789">
        <v>-5.4044540000000002E-2</v>
      </c>
      <c r="S789">
        <v>3.0006710000000001</v>
      </c>
      <c r="T789">
        <v>-0.20186899999999999</v>
      </c>
      <c r="U789">
        <v>-0.2222595</v>
      </c>
      <c r="V789">
        <v>6.7815459999999994E-2</v>
      </c>
      <c r="W789">
        <v>4.1924889999999999E-2</v>
      </c>
      <c r="X789">
        <v>0.99681660000000005</v>
      </c>
      <c r="Y789">
        <v>8.7410680000000004E-2</v>
      </c>
      <c r="Z789">
        <v>-3.8601519999999999E-3</v>
      </c>
      <c r="AA789">
        <v>0.99616490000000002</v>
      </c>
      <c r="AB789">
        <v>35</v>
      </c>
      <c r="AC789">
        <v>0.65019999999998301</v>
      </c>
      <c r="AD789">
        <v>-5.5590999999999897E-2</v>
      </c>
      <c r="AE789">
        <v>-6.3899999999989604E-2</v>
      </c>
      <c r="AF789">
        <v>7.2352916479336102E-2</v>
      </c>
      <c r="AG789">
        <v>-5.5590999999999897E-2</v>
      </c>
      <c r="AH789">
        <v>0.64458829315821797</v>
      </c>
      <c r="AI789">
        <v>94.898531714996807</v>
      </c>
      <c r="AJ789">
        <v>83.595544631828602</v>
      </c>
      <c r="AK789">
        <v>0.65101411004730902</v>
      </c>
      <c r="AL789">
        <v>87.5971764502643</v>
      </c>
      <c r="AM789">
        <v>86.108048681870898</v>
      </c>
      <c r="AN789">
        <v>0.99999998352604103</v>
      </c>
    </row>
    <row r="790" spans="1:40" x14ac:dyDescent="0.25">
      <c r="A790" t="str">
        <f>"20190312154814060"</f>
        <v>20190312154814060</v>
      </c>
      <c r="B790" t="str">
        <f>"1552376894057065"</f>
        <v>1552376894057065</v>
      </c>
      <c r="C790" t="s">
        <v>40</v>
      </c>
      <c r="D790">
        <v>4.829447</v>
      </c>
      <c r="E790">
        <v>0.50901629999999998</v>
      </c>
      <c r="F790" t="s">
        <v>41</v>
      </c>
      <c r="G790">
        <v>-294.46809999999999</v>
      </c>
      <c r="H790">
        <v>0.99678829999999996</v>
      </c>
      <c r="I790">
        <v>367.79910000000001</v>
      </c>
      <c r="J790">
        <v>-295.24990000000003</v>
      </c>
      <c r="K790">
        <v>1.0595049999999999</v>
      </c>
      <c r="L790">
        <v>367.87329999999997</v>
      </c>
      <c r="M790">
        <v>0.99985900000000005</v>
      </c>
      <c r="N790">
        <v>0</v>
      </c>
      <c r="O790">
        <v>1.387672E-2</v>
      </c>
      <c r="P790">
        <v>0.99801819999999997</v>
      </c>
      <c r="Q790">
        <v>3.2493220000000003E-2</v>
      </c>
      <c r="R790">
        <v>-5.3889989999999999E-2</v>
      </c>
      <c r="S790">
        <v>3.0003359999999999</v>
      </c>
      <c r="T790">
        <v>-0.19652890000000001</v>
      </c>
      <c r="U790">
        <v>-0.22421260000000001</v>
      </c>
      <c r="V790">
        <v>6.7722660000000004E-2</v>
      </c>
      <c r="W790">
        <v>4.1955850000000003E-2</v>
      </c>
      <c r="X790">
        <v>0.99682159999999997</v>
      </c>
      <c r="Y790">
        <v>8.8135530000000004E-2</v>
      </c>
      <c r="Z790">
        <v>-3.7863089999999999E-3</v>
      </c>
      <c r="AA790">
        <v>0.99610129999999997</v>
      </c>
      <c r="AB790">
        <v>35</v>
      </c>
      <c r="AC790">
        <v>0.78180000000003202</v>
      </c>
      <c r="AD790">
        <v>-6.2716699999999903E-2</v>
      </c>
      <c r="AE790">
        <v>-7.4199999999962005E-2</v>
      </c>
      <c r="AF790">
        <v>8.4503203154071602E-2</v>
      </c>
      <c r="AG790">
        <v>-6.2716699999999903E-2</v>
      </c>
      <c r="AH790">
        <v>0.775747346424561</v>
      </c>
      <c r="AI790">
        <v>94.595063454706803</v>
      </c>
      <c r="AJ790">
        <v>83.783205821059298</v>
      </c>
      <c r="AK790">
        <v>0.78285255398889497</v>
      </c>
      <c r="AL790">
        <v>87.595400995322606</v>
      </c>
      <c r="AM790">
        <v>86.113377605382794</v>
      </c>
      <c r="AN790">
        <v>0.99999997712662803</v>
      </c>
    </row>
    <row r="791" spans="1:40" x14ac:dyDescent="0.25">
      <c r="A791" t="str">
        <f>"20190312154814073"</f>
        <v>20190312154814073</v>
      </c>
      <c r="B791" t="str">
        <f>"1552376894066823"</f>
        <v>1552376894066823</v>
      </c>
      <c r="C791" t="s">
        <v>40</v>
      </c>
      <c r="D791">
        <v>4.7740900000000002</v>
      </c>
      <c r="E791">
        <v>0.50889259999999903</v>
      </c>
      <c r="F791" t="s">
        <v>41</v>
      </c>
      <c r="G791">
        <v>-294.45650000000001</v>
      </c>
      <c r="H791">
        <v>1.0065029999999999</v>
      </c>
      <c r="I791">
        <v>367.815</v>
      </c>
      <c r="J791">
        <v>-295.07240000000002</v>
      </c>
      <c r="K791">
        <v>1.0595429999999999</v>
      </c>
      <c r="L791">
        <v>367.8759</v>
      </c>
      <c r="M791">
        <v>0.99985579999999996</v>
      </c>
      <c r="N791">
        <v>0</v>
      </c>
      <c r="O791">
        <v>1.3940050000000001E-2</v>
      </c>
      <c r="P791">
        <v>0.99801799999999996</v>
      </c>
      <c r="Q791">
        <v>3.2230719999999997E-2</v>
      </c>
      <c r="R791">
        <v>-5.405049E-2</v>
      </c>
      <c r="S791">
        <v>3.0005799999999998</v>
      </c>
      <c r="T791">
        <v>-0.20060049999999999</v>
      </c>
      <c r="U791">
        <v>-0.21997069999999999</v>
      </c>
      <c r="V791">
        <v>6.7946370000000006E-2</v>
      </c>
      <c r="W791">
        <v>4.1924879999999998E-2</v>
      </c>
      <c r="X791">
        <v>0.99680769999999996</v>
      </c>
      <c r="Y791">
        <v>8.6785790000000002E-2</v>
      </c>
      <c r="Z791">
        <v>-3.8236849999999998E-3</v>
      </c>
      <c r="AA791">
        <v>0.99621959999999998</v>
      </c>
      <c r="AB791">
        <v>35</v>
      </c>
      <c r="AC791">
        <v>0.61590000000001</v>
      </c>
      <c r="AD791">
        <v>-5.30399999999999E-2</v>
      </c>
      <c r="AE791">
        <v>-6.0900000000003701E-2</v>
      </c>
      <c r="AF791">
        <v>6.8973587394769595E-2</v>
      </c>
      <c r="AG791">
        <v>-5.30399999999999E-2</v>
      </c>
      <c r="AH791">
        <v>0.61050730131344</v>
      </c>
      <c r="AI791">
        <v>94.934075006188493</v>
      </c>
      <c r="AJ791">
        <v>83.554198016404996</v>
      </c>
      <c r="AK791">
        <v>0.61667638378255096</v>
      </c>
      <c r="AL791">
        <v>87.597177057970299</v>
      </c>
      <c r="AM791">
        <v>86.100524161470204</v>
      </c>
      <c r="AN791">
        <v>0.99999999776923998</v>
      </c>
    </row>
    <row r="792" spans="1:40" x14ac:dyDescent="0.25">
      <c r="A792" t="str">
        <f>"20190312154814083"</f>
        <v>20190312154814083</v>
      </c>
      <c r="B792" t="str">
        <f>"1552376894076584"</f>
        <v>1552376894076584</v>
      </c>
      <c r="C792" t="s">
        <v>40</v>
      </c>
      <c r="D792">
        <v>4.7758129999999896</v>
      </c>
      <c r="E792">
        <v>0.50882640000000001</v>
      </c>
      <c r="F792" t="s">
        <v>41</v>
      </c>
      <c r="G792">
        <v>-294.15449999999998</v>
      </c>
      <c r="H792">
        <v>0.99809040000000004</v>
      </c>
      <c r="I792">
        <v>367.80860000000001</v>
      </c>
      <c r="J792">
        <v>-294.90179999999998</v>
      </c>
      <c r="K792">
        <v>1.059579</v>
      </c>
      <c r="L792">
        <v>367.87830000000002</v>
      </c>
      <c r="M792">
        <v>0.99985259999999998</v>
      </c>
      <c r="N792">
        <v>0</v>
      </c>
      <c r="O792">
        <v>1.4001039999999999E-2</v>
      </c>
      <c r="P792">
        <v>0.99801519999999999</v>
      </c>
      <c r="Q792">
        <v>3.1901840000000001E-2</v>
      </c>
      <c r="R792">
        <v>-5.4295450000000002E-2</v>
      </c>
      <c r="S792">
        <v>3.0005489999999999</v>
      </c>
      <c r="T792">
        <v>-0.20087430000000001</v>
      </c>
      <c r="U792">
        <v>-0.2197876</v>
      </c>
      <c r="V792">
        <v>6.825225E-2</v>
      </c>
      <c r="W792">
        <v>4.182437E-2</v>
      </c>
      <c r="X792">
        <v>0.99679099999999998</v>
      </c>
      <c r="Y792">
        <v>8.678611E-2</v>
      </c>
      <c r="Z792">
        <v>-3.8330270000000001E-3</v>
      </c>
      <c r="AA792">
        <v>0.99621959999999998</v>
      </c>
      <c r="AB792">
        <v>35</v>
      </c>
      <c r="AC792">
        <v>0.74729999999999497</v>
      </c>
      <c r="AD792">
        <v>-6.1488599999999997E-2</v>
      </c>
      <c r="AE792">
        <v>-6.97000000000116E-2</v>
      </c>
      <c r="AF792">
        <v>7.9622254294238803E-2</v>
      </c>
      <c r="AG792">
        <v>-6.1488599999999997E-2</v>
      </c>
      <c r="AH792">
        <v>0.74127554511947602</v>
      </c>
      <c r="AI792">
        <v>94.714816094166494</v>
      </c>
      <c r="AJ792">
        <v>83.869223209615498</v>
      </c>
      <c r="AK792">
        <v>0.74807084230107002</v>
      </c>
      <c r="AL792">
        <v>87.602940852092502</v>
      </c>
      <c r="AM792">
        <v>86.082958660070304</v>
      </c>
      <c r="AN792">
        <v>0.99999997261847895</v>
      </c>
    </row>
    <row r="793" spans="1:40" x14ac:dyDescent="0.25">
      <c r="A793" t="str">
        <f>"20190312154814101"</f>
        <v>20190312154814101</v>
      </c>
      <c r="B793" t="str">
        <f>"1552376894096612"</f>
        <v>1552376894096612</v>
      </c>
      <c r="C793" t="s">
        <v>40</v>
      </c>
      <c r="D793">
        <v>4.7784829999999996</v>
      </c>
      <c r="E793">
        <v>0.50866599999999995</v>
      </c>
      <c r="F793" t="s">
        <v>42</v>
      </c>
      <c r="G793">
        <v>-279.1377</v>
      </c>
      <c r="H793" s="1">
        <v>-1.049067E-6</v>
      </c>
      <c r="I793">
        <v>366.72399999999999</v>
      </c>
      <c r="J793">
        <v>-294.6429</v>
      </c>
      <c r="K793">
        <v>1.059633</v>
      </c>
      <c r="L793">
        <v>367.88200000000001</v>
      </c>
      <c r="M793">
        <v>0.99984759999999995</v>
      </c>
      <c r="N793">
        <v>0</v>
      </c>
      <c r="O793">
        <v>1.4096279999999999E-2</v>
      </c>
      <c r="P793">
        <v>0.99801620000000002</v>
      </c>
      <c r="Q793">
        <v>3.1375260000000002E-2</v>
      </c>
      <c r="R793">
        <v>-5.4584300000000002E-2</v>
      </c>
      <c r="S793">
        <v>3.0004580000000001</v>
      </c>
      <c r="T793">
        <v>-0.20167399999999999</v>
      </c>
      <c r="U793">
        <v>-0.219696</v>
      </c>
      <c r="V793">
        <v>6.8636279999999994E-2</v>
      </c>
      <c r="W793">
        <v>4.1660469999999998E-2</v>
      </c>
      <c r="X793">
        <v>0.99677150000000003</v>
      </c>
      <c r="Y793">
        <v>8.6850869999999997E-2</v>
      </c>
      <c r="Z793">
        <v>-3.8569350000000001E-3</v>
      </c>
      <c r="AA793">
        <v>0.99621389999999999</v>
      </c>
      <c r="AB793">
        <v>35</v>
      </c>
      <c r="AC793">
        <v>15.5052</v>
      </c>
      <c r="AD793">
        <v>-1.059634049067</v>
      </c>
      <c r="AE793">
        <v>-1.15799999999995</v>
      </c>
      <c r="AF793">
        <v>1.3700987062517</v>
      </c>
      <c r="AG793">
        <v>-1.059634049067</v>
      </c>
      <c r="AH793">
        <v>15.4157361346771</v>
      </c>
      <c r="AI793">
        <v>93.916773886280097</v>
      </c>
      <c r="AJ793">
        <v>84.921088907877902</v>
      </c>
      <c r="AK793">
        <v>15.512733974280801</v>
      </c>
      <c r="AL793">
        <v>87.612339836653305</v>
      </c>
      <c r="AM793">
        <v>86.060911296663804</v>
      </c>
      <c r="AN793">
        <v>0.99999997845255395</v>
      </c>
    </row>
    <row r="794" spans="1:40" x14ac:dyDescent="0.25">
      <c r="A794" t="str">
        <f>"20190312154814117"</f>
        <v>20190312154814117</v>
      </c>
      <c r="B794" t="str">
        <f>"1552376894106372"</f>
        <v>1552376894106372</v>
      </c>
      <c r="C794" t="s">
        <v>40</v>
      </c>
      <c r="D794">
        <v>4.8163039999999997</v>
      </c>
      <c r="E794">
        <v>0.50863670000000005</v>
      </c>
      <c r="F794" t="s">
        <v>41</v>
      </c>
      <c r="G794">
        <v>-293.83620000000002</v>
      </c>
      <c r="H794">
        <v>1.005336</v>
      </c>
      <c r="I794">
        <v>367.82299999999998</v>
      </c>
      <c r="J794">
        <v>-294.40379999999999</v>
      </c>
      <c r="K794">
        <v>1.059677</v>
      </c>
      <c r="L794">
        <v>367.88549999999998</v>
      </c>
      <c r="M794">
        <v>0.99984289999999998</v>
      </c>
      <c r="N794">
        <v>0</v>
      </c>
      <c r="O794">
        <v>1.4186259999999999E-2</v>
      </c>
      <c r="P794">
        <v>0.99802000000000002</v>
      </c>
      <c r="Q794">
        <v>3.1090909999999999E-2</v>
      </c>
      <c r="R794">
        <v>-5.4677120000000003E-2</v>
      </c>
      <c r="S794">
        <v>3.000305</v>
      </c>
      <c r="T794">
        <v>-0.2020044</v>
      </c>
      <c r="U794">
        <v>-0.21932979999999999</v>
      </c>
      <c r="V794">
        <v>6.8819340000000007E-2</v>
      </c>
      <c r="W794">
        <v>4.1707630000000002E-2</v>
      </c>
      <c r="X794">
        <v>0.99675689999999995</v>
      </c>
      <c r="Y794">
        <v>8.6822410000000003E-2</v>
      </c>
      <c r="Z794">
        <v>-3.8685439999999998E-3</v>
      </c>
      <c r="AA794">
        <v>0.99621630000000005</v>
      </c>
      <c r="AB794">
        <v>35</v>
      </c>
      <c r="AC794">
        <v>0.56759999999997002</v>
      </c>
      <c r="AD794">
        <v>-5.4340999999999903E-2</v>
      </c>
      <c r="AE794">
        <v>-6.2499999999943101E-2</v>
      </c>
      <c r="AF794">
        <v>6.9913152277327098E-2</v>
      </c>
      <c r="AG794">
        <v>-5.4340999999999903E-2</v>
      </c>
      <c r="AH794">
        <v>0.56157060136332504</v>
      </c>
      <c r="AI794">
        <v>95.4849991519947</v>
      </c>
      <c r="AJ794">
        <v>82.903432420287302</v>
      </c>
      <c r="AK794">
        <v>0.56850886840744996</v>
      </c>
      <c r="AL794">
        <v>87.609635403612998</v>
      </c>
      <c r="AM794">
        <v>86.050380880280997</v>
      </c>
      <c r="AN794">
        <v>0.99999997282792996</v>
      </c>
    </row>
    <row r="795" spans="1:40" x14ac:dyDescent="0.25">
      <c r="A795" t="str">
        <f>"20190312154814130"</f>
        <v>20190312154814130</v>
      </c>
      <c r="B795" t="str">
        <f>"1552376894126868"</f>
        <v>1552376894126868</v>
      </c>
      <c r="C795" t="s">
        <v>40</v>
      </c>
      <c r="D795">
        <v>4.9349210000000001</v>
      </c>
      <c r="E795">
        <v>0.50812250000000003</v>
      </c>
      <c r="F795" t="s">
        <v>41</v>
      </c>
      <c r="G795">
        <v>-293.52820000000003</v>
      </c>
      <c r="H795">
        <v>1.000629</v>
      </c>
      <c r="I795">
        <v>367.82130000000001</v>
      </c>
      <c r="J795">
        <v>-294.1866</v>
      </c>
      <c r="K795">
        <v>1.0597110000000001</v>
      </c>
      <c r="L795">
        <v>367.88869999999997</v>
      </c>
      <c r="M795">
        <v>0.99983849999999996</v>
      </c>
      <c r="N795">
        <v>0</v>
      </c>
      <c r="O795">
        <v>1.4268889999999999E-2</v>
      </c>
      <c r="P795">
        <v>0.99802670000000004</v>
      </c>
      <c r="Q795">
        <v>3.0654279999999999E-2</v>
      </c>
      <c r="R795">
        <v>-5.4800990000000001E-2</v>
      </c>
      <c r="S795">
        <v>3.0002140000000002</v>
      </c>
      <c r="T795">
        <v>-0.20237520000000001</v>
      </c>
      <c r="U795">
        <v>-0.2198792</v>
      </c>
      <c r="V795">
        <v>6.9025929999999999E-2</v>
      </c>
      <c r="W795">
        <v>4.1563280000000001E-2</v>
      </c>
      <c r="X795">
        <v>0.99674870000000004</v>
      </c>
      <c r="Y795">
        <v>8.7086780000000003E-2</v>
      </c>
      <c r="Z795">
        <v>-3.8901790000000001E-3</v>
      </c>
      <c r="AA795">
        <v>0.99619310000000005</v>
      </c>
      <c r="AB795">
        <v>35</v>
      </c>
      <c r="AC795">
        <v>0.65839999999997101</v>
      </c>
      <c r="AD795">
        <v>-5.9082000000000003E-2</v>
      </c>
      <c r="AE795">
        <v>-6.7399999999963697E-2</v>
      </c>
      <c r="AF795">
        <v>7.6181247898885501E-2</v>
      </c>
      <c r="AG795">
        <v>-5.9082000000000003E-2</v>
      </c>
      <c r="AH795">
        <v>0.65217401489655003</v>
      </c>
      <c r="AI795">
        <v>95.141660780416899</v>
      </c>
      <c r="AJ795">
        <v>83.337403529084497</v>
      </c>
      <c r="AK795">
        <v>0.65926110985080599</v>
      </c>
      <c r="AL795">
        <v>87.617913359328895</v>
      </c>
      <c r="AM795">
        <v>86.038529655468395</v>
      </c>
      <c r="AN795">
        <v>1.0000000281042001</v>
      </c>
    </row>
    <row r="796" spans="1:40" x14ac:dyDescent="0.25">
      <c r="A796" t="str">
        <f>"20190312154814146"</f>
        <v>20190312154814146</v>
      </c>
      <c r="B796" t="str">
        <f>"1552376894136627"</f>
        <v>1552376894136627</v>
      </c>
      <c r="C796" t="s">
        <v>40</v>
      </c>
      <c r="D796">
        <v>4.8601989999999997</v>
      </c>
      <c r="E796">
        <v>0.50765979999999999</v>
      </c>
      <c r="F796" t="s">
        <v>41</v>
      </c>
      <c r="G796">
        <v>-293.22219999999999</v>
      </c>
      <c r="H796">
        <v>0.99308339999999995</v>
      </c>
      <c r="I796">
        <v>367.8193</v>
      </c>
      <c r="J796">
        <v>-293.94139999999999</v>
      </c>
      <c r="K796">
        <v>1.0597479999999999</v>
      </c>
      <c r="L796">
        <v>367.8922</v>
      </c>
      <c r="M796">
        <v>0.99983379999999999</v>
      </c>
      <c r="N796">
        <v>0</v>
      </c>
      <c r="O796">
        <v>1.436249E-2</v>
      </c>
      <c r="P796">
        <v>0.9980173</v>
      </c>
      <c r="Q796">
        <v>3.0540479999999998E-2</v>
      </c>
      <c r="R796">
        <v>-5.5038280000000002E-2</v>
      </c>
      <c r="S796">
        <v>3.0004580000000001</v>
      </c>
      <c r="T796">
        <v>-0.20726810000000001</v>
      </c>
      <c r="U796">
        <v>-0.21594240000000001</v>
      </c>
      <c r="V796">
        <v>6.935653E-2</v>
      </c>
      <c r="W796">
        <v>4.1764330000000002E-2</v>
      </c>
      <c r="X796">
        <v>0.99671730000000003</v>
      </c>
      <c r="Y796">
        <v>8.5865399999999995E-2</v>
      </c>
      <c r="Z796">
        <v>-3.9482509999999998E-3</v>
      </c>
      <c r="AA796">
        <v>0.99629889999999999</v>
      </c>
      <c r="AB796">
        <v>35</v>
      </c>
      <c r="AC796">
        <v>0.71919999999999995</v>
      </c>
      <c r="AD796">
        <v>-6.6664599999999796E-2</v>
      </c>
      <c r="AE796">
        <v>-7.29000000000041E-2</v>
      </c>
      <c r="AF796">
        <v>8.2520830450178898E-2</v>
      </c>
      <c r="AG796">
        <v>-6.6664599999999796E-2</v>
      </c>
      <c r="AH796">
        <v>0.71202327184405501</v>
      </c>
      <c r="AI796">
        <v>95.313478223024603</v>
      </c>
      <c r="AJ796">
        <v>83.389127418067105</v>
      </c>
      <c r="AK796">
        <v>0.71988262654328605</v>
      </c>
      <c r="AL796">
        <v>87.606383921235107</v>
      </c>
      <c r="AM796">
        <v>86.019492025895701</v>
      </c>
      <c r="AN796">
        <v>0.99999998181663896</v>
      </c>
    </row>
    <row r="797" spans="1:40" x14ac:dyDescent="0.25">
      <c r="A797" t="str">
        <f>"20190312154814158"</f>
        <v>20190312154814158</v>
      </c>
      <c r="B797" t="str">
        <f>"1552376894146387"</f>
        <v>1552376894146387</v>
      </c>
      <c r="C797" t="s">
        <v>40</v>
      </c>
      <c r="D797">
        <v>4.9007360000000002</v>
      </c>
      <c r="E797">
        <v>0.50765979999999999</v>
      </c>
      <c r="F797" t="s">
        <v>41</v>
      </c>
      <c r="G797">
        <v>-292.91320000000002</v>
      </c>
      <c r="H797">
        <v>0.98856909999999998</v>
      </c>
      <c r="I797">
        <v>367.81900000000002</v>
      </c>
      <c r="J797">
        <v>-293.75310000000002</v>
      </c>
      <c r="K797">
        <v>1.0597700000000001</v>
      </c>
      <c r="L797">
        <v>367.89499999999998</v>
      </c>
      <c r="M797">
        <v>0.9998302</v>
      </c>
      <c r="N797">
        <v>0</v>
      </c>
      <c r="O797">
        <v>1.4433039999999999E-2</v>
      </c>
      <c r="P797">
        <v>0.99803850000000005</v>
      </c>
      <c r="Q797">
        <v>3.0612710000000001E-2</v>
      </c>
      <c r="R797">
        <v>-5.4611310000000003E-2</v>
      </c>
      <c r="S797">
        <v>3.0005489999999999</v>
      </c>
      <c r="T797">
        <v>-0.20792289999999999</v>
      </c>
      <c r="U797">
        <v>-0.21298220000000001</v>
      </c>
      <c r="V797">
        <v>6.9000309999999995E-2</v>
      </c>
      <c r="W797">
        <v>4.2060670000000001E-2</v>
      </c>
      <c r="X797">
        <v>0.99672959999999999</v>
      </c>
      <c r="Y797">
        <v>8.4956100000000007E-2</v>
      </c>
      <c r="Z797">
        <v>-3.9341649999999999E-3</v>
      </c>
      <c r="AA797">
        <v>0.99637690000000001</v>
      </c>
      <c r="AB797">
        <v>35</v>
      </c>
      <c r="AC797">
        <v>0.83989999999999998</v>
      </c>
      <c r="AD797">
        <v>-7.1200900000000206E-2</v>
      </c>
      <c r="AE797">
        <v>-7.5999999999964901E-2</v>
      </c>
      <c r="AF797">
        <v>8.7491539398055901E-2</v>
      </c>
      <c r="AG797">
        <v>-7.1200900000000206E-2</v>
      </c>
      <c r="AH797">
        <v>0.83277937791413303</v>
      </c>
      <c r="AI797">
        <v>94.860166137907001</v>
      </c>
      <c r="AJ797">
        <v>84.002524645257395</v>
      </c>
      <c r="AK797">
        <v>0.84038433463868301</v>
      </c>
      <c r="AL797">
        <v>87.589390046710193</v>
      </c>
      <c r="AM797">
        <v>86.039919692354502</v>
      </c>
      <c r="AN797">
        <v>1.0000000191285501</v>
      </c>
    </row>
    <row r="798" spans="1:40" x14ac:dyDescent="0.25">
      <c r="A798" t="str">
        <f>"20190312154814169"</f>
        <v>20190312154814169</v>
      </c>
      <c r="B798" t="str">
        <f>"1552376894166884"</f>
        <v>1552376894166884</v>
      </c>
      <c r="C798" t="s">
        <v>40</v>
      </c>
      <c r="D798">
        <v>4.8412860000000002</v>
      </c>
      <c r="E798">
        <v>0.50604919999999998</v>
      </c>
      <c r="F798" t="s">
        <v>41</v>
      </c>
      <c r="G798">
        <v>-292.90519999999998</v>
      </c>
      <c r="H798">
        <v>1.0011460000000001</v>
      </c>
      <c r="I798">
        <v>367.83499999999998</v>
      </c>
      <c r="J798">
        <v>-293.57330000000002</v>
      </c>
      <c r="K798">
        <v>1.059793</v>
      </c>
      <c r="L798">
        <v>367.89760000000001</v>
      </c>
      <c r="M798">
        <v>0.99982680000000002</v>
      </c>
      <c r="N798">
        <v>0</v>
      </c>
      <c r="O798">
        <v>1.4499969999999999E-2</v>
      </c>
      <c r="P798">
        <v>0.99804009999999999</v>
      </c>
      <c r="Q798">
        <v>3.0342810000000001E-2</v>
      </c>
      <c r="R798">
        <v>-5.4733669999999998E-2</v>
      </c>
      <c r="S798">
        <v>3.0007320000000002</v>
      </c>
      <c r="T798">
        <v>-0.20771290000000001</v>
      </c>
      <c r="U798">
        <v>-0.21151729999999999</v>
      </c>
      <c r="V798">
        <v>6.9189529999999999E-2</v>
      </c>
      <c r="W798">
        <v>4.1997779999999998E-2</v>
      </c>
      <c r="X798">
        <v>0.99671909999999997</v>
      </c>
      <c r="Y798">
        <v>8.4535929999999995E-2</v>
      </c>
      <c r="Z798">
        <v>-3.9201459999999898E-3</v>
      </c>
      <c r="AA798">
        <v>0.99641270000000004</v>
      </c>
      <c r="AB798">
        <v>35</v>
      </c>
      <c r="AC798">
        <v>0.668100000000038</v>
      </c>
      <c r="AD798">
        <v>-5.8647000000000102E-2</v>
      </c>
      <c r="AE798">
        <v>-6.26000000000317E-2</v>
      </c>
      <c r="AF798">
        <v>7.1733564974055905E-2</v>
      </c>
      <c r="AG798">
        <v>-5.8647000000000102E-2</v>
      </c>
      <c r="AH798">
        <v>0.66206476063222497</v>
      </c>
      <c r="AI798">
        <v>95.0328575898926</v>
      </c>
      <c r="AJ798">
        <v>83.816224508081206</v>
      </c>
      <c r="AK798">
        <v>0.66851695731962701</v>
      </c>
      <c r="AL798">
        <v>87.592996481469797</v>
      </c>
      <c r="AM798">
        <v>86.029052934357907</v>
      </c>
      <c r="AN798">
        <v>0.99999998444567895</v>
      </c>
    </row>
    <row r="799" spans="1:40" x14ac:dyDescent="0.25">
      <c r="A799" t="str">
        <f>"20190312154814182"</f>
        <v>20190312154814182</v>
      </c>
      <c r="B799" t="str">
        <f>"1552376894176643"</f>
        <v>1552376894176643</v>
      </c>
      <c r="C799" t="s">
        <v>40</v>
      </c>
      <c r="D799">
        <v>4.8509310000000001</v>
      </c>
      <c r="E799">
        <v>0.50563009999999997</v>
      </c>
      <c r="F799" t="s">
        <v>41</v>
      </c>
      <c r="G799">
        <v>-292.60079999999999</v>
      </c>
      <c r="H799">
        <v>0.99238870000000001</v>
      </c>
      <c r="I799">
        <v>367.8329</v>
      </c>
      <c r="J799">
        <v>-293.38130000000001</v>
      </c>
      <c r="K799">
        <v>1.0598129999999999</v>
      </c>
      <c r="L799">
        <v>367.90050000000002</v>
      </c>
      <c r="M799">
        <v>0.99982329999999997</v>
      </c>
      <c r="N799">
        <v>0</v>
      </c>
      <c r="O799">
        <v>1.457052E-2</v>
      </c>
      <c r="P799">
        <v>0.99804879999999996</v>
      </c>
      <c r="Q799">
        <v>3.0209409999999999E-2</v>
      </c>
      <c r="R799">
        <v>-5.464604E-2</v>
      </c>
      <c r="S799">
        <v>3.0012819999999998</v>
      </c>
      <c r="T799">
        <v>-0.2081674</v>
      </c>
      <c r="U799">
        <v>-0.1993103</v>
      </c>
      <c r="V799">
        <v>6.9172549999999999E-2</v>
      </c>
      <c r="W799">
        <v>4.2073529999999998E-2</v>
      </c>
      <c r="X799">
        <v>0.99671710000000002</v>
      </c>
      <c r="Y799">
        <v>8.0567319999999998E-2</v>
      </c>
      <c r="Z799">
        <v>-3.7960950000000002E-3</v>
      </c>
      <c r="AA799">
        <v>0.99674200000000002</v>
      </c>
      <c r="AB799">
        <v>35</v>
      </c>
      <c r="AC799">
        <v>0.78050000000001696</v>
      </c>
      <c r="AD799">
        <v>-6.7424299999999895E-2</v>
      </c>
      <c r="AE799">
        <v>-6.7600000000027194E-2</v>
      </c>
      <c r="AF799">
        <v>7.8385317191642406E-2</v>
      </c>
      <c r="AG799">
        <v>-6.7424299999999895E-2</v>
      </c>
      <c r="AH799">
        <v>0.77370130434555295</v>
      </c>
      <c r="AI799">
        <v>94.955227453765602</v>
      </c>
      <c r="AJ799">
        <v>84.214982141967397</v>
      </c>
      <c r="AK799">
        <v>0.78057927369853697</v>
      </c>
      <c r="AL799">
        <v>87.588652525269296</v>
      </c>
      <c r="AM799">
        <v>86.030016398682093</v>
      </c>
      <c r="AN799">
        <v>1.0000000005162799</v>
      </c>
    </row>
    <row r="800" spans="1:40" x14ac:dyDescent="0.25">
      <c r="A800" t="str">
        <f>"20190312154814193"</f>
        <v>20190312154814193</v>
      </c>
      <c r="B800" t="str">
        <f>"1552376894186911"</f>
        <v>1552376894186911</v>
      </c>
      <c r="C800" t="s">
        <v>40</v>
      </c>
      <c r="D800">
        <v>4.919918</v>
      </c>
      <c r="E800">
        <v>0.50517900000000004</v>
      </c>
      <c r="F800" t="s">
        <v>41</v>
      </c>
      <c r="G800">
        <v>-292.58580000000001</v>
      </c>
      <c r="H800">
        <v>1.0048189999999999</v>
      </c>
      <c r="I800">
        <v>367.8485</v>
      </c>
      <c r="J800">
        <v>-293.20069999999998</v>
      </c>
      <c r="K800">
        <v>1.059825</v>
      </c>
      <c r="L800">
        <v>367.90320000000003</v>
      </c>
      <c r="M800">
        <v>0.99982009999999999</v>
      </c>
      <c r="N800">
        <v>0</v>
      </c>
      <c r="O800">
        <v>1.4636359999999999E-2</v>
      </c>
      <c r="P800">
        <v>0.99805480000000002</v>
      </c>
      <c r="Q800">
        <v>3.003304E-2</v>
      </c>
      <c r="R800">
        <v>-5.4634799999999997E-2</v>
      </c>
      <c r="S800">
        <v>3.0014949999999998</v>
      </c>
      <c r="T800">
        <v>-0.20768239999999999</v>
      </c>
      <c r="U800">
        <v>-0.19543460000000001</v>
      </c>
      <c r="V800">
        <v>6.9226739999999995E-2</v>
      </c>
      <c r="W800">
        <v>4.2080680000000002E-2</v>
      </c>
      <c r="X800">
        <v>0.99671299999999996</v>
      </c>
      <c r="Y800">
        <v>7.9350530000000002E-2</v>
      </c>
      <c r="Z800">
        <v>-3.7497059999999998E-3</v>
      </c>
      <c r="AA800">
        <v>0.9968397</v>
      </c>
      <c r="AB800">
        <v>35</v>
      </c>
      <c r="AC800">
        <v>0.61489999999997702</v>
      </c>
      <c r="AD800">
        <v>-5.5005999999999798E-2</v>
      </c>
      <c r="AE800">
        <v>-5.4700000000025201E-2</v>
      </c>
      <c r="AF800">
        <v>6.3192978027179297E-2</v>
      </c>
      <c r="AG800">
        <v>-5.5005999999999798E-2</v>
      </c>
      <c r="AH800">
        <v>0.609196797339427</v>
      </c>
      <c r="AI800">
        <v>95.132008890765903</v>
      </c>
      <c r="AJ800">
        <v>84.077796140087699</v>
      </c>
      <c r="AK800">
        <v>0.61493068747344104</v>
      </c>
      <c r="AL800">
        <v>87.588242411036205</v>
      </c>
      <c r="AM800">
        <v>86.026899966119402</v>
      </c>
      <c r="AN800">
        <v>0.99999996476464403</v>
      </c>
    </row>
    <row r="801" spans="1:40" x14ac:dyDescent="0.25">
      <c r="A801" t="str">
        <f>"20190312154814204"</f>
        <v>20190312154814204</v>
      </c>
      <c r="B801" t="str">
        <f>"1552376894196670"</f>
        <v>1552376894196670</v>
      </c>
      <c r="C801" t="s">
        <v>40</v>
      </c>
      <c r="D801">
        <v>4.845345</v>
      </c>
      <c r="E801">
        <v>0.50482399999999905</v>
      </c>
      <c r="F801" t="s">
        <v>41</v>
      </c>
      <c r="G801">
        <v>-292.2876</v>
      </c>
      <c r="H801">
        <v>0.99706719999999904</v>
      </c>
      <c r="I801">
        <v>367.84460000000001</v>
      </c>
      <c r="J801">
        <v>-293.02789999999999</v>
      </c>
      <c r="K801">
        <v>1.0598399999999999</v>
      </c>
      <c r="L801">
        <v>367.9058</v>
      </c>
      <c r="M801">
        <v>0.99981710000000001</v>
      </c>
      <c r="N801">
        <v>0</v>
      </c>
      <c r="O801">
        <v>1.469911E-2</v>
      </c>
      <c r="P801">
        <v>0.99806479999999997</v>
      </c>
      <c r="Q801">
        <v>2.9901E-2</v>
      </c>
      <c r="R801">
        <v>-5.4522899999999999E-2</v>
      </c>
      <c r="S801">
        <v>3.0015869999999998</v>
      </c>
      <c r="T801">
        <v>-0.20639489999999999</v>
      </c>
      <c r="U801">
        <v>-0.1919556</v>
      </c>
      <c r="V801">
        <v>6.9177870000000002E-2</v>
      </c>
      <c r="W801">
        <v>4.2119259999999999E-2</v>
      </c>
      <c r="X801">
        <v>0.99671480000000001</v>
      </c>
      <c r="Y801">
        <v>7.8265660000000001E-2</v>
      </c>
      <c r="Z801">
        <v>-3.6936299999999998E-3</v>
      </c>
      <c r="AA801">
        <v>0.99692570000000003</v>
      </c>
      <c r="AB801">
        <v>35</v>
      </c>
      <c r="AC801">
        <v>0.74029999999998997</v>
      </c>
      <c r="AD801">
        <v>-6.2772800000000004E-2</v>
      </c>
      <c r="AE801">
        <v>-6.1199999999985197E-2</v>
      </c>
      <c r="AF801">
        <v>7.15648955474434E-2</v>
      </c>
      <c r="AG801">
        <v>-6.2772800000000004E-2</v>
      </c>
      <c r="AH801">
        <v>0.73407817565052802</v>
      </c>
      <c r="AI801">
        <v>94.864659246587394</v>
      </c>
      <c r="AJ801">
        <v>84.431860313427904</v>
      </c>
      <c r="AK801">
        <v>0.74022478117188495</v>
      </c>
      <c r="AL801">
        <v>87.586030066133503</v>
      </c>
      <c r="AM801">
        <v>86.0297029147019</v>
      </c>
      <c r="AN801">
        <v>1.00000000114986</v>
      </c>
    </row>
    <row r="802" spans="1:40" x14ac:dyDescent="0.25">
      <c r="A802" t="str">
        <f>"20190312154814216"</f>
        <v>20190312154814216</v>
      </c>
      <c r="B802" t="str">
        <f>"1552376894206431"</f>
        <v>1552376894206431</v>
      </c>
      <c r="C802" t="s">
        <v>40</v>
      </c>
      <c r="D802">
        <v>4.8341969999999996</v>
      </c>
      <c r="E802">
        <v>0.50451759999999901</v>
      </c>
      <c r="F802" t="s">
        <v>42</v>
      </c>
      <c r="G802">
        <v>-277.59140000000002</v>
      </c>
      <c r="H802" s="1">
        <v>-1.519652E-6</v>
      </c>
      <c r="I802">
        <v>366.9332</v>
      </c>
      <c r="J802">
        <v>-292.85750000000002</v>
      </c>
      <c r="K802">
        <v>1.059852</v>
      </c>
      <c r="L802">
        <v>367.90839999999997</v>
      </c>
      <c r="M802">
        <v>0.99981439999999999</v>
      </c>
      <c r="N802">
        <v>0</v>
      </c>
      <c r="O802">
        <v>1.476123E-2</v>
      </c>
      <c r="P802">
        <v>0.99806280000000003</v>
      </c>
      <c r="Q802">
        <v>2.9752839999999999E-2</v>
      </c>
      <c r="R802">
        <v>-5.464285E-2</v>
      </c>
      <c r="S802">
        <v>3.0016780000000001</v>
      </c>
      <c r="T802">
        <v>-0.20608770000000001</v>
      </c>
      <c r="U802">
        <v>-0.18911739999999999</v>
      </c>
      <c r="V802">
        <v>6.9359530000000003E-2</v>
      </c>
      <c r="W802">
        <v>4.2123540000000001E-2</v>
      </c>
      <c r="X802">
        <v>0.99670199999999998</v>
      </c>
      <c r="Y802">
        <v>7.7389410000000006E-2</v>
      </c>
      <c r="Z802">
        <v>-3.6623860000000001E-3</v>
      </c>
      <c r="AA802">
        <v>0.99699420000000005</v>
      </c>
      <c r="AB802">
        <v>35</v>
      </c>
      <c r="AC802">
        <v>15.2660999999999</v>
      </c>
      <c r="AD802">
        <v>-1.059853519652</v>
      </c>
      <c r="AE802">
        <v>-0.97519999999997198</v>
      </c>
      <c r="AF802">
        <v>1.1947224115384101</v>
      </c>
      <c r="AG802">
        <v>-1.059853519652</v>
      </c>
      <c r="AH802">
        <v>15.177185412649701</v>
      </c>
      <c r="AI802">
        <v>93.982315751433703</v>
      </c>
      <c r="AJ802">
        <v>85.499054470427893</v>
      </c>
      <c r="AK802">
        <v>15.260983198132999</v>
      </c>
      <c r="AL802">
        <v>87.5857846362902</v>
      </c>
      <c r="AM802">
        <v>86.019259494012005</v>
      </c>
      <c r="AN802">
        <v>1.0000000069139701</v>
      </c>
    </row>
    <row r="803" spans="1:40" x14ac:dyDescent="0.25">
      <c r="A803" t="str">
        <f>"20190312154814226"</f>
        <v>20190312154814226</v>
      </c>
      <c r="B803" t="str">
        <f>"1552376894217166"</f>
        <v>1552376894217166</v>
      </c>
      <c r="C803" t="s">
        <v>40</v>
      </c>
      <c r="D803">
        <v>4.7961229999999997</v>
      </c>
      <c r="E803">
        <v>0.50416359999999905</v>
      </c>
      <c r="F803" t="s">
        <v>41</v>
      </c>
      <c r="G803">
        <v>-291.97570000000002</v>
      </c>
      <c r="H803">
        <v>0.9993706</v>
      </c>
      <c r="I803">
        <v>367.85320000000002</v>
      </c>
      <c r="J803">
        <v>-292.68009999999998</v>
      </c>
      <c r="K803">
        <v>1.059869</v>
      </c>
      <c r="L803">
        <v>367.911</v>
      </c>
      <c r="M803">
        <v>0.99981140000000002</v>
      </c>
      <c r="N803">
        <v>0</v>
      </c>
      <c r="O803">
        <v>1.4826249999999999E-2</v>
      </c>
      <c r="P803">
        <v>0.99805330000000003</v>
      </c>
      <c r="Q803">
        <v>2.9521740000000001E-2</v>
      </c>
      <c r="R803">
        <v>-5.4938689999999998E-2</v>
      </c>
      <c r="S803">
        <v>3.0017399999999999</v>
      </c>
      <c r="T803">
        <v>-0.2059696</v>
      </c>
      <c r="U803">
        <v>-0.1869507</v>
      </c>
      <c r="V803">
        <v>6.9720160000000003E-2</v>
      </c>
      <c r="W803">
        <v>4.2047330000000001E-2</v>
      </c>
      <c r="X803">
        <v>0.99668000000000001</v>
      </c>
      <c r="Y803">
        <v>7.6737749999999993E-2</v>
      </c>
      <c r="Z803">
        <v>-3.642443E-3</v>
      </c>
      <c r="AA803">
        <v>0.99704470000000001</v>
      </c>
      <c r="AB803">
        <v>35</v>
      </c>
      <c r="AC803">
        <v>0.70439999999996405</v>
      </c>
      <c r="AD803">
        <v>-6.0498399999999897E-2</v>
      </c>
      <c r="AE803">
        <v>-5.7799999999986001E-2</v>
      </c>
      <c r="AF803">
        <v>6.7741724783068502E-2</v>
      </c>
      <c r="AG803">
        <v>-6.0498399999999897E-2</v>
      </c>
      <c r="AH803">
        <v>0.69834863810574499</v>
      </c>
      <c r="AI803">
        <v>94.928192561843801</v>
      </c>
      <c r="AJ803">
        <v>84.459487418893801</v>
      </c>
      <c r="AK803">
        <v>0.70422994683788698</v>
      </c>
      <c r="AL803">
        <v>87.590154883765194</v>
      </c>
      <c r="AM803">
        <v>85.998540936304593</v>
      </c>
      <c r="AN803">
        <v>0.99999995053527502</v>
      </c>
    </row>
    <row r="804" spans="1:40" x14ac:dyDescent="0.25">
      <c r="A804" t="str">
        <f>"20190312154814237"</f>
        <v>20190312154814237</v>
      </c>
      <c r="B804" t="str">
        <f>"1552376894226928"</f>
        <v>1552376894226928</v>
      </c>
      <c r="C804" t="s">
        <v>40</v>
      </c>
      <c r="D804">
        <v>4.7896190000000001</v>
      </c>
      <c r="E804">
        <v>0.50393729999999903</v>
      </c>
      <c r="F804" t="s">
        <v>41</v>
      </c>
      <c r="G804">
        <v>-291.67169999999999</v>
      </c>
      <c r="H804">
        <v>0.9909538</v>
      </c>
      <c r="I804">
        <v>367.8485</v>
      </c>
      <c r="J804">
        <v>-292.50510000000003</v>
      </c>
      <c r="K804">
        <v>1.059879</v>
      </c>
      <c r="L804">
        <v>367.91370000000001</v>
      </c>
      <c r="M804">
        <v>0.99980880000000005</v>
      </c>
      <c r="N804">
        <v>0</v>
      </c>
      <c r="O804">
        <v>1.4890280000000001E-2</v>
      </c>
      <c r="P804">
        <v>0.99805710000000003</v>
      </c>
      <c r="Q804">
        <v>2.9511900000000001E-2</v>
      </c>
      <c r="R804">
        <v>-5.4874989999999998E-2</v>
      </c>
      <c r="S804">
        <v>3.0017399999999999</v>
      </c>
      <c r="T804">
        <v>-0.205266</v>
      </c>
      <c r="U804">
        <v>-0.1852722</v>
      </c>
      <c r="V804">
        <v>6.9720420000000005E-2</v>
      </c>
      <c r="W804">
        <v>4.2176909999999998E-2</v>
      </c>
      <c r="X804">
        <v>0.99667450000000002</v>
      </c>
      <c r="Y804">
        <v>7.6248670000000004E-2</v>
      </c>
      <c r="Z804">
        <v>-3.6177750000000002E-3</v>
      </c>
      <c r="AA804">
        <v>0.99708229999999998</v>
      </c>
      <c r="AB804">
        <v>35</v>
      </c>
      <c r="AC804">
        <v>0.83340000000004</v>
      </c>
      <c r="AD804">
        <v>-6.8925200000000006E-2</v>
      </c>
      <c r="AE804">
        <v>-6.5200000000004296E-2</v>
      </c>
      <c r="AF804">
        <v>7.7079319751288802E-2</v>
      </c>
      <c r="AG804">
        <v>-6.8925200000000006E-2</v>
      </c>
      <c r="AH804">
        <v>0.82671641490079895</v>
      </c>
      <c r="AI804">
        <v>94.745369355237401</v>
      </c>
      <c r="AJ804">
        <v>84.673398098210797</v>
      </c>
      <c r="AK804">
        <v>0.83315780941835405</v>
      </c>
      <c r="AL804">
        <v>87.582723887968001</v>
      </c>
      <c r="AM804">
        <v>85.998504052755095</v>
      </c>
      <c r="AN804">
        <v>0.99999994382618496</v>
      </c>
    </row>
    <row r="805" spans="1:40" x14ac:dyDescent="0.25">
      <c r="A805" t="str">
        <f>"20190312154814249"</f>
        <v>20190312154814249</v>
      </c>
      <c r="B805" t="str">
        <f>"1552376894246446"</f>
        <v>1552376894246446</v>
      </c>
      <c r="C805" t="s">
        <v>40</v>
      </c>
      <c r="D805">
        <v>4.816897</v>
      </c>
      <c r="E805">
        <v>0.50344929999999999</v>
      </c>
      <c r="F805" t="s">
        <v>41</v>
      </c>
      <c r="G805">
        <v>-291.6628</v>
      </c>
      <c r="H805">
        <v>1.0028699999999999</v>
      </c>
      <c r="I805">
        <v>367.8621</v>
      </c>
      <c r="J805">
        <v>-292.3415</v>
      </c>
      <c r="K805">
        <v>1.0598879999999999</v>
      </c>
      <c r="L805">
        <v>367.91609999999997</v>
      </c>
      <c r="M805">
        <v>0.99980630000000004</v>
      </c>
      <c r="N805">
        <v>0</v>
      </c>
      <c r="O805">
        <v>1.495051E-2</v>
      </c>
      <c r="P805">
        <v>0.99804349999999997</v>
      </c>
      <c r="Q805">
        <v>2.9561520000000001E-2</v>
      </c>
      <c r="R805">
        <v>-5.5093299999999998E-2</v>
      </c>
      <c r="S805">
        <v>3.0018310000000001</v>
      </c>
      <c r="T805">
        <v>-0.20332790000000001</v>
      </c>
      <c r="U805">
        <v>-0.1830444</v>
      </c>
      <c r="V805">
        <v>6.9998859999999996E-2</v>
      </c>
      <c r="W805">
        <v>4.2351279999999998E-2</v>
      </c>
      <c r="X805">
        <v>0.99664770000000003</v>
      </c>
      <c r="Y805">
        <v>7.5575050000000005E-2</v>
      </c>
      <c r="Z805">
        <v>-3.5649729999999999E-3</v>
      </c>
      <c r="AA805">
        <v>0.99713370000000001</v>
      </c>
      <c r="AB805">
        <v>35</v>
      </c>
      <c r="AC805">
        <v>0.67869999999999198</v>
      </c>
      <c r="AD805">
        <v>-5.7017999999999701E-2</v>
      </c>
      <c r="AE805">
        <v>-5.3999999999973597E-2</v>
      </c>
      <c r="AF805">
        <v>6.3694988730287894E-2</v>
      </c>
      <c r="AG805">
        <v>-5.7017999999999701E-2</v>
      </c>
      <c r="AH805">
        <v>0.67309605727588395</v>
      </c>
      <c r="AI805">
        <v>94.820535486588696</v>
      </c>
      <c r="AJ805">
        <v>84.594205748891198</v>
      </c>
      <c r="AK805">
        <v>0.67850306280347095</v>
      </c>
      <c r="AL805">
        <v>87.572724556496794</v>
      </c>
      <c r="AM805">
        <v>85.982467966607004</v>
      </c>
      <c r="AN805">
        <v>1.0000000546171099</v>
      </c>
    </row>
    <row r="806" spans="1:40" x14ac:dyDescent="0.25">
      <c r="A806" t="str">
        <f>"20190312154814261"</f>
        <v>20190312154814261</v>
      </c>
      <c r="B806" t="str">
        <f>"1552376894256207"</f>
        <v>1552376894256207</v>
      </c>
      <c r="C806" t="s">
        <v>40</v>
      </c>
      <c r="D806">
        <v>4.7480960000000003</v>
      </c>
      <c r="E806">
        <v>0.50320569999999998</v>
      </c>
      <c r="F806" t="s">
        <v>41</v>
      </c>
      <c r="G806">
        <v>-291.36079999999998</v>
      </c>
      <c r="H806">
        <v>0.99437359999999997</v>
      </c>
      <c r="I806">
        <v>367.85719999999998</v>
      </c>
      <c r="J806">
        <v>-292.1549</v>
      </c>
      <c r="K806">
        <v>1.0599000000000001</v>
      </c>
      <c r="L806">
        <v>367.91899999999998</v>
      </c>
      <c r="M806">
        <v>0.99980349999999996</v>
      </c>
      <c r="N806">
        <v>0</v>
      </c>
      <c r="O806">
        <v>1.501945E-2</v>
      </c>
      <c r="P806">
        <v>0.99805509999999997</v>
      </c>
      <c r="Q806">
        <v>2.9250089999999999E-2</v>
      </c>
      <c r="R806">
        <v>-5.5053459999999999E-2</v>
      </c>
      <c r="S806">
        <v>3.001862</v>
      </c>
      <c r="T806">
        <v>-0.20057169999999999</v>
      </c>
      <c r="U806">
        <v>-0.18002319999999999</v>
      </c>
      <c r="V806">
        <v>7.0027800000000001E-2</v>
      </c>
      <c r="W806">
        <v>4.2172620000000001E-2</v>
      </c>
      <c r="X806">
        <v>0.99665320000000002</v>
      </c>
      <c r="Y806">
        <v>7.4650729999999998E-2</v>
      </c>
      <c r="Z806">
        <v>-3.4906070000000002E-3</v>
      </c>
      <c r="AA806">
        <v>0.99720359999999997</v>
      </c>
      <c r="AB806">
        <v>35</v>
      </c>
      <c r="AC806">
        <v>0.79410000000001402</v>
      </c>
      <c r="AD806">
        <v>-6.5526400000000207E-2</v>
      </c>
      <c r="AE806">
        <v>-6.1800000000062E-2</v>
      </c>
      <c r="AF806">
        <v>7.3225382629344901E-2</v>
      </c>
      <c r="AG806">
        <v>-6.5526400000000207E-2</v>
      </c>
      <c r="AH806">
        <v>0.78775064227534297</v>
      </c>
      <c r="AI806">
        <v>94.7346928419703</v>
      </c>
      <c r="AJ806">
        <v>84.689330010571098</v>
      </c>
      <c r="AK806">
        <v>0.79385561669826898</v>
      </c>
      <c r="AL806">
        <v>87.582970070308804</v>
      </c>
      <c r="AM806">
        <v>85.980834526498995</v>
      </c>
      <c r="AN806">
        <v>1.00000001186037</v>
      </c>
    </row>
    <row r="807" spans="1:40" x14ac:dyDescent="0.25">
      <c r="A807" t="str">
        <f>"20190312154814271"</f>
        <v>20190312154814271</v>
      </c>
      <c r="B807" t="str">
        <f>"1552376894266943"</f>
        <v>1552376894266943</v>
      </c>
      <c r="C807" t="s">
        <v>40</v>
      </c>
      <c r="D807">
        <v>4.7302010000000001</v>
      </c>
      <c r="E807">
        <v>0.50297420000000004</v>
      </c>
      <c r="F807" t="s">
        <v>42</v>
      </c>
      <c r="G807">
        <v>-276.3098</v>
      </c>
      <c r="H807" s="1">
        <v>-2.0329879999999999E-6</v>
      </c>
      <c r="I807">
        <v>366.9803</v>
      </c>
      <c r="J807">
        <v>-291.98759999999999</v>
      </c>
      <c r="K807">
        <v>1.059906</v>
      </c>
      <c r="L807">
        <v>367.92160000000001</v>
      </c>
      <c r="M807">
        <v>0.9998011</v>
      </c>
      <c r="N807">
        <v>0</v>
      </c>
      <c r="O807">
        <v>1.5081489999999999E-2</v>
      </c>
      <c r="P807">
        <v>0.99805549999999998</v>
      </c>
      <c r="Q807">
        <v>2.914195E-2</v>
      </c>
      <c r="R807">
        <v>-5.5100129999999997E-2</v>
      </c>
      <c r="S807">
        <v>3.0019230000000001</v>
      </c>
      <c r="T807">
        <v>-0.20080200000000001</v>
      </c>
      <c r="U807">
        <v>-0.17782590000000001</v>
      </c>
      <c r="V807">
        <v>7.0136399999999904E-2</v>
      </c>
      <c r="W807">
        <v>4.2174530000000002E-2</v>
      </c>
      <c r="X807">
        <v>0.99664549999999996</v>
      </c>
      <c r="Y807">
        <v>7.3984949999999994E-2</v>
      </c>
      <c r="Z807">
        <v>-3.4765299999999998E-3</v>
      </c>
      <c r="AA807">
        <v>0.99725330000000001</v>
      </c>
      <c r="AB807">
        <v>35</v>
      </c>
      <c r="AC807">
        <v>15.6777999999999</v>
      </c>
      <c r="AD807">
        <v>-1.059908032988</v>
      </c>
      <c r="AE807">
        <v>-0.94130000000001202</v>
      </c>
      <c r="AF807">
        <v>1.17231877951671</v>
      </c>
      <c r="AG807">
        <v>-1.059908032988</v>
      </c>
      <c r="AH807">
        <v>15.590816937812299</v>
      </c>
      <c r="AI807">
        <v>93.878231102995997</v>
      </c>
      <c r="AJ807">
        <v>85.699856146974795</v>
      </c>
      <c r="AK807">
        <v>15.6707150171131</v>
      </c>
      <c r="AL807">
        <v>87.5828605796831</v>
      </c>
      <c r="AM807">
        <v>85.974591030516606</v>
      </c>
      <c r="AN807">
        <v>1.00000002912796</v>
      </c>
    </row>
    <row r="808" spans="1:40" x14ac:dyDescent="0.25">
      <c r="A808" t="str">
        <f>"20190312154814283"</f>
        <v>20190312154814283</v>
      </c>
      <c r="B808" t="str">
        <f>"1552376894276703"</f>
        <v>1552376894276703</v>
      </c>
      <c r="C808" t="s">
        <v>40</v>
      </c>
      <c r="D808">
        <v>4.7176589999999896</v>
      </c>
      <c r="E808">
        <v>0.50273469999999998</v>
      </c>
      <c r="F808" t="s">
        <v>41</v>
      </c>
      <c r="G808">
        <v>-291.04969999999997</v>
      </c>
      <c r="H808">
        <v>0.99735819999999997</v>
      </c>
      <c r="I808">
        <v>367.86610000000002</v>
      </c>
      <c r="J808">
        <v>-291.80599999999998</v>
      </c>
      <c r="K808">
        <v>1.0599130000000001</v>
      </c>
      <c r="L808">
        <v>367.92439999999999</v>
      </c>
      <c r="M808">
        <v>0.99979850000000003</v>
      </c>
      <c r="N808">
        <v>0</v>
      </c>
      <c r="O808">
        <v>1.5148979999999999E-2</v>
      </c>
      <c r="P808">
        <v>0.99805520000000003</v>
      </c>
      <c r="Q808">
        <v>2.8854660000000001E-2</v>
      </c>
      <c r="R808">
        <v>-5.5258519999999998E-2</v>
      </c>
      <c r="S808">
        <v>3.002014</v>
      </c>
      <c r="T808">
        <v>-0.20056379999999999</v>
      </c>
      <c r="U808">
        <v>-0.17645259999999999</v>
      </c>
      <c r="V808">
        <v>7.0362229999999998E-2</v>
      </c>
      <c r="W808">
        <v>4.2002070000000002E-2</v>
      </c>
      <c r="X808">
        <v>0.99663679999999999</v>
      </c>
      <c r="Y808">
        <v>7.3597070000000001E-2</v>
      </c>
      <c r="Z808">
        <v>-3.4639269999999999E-3</v>
      </c>
      <c r="AA808">
        <v>0.997282</v>
      </c>
      <c r="AB808">
        <v>35</v>
      </c>
      <c r="AC808">
        <v>0.75630000000000996</v>
      </c>
      <c r="AD808">
        <v>-6.2554799999999799E-2</v>
      </c>
      <c r="AE808">
        <v>-5.8299999999974199E-2</v>
      </c>
      <c r="AF808">
        <v>6.9280314598571202E-2</v>
      </c>
      <c r="AG808">
        <v>-6.2554799999999799E-2</v>
      </c>
      <c r="AH808">
        <v>0.75022778598854101</v>
      </c>
      <c r="AI808">
        <v>94.746256674282904</v>
      </c>
      <c r="AJ808">
        <v>84.723944424470702</v>
      </c>
      <c r="AK808">
        <v>0.75601229875127396</v>
      </c>
      <c r="AL808">
        <v>87.592750416736607</v>
      </c>
      <c r="AM808">
        <v>85.961637421097706</v>
      </c>
      <c r="AN808">
        <v>0.99999996420454795</v>
      </c>
    </row>
    <row r="809" spans="1:40" x14ac:dyDescent="0.25">
      <c r="A809" t="str">
        <f>"20190312154814295"</f>
        <v>20190312154814295</v>
      </c>
      <c r="B809" t="str">
        <f>"1552376894286463"</f>
        <v>1552376894286463</v>
      </c>
      <c r="C809" t="s">
        <v>40</v>
      </c>
      <c r="D809">
        <v>4.6984690000000002</v>
      </c>
      <c r="E809">
        <v>0.50252220000000003</v>
      </c>
      <c r="F809" t="s">
        <v>42</v>
      </c>
      <c r="G809">
        <v>-275.93920000000003</v>
      </c>
      <c r="H809" s="1">
        <v>-2.1885260000000002E-6</v>
      </c>
      <c r="I809">
        <v>366.99979999999999</v>
      </c>
      <c r="J809">
        <v>-291.63619999999997</v>
      </c>
      <c r="K809">
        <v>1.0599160000000001</v>
      </c>
      <c r="L809">
        <v>367.92700000000002</v>
      </c>
      <c r="M809">
        <v>0.99979629999999997</v>
      </c>
      <c r="N809">
        <v>0</v>
      </c>
      <c r="O809">
        <v>1.5212059999999999E-2</v>
      </c>
      <c r="P809">
        <v>0.99806220000000001</v>
      </c>
      <c r="Q809">
        <v>2.8825010000000002E-2</v>
      </c>
      <c r="R809">
        <v>-5.5144390000000001E-2</v>
      </c>
      <c r="S809">
        <v>3.0019529999999999</v>
      </c>
      <c r="T809">
        <v>-0.2005315</v>
      </c>
      <c r="U809">
        <v>-0.17492679999999999</v>
      </c>
      <c r="V809">
        <v>7.0311209999999999E-2</v>
      </c>
      <c r="W809">
        <v>4.2068769999999998E-2</v>
      </c>
      <c r="X809">
        <v>0.99663760000000001</v>
      </c>
      <c r="Y809">
        <v>7.3156890000000002E-2</v>
      </c>
      <c r="Z809">
        <v>-3.4530260000000001E-3</v>
      </c>
      <c r="AA809">
        <v>0.99731449999999999</v>
      </c>
      <c r="AB809">
        <v>35</v>
      </c>
      <c r="AC809">
        <v>15.6969999999999</v>
      </c>
      <c r="AD809">
        <v>-1.0599181885259901</v>
      </c>
      <c r="AE809">
        <v>-0.92719999999997005</v>
      </c>
      <c r="AF809">
        <v>1.1606240159780601</v>
      </c>
      <c r="AG809">
        <v>-1.0599181885259901</v>
      </c>
      <c r="AH809">
        <v>15.6101514569926</v>
      </c>
      <c r="AI809">
        <v>93.873721079321101</v>
      </c>
      <c r="AJ809">
        <v>85.747848618665898</v>
      </c>
      <c r="AK809">
        <v>15.6890822925715</v>
      </c>
      <c r="AL809">
        <v>87.588925437399098</v>
      </c>
      <c r="AM809">
        <v>85.964559208433002</v>
      </c>
      <c r="AN809">
        <v>0.99999997669736795</v>
      </c>
    </row>
    <row r="810" spans="1:40" x14ac:dyDescent="0.25">
      <c r="A810" t="str">
        <f>"20190312154814308"</f>
        <v>20190312154814308</v>
      </c>
      <c r="B810" t="str">
        <f>"1552376894296223"</f>
        <v>1552376894296223</v>
      </c>
      <c r="C810" t="s">
        <v>40</v>
      </c>
      <c r="D810">
        <v>4.6425020000000004</v>
      </c>
      <c r="E810">
        <v>0.50233179999999999</v>
      </c>
      <c r="F810" t="s">
        <v>41</v>
      </c>
      <c r="G810">
        <v>-290.73860000000002</v>
      </c>
      <c r="H810">
        <v>1.0002120000000001</v>
      </c>
      <c r="I810">
        <v>367.87520000000001</v>
      </c>
      <c r="J810">
        <v>-291.42020000000002</v>
      </c>
      <c r="K810">
        <v>1.0599229999999999</v>
      </c>
      <c r="L810">
        <v>367.93040000000002</v>
      </c>
      <c r="M810">
        <v>0.99979359999999995</v>
      </c>
      <c r="N810">
        <v>0</v>
      </c>
      <c r="O810">
        <v>1.5292389999999999E-2</v>
      </c>
      <c r="P810">
        <v>0.99807650000000003</v>
      </c>
      <c r="Q810">
        <v>2.8683E-2</v>
      </c>
      <c r="R810">
        <v>-5.4962959999999998E-2</v>
      </c>
      <c r="S810">
        <v>3.0020449999999999</v>
      </c>
      <c r="T810">
        <v>-0.1997651</v>
      </c>
      <c r="U810">
        <v>-0.17294309999999999</v>
      </c>
      <c r="V810">
        <v>7.0210030000000007E-2</v>
      </c>
      <c r="W810">
        <v>4.2043990000000003E-2</v>
      </c>
      <c r="X810">
        <v>0.99664580000000003</v>
      </c>
      <c r="Y810">
        <v>7.2581060000000003E-2</v>
      </c>
      <c r="Z810">
        <v>-3.4260340000000001E-3</v>
      </c>
      <c r="AA810">
        <v>0.99735669999999998</v>
      </c>
      <c r="AB810">
        <v>35</v>
      </c>
      <c r="AC810">
        <v>0.68160000000000298</v>
      </c>
      <c r="AD810">
        <v>-5.9710999999999799E-2</v>
      </c>
      <c r="AE810">
        <v>-5.5200000000013398E-2</v>
      </c>
      <c r="AF810">
        <v>6.5121253620047004E-2</v>
      </c>
      <c r="AG810">
        <v>-5.9710999999999799E-2</v>
      </c>
      <c r="AH810">
        <v>0.67552553402929405</v>
      </c>
      <c r="AI810">
        <v>95.0281663618198</v>
      </c>
      <c r="AJ810">
        <v>84.493651634487804</v>
      </c>
      <c r="AK810">
        <v>0.68127889173202005</v>
      </c>
      <c r="AL810">
        <v>87.590346535576302</v>
      </c>
      <c r="AM810">
        <v>85.970380232966093</v>
      </c>
      <c r="AN810">
        <v>0.99999999803268003</v>
      </c>
    </row>
    <row r="811" spans="1:40" x14ac:dyDescent="0.25">
      <c r="A811" t="str">
        <f>"20190312154814324"</f>
        <v>20190312154814324</v>
      </c>
      <c r="B811" t="str">
        <f>"1552376894316719"</f>
        <v>1552376894316719</v>
      </c>
      <c r="C811" t="s">
        <v>40</v>
      </c>
      <c r="D811">
        <v>4.6352739999999999</v>
      </c>
      <c r="E811">
        <v>0.50195440000000002</v>
      </c>
      <c r="F811" t="s">
        <v>41</v>
      </c>
      <c r="G811">
        <v>-290.43549999999999</v>
      </c>
      <c r="H811">
        <v>0.99459730000000002</v>
      </c>
      <c r="I811">
        <v>367.87380000000002</v>
      </c>
      <c r="J811">
        <v>-291.17750000000001</v>
      </c>
      <c r="K811">
        <v>1.059928</v>
      </c>
      <c r="L811">
        <v>367.93419999999998</v>
      </c>
      <c r="M811">
        <v>0.99979050000000003</v>
      </c>
      <c r="N811">
        <v>0</v>
      </c>
      <c r="O811">
        <v>1.5382420000000001E-2</v>
      </c>
      <c r="P811">
        <v>0.99809630000000005</v>
      </c>
      <c r="Q811">
        <v>2.8666009999999999E-2</v>
      </c>
      <c r="R811">
        <v>-5.4609070000000003E-2</v>
      </c>
      <c r="S811">
        <v>3.002075</v>
      </c>
      <c r="T811">
        <v>-0.1994438</v>
      </c>
      <c r="U811">
        <v>-0.17120360000000001</v>
      </c>
      <c r="V811">
        <v>6.9946330000000001E-2</v>
      </c>
      <c r="W811">
        <v>4.2146900000000001E-2</v>
      </c>
      <c r="X811">
        <v>0.99665999999999999</v>
      </c>
      <c r="Y811">
        <v>7.2095800000000002E-2</v>
      </c>
      <c r="Z811">
        <v>-3.4104410000000002E-3</v>
      </c>
      <c r="AA811">
        <v>0.9973919</v>
      </c>
      <c r="AB811">
        <v>34</v>
      </c>
      <c r="AC811">
        <v>0.74200000000001798</v>
      </c>
      <c r="AD811">
        <v>-6.5330699999999894E-2</v>
      </c>
      <c r="AE811">
        <v>-6.0399999999958702E-2</v>
      </c>
      <c r="AF811">
        <v>7.1258869720563001E-2</v>
      </c>
      <c r="AG811">
        <v>-6.5330699999999894E-2</v>
      </c>
      <c r="AH811">
        <v>0.73532016047595095</v>
      </c>
      <c r="AI811">
        <v>95.053652934432804</v>
      </c>
      <c r="AJ811">
        <v>84.464828745669706</v>
      </c>
      <c r="AK811">
        <v>0.74164793890276604</v>
      </c>
      <c r="AL811">
        <v>87.584445007568306</v>
      </c>
      <c r="AM811">
        <v>85.985522407181904</v>
      </c>
      <c r="AN811">
        <v>1.00000000293003</v>
      </c>
    </row>
    <row r="812" spans="1:40" x14ac:dyDescent="0.25">
      <c r="A812" t="str">
        <f>"20190312154814339"</f>
        <v>20190312154814339</v>
      </c>
      <c r="B812" t="str">
        <f>"1552376894326479"</f>
        <v>1552376894326479</v>
      </c>
      <c r="C812" t="s">
        <v>40</v>
      </c>
      <c r="D812">
        <v>4.6177549999999998</v>
      </c>
      <c r="E812">
        <v>0.50177519999999998</v>
      </c>
      <c r="F812" t="s">
        <v>42</v>
      </c>
      <c r="G812">
        <v>-275.11160000000001</v>
      </c>
      <c r="H812" s="1">
        <v>-2.5365210000000001E-6</v>
      </c>
      <c r="I812">
        <v>367.0394</v>
      </c>
      <c r="J812">
        <v>-290.96460000000002</v>
      </c>
      <c r="K812">
        <v>1.0599350000000001</v>
      </c>
      <c r="L812">
        <v>367.9375</v>
      </c>
      <c r="M812">
        <v>0.99978809999999996</v>
      </c>
      <c r="N812">
        <v>0</v>
      </c>
      <c r="O812">
        <v>1.546142E-2</v>
      </c>
      <c r="P812">
        <v>0.99812639999999997</v>
      </c>
      <c r="Q812">
        <v>2.8421330000000002E-2</v>
      </c>
      <c r="R812">
        <v>-5.4188800000000002E-2</v>
      </c>
      <c r="S812">
        <v>3.0022280000000001</v>
      </c>
      <c r="T812">
        <v>-0.19806840000000001</v>
      </c>
      <c r="U812">
        <v>-0.16720579999999999</v>
      </c>
      <c r="V812">
        <v>6.9605440000000005E-2</v>
      </c>
      <c r="W812">
        <v>4.1995400000000002E-2</v>
      </c>
      <c r="X812">
        <v>0.99669030000000003</v>
      </c>
      <c r="Y812">
        <v>7.085292E-2</v>
      </c>
      <c r="Z812">
        <v>-3.3512059999999998E-3</v>
      </c>
      <c r="AA812">
        <v>0.99748119999999996</v>
      </c>
      <c r="AB812">
        <v>34</v>
      </c>
      <c r="AC812">
        <v>15.853</v>
      </c>
      <c r="AD812">
        <v>-1.059937536521</v>
      </c>
      <c r="AE812">
        <v>-0.89809999999999901</v>
      </c>
      <c r="AF812">
        <v>1.1380539777579699</v>
      </c>
      <c r="AG812">
        <v>-1.059937536521</v>
      </c>
      <c r="AH812">
        <v>15.7669597703183</v>
      </c>
      <c r="AI812">
        <v>93.835985838084596</v>
      </c>
      <c r="AJ812">
        <v>85.871569096761704</v>
      </c>
      <c r="AK812">
        <v>15.8434735723089</v>
      </c>
      <c r="AL812">
        <v>87.593133105666695</v>
      </c>
      <c r="AM812">
        <v>86.005144892272497</v>
      </c>
      <c r="AN812">
        <v>1.0000000425064199</v>
      </c>
    </row>
    <row r="813" spans="1:40" x14ac:dyDescent="0.25">
      <c r="A813" t="str">
        <f>"20190312154814354"</f>
        <v>20190312154814354</v>
      </c>
      <c r="B813" t="str">
        <f>"1552376894346975"</f>
        <v>1552376894346975</v>
      </c>
      <c r="C813" t="s">
        <v>40</v>
      </c>
      <c r="D813">
        <v>4.5581800000000001</v>
      </c>
      <c r="E813">
        <v>0.50145099999999998</v>
      </c>
      <c r="F813" t="s">
        <v>41</v>
      </c>
      <c r="G813">
        <v>-290.10910000000001</v>
      </c>
      <c r="H813">
        <v>1.003517</v>
      </c>
      <c r="I813">
        <v>367.89060000000001</v>
      </c>
      <c r="J813">
        <v>-290.72190000000001</v>
      </c>
      <c r="K813">
        <v>1.0599419999999999</v>
      </c>
      <c r="L813">
        <v>367.94139999999999</v>
      </c>
      <c r="M813">
        <v>0.99978529999999999</v>
      </c>
      <c r="N813">
        <v>0</v>
      </c>
      <c r="O813">
        <v>1.555056E-2</v>
      </c>
      <c r="P813">
        <v>0.99814650000000005</v>
      </c>
      <c r="Q813">
        <v>2.826451E-2</v>
      </c>
      <c r="R813">
        <v>-5.3897189999999998E-2</v>
      </c>
      <c r="S813">
        <v>3.002319</v>
      </c>
      <c r="T813">
        <v>-0.19794729999999999</v>
      </c>
      <c r="U813">
        <v>-0.16452030000000001</v>
      </c>
      <c r="V813">
        <v>6.9403129999999993E-2</v>
      </c>
      <c r="W813">
        <v>4.1936800000000003E-2</v>
      </c>
      <c r="X813">
        <v>0.9967068</v>
      </c>
      <c r="Y813">
        <v>7.0052409999999996E-2</v>
      </c>
      <c r="Z813">
        <v>-3.3286679999999999E-3</v>
      </c>
      <c r="AA813">
        <v>0.99753769999999997</v>
      </c>
      <c r="AB813">
        <v>34</v>
      </c>
      <c r="AC813">
        <v>0.61279999999999202</v>
      </c>
      <c r="AD813">
        <v>-5.6424999999999899E-2</v>
      </c>
      <c r="AE813">
        <v>-5.0799999999980999E-2</v>
      </c>
      <c r="AF813">
        <v>5.9820422833038803E-2</v>
      </c>
      <c r="AG813">
        <v>-5.6424999999999899E-2</v>
      </c>
      <c r="AH813">
        <v>0.60682614320304695</v>
      </c>
      <c r="AI813">
        <v>95.286824408637003</v>
      </c>
      <c r="AJ813">
        <v>84.370019200792299</v>
      </c>
      <c r="AK813">
        <v>0.612372624867906</v>
      </c>
      <c r="AL813">
        <v>87.5964934180722</v>
      </c>
      <c r="AM813">
        <v>86.016784339452201</v>
      </c>
      <c r="AN813">
        <v>0.99999996740713704</v>
      </c>
    </row>
    <row r="814" spans="1:40" x14ac:dyDescent="0.25">
      <c r="A814" t="str">
        <f>"20190312154814368"</f>
        <v>20190312154814368</v>
      </c>
      <c r="B814" t="str">
        <f>"1552376894356735"</f>
        <v>1552376894356735</v>
      </c>
      <c r="C814" t="s">
        <v>40</v>
      </c>
      <c r="D814">
        <v>4.5267609999999996</v>
      </c>
      <c r="E814">
        <v>0.50141029999999998</v>
      </c>
      <c r="F814" t="s">
        <v>41</v>
      </c>
      <c r="G814">
        <v>-289.815</v>
      </c>
      <c r="H814">
        <v>1.000551</v>
      </c>
      <c r="I814">
        <v>367.89249999999998</v>
      </c>
      <c r="J814">
        <v>-290.49790000000002</v>
      </c>
      <c r="K814">
        <v>1.059949</v>
      </c>
      <c r="L814">
        <v>367.94490000000002</v>
      </c>
      <c r="M814">
        <v>0.99978299999999998</v>
      </c>
      <c r="N814">
        <v>0</v>
      </c>
      <c r="O814">
        <v>1.5631630000000001E-2</v>
      </c>
      <c r="P814">
        <v>0.99818379999999995</v>
      </c>
      <c r="Q814">
        <v>2.8639979999999999E-2</v>
      </c>
      <c r="R814">
        <v>-5.3000169999999999E-2</v>
      </c>
      <c r="S814">
        <v>3.0024410000000001</v>
      </c>
      <c r="T814">
        <v>-0.19675899999999999</v>
      </c>
      <c r="U814">
        <v>-0.16131589999999901</v>
      </c>
      <c r="V814">
        <v>6.8587529999999994E-2</v>
      </c>
      <c r="W814">
        <v>4.239511E-2</v>
      </c>
      <c r="X814">
        <v>0.99674390000000002</v>
      </c>
      <c r="Y814">
        <v>6.9073709999999997E-2</v>
      </c>
      <c r="Z814">
        <v>-3.2819820000000001E-3</v>
      </c>
      <c r="AA814">
        <v>0.9976062</v>
      </c>
      <c r="AB814">
        <v>34</v>
      </c>
      <c r="AC814">
        <v>0.68290000000001705</v>
      </c>
      <c r="AD814">
        <v>-5.9397999999999999E-2</v>
      </c>
      <c r="AE814">
        <v>-5.2400000000034197E-2</v>
      </c>
      <c r="AF814">
        <v>6.2598639704834799E-2</v>
      </c>
      <c r="AG814">
        <v>-5.9397999999999999E-2</v>
      </c>
      <c r="AH814">
        <v>0.67690630847924504</v>
      </c>
      <c r="AI814">
        <v>94.993615937174795</v>
      </c>
      <c r="AJ814">
        <v>84.716454059878103</v>
      </c>
      <c r="AK814">
        <v>0.68238468810187602</v>
      </c>
      <c r="AL814">
        <v>87.570210888432001</v>
      </c>
      <c r="AM814">
        <v>86.063591644076894</v>
      </c>
      <c r="AN814">
        <v>0.99999999840531095</v>
      </c>
    </row>
    <row r="815" spans="1:40" x14ac:dyDescent="0.25">
      <c r="A815" t="str">
        <f>"20190312154814379"</f>
        <v>20190312154814379</v>
      </c>
      <c r="B815" t="str">
        <f>"1552376894366496"</f>
        <v>1552376894366496</v>
      </c>
      <c r="C815" t="s">
        <v>40</v>
      </c>
      <c r="D815">
        <v>4.5077800000000003</v>
      </c>
      <c r="E815">
        <v>0.50141029999999998</v>
      </c>
      <c r="F815" t="s">
        <v>41</v>
      </c>
      <c r="G815">
        <v>-289.51190000000003</v>
      </c>
      <c r="H815">
        <v>0.9964421</v>
      </c>
      <c r="I815">
        <v>367.89260000000002</v>
      </c>
      <c r="J815">
        <v>-290.32229999999998</v>
      </c>
      <c r="K815">
        <v>1.0599529999999999</v>
      </c>
      <c r="L815">
        <v>367.94779999999997</v>
      </c>
      <c r="M815">
        <v>0.99978120000000004</v>
      </c>
      <c r="N815">
        <v>0</v>
      </c>
      <c r="O815">
        <v>1.5694380000000001E-2</v>
      </c>
      <c r="P815">
        <v>0.99821040000000005</v>
      </c>
      <c r="Q815">
        <v>2.8689360000000001E-2</v>
      </c>
      <c r="R815">
        <v>-5.247276E-2</v>
      </c>
      <c r="S815">
        <v>3.0026250000000001</v>
      </c>
      <c r="T815">
        <v>-0.19357930000000001</v>
      </c>
      <c r="U815">
        <v>-0.15853879999999901</v>
      </c>
      <c r="V815">
        <v>6.812327E-2</v>
      </c>
      <c r="W815">
        <v>4.2503730000000003E-2</v>
      </c>
      <c r="X815">
        <v>0.99677110000000002</v>
      </c>
      <c r="Y815">
        <v>6.8220439999999993E-2</v>
      </c>
      <c r="Z815">
        <v>-3.205519E-3</v>
      </c>
      <c r="AA815">
        <v>0.99766509999999997</v>
      </c>
      <c r="AB815">
        <v>34</v>
      </c>
      <c r="AC815">
        <v>0.81039999999995804</v>
      </c>
      <c r="AD815">
        <v>-6.3510900000000106E-2</v>
      </c>
      <c r="AE815">
        <v>-5.5199999999956603E-2</v>
      </c>
      <c r="AF815">
        <v>6.7500480130899806E-2</v>
      </c>
      <c r="AG815">
        <v>-6.3510900000000106E-2</v>
      </c>
      <c r="AH815">
        <v>0.80451537980326604</v>
      </c>
      <c r="AI815">
        <v>94.498003709470893</v>
      </c>
      <c r="AJ815">
        <v>85.204000166778101</v>
      </c>
      <c r="AK815">
        <v>0.80983636963074501</v>
      </c>
      <c r="AL815">
        <v>87.563981776766397</v>
      </c>
      <c r="AM815">
        <v>86.090260116656196</v>
      </c>
      <c r="AN815">
        <v>0.99999998638730703</v>
      </c>
    </row>
    <row r="816" spans="1:40" x14ac:dyDescent="0.25">
      <c r="A816" t="str">
        <f>"20190312154814391"</f>
        <v>20190312154814391</v>
      </c>
      <c r="B816" t="str">
        <f>"1552376894386991"</f>
        <v>1552376894386991</v>
      </c>
      <c r="C816" t="s">
        <v>40</v>
      </c>
      <c r="D816">
        <v>4.3939909999999998</v>
      </c>
      <c r="E816">
        <v>0.52354979999999995</v>
      </c>
      <c r="F816" t="s">
        <v>42</v>
      </c>
      <c r="G816">
        <v>-273.86790000000002</v>
      </c>
      <c r="H816" s="1">
        <v>-3.0612750000000002E-6</v>
      </c>
      <c r="I816">
        <v>367.089</v>
      </c>
      <c r="J816">
        <v>-290.14940000000001</v>
      </c>
      <c r="K816">
        <v>1.0599540000000001</v>
      </c>
      <c r="L816">
        <v>367.95049999999998</v>
      </c>
      <c r="M816">
        <v>0.99977930000000004</v>
      </c>
      <c r="N816">
        <v>0</v>
      </c>
      <c r="O816">
        <v>1.5755740000000001E-2</v>
      </c>
      <c r="P816">
        <v>0.9982162</v>
      </c>
      <c r="Q816">
        <v>2.857467E-2</v>
      </c>
      <c r="R816">
        <v>-5.2420649999999999E-2</v>
      </c>
      <c r="S816">
        <v>3.0027469999999998</v>
      </c>
      <c r="T816">
        <v>-0.19342970000000001</v>
      </c>
      <c r="U816">
        <v>-0.15670780000000001</v>
      </c>
      <c r="V816">
        <v>6.8132830000000005E-2</v>
      </c>
      <c r="W816">
        <v>4.2442269999999997E-2</v>
      </c>
      <c r="X816">
        <v>0.99677309999999997</v>
      </c>
      <c r="Y816">
        <v>6.7674100000000001E-2</v>
      </c>
      <c r="Z816">
        <v>-3.1893469999999999E-3</v>
      </c>
      <c r="AA816">
        <v>0.99770239999999999</v>
      </c>
      <c r="AB816">
        <v>34</v>
      </c>
      <c r="AC816">
        <v>16.281499999999902</v>
      </c>
      <c r="AD816">
        <v>-1.059957061275</v>
      </c>
      <c r="AE816">
        <v>-0.86149999999997795</v>
      </c>
      <c r="AF816">
        <v>1.1132398666466901</v>
      </c>
      <c r="AG816">
        <v>-1.059957061275</v>
      </c>
      <c r="AH816">
        <v>16.197446372565199</v>
      </c>
      <c r="AI816">
        <v>93.735297021819505</v>
      </c>
      <c r="AJ816">
        <v>86.0682816529673</v>
      </c>
      <c r="AK816">
        <v>16.2702206796517</v>
      </c>
      <c r="AL816">
        <v>87.567506439819994</v>
      </c>
      <c r="AM816">
        <v>86.089720971387393</v>
      </c>
      <c r="AN816">
        <v>1.0000000208450801</v>
      </c>
    </row>
    <row r="817" spans="1:40" x14ac:dyDescent="0.25">
      <c r="A817" t="str">
        <f>"20190312154814402"</f>
        <v>20190312154814402</v>
      </c>
      <c r="B817" t="str">
        <f>"1552376894396751"</f>
        <v>1552376894396751</v>
      </c>
      <c r="C817" t="s">
        <v>40</v>
      </c>
      <c r="D817">
        <v>4.3525559999999999</v>
      </c>
      <c r="E817">
        <v>0.52665249999999997</v>
      </c>
      <c r="F817" t="s">
        <v>42</v>
      </c>
      <c r="G817">
        <v>-241.08240000000001</v>
      </c>
      <c r="H817" s="1">
        <v>-5.4768020000000003E-6</v>
      </c>
      <c r="I817">
        <v>362.39510000000001</v>
      </c>
      <c r="J817">
        <v>-289.97550000000001</v>
      </c>
      <c r="K817">
        <v>1.059955</v>
      </c>
      <c r="L817">
        <v>367.95330000000001</v>
      </c>
      <c r="M817">
        <v>0.9997779</v>
      </c>
      <c r="N817">
        <v>0</v>
      </c>
      <c r="O817">
        <v>1.581639E-2</v>
      </c>
      <c r="P817">
        <v>0.9982316</v>
      </c>
      <c r="Q817">
        <v>2.83868E-2</v>
      </c>
      <c r="R817">
        <v>-5.2231090000000001E-2</v>
      </c>
      <c r="S817">
        <v>2.989471</v>
      </c>
      <c r="T817">
        <v>-6.4579490000000003E-2</v>
      </c>
      <c r="U817">
        <v>-0.33847050000000001</v>
      </c>
      <c r="V817">
        <v>6.8004170000000003E-2</v>
      </c>
      <c r="W817">
        <v>4.2305059999999998E-2</v>
      </c>
      <c r="X817">
        <v>0.99678770000000005</v>
      </c>
      <c r="Y817">
        <v>0.12817229999999999</v>
      </c>
      <c r="Z817">
        <v>-1.7204830000000001E-3</v>
      </c>
      <c r="AA817">
        <v>0.99175040000000003</v>
      </c>
      <c r="AB817">
        <v>34</v>
      </c>
      <c r="AC817">
        <v>48.893099999999997</v>
      </c>
      <c r="AD817">
        <v>-1.0599604768019999</v>
      </c>
      <c r="AE817">
        <v>-5.5581999999999896</v>
      </c>
      <c r="AF817">
        <v>6.3279558625924004</v>
      </c>
      <c r="AG817">
        <v>-1.0599604768019999</v>
      </c>
      <c r="AH817">
        <v>48.776432013388302</v>
      </c>
      <c r="AI817">
        <v>91.234555714779802</v>
      </c>
      <c r="AJ817">
        <v>82.608082434847702</v>
      </c>
      <c r="AK817">
        <v>49.196614330337702</v>
      </c>
      <c r="AL817">
        <v>87.575375015319807</v>
      </c>
      <c r="AM817">
        <v>86.097139172556098</v>
      </c>
      <c r="AN817">
        <v>1.0000000020551401</v>
      </c>
    </row>
    <row r="818" spans="1:40" x14ac:dyDescent="0.25">
      <c r="A818" t="str">
        <f>"20190312154814415"</f>
        <v>20190312154814415</v>
      </c>
      <c r="B818" t="str">
        <f>"1552376894406511"</f>
        <v>1552376894406511</v>
      </c>
      <c r="C818" t="s">
        <v>40</v>
      </c>
      <c r="D818">
        <v>4.3563140000000002</v>
      </c>
      <c r="E818">
        <v>0.52921149999999995</v>
      </c>
      <c r="F818" t="s">
        <v>42</v>
      </c>
      <c r="G818">
        <v>-229.7944</v>
      </c>
      <c r="H818" s="1">
        <v>-2.4448049999999998E-6</v>
      </c>
      <c r="I818">
        <v>360.63850000000002</v>
      </c>
      <c r="J818">
        <v>-289.79399999999998</v>
      </c>
      <c r="K818">
        <v>1.059957</v>
      </c>
      <c r="L818">
        <v>367.95620000000002</v>
      </c>
      <c r="M818">
        <v>0.9997762</v>
      </c>
      <c r="N818">
        <v>0</v>
      </c>
      <c r="O818">
        <v>1.58779E-2</v>
      </c>
      <c r="P818">
        <v>0.99823799999999996</v>
      </c>
      <c r="Q818">
        <v>2.8308E-2</v>
      </c>
      <c r="R818">
        <v>-5.2152530000000002E-2</v>
      </c>
      <c r="S818">
        <v>2.9878230000000001</v>
      </c>
      <c r="T818">
        <v>-5.2623870000000003E-2</v>
      </c>
      <c r="U818">
        <v>-0.36315920000000002</v>
      </c>
      <c r="V818">
        <v>6.7987370000000005E-2</v>
      </c>
      <c r="W818">
        <v>4.2274100000000002E-2</v>
      </c>
      <c r="X818">
        <v>0.99679019999999996</v>
      </c>
      <c r="Y818">
        <v>0.13638330000000001</v>
      </c>
      <c r="Z818">
        <v>-1.4752420000000001E-3</v>
      </c>
      <c r="AA818">
        <v>0.99065510000000001</v>
      </c>
      <c r="AB818">
        <v>34</v>
      </c>
      <c r="AC818">
        <v>59.999600000000001</v>
      </c>
      <c r="AD818">
        <v>-1.059959444805</v>
      </c>
      <c r="AE818">
        <v>-7.3177000000000003</v>
      </c>
      <c r="AF818">
        <v>8.2669958526906502</v>
      </c>
      <c r="AG818">
        <v>-1.059959444805</v>
      </c>
      <c r="AH818">
        <v>59.857426615641401</v>
      </c>
      <c r="AI818">
        <v>91.004954213314804</v>
      </c>
      <c r="AJ818">
        <v>82.136543011078103</v>
      </c>
      <c r="AK818">
        <v>60.434909245401698</v>
      </c>
      <c r="AL818">
        <v>87.577150578829205</v>
      </c>
      <c r="AM818">
        <v>86.0981101268912</v>
      </c>
      <c r="AN818">
        <v>1.0000000424131801</v>
      </c>
    </row>
    <row r="819" spans="1:40" x14ac:dyDescent="0.25">
      <c r="A819" t="str">
        <f>"20190312154814427"</f>
        <v>20190312154814427</v>
      </c>
      <c r="B819" t="str">
        <f>"1552376894417247"</f>
        <v>1552376894417247</v>
      </c>
      <c r="C819" t="s">
        <v>40</v>
      </c>
      <c r="D819">
        <v>4.301552</v>
      </c>
      <c r="E819">
        <v>0.53078449999999999</v>
      </c>
      <c r="F819" t="s">
        <v>42</v>
      </c>
      <c r="G819">
        <v>-226.17850000000001</v>
      </c>
      <c r="H819" s="1">
        <v>-3.9028140000000001E-6</v>
      </c>
      <c r="I819">
        <v>359.7835</v>
      </c>
      <c r="J819">
        <v>-289.60250000000002</v>
      </c>
      <c r="K819">
        <v>1.059958</v>
      </c>
      <c r="L819">
        <v>367.95940000000002</v>
      </c>
      <c r="M819">
        <v>0.9997743</v>
      </c>
      <c r="N819">
        <v>0</v>
      </c>
      <c r="O819">
        <v>1.594226E-2</v>
      </c>
      <c r="P819">
        <v>0.99824420000000003</v>
      </c>
      <c r="Q819">
        <v>2.8055529999999999E-2</v>
      </c>
      <c r="R819">
        <v>-5.2166629999999999E-2</v>
      </c>
      <c r="S819">
        <v>2.9866640000000002</v>
      </c>
      <c r="T819">
        <v>-4.9763679999999998E-2</v>
      </c>
      <c r="U819">
        <v>-0.38369750000000002</v>
      </c>
      <c r="V819">
        <v>6.8065940000000005E-2</v>
      </c>
      <c r="W819">
        <v>4.2069719999999998E-2</v>
      </c>
      <c r="X819">
        <v>0.99679340000000005</v>
      </c>
      <c r="Y819">
        <v>0.14319899999999999</v>
      </c>
      <c r="Z819">
        <v>-1.4526329999999901E-3</v>
      </c>
      <c r="AA819">
        <v>0.98969289999999999</v>
      </c>
      <c r="AB819">
        <v>34</v>
      </c>
      <c r="AC819">
        <v>63.423999999999999</v>
      </c>
      <c r="AD819">
        <v>-1.0599619028139999</v>
      </c>
      <c r="AE819">
        <v>-8.1759000000000093</v>
      </c>
      <c r="AF819">
        <v>9.1835593045780595</v>
      </c>
      <c r="AG819">
        <v>-1.0599619028139999</v>
      </c>
      <c r="AH819">
        <v>63.268200879376899</v>
      </c>
      <c r="AI819">
        <v>90.949860865169398</v>
      </c>
      <c r="AJ819">
        <v>81.741035961516005</v>
      </c>
      <c r="AK819">
        <v>63.940022859311703</v>
      </c>
      <c r="AL819">
        <v>87.588870912842197</v>
      </c>
      <c r="AM819">
        <v>86.093627339839401</v>
      </c>
      <c r="AN819">
        <v>0.99999995790625995</v>
      </c>
    </row>
    <row r="820" spans="1:40" x14ac:dyDescent="0.25">
      <c r="A820" t="str">
        <f>"20190312154814437"</f>
        <v>20190312154814437</v>
      </c>
      <c r="B820" t="str">
        <f>"1552376894427007"</f>
        <v>1552376894427007</v>
      </c>
      <c r="C820" t="s">
        <v>40</v>
      </c>
      <c r="D820">
        <v>4.3079349999999996</v>
      </c>
      <c r="E820">
        <v>0.53135149999999998</v>
      </c>
      <c r="F820" t="s">
        <v>42</v>
      </c>
      <c r="G820">
        <v>-226.738</v>
      </c>
      <c r="H820">
        <v>5.2486240000000003E-2</v>
      </c>
      <c r="I820">
        <v>359.6139</v>
      </c>
      <c r="J820">
        <v>-289.42489999999998</v>
      </c>
      <c r="K820">
        <v>1.05996</v>
      </c>
      <c r="L820">
        <v>367.9622</v>
      </c>
      <c r="M820">
        <v>0.99977280000000002</v>
      </c>
      <c r="N820">
        <v>0</v>
      </c>
      <c r="O820">
        <v>1.6000480000000001E-2</v>
      </c>
      <c r="P820">
        <v>0.99823499999999998</v>
      </c>
      <c r="Q820">
        <v>2.7996719999999999E-2</v>
      </c>
      <c r="R820">
        <v>-5.2374299999999999E-2</v>
      </c>
      <c r="S820">
        <v>2.9859619999999998</v>
      </c>
      <c r="T820">
        <v>-4.7853229999999997E-2</v>
      </c>
      <c r="U820">
        <v>-0.39639279999999999</v>
      </c>
      <c r="V820">
        <v>6.8331639999999999E-2</v>
      </c>
      <c r="W820">
        <v>4.205018E-2</v>
      </c>
      <c r="X820">
        <v>0.99677610000000005</v>
      </c>
      <c r="Y820">
        <v>0.147423</v>
      </c>
      <c r="Z820">
        <v>-1.4314449999999999E-3</v>
      </c>
      <c r="AA820">
        <v>0.98907250000000002</v>
      </c>
      <c r="AB820">
        <v>34</v>
      </c>
      <c r="AC820">
        <v>62.686899999999902</v>
      </c>
      <c r="AD820">
        <v>-1.0074737600000001</v>
      </c>
      <c r="AE820">
        <v>-8.3482999999999894</v>
      </c>
      <c r="AF820">
        <v>9.3479785956134194</v>
      </c>
      <c r="AG820">
        <v>-1.0074737600000001</v>
      </c>
      <c r="AH820">
        <v>62.529413930257199</v>
      </c>
      <c r="AI820">
        <v>90.912926009982797</v>
      </c>
      <c r="AJ820">
        <v>81.497405217782699</v>
      </c>
      <c r="AK820">
        <v>63.232328074036502</v>
      </c>
      <c r="AL820">
        <v>87.589991594687007</v>
      </c>
      <c r="AM820">
        <v>86.078358186371602</v>
      </c>
      <c r="AN820">
        <v>1.0000000120971599</v>
      </c>
    </row>
    <row r="821" spans="1:40" x14ac:dyDescent="0.25">
      <c r="A821" t="str">
        <f>"20190312154814449"</f>
        <v>20190312154814449</v>
      </c>
      <c r="B821" t="str">
        <f>"1552376894436767"</f>
        <v>1552376894436767</v>
      </c>
      <c r="C821" t="s">
        <v>40</v>
      </c>
      <c r="D821">
        <v>4.2433860000000001</v>
      </c>
      <c r="E821">
        <v>0.53196860000000001</v>
      </c>
      <c r="F821" t="s">
        <v>42</v>
      </c>
      <c r="G821">
        <v>-219.98670000000001</v>
      </c>
      <c r="H821">
        <v>7.9986879999999996E-2</v>
      </c>
      <c r="I821">
        <v>358.61900000000003</v>
      </c>
      <c r="J821">
        <v>-289.26010000000002</v>
      </c>
      <c r="K821">
        <v>1.0599639999999999</v>
      </c>
      <c r="L821">
        <v>367.9649</v>
      </c>
      <c r="M821">
        <v>0.99977159999999998</v>
      </c>
      <c r="N821">
        <v>0</v>
      </c>
      <c r="O821">
        <v>1.6053910000000001E-2</v>
      </c>
      <c r="P821">
        <v>0.99822809999999995</v>
      </c>
      <c r="Q821">
        <v>2.7912909999999999E-2</v>
      </c>
      <c r="R821">
        <v>-5.2552059999999998E-2</v>
      </c>
      <c r="S821">
        <v>2.9854430000000001</v>
      </c>
      <c r="T821">
        <v>-4.2133209999999997E-2</v>
      </c>
      <c r="U821">
        <v>-0.40170289999999997</v>
      </c>
      <c r="V821">
        <v>6.8562810000000002E-2</v>
      </c>
      <c r="W821">
        <v>4.2001110000000001E-2</v>
      </c>
      <c r="X821">
        <v>0.99676229999999999</v>
      </c>
      <c r="Y821">
        <v>0.1492309</v>
      </c>
      <c r="Z821">
        <v>-1.2738789999999999E-3</v>
      </c>
      <c r="AA821">
        <v>0.9888015</v>
      </c>
      <c r="AB821">
        <v>34</v>
      </c>
      <c r="AC821">
        <v>69.273399999999995</v>
      </c>
      <c r="AD821">
        <v>-0.97997712000000003</v>
      </c>
      <c r="AE821">
        <v>-9.3458999999999701</v>
      </c>
      <c r="AF821">
        <v>10.4548600786911</v>
      </c>
      <c r="AG821">
        <v>-0.97997712000000003</v>
      </c>
      <c r="AH821">
        <v>69.100836108604497</v>
      </c>
      <c r="AI821">
        <v>90.803363449671906</v>
      </c>
      <c r="AJ821">
        <v>81.396480991382205</v>
      </c>
      <c r="AK821">
        <v>69.894134269829493</v>
      </c>
      <c r="AL821">
        <v>87.592805597464903</v>
      </c>
      <c r="AM821">
        <v>86.065078339205598</v>
      </c>
      <c r="AN821">
        <v>1.0000000174288</v>
      </c>
    </row>
    <row r="822" spans="1:40" x14ac:dyDescent="0.25">
      <c r="A822" t="str">
        <f>"20190312154814461"</f>
        <v>20190312154814461</v>
      </c>
      <c r="B822" t="str">
        <f>"1552376894446528"</f>
        <v>1552376894446528</v>
      </c>
      <c r="C822" t="s">
        <v>40</v>
      </c>
      <c r="D822">
        <v>4.2377159999999998</v>
      </c>
      <c r="E822">
        <v>0.53239029999999998</v>
      </c>
      <c r="F822" t="s">
        <v>42</v>
      </c>
      <c r="G822">
        <v>-210.726</v>
      </c>
      <c r="H822">
        <v>7.9986719999999997E-2</v>
      </c>
      <c r="I822">
        <v>357.24360000000001</v>
      </c>
      <c r="J822">
        <v>-289.08429999999998</v>
      </c>
      <c r="K822">
        <v>1.0599670000000001</v>
      </c>
      <c r="L822">
        <v>367.96780000000001</v>
      </c>
      <c r="M822">
        <v>0.99977020000000005</v>
      </c>
      <c r="N822">
        <v>0</v>
      </c>
      <c r="O822">
        <v>1.6110329999999999E-2</v>
      </c>
      <c r="P822">
        <v>0.99821079999999995</v>
      </c>
      <c r="Q822">
        <v>2.812779E-2</v>
      </c>
      <c r="R822">
        <v>-5.2766390000000003E-2</v>
      </c>
      <c r="S822">
        <v>2.9849549999999998</v>
      </c>
      <c r="T822">
        <v>-3.7247299999999997E-2</v>
      </c>
      <c r="U822">
        <v>-0.40750120000000001</v>
      </c>
      <c r="V822">
        <v>6.8832980000000002E-2</v>
      </c>
      <c r="W822">
        <v>4.2249799999999997E-2</v>
      </c>
      <c r="X822">
        <v>0.99673310000000004</v>
      </c>
      <c r="Y822">
        <v>0.1511972</v>
      </c>
      <c r="Z822">
        <v>-1.1391179999999999E-3</v>
      </c>
      <c r="AA822">
        <v>0.98850300000000002</v>
      </c>
      <c r="AB822">
        <v>34</v>
      </c>
      <c r="AC822">
        <v>78.3582999999999</v>
      </c>
      <c r="AD822">
        <v>-0.97998028000000004</v>
      </c>
      <c r="AE822">
        <v>-10.7241999999999</v>
      </c>
      <c r="AF822">
        <v>11.983472394982901</v>
      </c>
      <c r="AG822">
        <v>-0.97998028000000004</v>
      </c>
      <c r="AH822">
        <v>78.1633402142253</v>
      </c>
      <c r="AI822">
        <v>90.710018485148595</v>
      </c>
      <c r="AJ822">
        <v>81.283669677179404</v>
      </c>
      <c r="AK822">
        <v>79.082689164160499</v>
      </c>
      <c r="AL822">
        <v>87.578543884151102</v>
      </c>
      <c r="AM822">
        <v>86.049506514652805</v>
      </c>
      <c r="AN822">
        <v>0.999999948685663</v>
      </c>
    </row>
    <row r="823" spans="1:40" x14ac:dyDescent="0.25">
      <c r="A823" t="str">
        <f>"20190312154814472"</f>
        <v>20190312154814472</v>
      </c>
      <c r="B823" t="str">
        <f>"1552376894467023"</f>
        <v>1552376894467023</v>
      </c>
      <c r="C823" t="s">
        <v>40</v>
      </c>
      <c r="D823">
        <v>4.2416090000000004</v>
      </c>
      <c r="E823">
        <v>0.5334042</v>
      </c>
      <c r="F823" t="s">
        <v>45</v>
      </c>
      <c r="G823">
        <v>-192.17529999999999</v>
      </c>
      <c r="H823" s="1">
        <v>-3.4409400000000002E-6</v>
      </c>
      <c r="I823">
        <v>354.60129999999998</v>
      </c>
      <c r="J823">
        <v>-288.9101</v>
      </c>
      <c r="K823">
        <v>1.0599689999999999</v>
      </c>
      <c r="L823">
        <v>367.97070000000002</v>
      </c>
      <c r="M823">
        <v>0.99976889999999996</v>
      </c>
      <c r="N823">
        <v>0</v>
      </c>
      <c r="O823">
        <v>1.6165570000000001E-2</v>
      </c>
      <c r="P823">
        <v>0.99820989999999998</v>
      </c>
      <c r="Q823">
        <v>2.8136410000000001E-2</v>
      </c>
      <c r="R823">
        <v>-5.2780090000000002E-2</v>
      </c>
      <c r="S823">
        <v>2.9845280000000001</v>
      </c>
      <c r="T823">
        <v>-3.2644149999999997E-2</v>
      </c>
      <c r="U823">
        <v>-0.41165160000000001</v>
      </c>
      <c r="V823">
        <v>6.8901980000000002E-2</v>
      </c>
      <c r="W823">
        <v>4.2288869999999999E-2</v>
      </c>
      <c r="X823">
        <v>0.99672680000000002</v>
      </c>
      <c r="Y823">
        <v>0.152622799999999</v>
      </c>
      <c r="Z823">
        <v>-1.00676E-3</v>
      </c>
      <c r="AA823">
        <v>0.98828400000000005</v>
      </c>
      <c r="AB823">
        <v>34</v>
      </c>
      <c r="AC823">
        <v>96.734800000000007</v>
      </c>
      <c r="AD823">
        <v>-1.05997244094</v>
      </c>
      <c r="AE823">
        <v>-13.369400000000001</v>
      </c>
      <c r="AF823">
        <v>14.9298238942756</v>
      </c>
      <c r="AG823">
        <v>-1.05997244094</v>
      </c>
      <c r="AH823">
        <v>96.494642648117505</v>
      </c>
      <c r="AI823">
        <v>90.621956396121504</v>
      </c>
      <c r="AJ823">
        <v>81.204833914299101</v>
      </c>
      <c r="AK823">
        <v>97.648549619938194</v>
      </c>
      <c r="AL823">
        <v>87.576303635969495</v>
      </c>
      <c r="AM823">
        <v>86.0455340776101</v>
      </c>
      <c r="AN823">
        <v>1.0000000726060101</v>
      </c>
    </row>
    <row r="824" spans="1:40" x14ac:dyDescent="0.25">
      <c r="A824" t="str">
        <f>"20190312154814484"</f>
        <v>20190312154814484</v>
      </c>
      <c r="B824" t="str">
        <f>"1552376894476783"</f>
        <v>1552376894476783</v>
      </c>
      <c r="C824" t="s">
        <v>40</v>
      </c>
      <c r="D824">
        <v>4.2414360000000002</v>
      </c>
      <c r="E824">
        <v>0.53395109999999901</v>
      </c>
      <c r="F824" t="s">
        <v>45</v>
      </c>
      <c r="G824">
        <v>-180</v>
      </c>
      <c r="H824">
        <v>2.4960310000000001E-3</v>
      </c>
      <c r="I824">
        <v>352.65120000000002</v>
      </c>
      <c r="J824">
        <v>-288.71929999999998</v>
      </c>
      <c r="K824">
        <v>1.0599730000000001</v>
      </c>
      <c r="L824">
        <v>367.97379999999998</v>
      </c>
      <c r="M824">
        <v>0.99976739999999997</v>
      </c>
      <c r="N824">
        <v>0</v>
      </c>
      <c r="O824">
        <v>1.6225989999999999E-2</v>
      </c>
      <c r="P824">
        <v>0.99821780000000004</v>
      </c>
      <c r="Q824">
        <v>2.782051E-2</v>
      </c>
      <c r="R824">
        <v>-5.2796750000000003E-2</v>
      </c>
      <c r="S824">
        <v>2.9840390000000001</v>
      </c>
      <c r="T824">
        <v>-2.8973820000000001E-2</v>
      </c>
      <c r="U824">
        <v>-0.41973880000000002</v>
      </c>
      <c r="V824">
        <v>6.8979230000000002E-2</v>
      </c>
      <c r="W824">
        <v>4.2005399999999998E-2</v>
      </c>
      <c r="X824">
        <v>0.99673339999999999</v>
      </c>
      <c r="Y824">
        <v>0.1553332</v>
      </c>
      <c r="Z824">
        <v>-9.0722830000000004E-4</v>
      </c>
      <c r="AA824">
        <v>0.98786169999999995</v>
      </c>
      <c r="AB824">
        <v>34</v>
      </c>
      <c r="AC824">
        <v>108.719299999999</v>
      </c>
      <c r="AD824">
        <v>-1.0574769690000001</v>
      </c>
      <c r="AE824">
        <v>-15.3225999999999</v>
      </c>
      <c r="AF824">
        <v>17.083253987626701</v>
      </c>
      <c r="AG824">
        <v>-1.0574769690000001</v>
      </c>
      <c r="AH824">
        <v>108.446274682595</v>
      </c>
      <c r="AI824">
        <v>90.551877607454003</v>
      </c>
      <c r="AJ824">
        <v>81.0479123866712</v>
      </c>
      <c r="AK824">
        <v>109.788662059789</v>
      </c>
      <c r="AL824">
        <v>87.592559609906402</v>
      </c>
      <c r="AM824">
        <v>86.041140717654798</v>
      </c>
      <c r="AN824">
        <v>1.00000002923805</v>
      </c>
    </row>
    <row r="825" spans="1:40" x14ac:dyDescent="0.25">
      <c r="A825" t="str">
        <f>"20190312154814496"</f>
        <v>20190312154814496</v>
      </c>
      <c r="B825" t="str">
        <f>"1552376894486543"</f>
        <v>1552376894486543</v>
      </c>
      <c r="C825" t="s">
        <v>40</v>
      </c>
      <c r="D825">
        <v>4.2399459999999998</v>
      </c>
      <c r="E825">
        <v>0.53443680000000005</v>
      </c>
      <c r="F825" t="s">
        <v>45</v>
      </c>
      <c r="G825">
        <v>-180</v>
      </c>
      <c r="H825">
        <v>1.8947359999999999E-3</v>
      </c>
      <c r="I825">
        <v>352.51729999999998</v>
      </c>
      <c r="J825">
        <v>-288.55829999999997</v>
      </c>
      <c r="K825">
        <v>1.0599799999999999</v>
      </c>
      <c r="L825">
        <v>367.97649999999999</v>
      </c>
      <c r="M825">
        <v>0.99976620000000005</v>
      </c>
      <c r="N825">
        <v>0</v>
      </c>
      <c r="O825">
        <v>1.627582E-2</v>
      </c>
      <c r="P825">
        <v>0.99821139999999997</v>
      </c>
      <c r="Q825">
        <v>2.7879109999999999E-2</v>
      </c>
      <c r="R825">
        <v>-5.2885359999999999E-2</v>
      </c>
      <c r="S825">
        <v>2.9837340000000001</v>
      </c>
      <c r="T825">
        <v>-2.9038310000000001E-2</v>
      </c>
      <c r="U825">
        <v>-0.42419430000000002</v>
      </c>
      <c r="V825">
        <v>6.911747E-2</v>
      </c>
      <c r="W825">
        <v>4.2087819999999998E-2</v>
      </c>
      <c r="X825">
        <v>0.9967203</v>
      </c>
      <c r="Y825">
        <v>0.15684239999999999</v>
      </c>
      <c r="Z825">
        <v>-9.1703499999999996E-4</v>
      </c>
      <c r="AA825">
        <v>0.98762320000000003</v>
      </c>
      <c r="AB825">
        <v>34</v>
      </c>
      <c r="AC825">
        <v>108.55829999999899</v>
      </c>
      <c r="AD825">
        <v>-1.058085264</v>
      </c>
      <c r="AE825">
        <v>-15.459199999999999</v>
      </c>
      <c r="AF825">
        <v>17.222602663969401</v>
      </c>
      <c r="AG825">
        <v>-1.058085264</v>
      </c>
      <c r="AH825">
        <v>108.28219865167399</v>
      </c>
      <c r="AI825">
        <v>90.552901452423001</v>
      </c>
      <c r="AJ825">
        <v>80.962638656733205</v>
      </c>
      <c r="AK825">
        <v>109.64840232209301</v>
      </c>
      <c r="AL825">
        <v>87.587833000036994</v>
      </c>
      <c r="AM825">
        <v>86.033180174833305</v>
      </c>
      <c r="AN825">
        <v>0.99999998284182101</v>
      </c>
    </row>
    <row r="826" spans="1:40" x14ac:dyDescent="0.25">
      <c r="A826" t="str">
        <f>"20190312154814508"</f>
        <v>20190312154814508</v>
      </c>
      <c r="B826" t="str">
        <f>"1552376894497279"</f>
        <v>1552376894497279</v>
      </c>
      <c r="C826" t="s">
        <v>40</v>
      </c>
      <c r="D826">
        <v>4.2282669999999998</v>
      </c>
      <c r="E826">
        <v>0.53488990000000003</v>
      </c>
      <c r="F826" t="s">
        <v>45</v>
      </c>
      <c r="G826">
        <v>-180</v>
      </c>
      <c r="H826">
        <v>4.6564330000000001E-2</v>
      </c>
      <c r="I826">
        <v>352.38189999999997</v>
      </c>
      <c r="J826">
        <v>-288.36270000000002</v>
      </c>
      <c r="K826">
        <v>1.059985</v>
      </c>
      <c r="L826">
        <v>367.97969999999998</v>
      </c>
      <c r="M826">
        <v>0.99976489999999996</v>
      </c>
      <c r="N826">
        <v>0</v>
      </c>
      <c r="O826">
        <v>1.6336280000000002E-2</v>
      </c>
      <c r="P826">
        <v>0.99820719999999996</v>
      </c>
      <c r="Q826">
        <v>2.7557760000000001E-2</v>
      </c>
      <c r="R826">
        <v>-5.3132850000000002E-2</v>
      </c>
      <c r="S826">
        <v>2.9835210000000001</v>
      </c>
      <c r="T826">
        <v>-2.7851819999999999E-2</v>
      </c>
      <c r="U826">
        <v>-0.42858889999999999</v>
      </c>
      <c r="V826">
        <v>6.9425260000000003E-2</v>
      </c>
      <c r="W826">
        <v>4.1794350000000001E-2</v>
      </c>
      <c r="X826">
        <v>0.99671129999999997</v>
      </c>
      <c r="Y826">
        <v>0.1583379</v>
      </c>
      <c r="Z826">
        <v>-8.8704530000000004E-4</v>
      </c>
      <c r="AA826">
        <v>0.98738459999999995</v>
      </c>
      <c r="AB826">
        <v>34</v>
      </c>
      <c r="AC826">
        <v>108.3627</v>
      </c>
      <c r="AD826">
        <v>-1.0134206699999999</v>
      </c>
      <c r="AE826">
        <v>-15.597799999999999</v>
      </c>
      <c r="AF826">
        <v>17.364653548518</v>
      </c>
      <c r="AG826">
        <v>-1.0134206699999999</v>
      </c>
      <c r="AH826">
        <v>108.08413918951</v>
      </c>
      <c r="AI826">
        <v>90.530400954094105</v>
      </c>
      <c r="AJ826">
        <v>80.872930116582197</v>
      </c>
      <c r="AK826">
        <v>109.474834362294</v>
      </c>
      <c r="AL826">
        <v>87.604662502234305</v>
      </c>
      <c r="AM826">
        <v>86.015536266215094</v>
      </c>
      <c r="AN826">
        <v>1.00000002498283</v>
      </c>
    </row>
    <row r="827" spans="1:40" x14ac:dyDescent="0.25">
      <c r="A827" t="str">
        <f>"20190312154814521"</f>
        <v>20190312154814521</v>
      </c>
      <c r="B827" t="str">
        <f>"1552376894507039"</f>
        <v>1552376894507039</v>
      </c>
      <c r="C827" t="s">
        <v>40</v>
      </c>
      <c r="D827">
        <v>4.2370780000000003</v>
      </c>
      <c r="E827">
        <v>0.53518339999999998</v>
      </c>
      <c r="F827" t="s">
        <v>45</v>
      </c>
      <c r="G827">
        <v>-180</v>
      </c>
      <c r="H827">
        <v>3.358937E-2</v>
      </c>
      <c r="I827">
        <v>352.24930000000001</v>
      </c>
      <c r="J827">
        <v>-288.16469999999998</v>
      </c>
      <c r="K827">
        <v>1.059985</v>
      </c>
      <c r="L827">
        <v>367.983</v>
      </c>
      <c r="M827">
        <v>0.99976350000000003</v>
      </c>
      <c r="N827">
        <v>0</v>
      </c>
      <c r="O827">
        <v>1.6397660000000001E-2</v>
      </c>
      <c r="P827">
        <v>0.99821510000000002</v>
      </c>
      <c r="Q827">
        <v>2.7337790000000001E-2</v>
      </c>
      <c r="R827">
        <v>-5.3100910000000001E-2</v>
      </c>
      <c r="S827">
        <v>2.9831240000000001</v>
      </c>
      <c r="T827">
        <v>-2.8255700000000002E-2</v>
      </c>
      <c r="U827">
        <v>-0.4330444</v>
      </c>
      <c r="V827">
        <v>6.9454799999999997E-2</v>
      </c>
      <c r="W827">
        <v>4.159997E-2</v>
      </c>
      <c r="X827">
        <v>0.99671730000000003</v>
      </c>
      <c r="Y827">
        <v>0.15986120000000001</v>
      </c>
      <c r="Z827">
        <v>-9.0768649999999995E-4</v>
      </c>
      <c r="AA827">
        <v>0.98713910000000005</v>
      </c>
      <c r="AB827">
        <v>34</v>
      </c>
      <c r="AC827">
        <v>108.164699999999</v>
      </c>
      <c r="AD827">
        <v>-1.0263956299999999</v>
      </c>
      <c r="AE827">
        <v>-15.733700000000001</v>
      </c>
      <c r="AF827">
        <v>17.5038696562317</v>
      </c>
      <c r="AG827">
        <v>-1.0263956299999999</v>
      </c>
      <c r="AH827">
        <v>107.882619042702</v>
      </c>
      <c r="AI827">
        <v>90.538060072303793</v>
      </c>
      <c r="AJ827">
        <v>80.784113874302506</v>
      </c>
      <c r="AK827">
        <v>109.298208733924</v>
      </c>
      <c r="AL827">
        <v>87.615809174603996</v>
      </c>
      <c r="AM827">
        <v>86.013870285097696</v>
      </c>
      <c r="AN827">
        <v>0.999999951433164</v>
      </c>
    </row>
    <row r="828" spans="1:40" x14ac:dyDescent="0.25">
      <c r="A828" t="str">
        <f>"20190312154814537"</f>
        <v>20190312154814537</v>
      </c>
      <c r="B828" t="str">
        <f>"1552376894526559"</f>
        <v>1552376894526559</v>
      </c>
      <c r="C828" t="s">
        <v>40</v>
      </c>
      <c r="D828">
        <v>4.1925160000000004</v>
      </c>
      <c r="E828">
        <v>0.53566459999999905</v>
      </c>
      <c r="F828" t="s">
        <v>45</v>
      </c>
      <c r="G828">
        <v>-180</v>
      </c>
      <c r="H828">
        <v>3.5363319999999997E-2</v>
      </c>
      <c r="I828">
        <v>352.19880000000001</v>
      </c>
      <c r="J828">
        <v>-287.9307</v>
      </c>
      <c r="K828">
        <v>1.0599879999999999</v>
      </c>
      <c r="L828">
        <v>367.98689999999999</v>
      </c>
      <c r="M828">
        <v>0.99976189999999998</v>
      </c>
      <c r="N828">
        <v>0</v>
      </c>
      <c r="O828">
        <v>1.6470169999999999E-2</v>
      </c>
      <c r="P828">
        <v>0.99822109999999997</v>
      </c>
      <c r="Q828">
        <v>2.7062849999999999E-2</v>
      </c>
      <c r="R828">
        <v>-5.3124900000000003E-2</v>
      </c>
      <c r="S828">
        <v>2.9830019999999999</v>
      </c>
      <c r="T828">
        <v>-2.825737E-2</v>
      </c>
      <c r="U828">
        <v>-0.43530269999999999</v>
      </c>
      <c r="V828">
        <v>6.9551489999999994E-2</v>
      </c>
      <c r="W828">
        <v>4.135175E-2</v>
      </c>
      <c r="X828">
        <v>0.99672090000000002</v>
      </c>
      <c r="Y828">
        <v>0.16067020000000001</v>
      </c>
      <c r="Z828">
        <v>-9.1222310000000002E-4</v>
      </c>
      <c r="AA828">
        <v>0.98700770000000004</v>
      </c>
      <c r="AB828">
        <v>34</v>
      </c>
      <c r="AC828">
        <v>107.9307</v>
      </c>
      <c r="AD828">
        <v>-1.0246246799999901</v>
      </c>
      <c r="AE828">
        <v>-15.788099999999901</v>
      </c>
      <c r="AF828">
        <v>17.562227511313299</v>
      </c>
      <c r="AG828">
        <v>-1.0246246799999901</v>
      </c>
      <c r="AH828">
        <v>107.646499410538</v>
      </c>
      <c r="AI828">
        <v>90.538233256972305</v>
      </c>
      <c r="AJ828">
        <v>80.733988316174504</v>
      </c>
      <c r="AK828">
        <v>109.074518226013</v>
      </c>
      <c r="AL828">
        <v>87.630043413731201</v>
      </c>
      <c r="AM828">
        <v>86.008353377181805</v>
      </c>
      <c r="AN828">
        <v>0.99999996474304498</v>
      </c>
    </row>
    <row r="829" spans="1:40" x14ac:dyDescent="0.25">
      <c r="A829" t="str">
        <f>"20190312154814558"</f>
        <v>20190312154814558</v>
      </c>
      <c r="B829" t="str">
        <f>"1552376894547056"</f>
        <v>1552376894547056</v>
      </c>
      <c r="C829" t="s">
        <v>40</v>
      </c>
      <c r="D829">
        <v>4.3209249999999999</v>
      </c>
      <c r="E829">
        <v>0.53600729999999996</v>
      </c>
      <c r="F829" t="s">
        <v>45</v>
      </c>
      <c r="G829">
        <v>-175.0393</v>
      </c>
      <c r="H829">
        <v>7.9987089999999997E-2</v>
      </c>
      <c r="I829">
        <v>351.36790000000002</v>
      </c>
      <c r="J829">
        <v>-287.6003</v>
      </c>
      <c r="K829">
        <v>1.059993</v>
      </c>
      <c r="L829">
        <v>367.99250000000001</v>
      </c>
      <c r="M829">
        <v>0.99975990000000003</v>
      </c>
      <c r="N829">
        <v>0</v>
      </c>
      <c r="O829">
        <v>1.6572239999999998E-2</v>
      </c>
      <c r="P829">
        <v>0.99824710000000005</v>
      </c>
      <c r="Q829">
        <v>2.699383E-2</v>
      </c>
      <c r="R829">
        <v>-5.267343E-2</v>
      </c>
      <c r="S829">
        <v>2.982666</v>
      </c>
      <c r="T829">
        <v>-2.589226E-2</v>
      </c>
      <c r="U829">
        <v>-0.4390869</v>
      </c>
      <c r="V829">
        <v>6.9202449999999999E-2</v>
      </c>
      <c r="W829">
        <v>4.1316499999999999E-2</v>
      </c>
      <c r="X829">
        <v>0.99674669999999999</v>
      </c>
      <c r="Y829">
        <v>0.16201380000000001</v>
      </c>
      <c r="Z829">
        <v>-8.4257329999999999E-4</v>
      </c>
      <c r="AA829">
        <v>0.9867882</v>
      </c>
      <c r="AB829">
        <v>34</v>
      </c>
      <c r="AC829">
        <v>112.56100000000001</v>
      </c>
      <c r="AD829">
        <v>-0.98000591000000004</v>
      </c>
      <c r="AE829">
        <v>-16.624599999999901</v>
      </c>
      <c r="AF829">
        <v>18.486524695742499</v>
      </c>
      <c r="AG829">
        <v>-0.98000591000000004</v>
      </c>
      <c r="AH829">
        <v>112.261675746385</v>
      </c>
      <c r="AI829">
        <v>90.493513491579904</v>
      </c>
      <c r="AJ829">
        <v>80.648826315917802</v>
      </c>
      <c r="AK829">
        <v>113.777835487833</v>
      </c>
      <c r="AL829">
        <v>87.632064920310498</v>
      </c>
      <c r="AM829">
        <v>86.028423422928697</v>
      </c>
      <c r="AN829">
        <v>1.0000000081095699</v>
      </c>
    </row>
    <row r="830" spans="1:40" x14ac:dyDescent="0.25">
      <c r="A830" t="str">
        <f>"20190312154814569"</f>
        <v>20190312154814569</v>
      </c>
      <c r="B830" t="str">
        <f>"1552376894556815"</f>
        <v>1552376894556815</v>
      </c>
      <c r="C830" t="s">
        <v>40</v>
      </c>
      <c r="D830">
        <v>4.2544139999999997</v>
      </c>
      <c r="E830">
        <v>0.53622720000000001</v>
      </c>
      <c r="F830" t="s">
        <v>43</v>
      </c>
      <c r="G830">
        <v>-141.2475</v>
      </c>
      <c r="H830">
        <v>-0.05</v>
      </c>
      <c r="I830">
        <v>346.36360000000002</v>
      </c>
      <c r="J830">
        <v>-287.42919999999998</v>
      </c>
      <c r="K830">
        <v>1.059995</v>
      </c>
      <c r="L830">
        <v>367.99529999999999</v>
      </c>
      <c r="M830">
        <v>0.9997587</v>
      </c>
      <c r="N830">
        <v>0</v>
      </c>
      <c r="O830">
        <v>1.6625230000000001E-2</v>
      </c>
      <c r="P830">
        <v>0.99824259999999998</v>
      </c>
      <c r="Q830">
        <v>2.712287E-2</v>
      </c>
      <c r="R830">
        <v>-5.2692860000000001E-2</v>
      </c>
      <c r="S830">
        <v>2.982666</v>
      </c>
      <c r="T830">
        <v>-2.262163E-2</v>
      </c>
      <c r="U830">
        <v>-0.44079590000000002</v>
      </c>
      <c r="V830">
        <v>6.9274619999999995E-2</v>
      </c>
      <c r="W830">
        <v>4.1460379999999998E-2</v>
      </c>
      <c r="X830">
        <v>0.9967357</v>
      </c>
      <c r="Y830">
        <v>0.16262099999999999</v>
      </c>
      <c r="Z830">
        <v>-7.388049E-4</v>
      </c>
      <c r="AA830">
        <v>0.98668829999999996</v>
      </c>
      <c r="AB830">
        <v>34</v>
      </c>
      <c r="AC830">
        <v>146.18169999999901</v>
      </c>
      <c r="AD830">
        <v>-1.1099950000000001</v>
      </c>
      <c r="AE830">
        <v>-21.631699999999899</v>
      </c>
      <c r="AF830">
        <v>24.0579072175588</v>
      </c>
      <c r="AG830">
        <v>-1.1099950000000001</v>
      </c>
      <c r="AH830">
        <v>145.79359722164199</v>
      </c>
      <c r="AI830">
        <v>90.430391122572502</v>
      </c>
      <c r="AJ830">
        <v>80.629863648313901</v>
      </c>
      <c r="AK830">
        <v>147.76937429459099</v>
      </c>
      <c r="AL830">
        <v>87.623814104674395</v>
      </c>
      <c r="AM830">
        <v>86.024251076693503</v>
      </c>
      <c r="AN830">
        <v>0.99999999587018895</v>
      </c>
    </row>
    <row r="831" spans="1:40" x14ac:dyDescent="0.25">
      <c r="A831" t="str">
        <f>"20190312154814581"</f>
        <v>20190312154814581</v>
      </c>
      <c r="B831" t="str">
        <f>"1552376894566576"</f>
        <v>1552376894566576</v>
      </c>
      <c r="C831" t="s">
        <v>40</v>
      </c>
      <c r="D831">
        <v>4.2012519999999904</v>
      </c>
      <c r="E831">
        <v>0.53626240000000003</v>
      </c>
      <c r="F831" t="s">
        <v>43</v>
      </c>
      <c r="G831">
        <v>-125.1965</v>
      </c>
      <c r="H831">
        <v>-0.05</v>
      </c>
      <c r="I831">
        <v>343.9169</v>
      </c>
      <c r="J831">
        <v>-287.25560000000002</v>
      </c>
      <c r="K831">
        <v>1.0599940000000001</v>
      </c>
      <c r="L831">
        <v>367.99829999999997</v>
      </c>
      <c r="M831">
        <v>0.99975760000000002</v>
      </c>
      <c r="N831">
        <v>0</v>
      </c>
      <c r="O831">
        <v>1.6679289999999999E-2</v>
      </c>
      <c r="P831">
        <v>0.99826380000000003</v>
      </c>
      <c r="Q831">
        <v>2.6935560000000001E-2</v>
      </c>
      <c r="R831">
        <v>-5.2385719999999997E-2</v>
      </c>
      <c r="S831">
        <v>2.9824830000000002</v>
      </c>
      <c r="T831">
        <v>-2.0406130000000001E-2</v>
      </c>
      <c r="U831">
        <v>-0.44265749999999998</v>
      </c>
      <c r="V831">
        <v>6.9021879999999994E-2</v>
      </c>
      <c r="W831">
        <v>4.128743E-2</v>
      </c>
      <c r="X831">
        <v>0.99676039999999999</v>
      </c>
      <c r="Y831">
        <v>0.16328670000000001</v>
      </c>
      <c r="Z831">
        <v>-6.6909320000000001E-4</v>
      </c>
      <c r="AA831">
        <v>0.98657850000000002</v>
      </c>
      <c r="AB831">
        <v>34</v>
      </c>
      <c r="AC831">
        <v>162.0591</v>
      </c>
      <c r="AD831">
        <v>-1.1099939999999999</v>
      </c>
      <c r="AE831">
        <v>-24.081399999999899</v>
      </c>
      <c r="AF831">
        <v>26.780130084362501</v>
      </c>
      <c r="AG831">
        <v>-1.1099939999999999</v>
      </c>
      <c r="AH831">
        <v>161.62743067846199</v>
      </c>
      <c r="AI831">
        <v>90.3881865597792</v>
      </c>
      <c r="AJ831">
        <v>80.592104896410603</v>
      </c>
      <c r="AK831">
        <v>163.83477592298999</v>
      </c>
      <c r="AL831">
        <v>87.633731872552204</v>
      </c>
      <c r="AM831">
        <v>86.038807698323694</v>
      </c>
      <c r="AN831">
        <v>0.99999998340144902</v>
      </c>
    </row>
    <row r="832" spans="1:40" x14ac:dyDescent="0.25">
      <c r="A832" t="str">
        <f>"20190312154814591"</f>
        <v>20190312154814591</v>
      </c>
      <c r="B832" t="str">
        <f>"1552376894577311"</f>
        <v>1552376894577311</v>
      </c>
      <c r="C832" t="s">
        <v>40</v>
      </c>
      <c r="D832">
        <v>4.2178740000000001</v>
      </c>
      <c r="E832">
        <v>0.53619969999999995</v>
      </c>
      <c r="F832" t="s">
        <v>43</v>
      </c>
      <c r="G832">
        <v>-102.1391</v>
      </c>
      <c r="H832">
        <v>-0.05</v>
      </c>
      <c r="I832">
        <v>340.5575</v>
      </c>
      <c r="J832">
        <v>-287.09679999999997</v>
      </c>
      <c r="K832">
        <v>1.0599959999999999</v>
      </c>
      <c r="L832">
        <v>368.0009</v>
      </c>
      <c r="M832">
        <v>0.9997566</v>
      </c>
      <c r="N832">
        <v>0</v>
      </c>
      <c r="O832">
        <v>1.6728010000000001E-2</v>
      </c>
      <c r="P832">
        <v>0.99826570000000003</v>
      </c>
      <c r="Q832">
        <v>2.723223E-2</v>
      </c>
      <c r="R832">
        <v>-5.2199330000000002E-2</v>
      </c>
      <c r="S832">
        <v>2.9824830000000002</v>
      </c>
      <c r="T832">
        <v>-1.788354E-2</v>
      </c>
      <c r="U832">
        <v>-0.44210820000000001</v>
      </c>
      <c r="V832">
        <v>6.8883990000000006E-2</v>
      </c>
      <c r="W832">
        <v>4.159616E-2</v>
      </c>
      <c r="X832">
        <v>0.99675709999999995</v>
      </c>
      <c r="Y832">
        <v>0.16315789999999999</v>
      </c>
      <c r="Z832">
        <v>-5.8629690000000002E-4</v>
      </c>
      <c r="AA832">
        <v>0.98659980000000003</v>
      </c>
      <c r="AB832">
        <v>34</v>
      </c>
      <c r="AC832">
        <v>184.95769999999999</v>
      </c>
      <c r="AD832">
        <v>-1.109996</v>
      </c>
      <c r="AE832">
        <v>-27.4434</v>
      </c>
      <c r="AF832">
        <v>30.532777656240299</v>
      </c>
      <c r="AG832">
        <v>-1.109996</v>
      </c>
      <c r="AH832">
        <v>184.46619318849801</v>
      </c>
      <c r="AI832">
        <v>90.340136364106399</v>
      </c>
      <c r="AJ832">
        <v>80.601633308222901</v>
      </c>
      <c r="AK832">
        <v>186.979301078974</v>
      </c>
      <c r="AL832">
        <v>87.616027729991501</v>
      </c>
      <c r="AM832">
        <v>86.0466830943449</v>
      </c>
      <c r="AN832">
        <v>0.99999998050273697</v>
      </c>
    </row>
    <row r="833" spans="1:40" x14ac:dyDescent="0.25">
      <c r="A833" t="str">
        <f>"20190312154814615"</f>
        <v>20190312154814615</v>
      </c>
      <c r="B833" t="str">
        <f>"1552376894606592"</f>
        <v>1552376894606592</v>
      </c>
      <c r="C833" t="s">
        <v>40</v>
      </c>
      <c r="D833">
        <v>4.1083920000000003</v>
      </c>
      <c r="E833">
        <v>0.536416</v>
      </c>
      <c r="F833" t="s">
        <v>46</v>
      </c>
      <c r="G833">
        <v>-46.74579</v>
      </c>
      <c r="H833">
        <v>-0.1</v>
      </c>
      <c r="I833">
        <v>332.45440000000002</v>
      </c>
      <c r="J833">
        <v>-286.74709999999999</v>
      </c>
      <c r="K833">
        <v>1.060003</v>
      </c>
      <c r="L833">
        <v>368.00689999999997</v>
      </c>
      <c r="M833">
        <v>0.99975449999999999</v>
      </c>
      <c r="N833">
        <v>0</v>
      </c>
      <c r="O833">
        <v>1.683432E-2</v>
      </c>
      <c r="P833">
        <v>0.99827900000000003</v>
      </c>
      <c r="Q833">
        <v>2.7233609999999998E-2</v>
      </c>
      <c r="R833">
        <v>-5.1938140000000001E-2</v>
      </c>
      <c r="S833">
        <v>2.9825439999999999</v>
      </c>
      <c r="T833">
        <v>-1.4394519999999999E-2</v>
      </c>
      <c r="U833">
        <v>-0.44110110000000002</v>
      </c>
      <c r="V833">
        <v>6.8729360000000003E-2</v>
      </c>
      <c r="W833">
        <v>4.1621409999999998E-2</v>
      </c>
      <c r="X833">
        <v>0.99676670000000001</v>
      </c>
      <c r="Y833">
        <v>0.162935</v>
      </c>
      <c r="Z833">
        <v>-4.7189129999999999E-4</v>
      </c>
      <c r="AA833">
        <v>0.98663670000000003</v>
      </c>
      <c r="AB833">
        <v>34</v>
      </c>
      <c r="AC833">
        <v>240.00130999999999</v>
      </c>
      <c r="AD833">
        <v>-1.1600029999999999</v>
      </c>
      <c r="AE833">
        <v>-35.552499999999903</v>
      </c>
      <c r="AF833">
        <v>39.587234156853498</v>
      </c>
      <c r="AG833">
        <v>-1.1600029999999999</v>
      </c>
      <c r="AH833">
        <v>239.363257055323</v>
      </c>
      <c r="AI833">
        <v>90.273943645616299</v>
      </c>
      <c r="AJ833">
        <v>80.609108934168404</v>
      </c>
      <c r="AK833">
        <v>242.61752521877301</v>
      </c>
      <c r="AL833">
        <v>87.614579709725007</v>
      </c>
      <c r="AM833">
        <v>86.055567280370695</v>
      </c>
      <c r="AN833">
        <v>0.99999996046264295</v>
      </c>
    </row>
    <row r="834" spans="1:40" x14ac:dyDescent="0.25">
      <c r="A834" t="str">
        <f>"20190312154814628"</f>
        <v>20190312154814628</v>
      </c>
      <c r="B834" t="str">
        <f>"1552376894617327"</f>
        <v>1552376894617327</v>
      </c>
      <c r="C834" t="s">
        <v>40</v>
      </c>
      <c r="D834">
        <v>4.4259849999999998</v>
      </c>
      <c r="E834">
        <v>0.53667399999999998</v>
      </c>
      <c r="F834" t="s">
        <v>46</v>
      </c>
      <c r="G834">
        <v>141.20429999999999</v>
      </c>
      <c r="H834">
        <v>-0.1</v>
      </c>
      <c r="I834">
        <v>304.53699999999998</v>
      </c>
      <c r="J834">
        <v>-286.5575</v>
      </c>
      <c r="K834">
        <v>1.0600130000000001</v>
      </c>
      <c r="L834">
        <v>368.0102</v>
      </c>
      <c r="M834">
        <v>0.99975340000000001</v>
      </c>
      <c r="N834">
        <v>0</v>
      </c>
      <c r="O834">
        <v>1.6891199999999999E-2</v>
      </c>
      <c r="P834">
        <v>0.99830969999999997</v>
      </c>
      <c r="Q834">
        <v>2.7098150000000001E-2</v>
      </c>
      <c r="R834">
        <v>-5.1414710000000002E-2</v>
      </c>
      <c r="S834">
        <v>2.9823909999999998</v>
      </c>
      <c r="T834">
        <v>-8.0840589999999993E-3</v>
      </c>
      <c r="U834">
        <v>-0.44232179999999999</v>
      </c>
      <c r="V834">
        <v>6.8263519999999994E-2</v>
      </c>
      <c r="W834">
        <v>4.1497060000000002E-2</v>
      </c>
      <c r="X834">
        <v>0.99680389999999996</v>
      </c>
      <c r="Y834">
        <v>0.16339500000000001</v>
      </c>
      <c r="Z834">
        <v>-2.6579739999999999E-4</v>
      </c>
      <c r="AA834">
        <v>0.98656069999999996</v>
      </c>
      <c r="AB834">
        <v>34</v>
      </c>
      <c r="AC834">
        <v>427.76179999999999</v>
      </c>
      <c r="AD834">
        <v>-1.160013</v>
      </c>
      <c r="AE834">
        <v>-63.473199999999899</v>
      </c>
      <c r="AF834">
        <v>70.689795016719799</v>
      </c>
      <c r="AG834">
        <v>-1.160013</v>
      </c>
      <c r="AH834">
        <v>426.62544029476402</v>
      </c>
      <c r="AI834">
        <v>90.153693787331605</v>
      </c>
      <c r="AJ834">
        <v>80.591841936662703</v>
      </c>
      <c r="AK834">
        <v>432.44382185015297</v>
      </c>
      <c r="AL834">
        <v>87.621710610839699</v>
      </c>
      <c r="AM834">
        <v>86.082364423642403</v>
      </c>
      <c r="AN834">
        <v>0.99999996460332097</v>
      </c>
    </row>
    <row r="835" spans="1:40" x14ac:dyDescent="0.25">
      <c r="A835" t="str">
        <f>"20190312154814639"</f>
        <v>20190312154814639</v>
      </c>
      <c r="B835" t="str">
        <f>"1552376894636847"</f>
        <v>1552376894636847</v>
      </c>
      <c r="C835" t="s">
        <v>40</v>
      </c>
      <c r="D835">
        <v>4.184158</v>
      </c>
      <c r="E835">
        <v>0.53711600000000004</v>
      </c>
      <c r="F835" t="s">
        <v>46</v>
      </c>
      <c r="G835">
        <v>59.727290000000004</v>
      </c>
      <c r="H835">
        <v>-0.1</v>
      </c>
      <c r="I835">
        <v>316.60879999999997</v>
      </c>
      <c r="J835">
        <v>-286.36649999999997</v>
      </c>
      <c r="K835">
        <v>1.060017</v>
      </c>
      <c r="L835">
        <v>368.01350000000002</v>
      </c>
      <c r="M835">
        <v>0.99975219999999998</v>
      </c>
      <c r="N835">
        <v>0</v>
      </c>
      <c r="O835">
        <v>1.6947429999999999E-2</v>
      </c>
      <c r="P835">
        <v>0.99831219999999998</v>
      </c>
      <c r="Q835">
        <v>2.7045449999999999E-2</v>
      </c>
      <c r="R835">
        <v>-5.1390239999999997E-2</v>
      </c>
      <c r="S835">
        <v>2.9825439999999999</v>
      </c>
      <c r="T835">
        <v>-9.9911689999999994E-3</v>
      </c>
      <c r="U835">
        <v>-0.44271850000000001</v>
      </c>
      <c r="V835">
        <v>6.8295369999999994E-2</v>
      </c>
      <c r="W835">
        <v>4.145418E-2</v>
      </c>
      <c r="X835">
        <v>0.99680349999999995</v>
      </c>
      <c r="Y835">
        <v>0.1635713</v>
      </c>
      <c r="Z835">
        <v>-3.2896269999999999E-4</v>
      </c>
      <c r="AA835">
        <v>0.98653150000000001</v>
      </c>
      <c r="AB835">
        <v>34</v>
      </c>
      <c r="AC835">
        <v>346.09379000000001</v>
      </c>
      <c r="AD835">
        <v>-1.1600170000000001</v>
      </c>
      <c r="AE835">
        <v>-51.404699999999998</v>
      </c>
      <c r="AF835">
        <v>57.262697731818399</v>
      </c>
      <c r="AG835">
        <v>-1.1600170000000001</v>
      </c>
      <c r="AH835">
        <v>345.169012039927</v>
      </c>
      <c r="AI835">
        <v>90.189958193441001</v>
      </c>
      <c r="AJ835">
        <v>80.580558573006797</v>
      </c>
      <c r="AK835">
        <v>349.88856663741598</v>
      </c>
      <c r="AL835">
        <v>87.624169563913995</v>
      </c>
      <c r="AM835">
        <v>86.080540683667394</v>
      </c>
      <c r="AN835">
        <v>0.99999996210757802</v>
      </c>
    </row>
    <row r="836" spans="1:40" x14ac:dyDescent="0.25">
      <c r="A836" t="str">
        <f>"20190312154814651"</f>
        <v>20190312154814651</v>
      </c>
      <c r="B836" t="str">
        <f>"1552376894646607"</f>
        <v>1552376894646607</v>
      </c>
      <c r="C836" t="s">
        <v>40</v>
      </c>
      <c r="D836">
        <v>4.1875080000000002</v>
      </c>
      <c r="E836">
        <v>0.53731119999999899</v>
      </c>
      <c r="F836" t="s">
        <v>46</v>
      </c>
      <c r="G836">
        <v>5.2448730000000001</v>
      </c>
      <c r="H836">
        <v>-0.1</v>
      </c>
      <c r="I836">
        <v>324.37430000000001</v>
      </c>
      <c r="J836">
        <v>-286.19310000000002</v>
      </c>
      <c r="K836">
        <v>1.060017</v>
      </c>
      <c r="L836">
        <v>368.01639999999998</v>
      </c>
      <c r="M836">
        <v>0.99975130000000001</v>
      </c>
      <c r="N836">
        <v>0</v>
      </c>
      <c r="O836">
        <v>1.6997479999999999E-2</v>
      </c>
      <c r="P836">
        <v>0.99831999999999999</v>
      </c>
      <c r="Q836">
        <v>2.703817E-2</v>
      </c>
      <c r="R836">
        <v>-5.1247429999999997E-2</v>
      </c>
      <c r="S836">
        <v>2.9824519999999999</v>
      </c>
      <c r="T836">
        <v>-1.1864070000000001E-2</v>
      </c>
      <c r="U836">
        <v>-0.44631959999999998</v>
      </c>
      <c r="V836">
        <v>6.8202540000000006E-2</v>
      </c>
      <c r="W836">
        <v>4.1455140000000001E-2</v>
      </c>
      <c r="X836">
        <v>0.99680979999999997</v>
      </c>
      <c r="Y836">
        <v>0.16478970000000001</v>
      </c>
      <c r="Z836">
        <v>-3.9321359999999999E-4</v>
      </c>
      <c r="AA836">
        <v>0.98632869999999995</v>
      </c>
      <c r="AB836">
        <v>34</v>
      </c>
      <c r="AC836">
        <v>291.437973</v>
      </c>
      <c r="AD836">
        <v>-1.1600170000000001</v>
      </c>
      <c r="AE836">
        <v>-43.6420999999999</v>
      </c>
      <c r="AF836">
        <v>48.589268335441098</v>
      </c>
      <c r="AG836">
        <v>-1.1600170000000001</v>
      </c>
      <c r="AH836">
        <v>290.64947408357199</v>
      </c>
      <c r="AI836">
        <v>90.225543207464796</v>
      </c>
      <c r="AJ836">
        <v>80.509352972991806</v>
      </c>
      <c r="AK836">
        <v>294.685220908465</v>
      </c>
      <c r="AL836">
        <v>87.624114474908694</v>
      </c>
      <c r="AM836">
        <v>86.085876271214303</v>
      </c>
      <c r="AN836">
        <v>0.99999994623545396</v>
      </c>
    </row>
    <row r="837" spans="1:40" x14ac:dyDescent="0.25">
      <c r="A837" t="str">
        <f>"20190312154814664"</f>
        <v>20190312154814664</v>
      </c>
      <c r="B837" t="str">
        <f>"1552376894657343"</f>
        <v>1552376894657343</v>
      </c>
      <c r="C837" t="s">
        <v>40</v>
      </c>
      <c r="D837">
        <v>4.1881120000000003</v>
      </c>
      <c r="E837">
        <v>0.53750529999999996</v>
      </c>
      <c r="F837" t="s">
        <v>46</v>
      </c>
      <c r="G837">
        <v>-10.41785</v>
      </c>
      <c r="H837">
        <v>-0.1</v>
      </c>
      <c r="I837">
        <v>326.65960000000001</v>
      </c>
      <c r="J837">
        <v>-285.9973</v>
      </c>
      <c r="K837">
        <v>1.0600179999999999</v>
      </c>
      <c r="L837">
        <v>368.01979999999998</v>
      </c>
      <c r="M837">
        <v>0.99975009999999997</v>
      </c>
      <c r="N837">
        <v>0</v>
      </c>
      <c r="O837">
        <v>1.705371E-2</v>
      </c>
      <c r="P837">
        <v>0.99832650000000001</v>
      </c>
      <c r="Q837">
        <v>2.6990279999999998E-2</v>
      </c>
      <c r="R837">
        <v>-5.1146360000000002E-2</v>
      </c>
      <c r="S837">
        <v>2.9824519999999999</v>
      </c>
      <c r="T837">
        <v>-1.254535E-2</v>
      </c>
      <c r="U837">
        <v>-0.44726559999999999</v>
      </c>
      <c r="V837">
        <v>6.8157809999999999E-2</v>
      </c>
      <c r="W837">
        <v>4.1415599999999997E-2</v>
      </c>
      <c r="X837">
        <v>0.99681450000000005</v>
      </c>
      <c r="Y837">
        <v>0.16515099999999999</v>
      </c>
      <c r="Z837">
        <v>-4.1677469999999999E-4</v>
      </c>
      <c r="AA837">
        <v>0.98626820000000004</v>
      </c>
      <c r="AB837">
        <v>34</v>
      </c>
      <c r="AC837">
        <v>275.57945000000001</v>
      </c>
      <c r="AD837">
        <v>-1.160018</v>
      </c>
      <c r="AE837">
        <v>-41.360199999999899</v>
      </c>
      <c r="AF837">
        <v>46.053528890367197</v>
      </c>
      <c r="AG837">
        <v>-1.160018</v>
      </c>
      <c r="AH837">
        <v>274.82918453016998</v>
      </c>
      <c r="AI837">
        <v>90.238511051016303</v>
      </c>
      <c r="AJ837">
        <v>80.487245228114404</v>
      </c>
      <c r="AK837">
        <v>278.663513640617</v>
      </c>
      <c r="AL837">
        <v>87.626381890234398</v>
      </c>
      <c r="AM837">
        <v>86.088453727227304</v>
      </c>
      <c r="AN837">
        <v>0.99999994319880103</v>
      </c>
    </row>
    <row r="838" spans="1:40" x14ac:dyDescent="0.25">
      <c r="A838" t="str">
        <f>"20190312154814676"</f>
        <v>20190312154814676</v>
      </c>
      <c r="B838" t="str">
        <f>"1552376894667103"</f>
        <v>1552376894667103</v>
      </c>
      <c r="C838" t="s">
        <v>40</v>
      </c>
      <c r="D838">
        <v>4.1836039999999999</v>
      </c>
      <c r="E838">
        <v>0.53768819999999995</v>
      </c>
      <c r="F838" t="s">
        <v>46</v>
      </c>
      <c r="G838">
        <v>-35.087220000000002</v>
      </c>
      <c r="H838">
        <v>-0.1</v>
      </c>
      <c r="I838">
        <v>330.30419999999998</v>
      </c>
      <c r="J838">
        <v>-285.81540000000001</v>
      </c>
      <c r="K838">
        <v>1.060022</v>
      </c>
      <c r="L838">
        <v>368.02300000000002</v>
      </c>
      <c r="M838">
        <v>0.99974929999999995</v>
      </c>
      <c r="N838">
        <v>0</v>
      </c>
      <c r="O838">
        <v>1.7103810000000001E-2</v>
      </c>
      <c r="P838">
        <v>0.99833490000000003</v>
      </c>
      <c r="Q838">
        <v>2.6767409999999998E-2</v>
      </c>
      <c r="R838">
        <v>-5.1101790000000001E-2</v>
      </c>
      <c r="S838">
        <v>2.9824220000000001</v>
      </c>
      <c r="T838">
        <v>-1.3788460000000001E-2</v>
      </c>
      <c r="U838">
        <v>-0.44830320000000001</v>
      </c>
      <c r="V838">
        <v>6.8163639999999998E-2</v>
      </c>
      <c r="W838">
        <v>4.1199769999999997E-2</v>
      </c>
      <c r="X838">
        <v>0.99682309999999996</v>
      </c>
      <c r="Y838">
        <v>0.1655372</v>
      </c>
      <c r="Z838">
        <v>-4.5918340000000003E-4</v>
      </c>
      <c r="AA838">
        <v>0.98620339999999995</v>
      </c>
      <c r="AB838">
        <v>34</v>
      </c>
      <c r="AC838">
        <v>250.72817999999901</v>
      </c>
      <c r="AD838">
        <v>-1.1600219999999899</v>
      </c>
      <c r="AE838">
        <v>-37.718800000000002</v>
      </c>
      <c r="AF838">
        <v>42.001257071710697</v>
      </c>
      <c r="AG838">
        <v>-1.1600219999999899</v>
      </c>
      <c r="AH838">
        <v>250.04105924100901</v>
      </c>
      <c r="AI838">
        <v>90.262139357275402</v>
      </c>
      <c r="AJ838">
        <v>80.464621348085402</v>
      </c>
      <c r="AK838">
        <v>253.54680544824501</v>
      </c>
      <c r="AL838">
        <v>87.638758731861003</v>
      </c>
      <c r="AM838">
        <v>86.088153829486899</v>
      </c>
      <c r="AN838">
        <v>0.99999999777985604</v>
      </c>
    </row>
    <row r="839" spans="1:40" x14ac:dyDescent="0.25">
      <c r="A839" t="str">
        <f>"20190312154814687"</f>
        <v>20190312154814687</v>
      </c>
      <c r="B839" t="str">
        <f>"1552376894676864"</f>
        <v>1552376894676864</v>
      </c>
      <c r="C839" t="s">
        <v>40</v>
      </c>
      <c r="D839">
        <v>4.2064789999999999</v>
      </c>
      <c r="E839">
        <v>0.53784330000000002</v>
      </c>
      <c r="F839" t="s">
        <v>43</v>
      </c>
      <c r="G839">
        <v>-84.758880000000005</v>
      </c>
      <c r="H839">
        <v>-0.05</v>
      </c>
      <c r="I839">
        <v>337.69830000000002</v>
      </c>
      <c r="J839">
        <v>-285.642</v>
      </c>
      <c r="K839">
        <v>1.0600229999999999</v>
      </c>
      <c r="L839">
        <v>368.02600000000001</v>
      </c>
      <c r="M839">
        <v>0.99974830000000003</v>
      </c>
      <c r="N839">
        <v>0</v>
      </c>
      <c r="O839">
        <v>1.7151179999999999E-2</v>
      </c>
      <c r="P839">
        <v>0.99832240000000005</v>
      </c>
      <c r="Q839">
        <v>2.6693999999999999E-2</v>
      </c>
      <c r="R839">
        <v>-5.1384560000000003E-2</v>
      </c>
      <c r="S839">
        <v>2.9824220000000001</v>
      </c>
      <c r="T839">
        <v>-1.6465779999999999E-2</v>
      </c>
      <c r="U839">
        <v>-0.44982909999999998</v>
      </c>
      <c r="V839">
        <v>6.8493460000000006E-2</v>
      </c>
      <c r="W839">
        <v>4.1132120000000001E-2</v>
      </c>
      <c r="X839">
        <v>0.99680329999999995</v>
      </c>
      <c r="Y839">
        <v>0.16607640000000001</v>
      </c>
      <c r="Z839">
        <v>-5.5006199999999895E-4</v>
      </c>
      <c r="AA839">
        <v>0.98611269999999995</v>
      </c>
      <c r="AB839">
        <v>34</v>
      </c>
      <c r="AC839">
        <v>200.88311999999999</v>
      </c>
      <c r="AD839">
        <v>-1.110023</v>
      </c>
      <c r="AE839">
        <v>-30.3277</v>
      </c>
      <c r="AF839">
        <v>33.7679729646892</v>
      </c>
      <c r="AG839">
        <v>-1.110023</v>
      </c>
      <c r="AH839">
        <v>200.32737481009801</v>
      </c>
      <c r="AI839">
        <v>90.313058888910007</v>
      </c>
      <c r="AJ839">
        <v>80.431942299007105</v>
      </c>
      <c r="AK839">
        <v>203.15650431997</v>
      </c>
      <c r="AL839">
        <v>87.642638113622596</v>
      </c>
      <c r="AM839">
        <v>86.069207133708005</v>
      </c>
      <c r="AN839">
        <v>1.0000000121246699</v>
      </c>
    </row>
    <row r="840" spans="1:40" x14ac:dyDescent="0.25">
      <c r="A840" t="str">
        <f>"20190312154814703"</f>
        <v>20190312154814703</v>
      </c>
      <c r="B840" t="str">
        <f>"1552376894697360"</f>
        <v>1552376894697360</v>
      </c>
      <c r="C840" t="s">
        <v>40</v>
      </c>
      <c r="D840">
        <v>4.1731989999999897</v>
      </c>
      <c r="E840">
        <v>0.53806080000000001</v>
      </c>
      <c r="F840" t="s">
        <v>43</v>
      </c>
      <c r="G840">
        <v>-107.0254</v>
      </c>
      <c r="H840">
        <v>-0.05</v>
      </c>
      <c r="I840">
        <v>340.96199999999999</v>
      </c>
      <c r="J840">
        <v>-285.40730000000002</v>
      </c>
      <c r="K840">
        <v>1.0600229999999999</v>
      </c>
      <c r="L840">
        <v>368.0301</v>
      </c>
      <c r="M840">
        <v>0.99974719999999995</v>
      </c>
      <c r="N840">
        <v>0</v>
      </c>
      <c r="O840">
        <v>1.7212760000000001E-2</v>
      </c>
      <c r="P840">
        <v>0.99831309999999995</v>
      </c>
      <c r="Q840">
        <v>2.6872219999999999E-2</v>
      </c>
      <c r="R840">
        <v>-5.147111E-2</v>
      </c>
      <c r="S840">
        <v>2.9822690000000001</v>
      </c>
      <c r="T840">
        <v>-1.853347E-2</v>
      </c>
      <c r="U840">
        <v>-0.45187379999999999</v>
      </c>
      <c r="V840">
        <v>6.8641569999999999E-2</v>
      </c>
      <c r="W840">
        <v>4.1317439999999997E-2</v>
      </c>
      <c r="X840">
        <v>0.99678549999999999</v>
      </c>
      <c r="Y840">
        <v>0.166804799999999</v>
      </c>
      <c r="Z840">
        <v>-6.2176569999999995E-4</v>
      </c>
      <c r="AA840">
        <v>0.98598969999999997</v>
      </c>
      <c r="AB840">
        <v>34</v>
      </c>
      <c r="AC840">
        <v>178.3819</v>
      </c>
      <c r="AD840">
        <v>-1.110023</v>
      </c>
      <c r="AE840">
        <v>-27.068100000000001</v>
      </c>
      <c r="AF840">
        <v>30.133714559619399</v>
      </c>
      <c r="AG840">
        <v>-1.110023</v>
      </c>
      <c r="AH840">
        <v>177.88276861417799</v>
      </c>
      <c r="AI840">
        <v>90.352510045934594</v>
      </c>
      <c r="AJ840">
        <v>80.385252892102798</v>
      </c>
      <c r="AK840">
        <v>180.42048740114399</v>
      </c>
      <c r="AL840">
        <v>87.632011149845695</v>
      </c>
      <c r="AM840">
        <v>86.060663810496706</v>
      </c>
      <c r="AN840">
        <v>1.00000006449523</v>
      </c>
    </row>
    <row r="841" spans="1:40" x14ac:dyDescent="0.25">
      <c r="A841" t="str">
        <f>"20190312154814715"</f>
        <v>20190312154814715</v>
      </c>
      <c r="B841" t="str">
        <f>"1552376894707119"</f>
        <v>1552376894707119</v>
      </c>
      <c r="C841" t="s">
        <v>40</v>
      </c>
      <c r="D841">
        <v>4.1759029999999999</v>
      </c>
      <c r="E841">
        <v>0.53824119999999998</v>
      </c>
      <c r="F841" t="s">
        <v>43</v>
      </c>
      <c r="G841">
        <v>-132.61519999999999</v>
      </c>
      <c r="H841">
        <v>-0.05</v>
      </c>
      <c r="I841">
        <v>344.7885</v>
      </c>
      <c r="J841">
        <v>-285.23779999999999</v>
      </c>
      <c r="K841">
        <v>1.060028</v>
      </c>
      <c r="L841">
        <v>368.03300000000002</v>
      </c>
      <c r="M841">
        <v>0.99974629999999998</v>
      </c>
      <c r="N841">
        <v>0</v>
      </c>
      <c r="O841">
        <v>1.7255779999999998E-2</v>
      </c>
      <c r="P841">
        <v>0.99830169999999996</v>
      </c>
      <c r="Q841">
        <v>2.688424E-2</v>
      </c>
      <c r="R841">
        <v>-5.1684420000000002E-2</v>
      </c>
      <c r="S841">
        <v>2.9823</v>
      </c>
      <c r="T841">
        <v>-2.1666169999999998E-2</v>
      </c>
      <c r="U841">
        <v>-0.45364379999999999</v>
      </c>
      <c r="V841">
        <v>6.8897959999999994E-2</v>
      </c>
      <c r="W841">
        <v>4.1333170000000002E-2</v>
      </c>
      <c r="X841">
        <v>0.99676710000000002</v>
      </c>
      <c r="Y841">
        <v>0.16741639999999999</v>
      </c>
      <c r="Z841">
        <v>-7.2934039999999903E-4</v>
      </c>
      <c r="AA841">
        <v>0.98588600000000004</v>
      </c>
      <c r="AB841">
        <v>34</v>
      </c>
      <c r="AC841">
        <v>152.62260000000001</v>
      </c>
      <c r="AD841">
        <v>-1.110028</v>
      </c>
      <c r="AE841">
        <v>-23.244499999999999</v>
      </c>
      <c r="AF841">
        <v>25.873598767404101</v>
      </c>
      <c r="AG841">
        <v>-1.110028</v>
      </c>
      <c r="AH841">
        <v>152.190859004733</v>
      </c>
      <c r="AI841">
        <v>90.411977394064394</v>
      </c>
      <c r="AJ841">
        <v>80.351532899576995</v>
      </c>
      <c r="AK841">
        <v>154.37853749772299</v>
      </c>
      <c r="AL841">
        <v>87.6311089774577</v>
      </c>
      <c r="AM841">
        <v>86.045923429483295</v>
      </c>
      <c r="AN841">
        <v>1.00000000573841</v>
      </c>
    </row>
    <row r="842" spans="1:40" x14ac:dyDescent="0.25">
      <c r="A842" t="str">
        <f>"20190312154814728"</f>
        <v>20190312154814728</v>
      </c>
      <c r="B842" t="str">
        <f>"1552376894716879"</f>
        <v>1552376894716879</v>
      </c>
      <c r="C842" t="s">
        <v>40</v>
      </c>
      <c r="D842">
        <v>4.1505450000000002</v>
      </c>
      <c r="E842">
        <v>0.53840589999999999</v>
      </c>
      <c r="F842" t="s">
        <v>43</v>
      </c>
      <c r="G842">
        <v>-142.70570000000001</v>
      </c>
      <c r="H842">
        <v>-0.05</v>
      </c>
      <c r="I842">
        <v>346.26479999999998</v>
      </c>
      <c r="J842">
        <v>-285.03500000000003</v>
      </c>
      <c r="K842">
        <v>1.0600290000000001</v>
      </c>
      <c r="L842">
        <v>368.03660000000002</v>
      </c>
      <c r="M842">
        <v>0.99974540000000001</v>
      </c>
      <c r="N842">
        <v>0</v>
      </c>
      <c r="O842">
        <v>1.730599E-2</v>
      </c>
      <c r="P842">
        <v>0.99830090000000005</v>
      </c>
      <c r="Q842">
        <v>2.6774180000000002E-2</v>
      </c>
      <c r="R842">
        <v>-5.1752260000000001E-2</v>
      </c>
      <c r="S842">
        <v>2.9821170000000001</v>
      </c>
      <c r="T842">
        <v>-2.3224470000000001E-2</v>
      </c>
      <c r="U842">
        <v>-0.45544430000000002</v>
      </c>
      <c r="V842">
        <v>6.9016289999999994E-2</v>
      </c>
      <c r="W842">
        <v>4.1227880000000001E-2</v>
      </c>
      <c r="X842">
        <v>0.99676330000000002</v>
      </c>
      <c r="Y842">
        <v>0.16805590000000001</v>
      </c>
      <c r="Z842">
        <v>-7.8467259999999905E-4</v>
      </c>
      <c r="AA842">
        <v>0.98577709999999996</v>
      </c>
      <c r="AB842">
        <v>34</v>
      </c>
      <c r="AC842">
        <v>142.32929999999999</v>
      </c>
      <c r="AD842">
        <v>-1.1100289999999999</v>
      </c>
      <c r="AE842">
        <v>-21.771799999999999</v>
      </c>
      <c r="AF842">
        <v>24.2305063264544</v>
      </c>
      <c r="AG842">
        <v>-1.1100289999999999</v>
      </c>
      <c r="AH842">
        <v>141.92272322574601</v>
      </c>
      <c r="AI842">
        <v>90.441730436917297</v>
      </c>
      <c r="AJ842">
        <v>80.311292882301203</v>
      </c>
      <c r="AK842">
        <v>143.980585389243</v>
      </c>
      <c r="AL842">
        <v>87.637146857147499</v>
      </c>
      <c r="AM842">
        <v>86.039138976557297</v>
      </c>
      <c r="AN842">
        <v>1.00000003130077</v>
      </c>
    </row>
    <row r="843" spans="1:40" x14ac:dyDescent="0.25">
      <c r="A843" t="str">
        <f>"20190312154814743"</f>
        <v>20190312154814743</v>
      </c>
      <c r="B843" t="str">
        <f>"1552376894737375"</f>
        <v>1552376894737375</v>
      </c>
      <c r="C843" t="s">
        <v>40</v>
      </c>
      <c r="D843">
        <v>4.1124210000000003</v>
      </c>
      <c r="E843">
        <v>0.53892180000000001</v>
      </c>
      <c r="F843" t="s">
        <v>43</v>
      </c>
      <c r="G843">
        <v>-153.4699</v>
      </c>
      <c r="H843">
        <v>-0.05</v>
      </c>
      <c r="I843">
        <v>347.87729999999999</v>
      </c>
      <c r="J843">
        <v>-284.81529999999998</v>
      </c>
      <c r="K843">
        <v>1.0600290000000001</v>
      </c>
      <c r="L843">
        <v>368.04039999999998</v>
      </c>
      <c r="M843">
        <v>0.99974439999999998</v>
      </c>
      <c r="N843">
        <v>0</v>
      </c>
      <c r="O843">
        <v>1.7357890000000001E-2</v>
      </c>
      <c r="P843">
        <v>0.99828669999999997</v>
      </c>
      <c r="Q843">
        <v>2.689443E-2</v>
      </c>
      <c r="R843">
        <v>-5.1968779999999999E-2</v>
      </c>
      <c r="S843">
        <v>2.9821170000000001</v>
      </c>
      <c r="T843">
        <v>-2.5160430000000001E-2</v>
      </c>
      <c r="U843">
        <v>-0.4569397</v>
      </c>
      <c r="V843">
        <v>6.9284059999999995E-2</v>
      </c>
      <c r="W843">
        <v>4.135175E-2</v>
      </c>
      <c r="X843">
        <v>0.99673959999999995</v>
      </c>
      <c r="Y843">
        <v>0.16858909999999999</v>
      </c>
      <c r="Z843">
        <v>-8.527195E-4</v>
      </c>
      <c r="AA843">
        <v>0.98568610000000001</v>
      </c>
      <c r="AB843">
        <v>34</v>
      </c>
      <c r="AC843">
        <v>131.34539999999899</v>
      </c>
      <c r="AD843">
        <v>-1.1100289999999999</v>
      </c>
      <c r="AE843">
        <v>-20.163099999999901</v>
      </c>
      <c r="AF843">
        <v>22.438614107138498</v>
      </c>
      <c r="AG843">
        <v>-1.1100289999999999</v>
      </c>
      <c r="AH843">
        <v>130.966443140492</v>
      </c>
      <c r="AI843">
        <v>90.478634915833098</v>
      </c>
      <c r="AJ843">
        <v>80.277851332021498</v>
      </c>
      <c r="AK843">
        <v>132.87939191726301</v>
      </c>
      <c r="AL843">
        <v>87.630043590299195</v>
      </c>
      <c r="AM843">
        <v>86.023726550499404</v>
      </c>
      <c r="AN843">
        <v>1.0000000392031501</v>
      </c>
    </row>
    <row r="844" spans="1:40" x14ac:dyDescent="0.25">
      <c r="A844" t="str">
        <f>"20190312154814756"</f>
        <v>20190312154814756</v>
      </c>
      <c r="B844" t="str">
        <f>"1552376894747136"</f>
        <v>1552376894747136</v>
      </c>
      <c r="C844" t="s">
        <v>40</v>
      </c>
      <c r="D844">
        <v>4.1331829999999998</v>
      </c>
      <c r="E844">
        <v>0.53919469999999903</v>
      </c>
      <c r="F844" t="s">
        <v>43</v>
      </c>
      <c r="G844">
        <v>-155.1703</v>
      </c>
      <c r="H844">
        <v>-0.05</v>
      </c>
      <c r="I844">
        <v>347.96370000000002</v>
      </c>
      <c r="J844">
        <v>-284.60930000000002</v>
      </c>
      <c r="K844">
        <v>1.0600240000000001</v>
      </c>
      <c r="L844">
        <v>368.04399999999998</v>
      </c>
      <c r="M844">
        <v>0.99974350000000001</v>
      </c>
      <c r="N844">
        <v>0</v>
      </c>
      <c r="O844">
        <v>1.740442E-2</v>
      </c>
      <c r="P844">
        <v>0.99827250000000001</v>
      </c>
      <c r="Q844">
        <v>2.7061689999999999E-2</v>
      </c>
      <c r="R844">
        <v>-5.2151259999999998E-2</v>
      </c>
      <c r="S844">
        <v>2.9818120000000001</v>
      </c>
      <c r="T844">
        <v>-2.5530460000000001E-2</v>
      </c>
      <c r="U844">
        <v>-0.46176149999999999</v>
      </c>
      <c r="V844">
        <v>6.95133E-2</v>
      </c>
      <c r="W844">
        <v>4.1522789999999997E-2</v>
      </c>
      <c r="X844">
        <v>0.99671650000000001</v>
      </c>
      <c r="Y844">
        <v>0.17020660000000001</v>
      </c>
      <c r="Z844">
        <v>-8.7252179999999996E-4</v>
      </c>
      <c r="AA844">
        <v>0.98540799999999995</v>
      </c>
      <c r="AB844">
        <v>34</v>
      </c>
      <c r="AC844">
        <v>129.43899999999999</v>
      </c>
      <c r="AD844">
        <v>-1.1100239999999999</v>
      </c>
      <c r="AE844">
        <v>-20.080300000000001</v>
      </c>
      <c r="AF844">
        <v>22.3287016529117</v>
      </c>
      <c r="AG844">
        <v>-1.1100239999999999</v>
      </c>
      <c r="AH844">
        <v>129.060598985339</v>
      </c>
      <c r="AI844">
        <v>90.485564128883695</v>
      </c>
      <c r="AJ844">
        <v>80.184453575545106</v>
      </c>
      <c r="AK844">
        <v>130.98259915439101</v>
      </c>
      <c r="AL844">
        <v>87.620235229521199</v>
      </c>
      <c r="AM844">
        <v>86.010520515034898</v>
      </c>
      <c r="AN844">
        <v>1.00000001116926</v>
      </c>
    </row>
    <row r="845" spans="1:40" x14ac:dyDescent="0.25">
      <c r="A845" t="str">
        <f>"20190312154814771"</f>
        <v>20190312154814771</v>
      </c>
      <c r="B845" t="str">
        <f>"1552376894766655"</f>
        <v>1552376894766655</v>
      </c>
      <c r="C845" t="s">
        <v>40</v>
      </c>
      <c r="D845">
        <v>4.1567569999999998</v>
      </c>
      <c r="E845">
        <v>0.53965490000000005</v>
      </c>
      <c r="F845" t="s">
        <v>43</v>
      </c>
      <c r="G845">
        <v>-148.51400000000001</v>
      </c>
      <c r="H845">
        <v>-0.05</v>
      </c>
      <c r="I845">
        <v>346.84989999999999</v>
      </c>
      <c r="J845">
        <v>-284.39620000000002</v>
      </c>
      <c r="K845">
        <v>1.060025</v>
      </c>
      <c r="L845">
        <v>368.04790000000003</v>
      </c>
      <c r="M845">
        <v>0.99974269999999998</v>
      </c>
      <c r="N845">
        <v>0</v>
      </c>
      <c r="O845">
        <v>1.7450779999999999E-2</v>
      </c>
      <c r="P845">
        <v>0.99826689999999996</v>
      </c>
      <c r="Q845">
        <v>2.7054849999999998E-2</v>
      </c>
      <c r="R845">
        <v>-5.2264520000000002E-2</v>
      </c>
      <c r="S845">
        <v>2.981598</v>
      </c>
      <c r="T845">
        <v>-2.4318579999999999E-2</v>
      </c>
      <c r="U845">
        <v>-0.46432499999999999</v>
      </c>
      <c r="V845">
        <v>6.9672970000000001E-2</v>
      </c>
      <c r="W845">
        <v>4.15185E-2</v>
      </c>
      <c r="X845">
        <v>0.99670550000000002</v>
      </c>
      <c r="Y845">
        <v>0.17109070000000001</v>
      </c>
      <c r="Z845">
        <v>-8.3507049999999999E-4</v>
      </c>
      <c r="AA845">
        <v>0.98525490000000004</v>
      </c>
      <c r="AB845">
        <v>34</v>
      </c>
      <c r="AC845">
        <v>135.88220000000001</v>
      </c>
      <c r="AD845">
        <v>-1.110025</v>
      </c>
      <c r="AE845">
        <v>-21.198</v>
      </c>
      <c r="AF845">
        <v>23.564735586093299</v>
      </c>
      <c r="AG845">
        <v>-1.110025</v>
      </c>
      <c r="AH845">
        <v>135.48271715385201</v>
      </c>
      <c r="AI845">
        <v>90.462477151605498</v>
      </c>
      <c r="AJ845">
        <v>80.133157032680998</v>
      </c>
      <c r="AK845">
        <v>137.521254961311</v>
      </c>
      <c r="AL845">
        <v>87.620481169113802</v>
      </c>
      <c r="AM845">
        <v>86.001342503070404</v>
      </c>
      <c r="AN845">
        <v>0.99999998116055999</v>
      </c>
    </row>
    <row r="846" spans="1:40" x14ac:dyDescent="0.25">
      <c r="A846" t="str">
        <f>"20190312154814783"</f>
        <v>20190312154814783</v>
      </c>
      <c r="B846" t="str">
        <f>"1552376894776415"</f>
        <v>1552376894776415</v>
      </c>
      <c r="C846" t="s">
        <v>40</v>
      </c>
      <c r="D846">
        <v>4.1225709999999998</v>
      </c>
      <c r="E846">
        <v>0.53991259999999996</v>
      </c>
      <c r="F846" t="s">
        <v>43</v>
      </c>
      <c r="G846">
        <v>-140.3683</v>
      </c>
      <c r="H846">
        <v>-0.05</v>
      </c>
      <c r="I846">
        <v>345.40969999999999</v>
      </c>
      <c r="J846">
        <v>-284.20949999999999</v>
      </c>
      <c r="K846">
        <v>1.0600290000000001</v>
      </c>
      <c r="L846">
        <v>368.05110000000002</v>
      </c>
      <c r="M846">
        <v>0.99974189999999996</v>
      </c>
      <c r="N846">
        <v>0</v>
      </c>
      <c r="O846">
        <v>1.7490350000000002E-2</v>
      </c>
      <c r="P846">
        <v>0.998255</v>
      </c>
      <c r="Q846">
        <v>2.737885E-2</v>
      </c>
      <c r="R846">
        <v>-5.2321430000000002E-2</v>
      </c>
      <c r="S846">
        <v>2.981293</v>
      </c>
      <c r="T846">
        <v>-2.2976880000000002E-2</v>
      </c>
      <c r="U846">
        <v>-0.4685974</v>
      </c>
      <c r="V846">
        <v>6.9769250000000005E-2</v>
      </c>
      <c r="W846">
        <v>4.1844850000000003E-2</v>
      </c>
      <c r="X846">
        <v>0.99668509999999999</v>
      </c>
      <c r="Y846">
        <v>0.1725237</v>
      </c>
      <c r="Z846">
        <v>-7.9478459999999997E-4</v>
      </c>
      <c r="AA846">
        <v>0.98500500000000002</v>
      </c>
      <c r="AB846">
        <v>34</v>
      </c>
      <c r="AC846">
        <v>143.84119999999999</v>
      </c>
      <c r="AD846">
        <v>-1.1100289999999999</v>
      </c>
      <c r="AE846">
        <v>-22.641400000000001</v>
      </c>
      <c r="AF846">
        <v>25.152571589530801</v>
      </c>
      <c r="AG846">
        <v>-1.1100289999999999</v>
      </c>
      <c r="AH846">
        <v>143.414810392334</v>
      </c>
      <c r="AI846">
        <v>90.436793236563503</v>
      </c>
      <c r="AJ846">
        <v>80.052443554026596</v>
      </c>
      <c r="AK846">
        <v>145.608007547032</v>
      </c>
      <c r="AL846">
        <v>87.601766385980397</v>
      </c>
      <c r="AM846">
        <v>85.995753091898607</v>
      </c>
      <c r="AN846">
        <v>0.99999996413954595</v>
      </c>
    </row>
    <row r="847" spans="1:40" x14ac:dyDescent="0.25">
      <c r="A847" t="str">
        <f>"20190312154814794"</f>
        <v>20190312154814794</v>
      </c>
      <c r="B847" t="str">
        <f>"1552376894787151"</f>
        <v>1552376894787151</v>
      </c>
      <c r="C847" t="s">
        <v>40</v>
      </c>
      <c r="D847">
        <v>4.1729760000000002</v>
      </c>
      <c r="E847">
        <v>0.54014019999999996</v>
      </c>
      <c r="F847" t="s">
        <v>43</v>
      </c>
      <c r="G847">
        <v>-131.2353</v>
      </c>
      <c r="H847">
        <v>-0.05</v>
      </c>
      <c r="I847">
        <v>343.88199999999898</v>
      </c>
      <c r="J847">
        <v>-284.03960000000001</v>
      </c>
      <c r="K847">
        <v>1.06003</v>
      </c>
      <c r="L847">
        <v>368.05410000000001</v>
      </c>
      <c r="M847">
        <v>0.99974130000000005</v>
      </c>
      <c r="N847">
        <v>0</v>
      </c>
      <c r="O847">
        <v>1.7523850000000001E-2</v>
      </c>
      <c r="P847">
        <v>0.99824889999999999</v>
      </c>
      <c r="Q847">
        <v>2.7489E-2</v>
      </c>
      <c r="R847">
        <v>-5.2380950000000003E-2</v>
      </c>
      <c r="S847">
        <v>2.9811709999999998</v>
      </c>
      <c r="T847">
        <v>-2.1632309999999998E-2</v>
      </c>
      <c r="U847">
        <v>-0.47100829999999999</v>
      </c>
      <c r="V847">
        <v>6.9862300000000002E-2</v>
      </c>
      <c r="W847">
        <v>4.1955850000000003E-2</v>
      </c>
      <c r="X847">
        <v>0.9966739</v>
      </c>
      <c r="Y847">
        <v>0.17334069999999999</v>
      </c>
      <c r="Z847">
        <v>-7.5144789999999904E-4</v>
      </c>
      <c r="AA847">
        <v>0.9848616</v>
      </c>
      <c r="AB847">
        <v>34</v>
      </c>
      <c r="AC847">
        <v>152.80430000000001</v>
      </c>
      <c r="AD847">
        <v>-1.1100299999999901</v>
      </c>
      <c r="AE847">
        <v>-24.1721</v>
      </c>
      <c r="AF847">
        <v>26.845006592437301</v>
      </c>
      <c r="AG847">
        <v>-1.1100299999999901</v>
      </c>
      <c r="AH847">
        <v>152.34935508575001</v>
      </c>
      <c r="AI847">
        <v>90.411120989439794</v>
      </c>
      <c r="AJ847">
        <v>80.006673152856294</v>
      </c>
      <c r="AK847">
        <v>154.70039605829399</v>
      </c>
      <c r="AL847">
        <v>87.595400926749406</v>
      </c>
      <c r="AM847">
        <v>85.990385196183496</v>
      </c>
      <c r="AN847">
        <v>0.99999994862585995</v>
      </c>
    </row>
    <row r="848" spans="1:40" x14ac:dyDescent="0.25">
      <c r="A848" t="str">
        <f>"20190312154814807"</f>
        <v>20190312154814807</v>
      </c>
      <c r="B848" t="str">
        <f>"1552376894796911"</f>
        <v>1552376894796911</v>
      </c>
      <c r="C848" t="s">
        <v>40</v>
      </c>
      <c r="D848">
        <v>4.1638580000000003</v>
      </c>
      <c r="E848">
        <v>0.54032329999999995</v>
      </c>
      <c r="F848" t="s">
        <v>43</v>
      </c>
      <c r="G848">
        <v>-127.5292</v>
      </c>
      <c r="H848">
        <v>-0.05</v>
      </c>
      <c r="I848">
        <v>343.22570000000002</v>
      </c>
      <c r="J848">
        <v>-283.84800000000001</v>
      </c>
      <c r="K848">
        <v>1.0600309999999999</v>
      </c>
      <c r="L848">
        <v>368.0575</v>
      </c>
      <c r="M848">
        <v>0.99974070000000004</v>
      </c>
      <c r="N848">
        <v>0</v>
      </c>
      <c r="O848">
        <v>1.75611E-2</v>
      </c>
      <c r="P848">
        <v>0.99823899999999999</v>
      </c>
      <c r="Q848">
        <v>2.75567E-2</v>
      </c>
      <c r="R848">
        <v>-5.253145E-2</v>
      </c>
      <c r="S848">
        <v>2.9810180000000002</v>
      </c>
      <c r="T848">
        <v>-2.1142480000000002E-2</v>
      </c>
      <c r="U848">
        <v>-0.4729004</v>
      </c>
      <c r="V848">
        <v>7.0050080000000001E-2</v>
      </c>
      <c r="W848">
        <v>4.2024930000000002E-2</v>
      </c>
      <c r="X848">
        <v>0.99665780000000004</v>
      </c>
      <c r="Y848">
        <v>0.17399519999999999</v>
      </c>
      <c r="Z848">
        <v>-7.370031E-4</v>
      </c>
      <c r="AA848">
        <v>0.98474620000000002</v>
      </c>
      <c r="AB848">
        <v>34</v>
      </c>
      <c r="AC848">
        <v>156.31880000000001</v>
      </c>
      <c r="AD848">
        <v>-1.110031</v>
      </c>
      <c r="AE848">
        <v>-24.831799999999902</v>
      </c>
      <c r="AF848">
        <v>27.572032383214399</v>
      </c>
      <c r="AG848">
        <v>-1.110031</v>
      </c>
      <c r="AH848">
        <v>155.85090438972199</v>
      </c>
      <c r="AI848">
        <v>90.401836302992393</v>
      </c>
      <c r="AJ848">
        <v>79.967445941413402</v>
      </c>
      <c r="AK848">
        <v>158.274930224771</v>
      </c>
      <c r="AL848">
        <v>87.591439417828894</v>
      </c>
      <c r="AM848">
        <v>85.979578479287596</v>
      </c>
      <c r="AN848">
        <v>0.99999993937517295</v>
      </c>
    </row>
    <row r="849" spans="1:40" x14ac:dyDescent="0.25">
      <c r="A849" t="str">
        <f>"20190312154814819"</f>
        <v>20190312154814819</v>
      </c>
      <c r="B849" t="str">
        <f>"1552376894806672"</f>
        <v>1552376894806672</v>
      </c>
      <c r="C849" t="s">
        <v>40</v>
      </c>
      <c r="D849">
        <v>4.1900750000000002</v>
      </c>
      <c r="E849">
        <v>0.54045650000000001</v>
      </c>
      <c r="F849" t="s">
        <v>43</v>
      </c>
      <c r="G849">
        <v>-124.85250000000001</v>
      </c>
      <c r="H849">
        <v>-0.05</v>
      </c>
      <c r="I849">
        <v>342.7362</v>
      </c>
      <c r="J849">
        <v>-283.66789999999997</v>
      </c>
      <c r="K849">
        <v>1.0600320000000001</v>
      </c>
      <c r="L849">
        <v>368.0607</v>
      </c>
      <c r="M849">
        <v>0.99973990000000001</v>
      </c>
      <c r="N849">
        <v>0</v>
      </c>
      <c r="O849">
        <v>1.7593939999999999E-2</v>
      </c>
      <c r="P849">
        <v>0.99824889999999999</v>
      </c>
      <c r="Q849">
        <v>2.7545179999999999E-2</v>
      </c>
      <c r="R849">
        <v>-5.2349640000000003E-2</v>
      </c>
      <c r="S849">
        <v>2.980896</v>
      </c>
      <c r="T849">
        <v>-2.0811199999999998E-2</v>
      </c>
      <c r="U849">
        <v>-0.47473140000000003</v>
      </c>
      <c r="V849">
        <v>6.9901439999999995E-2</v>
      </c>
      <c r="W849">
        <v>4.2014929999999999E-2</v>
      </c>
      <c r="X849">
        <v>0.99666869999999996</v>
      </c>
      <c r="Y849">
        <v>0.1746239</v>
      </c>
      <c r="Z849">
        <v>-7.2785899999999997E-4</v>
      </c>
      <c r="AA849">
        <v>0.98463489999999998</v>
      </c>
      <c r="AB849">
        <v>34</v>
      </c>
      <c r="AC849">
        <v>158.81539999999899</v>
      </c>
      <c r="AD849">
        <v>-1.1100319999999999</v>
      </c>
      <c r="AE849">
        <v>-25.3245</v>
      </c>
      <c r="AF849">
        <v>28.113722819800799</v>
      </c>
      <c r="AG849">
        <v>-1.1100319999999999</v>
      </c>
      <c r="AH849">
        <v>158.33766450416499</v>
      </c>
      <c r="AI849">
        <v>90.395482179802897</v>
      </c>
      <c r="AJ849">
        <v>79.931748017851206</v>
      </c>
      <c r="AK849">
        <v>160.81800142540999</v>
      </c>
      <c r="AL849">
        <v>87.592012983914998</v>
      </c>
      <c r="AM849">
        <v>85.988125299859405</v>
      </c>
      <c r="AN849">
        <v>0.99999998160833403</v>
      </c>
    </row>
    <row r="850" spans="1:40" x14ac:dyDescent="0.25">
      <c r="A850" t="str">
        <f>"20190312154814830"</f>
        <v>20190312154814830</v>
      </c>
      <c r="B850" t="str">
        <f>"1552376894826829"</f>
        <v>1552376894826829</v>
      </c>
      <c r="C850" t="s">
        <v>40</v>
      </c>
      <c r="D850">
        <v>4.1855029999999998</v>
      </c>
      <c r="E850">
        <v>0.54068649999999996</v>
      </c>
      <c r="F850" t="s">
        <v>43</v>
      </c>
      <c r="G850">
        <v>-123.89790000000001</v>
      </c>
      <c r="H850">
        <v>-0.05</v>
      </c>
      <c r="I850">
        <v>342.57319999999999</v>
      </c>
      <c r="J850">
        <v>-283.50880000000001</v>
      </c>
      <c r="K850">
        <v>1.0600320000000001</v>
      </c>
      <c r="L850">
        <v>368.06349999999998</v>
      </c>
      <c r="M850">
        <v>0.9997395</v>
      </c>
      <c r="N850">
        <v>0</v>
      </c>
      <c r="O850">
        <v>1.7621789999999998E-2</v>
      </c>
      <c r="P850">
        <v>0.99824179999999996</v>
      </c>
      <c r="Q850">
        <v>2.7476500000000001E-2</v>
      </c>
      <c r="R850">
        <v>-5.2518370000000002E-2</v>
      </c>
      <c r="S850">
        <v>2.9808650000000001</v>
      </c>
      <c r="T850">
        <v>-2.071011E-2</v>
      </c>
      <c r="U850">
        <v>-0.47552489999999997</v>
      </c>
      <c r="V850">
        <v>7.0098170000000001E-2</v>
      </c>
      <c r="W850">
        <v>4.1946799999999999E-2</v>
      </c>
      <c r="X850">
        <v>0.99665780000000004</v>
      </c>
      <c r="Y850">
        <v>0.17490849999999999</v>
      </c>
      <c r="Z850">
        <v>-7.2549059999999996E-4</v>
      </c>
      <c r="AA850">
        <v>0.98458449999999997</v>
      </c>
      <c r="AB850">
        <v>34</v>
      </c>
      <c r="AC850">
        <v>159.61089999999999</v>
      </c>
      <c r="AD850">
        <v>-1.1100319999999999</v>
      </c>
      <c r="AE850">
        <v>-25.490299999999898</v>
      </c>
      <c r="AF850">
        <v>28.297932207738</v>
      </c>
      <c r="AG850">
        <v>-1.1100319999999999</v>
      </c>
      <c r="AH850">
        <v>159.12937396318301</v>
      </c>
      <c r="AI850">
        <v>90.393496029484496</v>
      </c>
      <c r="AJ850">
        <v>79.916517078000894</v>
      </c>
      <c r="AK850">
        <v>161.62970889099901</v>
      </c>
      <c r="AL850">
        <v>87.595920103525899</v>
      </c>
      <c r="AM850">
        <v>85.976827484613693</v>
      </c>
      <c r="AN850">
        <v>1.0000000288842099</v>
      </c>
    </row>
    <row r="851" spans="1:40" x14ac:dyDescent="0.25">
      <c r="A851" t="str">
        <f>"20190312154814841"</f>
        <v>20190312154814841</v>
      </c>
      <c r="B851" t="str">
        <f>"1552376894836590"</f>
        <v>1552376894836590</v>
      </c>
      <c r="C851" t="s">
        <v>40</v>
      </c>
      <c r="D851">
        <v>4.2181470000000001</v>
      </c>
      <c r="E851">
        <v>0.54081330000000005</v>
      </c>
      <c r="F851" t="s">
        <v>43</v>
      </c>
      <c r="G851">
        <v>-123.07940000000001</v>
      </c>
      <c r="H851">
        <v>-0.05</v>
      </c>
      <c r="I851">
        <v>342.35489999999999</v>
      </c>
      <c r="J851">
        <v>-283.34100000000001</v>
      </c>
      <c r="K851">
        <v>1.0600320000000001</v>
      </c>
      <c r="L851">
        <v>368.06650000000002</v>
      </c>
      <c r="M851">
        <v>0.99973909999999999</v>
      </c>
      <c r="N851">
        <v>0</v>
      </c>
      <c r="O851">
        <v>1.7649809999999998E-2</v>
      </c>
      <c r="P851">
        <v>0.99825390000000003</v>
      </c>
      <c r="Q851">
        <v>2.766714E-2</v>
      </c>
      <c r="R851">
        <v>-5.2190769999999997E-2</v>
      </c>
      <c r="S851">
        <v>2.9807429999999999</v>
      </c>
      <c r="T851">
        <v>-2.0624159999999999E-2</v>
      </c>
      <c r="U851">
        <v>-0.47766110000000001</v>
      </c>
      <c r="V851">
        <v>6.9798979999999997E-2</v>
      </c>
      <c r="W851">
        <v>4.2137840000000003E-2</v>
      </c>
      <c r="X851">
        <v>0.99667070000000002</v>
      </c>
      <c r="Y851">
        <v>0.17563039999999999</v>
      </c>
      <c r="Z851">
        <v>-7.2514309999999996E-4</v>
      </c>
      <c r="AA851">
        <v>0.98445590000000005</v>
      </c>
      <c r="AB851">
        <v>33</v>
      </c>
      <c r="AC851">
        <v>160.26159999999999</v>
      </c>
      <c r="AD851">
        <v>-1.1100319999999999</v>
      </c>
      <c r="AE851">
        <v>-25.711600000000001</v>
      </c>
      <c r="AF851">
        <v>28.5351435935426</v>
      </c>
      <c r="AG851">
        <v>-1.1100319999999999</v>
      </c>
      <c r="AH851">
        <v>159.775305413609</v>
      </c>
      <c r="AI851">
        <v>90.391853444015396</v>
      </c>
      <c r="AJ851">
        <v>79.873994199425994</v>
      </c>
      <c r="AK851">
        <v>162.30722353289499</v>
      </c>
      <c r="AL851">
        <v>87.584964536938301</v>
      </c>
      <c r="AM851">
        <v>85.993994670526405</v>
      </c>
      <c r="AN851">
        <v>0.99999998970369797</v>
      </c>
    </row>
    <row r="852" spans="1:40" x14ac:dyDescent="0.25">
      <c r="A852" t="str">
        <f>"20190312154814852"</f>
        <v>20190312154814852</v>
      </c>
      <c r="B852" t="str">
        <f>"1552376894847326"</f>
        <v>1552376894847326</v>
      </c>
      <c r="C852" t="s">
        <v>40</v>
      </c>
      <c r="D852">
        <v>4.2021309999999996</v>
      </c>
      <c r="E852">
        <v>0.54091809999999996</v>
      </c>
      <c r="F852" t="s">
        <v>43</v>
      </c>
      <c r="G852">
        <v>-118.45189999999999</v>
      </c>
      <c r="H852">
        <v>-0.05</v>
      </c>
      <c r="I852">
        <v>341.65559999999999</v>
      </c>
      <c r="J852">
        <v>-283.17419999999998</v>
      </c>
      <c r="K852">
        <v>1.0600350000000001</v>
      </c>
      <c r="L852">
        <v>368.06950000000001</v>
      </c>
      <c r="M852">
        <v>0.99973860000000003</v>
      </c>
      <c r="N852">
        <v>0</v>
      </c>
      <c r="O852">
        <v>1.767635E-2</v>
      </c>
      <c r="P852">
        <v>0.9982586</v>
      </c>
      <c r="Q852">
        <v>2.774014E-2</v>
      </c>
      <c r="R852">
        <v>-5.2065409999999999E-2</v>
      </c>
      <c r="S852">
        <v>2.980804</v>
      </c>
      <c r="T852">
        <v>-2.006674E-2</v>
      </c>
      <c r="U852">
        <v>-0.47744750000000002</v>
      </c>
      <c r="V852">
        <v>6.9700219999999993E-2</v>
      </c>
      <c r="W852">
        <v>4.2211209999999999E-2</v>
      </c>
      <c r="X852">
        <v>0.99667450000000002</v>
      </c>
      <c r="Y852">
        <v>0.17558480000000001</v>
      </c>
      <c r="Z852">
        <v>-7.0555929999999904E-4</v>
      </c>
      <c r="AA852">
        <v>0.98446400000000001</v>
      </c>
      <c r="AB852">
        <v>33</v>
      </c>
      <c r="AC852">
        <v>164.72229999999999</v>
      </c>
      <c r="AD852">
        <v>-1.1100350000000001</v>
      </c>
      <c r="AE852">
        <v>-26.413900000000002</v>
      </c>
      <c r="AF852">
        <v>29.3204693464873</v>
      </c>
      <c r="AG852">
        <v>-1.1100350000000001</v>
      </c>
      <c r="AH852">
        <v>164.22233744544999</v>
      </c>
      <c r="AI852">
        <v>90.381247233358593</v>
      </c>
      <c r="AJ852">
        <v>79.877001339751402</v>
      </c>
      <c r="AK852">
        <v>166.822954704821</v>
      </c>
      <c r="AL852">
        <v>87.580756985546998</v>
      </c>
      <c r="AM852">
        <v>85.999659636066298</v>
      </c>
      <c r="AN852">
        <v>0.99999998293398096</v>
      </c>
    </row>
    <row r="853" spans="1:40" x14ac:dyDescent="0.25">
      <c r="A853" t="str">
        <f>"20190312154814863"</f>
        <v>20190312154814863</v>
      </c>
      <c r="B853" t="str">
        <f>"1552376894857086"</f>
        <v>1552376894857086</v>
      </c>
      <c r="C853" t="s">
        <v>40</v>
      </c>
      <c r="D853">
        <v>4.1729180000000001</v>
      </c>
      <c r="E853">
        <v>0.54099659999999905</v>
      </c>
      <c r="F853" t="s">
        <v>43</v>
      </c>
      <c r="G853">
        <v>-114.801</v>
      </c>
      <c r="H853">
        <v>-0.05</v>
      </c>
      <c r="I853">
        <v>341.05939999999998</v>
      </c>
      <c r="J853">
        <v>-283.00060000000002</v>
      </c>
      <c r="K853">
        <v>1.0600350000000001</v>
      </c>
      <c r="L853">
        <v>368.07260000000002</v>
      </c>
      <c r="M853">
        <v>0.99973800000000002</v>
      </c>
      <c r="N853">
        <v>0</v>
      </c>
      <c r="O853">
        <v>1.770335E-2</v>
      </c>
      <c r="P853">
        <v>0.99824230000000003</v>
      </c>
      <c r="Q853">
        <v>2.7938480000000002E-2</v>
      </c>
      <c r="R853">
        <v>-5.226836E-2</v>
      </c>
      <c r="S853">
        <v>2.9808349999999999</v>
      </c>
      <c r="T853">
        <v>-1.9651769999999999E-2</v>
      </c>
      <c r="U853">
        <v>-0.47817989999999999</v>
      </c>
      <c r="V853">
        <v>6.9930140000000002E-2</v>
      </c>
      <c r="W853">
        <v>4.2409870000000002E-2</v>
      </c>
      <c r="X853">
        <v>0.99665000000000004</v>
      </c>
      <c r="Y853">
        <v>0.175845899999999</v>
      </c>
      <c r="Z853">
        <v>-6.919812E-4</v>
      </c>
      <c r="AA853">
        <v>0.98441749999999995</v>
      </c>
      <c r="AB853">
        <v>33</v>
      </c>
      <c r="AC853">
        <v>168.1996</v>
      </c>
      <c r="AD853">
        <v>-1.1100350000000001</v>
      </c>
      <c r="AE853">
        <v>-27.013200000000001</v>
      </c>
      <c r="AF853">
        <v>29.9857024216181</v>
      </c>
      <c r="AG853">
        <v>-1.1100350000000001</v>
      </c>
      <c r="AH853">
        <v>167.68784054373</v>
      </c>
      <c r="AI853">
        <v>90.373350527458996</v>
      </c>
      <c r="AJ853">
        <v>79.861605502512901</v>
      </c>
      <c r="AK853">
        <v>170.35136158434</v>
      </c>
      <c r="AL853">
        <v>87.569364498889101</v>
      </c>
      <c r="AM853">
        <v>85.986408435045107</v>
      </c>
      <c r="AN853">
        <v>1.0000000220269101</v>
      </c>
    </row>
    <row r="854" spans="1:40" x14ac:dyDescent="0.25">
      <c r="A854" t="str">
        <f>"20190312154814874"</f>
        <v>20190312154814874</v>
      </c>
      <c r="B854" t="str">
        <f>"1552376894866846"</f>
        <v>1552376894866846</v>
      </c>
      <c r="C854" t="s">
        <v>40</v>
      </c>
      <c r="D854">
        <v>4.1855440000000002</v>
      </c>
      <c r="E854">
        <v>0.54108020000000001</v>
      </c>
      <c r="F854" t="s">
        <v>43</v>
      </c>
      <c r="G854">
        <v>-107.8549</v>
      </c>
      <c r="H854">
        <v>-0.05</v>
      </c>
      <c r="I854">
        <v>339.90309999999999</v>
      </c>
      <c r="J854">
        <v>-282.84750000000003</v>
      </c>
      <c r="K854">
        <v>1.0600350000000001</v>
      </c>
      <c r="L854">
        <v>368.07530000000003</v>
      </c>
      <c r="M854">
        <v>0.9997376</v>
      </c>
      <c r="N854">
        <v>0</v>
      </c>
      <c r="O854">
        <v>1.7724699999999999E-2</v>
      </c>
      <c r="P854">
        <v>0.99823499999999998</v>
      </c>
      <c r="Q854">
        <v>2.8188640000000001E-2</v>
      </c>
      <c r="R854">
        <v>-5.2270860000000002E-2</v>
      </c>
      <c r="S854">
        <v>2.9807130000000002</v>
      </c>
      <c r="T854">
        <v>-1.8891100000000001E-2</v>
      </c>
      <c r="U854">
        <v>-0.47940060000000001</v>
      </c>
      <c r="V854">
        <v>6.9954039999999995E-2</v>
      </c>
      <c r="W854">
        <v>4.2659509999999998E-2</v>
      </c>
      <c r="X854">
        <v>0.99663760000000001</v>
      </c>
      <c r="Y854">
        <v>0.17626639999999999</v>
      </c>
      <c r="Z854">
        <v>-6.6666079999999996E-4</v>
      </c>
      <c r="AA854">
        <v>0.9843423</v>
      </c>
      <c r="AB854">
        <v>33</v>
      </c>
      <c r="AC854">
        <v>174.99260000000001</v>
      </c>
      <c r="AD854">
        <v>-1.1100350000000001</v>
      </c>
      <c r="AE854">
        <v>-28.1722</v>
      </c>
      <c r="AF854">
        <v>31.268564913280301</v>
      </c>
      <c r="AG854">
        <v>-1.1100350000000001</v>
      </c>
      <c r="AH854">
        <v>174.45886490928601</v>
      </c>
      <c r="AI854">
        <v>90.358834872920397</v>
      </c>
      <c r="AJ854">
        <v>79.838668930101505</v>
      </c>
      <c r="AK854">
        <v>177.24235068085099</v>
      </c>
      <c r="AL854">
        <v>87.555048057052204</v>
      </c>
      <c r="AM854">
        <v>85.984991406453304</v>
      </c>
      <c r="AN854">
        <v>0.99999995361975902</v>
      </c>
    </row>
    <row r="855" spans="1:40" x14ac:dyDescent="0.25">
      <c r="A855" t="str">
        <f>"20190312154814885"</f>
        <v>20190312154814885</v>
      </c>
      <c r="B855" t="str">
        <f>"1552376894876605"</f>
        <v>1552376894876605</v>
      </c>
      <c r="C855" t="s">
        <v>40</v>
      </c>
      <c r="D855">
        <v>4.1707640000000001</v>
      </c>
      <c r="E855">
        <v>0.54119269999999997</v>
      </c>
      <c r="F855" t="s">
        <v>43</v>
      </c>
      <c r="G855">
        <v>-100.57640000000001</v>
      </c>
      <c r="H855">
        <v>-0.05</v>
      </c>
      <c r="I855">
        <v>338.70510000000002</v>
      </c>
      <c r="J855">
        <v>-282.6859</v>
      </c>
      <c r="K855">
        <v>1.060033</v>
      </c>
      <c r="L855">
        <v>368.07819999999998</v>
      </c>
      <c r="M855">
        <v>0.9997374</v>
      </c>
      <c r="N855">
        <v>0</v>
      </c>
      <c r="O855">
        <v>1.7746709999999999E-2</v>
      </c>
      <c r="P855">
        <v>0.99824000000000002</v>
      </c>
      <c r="Q855">
        <v>2.8134849999999999E-2</v>
      </c>
      <c r="R855">
        <v>-5.2211050000000002E-2</v>
      </c>
      <c r="S855">
        <v>2.9806520000000001</v>
      </c>
      <c r="T855">
        <v>-1.815224E-2</v>
      </c>
      <c r="U855">
        <v>-0.48028559999999998</v>
      </c>
      <c r="V855">
        <v>6.9916389999999995E-2</v>
      </c>
      <c r="W855">
        <v>4.260568E-2</v>
      </c>
      <c r="X855">
        <v>0.99664260000000005</v>
      </c>
      <c r="Y855">
        <v>0.17657639999999999</v>
      </c>
      <c r="Z855">
        <v>-6.4165619999999996E-4</v>
      </c>
      <c r="AA855">
        <v>0.98428669999999996</v>
      </c>
      <c r="AB855">
        <v>33</v>
      </c>
      <c r="AC855">
        <v>182.1095</v>
      </c>
      <c r="AD855">
        <v>-1.110033</v>
      </c>
      <c r="AE855">
        <v>-29.373099999999901</v>
      </c>
      <c r="AF855">
        <v>32.599476886127903</v>
      </c>
      <c r="AG855">
        <v>-1.110033</v>
      </c>
      <c r="AH855">
        <v>181.552909334828</v>
      </c>
      <c r="AI855">
        <v>90.344793774546801</v>
      </c>
      <c r="AJ855">
        <v>79.820497109775005</v>
      </c>
      <c r="AK855">
        <v>184.45979766456099</v>
      </c>
      <c r="AL855">
        <v>87.558135230626903</v>
      </c>
      <c r="AM855">
        <v>85.987165330859895</v>
      </c>
      <c r="AN855">
        <v>1.0000000088468199</v>
      </c>
    </row>
    <row r="856" spans="1:40" x14ac:dyDescent="0.25">
      <c r="A856" t="str">
        <f>"20190312154814897"</f>
        <v>20190312154814897</v>
      </c>
      <c r="B856" t="str">
        <f>"1552376894887342"</f>
        <v>1552376894887342</v>
      </c>
      <c r="C856" t="s">
        <v>40</v>
      </c>
      <c r="D856">
        <v>4.1611479999999998</v>
      </c>
      <c r="E856">
        <v>0.54130509999999998</v>
      </c>
      <c r="F856" t="s">
        <v>43</v>
      </c>
      <c r="G856">
        <v>-103.4687</v>
      </c>
      <c r="H856">
        <v>-0.05</v>
      </c>
      <c r="I856">
        <v>339.17660000000001</v>
      </c>
      <c r="J856">
        <v>-282.50490000000002</v>
      </c>
      <c r="K856">
        <v>1.0600309999999999</v>
      </c>
      <c r="L856">
        <v>368.08150000000001</v>
      </c>
      <c r="M856">
        <v>0.99973699999999999</v>
      </c>
      <c r="N856">
        <v>0</v>
      </c>
      <c r="O856">
        <v>1.7767870000000002E-2</v>
      </c>
      <c r="P856">
        <v>0.99823680000000004</v>
      </c>
      <c r="Q856">
        <v>2.8761459999999999E-2</v>
      </c>
      <c r="R856">
        <v>-5.1927380000000002E-2</v>
      </c>
      <c r="S856">
        <v>2.9806819999999998</v>
      </c>
      <c r="T856">
        <v>-1.8461700000000001E-2</v>
      </c>
      <c r="U856">
        <v>-0.48068240000000001</v>
      </c>
      <c r="V856">
        <v>6.9654270000000004E-2</v>
      </c>
      <c r="W856">
        <v>4.3232140000000002E-2</v>
      </c>
      <c r="X856">
        <v>0.99663389999999996</v>
      </c>
      <c r="Y856">
        <v>0.1767233</v>
      </c>
      <c r="Z856">
        <v>-6.5316419999999998E-4</v>
      </c>
      <c r="AA856">
        <v>0.98426040000000004</v>
      </c>
      <c r="AB856">
        <v>33</v>
      </c>
      <c r="AC856">
        <v>179.03620000000001</v>
      </c>
      <c r="AD856">
        <v>-1.110031</v>
      </c>
      <c r="AE856">
        <v>-28.904900000000001</v>
      </c>
      <c r="AF856">
        <v>32.080560583617803</v>
      </c>
      <c r="AG856">
        <v>-1.110031</v>
      </c>
      <c r="AH856">
        <v>178.48761186123701</v>
      </c>
      <c r="AI856">
        <v>90.3507036237298</v>
      </c>
      <c r="AJ856">
        <v>79.810705953587302</v>
      </c>
      <c r="AK856">
        <v>181.35110180009301</v>
      </c>
      <c r="AL856">
        <v>87.522208423873295</v>
      </c>
      <c r="AM856">
        <v>86.002125986992695</v>
      </c>
      <c r="AN856">
        <v>0.99999993294370904</v>
      </c>
    </row>
    <row r="857" spans="1:40" x14ac:dyDescent="0.25">
      <c r="A857" t="str">
        <f>"20190312154814908"</f>
        <v>20190312154814908</v>
      </c>
      <c r="B857" t="str">
        <f>"1552376894897102"</f>
        <v>1552376894897102</v>
      </c>
      <c r="C857" t="s">
        <v>40</v>
      </c>
      <c r="D857">
        <v>4.196237</v>
      </c>
      <c r="E857">
        <v>0.54139459999999995</v>
      </c>
      <c r="F857" t="s">
        <v>43</v>
      </c>
      <c r="G857">
        <v>-86.117450000000005</v>
      </c>
      <c r="H857">
        <v>-0.05</v>
      </c>
      <c r="I857">
        <v>336.40780000000001</v>
      </c>
      <c r="J857">
        <v>-282.33850000000001</v>
      </c>
      <c r="K857">
        <v>1.0600320000000001</v>
      </c>
      <c r="L857">
        <v>368.08440000000002</v>
      </c>
      <c r="M857">
        <v>0.99973670000000003</v>
      </c>
      <c r="N857">
        <v>0</v>
      </c>
      <c r="O857">
        <v>1.7786159999999999E-2</v>
      </c>
      <c r="P857">
        <v>0.99823740000000005</v>
      </c>
      <c r="Q857">
        <v>2.8797739999999999E-2</v>
      </c>
      <c r="R857">
        <v>-5.1894040000000002E-2</v>
      </c>
      <c r="S857">
        <v>2.9807739999999998</v>
      </c>
      <c r="T857">
        <v>-1.684809E-2</v>
      </c>
      <c r="U857">
        <v>-0.48074339999999999</v>
      </c>
      <c r="V857">
        <v>6.9639510000000002E-2</v>
      </c>
      <c r="W857">
        <v>4.326787E-2</v>
      </c>
      <c r="X857">
        <v>0.99663349999999995</v>
      </c>
      <c r="Y857">
        <v>0.17675679999999999</v>
      </c>
      <c r="Z857">
        <v>-5.9625409999999998E-4</v>
      </c>
      <c r="AA857">
        <v>0.98425439999999997</v>
      </c>
      <c r="AB857">
        <v>33</v>
      </c>
      <c r="AC857">
        <v>196.22104999999999</v>
      </c>
      <c r="AD857">
        <v>-1.1100319999999999</v>
      </c>
      <c r="AE857">
        <v>-31.676600000000001</v>
      </c>
      <c r="AF857">
        <v>35.160877317923799</v>
      </c>
      <c r="AG857">
        <v>-1.1100319999999999</v>
      </c>
      <c r="AH857">
        <v>195.62043842630899</v>
      </c>
      <c r="AI857">
        <v>90.319988993764497</v>
      </c>
      <c r="AJ857">
        <v>79.810439379746896</v>
      </c>
      <c r="AK857">
        <v>198.758334152076</v>
      </c>
      <c r="AL857">
        <v>87.520159622649402</v>
      </c>
      <c r="AM857">
        <v>86.002968806237106</v>
      </c>
      <c r="AN857">
        <v>1.00000005162481</v>
      </c>
    </row>
    <row r="858" spans="1:40" x14ac:dyDescent="0.25">
      <c r="A858" t="str">
        <f>"20190312154814918"</f>
        <v>20190312154814918</v>
      </c>
      <c r="B858" t="str">
        <f>"1552376894906862"</f>
        <v>1552376894906862</v>
      </c>
      <c r="C858" t="s">
        <v>40</v>
      </c>
      <c r="D858">
        <v>4.1850040000000002</v>
      </c>
      <c r="E858">
        <v>0.54150220000000004</v>
      </c>
      <c r="F858" t="s">
        <v>43</v>
      </c>
      <c r="G858">
        <v>-83.722089999999994</v>
      </c>
      <c r="H858">
        <v>-0.05</v>
      </c>
      <c r="I858">
        <v>336.0127</v>
      </c>
      <c r="J858">
        <v>-282.17500000000001</v>
      </c>
      <c r="K858">
        <v>1.0600290000000001</v>
      </c>
      <c r="L858">
        <v>368.0874</v>
      </c>
      <c r="M858">
        <v>0.99973639999999997</v>
      </c>
      <c r="N858">
        <v>0</v>
      </c>
      <c r="O858">
        <v>1.780166E-2</v>
      </c>
      <c r="P858">
        <v>0.99822809999999995</v>
      </c>
      <c r="Q858">
        <v>2.928414E-2</v>
      </c>
      <c r="R858">
        <v>-5.18015E-2</v>
      </c>
      <c r="S858">
        <v>2.9807739999999998</v>
      </c>
      <c r="T858">
        <v>-1.665902E-2</v>
      </c>
      <c r="U858">
        <v>-0.48132320000000001</v>
      </c>
      <c r="V858">
        <v>6.9562669999999993E-2</v>
      </c>
      <c r="W858">
        <v>4.3752840000000001E-2</v>
      </c>
      <c r="X858">
        <v>0.99661759999999999</v>
      </c>
      <c r="Y858">
        <v>0.1769587</v>
      </c>
      <c r="Z858">
        <v>-5.9020060000000002E-4</v>
      </c>
      <c r="AA858">
        <v>0.98421809999999998</v>
      </c>
      <c r="AB858">
        <v>33</v>
      </c>
      <c r="AC858">
        <v>198.45291</v>
      </c>
      <c r="AD858">
        <v>-1.1100289999999999</v>
      </c>
      <c r="AE858">
        <v>-32.0747</v>
      </c>
      <c r="AF858">
        <v>35.601693458344997</v>
      </c>
      <c r="AG858">
        <v>-1.1100289999999999</v>
      </c>
      <c r="AH858">
        <v>197.84438095229001</v>
      </c>
      <c r="AI858">
        <v>90.316379812914306</v>
      </c>
      <c r="AJ858">
        <v>79.798914203710396</v>
      </c>
      <c r="AK858">
        <v>201.025152197126</v>
      </c>
      <c r="AL858">
        <v>87.4923463159204</v>
      </c>
      <c r="AM858">
        <v>86.007301353143006</v>
      </c>
      <c r="AN858">
        <v>0.99999995834767597</v>
      </c>
    </row>
    <row r="859" spans="1:40" x14ac:dyDescent="0.25">
      <c r="A859" t="str">
        <f>"20190312154814932"</f>
        <v>20190312154814932</v>
      </c>
      <c r="B859" t="str">
        <f>"1552376894927358"</f>
        <v>1552376894927358</v>
      </c>
      <c r="C859" t="s">
        <v>40</v>
      </c>
      <c r="D859">
        <v>4.1687719999999997</v>
      </c>
      <c r="E859">
        <v>0.54169179999999995</v>
      </c>
      <c r="F859" t="s">
        <v>43</v>
      </c>
      <c r="G859">
        <v>-67.153630000000007</v>
      </c>
      <c r="H859">
        <v>-0.05</v>
      </c>
      <c r="I859">
        <v>333.33170000000001</v>
      </c>
      <c r="J859">
        <v>-281.9939</v>
      </c>
      <c r="K859">
        <v>1.0600270000000001</v>
      </c>
      <c r="L859">
        <v>368.09059999999999</v>
      </c>
      <c r="M859">
        <v>0.99973610000000002</v>
      </c>
      <c r="N859">
        <v>0</v>
      </c>
      <c r="O859">
        <v>1.7815950000000001E-2</v>
      </c>
      <c r="P859">
        <v>0.99822010000000005</v>
      </c>
      <c r="Q859">
        <v>2.9482419999999999E-2</v>
      </c>
      <c r="R859">
        <v>-5.1844880000000003E-2</v>
      </c>
      <c r="S859">
        <v>2.980804</v>
      </c>
      <c r="T859">
        <v>-1.538813E-2</v>
      </c>
      <c r="U859">
        <v>-0.4818115</v>
      </c>
      <c r="V859">
        <v>6.9620440000000006E-2</v>
      </c>
      <c r="W859">
        <v>4.3950059999999999E-2</v>
      </c>
      <c r="X859">
        <v>0.99660490000000002</v>
      </c>
      <c r="Y859">
        <v>0.1771287</v>
      </c>
      <c r="Z859">
        <v>-5.4567280000000003E-4</v>
      </c>
      <c r="AA859">
        <v>0.98418749999999999</v>
      </c>
      <c r="AB859">
        <v>33</v>
      </c>
      <c r="AC859">
        <v>214.84027</v>
      </c>
      <c r="AD859">
        <v>-1.1100270000000001</v>
      </c>
      <c r="AE859">
        <v>-34.758899999999898</v>
      </c>
      <c r="AF859">
        <v>38.580364463373201</v>
      </c>
      <c r="AG859">
        <v>-1.1100270000000001</v>
      </c>
      <c r="AH859">
        <v>214.181264346424</v>
      </c>
      <c r="AI859">
        <v>90.292238293932002</v>
      </c>
      <c r="AJ859">
        <v>79.788839388659596</v>
      </c>
      <c r="AK859">
        <v>217.63108849403901</v>
      </c>
      <c r="AL859">
        <v>87.481035591107997</v>
      </c>
      <c r="AM859">
        <v>86.003945500494694</v>
      </c>
      <c r="AN859">
        <v>0.999999970071903</v>
      </c>
    </row>
    <row r="860" spans="1:40" x14ac:dyDescent="0.25">
      <c r="A860" t="str">
        <f>"20190312154814944"</f>
        <v>20190312154814944</v>
      </c>
      <c r="B860" t="str">
        <f>"1552376894937117"</f>
        <v>1552376894937117</v>
      </c>
      <c r="C860" t="s">
        <v>40</v>
      </c>
      <c r="D860">
        <v>4.1590660000000002</v>
      </c>
      <c r="E860">
        <v>0.54177900000000001</v>
      </c>
      <c r="F860" t="s">
        <v>46</v>
      </c>
      <c r="G860">
        <v>-45.382080000000002</v>
      </c>
      <c r="H860">
        <v>-0.1</v>
      </c>
      <c r="I860">
        <v>329.68610000000001</v>
      </c>
      <c r="J860">
        <v>-281.79719999999998</v>
      </c>
      <c r="K860">
        <v>1.0600270000000001</v>
      </c>
      <c r="L860">
        <v>368.09410000000003</v>
      </c>
      <c r="M860">
        <v>0.99973579999999995</v>
      </c>
      <c r="N860">
        <v>0</v>
      </c>
      <c r="O860">
        <v>1.7829040000000001E-2</v>
      </c>
      <c r="P860">
        <v>0.99822730000000004</v>
      </c>
      <c r="Q860">
        <v>2.9573329999999998E-2</v>
      </c>
      <c r="R860">
        <v>-5.1654760000000001E-2</v>
      </c>
      <c r="S860">
        <v>2.9806819999999998</v>
      </c>
      <c r="T860">
        <v>-1.4613269999999999E-2</v>
      </c>
      <c r="U860">
        <v>-0.48379519999999998</v>
      </c>
      <c r="V860">
        <v>6.9444279999999997E-2</v>
      </c>
      <c r="W860">
        <v>4.403961E-2</v>
      </c>
      <c r="X860">
        <v>0.99661330000000004</v>
      </c>
      <c r="Y860">
        <v>0.17778640000000001</v>
      </c>
      <c r="Z860">
        <v>-5.1985520000000002E-4</v>
      </c>
      <c r="AA860">
        <v>0.98406899999999997</v>
      </c>
      <c r="AB860">
        <v>33</v>
      </c>
      <c r="AC860">
        <v>236.41512</v>
      </c>
      <c r="AD860">
        <v>-1.1600269999999999</v>
      </c>
      <c r="AE860">
        <v>-38.408000000000001</v>
      </c>
      <c r="AF860">
        <v>42.616392354958599</v>
      </c>
      <c r="AG860">
        <v>-1.1600269999999999</v>
      </c>
      <c r="AH860">
        <v>235.687155569992</v>
      </c>
      <c r="AI860">
        <v>90.277501528089601</v>
      </c>
      <c r="AJ860">
        <v>79.750656333749106</v>
      </c>
      <c r="AK860">
        <v>239.51187415379999</v>
      </c>
      <c r="AL860">
        <v>87.475899938882904</v>
      </c>
      <c r="AM860">
        <v>86.0140575371029</v>
      </c>
      <c r="AN860">
        <v>1.00000003250527</v>
      </c>
    </row>
    <row r="861" spans="1:40" x14ac:dyDescent="0.25">
      <c r="A861" t="str">
        <f>"20190312154814961"</f>
        <v>20190312154814961</v>
      </c>
      <c r="B861" t="str">
        <f>"1552376894956638"</f>
        <v>1552376894956638</v>
      </c>
      <c r="C861" t="s">
        <v>40</v>
      </c>
      <c r="D861">
        <v>4.1728489999999896</v>
      </c>
      <c r="E861">
        <v>0.54190729999999998</v>
      </c>
      <c r="F861" t="s">
        <v>46</v>
      </c>
      <c r="G861">
        <v>-41.609189999999998</v>
      </c>
      <c r="H861">
        <v>-0.1</v>
      </c>
      <c r="I861">
        <v>329.11439999999999</v>
      </c>
      <c r="J861">
        <v>-281.56099999999998</v>
      </c>
      <c r="K861">
        <v>1.0600240000000001</v>
      </c>
      <c r="L861">
        <v>368.09829999999999</v>
      </c>
      <c r="M861">
        <v>0.99973559999999995</v>
      </c>
      <c r="N861">
        <v>0</v>
      </c>
      <c r="O861">
        <v>1.7839790000000001E-2</v>
      </c>
      <c r="P861">
        <v>0.99822040000000001</v>
      </c>
      <c r="Q861">
        <v>3.0011679999999999E-2</v>
      </c>
      <c r="R861">
        <v>-5.1530119999999999E-2</v>
      </c>
      <c r="S861">
        <v>2.9807130000000002</v>
      </c>
      <c r="T861">
        <v>-1.439583E-2</v>
      </c>
      <c r="U861">
        <v>-0.4837341</v>
      </c>
      <c r="V861">
        <v>6.9330849999999999E-2</v>
      </c>
      <c r="W861">
        <v>4.4475969999999997E-2</v>
      </c>
      <c r="X861">
        <v>0.99660179999999998</v>
      </c>
      <c r="Y861">
        <v>0.17777579999999901</v>
      </c>
      <c r="Z861">
        <v>-5.1214199999999896E-4</v>
      </c>
      <c r="AA861">
        <v>0.98407089999999997</v>
      </c>
      <c r="AB861">
        <v>33</v>
      </c>
      <c r="AC861">
        <v>239.95180999999999</v>
      </c>
      <c r="AD861">
        <v>-1.1600239999999999</v>
      </c>
      <c r="AE861">
        <v>-38.983899999999998</v>
      </c>
      <c r="AF861">
        <v>43.2578501832933</v>
      </c>
      <c r="AG861">
        <v>-1.1600239999999999</v>
      </c>
      <c r="AH861">
        <v>239.212630852899</v>
      </c>
      <c r="AI861">
        <v>90.273410314526203</v>
      </c>
      <c r="AJ861">
        <v>79.7497309732058</v>
      </c>
      <c r="AK861">
        <v>243.095187154592</v>
      </c>
      <c r="AL861">
        <v>87.450873781963196</v>
      </c>
      <c r="AM861">
        <v>86.020501452125998</v>
      </c>
      <c r="AN861">
        <v>1.0000000132161999</v>
      </c>
    </row>
    <row r="862" spans="1:40" x14ac:dyDescent="0.25">
      <c r="A862" t="str">
        <f>"20190312154814975"</f>
        <v>20190312154814975</v>
      </c>
      <c r="B862" t="str">
        <f>"1552376894966397"</f>
        <v>1552376894966397</v>
      </c>
      <c r="C862" t="s">
        <v>40</v>
      </c>
      <c r="D862">
        <v>4.162172</v>
      </c>
      <c r="E862">
        <v>0.54190729999999998</v>
      </c>
      <c r="F862" t="s">
        <v>46</v>
      </c>
      <c r="G862">
        <v>-17.559229999999999</v>
      </c>
      <c r="H862">
        <v>-0.1</v>
      </c>
      <c r="I862">
        <v>325.21159999999998</v>
      </c>
      <c r="J862">
        <v>-281.35629999999998</v>
      </c>
      <c r="K862">
        <v>1.060022</v>
      </c>
      <c r="L862">
        <v>368.10199999999998</v>
      </c>
      <c r="M862">
        <v>0.9997355</v>
      </c>
      <c r="N862">
        <v>0</v>
      </c>
      <c r="O862">
        <v>1.7846089999999998E-2</v>
      </c>
      <c r="P862">
        <v>0.99821629999999995</v>
      </c>
      <c r="Q862">
        <v>3.017862E-2</v>
      </c>
      <c r="R862">
        <v>-5.1513139999999999E-2</v>
      </c>
      <c r="S862">
        <v>2.9807739999999998</v>
      </c>
      <c r="T862">
        <v>-1.309752E-2</v>
      </c>
      <c r="U862">
        <v>-0.4842224</v>
      </c>
      <c r="V862">
        <v>6.9320629999999994E-2</v>
      </c>
      <c r="W862">
        <v>4.4641739999999999E-2</v>
      </c>
      <c r="X862">
        <v>0.99659509999999996</v>
      </c>
      <c r="Y862">
        <v>0.17793619999999999</v>
      </c>
      <c r="Z862">
        <v>-4.6631649999999999E-4</v>
      </c>
      <c r="AA862">
        <v>0.98404190000000002</v>
      </c>
      <c r="AB862">
        <v>33</v>
      </c>
      <c r="AC862">
        <v>263.79707000000002</v>
      </c>
      <c r="AD862">
        <v>-1.1600219999999899</v>
      </c>
      <c r="AE862">
        <v>-42.8904</v>
      </c>
      <c r="AF862">
        <v>47.590913213294399</v>
      </c>
      <c r="AG862">
        <v>-1.1600219999999899</v>
      </c>
      <c r="AH862">
        <v>262.984589484325</v>
      </c>
      <c r="AI862">
        <v>90.248690162788606</v>
      </c>
      <c r="AJ862">
        <v>79.742499689383195</v>
      </c>
      <c r="AK862">
        <v>267.25855454550901</v>
      </c>
      <c r="AL862">
        <v>87.441366419677905</v>
      </c>
      <c r="AM862">
        <v>86.021059518311105</v>
      </c>
      <c r="AN862">
        <v>1.00000001401891</v>
      </c>
    </row>
    <row r="863" spans="1:40" x14ac:dyDescent="0.25">
      <c r="A863" t="str">
        <f>"20190312154814989"</f>
        <v>20190312154814989</v>
      </c>
      <c r="B863" t="str">
        <f>"1552376894977134"</f>
        <v>1552376894977134</v>
      </c>
      <c r="C863" t="s">
        <v>40</v>
      </c>
      <c r="D863">
        <v>4.2504600000000003</v>
      </c>
      <c r="E863">
        <v>0.55054720000000001</v>
      </c>
      <c r="F863" t="s">
        <v>46</v>
      </c>
      <c r="G863">
        <v>-5.5780640000000004</v>
      </c>
      <c r="H863">
        <v>-0.1</v>
      </c>
      <c r="I863">
        <v>323.29649999999998</v>
      </c>
      <c r="J863">
        <v>-281.14049999999997</v>
      </c>
      <c r="K863">
        <v>1.0600689999999999</v>
      </c>
      <c r="L863">
        <v>368.10590000000002</v>
      </c>
      <c r="M863">
        <v>0.99973270000000003</v>
      </c>
      <c r="N863">
        <v>0</v>
      </c>
      <c r="O863">
        <v>1.7851140000000001E-2</v>
      </c>
      <c r="P863">
        <v>0.99819159999999996</v>
      </c>
      <c r="Q863">
        <v>3.058431E-2</v>
      </c>
      <c r="R863">
        <v>-5.1750490000000003E-2</v>
      </c>
      <c r="S863">
        <v>2.9807739999999998</v>
      </c>
      <c r="T863">
        <v>-1.2538189999999999E-2</v>
      </c>
      <c r="U863">
        <v>-0.48428339999999998</v>
      </c>
      <c r="V863">
        <v>6.9562899999999997E-2</v>
      </c>
      <c r="W863">
        <v>4.5230520000000003E-2</v>
      </c>
      <c r="X863">
        <v>0.99655159999999998</v>
      </c>
      <c r="Y863">
        <v>0.17796110000000001</v>
      </c>
      <c r="Z863">
        <v>-4.4647509999999998E-4</v>
      </c>
      <c r="AA863">
        <v>0.98403750000000001</v>
      </c>
      <c r="AB863">
        <v>33</v>
      </c>
      <c r="AC863">
        <v>275.56243599999999</v>
      </c>
      <c r="AD863">
        <v>-1.160069</v>
      </c>
      <c r="AE863">
        <v>-44.809399999999997</v>
      </c>
      <c r="AF863">
        <v>49.721034491684399</v>
      </c>
      <c r="AG863">
        <v>-1.160069</v>
      </c>
      <c r="AH863">
        <v>274.713788771564</v>
      </c>
      <c r="AI863">
        <v>90.238080693999393</v>
      </c>
      <c r="AJ863">
        <v>79.740974783289303</v>
      </c>
      <c r="AK863">
        <v>279.17949919762299</v>
      </c>
      <c r="AL863">
        <v>87.407597518482206</v>
      </c>
      <c r="AM863">
        <v>86.007024618982001</v>
      </c>
      <c r="AN863">
        <v>0.99999994422921801</v>
      </c>
    </row>
    <row r="864" spans="1:40" x14ac:dyDescent="0.25">
      <c r="A864" t="str">
        <f>"20190312154815004"</f>
        <v>20190312154815004</v>
      </c>
      <c r="B864" t="str">
        <f>"1552376894996654"</f>
        <v>1552376894996654</v>
      </c>
      <c r="C864" t="s">
        <v>40</v>
      </c>
      <c r="D864">
        <v>4.2739370000000001</v>
      </c>
      <c r="E864">
        <v>0.55786930000000001</v>
      </c>
      <c r="F864" t="s">
        <v>42</v>
      </c>
      <c r="G864">
        <v>-226.83090000000001</v>
      </c>
      <c r="H864">
        <v>7.9986370000000001E-2</v>
      </c>
      <c r="I864">
        <v>358.04180000000002</v>
      </c>
      <c r="J864">
        <v>-280.91489999999999</v>
      </c>
      <c r="K864">
        <v>1.0602609999999999</v>
      </c>
      <c r="L864">
        <v>368.10989999999998</v>
      </c>
      <c r="M864">
        <v>0.99972229999999995</v>
      </c>
      <c r="N864">
        <v>0</v>
      </c>
      <c r="O864">
        <v>1.7855349999999999E-2</v>
      </c>
      <c r="P864">
        <v>0.9981835</v>
      </c>
      <c r="Q864">
        <v>3.0955570000000002E-2</v>
      </c>
      <c r="R864">
        <v>-5.1683899999999998E-2</v>
      </c>
      <c r="S864">
        <v>2.9785159999999999</v>
      </c>
      <c r="T864">
        <v>-5.3750869999999999E-2</v>
      </c>
      <c r="U864">
        <v>-0.55194089999999996</v>
      </c>
      <c r="V864">
        <v>6.9501010000000002E-2</v>
      </c>
      <c r="W864">
        <v>4.6288450000000002E-2</v>
      </c>
      <c r="X864">
        <v>0.99650740000000004</v>
      </c>
      <c r="Y864">
        <v>0.19970060000000001</v>
      </c>
      <c r="Z864">
        <v>-2.1061999999999999E-3</v>
      </c>
      <c r="AA864">
        <v>0.97985469999999997</v>
      </c>
      <c r="AB864">
        <v>33</v>
      </c>
      <c r="AC864">
        <v>54.083999999999897</v>
      </c>
      <c r="AD864">
        <v>-0.98027463000000004</v>
      </c>
      <c r="AE864">
        <v>-10.0680999999999</v>
      </c>
      <c r="AF864">
        <v>11.028795740859801</v>
      </c>
      <c r="AG864">
        <v>-0.98027463000000004</v>
      </c>
      <c r="AH864">
        <v>53.878478044226704</v>
      </c>
      <c r="AI864">
        <v>91.021164803770205</v>
      </c>
      <c r="AJ864">
        <v>78.431501632244405</v>
      </c>
      <c r="AK864">
        <v>55.004415006488799</v>
      </c>
      <c r="AL864">
        <v>87.346919187010002</v>
      </c>
      <c r="AM864">
        <v>86.010389306970595</v>
      </c>
      <c r="AN864">
        <v>1.00000000462459</v>
      </c>
    </row>
    <row r="865" spans="1:40" x14ac:dyDescent="0.25">
      <c r="A865" t="str">
        <f>"20190312154815016"</f>
        <v>20190312154815016</v>
      </c>
      <c r="B865" t="str">
        <f>"1552376895006415"</f>
        <v>1552376895006415</v>
      </c>
      <c r="C865" t="s">
        <v>40</v>
      </c>
      <c r="D865">
        <v>4.2730699999999997</v>
      </c>
      <c r="E865">
        <v>0.55983669999999996</v>
      </c>
      <c r="F865" t="s">
        <v>42</v>
      </c>
      <c r="G865">
        <v>-188.25460000000001</v>
      </c>
      <c r="H865" s="1">
        <v>-4.3624900000000003E-6</v>
      </c>
      <c r="I865">
        <v>349.08019999999999</v>
      </c>
      <c r="J865">
        <v>-280.75200000000001</v>
      </c>
      <c r="K865">
        <v>1.0605899999999999</v>
      </c>
      <c r="L865">
        <v>368.11279999999999</v>
      </c>
      <c r="M865">
        <v>0.9997125</v>
      </c>
      <c r="N865">
        <v>0</v>
      </c>
      <c r="O865">
        <v>1.7856520000000001E-2</v>
      </c>
      <c r="P865">
        <v>0.99817040000000001</v>
      </c>
      <c r="Q865">
        <v>3.0952830000000001E-2</v>
      </c>
      <c r="R865">
        <v>-5.1943160000000002E-2</v>
      </c>
      <c r="S865">
        <v>2.9749150000000002</v>
      </c>
      <c r="T865">
        <v>-3.404045E-2</v>
      </c>
      <c r="U865">
        <v>-0.61096189999999995</v>
      </c>
      <c r="V865">
        <v>6.9761279999999995E-2</v>
      </c>
      <c r="W865">
        <v>4.6908150000000003E-2</v>
      </c>
      <c r="X865">
        <v>0.99646029999999997</v>
      </c>
      <c r="Y865">
        <v>0.21861939999999999</v>
      </c>
      <c r="Z865">
        <v>-1.4401349999999999E-3</v>
      </c>
      <c r="AA865">
        <v>0.97580919999999904</v>
      </c>
      <c r="AB865">
        <v>33</v>
      </c>
      <c r="AC865">
        <v>92.497399999999999</v>
      </c>
      <c r="AD865">
        <v>-1.0605943624899901</v>
      </c>
      <c r="AE865">
        <v>-19.032599999999999</v>
      </c>
      <c r="AF865">
        <v>20.678849540826601</v>
      </c>
      <c r="AG865">
        <v>-1.0605943624899901</v>
      </c>
      <c r="AH865">
        <v>92.131128051059903</v>
      </c>
      <c r="AI865">
        <v>90.643538463281899</v>
      </c>
      <c r="AJ865">
        <v>77.349603691812007</v>
      </c>
      <c r="AK865">
        <v>94.429256243468799</v>
      </c>
      <c r="AL865">
        <v>87.311374556208406</v>
      </c>
      <c r="AM865">
        <v>85.995308713268301</v>
      </c>
      <c r="AN865">
        <v>1.0000000700998699</v>
      </c>
    </row>
    <row r="866" spans="1:40" x14ac:dyDescent="0.25">
      <c r="A866" t="str">
        <f>"20190312154815026"</f>
        <v>20190312154815026</v>
      </c>
      <c r="B866" t="str">
        <f>"1552376895017150"</f>
        <v>1552376895017150</v>
      </c>
      <c r="C866" t="s">
        <v>40</v>
      </c>
      <c r="D866">
        <v>4.2468959999999996</v>
      </c>
      <c r="E866">
        <v>0.56117490000000003</v>
      </c>
      <c r="F866" t="s">
        <v>42</v>
      </c>
      <c r="G866">
        <v>-179.95670000000001</v>
      </c>
      <c r="H866">
        <v>5.1073479999999997E-2</v>
      </c>
      <c r="I866">
        <v>346.8372</v>
      </c>
      <c r="J866">
        <v>-280.58699999999999</v>
      </c>
      <c r="K866">
        <v>1.0609360000000001</v>
      </c>
      <c r="L866">
        <v>368.11579999999998</v>
      </c>
      <c r="M866">
        <v>0.99970429999999999</v>
      </c>
      <c r="N866">
        <v>0</v>
      </c>
      <c r="O866">
        <v>1.7857109999999999E-2</v>
      </c>
      <c r="P866">
        <v>0.99815770000000004</v>
      </c>
      <c r="Q866">
        <v>3.0606910000000001E-2</v>
      </c>
      <c r="R866">
        <v>-5.2390680000000002E-2</v>
      </c>
      <c r="S866">
        <v>2.9737239999999998</v>
      </c>
      <c r="T866">
        <v>-2.978337E-2</v>
      </c>
      <c r="U866">
        <v>-0.62768550000000001</v>
      </c>
      <c r="V866">
        <v>7.0209560000000004E-2</v>
      </c>
      <c r="W866">
        <v>4.706772E-2</v>
      </c>
      <c r="X866">
        <v>0.99642120000000001</v>
      </c>
      <c r="Y866">
        <v>0.22395660000000001</v>
      </c>
      <c r="Z866">
        <v>-1.2862660000000001E-3</v>
      </c>
      <c r="AA866">
        <v>0.97459830000000003</v>
      </c>
      <c r="AB866">
        <v>33</v>
      </c>
      <c r="AC866">
        <v>100.630299999999</v>
      </c>
      <c r="AD866">
        <v>-1.00986252</v>
      </c>
      <c r="AE866">
        <v>-21.278599999999901</v>
      </c>
      <c r="AF866">
        <v>23.070193417525001</v>
      </c>
      <c r="AG866">
        <v>-1.00986252</v>
      </c>
      <c r="AH866">
        <v>100.224562468485</v>
      </c>
      <c r="AI866">
        <v>90.562581747761897</v>
      </c>
      <c r="AJ866">
        <v>77.037167367052305</v>
      </c>
      <c r="AK866">
        <v>102.85045730880699</v>
      </c>
      <c r="AL866">
        <v>87.302221516924803</v>
      </c>
      <c r="AM866">
        <v>85.969501815173103</v>
      </c>
      <c r="AN866">
        <v>0.99999998019541503</v>
      </c>
    </row>
    <row r="867" spans="1:40" x14ac:dyDescent="0.25">
      <c r="A867" t="str">
        <f>"20190312154815037"</f>
        <v>20190312154815037</v>
      </c>
      <c r="B867" t="str">
        <f>"1552376895026910"</f>
        <v>1552376895026910</v>
      </c>
      <c r="C867" t="s">
        <v>40</v>
      </c>
      <c r="D867">
        <v>4.1201189999999999</v>
      </c>
      <c r="E867">
        <v>0.56249439999999995</v>
      </c>
      <c r="F867" t="s">
        <v>47</v>
      </c>
      <c r="G867">
        <v>-162.26499999999999</v>
      </c>
      <c r="H867">
        <v>1.012716E-2</v>
      </c>
      <c r="I867">
        <v>342.64389999999997</v>
      </c>
      <c r="J867">
        <v>-280.42559999999997</v>
      </c>
      <c r="K867">
        <v>1.0612969999999999</v>
      </c>
      <c r="L867">
        <v>368.11869999999999</v>
      </c>
      <c r="M867">
        <v>0.9997047</v>
      </c>
      <c r="N867">
        <v>0</v>
      </c>
      <c r="O867">
        <v>1.7856449999999999E-2</v>
      </c>
      <c r="P867">
        <v>0.99814729999999996</v>
      </c>
      <c r="Q867">
        <v>3.072656E-2</v>
      </c>
      <c r="R867">
        <v>-5.2516260000000002E-2</v>
      </c>
      <c r="S867">
        <v>2.9727169999999998</v>
      </c>
      <c r="T867">
        <v>-2.640033E-2</v>
      </c>
      <c r="U867">
        <v>-0.63995360000000001</v>
      </c>
      <c r="V867">
        <v>7.0334670000000002E-2</v>
      </c>
      <c r="W867">
        <v>4.7162019999999999E-2</v>
      </c>
      <c r="X867">
        <v>0.99640790000000001</v>
      </c>
      <c r="Y867">
        <v>0.2278703</v>
      </c>
      <c r="Z867">
        <v>-1.157237E-3</v>
      </c>
      <c r="AA867">
        <v>0.97369079999999997</v>
      </c>
      <c r="AB867">
        <v>32</v>
      </c>
      <c r="AC867">
        <v>118.1606</v>
      </c>
      <c r="AD867">
        <v>-1.05116984</v>
      </c>
      <c r="AE867">
        <v>-25.474799999999998</v>
      </c>
      <c r="AF867">
        <v>27.578867043279399</v>
      </c>
      <c r="AG867">
        <v>-1.05116984</v>
      </c>
      <c r="AH867">
        <v>117.67790470011001</v>
      </c>
      <c r="AI867">
        <v>90.498286406812696</v>
      </c>
      <c r="AJ867">
        <v>76.810262452984801</v>
      </c>
      <c r="AK867">
        <v>120.870956478517</v>
      </c>
      <c r="AL867">
        <v>87.296812470283001</v>
      </c>
      <c r="AM867">
        <v>85.962289681937605</v>
      </c>
      <c r="AN867">
        <v>0.99999996255844803</v>
      </c>
    </row>
    <row r="868" spans="1:40" x14ac:dyDescent="0.25">
      <c r="A868" t="str">
        <f>"20190312154815049"</f>
        <v>20190312154815049</v>
      </c>
      <c r="B868" t="str">
        <f>"1552376895036669"</f>
        <v>1552376895036669</v>
      </c>
      <c r="C868" t="s">
        <v>40</v>
      </c>
      <c r="D868">
        <v>4.2675340000000004</v>
      </c>
      <c r="E868">
        <v>0.56337309999999996</v>
      </c>
      <c r="F868" t="s">
        <v>45</v>
      </c>
      <c r="G868">
        <v>-203.38409999999999</v>
      </c>
      <c r="H868">
        <v>7.9989329999999997E-2</v>
      </c>
      <c r="I868">
        <v>351.26650000000001</v>
      </c>
      <c r="J868">
        <v>-280.26299999999998</v>
      </c>
      <c r="K868">
        <v>1.0616509999999999</v>
      </c>
      <c r="L868">
        <v>368.1216</v>
      </c>
      <c r="M868">
        <v>0.99971089999999996</v>
      </c>
      <c r="N868">
        <v>0</v>
      </c>
      <c r="O868">
        <v>1.7855719999999999E-2</v>
      </c>
      <c r="P868">
        <v>0.99809530000000002</v>
      </c>
      <c r="Q868">
        <v>3.1269859999999997E-2</v>
      </c>
      <c r="R868">
        <v>-5.3180739999999997E-2</v>
      </c>
      <c r="S868">
        <v>2.9725039999999998</v>
      </c>
      <c r="T868">
        <v>-3.7861939999999997E-2</v>
      </c>
      <c r="U868">
        <v>-0.65020749999999905</v>
      </c>
      <c r="V868">
        <v>7.0997420000000006E-2</v>
      </c>
      <c r="W868">
        <v>4.732397E-2</v>
      </c>
      <c r="X868">
        <v>0.9963533</v>
      </c>
      <c r="Y868">
        <v>0.23108039999999999</v>
      </c>
      <c r="Z868">
        <v>-1.679327E-3</v>
      </c>
      <c r="AA868">
        <v>0.97293320000000005</v>
      </c>
      <c r="AB868">
        <v>32</v>
      </c>
      <c r="AC868">
        <v>76.878899999999902</v>
      </c>
      <c r="AD868">
        <v>-0.98166167000000004</v>
      </c>
      <c r="AE868">
        <v>-16.855099999999901</v>
      </c>
      <c r="AF868">
        <v>18.222483439485</v>
      </c>
      <c r="AG868">
        <v>-0.98166167000000004</v>
      </c>
      <c r="AH868">
        <v>76.553732037696903</v>
      </c>
      <c r="AI868">
        <v>90.714706583303894</v>
      </c>
      <c r="AJ868">
        <v>76.610757303632496</v>
      </c>
      <c r="AK868">
        <v>78.698770328615396</v>
      </c>
      <c r="AL868">
        <v>87.287523270171206</v>
      </c>
      <c r="AM868">
        <v>85.924148143755801</v>
      </c>
      <c r="AN868">
        <v>1.0000000451020501</v>
      </c>
    </row>
    <row r="869" spans="1:40" x14ac:dyDescent="0.25">
      <c r="A869" t="str">
        <f>"20190312154815060"</f>
        <v>20190312154815060</v>
      </c>
      <c r="B869" t="str">
        <f>"1552376895046430"</f>
        <v>1552376895046430</v>
      </c>
      <c r="C869" t="s">
        <v>40</v>
      </c>
      <c r="D869">
        <v>4.2697719999999997</v>
      </c>
      <c r="E869">
        <v>0.56423319999999999</v>
      </c>
      <c r="F869" t="s">
        <v>42</v>
      </c>
      <c r="G869">
        <v>-179.95779999999999</v>
      </c>
      <c r="H869">
        <v>2.2191180000000001E-2</v>
      </c>
      <c r="I869">
        <v>345.86470000000003</v>
      </c>
      <c r="J869">
        <v>-280.10090000000002</v>
      </c>
      <c r="K869">
        <v>1.0619860000000001</v>
      </c>
      <c r="L869">
        <v>368.12450000000001</v>
      </c>
      <c r="M869">
        <v>0.99972470000000002</v>
      </c>
      <c r="N869">
        <v>0</v>
      </c>
      <c r="O869">
        <v>1.785521E-2</v>
      </c>
      <c r="P869">
        <v>0.99804389999999998</v>
      </c>
      <c r="Q869">
        <v>3.1974620000000002E-2</v>
      </c>
      <c r="R869">
        <v>-5.372412E-2</v>
      </c>
      <c r="S869">
        <v>2.9715579999999999</v>
      </c>
      <c r="T869">
        <v>-3.0794140000000001E-2</v>
      </c>
      <c r="U869">
        <v>-0.65936280000000003</v>
      </c>
      <c r="V869">
        <v>7.1539099999999994E-2</v>
      </c>
      <c r="W869">
        <v>4.714964E-2</v>
      </c>
      <c r="X869">
        <v>0.99632279999999995</v>
      </c>
      <c r="Y869">
        <v>0.23400840000000001</v>
      </c>
      <c r="Z869">
        <v>-1.3808200000000001E-3</v>
      </c>
      <c r="AA869">
        <v>0.97223360000000003</v>
      </c>
      <c r="AB869">
        <v>32</v>
      </c>
      <c r="AC869">
        <v>100.1431</v>
      </c>
      <c r="AD869">
        <v>-1.03979482</v>
      </c>
      <c r="AE869">
        <v>-22.259799999999899</v>
      </c>
      <c r="AF869">
        <v>24.042063960607202</v>
      </c>
      <c r="AG869">
        <v>-1.03979482</v>
      </c>
      <c r="AH869">
        <v>99.719387888206498</v>
      </c>
      <c r="AI869">
        <v>90.580773417497795</v>
      </c>
      <c r="AJ869">
        <v>76.444841092148806</v>
      </c>
      <c r="AK869">
        <v>102.581959103695</v>
      </c>
      <c r="AL869">
        <v>87.297522755200703</v>
      </c>
      <c r="AM869">
        <v>85.893031845488593</v>
      </c>
      <c r="AN869">
        <v>1.0000000265903799</v>
      </c>
    </row>
    <row r="870" spans="1:40" x14ac:dyDescent="0.25">
      <c r="A870" t="str">
        <f>"20190312154815071"</f>
        <v>20190312154815071</v>
      </c>
      <c r="B870" t="str">
        <f>"1552376895057166"</f>
        <v>1552376895057166</v>
      </c>
      <c r="C870" t="s">
        <v>40</v>
      </c>
      <c r="D870">
        <v>4.2583799999999998</v>
      </c>
      <c r="E870">
        <v>0.56494359999999999</v>
      </c>
      <c r="F870" t="s">
        <v>47</v>
      </c>
      <c r="G870">
        <v>-166.78129999999999</v>
      </c>
      <c r="H870">
        <v>1.7437910000000001E-2</v>
      </c>
      <c r="I870">
        <v>342.64389999999997</v>
      </c>
      <c r="J870">
        <v>-279.94049999999999</v>
      </c>
      <c r="K870">
        <v>1.0623990000000001</v>
      </c>
      <c r="L870">
        <v>368.12729999999999</v>
      </c>
      <c r="M870">
        <v>0.9997393</v>
      </c>
      <c r="N870">
        <v>0</v>
      </c>
      <c r="O870">
        <v>1.7855300000000001E-2</v>
      </c>
      <c r="P870">
        <v>0.99799070000000001</v>
      </c>
      <c r="Q870">
        <v>3.3006229999999998E-2</v>
      </c>
      <c r="R870">
        <v>-5.4086670000000003E-2</v>
      </c>
      <c r="S870">
        <v>2.9707949999999999</v>
      </c>
      <c r="T870">
        <v>-2.73838E-2</v>
      </c>
      <c r="U870">
        <v>-0.66799929999999996</v>
      </c>
      <c r="V870">
        <v>7.1900640000000002E-2</v>
      </c>
      <c r="W870">
        <v>4.719251E-2</v>
      </c>
      <c r="X870">
        <v>0.99629469999999998</v>
      </c>
      <c r="Y870">
        <v>0.23675479999999999</v>
      </c>
      <c r="Z870">
        <v>-1.24033E-3</v>
      </c>
      <c r="AA870">
        <v>0.9715686</v>
      </c>
      <c r="AB870">
        <v>32</v>
      </c>
      <c r="AC870">
        <v>113.1592</v>
      </c>
      <c r="AD870">
        <v>-1.0449610899999999</v>
      </c>
      <c r="AE870">
        <v>-25.4834</v>
      </c>
      <c r="AF870">
        <v>27.497801051140598</v>
      </c>
      <c r="AG870">
        <v>-1.0449610899999999</v>
      </c>
      <c r="AH870">
        <v>112.67695210657</v>
      </c>
      <c r="AI870">
        <v>90.516195181876597</v>
      </c>
      <c r="AJ870">
        <v>76.285543643395599</v>
      </c>
      <c r="AK870">
        <v>115.98843279549099</v>
      </c>
      <c r="AL870">
        <v>87.295063627569306</v>
      </c>
      <c r="AM870">
        <v>85.872231840160396</v>
      </c>
      <c r="AN870">
        <v>0.99999998214029895</v>
      </c>
    </row>
    <row r="871" spans="1:40" x14ac:dyDescent="0.25">
      <c r="A871" t="str">
        <f>"20190312154815082"</f>
        <v>20190312154815082</v>
      </c>
      <c r="B871" t="str">
        <f>"1552376895076685"</f>
        <v>1552376895076685</v>
      </c>
      <c r="C871" t="s">
        <v>40</v>
      </c>
      <c r="D871">
        <v>4.277374</v>
      </c>
      <c r="E871">
        <v>0.56585369999999902</v>
      </c>
      <c r="F871" t="s">
        <v>47</v>
      </c>
      <c r="G871">
        <v>-167.78200000000001</v>
      </c>
      <c r="H871">
        <v>0.20989959999999999</v>
      </c>
      <c r="I871">
        <v>342.64389999999997</v>
      </c>
      <c r="J871">
        <v>-279.77159999999998</v>
      </c>
      <c r="K871">
        <v>1.062894</v>
      </c>
      <c r="L871">
        <v>368.13029999999998</v>
      </c>
      <c r="M871">
        <v>0.99975460000000005</v>
      </c>
      <c r="N871">
        <v>0</v>
      </c>
      <c r="O871">
        <v>1.7855889999999999E-2</v>
      </c>
      <c r="P871">
        <v>0.9979285</v>
      </c>
      <c r="Q871">
        <v>3.3831390000000003E-2</v>
      </c>
      <c r="R871">
        <v>-5.4719829999999997E-2</v>
      </c>
      <c r="S871">
        <v>2.9702449999999998</v>
      </c>
      <c r="T871">
        <v>-2.2576209999999999E-2</v>
      </c>
      <c r="U871">
        <v>-0.67486569999999901</v>
      </c>
      <c r="V871">
        <v>7.2533150000000005E-2</v>
      </c>
      <c r="W871">
        <v>4.6897679999999997E-2</v>
      </c>
      <c r="X871">
        <v>0.9962628</v>
      </c>
      <c r="Y871">
        <v>0.23893300000000001</v>
      </c>
      <c r="Z871">
        <v>-1.030684E-3</v>
      </c>
      <c r="AA871">
        <v>0.97103550000000005</v>
      </c>
      <c r="AB871">
        <v>33</v>
      </c>
      <c r="AC871">
        <v>111.989599999999</v>
      </c>
      <c r="AD871">
        <v>-0.85299439999999904</v>
      </c>
      <c r="AE871">
        <v>-25.4864</v>
      </c>
      <c r="AF871">
        <v>27.4806661331585</v>
      </c>
      <c r="AG871">
        <v>-0.85299439999999904</v>
      </c>
      <c r="AH871">
        <v>111.510470376079</v>
      </c>
      <c r="AI871">
        <v>90.425541756992402</v>
      </c>
      <c r="AJ871">
        <v>76.155878814327906</v>
      </c>
      <c r="AK871">
        <v>114.849900365926</v>
      </c>
      <c r="AL871">
        <v>87.311974938073703</v>
      </c>
      <c r="AM871">
        <v>85.835914168639405</v>
      </c>
      <c r="AN871">
        <v>1.0000000084510701</v>
      </c>
    </row>
    <row r="872" spans="1:40" x14ac:dyDescent="0.25">
      <c r="A872" t="str">
        <f>"20190312154815094"</f>
        <v>20190312154815094</v>
      </c>
      <c r="B872" t="str">
        <f>"1552376895086446"</f>
        <v>1552376895086446</v>
      </c>
      <c r="C872" t="s">
        <v>40</v>
      </c>
      <c r="D872">
        <v>4.2977129999999999</v>
      </c>
      <c r="E872">
        <v>0.56618419999999903</v>
      </c>
      <c r="F872" t="s">
        <v>47</v>
      </c>
      <c r="G872">
        <v>-168.9821</v>
      </c>
      <c r="H872">
        <v>0.44953599999999999</v>
      </c>
      <c r="I872">
        <v>342.6046</v>
      </c>
      <c r="J872">
        <v>-279.60730000000001</v>
      </c>
      <c r="K872">
        <v>1.0635220000000001</v>
      </c>
      <c r="L872">
        <v>368.13330000000002</v>
      </c>
      <c r="M872">
        <v>0.99976739999999997</v>
      </c>
      <c r="N872">
        <v>0</v>
      </c>
      <c r="O872">
        <v>1.78567E-2</v>
      </c>
      <c r="P872">
        <v>0.99788010000000005</v>
      </c>
      <c r="Q872">
        <v>3.442916E-2</v>
      </c>
      <c r="R872">
        <v>-5.5231130000000003E-2</v>
      </c>
      <c r="S872">
        <v>2.9692690000000002</v>
      </c>
      <c r="T872">
        <v>-1.6438359999999999E-2</v>
      </c>
      <c r="U872">
        <v>-0.68411250000000001</v>
      </c>
      <c r="V872">
        <v>7.3043880000000005E-2</v>
      </c>
      <c r="W872">
        <v>4.6489950000000002E-2</v>
      </c>
      <c r="X872">
        <v>0.99624460000000004</v>
      </c>
      <c r="Y872">
        <v>0.24187819999999999</v>
      </c>
      <c r="Z872">
        <v>-7.5850889999999995E-4</v>
      </c>
      <c r="AA872">
        <v>0.97030629999999995</v>
      </c>
      <c r="AB872">
        <v>33</v>
      </c>
      <c r="AC872">
        <v>110.62520000000001</v>
      </c>
      <c r="AD872">
        <v>-0.61398599999999903</v>
      </c>
      <c r="AE872">
        <v>-25.528700000000001</v>
      </c>
      <c r="AF872">
        <v>27.499370262872301</v>
      </c>
      <c r="AG872">
        <v>-0.61398599999999903</v>
      </c>
      <c r="AH872">
        <v>110.14844578719099</v>
      </c>
      <c r="AI872">
        <v>90.309862496828799</v>
      </c>
      <c r="AJ872">
        <v>75.982234994849705</v>
      </c>
      <c r="AK872">
        <v>113.53093170143801</v>
      </c>
      <c r="AL872">
        <v>87.335361668617097</v>
      </c>
      <c r="AM872">
        <v>85.806621349933195</v>
      </c>
      <c r="AN872">
        <v>1.0000000134428</v>
      </c>
    </row>
    <row r="873" spans="1:40" x14ac:dyDescent="0.25">
      <c r="A873" t="str">
        <f>"20190312154815105"</f>
        <v>20190312154815105</v>
      </c>
      <c r="B873" t="str">
        <f>"1552376895097182"</f>
        <v>1552376895097182</v>
      </c>
      <c r="C873" t="s">
        <v>40</v>
      </c>
      <c r="D873">
        <v>4.2656989999999997</v>
      </c>
      <c r="E873">
        <v>0.56639030000000001</v>
      </c>
      <c r="F873" t="s">
        <v>47</v>
      </c>
      <c r="G873">
        <v>-168.98220000000001</v>
      </c>
      <c r="H873">
        <v>0.58588580000000001</v>
      </c>
      <c r="I873">
        <v>342.48950000000002</v>
      </c>
      <c r="J873">
        <v>-279.4511</v>
      </c>
      <c r="K873">
        <v>1.0641499999999999</v>
      </c>
      <c r="L873">
        <v>368.1361</v>
      </c>
      <c r="M873">
        <v>0.99977830000000001</v>
      </c>
      <c r="N873">
        <v>0</v>
      </c>
      <c r="O873">
        <v>1.7857459999999999E-2</v>
      </c>
      <c r="P873">
        <v>0.99782230000000005</v>
      </c>
      <c r="Q873">
        <v>3.4969680000000003E-2</v>
      </c>
      <c r="R873">
        <v>-5.5931069999999999E-2</v>
      </c>
      <c r="S873">
        <v>2.9687190000000001</v>
      </c>
      <c r="T873">
        <v>-1.281762E-2</v>
      </c>
      <c r="U873">
        <v>-0.68817139999999999</v>
      </c>
      <c r="V873">
        <v>7.374327E-2</v>
      </c>
      <c r="W873">
        <v>4.6090300000000001E-2</v>
      </c>
      <c r="X873">
        <v>0.99621159999999997</v>
      </c>
      <c r="Y873">
        <v>0.24317859999999999</v>
      </c>
      <c r="Z873">
        <v>-5.9422979999999999E-4</v>
      </c>
      <c r="AA873">
        <v>0.96998130000000005</v>
      </c>
      <c r="AB873">
        <v>33</v>
      </c>
      <c r="AC873">
        <v>110.4689</v>
      </c>
      <c r="AD873">
        <v>-0.47826419999999897</v>
      </c>
      <c r="AE873">
        <v>-25.6465999999999</v>
      </c>
      <c r="AF873">
        <v>27.614835561137799</v>
      </c>
      <c r="AG873">
        <v>-0.47826419999999897</v>
      </c>
      <c r="AH873">
        <v>109.99131490538301</v>
      </c>
      <c r="AI873">
        <v>90.241632951734402</v>
      </c>
      <c r="AJ873">
        <v>75.906405967856699</v>
      </c>
      <c r="AK873">
        <v>113.40589594165201</v>
      </c>
      <c r="AL873">
        <v>87.358284381138304</v>
      </c>
      <c r="AM873">
        <v>85.766475604018197</v>
      </c>
      <c r="AN873">
        <v>0.99999996879947095</v>
      </c>
    </row>
    <row r="874" spans="1:40" x14ac:dyDescent="0.25">
      <c r="A874" t="str">
        <f>"20190312154815116"</f>
        <v>20190312154815116</v>
      </c>
      <c r="B874" t="str">
        <f>"1552376895106942"</f>
        <v>1552376895106942</v>
      </c>
      <c r="C874" t="s">
        <v>40</v>
      </c>
      <c r="D874">
        <v>4.2889520000000001</v>
      </c>
      <c r="E874">
        <v>0.56662630000000003</v>
      </c>
      <c r="F874" t="s">
        <v>47</v>
      </c>
      <c r="G874">
        <v>-168.98220000000001</v>
      </c>
      <c r="H874">
        <v>0.68138949999999998</v>
      </c>
      <c r="I874">
        <v>342.37560000000002</v>
      </c>
      <c r="J874">
        <v>-279.27789999999999</v>
      </c>
      <c r="K874">
        <v>1.064951</v>
      </c>
      <c r="L874">
        <v>368.13920000000002</v>
      </c>
      <c r="M874">
        <v>0.99978860000000003</v>
      </c>
      <c r="N874">
        <v>0</v>
      </c>
      <c r="O874">
        <v>1.7857930000000001E-2</v>
      </c>
      <c r="P874">
        <v>0.9977741</v>
      </c>
      <c r="Q874">
        <v>3.5784620000000003E-2</v>
      </c>
      <c r="R874">
        <v>-5.627617E-2</v>
      </c>
      <c r="S874">
        <v>2.9681090000000001</v>
      </c>
      <c r="T874">
        <v>-1.028395E-2</v>
      </c>
      <c r="U874">
        <v>-0.6921387</v>
      </c>
      <c r="V874">
        <v>7.4087769999999997E-2</v>
      </c>
      <c r="W874">
        <v>4.5936930000000001E-2</v>
      </c>
      <c r="X874">
        <v>0.9961932</v>
      </c>
      <c r="Y874">
        <v>0.24445339999999999</v>
      </c>
      <c r="Z874">
        <v>-4.7897309999999998E-4</v>
      </c>
      <c r="AA874">
        <v>0.96966090000000005</v>
      </c>
      <c r="AB874">
        <v>33</v>
      </c>
      <c r="AC874">
        <v>110.295699999999</v>
      </c>
      <c r="AD874">
        <v>-0.383561499999999</v>
      </c>
      <c r="AE874">
        <v>-25.7636</v>
      </c>
      <c r="AF874">
        <v>27.728928348406001</v>
      </c>
      <c r="AG874">
        <v>-0.383561499999999</v>
      </c>
      <c r="AH874">
        <v>109.81674199461401</v>
      </c>
      <c r="AI874">
        <v>90.194028789615402</v>
      </c>
      <c r="AJ874">
        <v>75.828923855319502</v>
      </c>
      <c r="AK874">
        <v>113.26410468055199</v>
      </c>
      <c r="AL874">
        <v>87.367081354547594</v>
      </c>
      <c r="AM874">
        <v>85.746692355272799</v>
      </c>
      <c r="AN874">
        <v>1.00000004546381</v>
      </c>
    </row>
    <row r="875" spans="1:40" x14ac:dyDescent="0.25">
      <c r="A875" t="str">
        <f>"20190312154815130"</f>
        <v>20190312154815130</v>
      </c>
      <c r="B875" t="str">
        <f>"1552376895116702"</f>
        <v>1552376895116702</v>
      </c>
      <c r="C875" t="s">
        <v>40</v>
      </c>
      <c r="D875">
        <v>4.2938159999999996</v>
      </c>
      <c r="E875">
        <v>0.5668415</v>
      </c>
      <c r="F875" t="s">
        <v>47</v>
      </c>
      <c r="G875">
        <v>-168.98230000000001</v>
      </c>
      <c r="H875">
        <v>0.81592519999999902</v>
      </c>
      <c r="I875">
        <v>342.31380000000001</v>
      </c>
      <c r="J875">
        <v>-279.09480000000002</v>
      </c>
      <c r="K875">
        <v>1.0658209999999999</v>
      </c>
      <c r="L875">
        <v>368.14240000000001</v>
      </c>
      <c r="M875">
        <v>0.99979850000000003</v>
      </c>
      <c r="N875">
        <v>0</v>
      </c>
      <c r="O875">
        <v>1.785807E-2</v>
      </c>
      <c r="P875">
        <v>0.99770970000000003</v>
      </c>
      <c r="Q875">
        <v>3.6732130000000002E-2</v>
      </c>
      <c r="R875">
        <v>-5.6799509999999998E-2</v>
      </c>
      <c r="S875">
        <v>2.967743</v>
      </c>
      <c r="T875">
        <v>-6.7003969999999899E-3</v>
      </c>
      <c r="U875">
        <v>-0.69488530000000004</v>
      </c>
      <c r="V875">
        <v>7.4610099999999999E-2</v>
      </c>
      <c r="W875">
        <v>4.5871200000000001E-2</v>
      </c>
      <c r="X875">
        <v>0.99615719999999996</v>
      </c>
      <c r="Y875">
        <v>0.24533150000000001</v>
      </c>
      <c r="Z875">
        <v>-3.1305349999999999E-4</v>
      </c>
      <c r="AA875">
        <v>0.96943919999999995</v>
      </c>
      <c r="AB875">
        <v>33</v>
      </c>
      <c r="AC875">
        <v>110.1125</v>
      </c>
      <c r="AD875">
        <v>-0.2498958</v>
      </c>
      <c r="AE875">
        <v>-25.828599999999899</v>
      </c>
      <c r="AF875">
        <v>27.790824521655601</v>
      </c>
      <c r="AG875">
        <v>-0.2498958</v>
      </c>
      <c r="AH875">
        <v>109.633135555403</v>
      </c>
      <c r="AI875">
        <v>90.126594788488205</v>
      </c>
      <c r="AJ875">
        <v>75.775750640446006</v>
      </c>
      <c r="AK875">
        <v>113.10091417496901</v>
      </c>
      <c r="AL875">
        <v>87.370851261988605</v>
      </c>
      <c r="AM875">
        <v>85.716662883406798</v>
      </c>
      <c r="AN875">
        <v>1.0000000005616401</v>
      </c>
    </row>
    <row r="876" spans="1:40" x14ac:dyDescent="0.25">
      <c r="A876" t="str">
        <f>"20190312154815150"</f>
        <v>20190312154815150</v>
      </c>
      <c r="B876" t="str">
        <f>"1552376895146957"</f>
        <v>1552376895146957</v>
      </c>
      <c r="C876" t="s">
        <v>40</v>
      </c>
      <c r="D876">
        <v>4.2834019999999997</v>
      </c>
      <c r="E876">
        <v>0.56695660000000003</v>
      </c>
      <c r="F876" t="s">
        <v>47</v>
      </c>
      <c r="G876">
        <v>-168.98230000000001</v>
      </c>
      <c r="H876">
        <v>0.94360880000000003</v>
      </c>
      <c r="I876">
        <v>342.2278</v>
      </c>
      <c r="J876">
        <v>-278.79020000000003</v>
      </c>
      <c r="K876">
        <v>1.067323</v>
      </c>
      <c r="L876">
        <v>368.14789999999999</v>
      </c>
      <c r="M876">
        <v>0.99981220000000004</v>
      </c>
      <c r="N876">
        <v>0</v>
      </c>
      <c r="O876">
        <v>1.785728E-2</v>
      </c>
      <c r="P876">
        <v>0.99760910000000003</v>
      </c>
      <c r="Q876">
        <v>3.8516010000000003E-2</v>
      </c>
      <c r="R876">
        <v>-5.7384079999999997E-2</v>
      </c>
      <c r="S876">
        <v>2.9672550000000002</v>
      </c>
      <c r="T876">
        <v>-3.2931570000000001E-3</v>
      </c>
      <c r="U876">
        <v>-0.69833369999999995</v>
      </c>
      <c r="V876">
        <v>7.5191620000000001E-2</v>
      </c>
      <c r="W876">
        <v>4.6017910000000002E-2</v>
      </c>
      <c r="X876">
        <v>0.99610670000000001</v>
      </c>
      <c r="Y876">
        <v>0.24643409999999999</v>
      </c>
      <c r="Z876">
        <v>-1.544688E-4</v>
      </c>
      <c r="AA876">
        <v>0.96915949999999995</v>
      </c>
      <c r="AB876">
        <v>33</v>
      </c>
      <c r="AC876">
        <v>109.8079</v>
      </c>
      <c r="AD876">
        <v>-0.1237142</v>
      </c>
      <c r="AE876">
        <v>-25.920099999999898</v>
      </c>
      <c r="AF876">
        <v>27.8768591787113</v>
      </c>
      <c r="AG876">
        <v>-0.1237142</v>
      </c>
      <c r="AH876">
        <v>109.327382655942</v>
      </c>
      <c r="AI876">
        <v>90.062825318829596</v>
      </c>
      <c r="AJ876">
        <v>75.695246994803298</v>
      </c>
      <c r="AK876">
        <v>112.82557857716399</v>
      </c>
      <c r="AL876">
        <v>87.362436491564395</v>
      </c>
      <c r="AM876">
        <v>85.683185729666704</v>
      </c>
      <c r="AN876">
        <v>0.99999999277194096</v>
      </c>
    </row>
    <row r="877" spans="1:40" x14ac:dyDescent="0.25">
      <c r="A877" t="str">
        <f>"20190312154815163"</f>
        <v>20190312154815163</v>
      </c>
      <c r="B877" t="str">
        <f>"1552376895156717"</f>
        <v>1552376895156717</v>
      </c>
      <c r="C877" t="s">
        <v>40</v>
      </c>
      <c r="D877">
        <v>4.282222</v>
      </c>
      <c r="E877">
        <v>0.56702439999999998</v>
      </c>
      <c r="F877" t="s">
        <v>47</v>
      </c>
      <c r="G877">
        <v>-168.98240000000001</v>
      </c>
      <c r="H877">
        <v>1.2433449999999999</v>
      </c>
      <c r="I877">
        <v>342.19819999999999</v>
      </c>
      <c r="J877">
        <v>-278.60320000000002</v>
      </c>
      <c r="K877">
        <v>1.0682590000000001</v>
      </c>
      <c r="L877">
        <v>368.15120000000002</v>
      </c>
      <c r="M877">
        <v>0.99981900000000001</v>
      </c>
      <c r="N877">
        <v>0</v>
      </c>
      <c r="O877">
        <v>1.7856919999999998E-2</v>
      </c>
      <c r="P877">
        <v>0.99756520000000004</v>
      </c>
      <c r="Q877">
        <v>3.9601570000000003E-2</v>
      </c>
      <c r="R877">
        <v>-5.7406169999999999E-2</v>
      </c>
      <c r="S877">
        <v>2.966675</v>
      </c>
      <c r="T877">
        <v>4.7557349999999997E-3</v>
      </c>
      <c r="U877">
        <v>-0.70108029999999999</v>
      </c>
      <c r="V877">
        <v>7.5212420000000002E-2</v>
      </c>
      <c r="W877">
        <v>4.6130320000000002E-2</v>
      </c>
      <c r="X877">
        <v>0.99609990000000004</v>
      </c>
      <c r="Y877">
        <v>0.24732560000000001</v>
      </c>
      <c r="Z877">
        <v>2.2379569999999999E-4</v>
      </c>
      <c r="AA877">
        <v>0.96893240000000003</v>
      </c>
      <c r="AB877">
        <v>33</v>
      </c>
      <c r="AC877">
        <v>109.6208</v>
      </c>
      <c r="AD877">
        <v>0.17508599999999999</v>
      </c>
      <c r="AE877">
        <v>-25.952999999999999</v>
      </c>
      <c r="AF877">
        <v>27.9063263078102</v>
      </c>
      <c r="AG877">
        <v>0.17508599999999999</v>
      </c>
      <c r="AH877">
        <v>109.13960620988701</v>
      </c>
      <c r="AI877">
        <v>89.9109489212683</v>
      </c>
      <c r="AJ877">
        <v>75.657126797438195</v>
      </c>
      <c r="AK877">
        <v>112.650997983838</v>
      </c>
      <c r="AL877">
        <v>87.355988946220407</v>
      </c>
      <c r="AM877">
        <v>85.681966734025195</v>
      </c>
      <c r="AN877">
        <v>0.99999996266278302</v>
      </c>
    </row>
    <row r="878" spans="1:40" x14ac:dyDescent="0.25">
      <c r="A878" t="str">
        <f>"20190312154815177"</f>
        <v>20190312154815177</v>
      </c>
      <c r="B878" t="str">
        <f>"1552376895166478"</f>
        <v>1552376895166478</v>
      </c>
      <c r="C878" t="s">
        <v>40</v>
      </c>
      <c r="D878">
        <v>4.3878490000000001</v>
      </c>
      <c r="E878">
        <v>0.56725879999999995</v>
      </c>
      <c r="F878" t="s">
        <v>47</v>
      </c>
      <c r="G878">
        <v>-168.98249999999999</v>
      </c>
      <c r="H878">
        <v>1.388485</v>
      </c>
      <c r="I878">
        <v>342.21929999999998</v>
      </c>
      <c r="J878">
        <v>-278.40870000000001</v>
      </c>
      <c r="K878">
        <v>1.0693440000000001</v>
      </c>
      <c r="L878">
        <v>368.15469999999999</v>
      </c>
      <c r="M878">
        <v>0.99982249999999995</v>
      </c>
      <c r="N878">
        <v>0</v>
      </c>
      <c r="O878">
        <v>1.7856170000000001E-2</v>
      </c>
      <c r="P878">
        <v>0.99752470000000004</v>
      </c>
      <c r="Q878">
        <v>4.0445460000000003E-2</v>
      </c>
      <c r="R878">
        <v>-5.7522589999999998E-2</v>
      </c>
      <c r="S878">
        <v>2.9666139999999999</v>
      </c>
      <c r="T878">
        <v>8.666277E-3</v>
      </c>
      <c r="U878">
        <v>-0.70178219999999902</v>
      </c>
      <c r="V878">
        <v>7.5327439999999996E-2</v>
      </c>
      <c r="W878">
        <v>4.6432309999999997E-2</v>
      </c>
      <c r="X878">
        <v>0.9960772</v>
      </c>
      <c r="Y878">
        <v>0.2475456</v>
      </c>
      <c r="Z878">
        <v>4.081294E-4</v>
      </c>
      <c r="AA878">
        <v>0.96887619999999997</v>
      </c>
      <c r="AB878">
        <v>33</v>
      </c>
      <c r="AC878">
        <v>109.42619999999999</v>
      </c>
      <c r="AD878">
        <v>0.31914099999999901</v>
      </c>
      <c r="AE878">
        <v>-25.935400000000001</v>
      </c>
      <c r="AF878">
        <v>27.885008414342899</v>
      </c>
      <c r="AG878">
        <v>0.31914099999999901</v>
      </c>
      <c r="AH878">
        <v>108.944760433152</v>
      </c>
      <c r="AI878">
        <v>89.837400838695601</v>
      </c>
      <c r="AJ878">
        <v>75.643057419187599</v>
      </c>
      <c r="AK878">
        <v>112.457264643431</v>
      </c>
      <c r="AL878">
        <v>87.338667693131498</v>
      </c>
      <c r="AM878">
        <v>85.675290151923093</v>
      </c>
      <c r="AN878">
        <v>0.99999998549436397</v>
      </c>
    </row>
    <row r="879" spans="1:40" x14ac:dyDescent="0.25">
      <c r="A879" t="str">
        <f>"20190312154815190"</f>
        <v>20190312154815190</v>
      </c>
      <c r="B879" t="str">
        <f>"1552376895177214"</f>
        <v>1552376895177214</v>
      </c>
      <c r="C879" t="s">
        <v>40</v>
      </c>
      <c r="D879">
        <v>4.2638730000000002</v>
      </c>
      <c r="E879">
        <v>0.56736119999999901</v>
      </c>
      <c r="F879" t="s">
        <v>47</v>
      </c>
      <c r="G879">
        <v>-168.98249999999999</v>
      </c>
      <c r="H879">
        <v>1.446183</v>
      </c>
      <c r="I879">
        <v>342.18610000000001</v>
      </c>
      <c r="J879">
        <v>-278.21510000000001</v>
      </c>
      <c r="K879">
        <v>1.070562</v>
      </c>
      <c r="L879">
        <v>368.15809999999999</v>
      </c>
      <c r="M879">
        <v>0.99982409999999999</v>
      </c>
      <c r="N879">
        <v>0</v>
      </c>
      <c r="O879">
        <v>1.7855469999999998E-2</v>
      </c>
      <c r="P879">
        <v>0.99750450000000002</v>
      </c>
      <c r="Q879">
        <v>4.070791E-2</v>
      </c>
      <c r="R879">
        <v>-5.7688919999999998E-2</v>
      </c>
      <c r="S879">
        <v>2.966431</v>
      </c>
      <c r="T879">
        <v>1.021588E-2</v>
      </c>
      <c r="U879">
        <v>-0.70397949999999998</v>
      </c>
      <c r="V879">
        <v>7.5492550000000005E-2</v>
      </c>
      <c r="W879">
        <v>4.6432790000000002E-2</v>
      </c>
      <c r="X879">
        <v>0.99606470000000003</v>
      </c>
      <c r="Y879">
        <v>0.24823729999999999</v>
      </c>
      <c r="Z879">
        <v>4.8226669999999999E-4</v>
      </c>
      <c r="AA879">
        <v>0.96869919999999998</v>
      </c>
      <c r="AB879">
        <v>33</v>
      </c>
      <c r="AC879">
        <v>109.23260000000001</v>
      </c>
      <c r="AD879">
        <v>0.37562099999999998</v>
      </c>
      <c r="AE879">
        <v>-25.971999999999898</v>
      </c>
      <c r="AF879">
        <v>27.917978451574601</v>
      </c>
      <c r="AG879">
        <v>0.37562099999999998</v>
      </c>
      <c r="AH879">
        <v>108.750218337267</v>
      </c>
      <c r="AI879">
        <v>89.808317784518593</v>
      </c>
      <c r="AJ879">
        <v>75.602141108506402</v>
      </c>
      <c r="AK879">
        <v>112.27717755787</v>
      </c>
      <c r="AL879">
        <v>87.338640220972906</v>
      </c>
      <c r="AM879">
        <v>85.665792730193004</v>
      </c>
      <c r="AN879">
        <v>1.00000000783938</v>
      </c>
    </row>
    <row r="880" spans="1:40" x14ac:dyDescent="0.25">
      <c r="A880" t="str">
        <f>"20190312154815206"</f>
        <v>20190312154815206</v>
      </c>
      <c r="B880" t="str">
        <f>"1552376895196734"</f>
        <v>1552376895196734</v>
      </c>
      <c r="C880" t="s">
        <v>40</v>
      </c>
      <c r="D880">
        <v>4.4285699999999997</v>
      </c>
      <c r="E880">
        <v>0.56726109999999996</v>
      </c>
      <c r="F880" t="s">
        <v>47</v>
      </c>
      <c r="G880">
        <v>-168.98249999999999</v>
      </c>
      <c r="H880">
        <v>1.39201</v>
      </c>
      <c r="I880">
        <v>342.19670000000002</v>
      </c>
      <c r="J880">
        <v>-277.98719999999997</v>
      </c>
      <c r="K880">
        <v>1.0722229999999999</v>
      </c>
      <c r="L880">
        <v>368.16219999999998</v>
      </c>
      <c r="M880">
        <v>0.99982360000000003</v>
      </c>
      <c r="N880">
        <v>0</v>
      </c>
      <c r="O880">
        <v>1.7855030000000001E-2</v>
      </c>
      <c r="P880">
        <v>0.99746990000000002</v>
      </c>
      <c r="Q880">
        <v>4.111546E-2</v>
      </c>
      <c r="R880">
        <v>-5.7995360000000003E-2</v>
      </c>
      <c r="S880">
        <v>2.96637</v>
      </c>
      <c r="T880">
        <v>8.7295769999999901E-3</v>
      </c>
      <c r="U880">
        <v>-0.70501709999999995</v>
      </c>
      <c r="V880">
        <v>7.5797920000000005E-2</v>
      </c>
      <c r="W880">
        <v>4.6926740000000002E-2</v>
      </c>
      <c r="X880">
        <v>0.99601839999999997</v>
      </c>
      <c r="Y880">
        <v>0.24856249999999999</v>
      </c>
      <c r="Z880">
        <v>4.1256490000000001E-4</v>
      </c>
      <c r="AA880">
        <v>0.96861580000000003</v>
      </c>
      <c r="AB880">
        <v>32</v>
      </c>
      <c r="AC880">
        <v>109.0047</v>
      </c>
      <c r="AD880">
        <v>0.31978699999999999</v>
      </c>
      <c r="AE880">
        <v>-25.965499999999899</v>
      </c>
      <c r="AF880">
        <v>27.907448554409498</v>
      </c>
      <c r="AG880">
        <v>0.31978699999999999</v>
      </c>
      <c r="AH880">
        <v>108.522816046077</v>
      </c>
      <c r="AI880">
        <v>89.836485551944307</v>
      </c>
      <c r="AJ880">
        <v>75.578443656234001</v>
      </c>
      <c r="AK880">
        <v>112.054136697907</v>
      </c>
      <c r="AL880">
        <v>87.310308195010805</v>
      </c>
      <c r="AM880">
        <v>85.648126410117499</v>
      </c>
      <c r="AN880">
        <v>1.0000000483709499</v>
      </c>
    </row>
    <row r="881" spans="1:40" x14ac:dyDescent="0.25">
      <c r="A881" t="str">
        <f>"20190312154815217"</f>
        <v>20190312154815217</v>
      </c>
      <c r="B881" t="str">
        <f>"1552376895206494"</f>
        <v>1552376895206494</v>
      </c>
      <c r="C881" t="s">
        <v>40</v>
      </c>
      <c r="D881">
        <v>4.3377780000000001</v>
      </c>
      <c r="E881">
        <v>0.54095950000000004</v>
      </c>
      <c r="F881" t="s">
        <v>47</v>
      </c>
      <c r="G881">
        <v>-168.98249999999999</v>
      </c>
      <c r="H881">
        <v>1.4436249999999999</v>
      </c>
      <c r="I881">
        <v>342.24779999999998</v>
      </c>
      <c r="J881">
        <v>-277.82299999999998</v>
      </c>
      <c r="K881">
        <v>1.0735570000000001</v>
      </c>
      <c r="L881">
        <v>368.1651</v>
      </c>
      <c r="M881">
        <v>0.99982309999999996</v>
      </c>
      <c r="N881">
        <v>0</v>
      </c>
      <c r="O881">
        <v>1.7854979999999999E-2</v>
      </c>
      <c r="P881">
        <v>0.99746780000000002</v>
      </c>
      <c r="Q881">
        <v>4.1085160000000003E-2</v>
      </c>
      <c r="R881">
        <v>-5.8051489999999997E-2</v>
      </c>
      <c r="S881">
        <v>2.9661870000000001</v>
      </c>
      <c r="T881">
        <v>1.0106560000000001E-2</v>
      </c>
      <c r="U881">
        <v>-0.70516969999999901</v>
      </c>
      <c r="V881">
        <v>7.5853950000000003E-2</v>
      </c>
      <c r="W881">
        <v>4.6972460000000001E-2</v>
      </c>
      <c r="X881">
        <v>0.99601189999999995</v>
      </c>
      <c r="Y881">
        <v>0.2486227</v>
      </c>
      <c r="Z881">
        <v>4.7776870000000002E-4</v>
      </c>
      <c r="AA881">
        <v>0.96860029999999997</v>
      </c>
      <c r="AB881">
        <v>32</v>
      </c>
      <c r="AC881">
        <v>108.84050000000001</v>
      </c>
      <c r="AD881">
        <v>0.37006800000000001</v>
      </c>
      <c r="AE881">
        <v>-25.917300000000001</v>
      </c>
      <c r="AF881">
        <v>27.856242478138199</v>
      </c>
      <c r="AG881">
        <v>0.37006800000000001</v>
      </c>
      <c r="AH881">
        <v>108.359202370563</v>
      </c>
      <c r="AI881">
        <v>89.810486331763101</v>
      </c>
      <c r="AJ881">
        <v>75.582972658941799</v>
      </c>
      <c r="AK881">
        <v>111.883081534743</v>
      </c>
      <c r="AL881">
        <v>87.307685527265704</v>
      </c>
      <c r="AM881">
        <v>85.644893554780495</v>
      </c>
      <c r="AN881">
        <v>0.99999996933533097</v>
      </c>
    </row>
    <row r="882" spans="1:40" x14ac:dyDescent="0.25">
      <c r="A882" t="str">
        <f>"20190312154815228"</f>
        <v>20190312154815228</v>
      </c>
      <c r="B882" t="str">
        <f>"1552376895217229"</f>
        <v>1552376895217229</v>
      </c>
      <c r="C882" t="s">
        <v>40</v>
      </c>
      <c r="D882">
        <v>4.2634339999999904</v>
      </c>
      <c r="E882">
        <v>0.53438509999999995</v>
      </c>
      <c r="F882" t="s">
        <v>48</v>
      </c>
      <c r="G882">
        <v>0</v>
      </c>
      <c r="H882">
        <v>0</v>
      </c>
      <c r="I882">
        <v>0</v>
      </c>
      <c r="J882">
        <v>-277.65690000000001</v>
      </c>
      <c r="K882">
        <v>1.0749249999999999</v>
      </c>
      <c r="L882">
        <v>368.16809999999998</v>
      </c>
      <c r="M882">
        <v>0.99982309999999996</v>
      </c>
      <c r="N882">
        <v>0</v>
      </c>
      <c r="O882">
        <v>1.7854729999999999E-2</v>
      </c>
      <c r="P882">
        <v>0.99745740000000005</v>
      </c>
      <c r="Q882">
        <v>4.1235689999999998E-2</v>
      </c>
      <c r="R882">
        <v>-5.8128569999999997E-2</v>
      </c>
      <c r="S882">
        <v>2.976807</v>
      </c>
      <c r="T882">
        <v>4.5416709999999999E-2</v>
      </c>
      <c r="U882">
        <v>-0.49710080000000001</v>
      </c>
      <c r="V882">
        <v>7.5930579999999998E-2</v>
      </c>
      <c r="W882">
        <v>4.7147260000000003E-2</v>
      </c>
      <c r="X882">
        <v>0.99599780000000004</v>
      </c>
      <c r="Y882">
        <v>0.18227280000000001</v>
      </c>
      <c r="Z882">
        <v>1.6514279999999999E-3</v>
      </c>
      <c r="AA882">
        <v>0.98324659999999997</v>
      </c>
      <c r="AB882">
        <v>32</v>
      </c>
      <c r="AC882">
        <v>2.976807</v>
      </c>
      <c r="AD882">
        <v>4.5416709999999999E-2</v>
      </c>
      <c r="AE882">
        <v>-0.49710080000000001</v>
      </c>
      <c r="AF882">
        <v>0.55004800797563502</v>
      </c>
      <c r="AG882">
        <v>4.5416709999999999E-2</v>
      </c>
      <c r="AH882">
        <v>2.9667848515413202</v>
      </c>
      <c r="AI882">
        <v>89.137655745449194</v>
      </c>
      <c r="AJ882">
        <v>79.496509727295006</v>
      </c>
      <c r="AK882">
        <v>3.0176858424892798</v>
      </c>
      <c r="AL882">
        <v>87.297659110778596</v>
      </c>
      <c r="AM882">
        <v>85.640449366528699</v>
      </c>
      <c r="AN882">
        <v>0.99999996735474095</v>
      </c>
    </row>
    <row r="883" spans="1:40" x14ac:dyDescent="0.25">
      <c r="A883" t="str">
        <f>"20190312154815240"</f>
        <v>20190312154815240</v>
      </c>
      <c r="B883" t="str">
        <f>"1552376895226990"</f>
        <v>1552376895226990</v>
      </c>
      <c r="C883" t="s">
        <v>40</v>
      </c>
      <c r="D883">
        <v>4.2929979999999999</v>
      </c>
      <c r="E883">
        <v>0.52828180000000002</v>
      </c>
      <c r="F883" t="s">
        <v>48</v>
      </c>
      <c r="G883">
        <v>0</v>
      </c>
      <c r="H883">
        <v>0</v>
      </c>
      <c r="I883">
        <v>0</v>
      </c>
      <c r="J883">
        <v>-277.49639999999999</v>
      </c>
      <c r="K883">
        <v>1.0762910000000001</v>
      </c>
      <c r="L883">
        <v>368.17099999999999</v>
      </c>
      <c r="M883">
        <v>0.99982349999999998</v>
      </c>
      <c r="N883">
        <v>0</v>
      </c>
      <c r="O883">
        <v>1.7854749999999999E-2</v>
      </c>
      <c r="P883">
        <v>0.99743590000000004</v>
      </c>
      <c r="Q883">
        <v>4.171627E-2</v>
      </c>
      <c r="R883">
        <v>-5.8150100000000003E-2</v>
      </c>
      <c r="S883">
        <v>2.9792179999999999</v>
      </c>
      <c r="T883">
        <v>5.9536810000000003E-2</v>
      </c>
      <c r="U883">
        <v>-0.44552609999999898</v>
      </c>
      <c r="V883">
        <v>7.5952039999999998E-2</v>
      </c>
      <c r="W883">
        <v>4.7558309999999999E-2</v>
      </c>
      <c r="X883">
        <v>0.99597659999999999</v>
      </c>
      <c r="Y883">
        <v>0.16549929999999999</v>
      </c>
      <c r="Z883">
        <v>1.99928E-3</v>
      </c>
      <c r="AA883">
        <v>0.98620790000000003</v>
      </c>
      <c r="AB883">
        <v>32</v>
      </c>
      <c r="AC883">
        <v>2.9792179999999999</v>
      </c>
      <c r="AD883">
        <v>5.9536810000000003E-2</v>
      </c>
      <c r="AE883">
        <v>-0.44552609999999898</v>
      </c>
      <c r="AF883">
        <v>0.49845446911667601</v>
      </c>
      <c r="AG883">
        <v>5.9536810000000003E-2</v>
      </c>
      <c r="AH883">
        <v>2.9696281632128101</v>
      </c>
      <c r="AI883">
        <v>88.867296477600505</v>
      </c>
      <c r="AJ883">
        <v>80.471678206832607</v>
      </c>
      <c r="AK883">
        <v>3.01175910678029</v>
      </c>
      <c r="AL883">
        <v>87.274081173737301</v>
      </c>
      <c r="AM883">
        <v>85.639129529816003</v>
      </c>
      <c r="AN883">
        <v>0.99999994648888701</v>
      </c>
    </row>
    <row r="884" spans="1:40" x14ac:dyDescent="0.25">
      <c r="A884" t="str">
        <f>"20190312154815251"</f>
        <v>20190312154815251</v>
      </c>
      <c r="B884" t="str">
        <f>"1552376895246511"</f>
        <v>1552376895246511</v>
      </c>
      <c r="C884" t="s">
        <v>40</v>
      </c>
      <c r="D884">
        <v>4.3732850000000001</v>
      </c>
      <c r="E884">
        <v>0.52189419999999997</v>
      </c>
      <c r="F884" t="s">
        <v>44</v>
      </c>
      <c r="G884">
        <v>-169.2955</v>
      </c>
      <c r="H884">
        <v>3.317205</v>
      </c>
      <c r="I884">
        <v>353.76010000000002</v>
      </c>
      <c r="J884">
        <v>-277.33940000000001</v>
      </c>
      <c r="K884">
        <v>1.07766299999999</v>
      </c>
      <c r="L884">
        <v>368.17380000000003</v>
      </c>
      <c r="M884">
        <v>0.99982369999999998</v>
      </c>
      <c r="N884">
        <v>0</v>
      </c>
      <c r="O884">
        <v>1.785513E-2</v>
      </c>
      <c r="P884">
        <v>0.99741139999999995</v>
      </c>
      <c r="Q884">
        <v>4.2355869999999997E-2</v>
      </c>
      <c r="R884">
        <v>-5.8108809999999997E-2</v>
      </c>
      <c r="S884">
        <v>2.9819640000000001</v>
      </c>
      <c r="T884">
        <v>6.1760900000000001E-2</v>
      </c>
      <c r="U884">
        <v>-0.3971558</v>
      </c>
      <c r="V884">
        <v>7.5910640000000001E-2</v>
      </c>
      <c r="W884">
        <v>4.813224E-2</v>
      </c>
      <c r="X884">
        <v>0.99595219999999995</v>
      </c>
      <c r="Y884">
        <v>0.14966299999999999</v>
      </c>
      <c r="Z884">
        <v>1.911137E-3</v>
      </c>
      <c r="AA884">
        <v>0.98873520000000004</v>
      </c>
      <c r="AB884">
        <v>32</v>
      </c>
      <c r="AC884">
        <v>108.04389999999999</v>
      </c>
      <c r="AD884">
        <v>2.2395420000000001</v>
      </c>
      <c r="AE884">
        <v>-14.4137</v>
      </c>
      <c r="AF884">
        <v>16.333677501135998</v>
      </c>
      <c r="AG884">
        <v>2.2395420000000001</v>
      </c>
      <c r="AH884">
        <v>107.723838149545</v>
      </c>
      <c r="AI884">
        <v>88.822466911654004</v>
      </c>
      <c r="AJ884">
        <v>81.378173028069796</v>
      </c>
      <c r="AK884">
        <v>108.978116494782</v>
      </c>
      <c r="AL884">
        <v>87.241159742487994</v>
      </c>
      <c r="AM884">
        <v>85.641391026503797</v>
      </c>
      <c r="AN884">
        <v>0.99999996123873203</v>
      </c>
    </row>
    <row r="885" spans="1:40" x14ac:dyDescent="0.25">
      <c r="A885" t="str">
        <f>"20190312154815262"</f>
        <v>20190312154815262</v>
      </c>
      <c r="B885" t="str">
        <f>"1552376895257246"</f>
        <v>1552376895257246</v>
      </c>
      <c r="C885" t="s">
        <v>40</v>
      </c>
      <c r="D885">
        <v>4.366384</v>
      </c>
      <c r="E885">
        <v>0.48504819999999998</v>
      </c>
      <c r="F885" t="s">
        <v>44</v>
      </c>
      <c r="G885">
        <v>-169.2955</v>
      </c>
      <c r="H885">
        <v>3.4953799999999999</v>
      </c>
      <c r="I885">
        <v>355.63229999999999</v>
      </c>
      <c r="J885">
        <v>-277.17009999999999</v>
      </c>
      <c r="K885">
        <v>1.0791770000000001</v>
      </c>
      <c r="L885">
        <v>368.17680000000001</v>
      </c>
      <c r="M885">
        <v>0.9998243</v>
      </c>
      <c r="N885">
        <v>0</v>
      </c>
      <c r="O885">
        <v>1.7855329999999999E-2</v>
      </c>
      <c r="P885">
        <v>0.99740859999999998</v>
      </c>
      <c r="Q885">
        <v>4.2668610000000003E-2</v>
      </c>
      <c r="R885">
        <v>-5.7928550000000002E-2</v>
      </c>
      <c r="S885">
        <v>2.984772</v>
      </c>
      <c r="T885">
        <v>6.6793080000000005E-2</v>
      </c>
      <c r="U885">
        <v>-0.346466099999999</v>
      </c>
      <c r="V885">
        <v>7.573067E-2</v>
      </c>
      <c r="W885">
        <v>4.8375609999999999E-2</v>
      </c>
      <c r="X885">
        <v>0.99595420000000001</v>
      </c>
      <c r="Y885">
        <v>0.13298460000000001</v>
      </c>
      <c r="Z885">
        <v>1.8810719999999999E-3</v>
      </c>
      <c r="AA885">
        <v>0.99111629999999995</v>
      </c>
      <c r="AB885">
        <v>32</v>
      </c>
      <c r="AC885">
        <v>107.8746</v>
      </c>
      <c r="AD885">
        <v>2.4162029999999999</v>
      </c>
      <c r="AE885">
        <v>-12.544499999999999</v>
      </c>
      <c r="AF885">
        <v>14.4615097606642</v>
      </c>
      <c r="AG885">
        <v>2.4162029999999999</v>
      </c>
      <c r="AH885">
        <v>107.580161417144</v>
      </c>
      <c r="AI885">
        <v>88.724844097386296</v>
      </c>
      <c r="AJ885">
        <v>82.343885731364097</v>
      </c>
      <c r="AK885">
        <v>108.574695173571</v>
      </c>
      <c r="AL885">
        <v>87.227199655472006</v>
      </c>
      <c r="AM885">
        <v>85.651693496460993</v>
      </c>
      <c r="AN885">
        <v>1.0000000512595699</v>
      </c>
    </row>
    <row r="886" spans="1:40" x14ac:dyDescent="0.25">
      <c r="A886" t="str">
        <f>"20190312154815273"</f>
        <v>20190312154815273</v>
      </c>
      <c r="B886" t="str">
        <f>"1552376895267006"</f>
        <v>1552376895267006</v>
      </c>
      <c r="C886" t="s">
        <v>40</v>
      </c>
      <c r="D886">
        <v>4.3650219999999997</v>
      </c>
      <c r="E886">
        <v>0.48465639999999999</v>
      </c>
      <c r="F886" t="s">
        <v>45</v>
      </c>
      <c r="G886">
        <v>-201.30760000000001</v>
      </c>
      <c r="H886" s="1">
        <v>-1.4675389999999999E-6</v>
      </c>
      <c r="I886">
        <v>366.9896</v>
      </c>
      <c r="J886">
        <v>-277.01229999999998</v>
      </c>
      <c r="K886">
        <v>1.0806260000000001</v>
      </c>
      <c r="L886">
        <v>368.17959999999999</v>
      </c>
      <c r="M886">
        <v>0.99982420000000005</v>
      </c>
      <c r="N886">
        <v>0</v>
      </c>
      <c r="O886">
        <v>1.7855490000000002E-2</v>
      </c>
      <c r="P886">
        <v>0.99740260000000003</v>
      </c>
      <c r="Q886">
        <v>4.2880500000000002E-2</v>
      </c>
      <c r="R886">
        <v>-5.7874809999999999E-2</v>
      </c>
      <c r="S886">
        <v>3.0069270000000001</v>
      </c>
      <c r="T886">
        <v>-4.2774920000000001E-2</v>
      </c>
      <c r="U886">
        <v>-4.705811E-2</v>
      </c>
      <c r="V886">
        <v>7.5676960000000001E-2</v>
      </c>
      <c r="W886">
        <v>4.8595180000000002E-2</v>
      </c>
      <c r="X886">
        <v>0.99594749999999999</v>
      </c>
      <c r="Y886">
        <v>3.3493889999999998E-2</v>
      </c>
      <c r="Z886">
        <v>-4.9218329999999998E-4</v>
      </c>
      <c r="AA886">
        <v>0.99943879999999996</v>
      </c>
      <c r="AB886">
        <v>32</v>
      </c>
      <c r="AC886">
        <v>75.704699999999903</v>
      </c>
      <c r="AD886">
        <v>-1.080627467539</v>
      </c>
      <c r="AE886">
        <v>-1.18999999999999</v>
      </c>
      <c r="AF886">
        <v>2.5410593078817598</v>
      </c>
      <c r="AG886">
        <v>-1.080627467539</v>
      </c>
      <c r="AH886">
        <v>75.655970826310195</v>
      </c>
      <c r="AI886">
        <v>90.817864022833106</v>
      </c>
      <c r="AJ886">
        <v>88.076328115396805</v>
      </c>
      <c r="AK886">
        <v>75.706344911118705</v>
      </c>
      <c r="AL886">
        <v>87.214604149207005</v>
      </c>
      <c r="AM886">
        <v>85.654736484357699</v>
      </c>
      <c r="AN886">
        <v>0.99999995827516097</v>
      </c>
    </row>
    <row r="887" spans="1:40" x14ac:dyDescent="0.25">
      <c r="A887" t="str">
        <f>"20190312154815285"</f>
        <v>20190312154815285</v>
      </c>
      <c r="B887" t="str">
        <f>"1552376895276765"</f>
        <v>1552376895276765</v>
      </c>
      <c r="C887" t="s">
        <v>40</v>
      </c>
      <c r="D887">
        <v>4.3182260000000001</v>
      </c>
      <c r="E887">
        <v>0.48436390000000001</v>
      </c>
      <c r="F887" t="s">
        <v>45</v>
      </c>
      <c r="G887">
        <v>-199.32660000000001</v>
      </c>
      <c r="H887" s="1">
        <v>-9.0460040000000004E-6</v>
      </c>
      <c r="I887">
        <v>367.04430000000002</v>
      </c>
      <c r="J887">
        <v>-276.84089999999998</v>
      </c>
      <c r="K887">
        <v>1.0822099999999999</v>
      </c>
      <c r="L887">
        <v>368.18259999999998</v>
      </c>
      <c r="M887">
        <v>0.99982389999999999</v>
      </c>
      <c r="N887">
        <v>0</v>
      </c>
      <c r="O887">
        <v>1.7855869999999999E-2</v>
      </c>
      <c r="P887">
        <v>0.99742629999999999</v>
      </c>
      <c r="Q887">
        <v>4.2633919999999999E-2</v>
      </c>
      <c r="R887">
        <v>-5.7647789999999997E-2</v>
      </c>
      <c r="S887">
        <v>3.00705</v>
      </c>
      <c r="T887">
        <v>-4.1829110000000003E-2</v>
      </c>
      <c r="U887">
        <v>-4.3945310000000001E-2</v>
      </c>
      <c r="V887">
        <v>7.5450699999999996E-2</v>
      </c>
      <c r="W887">
        <v>4.8381809999999997E-2</v>
      </c>
      <c r="X887">
        <v>0.9959751</v>
      </c>
      <c r="Y887">
        <v>3.2459599999999998E-2</v>
      </c>
      <c r="Z887">
        <v>-4.7409760000000003E-4</v>
      </c>
      <c r="AA887">
        <v>0.9994729</v>
      </c>
      <c r="AB887">
        <v>32</v>
      </c>
      <c r="AC887">
        <v>77.514299999999906</v>
      </c>
      <c r="AD887">
        <v>-1.082219046004</v>
      </c>
      <c r="AE887">
        <v>-1.1382999999999499</v>
      </c>
      <c r="AF887">
        <v>2.5217354089416602</v>
      </c>
      <c r="AG887">
        <v>-1.082219046004</v>
      </c>
      <c r="AH887">
        <v>77.466519028162494</v>
      </c>
      <c r="AI887">
        <v>90.799955005858806</v>
      </c>
      <c r="AJ887">
        <v>88.135532682001198</v>
      </c>
      <c r="AK887">
        <v>77.515107675064897</v>
      </c>
      <c r="AL887">
        <v>87.226843873344706</v>
      </c>
      <c r="AM887">
        <v>85.667798074954902</v>
      </c>
      <c r="AN887">
        <v>1.0000000037446799</v>
      </c>
    </row>
    <row r="888" spans="1:40" x14ac:dyDescent="0.25">
      <c r="A888" t="str">
        <f>"20190312154815296"</f>
        <v>20190312154815296</v>
      </c>
      <c r="B888" t="str">
        <f>"1552376895286526"</f>
        <v>1552376895286526</v>
      </c>
      <c r="C888" t="s">
        <v>40</v>
      </c>
      <c r="D888">
        <v>4.3302809999999896</v>
      </c>
      <c r="E888">
        <v>0.48428070000000001</v>
      </c>
      <c r="F888" t="s">
        <v>45</v>
      </c>
      <c r="G888">
        <v>-203.0898</v>
      </c>
      <c r="H888" s="1">
        <v>-2.4716230000000002E-6</v>
      </c>
      <c r="I888">
        <v>367.18049999999999</v>
      </c>
      <c r="J888">
        <v>-276.67989999999998</v>
      </c>
      <c r="K888">
        <v>1.0837060000000001</v>
      </c>
      <c r="L888">
        <v>368.18549999999999</v>
      </c>
      <c r="M888">
        <v>0.99982320000000002</v>
      </c>
      <c r="N888">
        <v>0</v>
      </c>
      <c r="O888">
        <v>1.785612E-2</v>
      </c>
      <c r="P888">
        <v>0.99743870000000001</v>
      </c>
      <c r="Q888">
        <v>4.2291250000000002E-2</v>
      </c>
      <c r="R888">
        <v>-5.7686609999999999E-2</v>
      </c>
      <c r="S888">
        <v>3.0072329999999998</v>
      </c>
      <c r="T888">
        <v>-4.4127699999999999E-2</v>
      </c>
      <c r="U888">
        <v>-4.0863040000000003E-2</v>
      </c>
      <c r="V888">
        <v>7.5490039999999994E-2</v>
      </c>
      <c r="W888">
        <v>4.817225E-2</v>
      </c>
      <c r="X888">
        <v>0.99598229999999999</v>
      </c>
      <c r="Y888">
        <v>3.1434320000000002E-2</v>
      </c>
      <c r="Z888">
        <v>-4.926024E-4</v>
      </c>
      <c r="AA888">
        <v>0.99950570000000005</v>
      </c>
      <c r="AB888">
        <v>32</v>
      </c>
      <c r="AC888">
        <v>73.590099999999893</v>
      </c>
      <c r="AD888">
        <v>-1.0837084716230001</v>
      </c>
      <c r="AE888">
        <v>-1.0049999999999899</v>
      </c>
      <c r="AF888">
        <v>2.3183935569248102</v>
      </c>
      <c r="AG888">
        <v>-1.0837084716230001</v>
      </c>
      <c r="AH888">
        <v>73.544475046923694</v>
      </c>
      <c r="AI888">
        <v>90.843796982473606</v>
      </c>
      <c r="AJ888">
        <v>88.194423290492395</v>
      </c>
      <c r="AK888">
        <v>73.588988188884898</v>
      </c>
      <c r="AL888">
        <v>87.238864857334505</v>
      </c>
      <c r="AM888">
        <v>85.665579085132094</v>
      </c>
      <c r="AN888">
        <v>1.0000000268612701</v>
      </c>
    </row>
    <row r="889" spans="1:40" x14ac:dyDescent="0.25">
      <c r="A889" t="str">
        <f>"20190312154815307"</f>
        <v>20190312154815307</v>
      </c>
      <c r="B889" t="str">
        <f>"1552376895297263"</f>
        <v>1552376895297263</v>
      </c>
      <c r="C889" t="s">
        <v>40</v>
      </c>
      <c r="D889">
        <v>4.3361419999999997</v>
      </c>
      <c r="E889">
        <v>0.48439769999999999</v>
      </c>
      <c r="F889" t="s">
        <v>45</v>
      </c>
      <c r="G889">
        <v>-207.6293</v>
      </c>
      <c r="H889" s="1">
        <v>-4.702343E-6</v>
      </c>
      <c r="I889">
        <v>367.25920000000002</v>
      </c>
      <c r="J889">
        <v>-276.52190000000002</v>
      </c>
      <c r="K889">
        <v>1.0851660000000001</v>
      </c>
      <c r="L889">
        <v>368.18830000000003</v>
      </c>
      <c r="M889">
        <v>0.99982219999999999</v>
      </c>
      <c r="N889">
        <v>0</v>
      </c>
      <c r="O889">
        <v>1.7856380000000002E-2</v>
      </c>
      <c r="P889">
        <v>0.99743499999999996</v>
      </c>
      <c r="Q889">
        <v>4.2373609999999999E-2</v>
      </c>
      <c r="R889">
        <v>-5.7688259999999998E-2</v>
      </c>
      <c r="S889">
        <v>3.0073850000000002</v>
      </c>
      <c r="T889">
        <v>-4.7199249999999998E-2</v>
      </c>
      <c r="U889">
        <v>-4.0344240000000003E-2</v>
      </c>
      <c r="V889">
        <v>7.5491959999999997E-2</v>
      </c>
      <c r="W889">
        <v>4.8403719999999997E-2</v>
      </c>
      <c r="X889">
        <v>0.99597089999999999</v>
      </c>
      <c r="Y889">
        <v>3.126077E-2</v>
      </c>
      <c r="Z889">
        <v>-5.2550269999999998E-4</v>
      </c>
      <c r="AA889">
        <v>0.99951109999999999</v>
      </c>
      <c r="AB889">
        <v>32</v>
      </c>
      <c r="AC889">
        <v>68.892600000000002</v>
      </c>
      <c r="AD889">
        <v>-1.0851707023429999</v>
      </c>
      <c r="AE889">
        <v>-0.92910000000000503</v>
      </c>
      <c r="AF889">
        <v>2.1586114070894098</v>
      </c>
      <c r="AG889">
        <v>-1.0851707023429999</v>
      </c>
      <c r="AH889">
        <v>68.847945819325005</v>
      </c>
      <c r="AI889">
        <v>90.902569019662906</v>
      </c>
      <c r="AJ889">
        <v>88.2041756104081</v>
      </c>
      <c r="AK889">
        <v>68.890324735776602</v>
      </c>
      <c r="AL889">
        <v>87.225587025722007</v>
      </c>
      <c r="AM889">
        <v>85.665419839926898</v>
      </c>
      <c r="AN889">
        <v>0.99999999489064495</v>
      </c>
    </row>
    <row r="890" spans="1:40" x14ac:dyDescent="0.25">
      <c r="A890" t="str">
        <f>"20190312154815318"</f>
        <v>20190312154815318</v>
      </c>
      <c r="B890" t="str">
        <f>"1552376895307022"</f>
        <v>1552376895307022</v>
      </c>
      <c r="C890" t="s">
        <v>40</v>
      </c>
      <c r="D890">
        <v>4.3124310000000001</v>
      </c>
      <c r="E890">
        <v>0.48445100000000002</v>
      </c>
      <c r="F890" t="s">
        <v>45</v>
      </c>
      <c r="G890">
        <v>-207.35210000000001</v>
      </c>
      <c r="H890" s="1">
        <v>-4.5776279999999999E-6</v>
      </c>
      <c r="I890">
        <v>367.23930000000001</v>
      </c>
      <c r="J890">
        <v>-276.35919999999999</v>
      </c>
      <c r="K890">
        <v>1.0866439999999999</v>
      </c>
      <c r="L890">
        <v>368.19119999999998</v>
      </c>
      <c r="M890">
        <v>0.99982090000000001</v>
      </c>
      <c r="N890">
        <v>0</v>
      </c>
      <c r="O890">
        <v>1.7856529999999999E-2</v>
      </c>
      <c r="P890">
        <v>0.99743709999999997</v>
      </c>
      <c r="Q890">
        <v>4.2224970000000001E-2</v>
      </c>
      <c r="R890">
        <v>-5.7764200000000002E-2</v>
      </c>
      <c r="S890">
        <v>3.0072939999999999</v>
      </c>
      <c r="T890">
        <v>-4.7179939999999997E-2</v>
      </c>
      <c r="U890">
        <v>-4.1259770000000001E-2</v>
      </c>
      <c r="V890">
        <v>7.5567910000000002E-2</v>
      </c>
      <c r="W890">
        <v>4.846992E-2</v>
      </c>
      <c r="X890">
        <v>0.99596189999999996</v>
      </c>
      <c r="Y890">
        <v>3.1565540000000003E-2</v>
      </c>
      <c r="Z890">
        <v>-5.2769600000000002E-4</v>
      </c>
      <c r="AA890">
        <v>0.99950150000000004</v>
      </c>
      <c r="AB890">
        <v>32</v>
      </c>
      <c r="AC890">
        <v>69.007099999999895</v>
      </c>
      <c r="AD890">
        <v>-1.0866485776279999</v>
      </c>
      <c r="AE890">
        <v>-0.951899999999966</v>
      </c>
      <c r="AF890">
        <v>2.1834584768339198</v>
      </c>
      <c r="AG890">
        <v>-1.0866485776279999</v>
      </c>
      <c r="AH890">
        <v>68.9620021517336</v>
      </c>
      <c r="AI890">
        <v>90.902294705181802</v>
      </c>
      <c r="AJ890">
        <v>88.186520506642793</v>
      </c>
      <c r="AK890">
        <v>69.005116019227401</v>
      </c>
      <c r="AL890">
        <v>87.221789530346499</v>
      </c>
      <c r="AM890">
        <v>85.661036546324794</v>
      </c>
      <c r="AN890">
        <v>0.99999997420909104</v>
      </c>
    </row>
    <row r="891" spans="1:40" x14ac:dyDescent="0.25">
      <c r="A891" t="str">
        <f>"20190312154815330"</f>
        <v>20190312154815330</v>
      </c>
      <c r="B891" t="str">
        <f>"1552376895326542"</f>
        <v>1552376895326542</v>
      </c>
      <c r="C891" t="s">
        <v>40</v>
      </c>
      <c r="D891">
        <v>4.3069110000000004</v>
      </c>
      <c r="E891">
        <v>0.48473539999999998</v>
      </c>
      <c r="F891" t="s">
        <v>45</v>
      </c>
      <c r="G891">
        <v>-206.46799999999999</v>
      </c>
      <c r="H891" s="1">
        <v>-4.1700050000000002E-6</v>
      </c>
      <c r="I891">
        <v>367.22019999999998</v>
      </c>
      <c r="J891">
        <v>-276.19560000000001</v>
      </c>
      <c r="K891">
        <v>1.088101</v>
      </c>
      <c r="L891">
        <v>368.19420000000002</v>
      </c>
      <c r="M891">
        <v>0.99981949999999997</v>
      </c>
      <c r="N891">
        <v>0</v>
      </c>
      <c r="O891">
        <v>1.7856710000000001E-2</v>
      </c>
      <c r="P891">
        <v>0.99744089999999996</v>
      </c>
      <c r="Q891">
        <v>4.2126629999999998E-2</v>
      </c>
      <c r="R891">
        <v>-5.7770559999999999E-2</v>
      </c>
      <c r="S891">
        <v>3.0072329999999998</v>
      </c>
      <c r="T891">
        <v>-4.675555E-2</v>
      </c>
      <c r="U891">
        <v>-4.1778559999999999E-2</v>
      </c>
      <c r="V891">
        <v>7.5574680000000005E-2</v>
      </c>
      <c r="W891">
        <v>4.8608999999999999E-2</v>
      </c>
      <c r="X891">
        <v>0.99595460000000002</v>
      </c>
      <c r="Y891">
        <v>3.1738509999999998E-2</v>
      </c>
      <c r="Z891">
        <v>-5.2430749999999996E-4</v>
      </c>
      <c r="AA891">
        <v>0.99949600000000005</v>
      </c>
      <c r="AB891">
        <v>32</v>
      </c>
      <c r="AC891">
        <v>69.727599999999995</v>
      </c>
      <c r="AD891">
        <v>-1.088105170005</v>
      </c>
      <c r="AE891">
        <v>-0.97400000000004605</v>
      </c>
      <c r="AF891">
        <v>2.2184363157204499</v>
      </c>
      <c r="AG891">
        <v>-1.088105170005</v>
      </c>
      <c r="AH891">
        <v>69.682123509981395</v>
      </c>
      <c r="AI891">
        <v>90.894163398439105</v>
      </c>
      <c r="AJ891">
        <v>88.176517677709995</v>
      </c>
      <c r="AK891">
        <v>69.725918921217499</v>
      </c>
      <c r="AL891">
        <v>87.213811406724304</v>
      </c>
      <c r="AM891">
        <v>85.660617626237197</v>
      </c>
      <c r="AN891">
        <v>0.99999996619963005</v>
      </c>
    </row>
    <row r="892" spans="1:40" x14ac:dyDescent="0.25">
      <c r="A892" t="str">
        <f>"20190312154815344"</f>
        <v>20190312154815344</v>
      </c>
      <c r="B892" t="str">
        <f>"1552376895337280"</f>
        <v>1552376895337280</v>
      </c>
      <c r="C892" t="s">
        <v>40</v>
      </c>
      <c r="D892">
        <v>4.2922019999999996</v>
      </c>
      <c r="E892">
        <v>0.4848363</v>
      </c>
      <c r="F892" t="s">
        <v>45</v>
      </c>
      <c r="G892">
        <v>-201.15029999999999</v>
      </c>
      <c r="H892" s="1">
        <v>-1.3483519999999901E-6</v>
      </c>
      <c r="I892">
        <v>367.08749999999998</v>
      </c>
      <c r="J892">
        <v>-276.0018</v>
      </c>
      <c r="K892">
        <v>1.089782</v>
      </c>
      <c r="L892">
        <v>368.19760000000002</v>
      </c>
      <c r="M892">
        <v>0.99981730000000002</v>
      </c>
      <c r="N892">
        <v>0</v>
      </c>
      <c r="O892">
        <v>1.785701E-2</v>
      </c>
      <c r="P892">
        <v>0.9974575</v>
      </c>
      <c r="Q892">
        <v>4.196134E-2</v>
      </c>
      <c r="R892">
        <v>-5.7600739999999997E-2</v>
      </c>
      <c r="S892">
        <v>3.0069270000000001</v>
      </c>
      <c r="T892">
        <v>-4.3598289999999998E-2</v>
      </c>
      <c r="U892">
        <v>-4.4342039999999999E-2</v>
      </c>
      <c r="V892">
        <v>7.5405459999999994E-2</v>
      </c>
      <c r="W892">
        <v>4.8757590000000003E-2</v>
      </c>
      <c r="X892">
        <v>0.99596019999999996</v>
      </c>
      <c r="Y892">
        <v>3.259285E-2</v>
      </c>
      <c r="Z892">
        <v>-4.9515159999999998E-4</v>
      </c>
      <c r="AA892">
        <v>0.99946860000000004</v>
      </c>
      <c r="AB892">
        <v>32</v>
      </c>
      <c r="AC892">
        <v>74.851500000000001</v>
      </c>
      <c r="AD892">
        <v>-1.0897833483519901</v>
      </c>
      <c r="AE892">
        <v>-1.1101000000000401</v>
      </c>
      <c r="AF892">
        <v>2.4460596616571602</v>
      </c>
      <c r="AG892">
        <v>-1.0897833483519901</v>
      </c>
      <c r="AH892">
        <v>74.8038880390081</v>
      </c>
      <c r="AI892">
        <v>90.834210928310696</v>
      </c>
      <c r="AJ892">
        <v>88.127116402672598</v>
      </c>
      <c r="AK892">
        <v>74.851803594617493</v>
      </c>
      <c r="AL892">
        <v>87.205287822597896</v>
      </c>
      <c r="AM892">
        <v>85.670321242699899</v>
      </c>
      <c r="AN892">
        <v>1.00000000298222</v>
      </c>
    </row>
    <row r="893" spans="1:40" x14ac:dyDescent="0.25">
      <c r="A893" t="str">
        <f>"20190312154815356"</f>
        <v>20190312154815356</v>
      </c>
      <c r="B893" t="str">
        <f>"1552376895347038"</f>
        <v>1552376895347038</v>
      </c>
      <c r="C893" t="s">
        <v>40</v>
      </c>
      <c r="D893">
        <v>4.2929329999999997</v>
      </c>
      <c r="E893">
        <v>0.48492859999999999</v>
      </c>
      <c r="F893" t="s">
        <v>45</v>
      </c>
      <c r="G893">
        <v>-199.48509999999999</v>
      </c>
      <c r="H893" s="1">
        <v>-9.1019339999999997E-6</v>
      </c>
      <c r="I893">
        <v>367.05610000000001</v>
      </c>
      <c r="J893">
        <v>-275.8229</v>
      </c>
      <c r="K893">
        <v>1.0912440000000001</v>
      </c>
      <c r="L893">
        <v>368.20080000000002</v>
      </c>
      <c r="M893">
        <v>0.99981520000000002</v>
      </c>
      <c r="N893">
        <v>0</v>
      </c>
      <c r="O893">
        <v>1.785689E-2</v>
      </c>
      <c r="P893">
        <v>0.99746230000000002</v>
      </c>
      <c r="Q893">
        <v>4.2010680000000002E-2</v>
      </c>
      <c r="R893">
        <v>-5.7482529999999997E-2</v>
      </c>
      <c r="S893">
        <v>3.0068969999999999</v>
      </c>
      <c r="T893">
        <v>-4.2825820000000001E-2</v>
      </c>
      <c r="U893">
        <v>-4.4860839999999999E-2</v>
      </c>
      <c r="V893">
        <v>7.5287389999999996E-2</v>
      </c>
      <c r="W893">
        <v>4.9121459999999999E-2</v>
      </c>
      <c r="X893">
        <v>0.99595120000000004</v>
      </c>
      <c r="Y893">
        <v>3.2765509999999998E-2</v>
      </c>
      <c r="Z893">
        <v>-4.8761220000000002E-4</v>
      </c>
      <c r="AA893">
        <v>0.99946299999999999</v>
      </c>
      <c r="AB893">
        <v>32</v>
      </c>
      <c r="AC893">
        <v>76.337800000000001</v>
      </c>
      <c r="AD893">
        <v>-1.0912531019339999</v>
      </c>
      <c r="AE893">
        <v>-1.1447000000000001</v>
      </c>
      <c r="AF893">
        <v>2.5071954979732598</v>
      </c>
      <c r="AG893">
        <v>-1.0912531019339999</v>
      </c>
      <c r="AH893">
        <v>76.2896000820068</v>
      </c>
      <c r="AI893">
        <v>90.819065806257996</v>
      </c>
      <c r="AJ893">
        <v>88.117698394706494</v>
      </c>
      <c r="AK893">
        <v>76.338587511625207</v>
      </c>
      <c r="AL893">
        <v>87.184414448882606</v>
      </c>
      <c r="AM893">
        <v>85.677036025733102</v>
      </c>
      <c r="AN893">
        <v>0.99999995085349003</v>
      </c>
    </row>
    <row r="894" spans="1:40" x14ac:dyDescent="0.25">
      <c r="A894" t="str">
        <f>"20190312154815369"</f>
        <v>20190312154815369</v>
      </c>
      <c r="B894" t="str">
        <f>"1552376895366558"</f>
        <v>1552376895366558</v>
      </c>
      <c r="C894" t="s">
        <v>40</v>
      </c>
      <c r="D894">
        <v>4.2716099999999999</v>
      </c>
      <c r="E894">
        <v>0.48514109999999999</v>
      </c>
      <c r="F894" t="s">
        <v>45</v>
      </c>
      <c r="G894">
        <v>-198.47389999999999</v>
      </c>
      <c r="H894" s="1">
        <v>-8.7366020000000008E-6</v>
      </c>
      <c r="I894">
        <v>367.03969999999998</v>
      </c>
      <c r="J894">
        <v>-275.6284</v>
      </c>
      <c r="K894">
        <v>1.0927830000000001</v>
      </c>
      <c r="L894">
        <v>368.20429999999999</v>
      </c>
      <c r="M894">
        <v>0.99981249999999999</v>
      </c>
      <c r="N894">
        <v>0</v>
      </c>
      <c r="O894">
        <v>1.7857069999999999E-2</v>
      </c>
      <c r="P894">
        <v>0.99746290000000004</v>
      </c>
      <c r="Q894">
        <v>4.1898650000000003E-2</v>
      </c>
      <c r="R894">
        <v>-5.7553470000000002E-2</v>
      </c>
      <c r="S894">
        <v>3.0068049999999999</v>
      </c>
      <c r="T894">
        <v>-4.2420510000000002E-2</v>
      </c>
      <c r="U894">
        <v>-4.5135500000000002E-2</v>
      </c>
      <c r="V894">
        <v>7.535849E-2</v>
      </c>
      <c r="W894">
        <v>4.9358630000000001E-2</v>
      </c>
      <c r="X894">
        <v>0.99593410000000004</v>
      </c>
      <c r="Y894">
        <v>3.2857549999999999E-2</v>
      </c>
      <c r="Z894">
        <v>-4.8366449999999998E-4</v>
      </c>
      <c r="AA894">
        <v>0.99945989999999996</v>
      </c>
      <c r="AB894">
        <v>32</v>
      </c>
      <c r="AC894">
        <v>77.154499999999999</v>
      </c>
      <c r="AD894">
        <v>-1.0927917366019999</v>
      </c>
      <c r="AE894">
        <v>-1.1646000000000001</v>
      </c>
      <c r="AF894">
        <v>2.5416964686205401</v>
      </c>
      <c r="AG894">
        <v>-1.0927917366019999</v>
      </c>
      <c r="AH894">
        <v>77.105935395775901</v>
      </c>
      <c r="AI894">
        <v>90.811535188360907</v>
      </c>
      <c r="AJ894">
        <v>88.112003087884602</v>
      </c>
      <c r="AK894">
        <v>77.155555133611401</v>
      </c>
      <c r="AL894">
        <v>87.170809113294098</v>
      </c>
      <c r="AM894">
        <v>85.672894985369197</v>
      </c>
      <c r="AN894">
        <v>0.99999995395668195</v>
      </c>
    </row>
    <row r="895" spans="1:40" x14ac:dyDescent="0.25">
      <c r="A895" t="str">
        <f>"20190312154815383"</f>
        <v>20190312154815383</v>
      </c>
      <c r="B895" t="str">
        <f>"1552376895377294"</f>
        <v>1552376895377294</v>
      </c>
      <c r="C895" t="s">
        <v>40</v>
      </c>
      <c r="D895">
        <v>4.2466749999999998</v>
      </c>
      <c r="E895">
        <v>0.48526609999999998</v>
      </c>
      <c r="F895" t="s">
        <v>45</v>
      </c>
      <c r="G895">
        <v>-195.63140000000001</v>
      </c>
      <c r="H895" s="1">
        <v>-7.7163549999999997E-6</v>
      </c>
      <c r="I895">
        <v>366.94740000000002</v>
      </c>
      <c r="J895">
        <v>-275.42790000000002</v>
      </c>
      <c r="K895">
        <v>1.0942810000000001</v>
      </c>
      <c r="L895">
        <v>368.2079</v>
      </c>
      <c r="M895">
        <v>0.99980959999999997</v>
      </c>
      <c r="N895">
        <v>0</v>
      </c>
      <c r="O895">
        <v>1.7856940000000002E-2</v>
      </c>
      <c r="P895">
        <v>0.99748179999999997</v>
      </c>
      <c r="Q895">
        <v>4.1598290000000003E-2</v>
      </c>
      <c r="R895">
        <v>-5.7444340000000003E-2</v>
      </c>
      <c r="S895">
        <v>3.0066220000000001</v>
      </c>
      <c r="T895">
        <v>-4.1071650000000001E-2</v>
      </c>
      <c r="U895">
        <v>-4.7241209999999999E-2</v>
      </c>
      <c r="V895">
        <v>7.5249490000000002E-2</v>
      </c>
      <c r="W895">
        <v>4.9426739999999997E-2</v>
      </c>
      <c r="X895">
        <v>0.99593900000000002</v>
      </c>
      <c r="Y895">
        <v>3.355843E-2</v>
      </c>
      <c r="Z895">
        <v>-4.730987E-4</v>
      </c>
      <c r="AA895">
        <v>0.99943660000000001</v>
      </c>
      <c r="AB895">
        <v>32</v>
      </c>
      <c r="AC895">
        <v>79.796499999999995</v>
      </c>
      <c r="AD895">
        <v>-1.0942887163549999</v>
      </c>
      <c r="AE895">
        <v>-1.26049999999997</v>
      </c>
      <c r="AF895">
        <v>2.6847596452992599</v>
      </c>
      <c r="AG895">
        <v>-1.0942887163549999</v>
      </c>
      <c r="AH895">
        <v>79.746273128006607</v>
      </c>
      <c r="AI895">
        <v>90.785725689565197</v>
      </c>
      <c r="AJ895">
        <v>88.071793025638001</v>
      </c>
      <c r="AK895">
        <v>79.798956634497401</v>
      </c>
      <c r="AL895">
        <v>87.166902030933102</v>
      </c>
      <c r="AM895">
        <v>85.679151253054002</v>
      </c>
      <c r="AN895">
        <v>0.99999999004664297</v>
      </c>
    </row>
    <row r="896" spans="1:40" x14ac:dyDescent="0.25">
      <c r="A896" t="str">
        <f>"20190312154815395"</f>
        <v>20190312154815395</v>
      </c>
      <c r="B896" t="str">
        <f>"1552376895387054"</f>
        <v>1552376895387054</v>
      </c>
      <c r="C896" t="s">
        <v>40</v>
      </c>
      <c r="D896">
        <v>4.2433860000000001</v>
      </c>
      <c r="E896">
        <v>0.48536170000000001</v>
      </c>
      <c r="F896" t="s">
        <v>45</v>
      </c>
      <c r="G896">
        <v>-195.53630000000001</v>
      </c>
      <c r="H896" s="1">
        <v>-7.6841830000000002E-6</v>
      </c>
      <c r="I896">
        <v>366.9307</v>
      </c>
      <c r="J896">
        <v>-275.24900000000002</v>
      </c>
      <c r="K896">
        <v>1.095515</v>
      </c>
      <c r="L896">
        <v>368.21109999999999</v>
      </c>
      <c r="M896">
        <v>0.99980709999999995</v>
      </c>
      <c r="N896">
        <v>0</v>
      </c>
      <c r="O896">
        <v>1.7856779999999999E-2</v>
      </c>
      <c r="P896">
        <v>0.99750300000000003</v>
      </c>
      <c r="Q896">
        <v>4.1538060000000002E-2</v>
      </c>
      <c r="R896">
        <v>-5.7119610000000001E-2</v>
      </c>
      <c r="S896">
        <v>3.0065309999999998</v>
      </c>
      <c r="T896">
        <v>-4.1180969999999997E-2</v>
      </c>
      <c r="U896">
        <v>-4.8065190000000001E-2</v>
      </c>
      <c r="V896">
        <v>7.4925050000000007E-2</v>
      </c>
      <c r="W896">
        <v>4.96944E-2</v>
      </c>
      <c r="X896">
        <v>0.99595020000000001</v>
      </c>
      <c r="Y896">
        <v>3.3832580000000001E-2</v>
      </c>
      <c r="Z896">
        <v>-4.7624709999999999E-4</v>
      </c>
      <c r="AA896">
        <v>0.99942739999999997</v>
      </c>
      <c r="AB896">
        <v>32</v>
      </c>
      <c r="AC896">
        <v>79.712699999999998</v>
      </c>
      <c r="AD896">
        <v>-1.0955226841829999</v>
      </c>
      <c r="AE896">
        <v>-1.28039999999998</v>
      </c>
      <c r="AF896">
        <v>2.7031451539028999</v>
      </c>
      <c r="AG896">
        <v>-1.0955226841829999</v>
      </c>
      <c r="AH896">
        <v>79.662082018638401</v>
      </c>
      <c r="AI896">
        <v>90.787435744582396</v>
      </c>
      <c r="AJ896">
        <v>88.056548333994201</v>
      </c>
      <c r="AK896">
        <v>79.715459449337004</v>
      </c>
      <c r="AL896">
        <v>87.151547540549203</v>
      </c>
      <c r="AM896">
        <v>85.697758798939205</v>
      </c>
      <c r="AN896">
        <v>1.00000004869445</v>
      </c>
    </row>
    <row r="897" spans="1:40" x14ac:dyDescent="0.25">
      <c r="A897" t="str">
        <f>"20190312154815407"</f>
        <v>20190312154815407</v>
      </c>
      <c r="B897" t="str">
        <f>"1552376895396864"</f>
        <v>1552376895396864</v>
      </c>
      <c r="C897" t="s">
        <v>40</v>
      </c>
      <c r="D897">
        <v>4.242788</v>
      </c>
      <c r="E897">
        <v>0.48547600000000002</v>
      </c>
      <c r="F897" t="s">
        <v>45</v>
      </c>
      <c r="G897">
        <v>-193.45840000000001</v>
      </c>
      <c r="H897" s="1">
        <v>-6.9319950000000004E-6</v>
      </c>
      <c r="I897">
        <v>366.9076</v>
      </c>
      <c r="J897">
        <v>-275.0779</v>
      </c>
      <c r="K897">
        <v>1.096654</v>
      </c>
      <c r="L897">
        <v>368.21409999999997</v>
      </c>
      <c r="M897">
        <v>0.99980449999999998</v>
      </c>
      <c r="N897">
        <v>0</v>
      </c>
      <c r="O897">
        <v>1.7856759999999999E-2</v>
      </c>
      <c r="P897">
        <v>0.99750700000000003</v>
      </c>
      <c r="Q897">
        <v>4.1440310000000001E-2</v>
      </c>
      <c r="R897">
        <v>-5.7120110000000002E-2</v>
      </c>
      <c r="S897">
        <v>3.0064700000000002</v>
      </c>
      <c r="T897">
        <v>-4.0269369999999999E-2</v>
      </c>
      <c r="U897">
        <v>-4.79126E-2</v>
      </c>
      <c r="V897">
        <v>7.4925699999999998E-2</v>
      </c>
      <c r="W897">
        <v>4.9907750000000001E-2</v>
      </c>
      <c r="X897">
        <v>0.99593940000000003</v>
      </c>
      <c r="Y897">
        <v>3.3782439999999997E-2</v>
      </c>
      <c r="Z897">
        <v>-4.6537999999999999E-4</v>
      </c>
      <c r="AA897">
        <v>0.99942909999999996</v>
      </c>
      <c r="AB897">
        <v>32</v>
      </c>
      <c r="AC897">
        <v>81.619499999999903</v>
      </c>
      <c r="AD897">
        <v>-1.096660931995</v>
      </c>
      <c r="AE897">
        <v>-1.30649999999997</v>
      </c>
      <c r="AF897">
        <v>2.76330529577189</v>
      </c>
      <c r="AG897">
        <v>-1.096660931995</v>
      </c>
      <c r="AH897">
        <v>81.568432539690207</v>
      </c>
      <c r="AI897">
        <v>90.769835056319096</v>
      </c>
      <c r="AJ897">
        <v>88.059724827036604</v>
      </c>
      <c r="AK897">
        <v>81.622593124326798</v>
      </c>
      <c r="AL897">
        <v>87.139308063542003</v>
      </c>
      <c r="AM897">
        <v>85.697675136809295</v>
      </c>
      <c r="AN897">
        <v>0.99999996625145504</v>
      </c>
    </row>
    <row r="898" spans="1:40" x14ac:dyDescent="0.25">
      <c r="A898" t="str">
        <f>"20190312154815419"</f>
        <v>20190312154815419</v>
      </c>
      <c r="B898" t="str">
        <f>"1552376895406624"</f>
        <v>1552376895406624</v>
      </c>
      <c r="C898" t="s">
        <v>40</v>
      </c>
      <c r="D898">
        <v>4.1953430000000003</v>
      </c>
      <c r="E898">
        <v>0.4857187</v>
      </c>
      <c r="F898" t="s">
        <v>45</v>
      </c>
      <c r="G898">
        <v>-193.75290000000001</v>
      </c>
      <c r="H898" s="1">
        <v>-7.0405489999999996E-6</v>
      </c>
      <c r="I898">
        <v>366.8974</v>
      </c>
      <c r="J898">
        <v>-274.90910000000002</v>
      </c>
      <c r="K898">
        <v>1.0976889999999999</v>
      </c>
      <c r="L898">
        <v>368.21710000000002</v>
      </c>
      <c r="M898">
        <v>0.99980179999999996</v>
      </c>
      <c r="N898">
        <v>0</v>
      </c>
      <c r="O898">
        <v>1.7856799999999999E-2</v>
      </c>
      <c r="P898">
        <v>0.99752320000000005</v>
      </c>
      <c r="Q898">
        <v>4.0876089999999997E-2</v>
      </c>
      <c r="R898">
        <v>-5.7243160000000001E-2</v>
      </c>
      <c r="S898">
        <v>3.0064090000000001</v>
      </c>
      <c r="T898">
        <v>-4.0541170000000001E-2</v>
      </c>
      <c r="U898">
        <v>-4.8675540000000003E-2</v>
      </c>
      <c r="V898">
        <v>7.5049019999999994E-2</v>
      </c>
      <c r="W898">
        <v>4.9643909999999999E-2</v>
      </c>
      <c r="X898">
        <v>0.99594329999999998</v>
      </c>
      <c r="Y898">
        <v>3.4036329999999997E-2</v>
      </c>
      <c r="Z898">
        <v>-4.702423E-4</v>
      </c>
      <c r="AA898">
        <v>0.99942050000000004</v>
      </c>
      <c r="AB898">
        <v>32</v>
      </c>
      <c r="AC898">
        <v>81.156199999999998</v>
      </c>
      <c r="AD898">
        <v>-1.0976960405489999</v>
      </c>
      <c r="AE898">
        <v>-1.3197000000000101</v>
      </c>
      <c r="AF898">
        <v>2.7682294517143</v>
      </c>
      <c r="AG898">
        <v>-1.0976960405489999</v>
      </c>
      <c r="AH898">
        <v>81.104858670818899</v>
      </c>
      <c r="AI898">
        <v>90.774958691381002</v>
      </c>
      <c r="AJ898">
        <v>88.045168693993304</v>
      </c>
      <c r="AK898">
        <v>81.159510415651795</v>
      </c>
      <c r="AL898">
        <v>87.154443740987801</v>
      </c>
      <c r="AM898">
        <v>85.690637417224593</v>
      </c>
      <c r="AN898">
        <v>0.99999996500896804</v>
      </c>
    </row>
    <row r="899" spans="1:40" x14ac:dyDescent="0.25">
      <c r="A899" t="str">
        <f>"20190312154815431"</f>
        <v>20190312154815431</v>
      </c>
      <c r="B899" t="str">
        <f>"1552376895427120"</f>
        <v>1552376895427120</v>
      </c>
      <c r="C899" t="s">
        <v>40</v>
      </c>
      <c r="D899">
        <v>4.155824</v>
      </c>
      <c r="E899">
        <v>0.48647689999999999</v>
      </c>
      <c r="F899" t="s">
        <v>45</v>
      </c>
      <c r="G899">
        <v>-190.7577</v>
      </c>
      <c r="H899" s="1">
        <v>-5.9940270000000002E-6</v>
      </c>
      <c r="I899">
        <v>366.78190000000001</v>
      </c>
      <c r="J899">
        <v>-274.74459999999999</v>
      </c>
      <c r="K899">
        <v>1.0986450000000001</v>
      </c>
      <c r="L899">
        <v>368.2201</v>
      </c>
      <c r="M899">
        <v>0.9997994</v>
      </c>
      <c r="N899">
        <v>0</v>
      </c>
      <c r="O899">
        <v>1.7856799999999999E-2</v>
      </c>
      <c r="P899">
        <v>0.99753720000000001</v>
      </c>
      <c r="Q899">
        <v>4.0599860000000002E-2</v>
      </c>
      <c r="R899">
        <v>-5.7200149999999998E-2</v>
      </c>
      <c r="S899">
        <v>3.0061040000000001</v>
      </c>
      <c r="T899">
        <v>-3.9212469999999999E-2</v>
      </c>
      <c r="U899">
        <v>-5.1269530000000001E-2</v>
      </c>
      <c r="V899">
        <v>7.5006139999999999E-2</v>
      </c>
      <c r="W899">
        <v>4.9652960000000003E-2</v>
      </c>
      <c r="X899">
        <v>0.99594609999999995</v>
      </c>
      <c r="Y899">
        <v>3.4900399999999998E-2</v>
      </c>
      <c r="Z899">
        <v>-4.6051060000000001E-4</v>
      </c>
      <c r="AA899">
        <v>0.99939069999999997</v>
      </c>
      <c r="AB899">
        <v>32</v>
      </c>
      <c r="AC899">
        <v>83.986899999999906</v>
      </c>
      <c r="AD899">
        <v>-1.0986509940269999</v>
      </c>
      <c r="AE899">
        <v>-1.4381999999999899</v>
      </c>
      <c r="AF899">
        <v>2.9372671837990501</v>
      </c>
      <c r="AG899">
        <v>-1.0986509940269999</v>
      </c>
      <c r="AH899">
        <v>83.933466529397293</v>
      </c>
      <c r="AI899">
        <v>90.749474195097093</v>
      </c>
      <c r="AJ899">
        <v>87.995741513049595</v>
      </c>
      <c r="AK899">
        <v>83.992031622988804</v>
      </c>
      <c r="AL899">
        <v>87.153924633097901</v>
      </c>
      <c r="AM899">
        <v>85.693102409800602</v>
      </c>
      <c r="AN899">
        <v>0.99999998578983496</v>
      </c>
    </row>
    <row r="900" spans="1:40" x14ac:dyDescent="0.25">
      <c r="A900" t="str">
        <f>"20190312154815441"</f>
        <v>20190312154815441</v>
      </c>
      <c r="B900" t="str">
        <f>"1552376895436880"</f>
        <v>1552376895436880</v>
      </c>
      <c r="C900" t="s">
        <v>40</v>
      </c>
      <c r="D900">
        <v>4.1272669999999998</v>
      </c>
      <c r="E900">
        <v>0.48647689999999999</v>
      </c>
      <c r="F900" t="s">
        <v>45</v>
      </c>
      <c r="G900">
        <v>-180</v>
      </c>
      <c r="H900">
        <v>4.5008920000000001E-2</v>
      </c>
      <c r="I900">
        <v>366.41919999999999</v>
      </c>
      <c r="J900">
        <v>-274.57650000000001</v>
      </c>
      <c r="K900">
        <v>1.0995649999999999</v>
      </c>
      <c r="L900">
        <v>368.22309999999999</v>
      </c>
      <c r="M900">
        <v>0.99979669999999998</v>
      </c>
      <c r="N900">
        <v>0</v>
      </c>
      <c r="O900">
        <v>1.7856469999999999E-2</v>
      </c>
      <c r="P900">
        <v>0.997529</v>
      </c>
      <c r="Q900">
        <v>4.0514960000000003E-2</v>
      </c>
      <c r="R900">
        <v>-5.739905E-2</v>
      </c>
      <c r="S900">
        <v>3.0054630000000002</v>
      </c>
      <c r="T900">
        <v>-3.3423189999999998E-2</v>
      </c>
      <c r="U900">
        <v>-5.7128909999999998E-2</v>
      </c>
      <c r="V900">
        <v>7.520483E-2</v>
      </c>
      <c r="W900">
        <v>4.985204E-2</v>
      </c>
      <c r="X900">
        <v>0.99592119999999995</v>
      </c>
      <c r="Y900">
        <v>3.6852549999999998E-2</v>
      </c>
      <c r="Z900">
        <v>-4.034539E-4</v>
      </c>
      <c r="AA900">
        <v>0.9993206</v>
      </c>
      <c r="AB900">
        <v>32</v>
      </c>
      <c r="AC900">
        <v>94.576499999999996</v>
      </c>
      <c r="AD900">
        <v>-1.05455608</v>
      </c>
      <c r="AE900">
        <v>-1.8038999999999901</v>
      </c>
      <c r="AF900">
        <v>3.4920548538287002</v>
      </c>
      <c r="AG900">
        <v>-1.05455608</v>
      </c>
      <c r="AH900">
        <v>94.517459751527099</v>
      </c>
      <c r="AI900">
        <v>90.638801707514304</v>
      </c>
      <c r="AJ900">
        <v>87.884104773486399</v>
      </c>
      <c r="AK900">
        <v>94.587825503653306</v>
      </c>
      <c r="AL900">
        <v>87.142504127664495</v>
      </c>
      <c r="AM900">
        <v>85.681629052419495</v>
      </c>
      <c r="AN900">
        <v>1.00000001447846</v>
      </c>
    </row>
    <row r="901" spans="1:40" x14ac:dyDescent="0.25">
      <c r="A901" t="str">
        <f>"20190312154815553"</f>
        <v>20190312154815553</v>
      </c>
      <c r="B901" t="str">
        <f>"1552376895547173"</f>
        <v>1552376895547173</v>
      </c>
      <c r="C901" t="s">
        <v>40</v>
      </c>
      <c r="D901">
        <v>3.4050729999999998</v>
      </c>
      <c r="E901">
        <v>0.47017740000000002</v>
      </c>
      <c r="F901" t="s">
        <v>45</v>
      </c>
      <c r="G901">
        <v>-180</v>
      </c>
      <c r="H901">
        <v>3.9397979999999999E-2</v>
      </c>
      <c r="I901">
        <v>366.40129999999999</v>
      </c>
      <c r="J901">
        <v>-272.99079999999998</v>
      </c>
      <c r="K901">
        <v>1.105526</v>
      </c>
      <c r="L901">
        <v>368.25139999999999</v>
      </c>
      <c r="M901">
        <v>0.9997743</v>
      </c>
      <c r="N901">
        <v>0</v>
      </c>
      <c r="O901">
        <v>1.7856489999999999E-2</v>
      </c>
      <c r="P901">
        <v>0.99750260000000002</v>
      </c>
      <c r="Q901">
        <v>3.8014699999999998E-2</v>
      </c>
      <c r="R901">
        <v>-5.9531140000000003E-2</v>
      </c>
      <c r="S901">
        <v>3.0054630000000002</v>
      </c>
      <c r="T901">
        <v>-3.3690089999999999E-2</v>
      </c>
      <c r="U901">
        <v>-5.7891850000000002E-2</v>
      </c>
      <c r="V901">
        <v>7.7336290000000002E-2</v>
      </c>
      <c r="W901">
        <v>4.9495320000000002E-2</v>
      </c>
      <c r="X901">
        <v>0.99577579999999999</v>
      </c>
      <c r="Y901">
        <v>3.7106479999999997E-2</v>
      </c>
      <c r="Z901">
        <v>-4.081024E-4</v>
      </c>
      <c r="AA901">
        <v>0.99931119999999996</v>
      </c>
      <c r="AB901">
        <v>32</v>
      </c>
      <c r="AC901">
        <v>92.990799999999894</v>
      </c>
      <c r="AD901">
        <v>-1.0661280200000001</v>
      </c>
      <c r="AE901">
        <v>-1.8500999999999901</v>
      </c>
      <c r="AF901">
        <v>3.5099431093565698</v>
      </c>
      <c r="AG901">
        <v>-1.0661280200000001</v>
      </c>
      <c r="AH901">
        <v>92.930722821143902</v>
      </c>
      <c r="AI901">
        <v>90.656816574344106</v>
      </c>
      <c r="AJ901">
        <v>87.836997554499305</v>
      </c>
      <c r="AK901">
        <v>93.003094430487707</v>
      </c>
      <c r="AL901">
        <v>87.162968087246497</v>
      </c>
      <c r="AM901">
        <v>85.559074503858</v>
      </c>
      <c r="AN901">
        <v>1.0000000661592501</v>
      </c>
    </row>
    <row r="902" spans="1:40" x14ac:dyDescent="0.25">
      <c r="A902" t="str">
        <f>"20190312154815567"</f>
        <v>20190312154815567</v>
      </c>
      <c r="B902" t="str">
        <f>"1552376895556933"</f>
        <v>1552376895556933</v>
      </c>
      <c r="C902" t="s">
        <v>40</v>
      </c>
      <c r="D902">
        <v>3.5684710000000002</v>
      </c>
      <c r="E902">
        <v>0.47037430000000002</v>
      </c>
      <c r="F902" t="s">
        <v>41</v>
      </c>
      <c r="G902">
        <v>-272.11329999999998</v>
      </c>
      <c r="H902">
        <v>0.98277709999999996</v>
      </c>
      <c r="I902">
        <v>368.2749</v>
      </c>
      <c r="J902">
        <v>-272.78809999999999</v>
      </c>
      <c r="K902">
        <v>1.1060179999999999</v>
      </c>
      <c r="L902">
        <v>368.255</v>
      </c>
      <c r="M902">
        <v>0.99977169999999904</v>
      </c>
      <c r="N902">
        <v>0</v>
      </c>
      <c r="O902">
        <v>1.7856609999999998E-2</v>
      </c>
      <c r="P902">
        <v>0.99751160000000005</v>
      </c>
      <c r="Q902">
        <v>3.7667640000000002E-2</v>
      </c>
      <c r="R902">
        <v>-5.9596999999999997E-2</v>
      </c>
      <c r="S902">
        <v>3.0285639999999998</v>
      </c>
      <c r="T902">
        <v>-0.42388880000000001</v>
      </c>
      <c r="U902">
        <v>8.1970210000000002E-2</v>
      </c>
      <c r="V902">
        <v>7.740263E-2</v>
      </c>
      <c r="W902">
        <v>4.9358159999999998E-2</v>
      </c>
      <c r="X902">
        <v>0.99577740000000003</v>
      </c>
      <c r="Y902">
        <v>-9.2836659999999994E-3</v>
      </c>
      <c r="Z902">
        <v>-1.840207E-3</v>
      </c>
      <c r="AA902">
        <v>0.99995520000000004</v>
      </c>
      <c r="AB902">
        <v>32</v>
      </c>
      <c r="AC902">
        <v>0.67480000000000395</v>
      </c>
      <c r="AD902">
        <v>-0.123240899999999</v>
      </c>
      <c r="AE902">
        <v>1.9900000000006898E-2</v>
      </c>
      <c r="AF902">
        <v>-7.5933028569296502E-3</v>
      </c>
      <c r="AG902">
        <v>-0.123240899999999</v>
      </c>
      <c r="AH902">
        <v>0.65327672212564603</v>
      </c>
      <c r="AI902">
        <v>100.682610230629</v>
      </c>
      <c r="AJ902">
        <v>90.665942318469106</v>
      </c>
      <c r="AK902">
        <v>0.664843179518536</v>
      </c>
      <c r="AL902">
        <v>87.170836241561304</v>
      </c>
      <c r="AM902">
        <v>85.555287396070398</v>
      </c>
      <c r="AN902">
        <v>1.0000000127201301</v>
      </c>
    </row>
    <row r="903" spans="1:40" x14ac:dyDescent="0.25">
      <c r="A903" t="str">
        <f>"20190312154815583"</f>
        <v>20190312154815583</v>
      </c>
      <c r="B903" t="str">
        <f>"1552376895576453"</f>
        <v>1552376895576453</v>
      </c>
      <c r="C903" t="s">
        <v>40</v>
      </c>
      <c r="D903">
        <v>4.198626</v>
      </c>
      <c r="E903">
        <v>0.46503230000000001</v>
      </c>
      <c r="F903" t="s">
        <v>41</v>
      </c>
      <c r="G903">
        <v>-271.83980000000003</v>
      </c>
      <c r="H903">
        <v>0.95783759999999996</v>
      </c>
      <c r="I903">
        <v>368.28070000000002</v>
      </c>
      <c r="J903">
        <v>-272.55849999999998</v>
      </c>
      <c r="K903">
        <v>1.106509</v>
      </c>
      <c r="L903">
        <v>368.25909999999999</v>
      </c>
      <c r="M903">
        <v>0.99976909999999997</v>
      </c>
      <c r="N903">
        <v>0</v>
      </c>
      <c r="O903">
        <v>1.7856589999999999E-2</v>
      </c>
      <c r="P903">
        <v>0.99750810000000001</v>
      </c>
      <c r="Q903">
        <v>3.749309E-2</v>
      </c>
      <c r="R903">
        <v>-5.9766340000000001E-2</v>
      </c>
      <c r="S903">
        <v>3.0302730000000002</v>
      </c>
      <c r="T903">
        <v>-0.4734874</v>
      </c>
      <c r="U903">
        <v>8.2336430000000002E-2</v>
      </c>
      <c r="V903">
        <v>7.7571940000000006E-2</v>
      </c>
      <c r="W903">
        <v>4.9402450000000001E-2</v>
      </c>
      <c r="X903">
        <v>0.99576200000000004</v>
      </c>
      <c r="Y903">
        <v>-9.4080789999999997E-3</v>
      </c>
      <c r="Z903">
        <v>-2.0422740000000002E-3</v>
      </c>
      <c r="AA903">
        <v>0.99995369999999995</v>
      </c>
      <c r="AB903">
        <v>32</v>
      </c>
      <c r="AC903">
        <v>0.71869999999995504</v>
      </c>
      <c r="AD903">
        <v>-0.14867139999999901</v>
      </c>
      <c r="AE903">
        <v>2.16000000000349E-2</v>
      </c>
      <c r="AF903">
        <v>-8.4028591909595194E-3</v>
      </c>
      <c r="AG903">
        <v>-0.14867139999999901</v>
      </c>
      <c r="AH903">
        <v>0.68949316231936897</v>
      </c>
      <c r="AI903">
        <v>102.16718214399801</v>
      </c>
      <c r="AJ903">
        <v>90.698229598934006</v>
      </c>
      <c r="AK903">
        <v>0.70538968953742698</v>
      </c>
      <c r="AL903">
        <v>87.168295431388501</v>
      </c>
      <c r="AM903">
        <v>85.545535534261106</v>
      </c>
      <c r="AN903">
        <v>0.999999984292682</v>
      </c>
    </row>
    <row r="904" spans="1:40" x14ac:dyDescent="0.25">
      <c r="A904" t="str">
        <f>"20190312154815597"</f>
        <v>20190312154815597</v>
      </c>
      <c r="B904" t="str">
        <f>"1552376895587188"</f>
        <v>1552376895587188</v>
      </c>
      <c r="C904" t="s">
        <v>40</v>
      </c>
      <c r="D904">
        <v>4.3668800000000001</v>
      </c>
      <c r="E904">
        <v>0.46392610000000001</v>
      </c>
      <c r="F904" t="s">
        <v>41</v>
      </c>
      <c r="G904">
        <v>-271.81709999999998</v>
      </c>
      <c r="H904">
        <v>1.0050829999999999</v>
      </c>
      <c r="I904">
        <v>368.28870000000001</v>
      </c>
      <c r="J904">
        <v>-272.35719999999998</v>
      </c>
      <c r="K904">
        <v>1.106889</v>
      </c>
      <c r="L904">
        <v>368.2627</v>
      </c>
      <c r="M904">
        <v>0.99976699999999996</v>
      </c>
      <c r="N904">
        <v>0</v>
      </c>
      <c r="O904">
        <v>1.7856509999999999E-2</v>
      </c>
      <c r="P904">
        <v>0.99752940000000001</v>
      </c>
      <c r="Q904">
        <v>3.7077499999999999E-2</v>
      </c>
      <c r="R904">
        <v>-5.966921E-2</v>
      </c>
      <c r="S904">
        <v>3.0303960000000001</v>
      </c>
      <c r="T904">
        <v>-0.4145837</v>
      </c>
      <c r="U904">
        <v>0.121459999999999</v>
      </c>
      <c r="V904">
        <v>7.7475199999999994E-2</v>
      </c>
      <c r="W904">
        <v>4.9163369999999998E-2</v>
      </c>
      <c r="X904">
        <v>0.99578140000000004</v>
      </c>
      <c r="Y904">
        <v>-2.2158529999999999E-2</v>
      </c>
      <c r="Z904">
        <v>-9.223867E-4</v>
      </c>
      <c r="AA904">
        <v>0.99975409999999998</v>
      </c>
      <c r="AB904">
        <v>32</v>
      </c>
      <c r="AC904">
        <v>0.54009999999999503</v>
      </c>
      <c r="AD904">
        <v>-0.10180599999999999</v>
      </c>
      <c r="AE904">
        <v>2.60000000000104E-2</v>
      </c>
      <c r="AF904">
        <v>-1.5791079539008102E-2</v>
      </c>
      <c r="AG904">
        <v>-0.10180599999999999</v>
      </c>
      <c r="AH904">
        <v>0.52197514287230296</v>
      </c>
      <c r="AI904">
        <v>101.031490433407</v>
      </c>
      <c r="AJ904">
        <v>91.7328149769085</v>
      </c>
      <c r="AK904">
        <v>0.53204498832858904</v>
      </c>
      <c r="AL904">
        <v>87.182010473105194</v>
      </c>
      <c r="AM904">
        <v>85.551154709727797</v>
      </c>
      <c r="AN904">
        <v>1.00000002007537</v>
      </c>
    </row>
    <row r="905" spans="1:40" x14ac:dyDescent="0.25">
      <c r="A905" t="str">
        <f>"20190312154815619"</f>
        <v>20190312154815619</v>
      </c>
      <c r="B905" t="str">
        <f>"1552376895616976"</f>
        <v>1552376895616976</v>
      </c>
      <c r="C905" t="s">
        <v>40</v>
      </c>
      <c r="D905">
        <v>4.0203759999999997</v>
      </c>
      <c r="E905">
        <v>0.46294390000000002</v>
      </c>
      <c r="F905" t="s">
        <v>41</v>
      </c>
      <c r="G905">
        <v>-271.53140000000002</v>
      </c>
      <c r="H905">
        <v>1.0065599999999999</v>
      </c>
      <c r="I905">
        <v>368.29739999999998</v>
      </c>
      <c r="J905">
        <v>-272.0421</v>
      </c>
      <c r="K905">
        <v>1.1074170000000001</v>
      </c>
      <c r="L905">
        <v>368.26830000000001</v>
      </c>
      <c r="M905">
        <v>0.99976370000000003</v>
      </c>
      <c r="N905">
        <v>0</v>
      </c>
      <c r="O905">
        <v>1.7856569999999999E-2</v>
      </c>
      <c r="P905">
        <v>0.99755000000000005</v>
      </c>
      <c r="Q905">
        <v>3.6764539999999998E-2</v>
      </c>
      <c r="R905">
        <v>-5.9517090000000002E-2</v>
      </c>
      <c r="S905">
        <v>3.0288089999999999</v>
      </c>
      <c r="T905">
        <v>-0.36821930000000003</v>
      </c>
      <c r="U905">
        <v>0.12838749999999999</v>
      </c>
      <c r="V905">
        <v>7.7323669999999997E-2</v>
      </c>
      <c r="W905">
        <v>4.9106690000000001E-2</v>
      </c>
      <c r="X905">
        <v>0.99579600000000001</v>
      </c>
      <c r="Y905">
        <v>-2.4453579999999999E-2</v>
      </c>
      <c r="Z905">
        <v>-6.8148830000000005E-4</v>
      </c>
      <c r="AA905">
        <v>0.9997007</v>
      </c>
      <c r="AB905">
        <v>32</v>
      </c>
      <c r="AC905">
        <v>0.51069999999998505</v>
      </c>
      <c r="AD905">
        <v>-0.100856999999999</v>
      </c>
      <c r="AE905">
        <v>2.9099999999971201E-2</v>
      </c>
      <c r="AF905">
        <v>-1.92278230060021E-2</v>
      </c>
      <c r="AG905">
        <v>-0.100856999999999</v>
      </c>
      <c r="AH905">
        <v>0.49201119507504398</v>
      </c>
      <c r="AI905">
        <v>101.57593694439601</v>
      </c>
      <c r="AJ905">
        <v>92.237983176553897</v>
      </c>
      <c r="AK905">
        <v>0.502610047358509</v>
      </c>
      <c r="AL905">
        <v>87.185261996108693</v>
      </c>
      <c r="AM905">
        <v>85.559886001618594</v>
      </c>
      <c r="AN905">
        <v>1.00000004528051</v>
      </c>
    </row>
    <row r="906" spans="1:40" x14ac:dyDescent="0.25">
      <c r="A906" t="str">
        <f>"20190312154815634"</f>
        <v>20190312154815634</v>
      </c>
      <c r="B906" t="str">
        <f>"1552376895626735"</f>
        <v>1552376895626735</v>
      </c>
      <c r="C906" t="s">
        <v>40</v>
      </c>
      <c r="D906">
        <v>3.9797690000000001</v>
      </c>
      <c r="E906">
        <v>0.46243689999999998</v>
      </c>
      <c r="F906" t="s">
        <v>42</v>
      </c>
      <c r="G906">
        <v>-258.29649999999998</v>
      </c>
      <c r="H906" s="1">
        <v>-8.4614609999999998E-7</v>
      </c>
      <c r="I906">
        <v>368.8664</v>
      </c>
      <c r="J906">
        <v>-271.83269999999999</v>
      </c>
      <c r="K906">
        <v>1.107718</v>
      </c>
      <c r="L906">
        <v>368.27210000000002</v>
      </c>
      <c r="M906">
        <v>0.99976180000000003</v>
      </c>
      <c r="N906">
        <v>0</v>
      </c>
      <c r="O906">
        <v>1.78565999999999E-2</v>
      </c>
      <c r="P906">
        <v>0.99756909999999999</v>
      </c>
      <c r="Q906">
        <v>3.672868E-2</v>
      </c>
      <c r="R906">
        <v>-5.9220809999999999E-2</v>
      </c>
      <c r="S906">
        <v>3.0242309999999999</v>
      </c>
      <c r="T906">
        <v>-0.243646</v>
      </c>
      <c r="U906">
        <v>0.13159179999999901</v>
      </c>
      <c r="V906">
        <v>7.7027689999999996E-2</v>
      </c>
      <c r="W906">
        <v>4.9225289999999998E-2</v>
      </c>
      <c r="X906">
        <v>0.99581299999999995</v>
      </c>
      <c r="Y906">
        <v>-2.5598269999999999E-2</v>
      </c>
      <c r="Z906">
        <v>-4.0651879999999997E-4</v>
      </c>
      <c r="AA906">
        <v>0.99967220000000001</v>
      </c>
      <c r="AB906">
        <v>32</v>
      </c>
      <c r="AC906">
        <v>13.536199999999999</v>
      </c>
      <c r="AD906">
        <v>-1.1077188461461001</v>
      </c>
      <c r="AE906">
        <v>0.59429999999997496</v>
      </c>
      <c r="AF906">
        <v>-0.350135418511406</v>
      </c>
      <c r="AG906">
        <v>-1.1077188461461001</v>
      </c>
      <c r="AH906">
        <v>13.454724553134</v>
      </c>
      <c r="AI906">
        <v>94.704924493046306</v>
      </c>
      <c r="AJ906">
        <v>91.490684921953601</v>
      </c>
      <c r="AK906">
        <v>13.5047861387773</v>
      </c>
      <c r="AL906">
        <v>87.178458255431295</v>
      </c>
      <c r="AM906">
        <v>85.576889531459798</v>
      </c>
      <c r="AN906">
        <v>0.99999996258565904</v>
      </c>
    </row>
    <row r="907" spans="1:40" x14ac:dyDescent="0.25">
      <c r="A907" t="str">
        <f>"20190312154815648"</f>
        <v>20190312154815648</v>
      </c>
      <c r="B907" t="str">
        <f>"1552376895637471"</f>
        <v>1552376895637471</v>
      </c>
      <c r="C907" t="s">
        <v>40</v>
      </c>
      <c r="D907">
        <v>3.9869249999999998</v>
      </c>
      <c r="E907">
        <v>0.46230470000000001</v>
      </c>
      <c r="F907" t="s">
        <v>42</v>
      </c>
      <c r="G907">
        <v>-256.25189999999998</v>
      </c>
      <c r="H907" s="1">
        <v>-1.7051819999999999E-6</v>
      </c>
      <c r="I907">
        <v>368.96850000000001</v>
      </c>
      <c r="J907">
        <v>-271.63490000000002</v>
      </c>
      <c r="K907">
        <v>1.1079760000000001</v>
      </c>
      <c r="L907">
        <v>368.2756</v>
      </c>
      <c r="M907">
        <v>0.99976019999999999</v>
      </c>
      <c r="N907">
        <v>0</v>
      </c>
      <c r="O907">
        <v>1.7856549999999999E-2</v>
      </c>
      <c r="P907">
        <v>0.99757070000000003</v>
      </c>
      <c r="Q907">
        <v>3.6822680000000003E-2</v>
      </c>
      <c r="R907">
        <v>-5.9137559999999999E-2</v>
      </c>
      <c r="S907">
        <v>3.0232540000000001</v>
      </c>
      <c r="T907">
        <v>-0.2149373</v>
      </c>
      <c r="U907">
        <v>0.1351318</v>
      </c>
      <c r="V907">
        <v>7.6944380000000007E-2</v>
      </c>
      <c r="W907">
        <v>4.9456269999999997E-2</v>
      </c>
      <c r="X907">
        <v>0.99580800000000003</v>
      </c>
      <c r="Y907">
        <v>-2.6783120000000001E-2</v>
      </c>
      <c r="Z907">
        <v>-3.1680400000000001E-4</v>
      </c>
      <c r="AA907">
        <v>0.99964120000000001</v>
      </c>
      <c r="AB907">
        <v>32</v>
      </c>
      <c r="AC907">
        <v>15.382999999999999</v>
      </c>
      <c r="AD907">
        <v>-1.1079777051819999</v>
      </c>
      <c r="AE907">
        <v>0.69290000000000795</v>
      </c>
      <c r="AF907">
        <v>-0.41592676538330198</v>
      </c>
      <c r="AG907">
        <v>-1.1079777051819999</v>
      </c>
      <c r="AH907">
        <v>15.3136380850755</v>
      </c>
      <c r="AI907">
        <v>94.136753007261504</v>
      </c>
      <c r="AJ907">
        <v>91.5558021376266</v>
      </c>
      <c r="AK907">
        <v>15.359300800167199</v>
      </c>
      <c r="AL907">
        <v>87.165207948166696</v>
      </c>
      <c r="AM907">
        <v>85.581632337013303</v>
      </c>
      <c r="AN907">
        <v>0.99999996655994805</v>
      </c>
    </row>
    <row r="908" spans="1:40" x14ac:dyDescent="0.25">
      <c r="A908" t="str">
        <f>"20190312154815663"</f>
        <v>20190312154815663</v>
      </c>
      <c r="B908" t="str">
        <f>"1552376895656991"</f>
        <v>1552376895656991</v>
      </c>
      <c r="C908" t="s">
        <v>40</v>
      </c>
      <c r="D908">
        <v>3.9985200000000001</v>
      </c>
      <c r="E908">
        <v>0.461864</v>
      </c>
      <c r="F908" t="s">
        <v>42</v>
      </c>
      <c r="G908">
        <v>-254.17689999999999</v>
      </c>
      <c r="H908" s="1">
        <v>-2.5794249999999999E-6</v>
      </c>
      <c r="I908">
        <v>369.0582</v>
      </c>
      <c r="J908">
        <v>-271.40710000000001</v>
      </c>
      <c r="K908">
        <v>1.108239</v>
      </c>
      <c r="L908">
        <v>368.27969999999999</v>
      </c>
      <c r="M908">
        <v>0.99975820000000004</v>
      </c>
      <c r="N908">
        <v>0</v>
      </c>
      <c r="O908">
        <v>1.7856609999999998E-2</v>
      </c>
      <c r="P908">
        <v>0.99761719999999998</v>
      </c>
      <c r="Q908">
        <v>3.639481E-2</v>
      </c>
      <c r="R908">
        <v>-5.8610179999999998E-2</v>
      </c>
      <c r="S908">
        <v>3.0224299999999999</v>
      </c>
      <c r="T908">
        <v>-0.1918185</v>
      </c>
      <c r="U908">
        <v>0.13549800000000001</v>
      </c>
      <c r="V908">
        <v>7.6418219999999995E-2</v>
      </c>
      <c r="W908">
        <v>4.9174320000000001E-2</v>
      </c>
      <c r="X908">
        <v>0.99586249999999998</v>
      </c>
      <c r="Y908">
        <v>-2.6920349999999999E-2</v>
      </c>
      <c r="Z908">
        <v>-2.7853449999999999E-4</v>
      </c>
      <c r="AA908">
        <v>0.99963749999999996</v>
      </c>
      <c r="AB908">
        <v>32</v>
      </c>
      <c r="AC908">
        <v>17.2302</v>
      </c>
      <c r="AD908">
        <v>-1.108241579425</v>
      </c>
      <c r="AE908">
        <v>0.77850000000000796</v>
      </c>
      <c r="AF908">
        <v>-0.46874230658795102</v>
      </c>
      <c r="AG908">
        <v>-1.108241579425</v>
      </c>
      <c r="AH908">
        <v>17.1704649050792</v>
      </c>
      <c r="AI908">
        <v>93.691575134718093</v>
      </c>
      <c r="AJ908">
        <v>91.563748403285203</v>
      </c>
      <c r="AK908">
        <v>17.212576326770701</v>
      </c>
      <c r="AL908">
        <v>87.181382235506007</v>
      </c>
      <c r="AM908">
        <v>85.611966753889305</v>
      </c>
      <c r="AN908">
        <v>0.99999998850084004</v>
      </c>
    </row>
    <row r="909" spans="1:40" x14ac:dyDescent="0.25">
      <c r="A909" t="str">
        <f>"20190312154815675"</f>
        <v>20190312154815675</v>
      </c>
      <c r="B909" t="str">
        <f>"1552376895666751"</f>
        <v>1552376895666751</v>
      </c>
      <c r="C909" t="s">
        <v>40</v>
      </c>
      <c r="D909">
        <v>4.0471599999999999</v>
      </c>
      <c r="E909">
        <v>0.4617347</v>
      </c>
      <c r="F909" t="s">
        <v>42</v>
      </c>
      <c r="G909">
        <v>-250.73519999999999</v>
      </c>
      <c r="H909" s="1">
        <v>-4.0249420000000001E-6</v>
      </c>
      <c r="I909">
        <v>369.23259999999999</v>
      </c>
      <c r="J909">
        <v>-271.24489999999997</v>
      </c>
      <c r="K909">
        <v>1.1083989999999999</v>
      </c>
      <c r="L909">
        <v>368.2826</v>
      </c>
      <c r="M909">
        <v>0.99975709999999995</v>
      </c>
      <c r="N909">
        <v>0</v>
      </c>
      <c r="O909">
        <v>1.7855619999999999E-2</v>
      </c>
      <c r="P909">
        <v>0.997618</v>
      </c>
      <c r="Q909">
        <v>3.6428820000000001E-2</v>
      </c>
      <c r="R909">
        <v>-5.8579180000000002E-2</v>
      </c>
      <c r="S909">
        <v>3.0212400000000001</v>
      </c>
      <c r="T909">
        <v>-0.1619717</v>
      </c>
      <c r="U909">
        <v>0.13928219999999999</v>
      </c>
      <c r="V909">
        <v>7.6386209999999996E-2</v>
      </c>
      <c r="W909">
        <v>4.9302430000000001E-2</v>
      </c>
      <c r="X909">
        <v>0.99585860000000004</v>
      </c>
      <c r="Y909">
        <v>-2.819178E-2</v>
      </c>
      <c r="Z909">
        <v>-2.0125500000000001E-4</v>
      </c>
      <c r="AA909">
        <v>0.99960249999999995</v>
      </c>
      <c r="AB909">
        <v>32</v>
      </c>
      <c r="AC909">
        <v>20.509699999999899</v>
      </c>
      <c r="AD909">
        <v>-1.1084030249419901</v>
      </c>
      <c r="AE909">
        <v>0.94999999999998797</v>
      </c>
      <c r="AF909">
        <v>-0.58190864227617201</v>
      </c>
      <c r="AG909">
        <v>-1.1084030249419901</v>
      </c>
      <c r="AH909">
        <v>20.463754830104399</v>
      </c>
      <c r="AI909">
        <v>93.099100571468995</v>
      </c>
      <c r="AJ909">
        <v>91.628827519885604</v>
      </c>
      <c r="AK909">
        <v>20.5020105521453</v>
      </c>
      <c r="AL909">
        <v>87.174033098096501</v>
      </c>
      <c r="AM909">
        <v>85.613780524964994</v>
      </c>
      <c r="AN909">
        <v>0.99999996693801396</v>
      </c>
    </row>
    <row r="910" spans="1:40" x14ac:dyDescent="0.25">
      <c r="A910" t="str">
        <f>"20190312154815687"</f>
        <v>20190312154815687</v>
      </c>
      <c r="B910" t="str">
        <f>"1552376895676511"</f>
        <v>1552376895676511</v>
      </c>
      <c r="C910" t="s">
        <v>40</v>
      </c>
      <c r="D910">
        <v>4.0006389999999996</v>
      </c>
      <c r="E910">
        <v>0.46170139999999998</v>
      </c>
      <c r="F910" t="s">
        <v>42</v>
      </c>
      <c r="G910">
        <v>-248.5847</v>
      </c>
      <c r="H910" s="1">
        <v>-7.0008370000000003E-7</v>
      </c>
      <c r="I910">
        <v>369.3313</v>
      </c>
      <c r="J910">
        <v>-271.0788</v>
      </c>
      <c r="K910">
        <v>1.108557</v>
      </c>
      <c r="L910">
        <v>368.28559999999999</v>
      </c>
      <c r="M910">
        <v>0.99975590000000003</v>
      </c>
      <c r="N910">
        <v>0</v>
      </c>
      <c r="O910">
        <v>1.7854149999999999E-2</v>
      </c>
      <c r="P910">
        <v>0.99763710000000005</v>
      </c>
      <c r="Q910">
        <v>3.5966289999999998E-2</v>
      </c>
      <c r="R910">
        <v>-5.8538380000000001E-2</v>
      </c>
      <c r="S910">
        <v>3.0207820000000001</v>
      </c>
      <c r="T910">
        <v>-0.1477579</v>
      </c>
      <c r="U910">
        <v>0.13980100000000001</v>
      </c>
      <c r="V910">
        <v>7.6344449999999994E-2</v>
      </c>
      <c r="W910">
        <v>4.8933810000000001E-2</v>
      </c>
      <c r="X910">
        <v>0.99587999999999999</v>
      </c>
      <c r="Y910">
        <v>-2.837377E-2</v>
      </c>
      <c r="Z910">
        <v>-1.791261E-4</v>
      </c>
      <c r="AA910">
        <v>0.99959739999999997</v>
      </c>
      <c r="AB910">
        <v>32</v>
      </c>
      <c r="AC910">
        <v>22.4941</v>
      </c>
      <c r="AD910">
        <v>-1.1085577000836999</v>
      </c>
      <c r="AE910">
        <v>1.0457000000000101</v>
      </c>
      <c r="AF910">
        <v>-0.64232955749077802</v>
      </c>
      <c r="AG910">
        <v>-1.1085577000836999</v>
      </c>
      <c r="AH910">
        <v>22.454766567500599</v>
      </c>
      <c r="AI910">
        <v>92.8251571448193</v>
      </c>
      <c r="AJ910">
        <v>91.638526914346897</v>
      </c>
      <c r="AK910">
        <v>22.4912878474263</v>
      </c>
      <c r="AL910">
        <v>87.195179039530004</v>
      </c>
      <c r="AM910">
        <v>85.616262936354403</v>
      </c>
      <c r="AN910">
        <v>0.99999998360345899</v>
      </c>
    </row>
    <row r="911" spans="1:40" x14ac:dyDescent="0.25">
      <c r="A911" t="str">
        <f>"20190312154815699"</f>
        <v>20190312154815699</v>
      </c>
      <c r="B911" t="str">
        <f>"1552376895687248"</f>
        <v>1552376895687248</v>
      </c>
      <c r="C911" t="s">
        <v>40</v>
      </c>
      <c r="D911">
        <v>4.0076559999999999</v>
      </c>
      <c r="E911">
        <v>0.4614028</v>
      </c>
      <c r="F911" t="s">
        <v>42</v>
      </c>
      <c r="G911">
        <v>-246.87649999999999</v>
      </c>
      <c r="H911" s="1">
        <v>-1.4945799999999999E-6</v>
      </c>
      <c r="I911">
        <v>369.40429999999998</v>
      </c>
      <c r="J911">
        <v>-270.89690000000002</v>
      </c>
      <c r="K911">
        <v>1.1087039999999999</v>
      </c>
      <c r="L911">
        <v>368.28879999999998</v>
      </c>
      <c r="M911">
        <v>0.9997547</v>
      </c>
      <c r="N911">
        <v>0</v>
      </c>
      <c r="O911">
        <v>1.7849489999999999E-2</v>
      </c>
      <c r="P911">
        <v>0.99764750000000002</v>
      </c>
      <c r="Q911">
        <v>3.5922860000000001E-2</v>
      </c>
      <c r="R911">
        <v>-5.8386479999999998E-2</v>
      </c>
      <c r="S911">
        <v>3.0203250000000001</v>
      </c>
      <c r="T911">
        <v>-0.13834260000000001</v>
      </c>
      <c r="U911">
        <v>0.13961789999999999</v>
      </c>
      <c r="V911">
        <v>7.6188430000000001E-2</v>
      </c>
      <c r="W911">
        <v>4.898429E-2</v>
      </c>
      <c r="X911">
        <v>0.99588949999999998</v>
      </c>
      <c r="Y911">
        <v>-2.8326520000000001E-2</v>
      </c>
      <c r="Z911">
        <v>-1.6861879999999999E-4</v>
      </c>
      <c r="AA911">
        <v>0.99959869999999995</v>
      </c>
      <c r="AB911">
        <v>32</v>
      </c>
      <c r="AC911">
        <v>24.020399999999999</v>
      </c>
      <c r="AD911">
        <v>-1.1087054945799999</v>
      </c>
      <c r="AE911">
        <v>1.1154999999999899</v>
      </c>
      <c r="AF911">
        <v>-0.68507711694240503</v>
      </c>
      <c r="AG911">
        <v>-1.1087054945799999</v>
      </c>
      <c r="AH911">
        <v>23.9854953539276</v>
      </c>
      <c r="AI911">
        <v>92.645478822798395</v>
      </c>
      <c r="AJ911">
        <v>91.636045376708395</v>
      </c>
      <c r="AK911">
        <v>24.020877292537602</v>
      </c>
      <c r="AL911">
        <v>87.1922833693759</v>
      </c>
      <c r="AM911">
        <v>85.625228439295896</v>
      </c>
      <c r="AN911">
        <v>1.00000001687145</v>
      </c>
    </row>
    <row r="912" spans="1:40" x14ac:dyDescent="0.25">
      <c r="A912" t="str">
        <f>"20190312154815712"</f>
        <v>20190312154815712</v>
      </c>
      <c r="B912" t="str">
        <f>"1552376895707273"</f>
        <v>1552376895707273</v>
      </c>
      <c r="C912" t="s">
        <v>40</v>
      </c>
      <c r="D912">
        <v>4.0363790000000002</v>
      </c>
      <c r="E912">
        <v>0.4612986</v>
      </c>
      <c r="F912" t="s">
        <v>42</v>
      </c>
      <c r="G912">
        <v>-244.9915</v>
      </c>
      <c r="H912" s="1">
        <v>-2.3667670000000001E-6</v>
      </c>
      <c r="I912">
        <v>369.51069999999999</v>
      </c>
      <c r="J912">
        <v>-270.726</v>
      </c>
      <c r="K912">
        <v>1.1088309999999999</v>
      </c>
      <c r="L912">
        <v>368.29180000000002</v>
      </c>
      <c r="M912">
        <v>0.99975369999999997</v>
      </c>
      <c r="N912">
        <v>0</v>
      </c>
      <c r="O912">
        <v>1.784239E-2</v>
      </c>
      <c r="P912">
        <v>0.99765970000000004</v>
      </c>
      <c r="Q912">
        <v>3.5738779999999998E-2</v>
      </c>
      <c r="R912">
        <v>-5.829148E-2</v>
      </c>
      <c r="S912">
        <v>3.0200499999999999</v>
      </c>
      <c r="T912">
        <v>-0.12925309999999901</v>
      </c>
      <c r="U912">
        <v>0.1424561</v>
      </c>
      <c r="V912">
        <v>7.6086890000000004E-2</v>
      </c>
      <c r="W912">
        <v>4.8883330000000003E-2</v>
      </c>
      <c r="X912">
        <v>0.99590219999999896</v>
      </c>
      <c r="Y912">
        <v>-2.9275639999999999E-2</v>
      </c>
      <c r="Z912">
        <v>-1.3696739999999999E-4</v>
      </c>
      <c r="AA912">
        <v>0.9995714</v>
      </c>
      <c r="AB912">
        <v>32</v>
      </c>
      <c r="AC912">
        <v>25.734500000000001</v>
      </c>
      <c r="AD912">
        <v>-1.1088333667669901</v>
      </c>
      <c r="AE912">
        <v>1.2188999999999599</v>
      </c>
      <c r="AF912">
        <v>-0.75809667443832496</v>
      </c>
      <c r="AG912">
        <v>-1.1088333667669901</v>
      </c>
      <c r="AH912">
        <v>25.704538309768701</v>
      </c>
      <c r="AI912">
        <v>92.469001637409704</v>
      </c>
      <c r="AJ912">
        <v>91.689318523827495</v>
      </c>
      <c r="AK912">
        <v>25.7396097818405</v>
      </c>
      <c r="AL912">
        <v>87.198074823392105</v>
      </c>
      <c r="AM912">
        <v>85.631091817552701</v>
      </c>
      <c r="AN912">
        <v>0.99999999337330003</v>
      </c>
    </row>
    <row r="913" spans="1:40" x14ac:dyDescent="0.25">
      <c r="A913" t="str">
        <f>"20190312154815723"</f>
        <v>20190312154815723</v>
      </c>
      <c r="B913" t="str">
        <f>"1552376895717033"</f>
        <v>1552376895717033</v>
      </c>
      <c r="C913" t="s">
        <v>40</v>
      </c>
      <c r="D913">
        <v>4.1484379999999996</v>
      </c>
      <c r="E913">
        <v>0.46118819999999999</v>
      </c>
      <c r="F913" t="s">
        <v>42</v>
      </c>
      <c r="G913">
        <v>-240.89699999999999</v>
      </c>
      <c r="H913" s="1">
        <v>-4.3054859999999997E-6</v>
      </c>
      <c r="I913">
        <v>369.69889999999998</v>
      </c>
      <c r="J913">
        <v>-270.55919999999998</v>
      </c>
      <c r="K913">
        <v>1.108946</v>
      </c>
      <c r="L913">
        <v>368.29480000000001</v>
      </c>
      <c r="M913">
        <v>0.99975290000000006</v>
      </c>
      <c r="N913">
        <v>0</v>
      </c>
      <c r="O913">
        <v>1.7833290000000002E-2</v>
      </c>
      <c r="P913">
        <v>0.99766589999999999</v>
      </c>
      <c r="Q913">
        <v>3.545032E-2</v>
      </c>
      <c r="R913">
        <v>-5.8361030000000001E-2</v>
      </c>
      <c r="S913">
        <v>3.0193789999999998</v>
      </c>
      <c r="T913">
        <v>-0.11223950000000001</v>
      </c>
      <c r="U913">
        <v>0.14242550000000001</v>
      </c>
      <c r="V913">
        <v>7.6147880000000001E-2</v>
      </c>
      <c r="W913">
        <v>4.867138E-2</v>
      </c>
      <c r="X913">
        <v>0.99590789999999996</v>
      </c>
      <c r="Y913">
        <v>-2.928766E-2</v>
      </c>
      <c r="Z913">
        <v>-1.184175E-4</v>
      </c>
      <c r="AA913">
        <v>0.99957099999999999</v>
      </c>
      <c r="AB913">
        <v>32</v>
      </c>
      <c r="AC913">
        <v>29.662199999999899</v>
      </c>
      <c r="AD913">
        <v>-1.1089503054859999</v>
      </c>
      <c r="AE913">
        <v>1.4040999999999699</v>
      </c>
      <c r="AF913">
        <v>-0.873637109855395</v>
      </c>
      <c r="AG913">
        <v>-1.1089503054859999</v>
      </c>
      <c r="AH913">
        <v>29.6411868487825</v>
      </c>
      <c r="AI913">
        <v>92.141648758971002</v>
      </c>
      <c r="AJ913">
        <v>91.688233083247198</v>
      </c>
      <c r="AK913">
        <v>29.674786779085501</v>
      </c>
      <c r="AL913">
        <v>87.210233082399</v>
      </c>
      <c r="AM913">
        <v>85.627628275788794</v>
      </c>
      <c r="AN913">
        <v>0.99999997407100405</v>
      </c>
    </row>
    <row r="914" spans="1:40" x14ac:dyDescent="0.25">
      <c r="A914" t="str">
        <f>"20190312154815736"</f>
        <v>20190312154815736</v>
      </c>
      <c r="B914" t="str">
        <f>"1552376895726793"</f>
        <v>1552376895726793</v>
      </c>
      <c r="C914" t="s">
        <v>40</v>
      </c>
      <c r="D914">
        <v>4.021096</v>
      </c>
      <c r="E914">
        <v>0.46122400000000002</v>
      </c>
      <c r="F914" t="s">
        <v>42</v>
      </c>
      <c r="G914">
        <v>-238.2304</v>
      </c>
      <c r="H914" s="1">
        <v>-7.9656759999999896E-7</v>
      </c>
      <c r="I914">
        <v>369.82350000000002</v>
      </c>
      <c r="J914">
        <v>-270.38499999999999</v>
      </c>
      <c r="K914">
        <v>1.109048</v>
      </c>
      <c r="L914">
        <v>368.29790000000003</v>
      </c>
      <c r="M914">
        <v>0.99975219999999998</v>
      </c>
      <c r="N914">
        <v>0</v>
      </c>
      <c r="O914">
        <v>1.7817799999999901E-2</v>
      </c>
      <c r="P914">
        <v>0.99767349999999999</v>
      </c>
      <c r="Q914">
        <v>3.5363190000000003E-2</v>
      </c>
      <c r="R914">
        <v>-5.8286409999999997E-2</v>
      </c>
      <c r="S914">
        <v>3.0190429999999999</v>
      </c>
      <c r="T914">
        <v>-0.1035595</v>
      </c>
      <c r="U914">
        <v>0.1427612</v>
      </c>
      <c r="V914">
        <v>7.6058550000000003E-2</v>
      </c>
      <c r="W914">
        <v>4.8657100000000002E-2</v>
      </c>
      <c r="X914">
        <v>0.99591549999999995</v>
      </c>
      <c r="Y914">
        <v>-2.942034E-2</v>
      </c>
      <c r="Z914">
        <v>-1.064732E-4</v>
      </c>
      <c r="AA914">
        <v>0.99956719999999999</v>
      </c>
      <c r="AB914">
        <v>32</v>
      </c>
      <c r="AC914">
        <v>32.154599999999903</v>
      </c>
      <c r="AD914">
        <v>-1.1090487965675999</v>
      </c>
      <c r="AE914">
        <v>1.5255999999999901</v>
      </c>
      <c r="AF914">
        <v>-0.95125341486886295</v>
      </c>
      <c r="AG914">
        <v>-1.1090487965675999</v>
      </c>
      <c r="AH914">
        <v>32.138532448477399</v>
      </c>
      <c r="AI914">
        <v>91.975535970529904</v>
      </c>
      <c r="AJ914">
        <v>91.695376048028606</v>
      </c>
      <c r="AK914">
        <v>32.171728897190199</v>
      </c>
      <c r="AL914">
        <v>87.211052447990298</v>
      </c>
      <c r="AM914">
        <v>85.632770900582898</v>
      </c>
      <c r="AN914">
        <v>1.00000004977438</v>
      </c>
    </row>
    <row r="915" spans="1:40" x14ac:dyDescent="0.25">
      <c r="A915" t="str">
        <f>"20190312154815750"</f>
        <v>20190312154815750</v>
      </c>
      <c r="B915" t="str">
        <f>"1552376895736553"</f>
        <v>1552376895736553</v>
      </c>
      <c r="C915" t="s">
        <v>40</v>
      </c>
      <c r="D915">
        <v>4.0493249999999996</v>
      </c>
      <c r="E915">
        <v>0.46124480000000001</v>
      </c>
      <c r="F915" t="s">
        <v>42</v>
      </c>
      <c r="G915">
        <v>-235.696</v>
      </c>
      <c r="H915" s="1">
        <v>-1.912626E-6</v>
      </c>
      <c r="I915">
        <v>369.93169999999998</v>
      </c>
      <c r="J915">
        <v>-270.19869999999997</v>
      </c>
      <c r="K915">
        <v>1.1091470000000001</v>
      </c>
      <c r="L915">
        <v>368.30119999999999</v>
      </c>
      <c r="M915">
        <v>0.99975150000000002</v>
      </c>
      <c r="N915">
        <v>0</v>
      </c>
      <c r="O915">
        <v>1.7797150000000001E-2</v>
      </c>
      <c r="P915">
        <v>0.99768889999999999</v>
      </c>
      <c r="Q915">
        <v>3.5382169999999998E-2</v>
      </c>
      <c r="R915">
        <v>-5.8008770000000001E-2</v>
      </c>
      <c r="S915">
        <v>3.0187379999999999</v>
      </c>
      <c r="T915">
        <v>-9.6512319999999999E-2</v>
      </c>
      <c r="U915">
        <v>0.14218140000000001</v>
      </c>
      <c r="V915">
        <v>7.5761469999999997E-2</v>
      </c>
      <c r="W915">
        <v>4.8749489999999999E-2</v>
      </c>
      <c r="X915">
        <v>0.99593359999999997</v>
      </c>
      <c r="Y915">
        <v>-2.9255130000000001E-2</v>
      </c>
      <c r="Z915">
        <v>-1.0122209999999999E-4</v>
      </c>
      <c r="AA915">
        <v>0.99957200000000002</v>
      </c>
      <c r="AB915">
        <v>32</v>
      </c>
      <c r="AC915">
        <v>34.502699999999898</v>
      </c>
      <c r="AD915">
        <v>-1.1091489126259999</v>
      </c>
      <c r="AE915">
        <v>1.6304999999999801</v>
      </c>
      <c r="AF915">
        <v>-1.01508998249965</v>
      </c>
      <c r="AG915">
        <v>-1.1091489126259999</v>
      </c>
      <c r="AH915">
        <v>34.490691606127399</v>
      </c>
      <c r="AI915">
        <v>91.841081745263693</v>
      </c>
      <c r="AJ915">
        <v>91.685776234054799</v>
      </c>
      <c r="AK915">
        <v>34.523447487931101</v>
      </c>
      <c r="AL915">
        <v>87.205752530735495</v>
      </c>
      <c r="AM915">
        <v>85.649842175797502</v>
      </c>
      <c r="AN915">
        <v>1.0000000243603899</v>
      </c>
    </row>
    <row r="916" spans="1:40" x14ac:dyDescent="0.25">
      <c r="A916" t="str">
        <f>"20190312154815762"</f>
        <v>20190312154815762</v>
      </c>
      <c r="B916" t="str">
        <f>"1552376895757049"</f>
        <v>1552376895757049</v>
      </c>
      <c r="C916" t="s">
        <v>40</v>
      </c>
      <c r="D916">
        <v>4.0605120000000001</v>
      </c>
      <c r="E916">
        <v>0.46126929999999999</v>
      </c>
      <c r="F916" t="s">
        <v>42</v>
      </c>
      <c r="G916">
        <v>-233.5806</v>
      </c>
      <c r="H916" s="1">
        <v>-2.847253E-6</v>
      </c>
      <c r="I916">
        <v>370.03379999999999</v>
      </c>
      <c r="J916">
        <v>-270.0025</v>
      </c>
      <c r="K916">
        <v>1.109235</v>
      </c>
      <c r="L916">
        <v>368.30470000000003</v>
      </c>
      <c r="M916">
        <v>0.99975119999999895</v>
      </c>
      <c r="N916">
        <v>0</v>
      </c>
      <c r="O916">
        <v>1.776776E-2</v>
      </c>
      <c r="P916">
        <v>0.99770740000000002</v>
      </c>
      <c r="Q916">
        <v>3.534354E-2</v>
      </c>
      <c r="R916">
        <v>-5.7715799999999998E-2</v>
      </c>
      <c r="S916">
        <v>3.0185240000000002</v>
      </c>
      <c r="T916">
        <v>-9.1429830000000004E-2</v>
      </c>
      <c r="U916">
        <v>0.14282230000000001</v>
      </c>
      <c r="V916">
        <v>7.5440729999999998E-2</v>
      </c>
      <c r="W916">
        <v>4.8783310000000003E-2</v>
      </c>
      <c r="X916">
        <v>0.99595619999999996</v>
      </c>
      <c r="Y916">
        <v>-2.9500040000000002E-2</v>
      </c>
      <c r="Z916" s="1">
        <v>-9.1305350000000005E-5</v>
      </c>
      <c r="AA916">
        <v>0.99956480000000003</v>
      </c>
      <c r="AB916">
        <v>32</v>
      </c>
      <c r="AC916">
        <v>36.421900000000001</v>
      </c>
      <c r="AD916">
        <v>-1.109237847253</v>
      </c>
      <c r="AE916">
        <v>1.7290999999999599</v>
      </c>
      <c r="AF916">
        <v>-1.0806325147017399</v>
      </c>
      <c r="AG916">
        <v>-1.109237847253</v>
      </c>
      <c r="AH916">
        <v>36.413176383943402</v>
      </c>
      <c r="AI916">
        <v>91.744068024508195</v>
      </c>
      <c r="AJ916">
        <v>91.699865850905894</v>
      </c>
      <c r="AK916">
        <v>36.446091554538199</v>
      </c>
      <c r="AL916">
        <v>87.203812225557698</v>
      </c>
      <c r="AM916">
        <v>85.668286462645796</v>
      </c>
      <c r="AN916">
        <v>0.99999993369796203</v>
      </c>
    </row>
    <row r="917" spans="1:40" x14ac:dyDescent="0.25">
      <c r="A917" t="str">
        <f>"20190312154815776"</f>
        <v>20190312154815776</v>
      </c>
      <c r="B917" t="str">
        <f>"1552376895766809"</f>
        <v>1552376895766809</v>
      </c>
      <c r="C917" t="s">
        <v>40</v>
      </c>
      <c r="D917">
        <v>4.0875329999999996</v>
      </c>
      <c r="E917">
        <v>0.46124690000000002</v>
      </c>
      <c r="F917" t="s">
        <v>42</v>
      </c>
      <c r="G917">
        <v>-229.5804</v>
      </c>
      <c r="H917" s="1">
        <v>-3.2371139999999997E-7</v>
      </c>
      <c r="I917">
        <v>370.22280000000001</v>
      </c>
      <c r="J917">
        <v>-269.81909999999999</v>
      </c>
      <c r="K917">
        <v>1.1093029999999999</v>
      </c>
      <c r="L917">
        <v>368.30790000000002</v>
      </c>
      <c r="M917">
        <v>0.9997509</v>
      </c>
      <c r="N917">
        <v>0</v>
      </c>
      <c r="O917">
        <v>1.7730880000000001E-2</v>
      </c>
      <c r="P917">
        <v>0.99775650000000005</v>
      </c>
      <c r="Q917">
        <v>3.486388E-2</v>
      </c>
      <c r="R917">
        <v>-5.7153370000000002E-2</v>
      </c>
      <c r="S917">
        <v>3.018097</v>
      </c>
      <c r="T917">
        <v>-8.2820299999999999E-2</v>
      </c>
      <c r="U917">
        <v>0.14321900000000001</v>
      </c>
      <c r="V917">
        <v>7.4843750000000001E-2</v>
      </c>
      <c r="W917">
        <v>4.836418E-2</v>
      </c>
      <c r="X917">
        <v>0.99602170000000001</v>
      </c>
      <c r="Y917">
        <v>-2.9675569999999998E-2</v>
      </c>
      <c r="Z917" s="1">
        <v>-7.9305E-5</v>
      </c>
      <c r="AA917">
        <v>0.99955959999999999</v>
      </c>
      <c r="AB917">
        <v>32</v>
      </c>
      <c r="AC917">
        <v>40.238700000000001</v>
      </c>
      <c r="AD917">
        <v>-1.1093033237113901</v>
      </c>
      <c r="AE917">
        <v>1.9148999999999801</v>
      </c>
      <c r="AF917">
        <v>-1.2001557370425</v>
      </c>
      <c r="AG917">
        <v>-1.1093033237113901</v>
      </c>
      <c r="AH917">
        <v>40.235819050556401</v>
      </c>
      <c r="AI917">
        <v>91.578545428351504</v>
      </c>
      <c r="AJ917">
        <v>91.708514394538199</v>
      </c>
      <c r="AK917">
        <v>40.268996291517801</v>
      </c>
      <c r="AL917">
        <v>87.227855043396204</v>
      </c>
      <c r="AM917">
        <v>85.702716943763605</v>
      </c>
      <c r="AN917">
        <v>0.99999995384601104</v>
      </c>
    </row>
    <row r="918" spans="1:40" x14ac:dyDescent="0.25">
      <c r="A918" t="str">
        <f>"20190312154815791"</f>
        <v>20190312154815791</v>
      </c>
      <c r="B918" t="str">
        <f>"1552376895776570"</f>
        <v>1552376895776570</v>
      </c>
      <c r="C918" t="s">
        <v>40</v>
      </c>
      <c r="D918">
        <v>4.0926140000000002</v>
      </c>
      <c r="E918">
        <v>0.46119389999999999</v>
      </c>
      <c r="F918" t="s">
        <v>42</v>
      </c>
      <c r="G918">
        <v>-228.1276</v>
      </c>
      <c r="H918" s="1">
        <v>-9.6967639999999995E-7</v>
      </c>
      <c r="I918">
        <v>370.30829999999997</v>
      </c>
      <c r="J918">
        <v>-269.61070000000001</v>
      </c>
      <c r="K918">
        <v>1.109375</v>
      </c>
      <c r="L918">
        <v>368.3116</v>
      </c>
      <c r="M918">
        <v>0.9997509</v>
      </c>
      <c r="N918">
        <v>0</v>
      </c>
      <c r="O918">
        <v>1.768111E-2</v>
      </c>
      <c r="P918">
        <v>0.99776019999999999</v>
      </c>
      <c r="Q918">
        <v>3.4665929999999998E-2</v>
      </c>
      <c r="R918">
        <v>-5.7210240000000002E-2</v>
      </c>
      <c r="S918">
        <v>3.0178530000000001</v>
      </c>
      <c r="T918">
        <v>-8.0297229999999997E-2</v>
      </c>
      <c r="U918">
        <v>0.14480589999999999</v>
      </c>
      <c r="V918">
        <v>7.4852340000000003E-2</v>
      </c>
      <c r="W918">
        <v>4.8230839999999997E-2</v>
      </c>
      <c r="X918">
        <v>0.99602760000000001</v>
      </c>
      <c r="Y918">
        <v>-3.025359E-2</v>
      </c>
      <c r="Z918" s="1">
        <v>-6.7887969999999996E-5</v>
      </c>
      <c r="AA918">
        <v>0.99954219999999905</v>
      </c>
      <c r="AB918">
        <v>32</v>
      </c>
      <c r="AC918">
        <v>41.4831</v>
      </c>
      <c r="AD918">
        <v>-1.1093759696764001</v>
      </c>
      <c r="AE918">
        <v>1.9966999999999699</v>
      </c>
      <c r="AF918">
        <v>-1.2619520768413499</v>
      </c>
      <c r="AG918">
        <v>-1.1093759696764001</v>
      </c>
      <c r="AH918">
        <v>41.482322443552299</v>
      </c>
      <c r="AI918">
        <v>91.531207493313403</v>
      </c>
      <c r="AJ918">
        <v>91.742482845401895</v>
      </c>
      <c r="AK918">
        <v>41.516337909275897</v>
      </c>
      <c r="AL918">
        <v>87.235504009074006</v>
      </c>
      <c r="AM918">
        <v>85.702250944562493</v>
      </c>
      <c r="AN918">
        <v>1.00000003334617</v>
      </c>
    </row>
    <row r="919" spans="1:40" x14ac:dyDescent="0.25">
      <c r="A919" t="str">
        <f>"20190312154815807"</f>
        <v>20190312154815807</v>
      </c>
      <c r="B919" t="str">
        <f>"1552376895796596"</f>
        <v>1552376895796596</v>
      </c>
      <c r="C919" t="s">
        <v>40</v>
      </c>
      <c r="D919">
        <v>4.0905300000000002</v>
      </c>
      <c r="E919">
        <v>0.46114539999999998</v>
      </c>
      <c r="F919" t="s">
        <v>42</v>
      </c>
      <c r="G919">
        <v>-226.56960000000001</v>
      </c>
      <c r="H919" s="1">
        <v>-1.6560530000000001E-6</v>
      </c>
      <c r="I919">
        <v>370.37599999999998</v>
      </c>
      <c r="J919">
        <v>-269.3852</v>
      </c>
      <c r="K919">
        <v>1.109442</v>
      </c>
      <c r="L919">
        <v>368.31549999999999</v>
      </c>
      <c r="M919">
        <v>0.99975119999999895</v>
      </c>
      <c r="N919">
        <v>0</v>
      </c>
      <c r="O919">
        <v>1.7615929999999998E-2</v>
      </c>
      <c r="P919">
        <v>0.99778120000000003</v>
      </c>
      <c r="Q919">
        <v>3.4734370000000001E-2</v>
      </c>
      <c r="R919">
        <v>-5.6805069999999999E-2</v>
      </c>
      <c r="S919">
        <v>3.0177309999999999</v>
      </c>
      <c r="T919">
        <v>-7.7781320000000001E-2</v>
      </c>
      <c r="U919">
        <v>0.14474489999999901</v>
      </c>
      <c r="V919">
        <v>7.4383889999999994E-2</v>
      </c>
      <c r="W919">
        <v>4.836323E-2</v>
      </c>
      <c r="X919">
        <v>0.99605630000000001</v>
      </c>
      <c r="Y919">
        <v>-3.0300750000000001E-2</v>
      </c>
      <c r="Z919" s="1">
        <v>-6.3479029999999995E-5</v>
      </c>
      <c r="AA919">
        <v>0.99954080000000001</v>
      </c>
      <c r="AB919">
        <v>32</v>
      </c>
      <c r="AC919">
        <v>42.815599999999897</v>
      </c>
      <c r="AD919">
        <v>-1.1094436560529899</v>
      </c>
      <c r="AE919">
        <v>2.06049999999999</v>
      </c>
      <c r="AF919">
        <v>-1.3049987795467499</v>
      </c>
      <c r="AG919">
        <v>-1.1094436560529899</v>
      </c>
      <c r="AH919">
        <v>42.816573692426402</v>
      </c>
      <c r="AI919">
        <v>91.483601513397204</v>
      </c>
      <c r="AJ919">
        <v>91.745767485718105</v>
      </c>
      <c r="AK919">
        <v>42.850821109980501</v>
      </c>
      <c r="AL919">
        <v>87.227909829713298</v>
      </c>
      <c r="AM919">
        <v>85.729170409852202</v>
      </c>
      <c r="AN919">
        <v>1.00000005893862</v>
      </c>
    </row>
    <row r="920" spans="1:40" x14ac:dyDescent="0.25">
      <c r="A920" t="str">
        <f>"20190312154815820"</f>
        <v>20190312154815820</v>
      </c>
      <c r="B920" t="str">
        <f>"1552376895807332"</f>
        <v>1552376895807332</v>
      </c>
      <c r="C920" t="s">
        <v>40</v>
      </c>
      <c r="D920">
        <v>4.1401149999999998</v>
      </c>
      <c r="E920">
        <v>0.46111259999999998</v>
      </c>
      <c r="F920" t="s">
        <v>42</v>
      </c>
      <c r="G920">
        <v>-221.4734</v>
      </c>
      <c r="H920" s="1">
        <v>-3.9114840000000001E-6</v>
      </c>
      <c r="I920">
        <v>370.63600000000002</v>
      </c>
      <c r="J920">
        <v>-269.2002</v>
      </c>
      <c r="K920">
        <v>1.1094919999999999</v>
      </c>
      <c r="L920">
        <v>368.31869999999998</v>
      </c>
      <c r="M920">
        <v>0.99975159999999996</v>
      </c>
      <c r="N920">
        <v>0</v>
      </c>
      <c r="O920">
        <v>1.7551379999999998E-2</v>
      </c>
      <c r="P920">
        <v>0.99779609999999996</v>
      </c>
      <c r="Q920">
        <v>3.473859E-2</v>
      </c>
      <c r="R920">
        <v>-5.6537110000000002E-2</v>
      </c>
      <c r="S920">
        <v>3.017395</v>
      </c>
      <c r="T920">
        <v>-6.9870829999999995E-2</v>
      </c>
      <c r="U920">
        <v>0.14614869999999999</v>
      </c>
      <c r="V920">
        <v>7.4053499999999994E-2</v>
      </c>
      <c r="W920">
        <v>4.8415149999999997E-2</v>
      </c>
      <c r="X920">
        <v>0.99607829999999997</v>
      </c>
      <c r="Y920">
        <v>-3.083518E-2</v>
      </c>
      <c r="Z920" s="1">
        <v>-4.9353929999999997E-5</v>
      </c>
      <c r="AA920">
        <v>0.99952450000000004</v>
      </c>
      <c r="AB920">
        <v>32</v>
      </c>
      <c r="AC920">
        <v>47.726799999999997</v>
      </c>
      <c r="AD920">
        <v>-1.109495911484</v>
      </c>
      <c r="AE920">
        <v>2.3172999999999799</v>
      </c>
      <c r="AF920">
        <v>-1.47839567173465</v>
      </c>
      <c r="AG920">
        <v>-1.109495911484</v>
      </c>
      <c r="AH920">
        <v>47.734386882077203</v>
      </c>
      <c r="AI920">
        <v>91.330854822495098</v>
      </c>
      <c r="AJ920">
        <v>91.773957301610196</v>
      </c>
      <c r="AK920">
        <v>47.770161460347097</v>
      </c>
      <c r="AL920">
        <v>87.224931279544407</v>
      </c>
      <c r="AM920">
        <v>85.748163943366194</v>
      </c>
      <c r="AN920">
        <v>0.99999996367133004</v>
      </c>
    </row>
    <row r="921" spans="1:40" x14ac:dyDescent="0.25">
      <c r="A921" t="str">
        <f>"20190312154815831"</f>
        <v>20190312154815831</v>
      </c>
      <c r="B921" t="str">
        <f>"1552376895826852"</f>
        <v>1552376895826852</v>
      </c>
      <c r="C921" t="s">
        <v>40</v>
      </c>
      <c r="D921">
        <v>4.1870339999999997</v>
      </c>
      <c r="E921">
        <v>0.46111380000000002</v>
      </c>
      <c r="F921" t="s">
        <v>42</v>
      </c>
      <c r="G921">
        <v>-218.59100000000001</v>
      </c>
      <c r="H921" s="1">
        <v>-8.9824469999999903E-7</v>
      </c>
      <c r="I921">
        <v>370.78699999999998</v>
      </c>
      <c r="J921">
        <v>-269.04180000000002</v>
      </c>
      <c r="K921">
        <v>1.1095280000000001</v>
      </c>
      <c r="L921">
        <v>368.32150000000001</v>
      </c>
      <c r="M921">
        <v>0.99975210000000003</v>
      </c>
      <c r="N921">
        <v>0</v>
      </c>
      <c r="O921">
        <v>1.749032E-2</v>
      </c>
      <c r="P921">
        <v>0.9977973</v>
      </c>
      <c r="Q921">
        <v>3.461185E-2</v>
      </c>
      <c r="R921">
        <v>-5.6593449999999997E-2</v>
      </c>
      <c r="S921">
        <v>3.0172729999999999</v>
      </c>
      <c r="T921">
        <v>-6.6146849999999993E-2</v>
      </c>
      <c r="U921">
        <v>0.1471558</v>
      </c>
      <c r="V921">
        <v>7.4050019999999994E-2</v>
      </c>
      <c r="W921">
        <v>4.8326090000000002E-2</v>
      </c>
      <c r="X921">
        <v>0.99608289999999999</v>
      </c>
      <c r="Y921">
        <v>-3.1231249999999999E-2</v>
      </c>
      <c r="Z921" s="1">
        <v>-4.1049990000000001E-5</v>
      </c>
      <c r="AA921">
        <v>0.99951219999999996</v>
      </c>
      <c r="AB921">
        <v>32</v>
      </c>
      <c r="AC921">
        <v>50.450800000000001</v>
      </c>
      <c r="AD921">
        <v>-1.1095288982447</v>
      </c>
      <c r="AE921">
        <v>2.4654999999999601</v>
      </c>
      <c r="AF921">
        <v>-1.58187511882861</v>
      </c>
      <c r="AG921">
        <v>-1.1095288982447</v>
      </c>
      <c r="AH921">
        <v>50.461859399788601</v>
      </c>
      <c r="AI921">
        <v>91.258968354959094</v>
      </c>
      <c r="AJ921">
        <v>91.795516413319106</v>
      </c>
      <c r="AK921">
        <v>50.498837980211398</v>
      </c>
      <c r="AL921">
        <v>87.230040067276803</v>
      </c>
      <c r="AM921">
        <v>85.748382579877898</v>
      </c>
      <c r="AN921">
        <v>0.99999998005454904</v>
      </c>
    </row>
    <row r="922" spans="1:40" x14ac:dyDescent="0.25">
      <c r="A922" t="str">
        <f>"20190312154815842"</f>
        <v>20190312154815842</v>
      </c>
      <c r="B922" t="str">
        <f>"1552376895836613"</f>
        <v>1552376895836613</v>
      </c>
      <c r="C922" t="s">
        <v>40</v>
      </c>
      <c r="D922">
        <v>4.1644839999999999</v>
      </c>
      <c r="E922">
        <v>0.4610958</v>
      </c>
      <c r="F922" t="s">
        <v>42</v>
      </c>
      <c r="G922">
        <v>-214.63579999999999</v>
      </c>
      <c r="H922" s="1">
        <v>-2.6418010000000001E-6</v>
      </c>
      <c r="I922">
        <v>370.96300000000002</v>
      </c>
      <c r="J922">
        <v>-268.8777</v>
      </c>
      <c r="K922">
        <v>1.1095600000000001</v>
      </c>
      <c r="L922">
        <v>368.32420000000002</v>
      </c>
      <c r="M922">
        <v>0.99975270000000005</v>
      </c>
      <c r="N922">
        <v>0</v>
      </c>
      <c r="O922">
        <v>1.7422529999999999E-2</v>
      </c>
      <c r="P922">
        <v>0.99778710000000004</v>
      </c>
      <c r="Q922">
        <v>3.4778919999999998E-2</v>
      </c>
      <c r="R922">
        <v>-5.66665999999999E-2</v>
      </c>
      <c r="S922">
        <v>3.0170590000000002</v>
      </c>
      <c r="T922">
        <v>-6.1528439999999997E-2</v>
      </c>
      <c r="U922">
        <v>0.14648439999999999</v>
      </c>
      <c r="V922">
        <v>7.4056769999999994E-2</v>
      </c>
      <c r="W922">
        <v>4.8529929999999999E-2</v>
      </c>
      <c r="X922">
        <v>0.99607250000000003</v>
      </c>
      <c r="Y922">
        <v>-3.1081020000000001E-2</v>
      </c>
      <c r="Z922" s="1">
        <v>-3.8337460000000001E-5</v>
      </c>
      <c r="AA922">
        <v>0.99951679999999998</v>
      </c>
      <c r="AB922">
        <v>31</v>
      </c>
      <c r="AC922">
        <v>54.241900000000001</v>
      </c>
      <c r="AD922">
        <v>-1.1095626418009901</v>
      </c>
      <c r="AE922">
        <v>2.6387999999999998</v>
      </c>
      <c r="AF922">
        <v>-1.6925714372399301</v>
      </c>
      <c r="AG922">
        <v>-1.1095626418009901</v>
      </c>
      <c r="AH922">
        <v>54.256994622117602</v>
      </c>
      <c r="AI922">
        <v>91.170973419893301</v>
      </c>
      <c r="AJ922">
        <v>91.786788245856002</v>
      </c>
      <c r="AK922">
        <v>54.2947271173798</v>
      </c>
      <c r="AL922">
        <v>87.218347209784497</v>
      </c>
      <c r="AM922">
        <v>85.747952214312505</v>
      </c>
      <c r="AN922">
        <v>0.99999999227244296</v>
      </c>
    </row>
    <row r="923" spans="1:40" x14ac:dyDescent="0.25">
      <c r="A923" t="str">
        <f>"20190312154815855"</f>
        <v>20190312154815855</v>
      </c>
      <c r="B923" t="str">
        <f>"1552376895847348"</f>
        <v>1552376895847348</v>
      </c>
      <c r="C923" t="s">
        <v>40</v>
      </c>
      <c r="D923">
        <v>4.1730340000000004</v>
      </c>
      <c r="E923">
        <v>0.46112530000000002</v>
      </c>
      <c r="F923" t="s">
        <v>42</v>
      </c>
      <c r="G923">
        <v>-212.4931</v>
      </c>
      <c r="H923" s="1">
        <v>-3.5865770000000001E-6</v>
      </c>
      <c r="I923">
        <v>371.05900000000003</v>
      </c>
      <c r="J923">
        <v>-268.71640000000002</v>
      </c>
      <c r="K923">
        <v>1.1095930000000001</v>
      </c>
      <c r="L923">
        <v>368.327</v>
      </c>
      <c r="M923">
        <v>0.99975369999999997</v>
      </c>
      <c r="N923">
        <v>0</v>
      </c>
      <c r="O923">
        <v>1.7346919999999998E-2</v>
      </c>
      <c r="P923">
        <v>0.99777990000000005</v>
      </c>
      <c r="Q923">
        <v>3.4881509999999998E-2</v>
      </c>
      <c r="R923">
        <v>-5.6734420000000001E-2</v>
      </c>
      <c r="S923">
        <v>3.017029</v>
      </c>
      <c r="T923">
        <v>-5.9370520000000003E-2</v>
      </c>
      <c r="U923">
        <v>0.14633180000000001</v>
      </c>
      <c r="V923">
        <v>7.4049899999999905E-2</v>
      </c>
      <c r="W923">
        <v>4.8665670000000001E-2</v>
      </c>
      <c r="X923">
        <v>0.99606640000000002</v>
      </c>
      <c r="Y923">
        <v>-3.1106849999999998E-2</v>
      </c>
      <c r="Z923" s="1">
        <v>-3.5253090000000002E-5</v>
      </c>
      <c r="AA923">
        <v>0.99951610000000002</v>
      </c>
      <c r="AB923">
        <v>31</v>
      </c>
      <c r="AC923">
        <v>56.223300000000002</v>
      </c>
      <c r="AD923">
        <v>-1.1095965865770001</v>
      </c>
      <c r="AE923">
        <v>2.7320000000000202</v>
      </c>
      <c r="AF923">
        <v>-1.7555121477303399</v>
      </c>
      <c r="AG923">
        <v>-1.1095965865770001</v>
      </c>
      <c r="AH923">
        <v>56.240381304868002</v>
      </c>
      <c r="AI923">
        <v>91.129722372449706</v>
      </c>
      <c r="AJ923">
        <v>91.787875298211304</v>
      </c>
      <c r="AK923">
        <v>56.278712821125502</v>
      </c>
      <c r="AL923">
        <v>87.210560713476099</v>
      </c>
      <c r="AM923">
        <v>85.748319274116199</v>
      </c>
      <c r="AN923">
        <v>1.0000000041677499</v>
      </c>
    </row>
    <row r="924" spans="1:40" x14ac:dyDescent="0.25">
      <c r="A924" t="str">
        <f>"20190312154815866"</f>
        <v>20190312154815866</v>
      </c>
      <c r="B924" t="str">
        <f>"1552376895857108"</f>
        <v>1552376895857108</v>
      </c>
      <c r="C924" t="s">
        <v>40</v>
      </c>
      <c r="D924">
        <v>4.2035589999999896</v>
      </c>
      <c r="E924">
        <v>0.4611402</v>
      </c>
      <c r="F924" t="s">
        <v>42</v>
      </c>
      <c r="G924">
        <v>-210.3597</v>
      </c>
      <c r="H924" s="1">
        <v>-4.4258080000000003E-6</v>
      </c>
      <c r="I924">
        <v>371.15100000000001</v>
      </c>
      <c r="J924">
        <v>-268.5478</v>
      </c>
      <c r="K924">
        <v>1.1096189999999999</v>
      </c>
      <c r="L924">
        <v>368.32990000000001</v>
      </c>
      <c r="M924">
        <v>0.99975440000000004</v>
      </c>
      <c r="N924">
        <v>0</v>
      </c>
      <c r="O924">
        <v>1.7265160000000002E-2</v>
      </c>
      <c r="P924">
        <v>0.99775429999999998</v>
      </c>
      <c r="Q924">
        <v>3.4867160000000001E-2</v>
      </c>
      <c r="R924">
        <v>-5.7190390000000001E-2</v>
      </c>
      <c r="S924">
        <v>3.0169679999999999</v>
      </c>
      <c r="T924">
        <v>-5.73646999999999E-2</v>
      </c>
      <c r="U924">
        <v>0.14599609999999999</v>
      </c>
      <c r="V924">
        <v>7.4424829999999997E-2</v>
      </c>
      <c r="W924">
        <v>4.8684249999999998E-2</v>
      </c>
      <c r="X924">
        <v>0.99603750000000002</v>
      </c>
      <c r="Y924">
        <v>-3.1078769999999999E-2</v>
      </c>
      <c r="Z924" s="1">
        <v>-3.2777000000000001E-5</v>
      </c>
      <c r="AA924">
        <v>0.99951699999999999</v>
      </c>
      <c r="AB924">
        <v>31</v>
      </c>
      <c r="AC924">
        <v>58.188099999999899</v>
      </c>
      <c r="AD924">
        <v>-1.109623425808</v>
      </c>
      <c r="AE924">
        <v>2.8210999999999999</v>
      </c>
      <c r="AF924">
        <v>-1.81529699474601</v>
      </c>
      <c r="AG924">
        <v>-1.109623425808</v>
      </c>
      <c r="AH924">
        <v>58.207019291440901</v>
      </c>
      <c r="AI924">
        <v>91.091589222518806</v>
      </c>
      <c r="AJ924">
        <v>91.786299261052605</v>
      </c>
      <c r="AK924">
        <v>58.245889658587998</v>
      </c>
      <c r="AL924">
        <v>87.209494761324393</v>
      </c>
      <c r="AM924">
        <v>85.726748144554804</v>
      </c>
      <c r="AN924">
        <v>0.99999995646241902</v>
      </c>
    </row>
    <row r="925" spans="1:40" x14ac:dyDescent="0.25">
      <c r="A925" t="str">
        <f>"20190312154815877"</f>
        <v>20190312154815877</v>
      </c>
      <c r="B925" t="str">
        <f>"1552376895866868"</f>
        <v>1552376895866868</v>
      </c>
      <c r="C925" t="s">
        <v>40</v>
      </c>
      <c r="D925">
        <v>4.2273550000000002</v>
      </c>
      <c r="E925">
        <v>0.46113290000000001</v>
      </c>
      <c r="F925" t="s">
        <v>45</v>
      </c>
      <c r="G925">
        <v>-208.53129999999999</v>
      </c>
      <c r="H925" s="1">
        <v>-6.1073010000000002E-6</v>
      </c>
      <c r="I925">
        <v>371.20440000000002</v>
      </c>
      <c r="J925">
        <v>-268.38560000000001</v>
      </c>
      <c r="K925">
        <v>1.109642</v>
      </c>
      <c r="L925">
        <v>368.33260000000001</v>
      </c>
      <c r="M925">
        <v>0.99975539999999996</v>
      </c>
      <c r="N925">
        <v>0</v>
      </c>
      <c r="O925">
        <v>1.717921E-2</v>
      </c>
      <c r="P925">
        <v>0.99772950000000005</v>
      </c>
      <c r="Q925">
        <v>3.4877640000000001E-2</v>
      </c>
      <c r="R925">
        <v>-5.7613369999999997E-2</v>
      </c>
      <c r="S925">
        <v>3.0169980000000001</v>
      </c>
      <c r="T925">
        <v>-5.5780290000000003E-2</v>
      </c>
      <c r="U925">
        <v>0.14450070000000001</v>
      </c>
      <c r="V925">
        <v>7.4762709999999996E-2</v>
      </c>
      <c r="W925">
        <v>4.8722830000000002E-2</v>
      </c>
      <c r="X925">
        <v>0.99601039999999996</v>
      </c>
      <c r="Y925">
        <v>-3.0670119999999999E-2</v>
      </c>
      <c r="Z925" s="1">
        <v>-3.4059919999999997E-5</v>
      </c>
      <c r="AA925">
        <v>0.99952949999999996</v>
      </c>
      <c r="AB925">
        <v>31</v>
      </c>
      <c r="AC925">
        <v>59.854300000000002</v>
      </c>
      <c r="AD925">
        <v>-1.1096481073010001</v>
      </c>
      <c r="AE925">
        <v>2.8717999999999999</v>
      </c>
      <c r="AF925">
        <v>-1.8423949874144101</v>
      </c>
      <c r="AG925">
        <v>-1.1096481073010001</v>
      </c>
      <c r="AH925">
        <v>59.874273880483898</v>
      </c>
      <c r="AI925">
        <v>91.0612372146296</v>
      </c>
      <c r="AJ925">
        <v>91.762495840121701</v>
      </c>
      <c r="AK925">
        <v>59.912890190065802</v>
      </c>
      <c r="AL925">
        <v>87.2072819165993</v>
      </c>
      <c r="AM925">
        <v>85.707304074076802</v>
      </c>
      <c r="AN925">
        <v>1.0000000469389501</v>
      </c>
    </row>
    <row r="926" spans="1:40" x14ac:dyDescent="0.25">
      <c r="A926" t="str">
        <f>"20190312154815889"</f>
        <v>20190312154815889</v>
      </c>
      <c r="B926" t="str">
        <f>"1552376895876628"</f>
        <v>1552376895876628</v>
      </c>
      <c r="C926" t="s">
        <v>40</v>
      </c>
      <c r="D926">
        <v>4.2189319999999997</v>
      </c>
      <c r="E926">
        <v>0.46113290000000001</v>
      </c>
      <c r="F926" t="s">
        <v>45</v>
      </c>
      <c r="G926">
        <v>-208.14510000000001</v>
      </c>
      <c r="H926" s="1">
        <v>-5.9786069999999998E-6</v>
      </c>
      <c r="I926">
        <v>371.20069999999998</v>
      </c>
      <c r="J926">
        <v>-268.23410000000001</v>
      </c>
      <c r="K926">
        <v>1.1096629999999901</v>
      </c>
      <c r="L926">
        <v>368.33510000000001</v>
      </c>
      <c r="M926">
        <v>0.9997566</v>
      </c>
      <c r="N926">
        <v>0</v>
      </c>
      <c r="O926">
        <v>1.7096879999999998E-2</v>
      </c>
      <c r="P926">
        <v>0.99770809999999999</v>
      </c>
      <c r="Q926">
        <v>3.4994940000000002E-2</v>
      </c>
      <c r="R926">
        <v>-5.7911079999999997E-2</v>
      </c>
      <c r="S926">
        <v>3.0170590000000002</v>
      </c>
      <c r="T926">
        <v>-5.557513E-2</v>
      </c>
      <c r="U926">
        <v>0.1436462</v>
      </c>
      <c r="V926">
        <v>7.4978999999999907E-2</v>
      </c>
      <c r="W926">
        <v>4.8865699999999998E-2</v>
      </c>
      <c r="X926">
        <v>0.99598710000000001</v>
      </c>
      <c r="Y926">
        <v>-3.0469059999999999E-2</v>
      </c>
      <c r="Z926" s="1">
        <v>-3.4269820000000003E-5</v>
      </c>
      <c r="AA926">
        <v>0.99953570000000003</v>
      </c>
      <c r="AB926">
        <v>31</v>
      </c>
      <c r="AC926">
        <v>60.088999999999999</v>
      </c>
      <c r="AD926">
        <v>-1.10966897860699</v>
      </c>
      <c r="AE926">
        <v>2.8655999999999699</v>
      </c>
      <c r="AF926">
        <v>-1.83712166448271</v>
      </c>
      <c r="AG926">
        <v>-1.10966897860699</v>
      </c>
      <c r="AH926">
        <v>60.108760544925197</v>
      </c>
      <c r="AI926">
        <v>91.057124833494797</v>
      </c>
      <c r="AJ926">
        <v>91.750602748498295</v>
      </c>
      <c r="AK926">
        <v>60.147065393910502</v>
      </c>
      <c r="AL926">
        <v>87.199086189822395</v>
      </c>
      <c r="AM926">
        <v>85.694831508268095</v>
      </c>
      <c r="AN926">
        <v>1.00000000522195</v>
      </c>
    </row>
    <row r="927" spans="1:40" x14ac:dyDescent="0.25">
      <c r="A927" t="str">
        <f>"20190312154815900"</f>
        <v>20190312154815900</v>
      </c>
      <c r="B927" t="str">
        <f>"1552376895896654"</f>
        <v>1552376895896654</v>
      </c>
      <c r="C927" t="s">
        <v>40</v>
      </c>
      <c r="D927">
        <v>4.3108040000000001</v>
      </c>
      <c r="E927">
        <v>0.47554600000000002</v>
      </c>
      <c r="F927" t="s">
        <v>45</v>
      </c>
      <c r="G927">
        <v>-207.5385</v>
      </c>
      <c r="H927" s="1">
        <v>-5.7753149999999998E-6</v>
      </c>
      <c r="I927">
        <v>371.20209999999997</v>
      </c>
      <c r="J927">
        <v>-268.07220000000001</v>
      </c>
      <c r="K927">
        <v>1.1096839999999999</v>
      </c>
      <c r="L927">
        <v>368.33780000000002</v>
      </c>
      <c r="M927">
        <v>0.99975780000000003</v>
      </c>
      <c r="N927">
        <v>0</v>
      </c>
      <c r="O927">
        <v>1.7005139999999998E-2</v>
      </c>
      <c r="P927">
        <v>0.99767240000000001</v>
      </c>
      <c r="Q927">
        <v>3.5153860000000002E-2</v>
      </c>
      <c r="R927">
        <v>-5.8430849999999999E-2</v>
      </c>
      <c r="S927">
        <v>3.0170590000000002</v>
      </c>
      <c r="T927">
        <v>-5.5159449999999999E-2</v>
      </c>
      <c r="U927">
        <v>0.14251710000000001</v>
      </c>
      <c r="V927">
        <v>7.5407299999999997E-2</v>
      </c>
      <c r="W927">
        <v>4.9049549999999997E-2</v>
      </c>
      <c r="X927">
        <v>0.99594579999999999</v>
      </c>
      <c r="Y927">
        <v>-3.0187599999999998E-2</v>
      </c>
      <c r="Z927" s="1">
        <v>-3.4909549999999999E-5</v>
      </c>
      <c r="AA927">
        <v>0.99954430000000005</v>
      </c>
      <c r="AB927">
        <v>31</v>
      </c>
      <c r="AC927">
        <v>60.533700000000003</v>
      </c>
      <c r="AD927">
        <v>-1.1096897753149999</v>
      </c>
      <c r="AE927">
        <v>2.8642999999999499</v>
      </c>
      <c r="AF927">
        <v>-1.8337863648463999</v>
      </c>
      <c r="AG927">
        <v>-1.1096897753149999</v>
      </c>
      <c r="AH927">
        <v>60.553354102704603</v>
      </c>
      <c r="AI927">
        <v>91.049393550491502</v>
      </c>
      <c r="AJ927">
        <v>91.734604445538196</v>
      </c>
      <c r="AK927">
        <v>60.5912772345728</v>
      </c>
      <c r="AL927">
        <v>87.188539918537302</v>
      </c>
      <c r="AM927">
        <v>85.670153629541204</v>
      </c>
      <c r="AN927">
        <v>1.00000007789306</v>
      </c>
    </row>
    <row r="928" spans="1:40" x14ac:dyDescent="0.25">
      <c r="A928" t="str">
        <f>"20190312154815912"</f>
        <v>20190312154815912</v>
      </c>
      <c r="B928" t="str">
        <f>"1552376895907391"</f>
        <v>1552376895907391</v>
      </c>
      <c r="C928" t="s">
        <v>40</v>
      </c>
      <c r="D928">
        <v>4.2594130000000003</v>
      </c>
      <c r="E928">
        <v>0.478966</v>
      </c>
      <c r="F928" t="s">
        <v>44</v>
      </c>
      <c r="G928">
        <v>-158.78319999999999</v>
      </c>
      <c r="H928">
        <v>6.1576810000000002</v>
      </c>
      <c r="I928">
        <v>369.00740000000002</v>
      </c>
      <c r="J928">
        <v>-267.91320000000002</v>
      </c>
      <c r="K928">
        <v>1.109702</v>
      </c>
      <c r="L928">
        <v>368.34039999999999</v>
      </c>
      <c r="M928">
        <v>0.99975899999999995</v>
      </c>
      <c r="N928">
        <v>0</v>
      </c>
      <c r="O928">
        <v>1.6912420000000001E-2</v>
      </c>
      <c r="P928">
        <v>0.99764200000000003</v>
      </c>
      <c r="Q928">
        <v>3.5410030000000002E-2</v>
      </c>
      <c r="R928">
        <v>-5.8794689999999997E-2</v>
      </c>
      <c r="S928">
        <v>3.0032040000000002</v>
      </c>
      <c r="T928">
        <v>0.13871849999999999</v>
      </c>
      <c r="U928">
        <v>1.8402100000000001E-2</v>
      </c>
      <c r="V928">
        <v>7.5678860000000001E-2</v>
      </c>
      <c r="W928">
        <v>4.9328629999999998E-2</v>
      </c>
      <c r="X928">
        <v>0.9959114</v>
      </c>
      <c r="Y928">
        <v>1.075776E-2</v>
      </c>
      <c r="Z928">
        <v>1.029119E-3</v>
      </c>
      <c r="AA928">
        <v>0.99994159999999999</v>
      </c>
      <c r="AB928">
        <v>31</v>
      </c>
      <c r="AC928">
        <v>109.13</v>
      </c>
      <c r="AD928">
        <v>5.0479789999999998</v>
      </c>
      <c r="AE928">
        <v>0.66700000000003001</v>
      </c>
      <c r="AF928">
        <v>1.1764115919745901</v>
      </c>
      <c r="AG928">
        <v>5.0479789999999998</v>
      </c>
      <c r="AH928">
        <v>108.8926845987</v>
      </c>
      <c r="AI928">
        <v>87.345972921364805</v>
      </c>
      <c r="AJ928">
        <v>89.381034664306696</v>
      </c>
      <c r="AK928">
        <v>109.015974954729</v>
      </c>
      <c r="AL928">
        <v>87.172530383554502</v>
      </c>
      <c r="AM928">
        <v>85.654470898295799</v>
      </c>
      <c r="AN928">
        <v>1.00000006011926</v>
      </c>
    </row>
    <row r="929" spans="1:40" x14ac:dyDescent="0.25">
      <c r="A929" t="str">
        <f>"20190312154815923"</f>
        <v>20190312154815923</v>
      </c>
      <c r="B929" t="str">
        <f>"1552376895917151"</f>
        <v>1552376895917151</v>
      </c>
      <c r="C929" t="s">
        <v>40</v>
      </c>
      <c r="D929">
        <v>4.3063310000000001</v>
      </c>
      <c r="E929">
        <v>0.48078270000000001</v>
      </c>
      <c r="F929" t="s">
        <v>44</v>
      </c>
      <c r="G929">
        <v>-163.1525</v>
      </c>
      <c r="H929">
        <v>6.6740899999999996</v>
      </c>
      <c r="I929">
        <v>367.9633</v>
      </c>
      <c r="J929">
        <v>-267.74759999999998</v>
      </c>
      <c r="K929">
        <v>1.10972</v>
      </c>
      <c r="L929">
        <v>368.34309999999999</v>
      </c>
      <c r="M929">
        <v>0.99976030000000005</v>
      </c>
      <c r="N929">
        <v>0</v>
      </c>
      <c r="O929">
        <v>1.6814349999999999E-2</v>
      </c>
      <c r="P929">
        <v>0.99760219999999999</v>
      </c>
      <c r="Q929">
        <v>3.5543350000000001E-2</v>
      </c>
      <c r="R929">
        <v>-5.9386109999999999E-2</v>
      </c>
      <c r="S929">
        <v>3.0007320000000002</v>
      </c>
      <c r="T929">
        <v>0.159387</v>
      </c>
      <c r="U929">
        <v>-1.0803220000000001E-2</v>
      </c>
      <c r="V929">
        <v>7.6172630000000005E-2</v>
      </c>
      <c r="W929">
        <v>4.9484359999999998E-2</v>
      </c>
      <c r="X929">
        <v>0.99586589999999997</v>
      </c>
      <c r="Y929">
        <v>2.0363139999999998E-2</v>
      </c>
      <c r="Z929">
        <v>1.4329639999999999E-3</v>
      </c>
      <c r="AA929">
        <v>0.9997916</v>
      </c>
      <c r="AB929">
        <v>31</v>
      </c>
      <c r="AC929">
        <v>104.59509999999899</v>
      </c>
      <c r="AD929">
        <v>5.5643699999999896</v>
      </c>
      <c r="AE929">
        <v>-0.37979999999998798</v>
      </c>
      <c r="AF929">
        <v>2.1325823930251899</v>
      </c>
      <c r="AG929">
        <v>5.5643699999999896</v>
      </c>
      <c r="AH929">
        <v>104.27880296828501</v>
      </c>
      <c r="AI929">
        <v>86.946202180826006</v>
      </c>
      <c r="AJ929">
        <v>88.828420187198603</v>
      </c>
      <c r="AK929">
        <v>104.44892948067201</v>
      </c>
      <c r="AL929">
        <v>87.163596436024307</v>
      </c>
      <c r="AM929">
        <v>85.626028911436194</v>
      </c>
      <c r="AN929">
        <v>0.99999993111426499</v>
      </c>
    </row>
    <row r="930" spans="1:40" x14ac:dyDescent="0.25">
      <c r="A930" t="str">
        <f>"20190312154815934"</f>
        <v>20190312154815934</v>
      </c>
      <c r="B930" t="str">
        <f>"1552376895926910"</f>
        <v>1552376895926910</v>
      </c>
      <c r="C930" t="s">
        <v>40</v>
      </c>
      <c r="D930">
        <v>4.3710769999999997</v>
      </c>
      <c r="E930">
        <v>0.482956</v>
      </c>
      <c r="F930" t="s">
        <v>44</v>
      </c>
      <c r="G930">
        <v>-167.55199999999999</v>
      </c>
      <c r="H930">
        <v>6.6740899999999996</v>
      </c>
      <c r="I930">
        <v>367.41849999999999</v>
      </c>
      <c r="J930">
        <v>-267.59870000000001</v>
      </c>
      <c r="K930">
        <v>1.109734</v>
      </c>
      <c r="L930">
        <v>368.34550000000002</v>
      </c>
      <c r="M930">
        <v>0.99976160000000003</v>
      </c>
      <c r="N930">
        <v>0</v>
      </c>
      <c r="O930">
        <v>1.672409E-2</v>
      </c>
      <c r="P930">
        <v>0.99757189999999996</v>
      </c>
      <c r="Q930">
        <v>3.556206E-2</v>
      </c>
      <c r="R930">
        <v>-5.9883150000000003E-2</v>
      </c>
      <c r="S930">
        <v>2.9996640000000001</v>
      </c>
      <c r="T930">
        <v>0.16658909999999999</v>
      </c>
      <c r="U930">
        <v>-2.767944E-2</v>
      </c>
      <c r="V930">
        <v>7.6579419999999995E-2</v>
      </c>
      <c r="W930">
        <v>4.9521030000000001E-2</v>
      </c>
      <c r="X930">
        <v>0.99583290000000002</v>
      </c>
      <c r="Y930">
        <v>2.5885189999999999E-2</v>
      </c>
      <c r="Z930">
        <v>1.64634E-3</v>
      </c>
      <c r="AA930">
        <v>0.99966359999999999</v>
      </c>
      <c r="AB930">
        <v>31</v>
      </c>
      <c r="AC930">
        <v>100.0467</v>
      </c>
      <c r="AD930">
        <v>5.5643560000000001</v>
      </c>
      <c r="AE930">
        <v>-0.92700000000002003</v>
      </c>
      <c r="AF930">
        <v>2.59220738731335</v>
      </c>
      <c r="AG930">
        <v>5.5643560000000001</v>
      </c>
      <c r="AH930">
        <v>99.708795884257697</v>
      </c>
      <c r="AI930">
        <v>86.806937502444001</v>
      </c>
      <c r="AJ930">
        <v>88.510772356682295</v>
      </c>
      <c r="AK930">
        <v>99.897575413631202</v>
      </c>
      <c r="AL930">
        <v>87.161492880921202</v>
      </c>
      <c r="AM930">
        <v>85.602616516132798</v>
      </c>
      <c r="AN930">
        <v>0.99999995235110195</v>
      </c>
    </row>
    <row r="931" spans="1:40" x14ac:dyDescent="0.25">
      <c r="A931" t="str">
        <f>"20190312154815946"</f>
        <v>20190312154815946</v>
      </c>
      <c r="B931" t="str">
        <f>"1552376895936670"</f>
        <v>1552376895936670</v>
      </c>
      <c r="C931" t="s">
        <v>40</v>
      </c>
      <c r="D931">
        <v>4.3947859999999999</v>
      </c>
      <c r="E931">
        <v>0.48460750000000002</v>
      </c>
      <c r="F931" t="s">
        <v>44</v>
      </c>
      <c r="G931">
        <v>-170.08879999999999</v>
      </c>
      <c r="H931">
        <v>6.8898109999999999</v>
      </c>
      <c r="I931">
        <v>366.82</v>
      </c>
      <c r="J931">
        <v>-267.44159999999999</v>
      </c>
      <c r="K931">
        <v>1.109748</v>
      </c>
      <c r="L931">
        <v>368.34800000000001</v>
      </c>
      <c r="M931">
        <v>0.99976299999999996</v>
      </c>
      <c r="N931">
        <v>0</v>
      </c>
      <c r="O931">
        <v>1.662858E-2</v>
      </c>
      <c r="P931">
        <v>0.99754600000000004</v>
      </c>
      <c r="Q931">
        <v>3.5624280000000001E-2</v>
      </c>
      <c r="R931">
        <v>-6.0274469999999997E-2</v>
      </c>
      <c r="S931">
        <v>2.998138</v>
      </c>
      <c r="T931">
        <v>0.17772270000000001</v>
      </c>
      <c r="U931">
        <v>-4.6905519999999999E-2</v>
      </c>
      <c r="V931">
        <v>7.6875589999999994E-2</v>
      </c>
      <c r="W931">
        <v>4.9602479999999997E-2</v>
      </c>
      <c r="X931">
        <v>0.99580610000000003</v>
      </c>
      <c r="Y931">
        <v>3.2183320000000001E-2</v>
      </c>
      <c r="Z931">
        <v>1.937856E-3</v>
      </c>
      <c r="AA931">
        <v>0.99948009999999998</v>
      </c>
      <c r="AB931">
        <v>31</v>
      </c>
      <c r="AC931">
        <v>97.352800000000002</v>
      </c>
      <c r="AD931">
        <v>5.7800630000000002</v>
      </c>
      <c r="AE931">
        <v>-1.52800000000002</v>
      </c>
      <c r="AF931">
        <v>3.1357363633772302</v>
      </c>
      <c r="AG931">
        <v>5.7800630000000002</v>
      </c>
      <c r="AH931">
        <v>96.972176020679498</v>
      </c>
      <c r="AI931">
        <v>86.590677160835796</v>
      </c>
      <c r="AJ931">
        <v>88.147902995571997</v>
      </c>
      <c r="AK931">
        <v>97.194881002088906</v>
      </c>
      <c r="AL931">
        <v>87.156820605628596</v>
      </c>
      <c r="AM931">
        <v>85.585558446543303</v>
      </c>
      <c r="AN931">
        <v>1.0000000255785999</v>
      </c>
    </row>
    <row r="932" spans="1:40" x14ac:dyDescent="0.25">
      <c r="A932" t="str">
        <f>"20190312154815959"</f>
        <v>20190312154815959</v>
      </c>
      <c r="B932" t="str">
        <f>"1552376895946431"</f>
        <v>1552376895946431</v>
      </c>
      <c r="C932" t="s">
        <v>40</v>
      </c>
      <c r="D932">
        <v>4.2898690000000004</v>
      </c>
      <c r="E932">
        <v>0.48544730000000003</v>
      </c>
      <c r="F932" t="s">
        <v>44</v>
      </c>
      <c r="G932">
        <v>-170.08879999999999</v>
      </c>
      <c r="H932">
        <v>7.2038679999999902</v>
      </c>
      <c r="I932">
        <v>366.35250000000002</v>
      </c>
      <c r="J932">
        <v>-267.2475</v>
      </c>
      <c r="K932">
        <v>1.1097589999999999</v>
      </c>
      <c r="L932">
        <v>368.35109999999997</v>
      </c>
      <c r="M932">
        <v>0.99976449999999994</v>
      </c>
      <c r="N932">
        <v>0</v>
      </c>
      <c r="O932">
        <v>1.6508869999999998E-2</v>
      </c>
      <c r="P932">
        <v>0.99753360000000002</v>
      </c>
      <c r="Q932">
        <v>3.5454189999999997E-2</v>
      </c>
      <c r="R932">
        <v>-6.0580389999999998E-2</v>
      </c>
      <c r="S932">
        <v>2.9970089999999998</v>
      </c>
      <c r="T932">
        <v>0.18761040000000001</v>
      </c>
      <c r="U932">
        <v>-6.1431880000000001E-2</v>
      </c>
      <c r="V932">
        <v>7.7061969999999994E-2</v>
      </c>
      <c r="W932">
        <v>4.945389E-2</v>
      </c>
      <c r="X932">
        <v>0.99579910000000005</v>
      </c>
      <c r="Y932">
        <v>3.6893179999999998E-2</v>
      </c>
      <c r="Z932">
        <v>2.1859259999999999E-3</v>
      </c>
      <c r="AA932">
        <v>0.99931680000000001</v>
      </c>
      <c r="AB932">
        <v>31</v>
      </c>
      <c r="AC932">
        <v>97.158699999999996</v>
      </c>
      <c r="AD932">
        <v>6.0941090000000004</v>
      </c>
      <c r="AE932">
        <v>-1.99859999999995</v>
      </c>
      <c r="AF932">
        <v>3.5883557052425199</v>
      </c>
      <c r="AG932">
        <v>6.0941090000000004</v>
      </c>
      <c r="AH932">
        <v>96.732055793233599</v>
      </c>
      <c r="AI932">
        <v>86.397607543170594</v>
      </c>
      <c r="AJ932">
        <v>87.875539750095797</v>
      </c>
      <c r="AK932">
        <v>96.9902318749496</v>
      </c>
      <c r="AL932">
        <v>87.165344690401497</v>
      </c>
      <c r="AM932">
        <v>85.574867387379101</v>
      </c>
      <c r="AN932">
        <v>1.0000000410086101</v>
      </c>
    </row>
    <row r="933" spans="1:40" x14ac:dyDescent="0.25">
      <c r="A933" t="str">
        <f>"20190312154815973"</f>
        <v>20190312154815973</v>
      </c>
      <c r="B933" t="str">
        <f>"1552376895966926"</f>
        <v>1552376895966926</v>
      </c>
      <c r="C933" t="s">
        <v>40</v>
      </c>
      <c r="D933">
        <v>4.3378170000000003</v>
      </c>
      <c r="E933">
        <v>0.48604009999999997</v>
      </c>
      <c r="F933" t="s">
        <v>44</v>
      </c>
      <c r="G933">
        <v>-170.08879999999999</v>
      </c>
      <c r="H933">
        <v>7.4679890000000002</v>
      </c>
      <c r="I933">
        <v>366.09980000000002</v>
      </c>
      <c r="J933">
        <v>-267.05529999999999</v>
      </c>
      <c r="K933">
        <v>1.109772</v>
      </c>
      <c r="L933">
        <v>368.35419999999999</v>
      </c>
      <c r="M933">
        <v>0.99976620000000005</v>
      </c>
      <c r="N933">
        <v>0</v>
      </c>
      <c r="O933">
        <v>1.6390140000000001E-2</v>
      </c>
      <c r="P933">
        <v>0.99753130000000001</v>
      </c>
      <c r="Q933">
        <v>3.5243240000000002E-2</v>
      </c>
      <c r="R933">
        <v>-6.0740000000000002E-2</v>
      </c>
      <c r="S933">
        <v>2.9962460000000002</v>
      </c>
      <c r="T933">
        <v>0.19608200000000001</v>
      </c>
      <c r="U933">
        <v>-6.9427489999999994E-2</v>
      </c>
      <c r="V933">
        <v>7.7103679999999994E-2</v>
      </c>
      <c r="W933">
        <v>4.9262899999999998E-2</v>
      </c>
      <c r="X933">
        <v>0.9958053</v>
      </c>
      <c r="Y933">
        <v>3.943017E-2</v>
      </c>
      <c r="Z933">
        <v>2.3600990000000001E-3</v>
      </c>
      <c r="AA933">
        <v>0.99921950000000004</v>
      </c>
      <c r="AB933">
        <v>31</v>
      </c>
      <c r="AC933">
        <v>96.966499999999996</v>
      </c>
      <c r="AD933">
        <v>6.3582169999999998</v>
      </c>
      <c r="AE933">
        <v>-2.2543999999999702</v>
      </c>
      <c r="AF933">
        <v>3.8271036135309999</v>
      </c>
      <c r="AG933">
        <v>6.3582169999999998</v>
      </c>
      <c r="AH933">
        <v>96.501824224250598</v>
      </c>
      <c r="AI933">
        <v>86.233352998765298</v>
      </c>
      <c r="AJ933">
        <v>87.728933764070703</v>
      </c>
      <c r="AK933">
        <v>96.786753866921103</v>
      </c>
      <c r="AL933">
        <v>87.176300858158299</v>
      </c>
      <c r="AM933">
        <v>85.572509249841204</v>
      </c>
      <c r="AN933">
        <v>1.00000000314702</v>
      </c>
    </row>
    <row r="934" spans="1:40" x14ac:dyDescent="0.25">
      <c r="A934" t="str">
        <f>"20190312154815989"</f>
        <v>20190312154815989</v>
      </c>
      <c r="B934" t="str">
        <f>"1552376895976686"</f>
        <v>1552376895976686</v>
      </c>
      <c r="C934" t="s">
        <v>40</v>
      </c>
      <c r="D934">
        <v>4.3089120000000003</v>
      </c>
      <c r="E934">
        <v>0.486147</v>
      </c>
      <c r="F934" t="s">
        <v>44</v>
      </c>
      <c r="G934">
        <v>-170.08879999999999</v>
      </c>
      <c r="H934">
        <v>7.5316640000000001</v>
      </c>
      <c r="I934">
        <v>365.93720000000002</v>
      </c>
      <c r="J934">
        <v>-266.84140000000002</v>
      </c>
      <c r="K934">
        <v>1.109785</v>
      </c>
      <c r="L934">
        <v>368.35759999999999</v>
      </c>
      <c r="M934">
        <v>0.9997682</v>
      </c>
      <c r="N934">
        <v>0</v>
      </c>
      <c r="O934">
        <v>1.6258060000000001E-2</v>
      </c>
      <c r="P934">
        <v>0.99752980000000002</v>
      </c>
      <c r="Q934">
        <v>3.5049940000000002E-2</v>
      </c>
      <c r="R934">
        <v>-6.088056E-2</v>
      </c>
      <c r="S934">
        <v>2.9958800000000001</v>
      </c>
      <c r="T934">
        <v>0.1984136</v>
      </c>
      <c r="U934">
        <v>-7.4676510000000001E-2</v>
      </c>
      <c r="V934">
        <v>7.71125E-2</v>
      </c>
      <c r="W934">
        <v>4.9090019999999998E-2</v>
      </c>
      <c r="X934">
        <v>0.99581310000000001</v>
      </c>
      <c r="Y934">
        <v>4.1044530000000003E-2</v>
      </c>
      <c r="Z934">
        <v>2.4330020000000001E-3</v>
      </c>
      <c r="AA934">
        <v>0.99915430000000005</v>
      </c>
      <c r="AB934">
        <v>31</v>
      </c>
      <c r="AC934">
        <v>96.752600000000001</v>
      </c>
      <c r="AD934">
        <v>6.4218789999999997</v>
      </c>
      <c r="AE934">
        <v>-2.4203999999999701</v>
      </c>
      <c r="AF934">
        <v>3.9757419901012798</v>
      </c>
      <c r="AG934">
        <v>6.4218789999999997</v>
      </c>
      <c r="AH934">
        <v>96.276569827916205</v>
      </c>
      <c r="AI934">
        <v>86.187126450765405</v>
      </c>
      <c r="AJ934">
        <v>87.635313705058905</v>
      </c>
      <c r="AK934">
        <v>96.572381932373005</v>
      </c>
      <c r="AL934">
        <v>87.186217998685905</v>
      </c>
      <c r="AM934">
        <v>85.572039342618893</v>
      </c>
      <c r="AN934">
        <v>0.99999994892572797</v>
      </c>
    </row>
    <row r="935" spans="1:40" x14ac:dyDescent="0.25">
      <c r="A935" t="str">
        <f>"20190312154816003"</f>
        <v>20190312154816003</v>
      </c>
      <c r="B935" t="str">
        <f>"1552376895996714"</f>
        <v>1552376895996714</v>
      </c>
      <c r="C935" t="s">
        <v>40</v>
      </c>
      <c r="D935">
        <v>4.2912339999999896</v>
      </c>
      <c r="E935">
        <v>0.48637520000000001</v>
      </c>
      <c r="F935" t="s">
        <v>44</v>
      </c>
      <c r="G935">
        <v>-170.08879999999999</v>
      </c>
      <c r="H935">
        <v>7.4254439999999997</v>
      </c>
      <c r="I935">
        <v>365.90460000000002</v>
      </c>
      <c r="J935">
        <v>-266.637</v>
      </c>
      <c r="K935">
        <v>1.1097969999999999</v>
      </c>
      <c r="L935">
        <v>368.36079999999998</v>
      </c>
      <c r="M935">
        <v>0.99976989999999999</v>
      </c>
      <c r="N935">
        <v>0</v>
      </c>
      <c r="O935">
        <v>1.6132150000000001E-2</v>
      </c>
      <c r="P935">
        <v>0.99754540000000003</v>
      </c>
      <c r="Q935">
        <v>3.4933400000000003E-2</v>
      </c>
      <c r="R935">
        <v>-6.0686360000000002E-2</v>
      </c>
      <c r="S935">
        <v>2.995911</v>
      </c>
      <c r="T935">
        <v>0.19556470000000001</v>
      </c>
      <c r="U935">
        <v>-7.5958250000000005E-2</v>
      </c>
      <c r="V935">
        <v>7.6793420000000001E-2</v>
      </c>
      <c r="W935">
        <v>4.8991439999999997E-2</v>
      </c>
      <c r="X935">
        <v>0.99584260000000002</v>
      </c>
      <c r="Y935">
        <v>4.1348839999999998E-2</v>
      </c>
      <c r="Z935">
        <v>2.3998180000000002E-3</v>
      </c>
      <c r="AA935">
        <v>0.99914190000000003</v>
      </c>
      <c r="AB935">
        <v>31</v>
      </c>
      <c r="AC935">
        <v>96.548199999999994</v>
      </c>
      <c r="AD935">
        <v>6.3156470000000002</v>
      </c>
      <c r="AE935">
        <v>-2.45619999999996</v>
      </c>
      <c r="AF935">
        <v>3.9964759917810002</v>
      </c>
      <c r="AG935">
        <v>6.3156470000000002</v>
      </c>
      <c r="AH935">
        <v>96.085118694079696</v>
      </c>
      <c r="AI935">
        <v>86.242613977367697</v>
      </c>
      <c r="AJ935">
        <v>87.618264902747995</v>
      </c>
      <c r="AK935">
        <v>96.375356040000597</v>
      </c>
      <c r="AL935">
        <v>87.191872988380197</v>
      </c>
      <c r="AM935">
        <v>85.590419278889001</v>
      </c>
      <c r="AN935">
        <v>0.99999993726166303</v>
      </c>
    </row>
    <row r="936" spans="1:40" x14ac:dyDescent="0.25">
      <c r="A936" t="str">
        <f>"20190312154816021"</f>
        <v>20190312154816021</v>
      </c>
      <c r="B936" t="str">
        <f>"1552376896017211"</f>
        <v>1552376896017211</v>
      </c>
      <c r="C936" t="s">
        <v>40</v>
      </c>
      <c r="D936">
        <v>4.2932269999999999</v>
      </c>
      <c r="E936">
        <v>0.48633710000000002</v>
      </c>
      <c r="F936" t="s">
        <v>44</v>
      </c>
      <c r="G936">
        <v>-170.08879999999999</v>
      </c>
      <c r="H936">
        <v>7.3563429999999901</v>
      </c>
      <c r="I936">
        <v>365.87950000000001</v>
      </c>
      <c r="J936">
        <v>-266.3879</v>
      </c>
      <c r="K936">
        <v>1.109809</v>
      </c>
      <c r="L936">
        <v>368.3646</v>
      </c>
      <c r="M936">
        <v>0.99977210000000005</v>
      </c>
      <c r="N936">
        <v>0</v>
      </c>
      <c r="O936">
        <v>1.5979179999999999E-2</v>
      </c>
      <c r="P936">
        <v>0.99754969999999998</v>
      </c>
      <c r="Q936">
        <v>3.4861250000000003E-2</v>
      </c>
      <c r="R936">
        <v>-6.0659020000000001E-2</v>
      </c>
      <c r="S936">
        <v>2.995911</v>
      </c>
      <c r="T936">
        <v>0.19383420000000001</v>
      </c>
      <c r="U936">
        <v>-7.6995850000000005E-2</v>
      </c>
      <c r="V936">
        <v>7.6613580000000001E-2</v>
      </c>
      <c r="W936">
        <v>4.8939049999999998E-2</v>
      </c>
      <c r="X936">
        <v>0.9958591</v>
      </c>
      <c r="Y936">
        <v>4.1543860000000002E-2</v>
      </c>
      <c r="Z936">
        <v>2.3750310000000001E-3</v>
      </c>
      <c r="AA936">
        <v>0.99913390000000002</v>
      </c>
      <c r="AB936">
        <v>31</v>
      </c>
      <c r="AC936">
        <v>96.299099999999996</v>
      </c>
      <c r="AD936">
        <v>6.2465339999999898</v>
      </c>
      <c r="AE936">
        <v>-2.4850999999999801</v>
      </c>
      <c r="AF936">
        <v>4.0068694657453099</v>
      </c>
      <c r="AG936">
        <v>6.2465339999999898</v>
      </c>
      <c r="AH936">
        <v>95.844084134906794</v>
      </c>
      <c r="AI936">
        <v>86.2743287563938</v>
      </c>
      <c r="AJ936">
        <v>87.606079666854697</v>
      </c>
      <c r="AK936">
        <v>96.130966153408494</v>
      </c>
      <c r="AL936">
        <v>87.194878521231999</v>
      </c>
      <c r="AM936">
        <v>85.600777949231798</v>
      </c>
      <c r="AN936">
        <v>1.00000000915406</v>
      </c>
    </row>
    <row r="937" spans="1:40" x14ac:dyDescent="0.25">
      <c r="A937" t="str">
        <f>"20190312154816032"</f>
        <v>20190312154816032</v>
      </c>
      <c r="B937" t="str">
        <f>"1552376896026970"</f>
        <v>1552376896026970</v>
      </c>
      <c r="C937" t="s">
        <v>40</v>
      </c>
      <c r="D937">
        <v>4.1982080000000002</v>
      </c>
      <c r="E937">
        <v>0.4865873</v>
      </c>
      <c r="F937" t="s">
        <v>44</v>
      </c>
      <c r="G937">
        <v>-170.08879999999999</v>
      </c>
      <c r="H937">
        <v>7.298832</v>
      </c>
      <c r="I937">
        <v>365.8947</v>
      </c>
      <c r="J937">
        <v>-266.22210000000001</v>
      </c>
      <c r="K937">
        <v>1.1098170000000001</v>
      </c>
      <c r="L937">
        <v>368.36720000000003</v>
      </c>
      <c r="M937">
        <v>0.99977360000000004</v>
      </c>
      <c r="N937">
        <v>0</v>
      </c>
      <c r="O937">
        <v>1.5877889999999999E-2</v>
      </c>
      <c r="P937">
        <v>0.99754200000000004</v>
      </c>
      <c r="Q937">
        <v>3.4999379999999997E-2</v>
      </c>
      <c r="R937">
        <v>-6.0706999999999997E-2</v>
      </c>
      <c r="S937">
        <v>2.9959410000000002</v>
      </c>
      <c r="T937">
        <v>0.192548</v>
      </c>
      <c r="U937">
        <v>-7.6843259999999997E-2</v>
      </c>
      <c r="V937">
        <v>7.6560539999999996E-2</v>
      </c>
      <c r="W937">
        <v>4.9089069999999999E-2</v>
      </c>
      <c r="X937">
        <v>0.99585579999999996</v>
      </c>
      <c r="Y937">
        <v>4.1393619999999999E-2</v>
      </c>
      <c r="Z937">
        <v>2.3479569999999999E-3</v>
      </c>
      <c r="AA937">
        <v>0.99914009999999998</v>
      </c>
      <c r="AB937">
        <v>31</v>
      </c>
      <c r="AC937">
        <v>96.133300000000006</v>
      </c>
      <c r="AD937">
        <v>6.1890150000000004</v>
      </c>
      <c r="AE937">
        <v>-2.4725000000000201</v>
      </c>
      <c r="AF937">
        <v>3.9822409951515501</v>
      </c>
      <c r="AG937">
        <v>6.1890150000000004</v>
      </c>
      <c r="AH937">
        <v>95.685588861001193</v>
      </c>
      <c r="AI937">
        <v>86.302413449087993</v>
      </c>
      <c r="AJ937">
        <v>87.616840638380907</v>
      </c>
      <c r="AK937">
        <v>95.968192989605896</v>
      </c>
      <c r="AL937">
        <v>87.186272677886905</v>
      </c>
      <c r="AM937">
        <v>85.603797100611601</v>
      </c>
      <c r="AN937">
        <v>1.00000001373609</v>
      </c>
    </row>
    <row r="938" spans="1:40" x14ac:dyDescent="0.25">
      <c r="A938" t="str">
        <f>"20190312154816044"</f>
        <v>20190312154816044</v>
      </c>
      <c r="B938" t="str">
        <f>"1552376896036730"</f>
        <v>1552376896036730</v>
      </c>
      <c r="C938" t="s">
        <v>40</v>
      </c>
      <c r="D938">
        <v>4.216024</v>
      </c>
      <c r="E938">
        <v>0.48682700000000001</v>
      </c>
      <c r="F938" t="s">
        <v>44</v>
      </c>
      <c r="G938">
        <v>-170.08879999999999</v>
      </c>
      <c r="H938">
        <v>7.3648149999999903</v>
      </c>
      <c r="I938">
        <v>365.83859999999999</v>
      </c>
      <c r="J938">
        <v>-266.0609</v>
      </c>
      <c r="K938">
        <v>1.1098239999999999</v>
      </c>
      <c r="L938">
        <v>368.36959999999999</v>
      </c>
      <c r="M938">
        <v>0.99977479999999996</v>
      </c>
      <c r="N938">
        <v>0</v>
      </c>
      <c r="O938">
        <v>1.5779640000000001E-2</v>
      </c>
      <c r="P938">
        <v>0.99755470000000002</v>
      </c>
      <c r="Q938">
        <v>3.4870129999999999E-2</v>
      </c>
      <c r="R938">
        <v>-6.0572599999999997E-2</v>
      </c>
      <c r="S938">
        <v>2.9957280000000002</v>
      </c>
      <c r="T938">
        <v>0.19492219999999999</v>
      </c>
      <c r="U938">
        <v>-7.8796389999999994E-2</v>
      </c>
      <c r="V938">
        <v>7.6328289999999993E-2</v>
      </c>
      <c r="W938">
        <v>4.8970960000000001E-2</v>
      </c>
      <c r="X938">
        <v>0.99587939999999997</v>
      </c>
      <c r="Y938">
        <v>4.1944339999999997E-2</v>
      </c>
      <c r="Z938">
        <v>2.3885080000000001E-3</v>
      </c>
      <c r="AA938">
        <v>0.99911709999999998</v>
      </c>
      <c r="AB938">
        <v>31</v>
      </c>
      <c r="AC938">
        <v>95.972099999999998</v>
      </c>
      <c r="AD938">
        <v>6.2549910000000004</v>
      </c>
      <c r="AE938">
        <v>-2.5310000000000001</v>
      </c>
      <c r="AF938">
        <v>4.0281436569232696</v>
      </c>
      <c r="AG938">
        <v>6.2549910000000004</v>
      </c>
      <c r="AH938">
        <v>95.514761190865698</v>
      </c>
      <c r="AI938">
        <v>86.256529840129502</v>
      </c>
      <c r="AJ938">
        <v>87.585096317210002</v>
      </c>
      <c r="AK938">
        <v>95.804073290643501</v>
      </c>
      <c r="AL938">
        <v>87.1930479111126</v>
      </c>
      <c r="AM938">
        <v>85.617184605586601</v>
      </c>
      <c r="AN938">
        <v>0.99999997106100202</v>
      </c>
    </row>
    <row r="939" spans="1:40" x14ac:dyDescent="0.25">
      <c r="A939" t="str">
        <f>"20190312154816055"</f>
        <v>20190312154816055</v>
      </c>
      <c r="B939" t="str">
        <f>"1552376896046490"</f>
        <v>1552376896046490</v>
      </c>
      <c r="C939" t="s">
        <v>40</v>
      </c>
      <c r="D939">
        <v>4.2050749999999999</v>
      </c>
      <c r="E939">
        <v>0.48703190000000002</v>
      </c>
      <c r="F939" t="s">
        <v>44</v>
      </c>
      <c r="G939">
        <v>-170.08879999999999</v>
      </c>
      <c r="H939">
        <v>7.4184089999999996</v>
      </c>
      <c r="I939">
        <v>365.79629999999997</v>
      </c>
      <c r="J939">
        <v>-265.9126</v>
      </c>
      <c r="K939">
        <v>1.109828</v>
      </c>
      <c r="L939">
        <v>368.37189999999998</v>
      </c>
      <c r="M939">
        <v>0.9997762</v>
      </c>
      <c r="N939">
        <v>0</v>
      </c>
      <c r="O939">
        <v>1.5689450000000001E-2</v>
      </c>
      <c r="P939">
        <v>0.99757189999999996</v>
      </c>
      <c r="Q939">
        <v>3.4624349999999998E-2</v>
      </c>
      <c r="R939">
        <v>-6.0429009999999998E-2</v>
      </c>
      <c r="S939">
        <v>2.9956049999999999</v>
      </c>
      <c r="T939">
        <v>0.19691429999999999</v>
      </c>
      <c r="U939">
        <v>-8.0322270000000001E-2</v>
      </c>
      <c r="V939">
        <v>7.6095129999999997E-2</v>
      </c>
      <c r="W939">
        <v>4.873425E-2</v>
      </c>
      <c r="X939">
        <v>0.99590889999999999</v>
      </c>
      <c r="Y939">
        <v>4.2360620000000002E-2</v>
      </c>
      <c r="Z939">
        <v>2.4206919999999999E-3</v>
      </c>
      <c r="AA939">
        <v>0.99909939999999997</v>
      </c>
      <c r="AB939">
        <v>31</v>
      </c>
      <c r="AC939">
        <v>95.823800000000006</v>
      </c>
      <c r="AD939">
        <v>6.3085809999999896</v>
      </c>
      <c r="AE939">
        <v>-2.5756000000000001</v>
      </c>
      <c r="AF939">
        <v>4.06126709738336</v>
      </c>
      <c r="AG939">
        <v>6.3085809999999896</v>
      </c>
      <c r="AH939">
        <v>95.358577108836997</v>
      </c>
      <c r="AI939">
        <v>86.218450501343199</v>
      </c>
      <c r="AJ939">
        <v>87.561279403896606</v>
      </c>
      <c r="AK939">
        <v>95.6532817674954</v>
      </c>
      <c r="AL939">
        <v>87.206626735562594</v>
      </c>
      <c r="AM939">
        <v>85.630649790299202</v>
      </c>
      <c r="AN939">
        <v>1.0000000165159899</v>
      </c>
    </row>
    <row r="940" spans="1:40" x14ac:dyDescent="0.25">
      <c r="A940" t="str">
        <f>"20190312154816066"</f>
        <v>20190312154816066</v>
      </c>
      <c r="B940" t="str">
        <f>"1552376896057227"</f>
        <v>1552376896057227</v>
      </c>
      <c r="C940" t="s">
        <v>40</v>
      </c>
      <c r="D940">
        <v>4.1908940000000001</v>
      </c>
      <c r="E940">
        <v>0.4871626</v>
      </c>
      <c r="F940" t="s">
        <v>44</v>
      </c>
      <c r="G940">
        <v>-170.08879999999999</v>
      </c>
      <c r="H940">
        <v>7.4476000000000004</v>
      </c>
      <c r="I940">
        <v>365.75560000000002</v>
      </c>
      <c r="J940">
        <v>-265.75889999999998</v>
      </c>
      <c r="K940">
        <v>1.109834</v>
      </c>
      <c r="L940">
        <v>368.37419999999997</v>
      </c>
      <c r="M940">
        <v>0.99977760000000004</v>
      </c>
      <c r="N940">
        <v>0</v>
      </c>
      <c r="O940">
        <v>1.5596230000000001E-2</v>
      </c>
      <c r="P940">
        <v>0.99756940000000005</v>
      </c>
      <c r="Q940">
        <v>3.4337220000000002E-2</v>
      </c>
      <c r="R940">
        <v>-6.0635210000000002E-2</v>
      </c>
      <c r="S940">
        <v>2.995514</v>
      </c>
      <c r="T940">
        <v>0.19812550000000001</v>
      </c>
      <c r="U940">
        <v>-8.1787109999999996E-2</v>
      </c>
      <c r="V940">
        <v>7.6208029999999996E-2</v>
      </c>
      <c r="W940">
        <v>4.8456109999999997E-2</v>
      </c>
      <c r="X940">
        <v>0.99591379999999996</v>
      </c>
      <c r="Y940">
        <v>4.275429E-2</v>
      </c>
      <c r="Z940">
        <v>2.442451E-3</v>
      </c>
      <c r="AA940">
        <v>0.99908260000000004</v>
      </c>
      <c r="AB940">
        <v>31</v>
      </c>
      <c r="AC940">
        <v>95.670100000000005</v>
      </c>
      <c r="AD940">
        <v>6.3377660000000002</v>
      </c>
      <c r="AE940">
        <v>-2.6185999999999501</v>
      </c>
      <c r="AF940">
        <v>4.0925776894902102</v>
      </c>
      <c r="AG940">
        <v>6.3377660000000002</v>
      </c>
      <c r="AH940">
        <v>95.200140284972406</v>
      </c>
      <c r="AI940">
        <v>86.194768133154994</v>
      </c>
      <c r="AJ940">
        <v>87.538416031961901</v>
      </c>
      <c r="AK940">
        <v>95.498603027969494</v>
      </c>
      <c r="AL940">
        <v>87.222581725708906</v>
      </c>
      <c r="AM940">
        <v>85.624213725632401</v>
      </c>
      <c r="AN940">
        <v>0.99999997773162597</v>
      </c>
    </row>
    <row r="941" spans="1:40" x14ac:dyDescent="0.25">
      <c r="A941" t="str">
        <f>"20190312154816077"</f>
        <v>20190312154816077</v>
      </c>
      <c r="B941" t="str">
        <f>"1552376896066987"</f>
        <v>1552376896066987</v>
      </c>
      <c r="C941" t="s">
        <v>40</v>
      </c>
      <c r="D941">
        <v>4.1507009999999998</v>
      </c>
      <c r="E941">
        <v>0.48729270000000002</v>
      </c>
      <c r="F941" t="s">
        <v>44</v>
      </c>
      <c r="G941">
        <v>-170.08879999999999</v>
      </c>
      <c r="H941">
        <v>7.4689750000000004</v>
      </c>
      <c r="I941">
        <v>365.70740000000001</v>
      </c>
      <c r="J941">
        <v>-265.6001</v>
      </c>
      <c r="K941">
        <v>1.1098380000000001</v>
      </c>
      <c r="L941">
        <v>368.3766</v>
      </c>
      <c r="M941">
        <v>0.99977890000000003</v>
      </c>
      <c r="N941">
        <v>0</v>
      </c>
      <c r="O941">
        <v>1.549998E-2</v>
      </c>
      <c r="P941">
        <v>0.99757799999999996</v>
      </c>
      <c r="Q941">
        <v>3.4200469999999997E-2</v>
      </c>
      <c r="R941">
        <v>-6.0571380000000001E-2</v>
      </c>
      <c r="S941">
        <v>2.9953609999999999</v>
      </c>
      <c r="T941">
        <v>0.19910259999999999</v>
      </c>
      <c r="U941">
        <v>-8.3496089999999995E-2</v>
      </c>
      <c r="V941">
        <v>7.6048459999999998E-2</v>
      </c>
      <c r="W941">
        <v>4.8327509999999997E-2</v>
      </c>
      <c r="X941">
        <v>0.99593229999999999</v>
      </c>
      <c r="Y941">
        <v>4.3226979999999998E-2</v>
      </c>
      <c r="Z941">
        <v>2.4638770000000002E-3</v>
      </c>
      <c r="AA941">
        <v>0.99906220000000001</v>
      </c>
      <c r="AB941">
        <v>31</v>
      </c>
      <c r="AC941">
        <v>95.511300000000006</v>
      </c>
      <c r="AD941">
        <v>6.3591369999999996</v>
      </c>
      <c r="AE941">
        <v>-2.66919999999998</v>
      </c>
      <c r="AF941">
        <v>4.1311533389534096</v>
      </c>
      <c r="AG941">
        <v>6.3591369999999996</v>
      </c>
      <c r="AH941">
        <v>95.037485160485602</v>
      </c>
      <c r="AI941">
        <v>86.1755385234557</v>
      </c>
      <c r="AJ941">
        <v>87.510995401974199</v>
      </c>
      <c r="AK941">
        <v>95.339543930754303</v>
      </c>
      <c r="AL941">
        <v>87.229958754260196</v>
      </c>
      <c r="AM941">
        <v>85.633421394904303</v>
      </c>
      <c r="AN941">
        <v>1.0000000313372299</v>
      </c>
    </row>
    <row r="942" spans="1:40" x14ac:dyDescent="0.25">
      <c r="A942" t="str">
        <f>"20190312154816089"</f>
        <v>20190312154816089</v>
      </c>
      <c r="B942" t="str">
        <f>"1552376896076746"</f>
        <v>1552376896076746</v>
      </c>
      <c r="C942" t="s">
        <v>40</v>
      </c>
      <c r="D942">
        <v>4.1772130000000001</v>
      </c>
      <c r="E942">
        <v>0.48744290000000001</v>
      </c>
      <c r="F942" t="s">
        <v>44</v>
      </c>
      <c r="G942">
        <v>-170.08879999999999</v>
      </c>
      <c r="H942">
        <v>7.4930759999999896</v>
      </c>
      <c r="I942">
        <v>365.68979999999999</v>
      </c>
      <c r="J942">
        <v>-265.44850000000002</v>
      </c>
      <c r="K942">
        <v>1.1098429999999999</v>
      </c>
      <c r="L942">
        <v>368.37880000000001</v>
      </c>
      <c r="M942">
        <v>0.99978029999999996</v>
      </c>
      <c r="N942">
        <v>0</v>
      </c>
      <c r="O942">
        <v>1.540826E-2</v>
      </c>
      <c r="P942">
        <v>0.99758709999999995</v>
      </c>
      <c r="Q942">
        <v>3.3707460000000002E-2</v>
      </c>
      <c r="R942">
        <v>-6.0696430000000003E-2</v>
      </c>
      <c r="S942">
        <v>2.9952700000000001</v>
      </c>
      <c r="T942">
        <v>0.20018330000000001</v>
      </c>
      <c r="U942">
        <v>-8.4259029999999999E-2</v>
      </c>
      <c r="V942">
        <v>7.6082129999999998E-2</v>
      </c>
      <c r="W942">
        <v>4.784219E-2</v>
      </c>
      <c r="X942">
        <v>0.99595310000000004</v>
      </c>
      <c r="Y942">
        <v>4.3388879999999998E-2</v>
      </c>
      <c r="Z942">
        <v>2.4765680000000002E-3</v>
      </c>
      <c r="AA942">
        <v>0.99905520000000003</v>
      </c>
      <c r="AB942">
        <v>31</v>
      </c>
      <c r="AC942">
        <v>95.359700000000004</v>
      </c>
      <c r="AD942">
        <v>6.3832329999999899</v>
      </c>
      <c r="AE942">
        <v>-2.68900000000002</v>
      </c>
      <c r="AF942">
        <v>4.1396222277076999</v>
      </c>
      <c r="AG942">
        <v>6.3832329999999899</v>
      </c>
      <c r="AH942">
        <v>94.882133915610794</v>
      </c>
      <c r="AI942">
        <v>86.154850246361406</v>
      </c>
      <c r="AJ942">
        <v>87.501820923815799</v>
      </c>
      <c r="AK942">
        <v>95.186666461749297</v>
      </c>
      <c r="AL942">
        <v>87.257797579855605</v>
      </c>
      <c r="AM942">
        <v>85.631586481423696</v>
      </c>
      <c r="AN942">
        <v>0.99999997152447095</v>
      </c>
    </row>
    <row r="943" spans="1:40" x14ac:dyDescent="0.25">
      <c r="A943" t="str">
        <f>"20190312154816099"</f>
        <v>20190312154816099</v>
      </c>
      <c r="B943" t="str">
        <f>"1552376896096772"</f>
        <v>1552376896096772</v>
      </c>
      <c r="C943" t="s">
        <v>40</v>
      </c>
      <c r="D943">
        <v>4.1406660000000004</v>
      </c>
      <c r="E943">
        <v>0.4875176</v>
      </c>
      <c r="F943" t="s">
        <v>44</v>
      </c>
      <c r="G943">
        <v>-170.08879999999999</v>
      </c>
      <c r="H943">
        <v>7.488721</v>
      </c>
      <c r="I943">
        <v>365.64479999999998</v>
      </c>
      <c r="J943">
        <v>-265.29219999999998</v>
      </c>
      <c r="K943">
        <v>1.109847</v>
      </c>
      <c r="L943">
        <v>368.3811</v>
      </c>
      <c r="M943">
        <v>0.99978149999999999</v>
      </c>
      <c r="N943">
        <v>0</v>
      </c>
      <c r="O943">
        <v>1.531368E-2</v>
      </c>
      <c r="P943">
        <v>0.99758550000000001</v>
      </c>
      <c r="Q943">
        <v>3.36476E-2</v>
      </c>
      <c r="R943">
        <v>-6.0756339999999999E-2</v>
      </c>
      <c r="S943">
        <v>2.9952700000000001</v>
      </c>
      <c r="T943">
        <v>0.20036470000000001</v>
      </c>
      <c r="U943">
        <v>-8.5876460000000002E-2</v>
      </c>
      <c r="V943">
        <v>7.6047680000000006E-2</v>
      </c>
      <c r="W943">
        <v>4.7788839999999999E-2</v>
      </c>
      <c r="X943">
        <v>0.99595829999999996</v>
      </c>
      <c r="Y943">
        <v>4.3832410000000002E-2</v>
      </c>
      <c r="Z943">
        <v>2.487286E-3</v>
      </c>
      <c r="AA943">
        <v>0.99903580000000003</v>
      </c>
      <c r="AB943">
        <v>31</v>
      </c>
      <c r="AC943">
        <v>95.203400000000002</v>
      </c>
      <c r="AD943">
        <v>6.3788739999999997</v>
      </c>
      <c r="AE943">
        <v>-2.7363000000000199</v>
      </c>
      <c r="AF943">
        <v>4.17531211917421</v>
      </c>
      <c r="AG943">
        <v>6.3788739999999997</v>
      </c>
      <c r="AH943">
        <v>94.725422759495899</v>
      </c>
      <c r="AI943">
        <v>86.151205678740894</v>
      </c>
      <c r="AJ943">
        <v>87.476147309610099</v>
      </c>
      <c r="AK943">
        <v>95.031726185341</v>
      </c>
      <c r="AL943">
        <v>87.260857830887602</v>
      </c>
      <c r="AM943">
        <v>85.633579557775604</v>
      </c>
      <c r="AN943">
        <v>0.99999997910040805</v>
      </c>
    </row>
    <row r="944" spans="1:40" x14ac:dyDescent="0.25">
      <c r="A944" t="str">
        <f>"20190312154816111"</f>
        <v>20190312154816111</v>
      </c>
      <c r="B944" t="str">
        <f>"1552376896106533"</f>
        <v>1552376896106533</v>
      </c>
      <c r="C944" t="s">
        <v>40</v>
      </c>
      <c r="D944">
        <v>4.176831</v>
      </c>
      <c r="E944">
        <v>0.48752570000000001</v>
      </c>
      <c r="F944" t="s">
        <v>44</v>
      </c>
      <c r="G944">
        <v>-170.08879999999999</v>
      </c>
      <c r="H944">
        <v>7.4858880000000001</v>
      </c>
      <c r="I944">
        <v>365.62049999999999</v>
      </c>
      <c r="J944">
        <v>-265.1413</v>
      </c>
      <c r="K944">
        <v>1.10985</v>
      </c>
      <c r="L944">
        <v>368.38339999999999</v>
      </c>
      <c r="M944">
        <v>0.99978290000000003</v>
      </c>
      <c r="N944">
        <v>0</v>
      </c>
      <c r="O944">
        <v>1.522251E-2</v>
      </c>
      <c r="P944">
        <v>0.99756820000000002</v>
      </c>
      <c r="Q944">
        <v>3.3659130000000002E-2</v>
      </c>
      <c r="R944">
        <v>-6.103335E-2</v>
      </c>
      <c r="S944">
        <v>2.995209</v>
      </c>
      <c r="T944">
        <v>0.2006001</v>
      </c>
      <c r="U944">
        <v>-8.6853029999999998E-2</v>
      </c>
      <c r="V944">
        <v>7.6233449999999994E-2</v>
      </c>
      <c r="W944">
        <v>4.7806460000000002E-2</v>
      </c>
      <c r="X944">
        <v>0.99594320000000003</v>
      </c>
      <c r="Y944">
        <v>4.40667E-2</v>
      </c>
      <c r="Z944">
        <v>2.4919780000000002E-3</v>
      </c>
      <c r="AA944">
        <v>0.99902550000000001</v>
      </c>
      <c r="AB944">
        <v>31</v>
      </c>
      <c r="AC944">
        <v>95.052499999999995</v>
      </c>
      <c r="AD944">
        <v>6.3760379999999897</v>
      </c>
      <c r="AE944">
        <v>-2.7629000000000001</v>
      </c>
      <c r="AF944">
        <v>4.1908227628601002</v>
      </c>
      <c r="AG944">
        <v>6.3760379999999897</v>
      </c>
      <c r="AH944">
        <v>94.574233825527202</v>
      </c>
      <c r="AI944">
        <v>86.146819867588107</v>
      </c>
      <c r="AJ944">
        <v>87.462739395195698</v>
      </c>
      <c r="AK944">
        <v>94.881518535975403</v>
      </c>
      <c r="AL944">
        <v>87.259846981356901</v>
      </c>
      <c r="AM944">
        <v>85.622888520149104</v>
      </c>
      <c r="AN944">
        <v>0.99999992707143404</v>
      </c>
    </row>
    <row r="945" spans="1:40" x14ac:dyDescent="0.25">
      <c r="A945" t="str">
        <f>"20190312154816123"</f>
        <v>20190312154816123</v>
      </c>
      <c r="B945" t="str">
        <f>"1552376896117269"</f>
        <v>1552376896117269</v>
      </c>
      <c r="C945" t="s">
        <v>40</v>
      </c>
      <c r="D945">
        <v>4.1439300000000001</v>
      </c>
      <c r="E945">
        <v>0.4875121</v>
      </c>
      <c r="F945" t="s">
        <v>44</v>
      </c>
      <c r="G945">
        <v>-170.08879999999999</v>
      </c>
      <c r="H945">
        <v>7.469741</v>
      </c>
      <c r="I945">
        <v>365.59710000000001</v>
      </c>
      <c r="J945">
        <v>-264.97250000000003</v>
      </c>
      <c r="K945">
        <v>1.109861</v>
      </c>
      <c r="L945">
        <v>368.38580000000002</v>
      </c>
      <c r="M945">
        <v>0.99978440000000002</v>
      </c>
      <c r="N945">
        <v>0</v>
      </c>
      <c r="O945">
        <v>1.512054E-2</v>
      </c>
      <c r="P945">
        <v>0.99757169999999895</v>
      </c>
      <c r="Q945">
        <v>3.3451330000000001E-2</v>
      </c>
      <c r="R945">
        <v>-6.1088950000000003E-2</v>
      </c>
      <c r="S945">
        <v>2.9951780000000001</v>
      </c>
      <c r="T945">
        <v>0.20040769999999999</v>
      </c>
      <c r="U945">
        <v>-8.7799070000000007E-2</v>
      </c>
      <c r="V945">
        <v>7.6187530000000003E-2</v>
      </c>
      <c r="W945">
        <v>4.7604500000000001E-2</v>
      </c>
      <c r="X945">
        <v>0.99595650000000002</v>
      </c>
      <c r="Y945">
        <v>4.4280399999999998E-2</v>
      </c>
      <c r="Z945">
        <v>2.4899330000000002E-3</v>
      </c>
      <c r="AA945">
        <v>0.99901600000000002</v>
      </c>
      <c r="AB945">
        <v>31</v>
      </c>
      <c r="AC945">
        <v>94.883700000000005</v>
      </c>
      <c r="AD945">
        <v>6.3598800000000004</v>
      </c>
      <c r="AE945">
        <v>-2.7887</v>
      </c>
      <c r="AF945">
        <v>4.2043463309526103</v>
      </c>
      <c r="AG945">
        <v>6.3598800000000004</v>
      </c>
      <c r="AH945">
        <v>94.406896770452803</v>
      </c>
      <c r="AI945">
        <v>86.149800878805706</v>
      </c>
      <c r="AJ945">
        <v>87.450056678006305</v>
      </c>
      <c r="AK945">
        <v>94.714237364357899</v>
      </c>
      <c r="AL945">
        <v>87.271431933295304</v>
      </c>
      <c r="AM945">
        <v>85.625573070938898</v>
      </c>
      <c r="AN945">
        <v>1.0000000390199899</v>
      </c>
    </row>
    <row r="946" spans="1:40" x14ac:dyDescent="0.25">
      <c r="A946" t="str">
        <f>"20190312154816134"</f>
        <v>20190312154816134</v>
      </c>
      <c r="B946" t="str">
        <f>"1552376896127030"</f>
        <v>1552376896127030</v>
      </c>
      <c r="C946" t="s">
        <v>40</v>
      </c>
      <c r="D946">
        <v>4.123488</v>
      </c>
      <c r="E946">
        <v>0.4875256</v>
      </c>
      <c r="F946" t="s">
        <v>44</v>
      </c>
      <c r="G946">
        <v>-170.08879999999999</v>
      </c>
      <c r="H946">
        <v>7.4464860000000002</v>
      </c>
      <c r="I946">
        <v>365.60840000000002</v>
      </c>
      <c r="J946">
        <v>-264.81400000000002</v>
      </c>
      <c r="K946">
        <v>1.109866</v>
      </c>
      <c r="L946">
        <v>368.38819999999998</v>
      </c>
      <c r="M946">
        <v>0.99978579999999995</v>
      </c>
      <c r="N946">
        <v>0</v>
      </c>
      <c r="O946">
        <v>1.502449E-2</v>
      </c>
      <c r="P946">
        <v>0.99756579999999995</v>
      </c>
      <c r="Q946">
        <v>3.3244450000000002E-2</v>
      </c>
      <c r="R946">
        <v>-6.1299510000000001E-2</v>
      </c>
      <c r="S946">
        <v>2.9952390000000002</v>
      </c>
      <c r="T946">
        <v>0.20003389999999999</v>
      </c>
      <c r="U946">
        <v>-8.7677000000000005E-2</v>
      </c>
      <c r="V946">
        <v>7.6301869999999994E-2</v>
      </c>
      <c r="W946">
        <v>4.740304E-2</v>
      </c>
      <c r="X946">
        <v>0.99595730000000005</v>
      </c>
      <c r="Y946">
        <v>4.4144160000000002E-2</v>
      </c>
      <c r="Z946">
        <v>2.4743E-3</v>
      </c>
      <c r="AA946">
        <v>0.99902210000000002</v>
      </c>
      <c r="AB946">
        <v>31</v>
      </c>
      <c r="AC946">
        <v>94.725200000000001</v>
      </c>
      <c r="AD946">
        <v>6.3366199999999999</v>
      </c>
      <c r="AE946">
        <v>-2.7797999999999599</v>
      </c>
      <c r="AF946">
        <v>4.18412074310754</v>
      </c>
      <c r="AG946">
        <v>6.3366199999999999</v>
      </c>
      <c r="AH946">
        <v>94.251333220378498</v>
      </c>
      <c r="AI946">
        <v>86.157503411673503</v>
      </c>
      <c r="AJ946">
        <v>87.4581244381868</v>
      </c>
      <c r="AK946">
        <v>94.556720719556097</v>
      </c>
      <c r="AL946">
        <v>87.2829876355094</v>
      </c>
      <c r="AM946">
        <v>85.619037104414403</v>
      </c>
      <c r="AN946">
        <v>0.99999998349501396</v>
      </c>
    </row>
    <row r="947" spans="1:40" x14ac:dyDescent="0.25">
      <c r="A947" t="str">
        <f>"20190312154816146"</f>
        <v>20190312154816146</v>
      </c>
      <c r="B947" t="str">
        <f>"1552376896136789"</f>
        <v>1552376896136789</v>
      </c>
      <c r="C947" t="s">
        <v>40</v>
      </c>
      <c r="D947">
        <v>4.1549719999999999</v>
      </c>
      <c r="E947">
        <v>0.4875505</v>
      </c>
      <c r="F947" t="s">
        <v>44</v>
      </c>
      <c r="G947">
        <v>-170.08879999999999</v>
      </c>
      <c r="H947">
        <v>7.4380869999999897</v>
      </c>
      <c r="I947">
        <v>365.5874</v>
      </c>
      <c r="J947">
        <v>-264.65199999999999</v>
      </c>
      <c r="K947">
        <v>1.1098680000000001</v>
      </c>
      <c r="L947">
        <v>368.39049999999997</v>
      </c>
      <c r="M947">
        <v>0.99978710000000004</v>
      </c>
      <c r="N947">
        <v>0</v>
      </c>
      <c r="O947">
        <v>1.4926419999999999E-2</v>
      </c>
      <c r="P947">
        <v>0.99754310000000002</v>
      </c>
      <c r="Q947">
        <v>3.3235649999999999E-2</v>
      </c>
      <c r="R947">
        <v>-6.1672619999999997E-2</v>
      </c>
      <c r="S947">
        <v>2.9952390000000002</v>
      </c>
      <c r="T947">
        <v>0.2001028</v>
      </c>
      <c r="U947">
        <v>-8.8562009999999997E-2</v>
      </c>
      <c r="V947">
        <v>7.6576939999999996E-2</v>
      </c>
      <c r="W947">
        <v>4.7398750000000003E-2</v>
      </c>
      <c r="X947">
        <v>0.99593640000000005</v>
      </c>
      <c r="Y947">
        <v>4.4340780000000003E-2</v>
      </c>
      <c r="Z947">
        <v>2.4751550000000002E-3</v>
      </c>
      <c r="AA947">
        <v>0.99901340000000005</v>
      </c>
      <c r="AB947">
        <v>31</v>
      </c>
      <c r="AC947">
        <v>94.563199999999995</v>
      </c>
      <c r="AD947">
        <v>6.32821899999999</v>
      </c>
      <c r="AE947">
        <v>-2.8030999999999699</v>
      </c>
      <c r="AF947">
        <v>4.1956478419502297</v>
      </c>
      <c r="AG947">
        <v>6.32821899999999</v>
      </c>
      <c r="AH947">
        <v>94.089820680659798</v>
      </c>
      <c r="AI947">
        <v>86.156048829345707</v>
      </c>
      <c r="AJ947">
        <v>87.446761339066796</v>
      </c>
      <c r="AK947">
        <v>94.395678779509495</v>
      </c>
      <c r="AL947">
        <v>87.283233731531695</v>
      </c>
      <c r="AM947">
        <v>85.603213544924202</v>
      </c>
      <c r="AN947">
        <v>0.99999999104314297</v>
      </c>
    </row>
    <row r="948" spans="1:40" x14ac:dyDescent="0.25">
      <c r="A948" t="str">
        <f>"20190312154816158"</f>
        <v>20190312154816158</v>
      </c>
      <c r="B948" t="str">
        <f>"1552376896146550"</f>
        <v>1552376896146550</v>
      </c>
      <c r="C948" t="s">
        <v>40</v>
      </c>
      <c r="D948">
        <v>4.1444679999999998</v>
      </c>
      <c r="E948">
        <v>0.4875641</v>
      </c>
      <c r="F948" t="s">
        <v>44</v>
      </c>
      <c r="G948">
        <v>-170.08879999999999</v>
      </c>
      <c r="H948">
        <v>7.44</v>
      </c>
      <c r="I948">
        <v>365.55590000000001</v>
      </c>
      <c r="J948">
        <v>-264.48579999999998</v>
      </c>
      <c r="K948">
        <v>1.109874</v>
      </c>
      <c r="L948">
        <v>368.3929</v>
      </c>
      <c r="M948">
        <v>0.99978849999999997</v>
      </c>
      <c r="N948">
        <v>0</v>
      </c>
      <c r="O948">
        <v>1.482584E-2</v>
      </c>
      <c r="P948">
        <v>0.99752560000000001</v>
      </c>
      <c r="Q948">
        <v>3.3087020000000002E-2</v>
      </c>
      <c r="R948">
        <v>-6.2031919999999997E-2</v>
      </c>
      <c r="S948">
        <v>2.9951479999999999</v>
      </c>
      <c r="T948">
        <v>0.20050009999999999</v>
      </c>
      <c r="U948">
        <v>-8.9782710000000002E-2</v>
      </c>
      <c r="V948">
        <v>7.6835539999999994E-2</v>
      </c>
      <c r="W948">
        <v>4.725443E-2</v>
      </c>
      <c r="X948">
        <v>0.99592329999999996</v>
      </c>
      <c r="Y948">
        <v>4.4646989999999998E-2</v>
      </c>
      <c r="Z948">
        <v>2.483631E-3</v>
      </c>
      <c r="AA948">
        <v>0.99899970000000005</v>
      </c>
      <c r="AB948">
        <v>31</v>
      </c>
      <c r="AC948">
        <v>94.397000000000006</v>
      </c>
      <c r="AD948">
        <v>6.3301259999999999</v>
      </c>
      <c r="AE948">
        <v>-2.8369999999999802</v>
      </c>
      <c r="AF948">
        <v>4.2173972360687104</v>
      </c>
      <c r="AG948">
        <v>6.3301259999999999</v>
      </c>
      <c r="AH948">
        <v>93.9225830993378</v>
      </c>
      <c r="AI948">
        <v>86.148121302067594</v>
      </c>
      <c r="AJ948">
        <v>87.428979835563993</v>
      </c>
      <c r="AK948">
        <v>94.230083045037702</v>
      </c>
      <c r="AL948">
        <v>87.291511824391193</v>
      </c>
      <c r="AM948">
        <v>85.588366332733898</v>
      </c>
      <c r="AN948">
        <v>0.99999995042230105</v>
      </c>
    </row>
    <row r="949" spans="1:40" x14ac:dyDescent="0.25">
      <c r="A949" t="str">
        <f>"20190312154816172"</f>
        <v>20190312154816172</v>
      </c>
      <c r="B949" t="str">
        <f>"1552376896167045"</f>
        <v>1552376896167045</v>
      </c>
      <c r="C949" t="s">
        <v>40</v>
      </c>
      <c r="D949">
        <v>4.1122389999999998</v>
      </c>
      <c r="E949">
        <v>0.48759439999999998</v>
      </c>
      <c r="F949" t="s">
        <v>44</v>
      </c>
      <c r="G949">
        <v>-170.08879999999999</v>
      </c>
      <c r="H949">
        <v>7.4143999999999997</v>
      </c>
      <c r="I949">
        <v>365.52100000000002</v>
      </c>
      <c r="J949">
        <v>-264.2978</v>
      </c>
      <c r="K949">
        <v>1.1098749999999999</v>
      </c>
      <c r="L949">
        <v>368.39550000000003</v>
      </c>
      <c r="M949">
        <v>0.99979010000000001</v>
      </c>
      <c r="N949">
        <v>0</v>
      </c>
      <c r="O949">
        <v>1.471221E-2</v>
      </c>
      <c r="P949">
        <v>0.99751179999999995</v>
      </c>
      <c r="Q949">
        <v>3.2958590000000003E-2</v>
      </c>
      <c r="R949">
        <v>-6.2321179999999997E-2</v>
      </c>
      <c r="S949">
        <v>2.9951780000000001</v>
      </c>
      <c r="T949">
        <v>0.20004259999999999</v>
      </c>
      <c r="U949">
        <v>-9.1125490000000003E-2</v>
      </c>
      <c r="V949">
        <v>7.701144E-2</v>
      </c>
      <c r="W949">
        <v>4.7130119999999998E-2</v>
      </c>
      <c r="X949">
        <v>0.99591569999999996</v>
      </c>
      <c r="Y949">
        <v>4.4980720000000002E-2</v>
      </c>
      <c r="Z949">
        <v>2.4814839999999999E-3</v>
      </c>
      <c r="AA949">
        <v>0.99898480000000001</v>
      </c>
      <c r="AB949">
        <v>31</v>
      </c>
      <c r="AC949">
        <v>94.209000000000003</v>
      </c>
      <c r="AD949">
        <v>6.3045249999999999</v>
      </c>
      <c r="AE949">
        <v>-2.8745000000000598</v>
      </c>
      <c r="AF949">
        <v>4.2413755543903102</v>
      </c>
      <c r="AG949">
        <v>6.3045249999999999</v>
      </c>
      <c r="AH949">
        <v>93.737108115155294</v>
      </c>
      <c r="AI949">
        <v>86.156144164107701</v>
      </c>
      <c r="AJ949">
        <v>87.409272769321007</v>
      </c>
      <c r="AK949">
        <v>94.044573154761594</v>
      </c>
      <c r="AL949">
        <v>87.298642465455501</v>
      </c>
      <c r="AM949">
        <v>85.578273154804194</v>
      </c>
      <c r="AN949">
        <v>1.0000000458042799</v>
      </c>
    </row>
    <row r="950" spans="1:40" x14ac:dyDescent="0.25">
      <c r="A950" t="str">
        <f>"20190312154816189"</f>
        <v>20190312154816189</v>
      </c>
      <c r="B950" t="str">
        <f>"1552376896176805"</f>
        <v>1552376896176805</v>
      </c>
      <c r="C950" t="s">
        <v>40</v>
      </c>
      <c r="D950">
        <v>4.102233</v>
      </c>
      <c r="E950">
        <v>0.48760510000000001</v>
      </c>
      <c r="F950" t="s">
        <v>44</v>
      </c>
      <c r="G950">
        <v>-170.08879999999999</v>
      </c>
      <c r="H950">
        <v>7.4087709999999998</v>
      </c>
      <c r="I950">
        <v>365.48989999999998</v>
      </c>
      <c r="J950">
        <v>-264.0652</v>
      </c>
      <c r="K950">
        <v>1.1098699999999999</v>
      </c>
      <c r="L950">
        <v>368.39879999999999</v>
      </c>
      <c r="M950">
        <v>0.99979220000000002</v>
      </c>
      <c r="N950">
        <v>0</v>
      </c>
      <c r="O950">
        <v>1.457146E-2</v>
      </c>
      <c r="P950">
        <v>0.99747580000000002</v>
      </c>
      <c r="Q950">
        <v>3.2495080000000003E-2</v>
      </c>
      <c r="R950">
        <v>-6.3138009999999994E-2</v>
      </c>
      <c r="S950">
        <v>2.9950559999999999</v>
      </c>
      <c r="T950">
        <v>0.20025480000000001</v>
      </c>
      <c r="U950">
        <v>-9.2376710000000001E-2</v>
      </c>
      <c r="V950">
        <v>7.7686930000000001E-2</v>
      </c>
      <c r="W950">
        <v>4.6670950000000003E-2</v>
      </c>
      <c r="X950">
        <v>0.99588480000000001</v>
      </c>
      <c r="Y950">
        <v>4.5257680000000002E-2</v>
      </c>
      <c r="Z950">
        <v>2.4840439999999999E-3</v>
      </c>
      <c r="AA950">
        <v>0.99897219999999998</v>
      </c>
      <c r="AB950">
        <v>31</v>
      </c>
      <c r="AC950">
        <v>93.976399999999998</v>
      </c>
      <c r="AD950">
        <v>6.2989009999999999</v>
      </c>
      <c r="AE950">
        <v>-2.9089000000000098</v>
      </c>
      <c r="AF950">
        <v>4.2589882638710401</v>
      </c>
      <c r="AG950">
        <v>6.2989009999999999</v>
      </c>
      <c r="AH950">
        <v>93.504359345668803</v>
      </c>
      <c r="AI950">
        <v>86.150084371723494</v>
      </c>
      <c r="AJ950">
        <v>87.392062692630404</v>
      </c>
      <c r="AK950">
        <v>93.813007368293896</v>
      </c>
      <c r="AL950">
        <v>87.324979789552401</v>
      </c>
      <c r="AM950">
        <v>85.539506881736202</v>
      </c>
      <c r="AN950">
        <v>0.99999998576888305</v>
      </c>
    </row>
    <row r="951" spans="1:40" x14ac:dyDescent="0.25">
      <c r="A951" t="str">
        <f>"20190312154816202"</f>
        <v>20190312154816202</v>
      </c>
      <c r="B951" t="str">
        <f>"1552376896196830"</f>
        <v>1552376896196830</v>
      </c>
      <c r="C951" t="s">
        <v>40</v>
      </c>
      <c r="D951">
        <v>4.08765</v>
      </c>
      <c r="E951">
        <v>0.48775489999999999</v>
      </c>
      <c r="F951" t="s">
        <v>44</v>
      </c>
      <c r="G951">
        <v>-170.08879999999999</v>
      </c>
      <c r="H951">
        <v>7.3627269999999996</v>
      </c>
      <c r="I951">
        <v>365.42950000000002</v>
      </c>
      <c r="J951">
        <v>-263.8766</v>
      </c>
      <c r="K951">
        <v>1.1098709999999901</v>
      </c>
      <c r="L951">
        <v>368.4015</v>
      </c>
      <c r="M951">
        <v>0.99979379999999995</v>
      </c>
      <c r="N951">
        <v>0</v>
      </c>
      <c r="O951">
        <v>1.44572999999999E-2</v>
      </c>
      <c r="P951">
        <v>0.99745819999999996</v>
      </c>
      <c r="Q951">
        <v>3.237541E-2</v>
      </c>
      <c r="R951">
        <v>-6.3475409999999996E-2</v>
      </c>
      <c r="S951">
        <v>2.995117</v>
      </c>
      <c r="T951">
        <v>0.19928709999999999</v>
      </c>
      <c r="U951">
        <v>-9.4635010000000006E-2</v>
      </c>
      <c r="V951">
        <v>7.7910270000000004E-2</v>
      </c>
      <c r="W951">
        <v>4.6554249999999998E-2</v>
      </c>
      <c r="X951">
        <v>0.99587289999999995</v>
      </c>
      <c r="Y951">
        <v>4.5895600000000002E-2</v>
      </c>
      <c r="Z951">
        <v>2.4855960000000001E-3</v>
      </c>
      <c r="AA951">
        <v>0.99894320000000003</v>
      </c>
      <c r="AB951">
        <v>31</v>
      </c>
      <c r="AC951">
        <v>93.787800000000004</v>
      </c>
      <c r="AD951">
        <v>6.2528559999999898</v>
      </c>
      <c r="AE951">
        <v>-2.9719999999999702</v>
      </c>
      <c r="AF951">
        <v>4.3086133285453796</v>
      </c>
      <c r="AG951">
        <v>6.2528559999999898</v>
      </c>
      <c r="AH951">
        <v>93.320637714756501</v>
      </c>
      <c r="AI951">
        <v>86.170750365048207</v>
      </c>
      <c r="AJ951">
        <v>87.356531442168006</v>
      </c>
      <c r="AK951">
        <v>93.629075507881097</v>
      </c>
      <c r="AL951">
        <v>87.331673709563901</v>
      </c>
      <c r="AM951">
        <v>85.526682269858497</v>
      </c>
      <c r="AN951">
        <v>1.0000000706594701</v>
      </c>
    </row>
    <row r="952" spans="1:40" x14ac:dyDescent="0.25">
      <c r="A952" t="str">
        <f>"20190312154816215"</f>
        <v>20190312154816215</v>
      </c>
      <c r="B952" t="str">
        <f>"1552376896206591"</f>
        <v>1552376896206591</v>
      </c>
      <c r="C952" t="s">
        <v>40</v>
      </c>
      <c r="D952">
        <v>4.1658489999999997</v>
      </c>
      <c r="E952">
        <v>0.48775489999999999</v>
      </c>
      <c r="F952" t="s">
        <v>44</v>
      </c>
      <c r="G952">
        <v>-170.08879999999999</v>
      </c>
      <c r="H952">
        <v>7.4026750000000003</v>
      </c>
      <c r="I952">
        <v>365.36439999999999</v>
      </c>
      <c r="J952">
        <v>-263.71280000000002</v>
      </c>
      <c r="K952">
        <v>1.1098730000000001</v>
      </c>
      <c r="L952">
        <v>368.40370000000001</v>
      </c>
      <c r="M952">
        <v>0.9997952</v>
      </c>
      <c r="N952">
        <v>0</v>
      </c>
      <c r="O952">
        <v>1.435787E-2</v>
      </c>
      <c r="P952">
        <v>0.99746270000000004</v>
      </c>
      <c r="Q952">
        <v>3.2239570000000002E-2</v>
      </c>
      <c r="R952">
        <v>-6.347564E-2</v>
      </c>
      <c r="S952">
        <v>2.9949949999999999</v>
      </c>
      <c r="T952">
        <v>0.2009553</v>
      </c>
      <c r="U952">
        <v>-9.6984860000000006E-2</v>
      </c>
      <c r="V952">
        <v>7.7811259999999993E-2</v>
      </c>
      <c r="W952">
        <v>4.6421360000000002E-2</v>
      </c>
      <c r="X952">
        <v>0.99588670000000001</v>
      </c>
      <c r="Y952">
        <v>4.6576930000000002E-2</v>
      </c>
      <c r="Z952">
        <v>2.5225909999999998E-3</v>
      </c>
      <c r="AA952">
        <v>0.99891149999999995</v>
      </c>
      <c r="AB952">
        <v>31</v>
      </c>
      <c r="AC952">
        <v>93.623999999999995</v>
      </c>
      <c r="AD952">
        <v>6.292802</v>
      </c>
      <c r="AE952">
        <v>-3.0393000000000199</v>
      </c>
      <c r="AF952">
        <v>4.3636717624133698</v>
      </c>
      <c r="AG952">
        <v>6.292802</v>
      </c>
      <c r="AH952">
        <v>93.150326311330204</v>
      </c>
      <c r="AI952">
        <v>86.139457047765404</v>
      </c>
      <c r="AJ952">
        <v>87.317912497310999</v>
      </c>
      <c r="AK952">
        <v>93.464561627220903</v>
      </c>
      <c r="AL952">
        <v>87.339295603537707</v>
      </c>
      <c r="AM952">
        <v>85.532405683786394</v>
      </c>
      <c r="AN952">
        <v>0.99999992704196095</v>
      </c>
    </row>
    <row r="953" spans="1:40" x14ac:dyDescent="0.25">
      <c r="A953" t="str">
        <f>"20190312154816226"</f>
        <v>20190312154816226</v>
      </c>
      <c r="B953" t="str">
        <f>"1552376896217326"</f>
        <v>1552376896217326</v>
      </c>
      <c r="C953" t="s">
        <v>40</v>
      </c>
      <c r="D953">
        <v>4.1383380000000001</v>
      </c>
      <c r="E953">
        <v>0.51132509999999998</v>
      </c>
      <c r="F953" t="s">
        <v>44</v>
      </c>
      <c r="G953">
        <v>-170.08879999999999</v>
      </c>
      <c r="H953">
        <v>7.378819</v>
      </c>
      <c r="I953">
        <v>365.3777</v>
      </c>
      <c r="J953">
        <v>-263.55489999999998</v>
      </c>
      <c r="K953">
        <v>1.109872</v>
      </c>
      <c r="L953">
        <v>368.40589999999997</v>
      </c>
      <c r="M953">
        <v>0.99979660000000004</v>
      </c>
      <c r="N953">
        <v>0</v>
      </c>
      <c r="O953">
        <v>1.4261960000000001E-2</v>
      </c>
      <c r="P953">
        <v>0.99744219999999895</v>
      </c>
      <c r="Q953">
        <v>3.212959E-2</v>
      </c>
      <c r="R953">
        <v>-6.385209E-2</v>
      </c>
      <c r="S953">
        <v>2.9949650000000001</v>
      </c>
      <c r="T953">
        <v>0.20054169999999999</v>
      </c>
      <c r="U953">
        <v>-9.6801760000000001E-2</v>
      </c>
      <c r="V953">
        <v>7.8091859999999999E-2</v>
      </c>
      <c r="W953">
        <v>4.6313229999999997E-2</v>
      </c>
      <c r="X953">
        <v>0.99586980000000003</v>
      </c>
      <c r="Y953">
        <v>4.6421560000000001E-2</v>
      </c>
      <c r="Z953">
        <v>2.505831E-3</v>
      </c>
      <c r="AA953">
        <v>0.9989188</v>
      </c>
      <c r="AB953">
        <v>31</v>
      </c>
      <c r="AC953">
        <v>93.466099999999898</v>
      </c>
      <c r="AD953">
        <v>6.2689469999999998</v>
      </c>
      <c r="AE953">
        <v>-3.0281999999999698</v>
      </c>
      <c r="AF953">
        <v>4.3415268125405504</v>
      </c>
      <c r="AG953">
        <v>6.2689469999999998</v>
      </c>
      <c r="AH953">
        <v>92.995485205036303</v>
      </c>
      <c r="AI953">
        <v>86.147634648379196</v>
      </c>
      <c r="AJ953">
        <v>87.327067234757195</v>
      </c>
      <c r="AK953">
        <v>93.307603227566304</v>
      </c>
      <c r="AL953">
        <v>87.345497744695294</v>
      </c>
      <c r="AM953">
        <v>85.516284612591903</v>
      </c>
      <c r="AN953">
        <v>0.99999995621166504</v>
      </c>
    </row>
    <row r="954" spans="1:40" x14ac:dyDescent="0.25">
      <c r="A954" t="str">
        <f>"20190312154816237"</f>
        <v>20190312154816237</v>
      </c>
      <c r="B954" t="str">
        <f>"1552376896227087"</f>
        <v>1552376896227087</v>
      </c>
      <c r="C954" t="s">
        <v>40</v>
      </c>
      <c r="D954">
        <v>4.0865070000000001</v>
      </c>
      <c r="E954">
        <v>0.51568359999999902</v>
      </c>
      <c r="F954" t="s">
        <v>44</v>
      </c>
      <c r="G954">
        <v>-160.77209999999999</v>
      </c>
      <c r="H954">
        <v>6.6740890000000004</v>
      </c>
      <c r="I954">
        <v>358.60789999999997</v>
      </c>
      <c r="J954">
        <v>-263.38600000000002</v>
      </c>
      <c r="K954">
        <v>1.1098730000000001</v>
      </c>
      <c r="L954">
        <v>368.40820000000002</v>
      </c>
      <c r="M954">
        <v>0.99979790000000002</v>
      </c>
      <c r="N954">
        <v>0</v>
      </c>
      <c r="O954">
        <v>1.415985E-2</v>
      </c>
      <c r="P954">
        <v>0.99743519999999997</v>
      </c>
      <c r="Q954">
        <v>3.2073459999999998E-2</v>
      </c>
      <c r="R954">
        <v>-6.3989149999999995E-2</v>
      </c>
      <c r="S954">
        <v>2.984283</v>
      </c>
      <c r="T954">
        <v>0.1615587</v>
      </c>
      <c r="U954">
        <v>-0.28448489999999999</v>
      </c>
      <c r="V954">
        <v>7.8126840000000003E-2</v>
      </c>
      <c r="W954">
        <v>4.6258929999999997E-2</v>
      </c>
      <c r="X954">
        <v>0.99586960000000002</v>
      </c>
      <c r="Y954">
        <v>0.1088069</v>
      </c>
      <c r="Z954">
        <v>3.7008800000000001E-3</v>
      </c>
      <c r="AA954">
        <v>0.99405600000000005</v>
      </c>
      <c r="AB954">
        <v>31</v>
      </c>
      <c r="AC954">
        <v>102.61389999999901</v>
      </c>
      <c r="AD954">
        <v>5.5642160000000001</v>
      </c>
      <c r="AE954">
        <v>-9.8003000000000497</v>
      </c>
      <c r="AF954">
        <v>11.219771080582399</v>
      </c>
      <c r="AG954">
        <v>5.5642160000000001</v>
      </c>
      <c r="AH954">
        <v>102.16713599086501</v>
      </c>
      <c r="AI954">
        <v>86.901235713343993</v>
      </c>
      <c r="AJ954">
        <v>83.733015660711999</v>
      </c>
      <c r="AK954">
        <v>102.93185823335401</v>
      </c>
      <c r="AL954">
        <v>87.348612296122695</v>
      </c>
      <c r="AM954">
        <v>85.514283501811093</v>
      </c>
      <c r="AN954">
        <v>0.99999997596864498</v>
      </c>
    </row>
    <row r="955" spans="1:40" x14ac:dyDescent="0.25">
      <c r="A955" t="str">
        <f>"20190312154816250"</f>
        <v>20190312154816250</v>
      </c>
      <c r="B955" t="str">
        <f>"1552376896236847"</f>
        <v>1552376896236847</v>
      </c>
      <c r="C955" t="s">
        <v>40</v>
      </c>
      <c r="D955">
        <v>4.0870410000000001</v>
      </c>
      <c r="E955">
        <v>0.5186191</v>
      </c>
      <c r="F955" t="s">
        <v>44</v>
      </c>
      <c r="G955">
        <v>-158.19499999999999</v>
      </c>
      <c r="H955">
        <v>5.0971869999999999</v>
      </c>
      <c r="I955">
        <v>357.21469999999999</v>
      </c>
      <c r="J955">
        <v>-263.22660000000002</v>
      </c>
      <c r="K955">
        <v>1.1098730000000001</v>
      </c>
      <c r="L955">
        <v>368.41039999999998</v>
      </c>
      <c r="M955">
        <v>0.9997994</v>
      </c>
      <c r="N955">
        <v>0</v>
      </c>
      <c r="O955">
        <v>1.40631E-2</v>
      </c>
      <c r="P955">
        <v>0.99743800000000005</v>
      </c>
      <c r="Q955">
        <v>3.2072030000000001E-2</v>
      </c>
      <c r="R955">
        <v>-6.3946199999999995E-2</v>
      </c>
      <c r="S955">
        <v>2.9837340000000001</v>
      </c>
      <c r="T955">
        <v>0.1131023</v>
      </c>
      <c r="U955">
        <v>-0.31750489999999998</v>
      </c>
      <c r="V955">
        <v>7.7987570000000006E-2</v>
      </c>
      <c r="W955">
        <v>4.6259889999999998E-2</v>
      </c>
      <c r="X955">
        <v>0.99588049999999995</v>
      </c>
      <c r="Y955">
        <v>0.1196946</v>
      </c>
      <c r="Z955">
        <v>2.792929E-3</v>
      </c>
      <c r="AA955">
        <v>0.99280690000000005</v>
      </c>
      <c r="AB955">
        <v>31</v>
      </c>
      <c r="AC955">
        <v>105.0316</v>
      </c>
      <c r="AD955">
        <v>3.987314</v>
      </c>
      <c r="AE955">
        <v>-11.195699999999899</v>
      </c>
      <c r="AF955">
        <v>12.6537811453155</v>
      </c>
      <c r="AG955">
        <v>3.987314</v>
      </c>
      <c r="AH955">
        <v>104.714531043796</v>
      </c>
      <c r="AI955">
        <v>87.835082219053305</v>
      </c>
      <c r="AJ955">
        <v>83.109744428562095</v>
      </c>
      <c r="AK955">
        <v>105.55164547239499</v>
      </c>
      <c r="AL955">
        <v>87.348557308634199</v>
      </c>
      <c r="AM955">
        <v>85.522296064771197</v>
      </c>
      <c r="AN955">
        <v>1.00000000438878</v>
      </c>
    </row>
    <row r="956" spans="1:40" x14ac:dyDescent="0.25">
      <c r="A956" t="str">
        <f>"20190312154816261"</f>
        <v>20190312154816261</v>
      </c>
      <c r="B956" t="str">
        <f>"1552376896257343"</f>
        <v>1552376896257343</v>
      </c>
      <c r="C956" t="s">
        <v>40</v>
      </c>
      <c r="D956">
        <v>4.0759689999999997</v>
      </c>
      <c r="E956">
        <v>0.52169790000000005</v>
      </c>
      <c r="F956" t="s">
        <v>44</v>
      </c>
      <c r="G956">
        <v>-158.19499999999999</v>
      </c>
      <c r="H956">
        <v>3.680358</v>
      </c>
      <c r="I956">
        <v>356.47179999999997</v>
      </c>
      <c r="J956">
        <v>-263.06049999999999</v>
      </c>
      <c r="K956">
        <v>1.10988</v>
      </c>
      <c r="L956">
        <v>368.4126</v>
      </c>
      <c r="M956">
        <v>0.99980060000000004</v>
      </c>
      <c r="N956">
        <v>0</v>
      </c>
      <c r="O956">
        <v>1.3962489999999999E-2</v>
      </c>
      <c r="P956">
        <v>0.99742350000000002</v>
      </c>
      <c r="Q956">
        <v>3.2040970000000002E-2</v>
      </c>
      <c r="R956">
        <v>-6.4184190000000002E-2</v>
      </c>
      <c r="S956">
        <v>2.9836429999999998</v>
      </c>
      <c r="T956">
        <v>7.3022480000000001E-2</v>
      </c>
      <c r="U956">
        <v>-0.33914179999999999</v>
      </c>
      <c r="V956">
        <v>7.8125089999999994E-2</v>
      </c>
      <c r="W956">
        <v>4.6229869999999999E-2</v>
      </c>
      <c r="X956">
        <v>0.99587110000000001</v>
      </c>
      <c r="Y956">
        <v>0.1267617</v>
      </c>
      <c r="Z956">
        <v>1.886661E-3</v>
      </c>
      <c r="AA956">
        <v>0.99193140000000002</v>
      </c>
      <c r="AB956">
        <v>31</v>
      </c>
      <c r="AC956">
        <v>104.8655</v>
      </c>
      <c r="AD956">
        <v>2.570478</v>
      </c>
      <c r="AE956">
        <v>-11.940799999999999</v>
      </c>
      <c r="AF956">
        <v>13.3960225858094</v>
      </c>
      <c r="AG956">
        <v>2.570478</v>
      </c>
      <c r="AH956">
        <v>104.626475653771</v>
      </c>
      <c r="AI956">
        <v>88.604023634982894</v>
      </c>
      <c r="AJ956">
        <v>82.703738123073705</v>
      </c>
      <c r="AK956">
        <v>105.51189594541999</v>
      </c>
      <c r="AL956">
        <v>87.350279129792696</v>
      </c>
      <c r="AM956">
        <v>85.514390298179705</v>
      </c>
      <c r="AN956">
        <v>0.99999998919146704</v>
      </c>
    </row>
    <row r="957" spans="1:40" x14ac:dyDescent="0.25">
      <c r="A957" t="str">
        <f>"20190312154816274"</f>
        <v>20190312154816274</v>
      </c>
      <c r="B957" t="str">
        <f>"1552376896267103"</f>
        <v>1552376896267103</v>
      </c>
      <c r="C957" t="s">
        <v>40</v>
      </c>
      <c r="D957">
        <v>4.0736629999999998</v>
      </c>
      <c r="E957">
        <v>0.52253509999999903</v>
      </c>
      <c r="F957" t="s">
        <v>44</v>
      </c>
      <c r="G957">
        <v>-158.19499999999999</v>
      </c>
      <c r="H957">
        <v>2.2696649999999998</v>
      </c>
      <c r="I957">
        <v>355.65629999999999</v>
      </c>
      <c r="J957">
        <v>-262.89699999999999</v>
      </c>
      <c r="K957">
        <v>1.1098790000000001</v>
      </c>
      <c r="L957">
        <v>368.41480000000001</v>
      </c>
      <c r="M957">
        <v>0.99980199999999997</v>
      </c>
      <c r="N957">
        <v>0</v>
      </c>
      <c r="O957">
        <v>1.386337E-2</v>
      </c>
      <c r="P957">
        <v>0.9974092</v>
      </c>
      <c r="Q957">
        <v>3.2195469999999997E-2</v>
      </c>
      <c r="R957">
        <v>-6.4329629999999999E-2</v>
      </c>
      <c r="S957">
        <v>2.9833980000000002</v>
      </c>
      <c r="T957">
        <v>3.2998090000000001E-2</v>
      </c>
      <c r="U957">
        <v>-0.36291499999999999</v>
      </c>
      <c r="V957">
        <v>7.8171599999999994E-2</v>
      </c>
      <c r="W957">
        <v>4.6385629999999997E-2</v>
      </c>
      <c r="X957">
        <v>0.99586019999999997</v>
      </c>
      <c r="Y957">
        <v>0.13449749999999999</v>
      </c>
      <c r="Z957">
        <v>8.9386860000000002E-4</v>
      </c>
      <c r="AA957">
        <v>0.9909135</v>
      </c>
      <c r="AB957">
        <v>31</v>
      </c>
      <c r="AC957">
        <v>104.702</v>
      </c>
      <c r="AD957">
        <v>1.159786</v>
      </c>
      <c r="AE957">
        <v>-12.7585</v>
      </c>
      <c r="AF957">
        <v>14.207226393430799</v>
      </c>
      <c r="AG957">
        <v>1.159786</v>
      </c>
      <c r="AH957">
        <v>104.50240726956901</v>
      </c>
      <c r="AI957">
        <v>89.369942972615206</v>
      </c>
      <c r="AJ957">
        <v>82.258035417061706</v>
      </c>
      <c r="AK957">
        <v>105.47010718916999</v>
      </c>
      <c r="AL957">
        <v>87.341345135302504</v>
      </c>
      <c r="AM957">
        <v>85.511681875224994</v>
      </c>
      <c r="AN957">
        <v>0.99999998183054795</v>
      </c>
    </row>
    <row r="958" spans="1:40" x14ac:dyDescent="0.25">
      <c r="A958" t="str">
        <f>"20190312154816286"</f>
        <v>20190312154816286</v>
      </c>
      <c r="B958" t="str">
        <f>"1552376896276863"</f>
        <v>1552376896276863</v>
      </c>
      <c r="C958" t="s">
        <v>40</v>
      </c>
      <c r="D958">
        <v>4.0686140000000002</v>
      </c>
      <c r="E958">
        <v>0.52312890000000001</v>
      </c>
      <c r="F958" t="s">
        <v>44</v>
      </c>
      <c r="G958">
        <v>-167.62309999999999</v>
      </c>
      <c r="H958">
        <v>1.8118460000000001</v>
      </c>
      <c r="I958">
        <v>356.61509999999998</v>
      </c>
      <c r="J958">
        <v>-262.7328</v>
      </c>
      <c r="K958">
        <v>1.109882</v>
      </c>
      <c r="L958">
        <v>368.4169</v>
      </c>
      <c r="M958">
        <v>0.99980340000000001</v>
      </c>
      <c r="N958">
        <v>0</v>
      </c>
      <c r="O958">
        <v>1.376377E-2</v>
      </c>
      <c r="P958">
        <v>0.99740770000000001</v>
      </c>
      <c r="Q958">
        <v>3.2039049999999999E-2</v>
      </c>
      <c r="R958">
        <v>-6.4432119999999996E-2</v>
      </c>
      <c r="S958">
        <v>2.9832459999999998</v>
      </c>
      <c r="T958">
        <v>2.1982910000000001E-2</v>
      </c>
      <c r="U958">
        <v>-0.36947629999999998</v>
      </c>
      <c r="V958">
        <v>7.8174640000000004E-2</v>
      </c>
      <c r="W958">
        <v>4.6230350000000003E-2</v>
      </c>
      <c r="X958">
        <v>0.99586719999999895</v>
      </c>
      <c r="Y958">
        <v>0.1365565</v>
      </c>
      <c r="Z958">
        <v>6.0227100000000003E-4</v>
      </c>
      <c r="AA958">
        <v>0.99063210000000002</v>
      </c>
      <c r="AB958">
        <v>31</v>
      </c>
      <c r="AC958">
        <v>95.109700000000004</v>
      </c>
      <c r="AD958">
        <v>0.70196399999999903</v>
      </c>
      <c r="AE958">
        <v>-11.8018</v>
      </c>
      <c r="AF958">
        <v>13.109179976434399</v>
      </c>
      <c r="AG958">
        <v>0.70196399999999903</v>
      </c>
      <c r="AH958">
        <v>94.933142211027402</v>
      </c>
      <c r="AI958">
        <v>89.580327828449896</v>
      </c>
      <c r="AJ958">
        <v>82.137830394063997</v>
      </c>
      <c r="AK958">
        <v>95.836552750873693</v>
      </c>
      <c r="AL958">
        <v>87.350251626559896</v>
      </c>
      <c r="AM958">
        <v>85.511539464047303</v>
      </c>
      <c r="AN958">
        <v>0.99999999981804499</v>
      </c>
    </row>
    <row r="959" spans="1:40" x14ac:dyDescent="0.25">
      <c r="A959" t="str">
        <f>"20190312154816300"</f>
        <v>20190312154816300</v>
      </c>
      <c r="B959" t="str">
        <f>"1552376896297359"</f>
        <v>1552376896297359</v>
      </c>
      <c r="C959" t="s">
        <v>40</v>
      </c>
      <c r="D959">
        <v>4.1031309999999896</v>
      </c>
      <c r="E959">
        <v>0.52408809999999995</v>
      </c>
      <c r="F959" t="s">
        <v>44</v>
      </c>
      <c r="G959">
        <v>-168.65559999999999</v>
      </c>
      <c r="H959">
        <v>1.5531999999999999</v>
      </c>
      <c r="I959">
        <v>356.61509999999998</v>
      </c>
      <c r="J959">
        <v>-262.53250000000003</v>
      </c>
      <c r="K959">
        <v>1.1098809999999999</v>
      </c>
      <c r="L959">
        <v>368.4196</v>
      </c>
      <c r="M959">
        <v>0.9998051</v>
      </c>
      <c r="N959">
        <v>0</v>
      </c>
      <c r="O959">
        <v>1.364224E-2</v>
      </c>
      <c r="P959">
        <v>0.99741449999999998</v>
      </c>
      <c r="Q959">
        <v>3.2261949999999998E-2</v>
      </c>
      <c r="R959">
        <v>-6.4216800000000004E-2</v>
      </c>
      <c r="S959">
        <v>2.9831850000000002</v>
      </c>
      <c r="T959">
        <v>1.4060380000000001E-2</v>
      </c>
      <c r="U959">
        <v>-0.37423709999999999</v>
      </c>
      <c r="V959">
        <v>7.7838409999999997E-2</v>
      </c>
      <c r="W959">
        <v>4.6455179999999999E-2</v>
      </c>
      <c r="X959">
        <v>0.99588299999999996</v>
      </c>
      <c r="Y959">
        <v>0.1379975</v>
      </c>
      <c r="Z959">
        <v>3.8800040000000003E-4</v>
      </c>
      <c r="AA959">
        <v>0.99043250000000005</v>
      </c>
      <c r="AB959">
        <v>31</v>
      </c>
      <c r="AC959">
        <v>93.876900000000006</v>
      </c>
      <c r="AD959">
        <v>0.44331899999999902</v>
      </c>
      <c r="AE959">
        <v>-11.804500000000001</v>
      </c>
      <c r="AF959">
        <v>13.083935643536</v>
      </c>
      <c r="AG959">
        <v>0.44331899999999902</v>
      </c>
      <c r="AH959">
        <v>93.705048697535702</v>
      </c>
      <c r="AI959">
        <v>89.731539747286305</v>
      </c>
      <c r="AJ959">
        <v>82.051242737082205</v>
      </c>
      <c r="AK959">
        <v>94.615125931679103</v>
      </c>
      <c r="AL959">
        <v>87.337355763932706</v>
      </c>
      <c r="AM959">
        <v>85.530836622458693</v>
      </c>
      <c r="AN959">
        <v>0.99999992575457697</v>
      </c>
    </row>
    <row r="960" spans="1:40" x14ac:dyDescent="0.25">
      <c r="A960" t="str">
        <f>"20190312154816312"</f>
        <v>20190312154816312</v>
      </c>
      <c r="B960" t="str">
        <f>"1552376896307120"</f>
        <v>1552376896307120</v>
      </c>
      <c r="C960" t="s">
        <v>40</v>
      </c>
      <c r="D960">
        <v>4.1238010000000003</v>
      </c>
      <c r="E960">
        <v>0.52444820000000003</v>
      </c>
      <c r="F960" t="s">
        <v>44</v>
      </c>
      <c r="G960">
        <v>-169.2955</v>
      </c>
      <c r="H960">
        <v>0.73257640000000002</v>
      </c>
      <c r="I960">
        <v>356.53829999999999</v>
      </c>
      <c r="J960">
        <v>-262.37470000000002</v>
      </c>
      <c r="K960">
        <v>1.109883</v>
      </c>
      <c r="L960">
        <v>368.42169999999999</v>
      </c>
      <c r="M960">
        <v>0.99980630000000004</v>
      </c>
      <c r="N960">
        <v>0</v>
      </c>
      <c r="O960">
        <v>1.354646E-2</v>
      </c>
      <c r="P960">
        <v>0.99740490000000004</v>
      </c>
      <c r="Q960">
        <v>3.2290399999999997E-2</v>
      </c>
      <c r="R960">
        <v>-6.4351130000000006E-2</v>
      </c>
      <c r="S960">
        <v>2.9837039999999999</v>
      </c>
      <c r="T960">
        <v>-1.207137E-2</v>
      </c>
      <c r="U960">
        <v>-0.38021850000000001</v>
      </c>
      <c r="V960">
        <v>7.7877059999999998E-2</v>
      </c>
      <c r="W960">
        <v>4.6483749999999997E-2</v>
      </c>
      <c r="X960">
        <v>0.99587870000000001</v>
      </c>
      <c r="Y960">
        <v>0.13983579999999901</v>
      </c>
      <c r="Z960">
        <v>-3.363323E-4</v>
      </c>
      <c r="AA960">
        <v>0.99017469999999996</v>
      </c>
      <c r="AB960">
        <v>31</v>
      </c>
      <c r="AC960">
        <v>93.0792</v>
      </c>
      <c r="AD960">
        <v>-0.37730659999999999</v>
      </c>
      <c r="AE960">
        <v>-11.8833999999999</v>
      </c>
      <c r="AF960">
        <v>13.143119085560601</v>
      </c>
      <c r="AG960">
        <v>-0.37730659999999999</v>
      </c>
      <c r="AH960">
        <v>92.908160972365295</v>
      </c>
      <c r="AI960">
        <v>90.230387123673495</v>
      </c>
      <c r="AJ960">
        <v>81.948162426270102</v>
      </c>
      <c r="AK960">
        <v>93.833950757892396</v>
      </c>
      <c r="AL960">
        <v>87.335717198540706</v>
      </c>
      <c r="AM960">
        <v>85.528607266101702</v>
      </c>
      <c r="AN960">
        <v>0.99999998030099702</v>
      </c>
    </row>
    <row r="961" spans="1:40" x14ac:dyDescent="0.25">
      <c r="A961" t="str">
        <f>"20190312154816323"</f>
        <v>20190312154816323</v>
      </c>
      <c r="B961" t="str">
        <f>"1552376896316879"</f>
        <v>1552376896316879</v>
      </c>
      <c r="C961" t="s">
        <v>40</v>
      </c>
      <c r="D961">
        <v>4.1523180000000002</v>
      </c>
      <c r="E961">
        <v>0.52463909999999903</v>
      </c>
      <c r="F961" t="s">
        <v>44</v>
      </c>
      <c r="G961">
        <v>-169.2955</v>
      </c>
      <c r="H961">
        <v>0.4291143</v>
      </c>
      <c r="I961">
        <v>356.47539999999998</v>
      </c>
      <c r="J961">
        <v>-262.21800000000002</v>
      </c>
      <c r="K961">
        <v>1.1098859999999999</v>
      </c>
      <c r="L961">
        <v>368.4237</v>
      </c>
      <c r="M961">
        <v>0.99980760000000002</v>
      </c>
      <c r="N961">
        <v>0</v>
      </c>
      <c r="O961">
        <v>1.345122E-2</v>
      </c>
      <c r="P961">
        <v>0.99742280000000005</v>
      </c>
      <c r="Q961">
        <v>3.238531E-2</v>
      </c>
      <c r="R961">
        <v>-6.4026369999999999E-2</v>
      </c>
      <c r="S961">
        <v>2.9838559999999998</v>
      </c>
      <c r="T961">
        <v>-2.1820659999999999E-2</v>
      </c>
      <c r="U961">
        <v>-0.3829651</v>
      </c>
      <c r="V961">
        <v>7.7457709999999999E-2</v>
      </c>
      <c r="W961">
        <v>4.6579500000000003E-2</v>
      </c>
      <c r="X961">
        <v>0.99590690000000004</v>
      </c>
      <c r="Y961">
        <v>0.14062910000000001</v>
      </c>
      <c r="Z961">
        <v>-6.1008980000000002E-4</v>
      </c>
      <c r="AA961">
        <v>0.9900622</v>
      </c>
      <c r="AB961">
        <v>31</v>
      </c>
      <c r="AC961">
        <v>92.922499999999999</v>
      </c>
      <c r="AD961">
        <v>-0.68077169999999998</v>
      </c>
      <c r="AE961">
        <v>-11.9483</v>
      </c>
      <c r="AF961">
        <v>13.1965704023853</v>
      </c>
      <c r="AG961">
        <v>-0.68077169999999998</v>
      </c>
      <c r="AH961">
        <v>92.748458649974793</v>
      </c>
      <c r="AI961">
        <v>90.416349102443704</v>
      </c>
      <c r="AJ961">
        <v>81.902113173181604</v>
      </c>
      <c r="AK961">
        <v>93.685054851020595</v>
      </c>
      <c r="AL961">
        <v>87.3302250978942</v>
      </c>
      <c r="AM961">
        <v>85.552713254524207</v>
      </c>
      <c r="AN961">
        <v>0.99999995006315001</v>
      </c>
    </row>
    <row r="962" spans="1:40" x14ac:dyDescent="0.25">
      <c r="A962" t="str">
        <f>"20190312154816335"</f>
        <v>20190312154816335</v>
      </c>
      <c r="B962" t="str">
        <f>"1552376896326639"</f>
        <v>1552376896326639</v>
      </c>
      <c r="C962" t="s">
        <v>40</v>
      </c>
      <c r="D962">
        <v>4.1328880000000003</v>
      </c>
      <c r="E962">
        <v>0.52465430000000002</v>
      </c>
      <c r="F962" t="s">
        <v>44</v>
      </c>
      <c r="G962">
        <v>-169.2955</v>
      </c>
      <c r="H962">
        <v>0.29533290000000001</v>
      </c>
      <c r="I962">
        <v>356.48379999999997</v>
      </c>
      <c r="J962">
        <v>-262.06459999999998</v>
      </c>
      <c r="K962">
        <v>1.1098889999999999</v>
      </c>
      <c r="L962">
        <v>368.42559999999997</v>
      </c>
      <c r="M962">
        <v>0.9998089</v>
      </c>
      <c r="N962">
        <v>0</v>
      </c>
      <c r="O962">
        <v>1.335794E-2</v>
      </c>
      <c r="P962">
        <v>0.99740580000000001</v>
      </c>
      <c r="Q962">
        <v>3.2527519999999997E-2</v>
      </c>
      <c r="R962">
        <v>-6.4220390000000002E-2</v>
      </c>
      <c r="S962">
        <v>2.9840089999999999</v>
      </c>
      <c r="T962">
        <v>-2.6154759999999999E-2</v>
      </c>
      <c r="U962">
        <v>-0.38342290000000001</v>
      </c>
      <c r="V962">
        <v>7.7558500000000002E-2</v>
      </c>
      <c r="W962">
        <v>4.6721909999999998E-2</v>
      </c>
      <c r="X962">
        <v>0.99589240000000001</v>
      </c>
      <c r="Y962">
        <v>0.14067789999999999</v>
      </c>
      <c r="Z962">
        <v>-7.3061830000000004E-4</v>
      </c>
      <c r="AA962">
        <v>0.99005509999999997</v>
      </c>
      <c r="AB962">
        <v>31</v>
      </c>
      <c r="AC962">
        <v>92.769099999999895</v>
      </c>
      <c r="AD962">
        <v>-0.81455609999999901</v>
      </c>
      <c r="AE962">
        <v>-11.941800000000001</v>
      </c>
      <c r="AF962">
        <v>13.179065143005699</v>
      </c>
      <c r="AG962">
        <v>-0.81455609999999901</v>
      </c>
      <c r="AH962">
        <v>92.594264896216799</v>
      </c>
      <c r="AI962">
        <v>90.498991922595593</v>
      </c>
      <c r="AJ962">
        <v>81.899423973438303</v>
      </c>
      <c r="AK962">
        <v>93.531006363421596</v>
      </c>
      <c r="AL962">
        <v>87.322056752558794</v>
      </c>
      <c r="AM962">
        <v>85.546885014448307</v>
      </c>
      <c r="AN962">
        <v>0.99999996508702804</v>
      </c>
    </row>
    <row r="963" spans="1:40" x14ac:dyDescent="0.25">
      <c r="A963" t="str">
        <f>"20190312154816347"</f>
        <v>20190312154816347</v>
      </c>
      <c r="B963" t="str">
        <f>"1552376896337375"</f>
        <v>1552376896337375</v>
      </c>
      <c r="C963" t="s">
        <v>40</v>
      </c>
      <c r="D963">
        <v>4.1670780000000001</v>
      </c>
      <c r="E963">
        <v>0.52473459999999905</v>
      </c>
      <c r="F963" t="s">
        <v>44</v>
      </c>
      <c r="G963">
        <v>-169.2955</v>
      </c>
      <c r="H963">
        <v>0.18162729999999999</v>
      </c>
      <c r="I963">
        <v>356.48680000000002</v>
      </c>
      <c r="J963">
        <v>-261.90469999999999</v>
      </c>
      <c r="K963">
        <v>1.109891</v>
      </c>
      <c r="L963">
        <v>368.42770000000002</v>
      </c>
      <c r="M963">
        <v>0.99981019999999998</v>
      </c>
      <c r="N963">
        <v>0</v>
      </c>
      <c r="O963">
        <v>1.326079E-2</v>
      </c>
      <c r="P963">
        <v>0.99740300000000004</v>
      </c>
      <c r="Q963">
        <v>3.2670070000000002E-2</v>
      </c>
      <c r="R963">
        <v>-6.4189590000000005E-2</v>
      </c>
      <c r="S963">
        <v>2.98407</v>
      </c>
      <c r="T963">
        <v>-2.9856199999999999E-2</v>
      </c>
      <c r="U963">
        <v>-0.38403320000000002</v>
      </c>
      <c r="V963">
        <v>7.7431E-2</v>
      </c>
      <c r="W963">
        <v>4.686481E-2</v>
      </c>
      <c r="X963">
        <v>0.99589559999999999</v>
      </c>
      <c r="Y963">
        <v>0.1407766</v>
      </c>
      <c r="Z963">
        <v>-8.3350660000000001E-4</v>
      </c>
      <c r="AA963">
        <v>0.99004099999999995</v>
      </c>
      <c r="AB963">
        <v>31</v>
      </c>
      <c r="AC963">
        <v>92.609200000000001</v>
      </c>
      <c r="AD963">
        <v>-0.92826369999999903</v>
      </c>
      <c r="AE963">
        <v>-11.940899999999999</v>
      </c>
      <c r="AF963">
        <v>13.1667448818999</v>
      </c>
      <c r="AG963">
        <v>-0.92826369999999903</v>
      </c>
      <c r="AH963">
        <v>92.433558598089604</v>
      </c>
      <c r="AI963">
        <v>90.569623698453199</v>
      </c>
      <c r="AJ963">
        <v>81.893012417659904</v>
      </c>
      <c r="AK963">
        <v>93.371235396069594</v>
      </c>
      <c r="AL963">
        <v>87.313860188122106</v>
      </c>
      <c r="AM963">
        <v>85.554190436232105</v>
      </c>
      <c r="AN963">
        <v>0.99999995813834697</v>
      </c>
    </row>
    <row r="964" spans="1:40" x14ac:dyDescent="0.25">
      <c r="A964" t="str">
        <f>"20190312154816359"</f>
        <v>20190312154816359</v>
      </c>
      <c r="B964" t="str">
        <f>"1552376896347136"</f>
        <v>1552376896347136</v>
      </c>
      <c r="C964" t="s">
        <v>40</v>
      </c>
      <c r="D964">
        <v>4.150989</v>
      </c>
      <c r="E964">
        <v>0.52481069999999996</v>
      </c>
      <c r="F964" t="s">
        <v>44</v>
      </c>
      <c r="G964">
        <v>-169.2955</v>
      </c>
      <c r="H964">
        <v>7.656288E-2</v>
      </c>
      <c r="I964">
        <v>356.50130000000001</v>
      </c>
      <c r="J964">
        <v>-261.72719999999998</v>
      </c>
      <c r="K964">
        <v>1.1098980000000001</v>
      </c>
      <c r="L964">
        <v>368.42989999999998</v>
      </c>
      <c r="M964">
        <v>0.99981160000000002</v>
      </c>
      <c r="N964">
        <v>0</v>
      </c>
      <c r="O964">
        <v>1.315298E-2</v>
      </c>
      <c r="P964">
        <v>0.99738959999999999</v>
      </c>
      <c r="Q964">
        <v>3.2793040000000002E-2</v>
      </c>
      <c r="R964">
        <v>-6.4332920000000002E-2</v>
      </c>
      <c r="S964">
        <v>2.9841609999999998</v>
      </c>
      <c r="T964">
        <v>-3.3294200000000003E-2</v>
      </c>
      <c r="U964">
        <v>-0.38430789999999998</v>
      </c>
      <c r="V964">
        <v>7.7466759999999996E-2</v>
      </c>
      <c r="W964">
        <v>4.6987689999999999E-2</v>
      </c>
      <c r="X964">
        <v>0.99588710000000003</v>
      </c>
      <c r="Y964">
        <v>0.14075379999999901</v>
      </c>
      <c r="Z964">
        <v>-9.2812220000000004E-4</v>
      </c>
      <c r="AA964">
        <v>0.99004420000000004</v>
      </c>
      <c r="AB964">
        <v>31</v>
      </c>
      <c r="AC964">
        <v>92.431699999999907</v>
      </c>
      <c r="AD964">
        <v>-1.0333351200000001</v>
      </c>
      <c r="AE964">
        <v>-11.9285999999999</v>
      </c>
      <c r="AF964">
        <v>13.1418285403546</v>
      </c>
      <c r="AG964">
        <v>-1.0333351200000001</v>
      </c>
      <c r="AH964">
        <v>92.255448816079905</v>
      </c>
      <c r="AI964">
        <v>90.635318832660303</v>
      </c>
      <c r="AJ964">
        <v>81.892735702998294</v>
      </c>
      <c r="AK964">
        <v>93.192506539477904</v>
      </c>
      <c r="AL964">
        <v>87.306812108555704</v>
      </c>
      <c r="AM964">
        <v>85.552107652181405</v>
      </c>
      <c r="AN964">
        <v>1.0000000289314199</v>
      </c>
    </row>
    <row r="965" spans="1:40" x14ac:dyDescent="0.25">
      <c r="A965" t="str">
        <f>"20190312154816374"</f>
        <v>20190312154816374</v>
      </c>
      <c r="B965" t="str">
        <f>"1552376896366655"</f>
        <v>1552376896366655</v>
      </c>
      <c r="C965" t="s">
        <v>40</v>
      </c>
      <c r="D965">
        <v>4.1817190000000002</v>
      </c>
      <c r="E965">
        <v>0.52503219999999995</v>
      </c>
      <c r="F965" t="s">
        <v>43</v>
      </c>
      <c r="G965">
        <v>-163.48310000000001</v>
      </c>
      <c r="H965">
        <v>-0.05</v>
      </c>
      <c r="I965">
        <v>355.74329999999998</v>
      </c>
      <c r="J965">
        <v>-261.5326</v>
      </c>
      <c r="K965">
        <v>1.1098980000000001</v>
      </c>
      <c r="L965">
        <v>368.43239999999997</v>
      </c>
      <c r="M965">
        <v>0.99981310000000001</v>
      </c>
      <c r="N965">
        <v>0</v>
      </c>
      <c r="O965">
        <v>1.3034560000000001E-2</v>
      </c>
      <c r="P965">
        <v>0.99739049999999996</v>
      </c>
      <c r="Q965">
        <v>3.2613660000000003E-2</v>
      </c>
      <c r="R965">
        <v>-6.4409759999999996E-2</v>
      </c>
      <c r="S965">
        <v>2.9841000000000002</v>
      </c>
      <c r="T965">
        <v>-3.5231110000000003E-2</v>
      </c>
      <c r="U965">
        <v>-0.38534550000000001</v>
      </c>
      <c r="V965">
        <v>7.7425259999999996E-2</v>
      </c>
      <c r="W965">
        <v>4.6808130000000003E-2</v>
      </c>
      <c r="X965">
        <v>0.99589879999999997</v>
      </c>
      <c r="Y965">
        <v>0.14097660000000001</v>
      </c>
      <c r="Z965">
        <v>-9.8202800000000002E-4</v>
      </c>
      <c r="AA965">
        <v>0.99001249999999996</v>
      </c>
      <c r="AB965">
        <v>31</v>
      </c>
      <c r="AC965">
        <v>98.049499999999995</v>
      </c>
      <c r="AD965">
        <v>-1.1598979999999901</v>
      </c>
      <c r="AE965">
        <v>-12.6890999999999</v>
      </c>
      <c r="AF965">
        <v>13.964262180817</v>
      </c>
      <c r="AG965">
        <v>-1.1598979999999901</v>
      </c>
      <c r="AH965">
        <v>97.862285480557901</v>
      </c>
      <c r="AI965">
        <v>90.672248994974495</v>
      </c>
      <c r="AJ965">
        <v>81.879114985269595</v>
      </c>
      <c r="AK965">
        <v>98.860370731164195</v>
      </c>
      <c r="AL965">
        <v>87.317111516462603</v>
      </c>
      <c r="AM965">
        <v>85.554532912135798</v>
      </c>
      <c r="AN965">
        <v>1.0000000458808</v>
      </c>
    </row>
    <row r="966" spans="1:40" x14ac:dyDescent="0.25">
      <c r="A966" t="str">
        <f>"20190312154816388"</f>
        <v>20190312154816388</v>
      </c>
      <c r="B966" t="str">
        <f>"1552376896376415"</f>
        <v>1552376896376415</v>
      </c>
      <c r="C966" t="s">
        <v>40</v>
      </c>
      <c r="D966">
        <v>4.2051420000000004</v>
      </c>
      <c r="E966">
        <v>0.52513089999999996</v>
      </c>
      <c r="F966" t="s">
        <v>45</v>
      </c>
      <c r="G966">
        <v>-181.33670000000001</v>
      </c>
      <c r="H966" s="1">
        <v>-5.2032899999999999E-6</v>
      </c>
      <c r="I966">
        <v>358.02429999999998</v>
      </c>
      <c r="J966">
        <v>-261.34440000000001</v>
      </c>
      <c r="K966">
        <v>1.109899</v>
      </c>
      <c r="L966">
        <v>368.43470000000002</v>
      </c>
      <c r="M966">
        <v>0.99981469999999995</v>
      </c>
      <c r="N966">
        <v>0</v>
      </c>
      <c r="O966">
        <v>1.2920009999999999E-2</v>
      </c>
      <c r="P966">
        <v>0.99738170000000004</v>
      </c>
      <c r="Q966">
        <v>3.2584509999999997E-2</v>
      </c>
      <c r="R966">
        <v>-6.4562869999999994E-2</v>
      </c>
      <c r="S966">
        <v>2.9841920000000002</v>
      </c>
      <c r="T966">
        <v>-4.130089E-2</v>
      </c>
      <c r="U966">
        <v>-0.38729859999999999</v>
      </c>
      <c r="V966">
        <v>7.7464190000000002E-2</v>
      </c>
      <c r="W966">
        <v>4.6779069999999999E-2</v>
      </c>
      <c r="X966">
        <v>0.99589709999999998</v>
      </c>
      <c r="Y966">
        <v>0.1414926</v>
      </c>
      <c r="Z966">
        <v>-1.1530939999999999E-3</v>
      </c>
      <c r="AA966">
        <v>0.9899386</v>
      </c>
      <c r="AB966">
        <v>30</v>
      </c>
      <c r="AC966">
        <v>80.0077</v>
      </c>
      <c r="AD966">
        <v>-1.1099042032899999</v>
      </c>
      <c r="AE966">
        <v>-10.410399999999999</v>
      </c>
      <c r="AF966">
        <v>11.4411713079782</v>
      </c>
      <c r="AG966">
        <v>-1.1099042032899999</v>
      </c>
      <c r="AH966">
        <v>79.851393294458603</v>
      </c>
      <c r="AI966">
        <v>90.788289004809798</v>
      </c>
      <c r="AJ966">
        <v>81.8461109108259</v>
      </c>
      <c r="AK966">
        <v>80.674514558845004</v>
      </c>
      <c r="AL966">
        <v>87.3187782558701</v>
      </c>
      <c r="AM966">
        <v>85.552299102706698</v>
      </c>
      <c r="AN966">
        <v>1.0000000079554101</v>
      </c>
    </row>
    <row r="967" spans="1:40" x14ac:dyDescent="0.25">
      <c r="A967" t="str">
        <f>"20190312154816401"</f>
        <v>20190312154816401</v>
      </c>
      <c r="B967" t="str">
        <f>"1552376896397268"</f>
        <v>1552376896397268</v>
      </c>
      <c r="C967" t="s">
        <v>40</v>
      </c>
      <c r="D967">
        <v>4.204034</v>
      </c>
      <c r="E967">
        <v>0.52531740000000005</v>
      </c>
      <c r="F967" t="s">
        <v>45</v>
      </c>
      <c r="G967">
        <v>-185.42939999999999</v>
      </c>
      <c r="H967" s="1">
        <v>-5.069233E-6</v>
      </c>
      <c r="I967">
        <v>358.56279999999998</v>
      </c>
      <c r="J967">
        <v>-261.16070000000002</v>
      </c>
      <c r="K967">
        <v>1.1099049999999999</v>
      </c>
      <c r="L967">
        <v>368.43700000000001</v>
      </c>
      <c r="M967">
        <v>0.99981600000000004</v>
      </c>
      <c r="N967">
        <v>0</v>
      </c>
      <c r="O967">
        <v>1.2808979999999999E-2</v>
      </c>
      <c r="P967">
        <v>0.99735609999999997</v>
      </c>
      <c r="Q967">
        <v>3.227029E-2</v>
      </c>
      <c r="R967">
        <v>-6.511169E-2</v>
      </c>
      <c r="S967">
        <v>2.9841920000000002</v>
      </c>
      <c r="T967">
        <v>-4.3629880000000003E-2</v>
      </c>
      <c r="U967">
        <v>-0.3880615</v>
      </c>
      <c r="V967">
        <v>7.7901719999999994E-2</v>
      </c>
      <c r="W967">
        <v>4.6464220000000001E-2</v>
      </c>
      <c r="X967">
        <v>0.99587769999999998</v>
      </c>
      <c r="Y967">
        <v>0.141629799999999</v>
      </c>
      <c r="Z967">
        <v>-1.2174740000000001E-3</v>
      </c>
      <c r="AA967">
        <v>0.98991890000000005</v>
      </c>
      <c r="AB967">
        <v>30</v>
      </c>
      <c r="AC967">
        <v>75.731300000000005</v>
      </c>
      <c r="AD967">
        <v>-1.109910069233</v>
      </c>
      <c r="AE967">
        <v>-9.8741999999999699</v>
      </c>
      <c r="AF967">
        <v>10.841239666105301</v>
      </c>
      <c r="AG967">
        <v>-1.109910069233</v>
      </c>
      <c r="AH967">
        <v>75.582631122755103</v>
      </c>
      <c r="AI967">
        <v>90.832790248887093</v>
      </c>
      <c r="AJ967">
        <v>81.837420270825007</v>
      </c>
      <c r="AK967">
        <v>76.364248868814201</v>
      </c>
      <c r="AL967">
        <v>87.3368374414474</v>
      </c>
      <c r="AM967">
        <v>85.527192657847493</v>
      </c>
      <c r="AN967">
        <v>0.99999999753822799</v>
      </c>
    </row>
    <row r="968" spans="1:40" x14ac:dyDescent="0.25">
      <c r="A968" t="str">
        <f>"20190312154816415"</f>
        <v>20190312154816415</v>
      </c>
      <c r="B968" t="str">
        <f>"1552376896407028"</f>
        <v>1552376896407028</v>
      </c>
      <c r="C968" t="s">
        <v>40</v>
      </c>
      <c r="D968">
        <v>4.2101699999999997</v>
      </c>
      <c r="E968">
        <v>0.52546029999999999</v>
      </c>
      <c r="F968" t="s">
        <v>45</v>
      </c>
      <c r="G968">
        <v>-196.4854</v>
      </c>
      <c r="H968" s="1">
        <v>-9.0703819999999995E-6</v>
      </c>
      <c r="I968">
        <v>359.95760000000001</v>
      </c>
      <c r="J968">
        <v>-260.97089999999997</v>
      </c>
      <c r="K968">
        <v>1.109907</v>
      </c>
      <c r="L968">
        <v>368.4393</v>
      </c>
      <c r="M968">
        <v>0.99981750000000003</v>
      </c>
      <c r="N968">
        <v>0</v>
      </c>
      <c r="O968">
        <v>1.269377E-2</v>
      </c>
      <c r="P968">
        <v>0.99734080000000003</v>
      </c>
      <c r="Q968">
        <v>3.227327E-2</v>
      </c>
      <c r="R968">
        <v>-6.5342700000000004E-2</v>
      </c>
      <c r="S968">
        <v>2.9841000000000002</v>
      </c>
      <c r="T968">
        <v>-5.1211119999999999E-2</v>
      </c>
      <c r="U968">
        <v>-0.39123540000000001</v>
      </c>
      <c r="V968">
        <v>7.8017820000000002E-2</v>
      </c>
      <c r="W968">
        <v>4.6466130000000001E-2</v>
      </c>
      <c r="X968">
        <v>0.99586850000000005</v>
      </c>
      <c r="Y968">
        <v>0.14254849999999999</v>
      </c>
      <c r="Z968">
        <v>-1.4348220000000001E-3</v>
      </c>
      <c r="AA968">
        <v>0.98978670000000002</v>
      </c>
      <c r="AB968">
        <v>30</v>
      </c>
      <c r="AC968">
        <v>64.485499999999902</v>
      </c>
      <c r="AD968">
        <v>-1.1099160703819999</v>
      </c>
      <c r="AE968">
        <v>-8.4816999999999894</v>
      </c>
      <c r="AF968">
        <v>9.2969566691661303</v>
      </c>
      <c r="AG968">
        <v>-1.1099160703819999</v>
      </c>
      <c r="AH968">
        <v>64.353887142007693</v>
      </c>
      <c r="AI968">
        <v>90.977936131774499</v>
      </c>
      <c r="AJ968">
        <v>81.779573968861996</v>
      </c>
      <c r="AK968">
        <v>65.0314393757197</v>
      </c>
      <c r="AL968">
        <v>87.336727829134304</v>
      </c>
      <c r="AM968">
        <v>85.520512553279403</v>
      </c>
      <c r="AN968">
        <v>0.99999997538348895</v>
      </c>
    </row>
    <row r="969" spans="1:40" x14ac:dyDescent="0.25">
      <c r="A969" t="str">
        <f>"20190312154816428"</f>
        <v>20190312154816428</v>
      </c>
      <c r="B969" t="str">
        <f>"1552376896416788"</f>
        <v>1552376896416788</v>
      </c>
      <c r="C969" t="s">
        <v>40</v>
      </c>
      <c r="D969">
        <v>4.2267609999999998</v>
      </c>
      <c r="E969">
        <v>0.52554489999999998</v>
      </c>
      <c r="F969" t="s">
        <v>45</v>
      </c>
      <c r="G969">
        <v>-201.48240000000001</v>
      </c>
      <c r="H969" s="1">
        <v>-3.1826700000000001E-6</v>
      </c>
      <c r="I969">
        <v>360.60579999999999</v>
      </c>
      <c r="J969">
        <v>-260.7919</v>
      </c>
      <c r="K969">
        <v>1.109909</v>
      </c>
      <c r="L969">
        <v>368.44139999999999</v>
      </c>
      <c r="M969">
        <v>0.99981880000000001</v>
      </c>
      <c r="N969">
        <v>0</v>
      </c>
      <c r="O969">
        <v>1.258507E-2</v>
      </c>
      <c r="P969">
        <v>0.99732030000000005</v>
      </c>
      <c r="Q969">
        <v>3.2333170000000001E-2</v>
      </c>
      <c r="R969">
        <v>-6.5625310000000006E-2</v>
      </c>
      <c r="S969">
        <v>2.98407</v>
      </c>
      <c r="T969">
        <v>-5.5675509999999998E-2</v>
      </c>
      <c r="U969">
        <v>-0.39294430000000002</v>
      </c>
      <c r="V969">
        <v>7.8191819999999995E-2</v>
      </c>
      <c r="W969">
        <v>4.6525200000000003E-2</v>
      </c>
      <c r="X969">
        <v>0.99585210000000002</v>
      </c>
      <c r="Y969">
        <v>0.14299529999999999</v>
      </c>
      <c r="Z969">
        <v>-1.5619710000000001E-3</v>
      </c>
      <c r="AA969">
        <v>0.98972210000000005</v>
      </c>
      <c r="AB969">
        <v>30</v>
      </c>
      <c r="AC969">
        <v>59.3094999999999</v>
      </c>
      <c r="AD969">
        <v>-1.10991218267</v>
      </c>
      <c r="AE969">
        <v>-7.8355999999999897</v>
      </c>
      <c r="AF969">
        <v>8.5785169345929706</v>
      </c>
      <c r="AG969">
        <v>-1.10991218267</v>
      </c>
      <c r="AH969">
        <v>59.185808486468602</v>
      </c>
      <c r="AI969">
        <v>91.063234821882801</v>
      </c>
      <c r="AJ969">
        <v>81.752860429486304</v>
      </c>
      <c r="AK969">
        <v>59.814569998013702</v>
      </c>
      <c r="AL969">
        <v>87.333339715420195</v>
      </c>
      <c r="AM969">
        <v>85.510489297735205</v>
      </c>
      <c r="AN969">
        <v>0.99999998001218104</v>
      </c>
    </row>
    <row r="970" spans="1:40" x14ac:dyDescent="0.25">
      <c r="A970" t="str">
        <f>"20190312154816440"</f>
        <v>20190312154816440</v>
      </c>
      <c r="B970" t="str">
        <f>"1552376896437284"</f>
        <v>1552376896437284</v>
      </c>
      <c r="C970" t="s">
        <v>40</v>
      </c>
      <c r="D970">
        <v>4.2564979999999997</v>
      </c>
      <c r="E970">
        <v>0.52550640000000004</v>
      </c>
      <c r="F970" t="s">
        <v>45</v>
      </c>
      <c r="G970">
        <v>-202.67160000000001</v>
      </c>
      <c r="H970" s="1">
        <v>-3.7469169999999999E-6</v>
      </c>
      <c r="I970">
        <v>360.76</v>
      </c>
      <c r="J970">
        <v>-260.6336</v>
      </c>
      <c r="K970">
        <v>1.10991</v>
      </c>
      <c r="L970">
        <v>368.44330000000002</v>
      </c>
      <c r="M970">
        <v>0.99982009999999999</v>
      </c>
      <c r="N970">
        <v>0</v>
      </c>
      <c r="O970">
        <v>1.2488580000000001E-2</v>
      </c>
      <c r="P970">
        <v>0.99730739999999996</v>
      </c>
      <c r="Q970">
        <v>3.2417439999999999E-2</v>
      </c>
      <c r="R970">
        <v>-6.5783170000000002E-2</v>
      </c>
      <c r="S970">
        <v>2.983978</v>
      </c>
      <c r="T970">
        <v>-5.698454E-2</v>
      </c>
      <c r="U970">
        <v>-0.39437870000000003</v>
      </c>
      <c r="V970">
        <v>7.8253219999999998E-2</v>
      </c>
      <c r="W970">
        <v>4.6608549999999999E-2</v>
      </c>
      <c r="X970">
        <v>0.99584340000000005</v>
      </c>
      <c r="Y970">
        <v>0.14337</v>
      </c>
      <c r="Z970">
        <v>-1.600415E-3</v>
      </c>
      <c r="AA970">
        <v>0.98966779999999999</v>
      </c>
      <c r="AB970">
        <v>30</v>
      </c>
      <c r="AC970">
        <v>57.961999999999897</v>
      </c>
      <c r="AD970">
        <v>-1.109913746917</v>
      </c>
      <c r="AE970">
        <v>-7.6833000000000302</v>
      </c>
      <c r="AF970">
        <v>8.4036092844771204</v>
      </c>
      <c r="AG970">
        <v>-1.109913746917</v>
      </c>
      <c r="AH970">
        <v>57.8406726098059</v>
      </c>
      <c r="AI970">
        <v>91.087903333788901</v>
      </c>
      <c r="AJ970">
        <v>81.733400002715797</v>
      </c>
      <c r="AK970">
        <v>58.458497803882203</v>
      </c>
      <c r="AL970">
        <v>87.328558980145701</v>
      </c>
      <c r="AM970">
        <v>85.506939254235206</v>
      </c>
      <c r="AN970">
        <v>1.0000000003485101</v>
      </c>
    </row>
    <row r="971" spans="1:40" x14ac:dyDescent="0.25">
      <c r="A971" t="str">
        <f>"20190312154816450"</f>
        <v>20190312154816450</v>
      </c>
      <c r="B971" t="str">
        <f>"1552376896447044"</f>
        <v>1552376896447044</v>
      </c>
      <c r="C971" t="s">
        <v>40</v>
      </c>
      <c r="D971">
        <v>4.26999</v>
      </c>
      <c r="E971">
        <v>0.52554669999999903</v>
      </c>
      <c r="F971" t="s">
        <v>45</v>
      </c>
      <c r="G971">
        <v>-204.88919999999999</v>
      </c>
      <c r="H971" s="1">
        <v>-4.7922989999999996E-6</v>
      </c>
      <c r="I971">
        <v>361.07830000000001</v>
      </c>
      <c r="J971">
        <v>-260.48129999999998</v>
      </c>
      <c r="K971">
        <v>1.1099129999999999</v>
      </c>
      <c r="L971">
        <v>368.44510000000002</v>
      </c>
      <c r="M971">
        <v>0.99982139999999997</v>
      </c>
      <c r="N971">
        <v>0</v>
      </c>
      <c r="O971">
        <v>1.2395969999999999E-2</v>
      </c>
      <c r="P971">
        <v>0.99729979999999996</v>
      </c>
      <c r="Q971">
        <v>3.2477640000000002E-2</v>
      </c>
      <c r="R971">
        <v>-6.5870339999999999E-2</v>
      </c>
      <c r="S971">
        <v>2.9840390000000001</v>
      </c>
      <c r="T971">
        <v>-5.9414630000000003E-2</v>
      </c>
      <c r="U971">
        <v>-0.39425660000000001</v>
      </c>
      <c r="V971">
        <v>7.8248029999999996E-2</v>
      </c>
      <c r="W971">
        <v>4.6668090000000002E-2</v>
      </c>
      <c r="X971">
        <v>0.99584099999999998</v>
      </c>
      <c r="Y971">
        <v>0.14323359999999999</v>
      </c>
      <c r="Z971">
        <v>-1.6654319999999999E-3</v>
      </c>
      <c r="AA971">
        <v>0.98968750000000005</v>
      </c>
      <c r="AB971">
        <v>30</v>
      </c>
      <c r="AC971">
        <v>55.592099999999903</v>
      </c>
      <c r="AD971">
        <v>-1.109917792299</v>
      </c>
      <c r="AE971">
        <v>-7.3668000000000102</v>
      </c>
      <c r="AF971">
        <v>8.0522676301654599</v>
      </c>
      <c r="AG971">
        <v>-1.109917792299</v>
      </c>
      <c r="AH971">
        <v>55.474768342557802</v>
      </c>
      <c r="AI971">
        <v>91.134314915771</v>
      </c>
      <c r="AJ971">
        <v>81.741089344853705</v>
      </c>
      <c r="AK971">
        <v>56.067110271120001</v>
      </c>
      <c r="AL971">
        <v>87.325143821603902</v>
      </c>
      <c r="AM971">
        <v>85.507225244786</v>
      </c>
      <c r="AN971">
        <v>0.999999981052064</v>
      </c>
    </row>
    <row r="972" spans="1:40" x14ac:dyDescent="0.25">
      <c r="A972" t="str">
        <f>"20190312154816462"</f>
        <v>20190312154816462</v>
      </c>
      <c r="B972" t="str">
        <f>"1552376896456804"</f>
        <v>1552376896456804</v>
      </c>
      <c r="C972" t="s">
        <v>40</v>
      </c>
      <c r="D972">
        <v>4.2878439999999998</v>
      </c>
      <c r="E972">
        <v>0.52553739999999904</v>
      </c>
      <c r="F972" t="s">
        <v>45</v>
      </c>
      <c r="G972">
        <v>-206.12479999999999</v>
      </c>
      <c r="H972" s="1">
        <v>-5.2948659999999901E-6</v>
      </c>
      <c r="I972">
        <v>361.2484</v>
      </c>
      <c r="J972">
        <v>-260.32089999999999</v>
      </c>
      <c r="K972">
        <v>1.109907</v>
      </c>
      <c r="L972">
        <v>368.447</v>
      </c>
      <c r="M972">
        <v>0.99982260000000001</v>
      </c>
      <c r="N972">
        <v>0</v>
      </c>
      <c r="O972">
        <v>1.229865E-2</v>
      </c>
      <c r="P972">
        <v>0.99728660000000002</v>
      </c>
      <c r="Q972">
        <v>3.2554449999999999E-2</v>
      </c>
      <c r="R972">
        <v>-6.6030699999999998E-2</v>
      </c>
      <c r="S972">
        <v>2.9840390000000001</v>
      </c>
      <c r="T972">
        <v>-6.0931800000000001E-2</v>
      </c>
      <c r="U972">
        <v>-0.3950806</v>
      </c>
      <c r="V972">
        <v>7.8311279999999997E-2</v>
      </c>
      <c r="W972">
        <v>4.674383E-2</v>
      </c>
      <c r="X972">
        <v>0.99583250000000001</v>
      </c>
      <c r="Y972">
        <v>0.14340420000000001</v>
      </c>
      <c r="Z972">
        <v>-1.7076750000000001E-3</v>
      </c>
      <c r="AA972">
        <v>0.98966270000000001</v>
      </c>
      <c r="AB972">
        <v>30</v>
      </c>
      <c r="AC972">
        <v>54.196100000000001</v>
      </c>
      <c r="AD972">
        <v>-1.1099122948660001</v>
      </c>
      <c r="AE972">
        <v>-7.1985999999999404</v>
      </c>
      <c r="AF972">
        <v>7.8614221340114296</v>
      </c>
      <c r="AG972">
        <v>-1.1099122948660001</v>
      </c>
      <c r="AH972">
        <v>54.081169097167702</v>
      </c>
      <c r="AI972">
        <v>91.163495997940899</v>
      </c>
      <c r="AJ972">
        <v>81.729221791062997</v>
      </c>
      <c r="AK972">
        <v>54.660833456761999</v>
      </c>
      <c r="AL972">
        <v>87.3207995627142</v>
      </c>
      <c r="AM972">
        <v>85.503570277703304</v>
      </c>
      <c r="AN972">
        <v>1.0000000051372699</v>
      </c>
    </row>
    <row r="973" spans="1:40" x14ac:dyDescent="0.25">
      <c r="A973" t="str">
        <f>"20190312154816474"</f>
        <v>20190312154816474</v>
      </c>
      <c r="B973" t="str">
        <f>"1552376896466563"</f>
        <v>1552376896466563</v>
      </c>
      <c r="C973" t="s">
        <v>40</v>
      </c>
      <c r="D973">
        <v>4.2667960000000003</v>
      </c>
      <c r="E973">
        <v>0.52557229999999999</v>
      </c>
      <c r="F973" t="s">
        <v>45</v>
      </c>
      <c r="G973">
        <v>-207.13640000000001</v>
      </c>
      <c r="H973" s="1">
        <v>-5.6087779999999901E-6</v>
      </c>
      <c r="I973">
        <v>361.40660000000003</v>
      </c>
      <c r="J973">
        <v>-260.17450000000002</v>
      </c>
      <c r="K973">
        <v>1.1099079999999999</v>
      </c>
      <c r="L973">
        <v>368.44880000000001</v>
      </c>
      <c r="M973">
        <v>0.99982360000000003</v>
      </c>
      <c r="N973">
        <v>0</v>
      </c>
      <c r="O973">
        <v>1.2209670000000001E-2</v>
      </c>
      <c r="P973">
        <v>0.99727520000000003</v>
      </c>
      <c r="Q973">
        <v>3.2368170000000002E-2</v>
      </c>
      <c r="R973">
        <v>-6.6291459999999996E-2</v>
      </c>
      <c r="S973">
        <v>2.9840390000000001</v>
      </c>
      <c r="T973">
        <v>-6.2274219999999998E-2</v>
      </c>
      <c r="U973">
        <v>-0.39501950000000002</v>
      </c>
      <c r="V973">
        <v>7.84831E-2</v>
      </c>
      <c r="W973">
        <v>4.6557109999999999E-2</v>
      </c>
      <c r="X973">
        <v>0.99582769999999998</v>
      </c>
      <c r="Y973">
        <v>0.1432948</v>
      </c>
      <c r="Z973">
        <v>-1.742307E-3</v>
      </c>
      <c r="AA973">
        <v>0.98967850000000002</v>
      </c>
      <c r="AB973">
        <v>30</v>
      </c>
      <c r="AC973">
        <v>53.0381</v>
      </c>
      <c r="AD973">
        <v>-1.1099136087779999</v>
      </c>
      <c r="AE973">
        <v>-7.0421999999999798</v>
      </c>
      <c r="AF973">
        <v>7.6860110180643604</v>
      </c>
      <c r="AG973">
        <v>-1.1099136087779999</v>
      </c>
      <c r="AH973">
        <v>52.925378035041902</v>
      </c>
      <c r="AI973">
        <v>91.188922412909804</v>
      </c>
      <c r="AJ973">
        <v>81.737068731995905</v>
      </c>
      <c r="AK973">
        <v>53.492077111857</v>
      </c>
      <c r="AL973">
        <v>87.331509436444406</v>
      </c>
      <c r="AM973">
        <v>85.493723778087002</v>
      </c>
      <c r="AN973">
        <v>0.99999998478222496</v>
      </c>
    </row>
    <row r="974" spans="1:40" x14ac:dyDescent="0.25">
      <c r="A974" t="str">
        <f>"20190312154816490"</f>
        <v>20190312154816490</v>
      </c>
      <c r="B974" t="str">
        <f>"1552376896487060"</f>
        <v>1552376896487060</v>
      </c>
      <c r="C974" t="s">
        <v>40</v>
      </c>
      <c r="D974">
        <v>4.2493189999999998</v>
      </c>
      <c r="E974">
        <v>0.52559860000000003</v>
      </c>
      <c r="F974" t="s">
        <v>45</v>
      </c>
      <c r="G974">
        <v>-208.81739999999999</v>
      </c>
      <c r="H974" s="1">
        <v>-6.1365420000000003E-6</v>
      </c>
      <c r="I974">
        <v>361.6302</v>
      </c>
      <c r="J974">
        <v>-259.95400000000001</v>
      </c>
      <c r="K974">
        <v>1.1099139999999901</v>
      </c>
      <c r="L974">
        <v>368.4513</v>
      </c>
      <c r="M974">
        <v>0.99982530000000003</v>
      </c>
      <c r="N974">
        <v>0</v>
      </c>
      <c r="O974">
        <v>1.207564E-2</v>
      </c>
      <c r="P974">
        <v>0.99724579999999996</v>
      </c>
      <c r="Q974">
        <v>3.2587419999999999E-2</v>
      </c>
      <c r="R974">
        <v>-6.6624000000000003E-2</v>
      </c>
      <c r="S974">
        <v>2.9840089999999999</v>
      </c>
      <c r="T974">
        <v>-6.4489480000000002E-2</v>
      </c>
      <c r="U974">
        <v>-0.39617920000000001</v>
      </c>
      <c r="V974">
        <v>7.8681929999999997E-2</v>
      </c>
      <c r="W974">
        <v>4.6774309999999999E-2</v>
      </c>
      <c r="X974">
        <v>0.99580190000000002</v>
      </c>
      <c r="Y974">
        <v>0.143539</v>
      </c>
      <c r="Z974">
        <v>-1.803986E-3</v>
      </c>
      <c r="AA974">
        <v>0.98964300000000005</v>
      </c>
      <c r="AB974">
        <v>30</v>
      </c>
      <c r="AC974">
        <v>51.136600000000001</v>
      </c>
      <c r="AD974">
        <v>-1.1099201365419999</v>
      </c>
      <c r="AE974">
        <v>-6.8211000000000004</v>
      </c>
      <c r="AF974">
        <v>7.4347312541613197</v>
      </c>
      <c r="AG974">
        <v>-1.1099201365419999</v>
      </c>
      <c r="AH974">
        <v>51.026874293255702</v>
      </c>
      <c r="AI974">
        <v>91.233067182617802</v>
      </c>
      <c r="AJ974">
        <v>81.710208342174994</v>
      </c>
      <c r="AK974">
        <v>51.577602228785501</v>
      </c>
      <c r="AL974">
        <v>87.319051403797701</v>
      </c>
      <c r="AM974">
        <v>85.4822381615555</v>
      </c>
      <c r="AN974">
        <v>1.00000005311405</v>
      </c>
    </row>
    <row r="975" spans="1:40" x14ac:dyDescent="0.25">
      <c r="A975" t="str">
        <f>"20190312154816502"</f>
        <v>20190312154816502</v>
      </c>
      <c r="B975" t="str">
        <f>"1552376896496820"</f>
        <v>1552376896496820</v>
      </c>
      <c r="C975" t="s">
        <v>40</v>
      </c>
      <c r="D975">
        <v>4.2693849999999998</v>
      </c>
      <c r="E975">
        <v>0.52564860000000002</v>
      </c>
      <c r="F975" t="s">
        <v>42</v>
      </c>
      <c r="G975">
        <v>-210.4298</v>
      </c>
      <c r="H975" s="1">
        <v>-5.4639859999999997E-6</v>
      </c>
      <c r="I975">
        <v>361.8587</v>
      </c>
      <c r="J975">
        <v>-259.7851</v>
      </c>
      <c r="K975">
        <v>1.1099139999999901</v>
      </c>
      <c r="L975">
        <v>368.45319999999998</v>
      </c>
      <c r="M975">
        <v>0.99982660000000001</v>
      </c>
      <c r="N975">
        <v>0</v>
      </c>
      <c r="O975">
        <v>1.1973259999999999E-2</v>
      </c>
      <c r="P975">
        <v>0.99724579999999996</v>
      </c>
      <c r="Q975">
        <v>3.2446940000000001E-2</v>
      </c>
      <c r="R975">
        <v>-6.669158E-2</v>
      </c>
      <c r="S975">
        <v>2.983978</v>
      </c>
      <c r="T975">
        <v>-6.6875820000000002E-2</v>
      </c>
      <c r="U975">
        <v>-0.39721679999999998</v>
      </c>
      <c r="V975">
        <v>7.8647369999999994E-2</v>
      </c>
      <c r="W975">
        <v>4.6632840000000002E-2</v>
      </c>
      <c r="X975">
        <v>0.99581120000000001</v>
      </c>
      <c r="Y975">
        <v>0.1437744</v>
      </c>
      <c r="Z975">
        <v>-1.8710409999999999E-3</v>
      </c>
      <c r="AA975">
        <v>0.98960870000000001</v>
      </c>
      <c r="AB975">
        <v>30</v>
      </c>
      <c r="AC975">
        <v>49.3553</v>
      </c>
      <c r="AD975">
        <v>-1.1099194639859999</v>
      </c>
      <c r="AE975">
        <v>-6.5944999999999796</v>
      </c>
      <c r="AF975">
        <v>7.1814629942117802</v>
      </c>
      <c r="AG975">
        <v>-1.1099194639859999</v>
      </c>
      <c r="AH975">
        <v>49.248326369698503</v>
      </c>
      <c r="AI975">
        <v>91.277561013504695</v>
      </c>
      <c r="AJ975">
        <v>81.703520996486205</v>
      </c>
      <c r="AK975">
        <v>49.781552629162903</v>
      </c>
      <c r="AL975">
        <v>87.327165718553104</v>
      </c>
      <c r="AM975">
        <v>85.4842563185654</v>
      </c>
      <c r="AN975">
        <v>0.99999998830991099</v>
      </c>
    </row>
    <row r="976" spans="1:40" x14ac:dyDescent="0.25">
      <c r="A976" t="str">
        <f>"20190312154816516"</f>
        <v>20190312154816516</v>
      </c>
      <c r="B976" t="str">
        <f>"1552376896506580"</f>
        <v>1552376896506580</v>
      </c>
      <c r="C976" t="s">
        <v>40</v>
      </c>
      <c r="D976">
        <v>4.2574059999999996</v>
      </c>
      <c r="E976">
        <v>0.5257172</v>
      </c>
      <c r="F976" t="s">
        <v>42</v>
      </c>
      <c r="G976">
        <v>-212.70519999999999</v>
      </c>
      <c r="H976" s="1">
        <v>-4.448391E-6</v>
      </c>
      <c r="I976">
        <v>362.17540000000002</v>
      </c>
      <c r="J976">
        <v>-259.61509999999998</v>
      </c>
      <c r="K976">
        <v>1.109915</v>
      </c>
      <c r="L976">
        <v>368.45519999999999</v>
      </c>
      <c r="M976">
        <v>0.99982769999999999</v>
      </c>
      <c r="N976">
        <v>0</v>
      </c>
      <c r="O976">
        <v>1.186974E-2</v>
      </c>
      <c r="P976">
        <v>0.99722420000000001</v>
      </c>
      <c r="Q976">
        <v>3.2411719999999998E-2</v>
      </c>
      <c r="R976">
        <v>-6.703249E-2</v>
      </c>
      <c r="S976">
        <v>2.9839479999999998</v>
      </c>
      <c r="T976">
        <v>-7.0347069999999998E-2</v>
      </c>
      <c r="U976">
        <v>-0.39788820000000003</v>
      </c>
      <c r="V976">
        <v>7.8884640000000006E-2</v>
      </c>
      <c r="W976">
        <v>4.6596159999999998E-2</v>
      </c>
      <c r="X976">
        <v>0.99579419999999996</v>
      </c>
      <c r="Y976">
        <v>0.14388799999999999</v>
      </c>
      <c r="Z976">
        <v>-1.9670249999999998E-3</v>
      </c>
      <c r="AA976">
        <v>0.98959200000000003</v>
      </c>
      <c r="AB976">
        <v>30</v>
      </c>
      <c r="AC976">
        <v>46.909899999999901</v>
      </c>
      <c r="AD976">
        <v>-1.109919448391</v>
      </c>
      <c r="AE976">
        <v>-6.2797999999999599</v>
      </c>
      <c r="AF976">
        <v>6.83246488395159</v>
      </c>
      <c r="AG976">
        <v>-1.109919448391</v>
      </c>
      <c r="AH976">
        <v>46.8063053270522</v>
      </c>
      <c r="AI976">
        <v>91.3441620972104</v>
      </c>
      <c r="AJ976">
        <v>81.695009839752103</v>
      </c>
      <c r="AK976">
        <v>47.315375048091802</v>
      </c>
      <c r="AL976">
        <v>87.329269749357096</v>
      </c>
      <c r="AM976">
        <v>85.470612442430905</v>
      </c>
      <c r="AN976">
        <v>1.0000000386541501</v>
      </c>
    </row>
    <row r="977" spans="1:40" x14ac:dyDescent="0.25">
      <c r="A977" t="str">
        <f>"20190312154816529"</f>
        <v>20190312154816529</v>
      </c>
      <c r="B977" t="str">
        <f>"1552376896516340"</f>
        <v>1552376896516340</v>
      </c>
      <c r="C977" t="s">
        <v>40</v>
      </c>
      <c r="D977">
        <v>4.254931</v>
      </c>
      <c r="E977">
        <v>0.52580539999999998</v>
      </c>
      <c r="F977" t="s">
        <v>42</v>
      </c>
      <c r="G977">
        <v>-214.38550000000001</v>
      </c>
      <c r="H977" s="1">
        <v>-3.8159820000000003E-6</v>
      </c>
      <c r="I977">
        <v>362.40320000000003</v>
      </c>
      <c r="J977">
        <v>-259.4357</v>
      </c>
      <c r="K977">
        <v>1.1099159999999999</v>
      </c>
      <c r="L977">
        <v>368.4572</v>
      </c>
      <c r="M977">
        <v>0.99982910000000003</v>
      </c>
      <c r="N977">
        <v>0</v>
      </c>
      <c r="O977">
        <v>1.176015E-2</v>
      </c>
      <c r="P977">
        <v>0.99721990000000005</v>
      </c>
      <c r="Q977">
        <v>3.244793E-2</v>
      </c>
      <c r="R977">
        <v>-6.7080479999999998E-2</v>
      </c>
      <c r="S977">
        <v>2.9838870000000002</v>
      </c>
      <c r="T977">
        <v>-7.3223350000000006E-2</v>
      </c>
      <c r="U977">
        <v>-0.39926149999999999</v>
      </c>
      <c r="V977">
        <v>7.8823399999999905E-2</v>
      </c>
      <c r="W977">
        <v>4.6630930000000001E-2</v>
      </c>
      <c r="X977">
        <v>0.99579740000000005</v>
      </c>
      <c r="Y977">
        <v>0.14422599999999999</v>
      </c>
      <c r="Z977">
        <v>-2.0488580000000002E-3</v>
      </c>
      <c r="AA977">
        <v>0.9895427</v>
      </c>
      <c r="AB977">
        <v>30</v>
      </c>
      <c r="AC977">
        <v>45.050199999999897</v>
      </c>
      <c r="AD977">
        <v>-1.1099198159819901</v>
      </c>
      <c r="AE977">
        <v>-6.0539999999999701</v>
      </c>
      <c r="AF977">
        <v>6.5795093511288796</v>
      </c>
      <c r="AG977">
        <v>-1.1099198159819901</v>
      </c>
      <c r="AH977">
        <v>44.949080641700199</v>
      </c>
      <c r="AI977">
        <v>91.399598700580796</v>
      </c>
      <c r="AJ977">
        <v>81.672359051667001</v>
      </c>
      <c r="AK977">
        <v>45.441629766477</v>
      </c>
      <c r="AL977">
        <v>87.327275349231101</v>
      </c>
      <c r="AM977">
        <v>85.474128581661205</v>
      </c>
      <c r="AN977">
        <v>1.0000000169334899</v>
      </c>
    </row>
    <row r="978" spans="1:40" x14ac:dyDescent="0.25">
      <c r="A978" t="str">
        <f>"20190312154816539"</f>
        <v>20190312154816539</v>
      </c>
      <c r="B978" t="str">
        <f>"1552376896536836"</f>
        <v>1552376896536836</v>
      </c>
      <c r="C978" t="s">
        <v>40</v>
      </c>
      <c r="D978">
        <v>4.2422550000000001</v>
      </c>
      <c r="E978">
        <v>0.52609989999999995</v>
      </c>
      <c r="F978" t="s">
        <v>42</v>
      </c>
      <c r="G978">
        <v>-215.804</v>
      </c>
      <c r="H978" s="1">
        <v>-3.2785590000000002E-6</v>
      </c>
      <c r="I978">
        <v>362.6087</v>
      </c>
      <c r="J978">
        <v>-259.28129999999999</v>
      </c>
      <c r="K978">
        <v>1.109917</v>
      </c>
      <c r="L978">
        <v>368.45890000000003</v>
      </c>
      <c r="M978">
        <v>0.99983029999999995</v>
      </c>
      <c r="N978">
        <v>0</v>
      </c>
      <c r="O978">
        <v>1.166617E-2</v>
      </c>
      <c r="P978">
        <v>0.99722569999999999</v>
      </c>
      <c r="Q978">
        <v>3.2433919999999998E-2</v>
      </c>
      <c r="R978">
        <v>-6.7004899999999895E-2</v>
      </c>
      <c r="S978">
        <v>2.9839169999999999</v>
      </c>
      <c r="T978">
        <v>-7.5905799999999995E-2</v>
      </c>
      <c r="U978">
        <v>-0.39996340000000002</v>
      </c>
      <c r="V978">
        <v>7.8653979999999998E-2</v>
      </c>
      <c r="W978">
        <v>4.6616169999999998E-2</v>
      </c>
      <c r="X978">
        <v>0.99581149999999996</v>
      </c>
      <c r="Y978">
        <v>0.14435689999999901</v>
      </c>
      <c r="Z978">
        <v>-2.1231129999999998E-3</v>
      </c>
      <c r="AA978">
        <v>0.98952340000000005</v>
      </c>
      <c r="AB978">
        <v>30</v>
      </c>
      <c r="AC978">
        <v>43.4772999999999</v>
      </c>
      <c r="AD978">
        <v>-1.1099202785590001</v>
      </c>
      <c r="AE978">
        <v>-5.8502000000000196</v>
      </c>
      <c r="AF978">
        <v>6.3530002112477302</v>
      </c>
      <c r="AG978">
        <v>-1.1099202785590001</v>
      </c>
      <c r="AH978">
        <v>43.378316718576698</v>
      </c>
      <c r="AI978">
        <v>91.450242282742295</v>
      </c>
      <c r="AJ978">
        <v>81.667943710371802</v>
      </c>
      <c r="AK978">
        <v>43.855112541709701</v>
      </c>
      <c r="AL978">
        <v>87.328121989725901</v>
      </c>
      <c r="AM978">
        <v>85.483879713040096</v>
      </c>
      <c r="AN978">
        <v>1.0000000297037701</v>
      </c>
    </row>
    <row r="979" spans="1:40" x14ac:dyDescent="0.25">
      <c r="A979" t="str">
        <f>"20190312154816552"</f>
        <v>20190312154816552</v>
      </c>
      <c r="B979" t="str">
        <f>"1552376896546596"</f>
        <v>1552376896546596</v>
      </c>
      <c r="C979" t="s">
        <v>40</v>
      </c>
      <c r="D979">
        <v>4.2215819999999997</v>
      </c>
      <c r="E979">
        <v>0.52617829999999999</v>
      </c>
      <c r="F979" t="s">
        <v>42</v>
      </c>
      <c r="G979">
        <v>-216.74760000000001</v>
      </c>
      <c r="H979" s="1">
        <v>-2.9258489999999999E-6</v>
      </c>
      <c r="I979">
        <v>362.72750000000002</v>
      </c>
      <c r="J979">
        <v>-259.11750000000001</v>
      </c>
      <c r="K979">
        <v>1.109918</v>
      </c>
      <c r="L979">
        <v>368.46069999999997</v>
      </c>
      <c r="M979">
        <v>0.99983140000000004</v>
      </c>
      <c r="N979">
        <v>0</v>
      </c>
      <c r="O979">
        <v>1.15663E-2</v>
      </c>
      <c r="P979">
        <v>0.99723170000000005</v>
      </c>
      <c r="Q979">
        <v>3.263481E-2</v>
      </c>
      <c r="R979">
        <v>-6.6817879999999996E-2</v>
      </c>
      <c r="S979">
        <v>2.9838559999999998</v>
      </c>
      <c r="T979">
        <v>-7.7863689999999999E-2</v>
      </c>
      <c r="U979">
        <v>-0.40206910000000001</v>
      </c>
      <c r="V979">
        <v>7.8367610000000004E-2</v>
      </c>
      <c r="W979">
        <v>4.681623E-2</v>
      </c>
      <c r="X979">
        <v>0.99582459999999995</v>
      </c>
      <c r="Y979">
        <v>0.14494379999999901</v>
      </c>
      <c r="Z979">
        <v>-2.1828289999999998E-3</v>
      </c>
      <c r="AA979">
        <v>0.98943749999999997</v>
      </c>
      <c r="AB979">
        <v>30</v>
      </c>
      <c r="AC979">
        <v>42.369900000000001</v>
      </c>
      <c r="AD979">
        <v>-1.1099209258489999</v>
      </c>
      <c r="AE979">
        <v>-5.7331999999999503</v>
      </c>
      <c r="AF979">
        <v>6.2187384879216596</v>
      </c>
      <c r="AG979">
        <v>-1.1099209258489999</v>
      </c>
      <c r="AH979">
        <v>42.272259689497702</v>
      </c>
      <c r="AI979">
        <v>91.488031824384507</v>
      </c>
      <c r="AJ979">
        <v>81.631155725918305</v>
      </c>
      <c r="AK979">
        <v>42.741649150437901</v>
      </c>
      <c r="AL979">
        <v>87.316646621168402</v>
      </c>
      <c r="AM979">
        <v>85.500313683545002</v>
      </c>
      <c r="AN979">
        <v>0.99999993782684005</v>
      </c>
    </row>
    <row r="980" spans="1:40" x14ac:dyDescent="0.25">
      <c r="A980" t="str">
        <f>"20190312154816564"</f>
        <v>20190312154816564</v>
      </c>
      <c r="B980" t="str">
        <f>"1552376896556356"</f>
        <v>1552376896556356</v>
      </c>
      <c r="C980" t="s">
        <v>40</v>
      </c>
      <c r="D980">
        <v>4.2549669999999997</v>
      </c>
      <c r="E980">
        <v>0.52627860000000004</v>
      </c>
      <c r="F980" t="s">
        <v>42</v>
      </c>
      <c r="G980">
        <v>-216.5881</v>
      </c>
      <c r="H980" s="1">
        <v>-2.979774E-6</v>
      </c>
      <c r="I980">
        <v>362.72890000000001</v>
      </c>
      <c r="J980">
        <v>-258.95859999999999</v>
      </c>
      <c r="K980">
        <v>1.1099129999999999</v>
      </c>
      <c r="L980">
        <v>368.4624</v>
      </c>
      <c r="M980">
        <v>0.99983259999999996</v>
      </c>
      <c r="N980">
        <v>0</v>
      </c>
      <c r="O980">
        <v>1.146958E-2</v>
      </c>
      <c r="P980">
        <v>0.99723110000000004</v>
      </c>
      <c r="Q980">
        <v>3.2577340000000003E-2</v>
      </c>
      <c r="R980">
        <v>-6.6852480000000006E-2</v>
      </c>
      <c r="S980">
        <v>2.983978</v>
      </c>
      <c r="T980">
        <v>-7.7874899999999997E-2</v>
      </c>
      <c r="U980">
        <v>-0.40216059999999998</v>
      </c>
      <c r="V980">
        <v>7.8305920000000001E-2</v>
      </c>
      <c r="W980">
        <v>4.6757640000000003E-2</v>
      </c>
      <c r="X980">
        <v>0.9958323</v>
      </c>
      <c r="Y980">
        <v>0.14487259999999999</v>
      </c>
      <c r="Z980">
        <v>-2.1796110000000001E-3</v>
      </c>
      <c r="AA980">
        <v>0.98944790000000005</v>
      </c>
      <c r="AB980">
        <v>30</v>
      </c>
      <c r="AC980">
        <v>42.3704999999999</v>
      </c>
      <c r="AD980">
        <v>-1.1099159797739999</v>
      </c>
      <c r="AE980">
        <v>-5.7334999999999896</v>
      </c>
      <c r="AF980">
        <v>6.2149559747364798</v>
      </c>
      <c r="AG980">
        <v>-1.1099159797739999</v>
      </c>
      <c r="AH980">
        <v>42.273458291939903</v>
      </c>
      <c r="AI980">
        <v>91.488003074853694</v>
      </c>
      <c r="AJ980">
        <v>81.636407791754493</v>
      </c>
      <c r="AK980">
        <v>42.7422843003325</v>
      </c>
      <c r="AL980">
        <v>87.320007513568399</v>
      </c>
      <c r="AM980">
        <v>85.503875873747603</v>
      </c>
      <c r="AN980">
        <v>1.00000003186435</v>
      </c>
    </row>
    <row r="981" spans="1:40" x14ac:dyDescent="0.25">
      <c r="A981" t="str">
        <f>"20190312154816577"</f>
        <v>20190312154816577</v>
      </c>
      <c r="B981" t="str">
        <f>"1552376896567092"</f>
        <v>1552376896567092</v>
      </c>
      <c r="C981" t="s">
        <v>40</v>
      </c>
      <c r="D981">
        <v>4.2659969999999996</v>
      </c>
      <c r="E981">
        <v>0.52633180000000002</v>
      </c>
      <c r="F981" t="s">
        <v>42</v>
      </c>
      <c r="G981">
        <v>-216.46610000000001</v>
      </c>
      <c r="H981" s="1">
        <v>-3.0225770000000001E-6</v>
      </c>
      <c r="I981">
        <v>362.72399999999999</v>
      </c>
      <c r="J981">
        <v>-258.77859999999998</v>
      </c>
      <c r="K981">
        <v>1.1099139999999901</v>
      </c>
      <c r="L981">
        <v>368.46440000000001</v>
      </c>
      <c r="M981">
        <v>0.99983379999999999</v>
      </c>
      <c r="N981">
        <v>0</v>
      </c>
      <c r="O981">
        <v>1.135969E-2</v>
      </c>
      <c r="P981">
        <v>0.99722420000000001</v>
      </c>
      <c r="Q981">
        <v>3.288373E-2</v>
      </c>
      <c r="R981">
        <v>-6.6804269999999999E-2</v>
      </c>
      <c r="S981">
        <v>2.9838559999999998</v>
      </c>
      <c r="T981">
        <v>-7.7939030000000006E-2</v>
      </c>
      <c r="U981">
        <v>-0.40295409999999998</v>
      </c>
      <c r="V981">
        <v>7.8148179999999998E-2</v>
      </c>
      <c r="W981">
        <v>4.7062479999999997E-2</v>
      </c>
      <c r="X981">
        <v>0.99583029999999995</v>
      </c>
      <c r="Y981">
        <v>0.1450275</v>
      </c>
      <c r="Z981">
        <v>-2.1806109999999998E-3</v>
      </c>
      <c r="AA981">
        <v>0.9894252</v>
      </c>
      <c r="AB981">
        <v>30</v>
      </c>
      <c r="AC981">
        <v>42.312499999999901</v>
      </c>
      <c r="AD981">
        <v>-1.1099170225770001</v>
      </c>
      <c r="AE981">
        <v>-5.7404000000000197</v>
      </c>
      <c r="AF981">
        <v>6.2165350782702697</v>
      </c>
      <c r="AG981">
        <v>-1.1099170225770001</v>
      </c>
      <c r="AH981">
        <v>42.216030168969397</v>
      </c>
      <c r="AI981">
        <v>91.489976831052999</v>
      </c>
      <c r="AJ981">
        <v>81.623094031272103</v>
      </c>
      <c r="AK981">
        <v>42.6857169016019</v>
      </c>
      <c r="AL981">
        <v>87.3025221353234</v>
      </c>
      <c r="AM981">
        <v>85.512886899019307</v>
      </c>
      <c r="AN981">
        <v>1.00000000072957</v>
      </c>
    </row>
    <row r="982" spans="1:40" x14ac:dyDescent="0.25">
      <c r="A982" t="str">
        <f>"20190312154816592"</f>
        <v>20190312154816592</v>
      </c>
      <c r="B982" t="str">
        <f>"1552376896586611"</f>
        <v>1552376896586611</v>
      </c>
      <c r="C982" t="s">
        <v>40</v>
      </c>
      <c r="D982">
        <v>4.2323899999999997</v>
      </c>
      <c r="E982">
        <v>0.52646510000000002</v>
      </c>
      <c r="F982" t="s">
        <v>42</v>
      </c>
      <c r="G982">
        <v>-215.75110000000001</v>
      </c>
      <c r="H982" s="1">
        <v>-3.2856459999999999E-6</v>
      </c>
      <c r="I982">
        <v>362.64980000000003</v>
      </c>
      <c r="J982">
        <v>-258.58749999999998</v>
      </c>
      <c r="K982">
        <v>1.109915</v>
      </c>
      <c r="L982">
        <v>368.46640000000002</v>
      </c>
      <c r="M982">
        <v>0.99983509999999998</v>
      </c>
      <c r="N982">
        <v>0</v>
      </c>
      <c r="O982">
        <v>1.124318E-2</v>
      </c>
      <c r="P982">
        <v>0.99724880000000005</v>
      </c>
      <c r="Q982">
        <v>3.3057360000000001E-2</v>
      </c>
      <c r="R982">
        <v>-6.6348879999999999E-2</v>
      </c>
      <c r="S982">
        <v>2.9838710000000002</v>
      </c>
      <c r="T982">
        <v>-7.6970460000000004E-2</v>
      </c>
      <c r="U982">
        <v>-0.4032288</v>
      </c>
      <c r="V982">
        <v>7.7577129999999994E-2</v>
      </c>
      <c r="W982">
        <v>4.723538E-2</v>
      </c>
      <c r="X982">
        <v>0.99586680000000005</v>
      </c>
      <c r="Y982">
        <v>0.145002399999999</v>
      </c>
      <c r="Z982">
        <v>-2.1501810000000001E-3</v>
      </c>
      <c r="AA982">
        <v>0.989429</v>
      </c>
      <c r="AB982">
        <v>30</v>
      </c>
      <c r="AC982">
        <v>42.836399999999898</v>
      </c>
      <c r="AD982">
        <v>-1.1099182856459999</v>
      </c>
      <c r="AE982">
        <v>-5.8165999999999896</v>
      </c>
      <c r="AF982">
        <v>6.2937497319710598</v>
      </c>
      <c r="AG982">
        <v>-1.1099182856459999</v>
      </c>
      <c r="AH982">
        <v>42.740113614221102</v>
      </c>
      <c r="AI982">
        <v>91.471716147518507</v>
      </c>
      <c r="AJ982">
        <v>81.623040788884893</v>
      </c>
      <c r="AK982">
        <v>43.215281047865702</v>
      </c>
      <c r="AL982">
        <v>87.292604765924096</v>
      </c>
      <c r="AM982">
        <v>85.545705614978004</v>
      </c>
      <c r="AN982">
        <v>1.00000003778251</v>
      </c>
    </row>
    <row r="983" spans="1:40" x14ac:dyDescent="0.25">
      <c r="A983" t="str">
        <f>"20190312154816614"</f>
        <v>20190312154816614</v>
      </c>
      <c r="B983" t="str">
        <f>"1552376896607108"</f>
        <v>1552376896607108</v>
      </c>
      <c r="C983" t="s">
        <v>40</v>
      </c>
      <c r="D983">
        <v>4.2611600000000003</v>
      </c>
      <c r="E983">
        <v>0.52665340000000005</v>
      </c>
      <c r="F983" t="s">
        <v>42</v>
      </c>
      <c r="G983">
        <v>-215.10769999999999</v>
      </c>
      <c r="H983" s="1">
        <v>-3.5203610000000002E-6</v>
      </c>
      <c r="I983">
        <v>362.59050000000002</v>
      </c>
      <c r="J983">
        <v>-258.279</v>
      </c>
      <c r="K983">
        <v>1.109915</v>
      </c>
      <c r="L983">
        <v>368.46969999999999</v>
      </c>
      <c r="M983">
        <v>0.99983730000000004</v>
      </c>
      <c r="N983">
        <v>0</v>
      </c>
      <c r="O983">
        <v>1.105546E-2</v>
      </c>
      <c r="P983">
        <v>0.99725039999999998</v>
      </c>
      <c r="Q983">
        <v>3.2693420000000001E-2</v>
      </c>
      <c r="R983">
        <v>-6.6506389999999999E-2</v>
      </c>
      <c r="S983">
        <v>2.983978</v>
      </c>
      <c r="T983">
        <v>-7.6172589999999998E-2</v>
      </c>
      <c r="U983">
        <v>-0.40325929999999999</v>
      </c>
      <c r="V983">
        <v>7.7547229999999995E-2</v>
      </c>
      <c r="W983">
        <v>4.6869090000000002E-2</v>
      </c>
      <c r="X983">
        <v>0.99588639999999995</v>
      </c>
      <c r="Y983">
        <v>0.14482300000000001</v>
      </c>
      <c r="Z983">
        <v>-2.1207729999999998E-3</v>
      </c>
      <c r="AA983">
        <v>0.98945530000000004</v>
      </c>
      <c r="AB983">
        <v>30</v>
      </c>
      <c r="AC983">
        <v>43.171300000000002</v>
      </c>
      <c r="AD983">
        <v>-1.109918520361</v>
      </c>
      <c r="AE983">
        <v>-5.87919999999996</v>
      </c>
      <c r="AF983">
        <v>6.3520455348360603</v>
      </c>
      <c r="AG983">
        <v>-1.109918520361</v>
      </c>
      <c r="AH983">
        <v>43.075703266442602</v>
      </c>
      <c r="AI983">
        <v>91.460212360737103</v>
      </c>
      <c r="AJ983">
        <v>81.611482815128795</v>
      </c>
      <c r="AK983">
        <v>43.555672575418797</v>
      </c>
      <c r="AL983">
        <v>87.3136148132605</v>
      </c>
      <c r="AM983">
        <v>85.547502775669798</v>
      </c>
      <c r="AN983">
        <v>1.0000000030915299</v>
      </c>
    </row>
    <row r="984" spans="1:40" x14ac:dyDescent="0.25">
      <c r="A984" t="str">
        <f>"20190312154816637"</f>
        <v>20190312154816637</v>
      </c>
      <c r="B984" t="str">
        <f>"1552376896626628"</f>
        <v>1552376896626628</v>
      </c>
      <c r="C984" t="s">
        <v>40</v>
      </c>
      <c r="D984">
        <v>4.2714270000000001</v>
      </c>
      <c r="E984">
        <v>0.52682659999999903</v>
      </c>
      <c r="F984" t="s">
        <v>42</v>
      </c>
      <c r="G984">
        <v>-215.60390000000001</v>
      </c>
      <c r="H984" s="1">
        <v>-3.3276059999999999E-6</v>
      </c>
      <c r="I984">
        <v>362.68029999999999</v>
      </c>
      <c r="J984">
        <v>-257.98880000000003</v>
      </c>
      <c r="K984">
        <v>1.109917</v>
      </c>
      <c r="L984">
        <v>368.47269999999997</v>
      </c>
      <c r="M984">
        <v>0.99983920000000004</v>
      </c>
      <c r="N984">
        <v>0</v>
      </c>
      <c r="O984">
        <v>1.0879120000000001E-2</v>
      </c>
      <c r="P984">
        <v>0.99722449999999996</v>
      </c>
      <c r="Q984">
        <v>3.2433780000000002E-2</v>
      </c>
      <c r="R984">
        <v>-6.7018140000000004E-2</v>
      </c>
      <c r="S984">
        <v>2.9837950000000002</v>
      </c>
      <c r="T984">
        <v>-7.760417E-2</v>
      </c>
      <c r="U984">
        <v>-0.40478520000000001</v>
      </c>
      <c r="V984">
        <v>7.7883030000000006E-2</v>
      </c>
      <c r="W984">
        <v>4.6606649999999999E-2</v>
      </c>
      <c r="X984">
        <v>0.99587250000000005</v>
      </c>
      <c r="Y984">
        <v>0.14515149999999999</v>
      </c>
      <c r="Z984">
        <v>-2.1603600000000001E-3</v>
      </c>
      <c r="AA984">
        <v>0.98940709999999998</v>
      </c>
      <c r="AB984">
        <v>30</v>
      </c>
      <c r="AC984">
        <v>42.384900000000002</v>
      </c>
      <c r="AD984">
        <v>-1.1099203276059999</v>
      </c>
      <c r="AE984">
        <v>-5.7923999999999802</v>
      </c>
      <c r="AF984">
        <v>6.24900776624923</v>
      </c>
      <c r="AG984">
        <v>-1.1099203276059999</v>
      </c>
      <c r="AH984">
        <v>42.2908995777047</v>
      </c>
      <c r="AI984">
        <v>91.487235829148204</v>
      </c>
      <c r="AJ984">
        <v>81.594655352929706</v>
      </c>
      <c r="AK984">
        <v>42.764497054072599</v>
      </c>
      <c r="AL984">
        <v>87.328667936158794</v>
      </c>
      <c r="AM984">
        <v>85.528238155772996</v>
      </c>
      <c r="AN984">
        <v>0.99999999122122596</v>
      </c>
    </row>
    <row r="985" spans="1:40" x14ac:dyDescent="0.25">
      <c r="A985" t="str">
        <f>"20190312154816650"</f>
        <v>20190312154816650</v>
      </c>
      <c r="B985" t="str">
        <f>"1552376896636388"</f>
        <v>1552376896636388</v>
      </c>
      <c r="C985" t="s">
        <v>40</v>
      </c>
      <c r="D985">
        <v>4.2689450000000004</v>
      </c>
      <c r="E985">
        <v>0.5268967</v>
      </c>
      <c r="F985" t="s">
        <v>42</v>
      </c>
      <c r="G985">
        <v>-215.8596</v>
      </c>
      <c r="H985" s="1">
        <v>-3.2320339999999998E-6</v>
      </c>
      <c r="I985">
        <v>362.7124</v>
      </c>
      <c r="J985">
        <v>-257.80549999999999</v>
      </c>
      <c r="K985">
        <v>1.10992</v>
      </c>
      <c r="L985">
        <v>368.47460000000001</v>
      </c>
      <c r="M985">
        <v>0.99984039999999996</v>
      </c>
      <c r="N985">
        <v>0</v>
      </c>
      <c r="O985">
        <v>1.076762E-2</v>
      </c>
      <c r="P985">
        <v>0.99721599999999999</v>
      </c>
      <c r="Q985">
        <v>3.2331829999999999E-2</v>
      </c>
      <c r="R985">
        <v>-6.7193359999999994E-2</v>
      </c>
      <c r="S985">
        <v>2.9834900000000002</v>
      </c>
      <c r="T985">
        <v>-7.8601840000000006E-2</v>
      </c>
      <c r="U985">
        <v>-0.40792850000000003</v>
      </c>
      <c r="V985">
        <v>7.7946719999999997E-2</v>
      </c>
      <c r="W985">
        <v>4.6502799999999997E-2</v>
      </c>
      <c r="X985">
        <v>0.99587239999999999</v>
      </c>
      <c r="Y985">
        <v>0.1460764</v>
      </c>
      <c r="Z985">
        <v>-2.1973909999999999E-3</v>
      </c>
      <c r="AA985">
        <v>0.98927089999999995</v>
      </c>
      <c r="AB985">
        <v>30</v>
      </c>
      <c r="AC985">
        <v>41.945900000000002</v>
      </c>
      <c r="AD985">
        <v>-1.109923232034</v>
      </c>
      <c r="AE985">
        <v>-5.7622</v>
      </c>
      <c r="AF985">
        <v>6.2093022213549203</v>
      </c>
      <c r="AG985">
        <v>-1.109923232034</v>
      </c>
      <c r="AH985">
        <v>41.852654872286799</v>
      </c>
      <c r="AI985">
        <v>91.502675441272501</v>
      </c>
      <c r="AJ985">
        <v>81.561097092356306</v>
      </c>
      <c r="AK985">
        <v>42.3253125625303</v>
      </c>
      <c r="AL985">
        <v>87.334624636399894</v>
      </c>
      <c r="AM985">
        <v>85.524595708877101</v>
      </c>
      <c r="AN985">
        <v>1.00000001932417</v>
      </c>
    </row>
    <row r="986" spans="1:40" x14ac:dyDescent="0.25">
      <c r="A986" t="str">
        <f>"20190312154816663"</f>
        <v>20190312154816663</v>
      </c>
      <c r="B986" t="str">
        <f>"1552376896656884"</f>
        <v>1552376896656884</v>
      </c>
      <c r="C986" t="s">
        <v>40</v>
      </c>
      <c r="D986">
        <v>4.2396960000000004</v>
      </c>
      <c r="E986">
        <v>0.52411220000000003</v>
      </c>
      <c r="F986" t="s">
        <v>42</v>
      </c>
      <c r="G986">
        <v>-216.024</v>
      </c>
      <c r="H986" s="1">
        <v>-3.1675650000000001E-6</v>
      </c>
      <c r="I986">
        <v>362.74450000000002</v>
      </c>
      <c r="J986">
        <v>-257.62630000000001</v>
      </c>
      <c r="K986">
        <v>1.10992</v>
      </c>
      <c r="L986">
        <v>368.47640000000001</v>
      </c>
      <c r="M986">
        <v>0.99984170000000006</v>
      </c>
      <c r="N986">
        <v>0</v>
      </c>
      <c r="O986">
        <v>1.065815E-2</v>
      </c>
      <c r="P986">
        <v>0.99718620000000002</v>
      </c>
      <c r="Q986">
        <v>3.2169440000000001E-2</v>
      </c>
      <c r="R986">
        <v>-6.7712339999999996E-2</v>
      </c>
      <c r="S986">
        <v>2.9833370000000001</v>
      </c>
      <c r="T986">
        <v>-7.9252119999999995E-2</v>
      </c>
      <c r="U986">
        <v>-0.40914919999999999</v>
      </c>
      <c r="V986">
        <v>7.8356369999999995E-2</v>
      </c>
      <c r="W986">
        <v>4.6338480000000001E-2</v>
      </c>
      <c r="X986">
        <v>0.99584790000000001</v>
      </c>
      <c r="Y986">
        <v>0.14637120000000001</v>
      </c>
      <c r="Z986">
        <v>-2.2166180000000001E-3</v>
      </c>
      <c r="AA986">
        <v>0.98922719999999997</v>
      </c>
      <c r="AB986">
        <v>30</v>
      </c>
      <c r="AC986">
        <v>41.6023</v>
      </c>
      <c r="AD986">
        <v>-1.1099231675650001</v>
      </c>
      <c r="AE986">
        <v>-5.7318999999999898</v>
      </c>
      <c r="AF986">
        <v>6.1707125052993899</v>
      </c>
      <c r="AG986">
        <v>-1.1099231675650001</v>
      </c>
      <c r="AH986">
        <v>41.509843054545598</v>
      </c>
      <c r="AI986">
        <v>91.515014495304996</v>
      </c>
      <c r="AJ986">
        <v>81.544526093457407</v>
      </c>
      <c r="AK986">
        <v>41.980670464798003</v>
      </c>
      <c r="AL986">
        <v>87.344049608131101</v>
      </c>
      <c r="AM986">
        <v>85.501061241108403</v>
      </c>
      <c r="AN986">
        <v>1.00000000769134</v>
      </c>
    </row>
    <row r="987" spans="1:40" x14ac:dyDescent="0.25">
      <c r="A987" t="str">
        <f>"20190312154816680"</f>
        <v>20190312154816680</v>
      </c>
      <c r="B987" t="str">
        <f>"1552376896666644"</f>
        <v>1552376896666644</v>
      </c>
      <c r="C987" t="s">
        <v>40</v>
      </c>
      <c r="D987">
        <v>4.2814269999999999</v>
      </c>
      <c r="E987">
        <v>0.52060699999999904</v>
      </c>
      <c r="F987" t="s">
        <v>41</v>
      </c>
      <c r="G987">
        <v>-256.87459999999999</v>
      </c>
      <c r="H987">
        <v>1.038726</v>
      </c>
      <c r="I987">
        <v>368.38080000000002</v>
      </c>
      <c r="J987">
        <v>-257.39819999999997</v>
      </c>
      <c r="K987">
        <v>1.1099190000000001</v>
      </c>
      <c r="L987">
        <v>368.4787</v>
      </c>
      <c r="M987">
        <v>0.99984309999999998</v>
      </c>
      <c r="N987">
        <v>0</v>
      </c>
      <c r="O987">
        <v>1.0519540000000001E-2</v>
      </c>
      <c r="P987">
        <v>0.99718929999999995</v>
      </c>
      <c r="Q987">
        <v>3.1535439999999998E-2</v>
      </c>
      <c r="R987">
        <v>-6.7961480000000005E-2</v>
      </c>
      <c r="S987">
        <v>2.9917910000000001</v>
      </c>
      <c r="T987">
        <v>-0.28340219999999999</v>
      </c>
      <c r="U987">
        <v>-0.38034059999999997</v>
      </c>
      <c r="V987">
        <v>7.8467179999999997E-2</v>
      </c>
      <c r="W987">
        <v>4.5702569999999998E-2</v>
      </c>
      <c r="X987">
        <v>0.99586859999999999</v>
      </c>
      <c r="Y987">
        <v>0.1358974</v>
      </c>
      <c r="Z987">
        <v>-7.3871539999999999E-3</v>
      </c>
      <c r="AA987">
        <v>0.9906954</v>
      </c>
      <c r="AB987">
        <v>30</v>
      </c>
      <c r="AC987">
        <v>0.52359999999998696</v>
      </c>
      <c r="AD987">
        <v>-7.1193000000000006E-2</v>
      </c>
      <c r="AE987">
        <v>-9.7899999999981405E-2</v>
      </c>
      <c r="AF987">
        <v>0.10158850733768</v>
      </c>
      <c r="AG987">
        <v>-7.1193000000000006E-2</v>
      </c>
      <c r="AH987">
        <v>0.51337076497466905</v>
      </c>
      <c r="AI987">
        <v>97.746936507575896</v>
      </c>
      <c r="AJ987">
        <v>78.806620219766899</v>
      </c>
      <c r="AK987">
        <v>0.52814601238935299</v>
      </c>
      <c r="AL987">
        <v>87.3805233116436</v>
      </c>
      <c r="AM987">
        <v>85.494818367641798</v>
      </c>
      <c r="AN987">
        <v>1.0000000458538501</v>
      </c>
    </row>
    <row r="988" spans="1:40" x14ac:dyDescent="0.25">
      <c r="A988" t="str">
        <f>"20190312154816692"</f>
        <v>20190312154816692</v>
      </c>
      <c r="B988" t="str">
        <f>"1552376896687142"</f>
        <v>1552376896687142</v>
      </c>
      <c r="C988" t="s">
        <v>40</v>
      </c>
      <c r="D988">
        <v>4.2942910000000003</v>
      </c>
      <c r="E988">
        <v>0.5184955</v>
      </c>
      <c r="F988" t="s">
        <v>41</v>
      </c>
      <c r="G988">
        <v>-256.61900000000003</v>
      </c>
      <c r="H988">
        <v>1.0147729999999999</v>
      </c>
      <c r="I988">
        <v>368.38740000000001</v>
      </c>
      <c r="J988">
        <v>-257.24099999999999</v>
      </c>
      <c r="K988">
        <v>1.109918</v>
      </c>
      <c r="L988">
        <v>368.4803</v>
      </c>
      <c r="M988">
        <v>0.99984419999999996</v>
      </c>
      <c r="N988">
        <v>0</v>
      </c>
      <c r="O988">
        <v>1.0423770000000001E-2</v>
      </c>
      <c r="P988">
        <v>0.99716899999999997</v>
      </c>
      <c r="Q988">
        <v>3.1467269999999999E-2</v>
      </c>
      <c r="R988">
        <v>-6.8296250000000003E-2</v>
      </c>
      <c r="S988">
        <v>2.9961700000000002</v>
      </c>
      <c r="T988">
        <v>-0.36606169999999999</v>
      </c>
      <c r="U988">
        <v>-0.35015869999999999</v>
      </c>
      <c r="V988">
        <v>7.8705910000000004E-2</v>
      </c>
      <c r="W988">
        <v>4.5632560000000003E-2</v>
      </c>
      <c r="X988">
        <v>0.99585290000000004</v>
      </c>
      <c r="Y988">
        <v>0.12542990000000001</v>
      </c>
      <c r="Z988">
        <v>-8.8731739999999993E-3</v>
      </c>
      <c r="AA988">
        <v>0.99206280000000002</v>
      </c>
      <c r="AB988">
        <v>30</v>
      </c>
      <c r="AC988">
        <v>0.62199999999995703</v>
      </c>
      <c r="AD988">
        <v>-9.5144999999999993E-2</v>
      </c>
      <c r="AE988">
        <v>-9.2899999999985994E-2</v>
      </c>
      <c r="AF988">
        <v>9.7155490671076594E-2</v>
      </c>
      <c r="AG988">
        <v>-9.5144999999999993E-2</v>
      </c>
      <c r="AH988">
        <v>0.60710231903259004</v>
      </c>
      <c r="AI988">
        <v>98.796790048963004</v>
      </c>
      <c r="AJ988">
        <v>80.907963697826901</v>
      </c>
      <c r="AK988">
        <v>0.622145470261808</v>
      </c>
      <c r="AL988">
        <v>87.384538591910697</v>
      </c>
      <c r="AM988">
        <v>85.481097456551893</v>
      </c>
      <c r="AN988">
        <v>0.99999997461974499</v>
      </c>
    </row>
    <row r="989" spans="1:40" x14ac:dyDescent="0.25">
      <c r="A989" t="str">
        <f>"20190312154816703"</f>
        <v>20190312154816703</v>
      </c>
      <c r="B989" t="str">
        <f>"1552376896696900"</f>
        <v>1552376896696900</v>
      </c>
      <c r="C989" t="s">
        <v>40</v>
      </c>
      <c r="D989">
        <v>4.3060850000000004</v>
      </c>
      <c r="E989">
        <v>0.51809570000000005</v>
      </c>
      <c r="F989" t="s">
        <v>41</v>
      </c>
      <c r="G989">
        <v>-256.37470000000002</v>
      </c>
      <c r="H989">
        <v>0.96787559999999995</v>
      </c>
      <c r="I989">
        <v>368.38499999999999</v>
      </c>
      <c r="J989">
        <v>-257.07940000000002</v>
      </c>
      <c r="K989">
        <v>1.1099190000000001</v>
      </c>
      <c r="L989">
        <v>368.48180000000002</v>
      </c>
      <c r="M989">
        <v>0.99984530000000005</v>
      </c>
      <c r="N989">
        <v>0</v>
      </c>
      <c r="O989">
        <v>1.03252E-2</v>
      </c>
      <c r="P989">
        <v>0.99716720000000003</v>
      </c>
      <c r="Q989">
        <v>3.1332980000000003E-2</v>
      </c>
      <c r="R989">
        <v>-6.838168E-2</v>
      </c>
      <c r="S989">
        <v>3.001541</v>
      </c>
      <c r="T989">
        <v>-0.49230810000000003</v>
      </c>
      <c r="U989">
        <v>-0.329071</v>
      </c>
      <c r="V989">
        <v>7.8693059999999995E-2</v>
      </c>
      <c r="W989">
        <v>4.5496799999999997E-2</v>
      </c>
      <c r="X989">
        <v>0.99586019999999997</v>
      </c>
      <c r="Y989">
        <v>0.117551</v>
      </c>
      <c r="Z989">
        <v>-1.122599E-2</v>
      </c>
      <c r="AA989">
        <v>0.99300339999999998</v>
      </c>
      <c r="AB989">
        <v>30</v>
      </c>
      <c r="AC989">
        <v>0.70470000000000199</v>
      </c>
      <c r="AD989">
        <v>-0.14204339999999999</v>
      </c>
      <c r="AE989">
        <v>-9.6800000000030195E-2</v>
      </c>
      <c r="AF989">
        <v>0.100080885174085</v>
      </c>
      <c r="AG989">
        <v>-0.14204339999999999</v>
      </c>
      <c r="AH989">
        <v>0.67667934723200196</v>
      </c>
      <c r="AI989">
        <v>101.730955702364</v>
      </c>
      <c r="AJ989">
        <v>81.586943165437503</v>
      </c>
      <c r="AK989">
        <v>0.69863255723671802</v>
      </c>
      <c r="AL989">
        <v>87.392325343795207</v>
      </c>
      <c r="AM989">
        <v>85.481865167345205</v>
      </c>
      <c r="AN989">
        <v>1.00000004722322</v>
      </c>
    </row>
    <row r="990" spans="1:40" x14ac:dyDescent="0.25">
      <c r="A990" t="str">
        <f>"20190312154816715"</f>
        <v>20190312154816715</v>
      </c>
      <c r="B990" t="str">
        <f>"1552376896706661"</f>
        <v>1552376896706661</v>
      </c>
      <c r="C990" t="s">
        <v>40</v>
      </c>
      <c r="D990">
        <v>4.3212999999999999</v>
      </c>
      <c r="E990">
        <v>0.51795400000000003</v>
      </c>
      <c r="F990" t="s">
        <v>41</v>
      </c>
      <c r="G990">
        <v>-256.36689999999999</v>
      </c>
      <c r="H990">
        <v>0.98474070000000002</v>
      </c>
      <c r="I990">
        <v>368.40449999999998</v>
      </c>
      <c r="J990">
        <v>-256.9409</v>
      </c>
      <c r="K990">
        <v>1.1099220000000001</v>
      </c>
      <c r="L990">
        <v>368.48320000000001</v>
      </c>
      <c r="M990">
        <v>0.99984609999999996</v>
      </c>
      <c r="N990">
        <v>0</v>
      </c>
      <c r="O990">
        <v>1.0240529999999999E-2</v>
      </c>
      <c r="P990">
        <v>0.99715819999999999</v>
      </c>
      <c r="Q990">
        <v>3.115832E-2</v>
      </c>
      <c r="R990">
        <v>-6.8592929999999996E-2</v>
      </c>
      <c r="S990">
        <v>3.0027620000000002</v>
      </c>
      <c r="T990">
        <v>-0.52775039999999995</v>
      </c>
      <c r="U990">
        <v>-0.32489010000000001</v>
      </c>
      <c r="V990">
        <v>7.8819589999999995E-2</v>
      </c>
      <c r="W990">
        <v>4.5320550000000001E-2</v>
      </c>
      <c r="X990">
        <v>0.99585820000000003</v>
      </c>
      <c r="Y990">
        <v>0.11583499999999999</v>
      </c>
      <c r="Z990">
        <v>-1.18546E-2</v>
      </c>
      <c r="AA990">
        <v>0.99319769999999996</v>
      </c>
      <c r="AB990">
        <v>30</v>
      </c>
      <c r="AC990">
        <v>0.57400000000001195</v>
      </c>
      <c r="AD990">
        <v>-0.125181299999999</v>
      </c>
      <c r="AE990">
        <v>-7.8700000000026193E-2</v>
      </c>
      <c r="AF990">
        <v>8.0802366523567704E-2</v>
      </c>
      <c r="AG990">
        <v>-0.125181299999999</v>
      </c>
      <c r="AH990">
        <v>0.54759980978957901</v>
      </c>
      <c r="AI990">
        <v>102.743149354908</v>
      </c>
      <c r="AJ990">
        <v>81.606158118953402</v>
      </c>
      <c r="AK990">
        <v>0.56750764927627395</v>
      </c>
      <c r="AL990">
        <v>87.402434073889296</v>
      </c>
      <c r="AM990">
        <v>85.474621591357902</v>
      </c>
      <c r="AN990">
        <v>1.0000000172636501</v>
      </c>
    </row>
    <row r="991" spans="1:40" x14ac:dyDescent="0.25">
      <c r="A991" t="str">
        <f>"20190312154816727"</f>
        <v>20190312154816727</v>
      </c>
      <c r="B991" t="str">
        <f>"1552376896717396"</f>
        <v>1552376896717396</v>
      </c>
      <c r="C991" t="s">
        <v>40</v>
      </c>
      <c r="D991">
        <v>4.3240179999999997</v>
      </c>
      <c r="E991">
        <v>0.51762489999999906</v>
      </c>
      <c r="F991" t="s">
        <v>41</v>
      </c>
      <c r="G991">
        <v>-256.11329999999998</v>
      </c>
      <c r="H991">
        <v>0.95713170000000003</v>
      </c>
      <c r="I991">
        <v>368.39400000000001</v>
      </c>
      <c r="J991">
        <v>-256.78339999999997</v>
      </c>
      <c r="K991">
        <v>1.1099220000000001</v>
      </c>
      <c r="L991">
        <v>368.48469999999998</v>
      </c>
      <c r="M991">
        <v>0.99984709999999999</v>
      </c>
      <c r="N991">
        <v>0</v>
      </c>
      <c r="O991">
        <v>1.014411E-2</v>
      </c>
      <c r="P991">
        <v>0.99715430000000005</v>
      </c>
      <c r="Q991">
        <v>3.11845E-2</v>
      </c>
      <c r="R991">
        <v>-6.8635660000000001E-2</v>
      </c>
      <c r="S991">
        <v>3.003647</v>
      </c>
      <c r="T991">
        <v>-0.55457100000000004</v>
      </c>
      <c r="U991">
        <v>-0.32324219999999998</v>
      </c>
      <c r="V991">
        <v>7.8766409999999995E-2</v>
      </c>
      <c r="W991">
        <v>4.5345789999999997E-2</v>
      </c>
      <c r="X991">
        <v>0.9958612</v>
      </c>
      <c r="Y991">
        <v>0.1149886</v>
      </c>
      <c r="Z991">
        <v>-1.2349250000000001E-2</v>
      </c>
      <c r="AA991">
        <v>0.99329009999999995</v>
      </c>
      <c r="AB991">
        <v>30</v>
      </c>
      <c r="AC991">
        <v>0.67009999999999004</v>
      </c>
      <c r="AD991">
        <v>-0.15279029999999899</v>
      </c>
      <c r="AE991">
        <v>-9.0699999999969805E-2</v>
      </c>
      <c r="AF991">
        <v>9.2757946473063693E-2</v>
      </c>
      <c r="AG991">
        <v>-0.15279029999999899</v>
      </c>
      <c r="AH991">
        <v>0.63664235337381003</v>
      </c>
      <c r="AI991">
        <v>103.35948478143401</v>
      </c>
      <c r="AJ991">
        <v>81.7104099373297</v>
      </c>
      <c r="AK991">
        <v>0.66125819353512205</v>
      </c>
      <c r="AL991">
        <v>87.400986288213403</v>
      </c>
      <c r="AM991">
        <v>85.4776757857191</v>
      </c>
      <c r="AN991">
        <v>0.99999995884022497</v>
      </c>
    </row>
    <row r="992" spans="1:40" x14ac:dyDescent="0.25">
      <c r="A992" t="str">
        <f>"20190312154816737"</f>
        <v>20190312154816737</v>
      </c>
      <c r="B992" t="str">
        <f>"1552376896727157"</f>
        <v>1552376896727157</v>
      </c>
      <c r="C992" t="s">
        <v>40</v>
      </c>
      <c r="D992">
        <v>4.2967009999999997</v>
      </c>
      <c r="E992">
        <v>0.51753539999999998</v>
      </c>
      <c r="F992" t="s">
        <v>41</v>
      </c>
      <c r="G992">
        <v>-255.85759999999999</v>
      </c>
      <c r="H992">
        <v>0.93361839999999996</v>
      </c>
      <c r="I992">
        <v>368.38569999999999</v>
      </c>
      <c r="J992">
        <v>-256.62799999999999</v>
      </c>
      <c r="K992">
        <v>1.1099209999999999</v>
      </c>
      <c r="L992">
        <v>368.4862</v>
      </c>
      <c r="M992">
        <v>0.99984799999999996</v>
      </c>
      <c r="N992">
        <v>0</v>
      </c>
      <c r="O992">
        <v>1.004918E-2</v>
      </c>
      <c r="P992">
        <v>0.9971603</v>
      </c>
      <c r="Q992">
        <v>3.1191940000000001E-2</v>
      </c>
      <c r="R992">
        <v>-6.8546780000000002E-2</v>
      </c>
      <c r="S992">
        <v>3.0043950000000001</v>
      </c>
      <c r="T992">
        <v>-0.57220629999999995</v>
      </c>
      <c r="U992">
        <v>-0.32052609999999998</v>
      </c>
      <c r="V992">
        <v>7.8582849999999996E-2</v>
      </c>
      <c r="W992">
        <v>4.5351990000000002E-2</v>
      </c>
      <c r="X992">
        <v>0.99587550000000002</v>
      </c>
      <c r="Y992">
        <v>0.1138687</v>
      </c>
      <c r="Z992">
        <v>-1.260938E-2</v>
      </c>
      <c r="AA992">
        <v>0.99341579999999996</v>
      </c>
      <c r="AB992">
        <v>30</v>
      </c>
      <c r="AC992">
        <v>0.77039999999999498</v>
      </c>
      <c r="AD992">
        <v>-0.176302599999999</v>
      </c>
      <c r="AE992">
        <v>-0.10050000000001</v>
      </c>
      <c r="AF992">
        <v>0.102936965205171</v>
      </c>
      <c r="AG992">
        <v>-0.176302599999999</v>
      </c>
      <c r="AH992">
        <v>0.73167423340221804</v>
      </c>
      <c r="AI992">
        <v>103.420297053982</v>
      </c>
      <c r="AJ992">
        <v>81.991794452739796</v>
      </c>
      <c r="AK992">
        <v>0.75962214909593895</v>
      </c>
      <c r="AL992">
        <v>87.400630898091507</v>
      </c>
      <c r="AM992">
        <v>85.488235722838496</v>
      </c>
      <c r="AN992">
        <v>1.0000000394056601</v>
      </c>
    </row>
    <row r="993" spans="1:40" x14ac:dyDescent="0.25">
      <c r="A993" t="str">
        <f>"20190312154816749"</f>
        <v>20190312154816749</v>
      </c>
      <c r="B993" t="str">
        <f>"1552376896736916"</f>
        <v>1552376896736916</v>
      </c>
      <c r="C993" t="s">
        <v>40</v>
      </c>
      <c r="D993">
        <v>4.2917480000000001</v>
      </c>
      <c r="E993">
        <v>0.51739139999999995</v>
      </c>
      <c r="F993" t="s">
        <v>41</v>
      </c>
      <c r="G993">
        <v>-255.84690000000001</v>
      </c>
      <c r="H993">
        <v>0.95719889999999996</v>
      </c>
      <c r="I993">
        <v>368.40309999999999</v>
      </c>
      <c r="J993">
        <v>-256.47879999999998</v>
      </c>
      <c r="K993">
        <v>1.109923</v>
      </c>
      <c r="L993">
        <v>368.48759999999999</v>
      </c>
      <c r="M993">
        <v>0.99984910000000005</v>
      </c>
      <c r="N993">
        <v>0</v>
      </c>
      <c r="O993">
        <v>9.9579419999999991E-3</v>
      </c>
      <c r="P993">
        <v>0.9971681</v>
      </c>
      <c r="Q993">
        <v>3.087879E-2</v>
      </c>
      <c r="R993">
        <v>-6.8574560000000007E-2</v>
      </c>
      <c r="S993">
        <v>3.0050509999999999</v>
      </c>
      <c r="T993">
        <v>-0.58757569999999903</v>
      </c>
      <c r="U993">
        <v>-0.31869509999999901</v>
      </c>
      <c r="V993">
        <v>7.8519630000000007E-2</v>
      </c>
      <c r="W993">
        <v>4.5037590000000002E-2</v>
      </c>
      <c r="X993">
        <v>0.99589470000000002</v>
      </c>
      <c r="Y993">
        <v>0.1130555</v>
      </c>
      <c r="Z993">
        <v>-1.284338E-2</v>
      </c>
      <c r="AA993">
        <v>0.99350570000000005</v>
      </c>
      <c r="AB993">
        <v>30</v>
      </c>
      <c r="AC993">
        <v>0.63189999999997304</v>
      </c>
      <c r="AD993">
        <v>-0.1527241</v>
      </c>
      <c r="AE993">
        <v>-8.4499999999991304E-2</v>
      </c>
      <c r="AF993">
        <v>8.5861454573884097E-2</v>
      </c>
      <c r="AG993">
        <v>-0.1527241</v>
      </c>
      <c r="AH993">
        <v>0.59677917598914498</v>
      </c>
      <c r="AI993">
        <v>104.214362724347</v>
      </c>
      <c r="AJ993">
        <v>81.812767317882802</v>
      </c>
      <c r="AK993">
        <v>0.62196641790102802</v>
      </c>
      <c r="AL993">
        <v>87.418662975820894</v>
      </c>
      <c r="AM993">
        <v>85.491937029612401</v>
      </c>
      <c r="AN993">
        <v>0.99999998514821697</v>
      </c>
    </row>
    <row r="994" spans="1:40" x14ac:dyDescent="0.25">
      <c r="A994" t="str">
        <f>"20190312154816761"</f>
        <v>20190312154816761</v>
      </c>
      <c r="B994" t="str">
        <f>"1552376896746676"</f>
        <v>1552376896746676</v>
      </c>
      <c r="C994" t="s">
        <v>40</v>
      </c>
      <c r="D994">
        <v>4.336411</v>
      </c>
      <c r="E994">
        <v>0.51718509999999995</v>
      </c>
      <c r="F994" t="s">
        <v>41</v>
      </c>
      <c r="G994">
        <v>-255.59190000000001</v>
      </c>
      <c r="H994">
        <v>0.93302010000000002</v>
      </c>
      <c r="I994">
        <v>368.39370000000002</v>
      </c>
      <c r="J994">
        <v>-256.31950000000001</v>
      </c>
      <c r="K994">
        <v>1.1099220000000001</v>
      </c>
      <c r="L994">
        <v>368.48910000000001</v>
      </c>
      <c r="M994">
        <v>0.99984989999999996</v>
      </c>
      <c r="N994">
        <v>0</v>
      </c>
      <c r="O994">
        <v>9.8608670000000006E-3</v>
      </c>
      <c r="P994">
        <v>0.99716850000000001</v>
      </c>
      <c r="Q994">
        <v>3.0814000000000001E-2</v>
      </c>
      <c r="R994">
        <v>-6.8594749999999996E-2</v>
      </c>
      <c r="S994">
        <v>3.0053100000000001</v>
      </c>
      <c r="T994">
        <v>-0.59958459999999902</v>
      </c>
      <c r="U994">
        <v>-0.31701659999999998</v>
      </c>
      <c r="V994">
        <v>7.8443120000000005E-2</v>
      </c>
      <c r="W994">
        <v>4.4971379999999998E-2</v>
      </c>
      <c r="X994">
        <v>0.99590369999999995</v>
      </c>
      <c r="Y994">
        <v>0.11232350000000001</v>
      </c>
      <c r="Z994">
        <v>-1.300891E-2</v>
      </c>
      <c r="AA994">
        <v>0.99358650000000004</v>
      </c>
      <c r="AB994">
        <v>30</v>
      </c>
      <c r="AC994">
        <v>0.72759999999999503</v>
      </c>
      <c r="AD994">
        <v>-0.176901899999999</v>
      </c>
      <c r="AE994">
        <v>-9.5399999999983706E-2</v>
      </c>
      <c r="AF994">
        <v>9.6937480734255399E-2</v>
      </c>
      <c r="AG994">
        <v>-0.176901899999999</v>
      </c>
      <c r="AH994">
        <v>0.68671631566052804</v>
      </c>
      <c r="AI994">
        <v>104.309675716863</v>
      </c>
      <c r="AJ994">
        <v>81.965165003712997</v>
      </c>
      <c r="AK994">
        <v>0.71573071443740899</v>
      </c>
      <c r="AL994">
        <v>87.422460322177798</v>
      </c>
      <c r="AM994">
        <v>85.496352165556402</v>
      </c>
      <c r="AN994">
        <v>0.99999996388406298</v>
      </c>
    </row>
    <row r="995" spans="1:40" x14ac:dyDescent="0.25">
      <c r="A995" t="str">
        <f>"20190312154816774"</f>
        <v>20190312154816774</v>
      </c>
      <c r="B995" t="str">
        <f>"1552376896767173"</f>
        <v>1552376896767173</v>
      </c>
      <c r="C995" t="s">
        <v>40</v>
      </c>
      <c r="D995">
        <v>4.3580550000000002</v>
      </c>
      <c r="E995">
        <v>0.51692119999999997</v>
      </c>
      <c r="F995" t="s">
        <v>41</v>
      </c>
      <c r="G995">
        <v>-255.57900000000001</v>
      </c>
      <c r="H995">
        <v>0.96065500000000004</v>
      </c>
      <c r="I995">
        <v>368.411</v>
      </c>
      <c r="J995">
        <v>-256.14710000000002</v>
      </c>
      <c r="K995">
        <v>1.109923</v>
      </c>
      <c r="L995">
        <v>368.4907</v>
      </c>
      <c r="M995">
        <v>0.99985109999999999</v>
      </c>
      <c r="N995">
        <v>0</v>
      </c>
      <c r="O995">
        <v>9.7553290000000001E-3</v>
      </c>
      <c r="P995">
        <v>0.99718580000000001</v>
      </c>
      <c r="Q995">
        <v>3.025251E-2</v>
      </c>
      <c r="R995">
        <v>-6.8598999999999993E-2</v>
      </c>
      <c r="S995">
        <v>3.0055540000000001</v>
      </c>
      <c r="T995">
        <v>-0.60605919999999902</v>
      </c>
      <c r="U995">
        <v>-0.31539919999999999</v>
      </c>
      <c r="V995">
        <v>7.8342110000000006E-2</v>
      </c>
      <c r="W995">
        <v>4.4408799999999998E-2</v>
      </c>
      <c r="X995">
        <v>0.99593690000000001</v>
      </c>
      <c r="Y995">
        <v>0.11164589999999899</v>
      </c>
      <c r="Z995">
        <v>-1.305749E-2</v>
      </c>
      <c r="AA995">
        <v>0.99366220000000005</v>
      </c>
      <c r="AB995">
        <v>30</v>
      </c>
      <c r="AC995">
        <v>0.56810000000001504</v>
      </c>
      <c r="AD995">
        <v>-0.14926800000000001</v>
      </c>
      <c r="AE995">
        <v>-7.9700000000002505E-2</v>
      </c>
      <c r="AF995">
        <v>7.9833653166044002E-2</v>
      </c>
      <c r="AG995">
        <v>-0.14926800000000001</v>
      </c>
      <c r="AH995">
        <v>0.53132233739674395</v>
      </c>
      <c r="AI995">
        <v>105.526262813983</v>
      </c>
      <c r="AJ995">
        <v>81.454965473073599</v>
      </c>
      <c r="AK995">
        <v>0.557635879601175</v>
      </c>
      <c r="AL995">
        <v>87.454726031225604</v>
      </c>
      <c r="AM995">
        <v>85.502276955086998</v>
      </c>
      <c r="AN995">
        <v>0.99999996824915005</v>
      </c>
    </row>
    <row r="996" spans="1:40" x14ac:dyDescent="0.25">
      <c r="A996" t="str">
        <f>"20190312154816788"</f>
        <v>20190312154816788</v>
      </c>
      <c r="B996" t="str">
        <f>"1552376896776932"</f>
        <v>1552376896776932</v>
      </c>
      <c r="C996" t="s">
        <v>40</v>
      </c>
      <c r="D996">
        <v>4.3819140000000001</v>
      </c>
      <c r="E996">
        <v>0.51699410000000001</v>
      </c>
      <c r="F996" t="s">
        <v>41</v>
      </c>
      <c r="G996">
        <v>-255.32300000000001</v>
      </c>
      <c r="H996">
        <v>0.93995700000000004</v>
      </c>
      <c r="I996">
        <v>368.40480000000002</v>
      </c>
      <c r="J996">
        <v>-255.9581</v>
      </c>
      <c r="K996">
        <v>1.109918</v>
      </c>
      <c r="L996">
        <v>368.49239999999998</v>
      </c>
      <c r="M996">
        <v>0.99985219999999997</v>
      </c>
      <c r="N996">
        <v>0</v>
      </c>
      <c r="O996">
        <v>9.639781E-3</v>
      </c>
      <c r="P996">
        <v>0.99717160000000005</v>
      </c>
      <c r="Q996">
        <v>3.0056369999999999E-2</v>
      </c>
      <c r="R996">
        <v>-6.8887840000000006E-2</v>
      </c>
      <c r="S996">
        <v>3.0057830000000001</v>
      </c>
      <c r="T996">
        <v>-0.61995019999999901</v>
      </c>
      <c r="U996">
        <v>-0.3125</v>
      </c>
      <c r="V996">
        <v>7.8515370000000001E-2</v>
      </c>
      <c r="W996">
        <v>4.4210640000000002E-2</v>
      </c>
      <c r="X996">
        <v>0.99593209999999999</v>
      </c>
      <c r="Y996">
        <v>0.1104907</v>
      </c>
      <c r="Z996">
        <v>-1.320926E-2</v>
      </c>
      <c r="AA996">
        <v>0.99378940000000004</v>
      </c>
      <c r="AB996">
        <v>30</v>
      </c>
      <c r="AC996">
        <v>0.63510000000002198</v>
      </c>
      <c r="AD996">
        <v>-0.169961</v>
      </c>
      <c r="AE996">
        <v>-8.7599999999952105E-2</v>
      </c>
      <c r="AF996">
        <v>8.7564755175031803E-2</v>
      </c>
      <c r="AG996">
        <v>-0.169961</v>
      </c>
      <c r="AH996">
        <v>0.59257967088807395</v>
      </c>
      <c r="AI996">
        <v>105.84046422193499</v>
      </c>
      <c r="AJ996">
        <v>81.594303401291896</v>
      </c>
      <c r="AK996">
        <v>0.62265961344837695</v>
      </c>
      <c r="AL996">
        <v>87.466090995538295</v>
      </c>
      <c r="AM996">
        <v>85.492349185163604</v>
      </c>
      <c r="AN996">
        <v>0.99999999591292799</v>
      </c>
    </row>
    <row r="997" spans="1:40" x14ac:dyDescent="0.25">
      <c r="A997" t="str">
        <f>"20190312154816804"</f>
        <v>20190312154816804</v>
      </c>
      <c r="B997" t="str">
        <f>"1552376896797428"</f>
        <v>1552376896797428</v>
      </c>
      <c r="C997" t="s">
        <v>40</v>
      </c>
      <c r="D997">
        <v>4.3443350000000001</v>
      </c>
      <c r="E997">
        <v>0.51690320000000001</v>
      </c>
      <c r="F997" t="s">
        <v>41</v>
      </c>
      <c r="G997">
        <v>-255.06479999999999</v>
      </c>
      <c r="H997">
        <v>0.92363689999999998</v>
      </c>
      <c r="I997">
        <v>368.39859999999999</v>
      </c>
      <c r="J997">
        <v>-255.7542</v>
      </c>
      <c r="K997">
        <v>1.1099190000000001</v>
      </c>
      <c r="L997">
        <v>368.49430000000001</v>
      </c>
      <c r="M997">
        <v>0.9998534</v>
      </c>
      <c r="N997">
        <v>0</v>
      </c>
      <c r="O997">
        <v>9.515173E-3</v>
      </c>
      <c r="P997">
        <v>0.99718589999999996</v>
      </c>
      <c r="Q997">
        <v>2.966676E-2</v>
      </c>
      <c r="R997">
        <v>-6.88502E-2</v>
      </c>
      <c r="S997">
        <v>3.0057070000000001</v>
      </c>
      <c r="T997">
        <v>-0.62690939999999995</v>
      </c>
      <c r="U997">
        <v>-0.31405640000000001</v>
      </c>
      <c r="V997">
        <v>7.8353590000000001E-2</v>
      </c>
      <c r="W997">
        <v>4.3819520000000001E-2</v>
      </c>
      <c r="X997">
        <v>0.99596209999999996</v>
      </c>
      <c r="Y997">
        <v>0.11081829999999999</v>
      </c>
      <c r="Z997">
        <v>-1.3362499999999999E-2</v>
      </c>
      <c r="AA997">
        <v>0.99375089999999999</v>
      </c>
      <c r="AB997">
        <v>30</v>
      </c>
      <c r="AC997">
        <v>0.68940000000000601</v>
      </c>
      <c r="AD997">
        <v>-0.18628210000000001</v>
      </c>
      <c r="AE997">
        <v>-9.5700000000022101E-2</v>
      </c>
      <c r="AF997">
        <v>9.5420852072702303E-2</v>
      </c>
      <c r="AG997">
        <v>-0.18628210000000001</v>
      </c>
      <c r="AH997">
        <v>0.64243857197771304</v>
      </c>
      <c r="AI997">
        <v>106.00365990229101</v>
      </c>
      <c r="AJ997">
        <v>81.551671446491895</v>
      </c>
      <c r="AK997">
        <v>0.67567261196192796</v>
      </c>
      <c r="AL997">
        <v>87.488522194864103</v>
      </c>
      <c r="AM997">
        <v>85.501733929765507</v>
      </c>
      <c r="AN997">
        <v>0.99999997001766305</v>
      </c>
    </row>
    <row r="998" spans="1:40" x14ac:dyDescent="0.25">
      <c r="A998" t="str">
        <f>"20190312154816826"</f>
        <v>20190312154816826</v>
      </c>
      <c r="B998" t="str">
        <f>"1552376896816948"</f>
        <v>1552376896816948</v>
      </c>
      <c r="C998" t="s">
        <v>40</v>
      </c>
      <c r="D998">
        <v>4.4124499999999998</v>
      </c>
      <c r="E998">
        <v>0.51668099999999995</v>
      </c>
      <c r="F998" t="s">
        <v>41</v>
      </c>
      <c r="G998">
        <v>-255.04759999999999</v>
      </c>
      <c r="H998">
        <v>0.96053100000000002</v>
      </c>
      <c r="I998">
        <v>368.4203</v>
      </c>
      <c r="J998">
        <v>-255.46639999999999</v>
      </c>
      <c r="K998">
        <v>1.10992</v>
      </c>
      <c r="L998">
        <v>368.49669999999998</v>
      </c>
      <c r="M998">
        <v>0.9998551</v>
      </c>
      <c r="N998">
        <v>0</v>
      </c>
      <c r="O998">
        <v>9.3398470000000001E-3</v>
      </c>
      <c r="P998">
        <v>0.99717769999999994</v>
      </c>
      <c r="Q998">
        <v>2.965976E-2</v>
      </c>
      <c r="R998">
        <v>-6.8970779999999995E-2</v>
      </c>
      <c r="S998">
        <v>3.0057830000000001</v>
      </c>
      <c r="T998">
        <v>-0.63574659999999905</v>
      </c>
      <c r="U998">
        <v>-0.31268309999999999</v>
      </c>
      <c r="V998">
        <v>7.8299480000000005E-2</v>
      </c>
      <c r="W998">
        <v>4.3810000000000002E-2</v>
      </c>
      <c r="X998">
        <v>0.99596680000000004</v>
      </c>
      <c r="Y998">
        <v>0.1101391</v>
      </c>
      <c r="Z998">
        <v>-1.3439359999999999E-2</v>
      </c>
      <c r="AA998">
        <v>0.99382530000000002</v>
      </c>
      <c r="AB998">
        <v>30</v>
      </c>
      <c r="AC998">
        <v>0.418800000000004</v>
      </c>
      <c r="AD998">
        <v>-0.14938899999999999</v>
      </c>
      <c r="AE998">
        <v>-7.6399999999978194E-2</v>
      </c>
      <c r="AF998">
        <v>7.1503506513857604E-2</v>
      </c>
      <c r="AG998">
        <v>-0.14938899999999999</v>
      </c>
      <c r="AH998">
        <v>0.37223084347462199</v>
      </c>
      <c r="AI998">
        <v>111.510809611467</v>
      </c>
      <c r="AJ998">
        <v>79.126251502778004</v>
      </c>
      <c r="AK998">
        <v>0.40741333507705102</v>
      </c>
      <c r="AL998">
        <v>87.489068239512207</v>
      </c>
      <c r="AM998">
        <v>85.504848765408894</v>
      </c>
      <c r="AN998">
        <v>0.99999999568525499</v>
      </c>
    </row>
    <row r="999" spans="1:40" x14ac:dyDescent="0.25">
      <c r="A999" t="str">
        <f>"20190312154816837"</f>
        <v>20190312154816837</v>
      </c>
      <c r="B999" t="str">
        <f>"1552376896826708"</f>
        <v>1552376896826708</v>
      </c>
      <c r="C999" t="s">
        <v>40</v>
      </c>
      <c r="D999">
        <v>4.3474459999999997</v>
      </c>
      <c r="E999">
        <v>0.51664069999999995</v>
      </c>
      <c r="F999" t="s">
        <v>41</v>
      </c>
      <c r="G999">
        <v>-254.53980000000001</v>
      </c>
      <c r="H999">
        <v>0.91221649999999999</v>
      </c>
      <c r="I999">
        <v>368.40069999999997</v>
      </c>
      <c r="J999">
        <v>-255.3014</v>
      </c>
      <c r="K999">
        <v>1.1099190000000001</v>
      </c>
      <c r="L999">
        <v>368.4982</v>
      </c>
      <c r="M999">
        <v>0.99985599999999997</v>
      </c>
      <c r="N999">
        <v>0</v>
      </c>
      <c r="O999">
        <v>9.2388399999999999E-3</v>
      </c>
      <c r="P999">
        <v>0.99717849999999997</v>
      </c>
      <c r="Q999">
        <v>2.9551580000000001E-2</v>
      </c>
      <c r="R999">
        <v>-6.9008029999999998E-2</v>
      </c>
      <c r="S999">
        <v>3.0060880000000001</v>
      </c>
      <c r="T999">
        <v>-0.64151919999999996</v>
      </c>
      <c r="U999">
        <v>-0.3107605</v>
      </c>
      <c r="V999">
        <v>7.8235780000000005E-2</v>
      </c>
      <c r="W999">
        <v>4.3700429999999998E-2</v>
      </c>
      <c r="X999">
        <v>0.99597659999999999</v>
      </c>
      <c r="Y999">
        <v>0.10937189999999999</v>
      </c>
      <c r="Z999">
        <v>-1.345582E-2</v>
      </c>
      <c r="AA999">
        <v>0.99390979999999995</v>
      </c>
      <c r="AB999">
        <v>30</v>
      </c>
      <c r="AC999">
        <v>0.76159999999998695</v>
      </c>
      <c r="AD999">
        <v>-0.1977025</v>
      </c>
      <c r="AE999">
        <v>-9.7500000000024997E-2</v>
      </c>
      <c r="AF999">
        <v>9.8033290406159601E-2</v>
      </c>
      <c r="AG999">
        <v>-0.1977025</v>
      </c>
      <c r="AH999">
        <v>0.71337048329518205</v>
      </c>
      <c r="AI999">
        <v>105.352715814763</v>
      </c>
      <c r="AJ999">
        <v>82.175270909565597</v>
      </c>
      <c r="AK999">
        <v>0.74672233860445703</v>
      </c>
      <c r="AL999">
        <v>87.495352107742505</v>
      </c>
      <c r="AM999">
        <v>85.5085348085954</v>
      </c>
      <c r="AN999">
        <v>0.99999997630097603</v>
      </c>
    </row>
    <row r="1000" spans="1:40" x14ac:dyDescent="0.25">
      <c r="A1000" t="str">
        <f>"20190312154816849"</f>
        <v>20190312154816849</v>
      </c>
      <c r="B1000" t="str">
        <f>"1552376896847204"</f>
        <v>1552376896847204</v>
      </c>
      <c r="C1000" t="s">
        <v>40</v>
      </c>
      <c r="D1000">
        <v>4.4224019999999999</v>
      </c>
      <c r="E1000">
        <v>0.53164269999999902</v>
      </c>
      <c r="F1000" t="s">
        <v>41</v>
      </c>
      <c r="G1000">
        <v>-254.52539999999999</v>
      </c>
      <c r="H1000">
        <v>0.94374570000000002</v>
      </c>
      <c r="I1000">
        <v>368.4178</v>
      </c>
      <c r="J1000">
        <v>-255.15299999999999</v>
      </c>
      <c r="K1000">
        <v>1.1099129999999999</v>
      </c>
      <c r="L1000">
        <v>368.49950000000001</v>
      </c>
      <c r="M1000">
        <v>0.999857</v>
      </c>
      <c r="N1000">
        <v>0</v>
      </c>
      <c r="O1000">
        <v>9.1480820000000001E-3</v>
      </c>
      <c r="P1000">
        <v>0.99718490000000004</v>
      </c>
      <c r="Q1000">
        <v>2.9287819999999999E-2</v>
      </c>
      <c r="R1000">
        <v>-6.9026820000000003E-2</v>
      </c>
      <c r="S1000">
        <v>3.0061040000000001</v>
      </c>
      <c r="T1000">
        <v>-0.64394549999999995</v>
      </c>
      <c r="U1000">
        <v>-0.31039430000000001</v>
      </c>
      <c r="V1000">
        <v>7.816418E-2</v>
      </c>
      <c r="W1000">
        <v>4.3435559999999998E-2</v>
      </c>
      <c r="X1000">
        <v>0.99599389999999999</v>
      </c>
      <c r="Y1000">
        <v>0.1091486</v>
      </c>
      <c r="Z1000">
        <v>-1.346284E-2</v>
      </c>
      <c r="AA1000">
        <v>0.99393430000000005</v>
      </c>
      <c r="AB1000">
        <v>30</v>
      </c>
      <c r="AC1000">
        <v>0.62760000000000005</v>
      </c>
      <c r="AD1000">
        <v>-0.16616729999999899</v>
      </c>
      <c r="AE1000">
        <v>-8.1700000000012096E-2</v>
      </c>
      <c r="AF1000">
        <v>8.1799792563344506E-2</v>
      </c>
      <c r="AG1000">
        <v>-0.16616729999999899</v>
      </c>
      <c r="AH1000">
        <v>0.58640369328207798</v>
      </c>
      <c r="AI1000">
        <v>105.676742009729</v>
      </c>
      <c r="AJ1000">
        <v>82.058826335358106</v>
      </c>
      <c r="AK1000">
        <v>0.61495696528095201</v>
      </c>
      <c r="AL1000">
        <v>87.510542693163501</v>
      </c>
      <c r="AM1000">
        <v>85.512706147339301</v>
      </c>
      <c r="AN1000">
        <v>1.0000000678723899</v>
      </c>
    </row>
    <row r="1001" spans="1:40" x14ac:dyDescent="0.25">
      <c r="A1001" t="str">
        <f>"20190312154816859"</f>
        <v>20190312154816859</v>
      </c>
      <c r="B1001" t="str">
        <f>"1552376896856965"</f>
        <v>1552376896856965</v>
      </c>
      <c r="C1001" t="s">
        <v>40</v>
      </c>
      <c r="D1001">
        <v>4.4185809999999996</v>
      </c>
      <c r="E1001">
        <v>0.53345140000000002</v>
      </c>
      <c r="F1001" t="s">
        <v>41</v>
      </c>
      <c r="G1001">
        <v>-254.28399999999999</v>
      </c>
      <c r="H1001">
        <v>0.88791309999999901</v>
      </c>
      <c r="I1001">
        <v>368.37619999999998</v>
      </c>
      <c r="J1001">
        <v>-255.00380000000001</v>
      </c>
      <c r="K1001">
        <v>1.1099129999999999</v>
      </c>
      <c r="L1001">
        <v>368.50080000000003</v>
      </c>
      <c r="M1001">
        <v>0.99985780000000002</v>
      </c>
      <c r="N1001">
        <v>0</v>
      </c>
      <c r="O1001">
        <v>9.0569650000000002E-3</v>
      </c>
      <c r="P1001">
        <v>0.99719020000000003</v>
      </c>
      <c r="Q1001">
        <v>2.902735E-2</v>
      </c>
      <c r="R1001">
        <v>-6.906081E-2</v>
      </c>
      <c r="S1001">
        <v>3.0015559999999999</v>
      </c>
      <c r="T1001">
        <v>-0.7668722</v>
      </c>
      <c r="U1001">
        <v>-0.42520140000000001</v>
      </c>
      <c r="V1001">
        <v>7.8107330000000003E-2</v>
      </c>
      <c r="W1001">
        <v>4.317402E-2</v>
      </c>
      <c r="X1001">
        <v>0.99600960000000005</v>
      </c>
      <c r="Y1001">
        <v>0.1443875</v>
      </c>
      <c r="Z1001">
        <v>-2.033447E-2</v>
      </c>
      <c r="AA1001">
        <v>0.98931230000000003</v>
      </c>
      <c r="AB1001">
        <v>30</v>
      </c>
      <c r="AC1001">
        <v>0.719799999999992</v>
      </c>
      <c r="AD1001">
        <v>-0.2219999</v>
      </c>
      <c r="AE1001">
        <v>-0.124600000000043</v>
      </c>
      <c r="AF1001">
        <v>0.12002945550024401</v>
      </c>
      <c r="AG1001">
        <v>-0.2219999</v>
      </c>
      <c r="AH1001">
        <v>0.65788319039217003</v>
      </c>
      <c r="AI1001">
        <v>108.36440563896799</v>
      </c>
      <c r="AJ1001">
        <v>79.660227650778594</v>
      </c>
      <c r="AK1001">
        <v>0.70462849643501901</v>
      </c>
      <c r="AL1001">
        <v>87.525541577329903</v>
      </c>
      <c r="AM1001">
        <v>85.516026903045201</v>
      </c>
      <c r="AN1001">
        <v>0.99999993714742197</v>
      </c>
    </row>
    <row r="1002" spans="1:40" x14ac:dyDescent="0.25">
      <c r="A1002" t="str">
        <f>"20190312154816871"</f>
        <v>20190312154816871</v>
      </c>
      <c r="B1002" t="str">
        <f>"1552376896866724"</f>
        <v>1552376896866724</v>
      </c>
      <c r="C1002" t="s">
        <v>40</v>
      </c>
      <c r="D1002">
        <v>4.4165549999999998</v>
      </c>
      <c r="E1002">
        <v>0.53411750000000002</v>
      </c>
      <c r="F1002" t="s">
        <v>41</v>
      </c>
      <c r="G1002">
        <v>-254.27119999999999</v>
      </c>
      <c r="H1002">
        <v>0.91942939999999995</v>
      </c>
      <c r="I1002">
        <v>368.39339999999999</v>
      </c>
      <c r="J1002">
        <v>-254.86199999999999</v>
      </c>
      <c r="K1002">
        <v>1.109912</v>
      </c>
      <c r="L1002">
        <v>368.50200000000001</v>
      </c>
      <c r="M1002">
        <v>0.99985869999999999</v>
      </c>
      <c r="N1002">
        <v>0</v>
      </c>
      <c r="O1002">
        <v>8.9702580000000001E-3</v>
      </c>
      <c r="P1002">
        <v>0.99718359999999995</v>
      </c>
      <c r="Q1002">
        <v>2.871858E-2</v>
      </c>
      <c r="R1002">
        <v>-6.9285379999999994E-2</v>
      </c>
      <c r="S1002">
        <v>3.0007779999999999</v>
      </c>
      <c r="T1002">
        <v>-0.78036499999999998</v>
      </c>
      <c r="U1002">
        <v>-0.43902590000000002</v>
      </c>
      <c r="V1002">
        <v>7.8245259999999997E-2</v>
      </c>
      <c r="W1002">
        <v>4.2863890000000002E-2</v>
      </c>
      <c r="X1002">
        <v>0.99601220000000001</v>
      </c>
      <c r="Y1002">
        <v>0.14850239999999901</v>
      </c>
      <c r="Z1002">
        <v>-2.1181269999999999E-2</v>
      </c>
      <c r="AA1002">
        <v>0.98868520000000004</v>
      </c>
      <c r="AB1002">
        <v>30</v>
      </c>
      <c r="AC1002">
        <v>0.59080000000000099</v>
      </c>
      <c r="AD1002">
        <v>-0.1904826</v>
      </c>
      <c r="AE1002">
        <v>-0.108599999999967</v>
      </c>
      <c r="AF1002">
        <v>0.103489547112048</v>
      </c>
      <c r="AG1002">
        <v>-0.1904826</v>
      </c>
      <c r="AH1002">
        <v>0.535913885291604</v>
      </c>
      <c r="AI1002">
        <v>109.23835475440001</v>
      </c>
      <c r="AJ1002">
        <v>79.070230838001095</v>
      </c>
      <c r="AK1002">
        <v>0.57809808831422405</v>
      </c>
      <c r="AL1002">
        <v>87.543327259778096</v>
      </c>
      <c r="AM1002">
        <v>85.508152693898495</v>
      </c>
      <c r="AN1002">
        <v>0.99999996816361902</v>
      </c>
    </row>
    <row r="1003" spans="1:40" x14ac:dyDescent="0.25">
      <c r="A1003" t="str">
        <f>"20190312154816883"</f>
        <v>20190312154816883</v>
      </c>
      <c r="B1003" t="str">
        <f>"1552376896876484"</f>
        <v>1552376896876484</v>
      </c>
      <c r="C1003" t="s">
        <v>40</v>
      </c>
      <c r="D1003">
        <v>4.4179940000000002</v>
      </c>
      <c r="E1003">
        <v>0.53463769999999999</v>
      </c>
      <c r="F1003" t="s">
        <v>41</v>
      </c>
      <c r="G1003">
        <v>-254.01920000000001</v>
      </c>
      <c r="H1003">
        <v>0.88855209999999996</v>
      </c>
      <c r="I1003">
        <v>368.37689999999998</v>
      </c>
      <c r="J1003">
        <v>-254.69479999999999</v>
      </c>
      <c r="K1003">
        <v>1.1099129999999999</v>
      </c>
      <c r="L1003">
        <v>368.5034</v>
      </c>
      <c r="M1003">
        <v>0.99985950000000001</v>
      </c>
      <c r="N1003">
        <v>0</v>
      </c>
      <c r="O1003">
        <v>8.8680570000000004E-3</v>
      </c>
      <c r="P1003">
        <v>0.99718640000000003</v>
      </c>
      <c r="Q1003">
        <v>2.836234E-2</v>
      </c>
      <c r="R1003">
        <v>-6.939149E-2</v>
      </c>
      <c r="S1003">
        <v>3.0002749999999998</v>
      </c>
      <c r="T1003">
        <v>-0.78807899999999997</v>
      </c>
      <c r="U1003">
        <v>-0.44464110000000001</v>
      </c>
      <c r="V1003">
        <v>7.8249319999999997E-2</v>
      </c>
      <c r="W1003">
        <v>4.2506099999999998E-2</v>
      </c>
      <c r="X1003">
        <v>0.9960272</v>
      </c>
      <c r="Y1003">
        <v>0.15008650000000001</v>
      </c>
      <c r="Z1003">
        <v>-2.156185E-2</v>
      </c>
      <c r="AA1003">
        <v>0.98843769999999997</v>
      </c>
      <c r="AB1003">
        <v>30</v>
      </c>
      <c r="AC1003">
        <v>0.675599999999974</v>
      </c>
      <c r="AD1003">
        <v>-0.221360899999999</v>
      </c>
      <c r="AE1003">
        <v>-0.12650000000002101</v>
      </c>
      <c r="AF1003">
        <v>0.120036819009121</v>
      </c>
      <c r="AG1003">
        <v>-0.221360899999999</v>
      </c>
      <c r="AH1003">
        <v>0.61107188170681004</v>
      </c>
      <c r="AI1003">
        <v>109.568114159253</v>
      </c>
      <c r="AJ1003">
        <v>78.886522309744706</v>
      </c>
      <c r="AK1003">
        <v>0.660922333242977</v>
      </c>
      <c r="AL1003">
        <v>87.5638457836924</v>
      </c>
      <c r="AM1003">
        <v>85.507987947338805</v>
      </c>
      <c r="AN1003">
        <v>0.99999995387875495</v>
      </c>
    </row>
    <row r="1004" spans="1:40" x14ac:dyDescent="0.25">
      <c r="A1004" t="str">
        <f>"20190312154816895"</f>
        <v>20190312154816895</v>
      </c>
      <c r="B1004" t="str">
        <f>"1552376896887220"</f>
        <v>1552376896887220</v>
      </c>
      <c r="C1004" t="s">
        <v>40</v>
      </c>
      <c r="D1004">
        <v>4.4121129999999997</v>
      </c>
      <c r="E1004">
        <v>0.53500959999999997</v>
      </c>
      <c r="F1004" t="s">
        <v>41</v>
      </c>
      <c r="G1004">
        <v>-254.0035</v>
      </c>
      <c r="H1004">
        <v>0.92691250000000003</v>
      </c>
      <c r="I1004">
        <v>368.3997</v>
      </c>
      <c r="J1004">
        <v>-254.54570000000001</v>
      </c>
      <c r="K1004">
        <v>1.109912</v>
      </c>
      <c r="L1004">
        <v>368.50459999999998</v>
      </c>
      <c r="M1004">
        <v>0.99986030000000004</v>
      </c>
      <c r="N1004">
        <v>0</v>
      </c>
      <c r="O1004">
        <v>8.7769409999999999E-3</v>
      </c>
      <c r="P1004">
        <v>0.99718890000000004</v>
      </c>
      <c r="Q1004">
        <v>2.8105160000000001E-2</v>
      </c>
      <c r="R1004">
        <v>-6.9458270000000003E-2</v>
      </c>
      <c r="S1004">
        <v>2.9998019999999999</v>
      </c>
      <c r="T1004">
        <v>-0.79412329999999998</v>
      </c>
      <c r="U1004">
        <v>-0.44906620000000003</v>
      </c>
      <c r="V1004">
        <v>7.8225149999999993E-2</v>
      </c>
      <c r="W1004">
        <v>4.2247420000000001E-2</v>
      </c>
      <c r="X1004">
        <v>0.99604020000000004</v>
      </c>
      <c r="Y1004">
        <v>0.1513264</v>
      </c>
      <c r="Z1004">
        <v>-2.1859759999999999E-2</v>
      </c>
      <c r="AA1004">
        <v>0.98824210000000001</v>
      </c>
      <c r="AB1004">
        <v>30</v>
      </c>
      <c r="AC1004">
        <v>0.54220000000000801</v>
      </c>
      <c r="AD1004">
        <v>-0.18299950000000001</v>
      </c>
      <c r="AE1004">
        <v>-0.104899999999986</v>
      </c>
      <c r="AF1004">
        <v>9.8805927155814099E-2</v>
      </c>
      <c r="AG1004">
        <v>-0.18299950000000001</v>
      </c>
      <c r="AH1004">
        <v>0.48770584749359402</v>
      </c>
      <c r="AI1004">
        <v>110.191199873551</v>
      </c>
      <c r="AJ1004">
        <v>78.547269824617501</v>
      </c>
      <c r="AK1004">
        <v>0.53019658799431602</v>
      </c>
      <c r="AL1004">
        <v>87.578680613748503</v>
      </c>
      <c r="AM1004">
        <v>85.509428154595795</v>
      </c>
      <c r="AN1004">
        <v>1.0000000493026</v>
      </c>
    </row>
    <row r="1005" spans="1:40" x14ac:dyDescent="0.25">
      <c r="A1005" t="str">
        <f>"20190312154816906"</f>
        <v>20190312154816906</v>
      </c>
      <c r="B1005" t="str">
        <f>"1552376896896980"</f>
        <v>1552376896896980</v>
      </c>
      <c r="C1005" t="s">
        <v>40</v>
      </c>
      <c r="D1005">
        <v>4.4162470000000003</v>
      </c>
      <c r="E1005">
        <v>0.53541479999999997</v>
      </c>
      <c r="F1005" t="s">
        <v>41</v>
      </c>
      <c r="G1005">
        <v>-253.75120000000001</v>
      </c>
      <c r="H1005">
        <v>0.89849109999999999</v>
      </c>
      <c r="I1005">
        <v>368.38470000000001</v>
      </c>
      <c r="J1005">
        <v>-254.39340000000001</v>
      </c>
      <c r="K1005">
        <v>1.109912</v>
      </c>
      <c r="L1005">
        <v>368.50580000000002</v>
      </c>
      <c r="M1005">
        <v>0.99986120000000001</v>
      </c>
      <c r="N1005">
        <v>0</v>
      </c>
      <c r="O1005">
        <v>8.6837990000000007E-3</v>
      </c>
      <c r="P1005">
        <v>0.99717690000000003</v>
      </c>
      <c r="Q1005">
        <v>2.7767480000000001E-2</v>
      </c>
      <c r="R1005">
        <v>-6.9766690000000006E-2</v>
      </c>
      <c r="S1005">
        <v>2.9994809999999998</v>
      </c>
      <c r="T1005">
        <v>-0.79818529999999999</v>
      </c>
      <c r="U1005">
        <v>-0.45190429999999998</v>
      </c>
      <c r="V1005">
        <v>7.844044E-2</v>
      </c>
      <c r="W1005">
        <v>4.1908210000000001E-2</v>
      </c>
      <c r="X1005">
        <v>0.99603750000000002</v>
      </c>
      <c r="Y1005">
        <v>0.1520869</v>
      </c>
      <c r="Z1005">
        <v>-2.204335E-2</v>
      </c>
      <c r="AA1005">
        <v>0.98812129999999998</v>
      </c>
      <c r="AB1005">
        <v>30</v>
      </c>
      <c r="AC1005">
        <v>0.64220000000000199</v>
      </c>
      <c r="AD1005">
        <v>-0.21142089999999999</v>
      </c>
      <c r="AE1005">
        <v>-0.121100000000012</v>
      </c>
      <c r="AF1005">
        <v>0.114671247573411</v>
      </c>
      <c r="AG1005">
        <v>-0.21142089999999999</v>
      </c>
      <c r="AH1005">
        <v>0.58038138984045395</v>
      </c>
      <c r="AI1005">
        <v>109.665396018085</v>
      </c>
      <c r="AJ1005">
        <v>78.823500443869307</v>
      </c>
      <c r="AK1005">
        <v>0.62824425954400098</v>
      </c>
      <c r="AL1005">
        <v>87.598132906515801</v>
      </c>
      <c r="AM1005">
        <v>85.4971078758375</v>
      </c>
      <c r="AN1005">
        <v>0.999999951049522</v>
      </c>
    </row>
    <row r="1006" spans="1:40" x14ac:dyDescent="0.25">
      <c r="A1006" t="str">
        <f>"20190312154816918"</f>
        <v>20190312154816918</v>
      </c>
      <c r="B1006" t="str">
        <f>"1552376896906741"</f>
        <v>1552376896906741</v>
      </c>
      <c r="C1006" t="s">
        <v>40</v>
      </c>
      <c r="D1006">
        <v>4.4507859999999999</v>
      </c>
      <c r="E1006">
        <v>0.53558839999999996</v>
      </c>
      <c r="F1006" t="s">
        <v>41</v>
      </c>
      <c r="G1006">
        <v>-253.49850000000001</v>
      </c>
      <c r="H1006">
        <v>0.87066299999999996</v>
      </c>
      <c r="I1006">
        <v>368.36950000000002</v>
      </c>
      <c r="J1006">
        <v>-254.23859999999999</v>
      </c>
      <c r="K1006">
        <v>1.1099139999999901</v>
      </c>
      <c r="L1006">
        <v>368.50700000000001</v>
      </c>
      <c r="M1006">
        <v>0.99986209999999998</v>
      </c>
      <c r="N1006">
        <v>0</v>
      </c>
      <c r="O1006">
        <v>8.5891660000000005E-3</v>
      </c>
      <c r="P1006">
        <v>0.99717579999999995</v>
      </c>
      <c r="Q1006">
        <v>2.7746759999999999E-2</v>
      </c>
      <c r="R1006">
        <v>-6.9792740000000006E-2</v>
      </c>
      <c r="S1006">
        <v>2.998901</v>
      </c>
      <c r="T1006">
        <v>-0.80170920000000001</v>
      </c>
      <c r="U1006">
        <v>-0.45602419999999999</v>
      </c>
      <c r="V1006">
        <v>7.8372189999999994E-2</v>
      </c>
      <c r="W1006">
        <v>4.188629E-2</v>
      </c>
      <c r="X1006">
        <v>0.99604389999999998</v>
      </c>
      <c r="Y1006">
        <v>0.15326310000000001</v>
      </c>
      <c r="Z1006">
        <v>-2.226829E-2</v>
      </c>
      <c r="AA1006">
        <v>0.98793450000000005</v>
      </c>
      <c r="AB1006">
        <v>30</v>
      </c>
      <c r="AC1006">
        <v>0.74009999999998399</v>
      </c>
      <c r="AD1006">
        <v>-0.23925099999999899</v>
      </c>
      <c r="AE1006">
        <v>-0.13749999999993101</v>
      </c>
      <c r="AF1006">
        <v>0.13065426408898001</v>
      </c>
      <c r="AG1006">
        <v>-0.23925099999999899</v>
      </c>
      <c r="AH1006">
        <v>0.67109986556162304</v>
      </c>
      <c r="AI1006">
        <v>109.286763607826</v>
      </c>
      <c r="AJ1006">
        <v>78.983081433085502</v>
      </c>
      <c r="AK1006">
        <v>0.72435254350520595</v>
      </c>
      <c r="AL1006">
        <v>87.599390186140994</v>
      </c>
      <c r="AM1006">
        <v>85.501038480921594</v>
      </c>
      <c r="AN1006">
        <v>1.0000000560912801</v>
      </c>
    </row>
    <row r="1007" spans="1:40" x14ac:dyDescent="0.25">
      <c r="A1007" t="str">
        <f>"20190312154816929"</f>
        <v>20190312154816929</v>
      </c>
      <c r="B1007" t="str">
        <f>"1552376896917476"</f>
        <v>1552376896917476</v>
      </c>
      <c r="C1007" t="s">
        <v>40</v>
      </c>
      <c r="D1007">
        <v>4.440029</v>
      </c>
      <c r="E1007">
        <v>0.53573609999999905</v>
      </c>
      <c r="F1007" t="s">
        <v>41</v>
      </c>
      <c r="G1007">
        <v>-253.48390000000001</v>
      </c>
      <c r="H1007">
        <v>0.90763519999999998</v>
      </c>
      <c r="I1007">
        <v>368.39190000000002</v>
      </c>
      <c r="J1007">
        <v>-254.09950000000001</v>
      </c>
      <c r="K1007">
        <v>1.109915</v>
      </c>
      <c r="L1007">
        <v>368.50810000000001</v>
      </c>
      <c r="M1007">
        <v>0.99986280000000005</v>
      </c>
      <c r="N1007">
        <v>0</v>
      </c>
      <c r="O1007">
        <v>8.504424E-3</v>
      </c>
      <c r="P1007">
        <v>0.99716349999999998</v>
      </c>
      <c r="Q1007">
        <v>2.7503199999999998E-2</v>
      </c>
      <c r="R1007">
        <v>-7.0059170000000004E-2</v>
      </c>
      <c r="S1007">
        <v>2.9988860000000002</v>
      </c>
      <c r="T1007">
        <v>-0.80371759999999903</v>
      </c>
      <c r="U1007">
        <v>-0.4569397</v>
      </c>
      <c r="V1007">
        <v>7.8554120000000005E-2</v>
      </c>
      <c r="W1007">
        <v>4.1640940000000001E-2</v>
      </c>
      <c r="X1007">
        <v>0.99603980000000003</v>
      </c>
      <c r="Y1007">
        <v>0.15344440000000001</v>
      </c>
      <c r="Z1007">
        <v>-2.232338E-2</v>
      </c>
      <c r="AA1007">
        <v>0.98790509999999998</v>
      </c>
      <c r="AB1007">
        <v>30</v>
      </c>
      <c r="AC1007">
        <v>0.61560000000000004</v>
      </c>
      <c r="AD1007">
        <v>-0.20227980000000001</v>
      </c>
      <c r="AE1007">
        <v>-0.116199999999992</v>
      </c>
      <c r="AF1007">
        <v>0.109966884939767</v>
      </c>
      <c r="AG1007">
        <v>-0.20227980000000001</v>
      </c>
      <c r="AH1007">
        <v>0.55656399560623104</v>
      </c>
      <c r="AI1007">
        <v>109.623740202611</v>
      </c>
      <c r="AJ1007">
        <v>78.823356058333005</v>
      </c>
      <c r="AK1007">
        <v>0.60230666149111201</v>
      </c>
      <c r="AL1007">
        <v>87.613459847567597</v>
      </c>
      <c r="AM1007">
        <v>85.490619314079396</v>
      </c>
      <c r="AN1007">
        <v>1.0000000004185401</v>
      </c>
    </row>
    <row r="1008" spans="1:40" x14ac:dyDescent="0.25">
      <c r="A1008" t="str">
        <f>"20190312154816940"</f>
        <v>20190312154816940</v>
      </c>
      <c r="B1008" t="str">
        <f>"1552376896936995"</f>
        <v>1552376896936995</v>
      </c>
      <c r="C1008" t="s">
        <v>40</v>
      </c>
      <c r="D1008">
        <v>4.4301709999999996</v>
      </c>
      <c r="E1008">
        <v>0.5359623</v>
      </c>
      <c r="F1008" t="s">
        <v>41</v>
      </c>
      <c r="G1008">
        <v>-253.23259999999999</v>
      </c>
      <c r="H1008">
        <v>0.8767855</v>
      </c>
      <c r="I1008">
        <v>368.37540000000001</v>
      </c>
      <c r="J1008">
        <v>-253.9442</v>
      </c>
      <c r="K1008">
        <v>1.1099159999999999</v>
      </c>
      <c r="L1008">
        <v>368.50940000000003</v>
      </c>
      <c r="M1008">
        <v>0.99986359999999996</v>
      </c>
      <c r="N1008">
        <v>0</v>
      </c>
      <c r="O1008">
        <v>8.4097289999999995E-3</v>
      </c>
      <c r="P1008">
        <v>0.99715699999999996</v>
      </c>
      <c r="Q1008">
        <v>2.7367570000000001E-2</v>
      </c>
      <c r="R1008">
        <v>-7.0207930000000002E-2</v>
      </c>
      <c r="S1008">
        <v>2.9985050000000002</v>
      </c>
      <c r="T1008">
        <v>-0.80647029999999997</v>
      </c>
      <c r="U1008">
        <v>-0.45916750000000001</v>
      </c>
      <c r="V1008">
        <v>7.86081E-2</v>
      </c>
      <c r="W1008">
        <v>4.1503730000000003E-2</v>
      </c>
      <c r="X1008">
        <v>0.99604119999999996</v>
      </c>
      <c r="Y1008">
        <v>0.15403139999999901</v>
      </c>
      <c r="Z1008">
        <v>-2.2451039999999998E-2</v>
      </c>
      <c r="AA1008">
        <v>0.98781090000000005</v>
      </c>
      <c r="AB1008">
        <v>29</v>
      </c>
      <c r="AC1008">
        <v>0.71160000000000401</v>
      </c>
      <c r="AD1008">
        <v>-0.23313049999999899</v>
      </c>
      <c r="AE1008">
        <v>-0.134000000000014</v>
      </c>
      <c r="AF1008">
        <v>0.12683324468923099</v>
      </c>
      <c r="AG1008">
        <v>-0.23313049999999899</v>
      </c>
      <c r="AH1008">
        <v>0.643722348831131</v>
      </c>
      <c r="AI1008">
        <v>109.56157830887599</v>
      </c>
      <c r="AJ1008">
        <v>78.853730107710206</v>
      </c>
      <c r="AK1008">
        <v>0.696286553348057</v>
      </c>
      <c r="AL1008">
        <v>87.621328042151205</v>
      </c>
      <c r="AM1008">
        <v>85.487539714690897</v>
      </c>
      <c r="AN1008">
        <v>0.99999993254347896</v>
      </c>
    </row>
    <row r="1009" spans="1:40" x14ac:dyDescent="0.25">
      <c r="A1009" t="str">
        <f>"20190312154816952"</f>
        <v>20190312154816952</v>
      </c>
      <c r="B1009" t="str">
        <f>"1552376896946757"</f>
        <v>1552376896946757</v>
      </c>
      <c r="C1009" t="s">
        <v>40</v>
      </c>
      <c r="D1009">
        <v>4.4513290000000003</v>
      </c>
      <c r="E1009">
        <v>0.53566119999999995</v>
      </c>
      <c r="F1009" t="s">
        <v>41</v>
      </c>
      <c r="G1009">
        <v>-253.21799999999999</v>
      </c>
      <c r="H1009">
        <v>0.91381310000000004</v>
      </c>
      <c r="I1009">
        <v>368.39760000000001</v>
      </c>
      <c r="J1009">
        <v>-253.79499999999999</v>
      </c>
      <c r="K1009">
        <v>1.109909</v>
      </c>
      <c r="L1009">
        <v>368.51049999999998</v>
      </c>
      <c r="M1009">
        <v>0.99986439999999999</v>
      </c>
      <c r="N1009">
        <v>0</v>
      </c>
      <c r="O1009">
        <v>8.3184339999999996E-3</v>
      </c>
      <c r="P1009">
        <v>0.99715050000000005</v>
      </c>
      <c r="Q1009">
        <v>2.734895E-2</v>
      </c>
      <c r="R1009">
        <v>-7.0307480000000006E-2</v>
      </c>
      <c r="S1009">
        <v>2.998291</v>
      </c>
      <c r="T1009">
        <v>-0.80970369999999903</v>
      </c>
      <c r="U1009">
        <v>-0.46130369999999998</v>
      </c>
      <c r="V1009">
        <v>7.8616599999999995E-2</v>
      </c>
      <c r="W1009">
        <v>4.1483720000000002E-2</v>
      </c>
      <c r="X1009">
        <v>0.99604139999999997</v>
      </c>
      <c r="Y1009">
        <v>0.15457879999999999</v>
      </c>
      <c r="Z1009">
        <v>-2.2586490000000001E-2</v>
      </c>
      <c r="AA1009">
        <v>0.98772230000000005</v>
      </c>
      <c r="AB1009">
        <v>29</v>
      </c>
      <c r="AC1009">
        <v>0.57699999999999796</v>
      </c>
      <c r="AD1009">
        <v>-0.19609589999999999</v>
      </c>
      <c r="AE1009">
        <v>-0.112899999999967</v>
      </c>
      <c r="AF1009">
        <v>0.10591421217727399</v>
      </c>
      <c r="AG1009">
        <v>-0.19609589999999999</v>
      </c>
      <c r="AH1009">
        <v>0.51837567276135899</v>
      </c>
      <c r="AI1009">
        <v>110.336316867623</v>
      </c>
      <c r="AJ1009">
        <v>78.452300985597802</v>
      </c>
      <c r="AK1009">
        <v>0.56425593523571704</v>
      </c>
      <c r="AL1009">
        <v>87.622475607337904</v>
      </c>
      <c r="AM1009">
        <v>85.487054694217605</v>
      </c>
      <c r="AN1009">
        <v>0.999999969667278</v>
      </c>
    </row>
    <row r="1010" spans="1:40" x14ac:dyDescent="0.25">
      <c r="A1010" t="str">
        <f>"20190312154816963"</f>
        <v>20190312154816963</v>
      </c>
      <c r="B1010" t="str">
        <f>"1552376896957493"</f>
        <v>1552376896957493</v>
      </c>
      <c r="C1010" t="s">
        <v>40</v>
      </c>
      <c r="D1010">
        <v>4.468229</v>
      </c>
      <c r="E1010">
        <v>0.53542040000000002</v>
      </c>
      <c r="F1010" t="s">
        <v>41</v>
      </c>
      <c r="G1010">
        <v>-252.9657</v>
      </c>
      <c r="H1010">
        <v>0.88644100000000003</v>
      </c>
      <c r="I1010">
        <v>368.38330000000002</v>
      </c>
      <c r="J1010">
        <v>-253.65010000000001</v>
      </c>
      <c r="K1010">
        <v>1.109909</v>
      </c>
      <c r="L1010">
        <v>368.51159999999999</v>
      </c>
      <c r="M1010">
        <v>0.99986509999999995</v>
      </c>
      <c r="N1010">
        <v>0</v>
      </c>
      <c r="O1010">
        <v>8.229643E-3</v>
      </c>
      <c r="P1010">
        <v>0.99713390000000002</v>
      </c>
      <c r="Q1010">
        <v>2.7171500000000001E-2</v>
      </c>
      <c r="R1010">
        <v>-7.0611090000000001E-2</v>
      </c>
      <c r="S1010">
        <v>2.9983979999999999</v>
      </c>
      <c r="T1010">
        <v>-0.80793459999999995</v>
      </c>
      <c r="U1010">
        <v>-0.4588623</v>
      </c>
      <c r="V1010">
        <v>7.8831620000000005E-2</v>
      </c>
      <c r="W1010">
        <v>4.130458E-2</v>
      </c>
      <c r="X1010">
        <v>0.99603189999999997</v>
      </c>
      <c r="Y1010">
        <v>0.1537559</v>
      </c>
      <c r="Z1010">
        <v>-2.2407650000000001E-2</v>
      </c>
      <c r="AA1010">
        <v>0.98785480000000003</v>
      </c>
      <c r="AB1010">
        <v>29</v>
      </c>
      <c r="AC1010">
        <v>0.68440000000001</v>
      </c>
      <c r="AD1010">
        <v>-0.223467999999999</v>
      </c>
      <c r="AE1010">
        <v>-0.128299999999967</v>
      </c>
      <c r="AF1010">
        <v>0.12142281063414399</v>
      </c>
      <c r="AG1010">
        <v>-0.223467999999999</v>
      </c>
      <c r="AH1010">
        <v>0.61951475280318802</v>
      </c>
      <c r="AI1010">
        <v>109.49292625443999</v>
      </c>
      <c r="AJ1010">
        <v>78.910789797879701</v>
      </c>
      <c r="AK1010">
        <v>0.66968647508150403</v>
      </c>
      <c r="AL1010">
        <v>87.632748495842904</v>
      </c>
      <c r="AM1010">
        <v>85.474719796951902</v>
      </c>
      <c r="AN1010">
        <v>1.0000000192292</v>
      </c>
    </row>
    <row r="1011" spans="1:40" x14ac:dyDescent="0.25">
      <c r="A1011" t="str">
        <f>"20190312154816975"</f>
        <v>20190312154816975</v>
      </c>
      <c r="B1011" t="str">
        <f>"1552376896967253"</f>
        <v>1552376896967253</v>
      </c>
      <c r="C1011" t="s">
        <v>40</v>
      </c>
      <c r="D1011">
        <v>4.443371</v>
      </c>
      <c r="E1011">
        <v>0.53542040000000002</v>
      </c>
      <c r="F1011" t="s">
        <v>41</v>
      </c>
      <c r="G1011">
        <v>-252.95140000000001</v>
      </c>
      <c r="H1011">
        <v>0.92184339999999998</v>
      </c>
      <c r="I1011">
        <v>368.40460000000002</v>
      </c>
      <c r="J1011">
        <v>-253.50290000000001</v>
      </c>
      <c r="K1011">
        <v>1.109909</v>
      </c>
      <c r="L1011">
        <v>368.51280000000003</v>
      </c>
      <c r="M1011">
        <v>0.99986589999999997</v>
      </c>
      <c r="N1011">
        <v>0</v>
      </c>
      <c r="O1011">
        <v>8.1396569999999998E-3</v>
      </c>
      <c r="P1011">
        <v>0.99711590000000005</v>
      </c>
      <c r="Q1011">
        <v>2.6986860000000001E-2</v>
      </c>
      <c r="R1011">
        <v>-7.0935150000000002E-2</v>
      </c>
      <c r="S1011">
        <v>2.99823</v>
      </c>
      <c r="T1011">
        <v>-0.807091</v>
      </c>
      <c r="U1011">
        <v>-0.45788570000000001</v>
      </c>
      <c r="V1011">
        <v>7.9065860000000002E-2</v>
      </c>
      <c r="W1011">
        <v>4.1118300000000003E-2</v>
      </c>
      <c r="X1011">
        <v>0.99602100000000005</v>
      </c>
      <c r="Y1011">
        <v>0.15338750000000001</v>
      </c>
      <c r="Z1011">
        <v>-2.2314629999999998E-2</v>
      </c>
      <c r="AA1011">
        <v>0.98791410000000002</v>
      </c>
      <c r="AB1011">
        <v>29</v>
      </c>
      <c r="AC1011">
        <v>0.55150000000000399</v>
      </c>
      <c r="AD1011">
        <v>-0.188065599999999</v>
      </c>
      <c r="AE1011">
        <v>-0.10820000000001</v>
      </c>
      <c r="AF1011">
        <v>0.101338421845447</v>
      </c>
      <c r="AG1011">
        <v>-0.188065599999999</v>
      </c>
      <c r="AH1011">
        <v>0.49515542241931998</v>
      </c>
      <c r="AI1011">
        <v>110.410153217458</v>
      </c>
      <c r="AJ1011">
        <v>78.433579588386095</v>
      </c>
      <c r="AK1011">
        <v>0.53927454788515705</v>
      </c>
      <c r="AL1011">
        <v>87.643430532753897</v>
      </c>
      <c r="AM1011">
        <v>85.461280030909094</v>
      </c>
      <c r="AN1011">
        <v>0.99999997862671397</v>
      </c>
    </row>
    <row r="1012" spans="1:40" x14ac:dyDescent="0.25">
      <c r="A1012" t="str">
        <f>"20190312154816990"</f>
        <v>20190312154816990</v>
      </c>
      <c r="B1012" t="str">
        <f>"1552376896986772"</f>
        <v>1552376896986772</v>
      </c>
      <c r="C1012" t="s">
        <v>40</v>
      </c>
      <c r="D1012">
        <v>4.4851140000000003</v>
      </c>
      <c r="E1012">
        <v>0.53316640000000004</v>
      </c>
      <c r="F1012" t="s">
        <v>41</v>
      </c>
      <c r="G1012">
        <v>-252.70009999999999</v>
      </c>
      <c r="H1012">
        <v>0.89360490000000004</v>
      </c>
      <c r="I1012">
        <v>368.38979999999998</v>
      </c>
      <c r="J1012">
        <v>-253.2998</v>
      </c>
      <c r="K1012">
        <v>1.1099129999999999</v>
      </c>
      <c r="L1012">
        <v>368.51429999999999</v>
      </c>
      <c r="M1012">
        <v>0.99986699999999995</v>
      </c>
      <c r="N1012">
        <v>0</v>
      </c>
      <c r="O1012">
        <v>8.0154619999999992E-3</v>
      </c>
      <c r="P1012">
        <v>0.99709890000000001</v>
      </c>
      <c r="Q1012">
        <v>2.6762629999999999E-2</v>
      </c>
      <c r="R1012">
        <v>-7.1258440000000006E-2</v>
      </c>
      <c r="S1012">
        <v>2.997925</v>
      </c>
      <c r="T1012">
        <v>-0.80773189999999995</v>
      </c>
      <c r="U1012">
        <v>-0.45852660000000001</v>
      </c>
      <c r="V1012">
        <v>7.9264929999999997E-2</v>
      </c>
      <c r="W1012">
        <v>4.0891509999999999E-2</v>
      </c>
      <c r="X1012">
        <v>0.99601450000000002</v>
      </c>
      <c r="Y1012">
        <v>0.153477799999999</v>
      </c>
      <c r="Z1012">
        <v>-2.2312749999999999E-2</v>
      </c>
      <c r="AA1012">
        <v>0.98790009999999995</v>
      </c>
      <c r="AB1012">
        <v>29</v>
      </c>
      <c r="AC1012">
        <v>0.599700000000012</v>
      </c>
      <c r="AD1012">
        <v>-0.216308099999999</v>
      </c>
      <c r="AE1012">
        <v>-0.124500000000011</v>
      </c>
      <c r="AF1012">
        <v>0.11496447027708</v>
      </c>
      <c r="AG1012">
        <v>-0.216308099999999</v>
      </c>
      <c r="AH1012">
        <v>0.53229275391539399</v>
      </c>
      <c r="AI1012">
        <v>111.663556071671</v>
      </c>
      <c r="AJ1012">
        <v>77.812473846331102</v>
      </c>
      <c r="AK1012">
        <v>0.58595358128654995</v>
      </c>
      <c r="AL1012">
        <v>87.656435547644605</v>
      </c>
      <c r="AM1012">
        <v>85.449870913944395</v>
      </c>
      <c r="AN1012">
        <v>0.99999996446411599</v>
      </c>
    </row>
    <row r="1013" spans="1:40" x14ac:dyDescent="0.25">
      <c r="A1013" t="str">
        <f>"20190312154817004"</f>
        <v>20190312154817004</v>
      </c>
      <c r="B1013" t="str">
        <f>"1552376896996532"</f>
        <v>1552376896996532</v>
      </c>
      <c r="C1013" t="s">
        <v>40</v>
      </c>
      <c r="D1013">
        <v>4.4431760000000002</v>
      </c>
      <c r="E1013">
        <v>0.53305639999999999</v>
      </c>
      <c r="F1013" t="s">
        <v>41</v>
      </c>
      <c r="G1013">
        <v>-252.44120000000001</v>
      </c>
      <c r="H1013">
        <v>0.88471200000000005</v>
      </c>
      <c r="I1013">
        <v>368.38729999999998</v>
      </c>
      <c r="J1013">
        <v>-253.10390000000001</v>
      </c>
      <c r="K1013">
        <v>1.109915</v>
      </c>
      <c r="L1013">
        <v>368.51569999999998</v>
      </c>
      <c r="M1013">
        <v>0.99986790000000003</v>
      </c>
      <c r="N1013">
        <v>0</v>
      </c>
      <c r="O1013">
        <v>7.8957379999999994E-3</v>
      </c>
      <c r="P1013">
        <v>0.99707129999999999</v>
      </c>
      <c r="Q1013">
        <v>2.649458E-2</v>
      </c>
      <c r="R1013">
        <v>-7.1743810000000005E-2</v>
      </c>
      <c r="S1013">
        <v>2.9981689999999999</v>
      </c>
      <c r="T1013">
        <v>-0.78642319999999999</v>
      </c>
      <c r="U1013">
        <v>-0.44284059999999997</v>
      </c>
      <c r="V1013">
        <v>7.9630619999999999E-2</v>
      </c>
      <c r="W1013">
        <v>4.0621369999999997E-2</v>
      </c>
      <c r="X1013">
        <v>0.9959964</v>
      </c>
      <c r="Y1013">
        <v>0.1487367</v>
      </c>
      <c r="Z1013">
        <v>-2.1110569999999999E-2</v>
      </c>
      <c r="AA1013">
        <v>0.98865150000000002</v>
      </c>
      <c r="AB1013">
        <v>29</v>
      </c>
      <c r="AC1013">
        <v>0.66270000000000095</v>
      </c>
      <c r="AD1013">
        <v>-0.22520299999999999</v>
      </c>
      <c r="AE1013">
        <v>-0.12839999999999899</v>
      </c>
      <c r="AF1013">
        <v>0.120245288475511</v>
      </c>
      <c r="AG1013">
        <v>-0.22520299999999999</v>
      </c>
      <c r="AH1013">
        <v>0.59539569671290404</v>
      </c>
      <c r="AI1013">
        <v>110.342534158384</v>
      </c>
      <c r="AJ1013">
        <v>78.582204243271306</v>
      </c>
      <c r="AK1013">
        <v>0.64782046608130806</v>
      </c>
      <c r="AL1013">
        <v>87.671926337585006</v>
      </c>
      <c r="AM1013">
        <v>85.428884862834195</v>
      </c>
      <c r="AN1013">
        <v>0.99999998007761004</v>
      </c>
    </row>
    <row r="1014" spans="1:40" x14ac:dyDescent="0.25">
      <c r="A1014" t="str">
        <f>"20190312154817018"</f>
        <v>20190312154817018</v>
      </c>
      <c r="B1014" t="str">
        <f>"1552376897007268"</f>
        <v>1552376897007268</v>
      </c>
      <c r="C1014" t="s">
        <v>40</v>
      </c>
      <c r="D1014">
        <v>4.4640890000000004</v>
      </c>
      <c r="E1014">
        <v>0.53357779999999999</v>
      </c>
      <c r="F1014" t="s">
        <v>41</v>
      </c>
      <c r="G1014">
        <v>-252.4222</v>
      </c>
      <c r="H1014">
        <v>0.93075529999999995</v>
      </c>
      <c r="I1014">
        <v>368.41460000000001</v>
      </c>
      <c r="J1014">
        <v>-252.9203</v>
      </c>
      <c r="K1014">
        <v>1.1099110000000001</v>
      </c>
      <c r="L1014">
        <v>368.51710000000003</v>
      </c>
      <c r="M1014">
        <v>0.9998688</v>
      </c>
      <c r="N1014">
        <v>0</v>
      </c>
      <c r="O1014">
        <v>7.7832880000000002E-3</v>
      </c>
      <c r="P1014">
        <v>0.99705929999999998</v>
      </c>
      <c r="Q1014">
        <v>2.6609520000000001E-2</v>
      </c>
      <c r="R1014">
        <v>-7.186969E-2</v>
      </c>
      <c r="S1014">
        <v>2.997833</v>
      </c>
      <c r="T1014">
        <v>-0.78782839999999998</v>
      </c>
      <c r="U1014">
        <v>-0.44351200000000002</v>
      </c>
      <c r="V1014">
        <v>7.9644240000000005E-2</v>
      </c>
      <c r="W1014">
        <v>4.0734760000000002E-2</v>
      </c>
      <c r="X1014">
        <v>0.99599070000000001</v>
      </c>
      <c r="Y1014">
        <v>0.14883940000000001</v>
      </c>
      <c r="Z1014">
        <v>-2.1133300000000001E-2</v>
      </c>
      <c r="AA1014">
        <v>0.9886355</v>
      </c>
      <c r="AB1014">
        <v>29</v>
      </c>
      <c r="AC1014">
        <v>0.49809999999999299</v>
      </c>
      <c r="AD1014">
        <v>-0.1791557</v>
      </c>
      <c r="AE1014">
        <v>-0.10250000000002001</v>
      </c>
      <c r="AF1014">
        <v>9.4629428847382804E-2</v>
      </c>
      <c r="AG1014">
        <v>-0.1791557</v>
      </c>
      <c r="AH1014">
        <v>0.44238184232377797</v>
      </c>
      <c r="AI1014">
        <v>111.604593375474</v>
      </c>
      <c r="AJ1014">
        <v>77.925884607087397</v>
      </c>
      <c r="AK1014">
        <v>0.48657290107881201</v>
      </c>
      <c r="AL1014">
        <v>87.665424233896204</v>
      </c>
      <c r="AM1014">
        <v>85.428080280995303</v>
      </c>
      <c r="AN1014">
        <v>1.00000000006196</v>
      </c>
    </row>
    <row r="1015" spans="1:40" x14ac:dyDescent="0.25">
      <c r="A1015" t="str">
        <f>"20190312154817032"</f>
        <v>20190312154817032</v>
      </c>
      <c r="B1015" t="str">
        <f>"1552376897026788"</f>
        <v>1552376897026788</v>
      </c>
      <c r="C1015" t="s">
        <v>40</v>
      </c>
      <c r="D1015">
        <v>4.4412070000000003</v>
      </c>
      <c r="E1015">
        <v>0.5332713</v>
      </c>
      <c r="F1015" t="s">
        <v>41</v>
      </c>
      <c r="G1015">
        <v>-252.16849999999999</v>
      </c>
      <c r="H1015">
        <v>0.91121799999999997</v>
      </c>
      <c r="I1015">
        <v>368.40440000000001</v>
      </c>
      <c r="J1015">
        <v>-252.73699999999999</v>
      </c>
      <c r="K1015">
        <v>1.109912</v>
      </c>
      <c r="L1015">
        <v>368.51839999999999</v>
      </c>
      <c r="M1015">
        <v>0.99986960000000003</v>
      </c>
      <c r="N1015">
        <v>0</v>
      </c>
      <c r="O1015">
        <v>7.6711319999999998E-3</v>
      </c>
      <c r="P1015">
        <v>0.99704060000000005</v>
      </c>
      <c r="Q1015">
        <v>2.6498399999999998E-2</v>
      </c>
      <c r="R1015">
        <v>-7.2166199999999903E-2</v>
      </c>
      <c r="S1015">
        <v>2.9977109999999998</v>
      </c>
      <c r="T1015">
        <v>-0.79221249999999999</v>
      </c>
      <c r="U1015">
        <v>-0.44808959999999998</v>
      </c>
      <c r="V1015">
        <v>7.9828880000000005E-2</v>
      </c>
      <c r="W1015">
        <v>4.0621369999999997E-2</v>
      </c>
      <c r="X1015">
        <v>0.99598059999999999</v>
      </c>
      <c r="Y1015">
        <v>0.150116</v>
      </c>
      <c r="Z1015">
        <v>-2.1381609999999999E-2</v>
      </c>
      <c r="AA1015">
        <v>0.98843720000000002</v>
      </c>
      <c r="AB1015">
        <v>29</v>
      </c>
      <c r="AC1015">
        <v>0.56850000000000001</v>
      </c>
      <c r="AD1015">
        <v>-0.19869399999999901</v>
      </c>
      <c r="AE1015">
        <v>-0.113999999999975</v>
      </c>
      <c r="AF1015">
        <v>0.105919742001477</v>
      </c>
      <c r="AG1015">
        <v>-0.19869399999999901</v>
      </c>
      <c r="AH1015">
        <v>0.50795806890933204</v>
      </c>
      <c r="AI1015">
        <v>110.953133044225</v>
      </c>
      <c r="AJ1015">
        <v>78.221425947960299</v>
      </c>
      <c r="AK1015">
        <v>0.55562550081125495</v>
      </c>
      <c r="AL1015">
        <v>87.671926502041998</v>
      </c>
      <c r="AM1015">
        <v>85.417479973969094</v>
      </c>
      <c r="AN1015">
        <v>1.0000000506795399</v>
      </c>
    </row>
    <row r="1016" spans="1:40" x14ac:dyDescent="0.25">
      <c r="A1016" t="str">
        <f>"20190312154817046"</f>
        <v>20190312154817046</v>
      </c>
      <c r="B1016" t="str">
        <f>"1552376897037524"</f>
        <v>1552376897037524</v>
      </c>
      <c r="C1016" t="s">
        <v>40</v>
      </c>
      <c r="D1016">
        <v>4.4906600000000001</v>
      </c>
      <c r="E1016">
        <v>0.53374679999999997</v>
      </c>
      <c r="F1016" t="s">
        <v>41</v>
      </c>
      <c r="G1016">
        <v>-251.9143</v>
      </c>
      <c r="H1016">
        <v>0.89199419999999996</v>
      </c>
      <c r="I1016">
        <v>368.39569999999998</v>
      </c>
      <c r="J1016">
        <v>-252.56610000000001</v>
      </c>
      <c r="K1016">
        <v>1.1099129999999999</v>
      </c>
      <c r="L1016">
        <v>368.51960000000003</v>
      </c>
      <c r="M1016">
        <v>0.9998705</v>
      </c>
      <c r="N1016">
        <v>0</v>
      </c>
      <c r="O1016">
        <v>7.56684E-3</v>
      </c>
      <c r="P1016">
        <v>0.99701569999999995</v>
      </c>
      <c r="Q1016">
        <v>2.653995E-2</v>
      </c>
      <c r="R1016">
        <v>-7.2492249999999994E-2</v>
      </c>
      <c r="S1016">
        <v>2.997681</v>
      </c>
      <c r="T1016">
        <v>-0.79408849999999997</v>
      </c>
      <c r="U1016">
        <v>-0.44656370000000001</v>
      </c>
      <c r="V1016">
        <v>8.0051120000000003E-2</v>
      </c>
      <c r="W1016">
        <v>4.0660439999999999E-2</v>
      </c>
      <c r="X1016">
        <v>0.99596110000000004</v>
      </c>
      <c r="Y1016">
        <v>0.1495206</v>
      </c>
      <c r="Z1016">
        <v>-2.13274E-2</v>
      </c>
      <c r="AA1016">
        <v>0.98852850000000003</v>
      </c>
      <c r="AB1016">
        <v>29</v>
      </c>
      <c r="AC1016">
        <v>0.65180000000000804</v>
      </c>
      <c r="AD1016">
        <v>-0.2179188</v>
      </c>
      <c r="AE1016">
        <v>-0.123900000000048</v>
      </c>
      <c r="AF1016">
        <v>0.11628416745565</v>
      </c>
      <c r="AG1016">
        <v>-0.2179188</v>
      </c>
      <c r="AH1016">
        <v>0.58746718159275702</v>
      </c>
      <c r="AI1016">
        <v>109.995745482769</v>
      </c>
      <c r="AJ1016">
        <v>78.803516334085501</v>
      </c>
      <c r="AK1016">
        <v>0.63728196306096097</v>
      </c>
      <c r="AL1016">
        <v>87.669685947162904</v>
      </c>
      <c r="AM1016">
        <v>85.404687421461006</v>
      </c>
      <c r="AN1016">
        <v>0.99999998295372805</v>
      </c>
    </row>
    <row r="1017" spans="1:40" x14ac:dyDescent="0.25">
      <c r="A1017" t="str">
        <f>"20190312154817057"</f>
        <v>20190312154817057</v>
      </c>
      <c r="B1017" t="str">
        <f>"1552376897047284"</f>
        <v>1552376897047284</v>
      </c>
      <c r="C1017" t="s">
        <v>40</v>
      </c>
      <c r="D1017">
        <v>4.3809009999999997</v>
      </c>
      <c r="E1017">
        <v>0.53374679999999997</v>
      </c>
      <c r="F1017" t="s">
        <v>41</v>
      </c>
      <c r="G1017">
        <v>-251.66120000000001</v>
      </c>
      <c r="H1017">
        <v>0.87047719999999995</v>
      </c>
      <c r="I1017">
        <v>368.38310000000001</v>
      </c>
      <c r="J1017">
        <v>-252.40790000000001</v>
      </c>
      <c r="K1017">
        <v>1.1099139999999901</v>
      </c>
      <c r="L1017">
        <v>368.52069999999998</v>
      </c>
      <c r="M1017">
        <v>0.99987130000000002</v>
      </c>
      <c r="N1017">
        <v>0</v>
      </c>
      <c r="O1017">
        <v>7.4701200000000002E-3</v>
      </c>
      <c r="P1017">
        <v>0.99702409999999997</v>
      </c>
      <c r="Q1017">
        <v>2.6323019999999999E-2</v>
      </c>
      <c r="R1017">
        <v>-7.2457820000000006E-2</v>
      </c>
      <c r="S1017">
        <v>2.9972379999999998</v>
      </c>
      <c r="T1017">
        <v>-0.79307019999999995</v>
      </c>
      <c r="U1017">
        <v>-0.4516907</v>
      </c>
      <c r="V1017">
        <v>7.992001E-2</v>
      </c>
      <c r="W1017">
        <v>4.0442230000000003E-2</v>
      </c>
      <c r="X1017">
        <v>0.99598059999999999</v>
      </c>
      <c r="Y1017">
        <v>0.15106459999999999</v>
      </c>
      <c r="Z1017">
        <v>-2.147613E-2</v>
      </c>
      <c r="AA1017">
        <v>0.98829049999999996</v>
      </c>
      <c r="AB1017">
        <v>29</v>
      </c>
      <c r="AC1017">
        <v>0.74670000000000403</v>
      </c>
      <c r="AD1017">
        <v>-0.23943679999999901</v>
      </c>
      <c r="AE1017">
        <v>-0.137599999999963</v>
      </c>
      <c r="AF1017">
        <v>0.13022439003904901</v>
      </c>
      <c r="AG1017">
        <v>-0.23943679999999901</v>
      </c>
      <c r="AH1017">
        <v>0.67820638200977101</v>
      </c>
      <c r="AI1017">
        <v>109.121972234757</v>
      </c>
      <c r="AJ1017">
        <v>79.130760534165105</v>
      </c>
      <c r="AK1017">
        <v>0.73092562518635695</v>
      </c>
      <c r="AL1017">
        <v>87.682198950793193</v>
      </c>
      <c r="AM1017">
        <v>85.412271039529998</v>
      </c>
      <c r="AN1017">
        <v>1.00000006877106</v>
      </c>
    </row>
    <row r="1018" spans="1:40" x14ac:dyDescent="0.25">
      <c r="A1018" t="str">
        <f>"20190312154817071"</f>
        <v>20190312154817071</v>
      </c>
      <c r="B1018" t="str">
        <f>"1552376897066804"</f>
        <v>1552376897066804</v>
      </c>
      <c r="C1018" t="s">
        <v>40</v>
      </c>
      <c r="D1018">
        <v>3.528718</v>
      </c>
      <c r="E1018">
        <v>0.53801690000000002</v>
      </c>
      <c r="F1018" t="s">
        <v>41</v>
      </c>
      <c r="G1018">
        <v>-251.64619999999999</v>
      </c>
      <c r="H1018">
        <v>0.90821249999999998</v>
      </c>
      <c r="I1018">
        <v>368.40570000000002</v>
      </c>
      <c r="J1018">
        <v>-252.23609999999999</v>
      </c>
      <c r="K1018">
        <v>1.109912</v>
      </c>
      <c r="L1018">
        <v>368.52190000000002</v>
      </c>
      <c r="M1018">
        <v>0.99987199999999998</v>
      </c>
      <c r="N1018">
        <v>0</v>
      </c>
      <c r="O1018">
        <v>7.3651760000000002E-3</v>
      </c>
      <c r="P1018">
        <v>0.99702290000000005</v>
      </c>
      <c r="Q1018">
        <v>2.5891999999999998E-2</v>
      </c>
      <c r="R1018">
        <v>-7.2631020000000004E-2</v>
      </c>
      <c r="S1018">
        <v>2.997055</v>
      </c>
      <c r="T1018">
        <v>-0.79367159999999903</v>
      </c>
      <c r="U1018">
        <v>-0.45193480000000003</v>
      </c>
      <c r="V1018">
        <v>7.9988450000000003E-2</v>
      </c>
      <c r="W1018">
        <v>4.0009610000000001E-2</v>
      </c>
      <c r="X1018">
        <v>0.99599249999999995</v>
      </c>
      <c r="Y1018">
        <v>0.15104429999999999</v>
      </c>
      <c r="Z1018">
        <v>-2.146319E-2</v>
      </c>
      <c r="AA1018">
        <v>0.98829389999999995</v>
      </c>
      <c r="AB1018">
        <v>29</v>
      </c>
      <c r="AC1018">
        <v>0.58989999999999998</v>
      </c>
      <c r="AD1018">
        <v>-0.2016995</v>
      </c>
      <c r="AE1018">
        <v>-0.116199999999992</v>
      </c>
      <c r="AF1018">
        <v>0.1083481359016</v>
      </c>
      <c r="AG1018">
        <v>-0.2016995</v>
      </c>
      <c r="AH1018">
        <v>0.52944278673325695</v>
      </c>
      <c r="AI1018">
        <v>110.467101516276</v>
      </c>
      <c r="AJ1018">
        <v>78.434361917822301</v>
      </c>
      <c r="AK1018">
        <v>0.57682897922822696</v>
      </c>
      <c r="AL1018">
        <v>87.7070061487766</v>
      </c>
      <c r="AM1018">
        <v>85.408413727222495</v>
      </c>
      <c r="AN1018">
        <v>0.99999999054100197</v>
      </c>
    </row>
    <row r="1019" spans="1:40" x14ac:dyDescent="0.25">
      <c r="A1019" t="str">
        <f>"20190312154817160"</f>
        <v>20190312154817160</v>
      </c>
      <c r="B1019" t="str">
        <f>"1552376897156597"</f>
        <v>1552376897156597</v>
      </c>
      <c r="C1019" t="s">
        <v>40</v>
      </c>
      <c r="D1019">
        <v>4.4586690000000004</v>
      </c>
      <c r="E1019">
        <v>0.57719759999999998</v>
      </c>
      <c r="F1019" t="s">
        <v>42</v>
      </c>
      <c r="G1019">
        <v>-248.3374</v>
      </c>
      <c r="H1019" s="1">
        <v>-1.120074E-6</v>
      </c>
      <c r="I1019">
        <v>367.74700000000001</v>
      </c>
      <c r="J1019">
        <v>-251.066</v>
      </c>
      <c r="K1019">
        <v>1.1099159999999999</v>
      </c>
      <c r="L1019">
        <v>368.52940000000001</v>
      </c>
      <c r="M1019">
        <v>0.99987720000000002</v>
      </c>
      <c r="N1019">
        <v>0</v>
      </c>
      <c r="O1019">
        <v>6.6494650000000002E-3</v>
      </c>
      <c r="P1019">
        <v>0.9969983</v>
      </c>
      <c r="Q1019">
        <v>2.4100159999999999E-2</v>
      </c>
      <c r="R1019">
        <v>-7.3578889999999994E-2</v>
      </c>
      <c r="S1019">
        <v>2.9772949999999998</v>
      </c>
      <c r="T1019">
        <v>-1.149132</v>
      </c>
      <c r="U1019">
        <v>-0.80911250000000001</v>
      </c>
      <c r="V1019">
        <v>8.0222000000000002E-2</v>
      </c>
      <c r="W1019">
        <v>3.8206169999999998E-2</v>
      </c>
      <c r="X1019">
        <v>0.9960445</v>
      </c>
      <c r="Y1019">
        <v>0.25133919999999998</v>
      </c>
      <c r="Z1019">
        <v>-4.8505109999999997E-2</v>
      </c>
      <c r="AA1019">
        <v>0.96668290000000001</v>
      </c>
      <c r="AB1019">
        <v>29</v>
      </c>
      <c r="AC1019">
        <v>2.7285999999999699</v>
      </c>
      <c r="AD1019">
        <v>-1.1099171200739999</v>
      </c>
      <c r="AE1019">
        <v>-0.78240000000005205</v>
      </c>
      <c r="AF1019">
        <v>0.69436513780843201</v>
      </c>
      <c r="AG1019">
        <v>-1.1099171200739999</v>
      </c>
      <c r="AH1019">
        <v>2.3621776961579002</v>
      </c>
      <c r="AI1019">
        <v>114.26573951371</v>
      </c>
      <c r="AJ1019">
        <v>73.619233700575194</v>
      </c>
      <c r="AK1019">
        <v>2.70072998025773</v>
      </c>
      <c r="AL1019">
        <v>87.8104147131057</v>
      </c>
      <c r="AM1019">
        <v>85.395304178516795</v>
      </c>
      <c r="AN1019">
        <v>0.99999996334515795</v>
      </c>
    </row>
    <row r="1020" spans="1:40" x14ac:dyDescent="0.25">
      <c r="A1020" t="str">
        <f>"20190312154817172"</f>
        <v>20190312154817172</v>
      </c>
      <c r="B1020" t="str">
        <f>"1552376897167332"</f>
        <v>1552376897167332</v>
      </c>
      <c r="C1020" t="s">
        <v>40</v>
      </c>
      <c r="D1020">
        <v>4.6114090000000001</v>
      </c>
      <c r="E1020">
        <v>0.57719759999999998</v>
      </c>
      <c r="F1020" t="s">
        <v>41</v>
      </c>
      <c r="G1020">
        <v>-250.35429999999999</v>
      </c>
      <c r="H1020">
        <v>0.87181070000000005</v>
      </c>
      <c r="I1020">
        <v>368.33879999999999</v>
      </c>
      <c r="J1020">
        <v>-250.9229</v>
      </c>
      <c r="K1020">
        <v>1.109917</v>
      </c>
      <c r="L1020">
        <v>368.53019999999998</v>
      </c>
      <c r="M1020">
        <v>0.99987780000000004</v>
      </c>
      <c r="N1020">
        <v>0</v>
      </c>
      <c r="O1020">
        <v>6.5618050000000004E-3</v>
      </c>
      <c r="P1020">
        <v>0.99700049999999996</v>
      </c>
      <c r="Q1020">
        <v>2.39165E-2</v>
      </c>
      <c r="R1020">
        <v>-7.3607690000000003E-2</v>
      </c>
      <c r="S1020">
        <v>2.9743499999999998</v>
      </c>
      <c r="T1020">
        <v>-0.99497740000000001</v>
      </c>
      <c r="U1020">
        <v>-0.79556269999999996</v>
      </c>
      <c r="V1020">
        <v>8.0163540000000005E-2</v>
      </c>
      <c r="W1020">
        <v>3.8021289999999999E-2</v>
      </c>
      <c r="X1020">
        <v>0.99605630000000001</v>
      </c>
      <c r="Y1020">
        <v>0.2515751</v>
      </c>
      <c r="Z1020">
        <v>-4.2410900000000001E-2</v>
      </c>
      <c r="AA1020">
        <v>0.96690810000000005</v>
      </c>
      <c r="AB1020">
        <v>29</v>
      </c>
      <c r="AC1020">
        <v>0.56860000000000299</v>
      </c>
      <c r="AD1020">
        <v>-0.23810629999999999</v>
      </c>
      <c r="AE1020">
        <v>-0.191399999999987</v>
      </c>
      <c r="AF1020">
        <v>0.16857485018559801</v>
      </c>
      <c r="AG1020">
        <v>-0.23810629999999999</v>
      </c>
      <c r="AH1020">
        <v>0.49013058703636703</v>
      </c>
      <c r="AI1020">
        <v>114.67355634212601</v>
      </c>
      <c r="AJ1020">
        <v>71.019926383053999</v>
      </c>
      <c r="AK1020">
        <v>0.57038590670124401</v>
      </c>
      <c r="AL1020">
        <v>87.821015300613396</v>
      </c>
      <c r="AM1020">
        <v>85.398699610715497</v>
      </c>
      <c r="AN1020">
        <v>0.99999998220414199</v>
      </c>
    </row>
    <row r="1021" spans="1:40" x14ac:dyDescent="0.25">
      <c r="A1021" t="str">
        <f>"20190312154817184"</f>
        <v>20190312154817184</v>
      </c>
      <c r="B1021" t="str">
        <f>"1552376897177092"</f>
        <v>1552376897177092</v>
      </c>
      <c r="C1021" t="s">
        <v>40</v>
      </c>
      <c r="D1021">
        <v>6.193098</v>
      </c>
      <c r="E1021">
        <v>0.56459490000000001</v>
      </c>
      <c r="F1021" t="s">
        <v>41</v>
      </c>
      <c r="G1021">
        <v>-250.10759999999999</v>
      </c>
      <c r="H1021">
        <v>0.83694489999999999</v>
      </c>
      <c r="I1021">
        <v>368.31209999999999</v>
      </c>
      <c r="J1021">
        <v>-250.75190000000001</v>
      </c>
      <c r="K1021">
        <v>1.1099159999999999</v>
      </c>
      <c r="L1021">
        <v>368.53129999999999</v>
      </c>
      <c r="M1021">
        <v>0.9998785</v>
      </c>
      <c r="N1021">
        <v>0</v>
      </c>
      <c r="O1021">
        <v>6.4568050000000004E-3</v>
      </c>
      <c r="P1021">
        <v>0.99699329999999997</v>
      </c>
      <c r="Q1021">
        <v>2.3776809999999999E-2</v>
      </c>
      <c r="R1021">
        <v>-7.3750339999999998E-2</v>
      </c>
      <c r="S1021">
        <v>2.9741819999999999</v>
      </c>
      <c r="T1021">
        <v>-0.99567059999999996</v>
      </c>
      <c r="U1021">
        <v>-0.79547119999999905</v>
      </c>
      <c r="V1021">
        <v>8.0201229999999998E-2</v>
      </c>
      <c r="W1021">
        <v>3.787977E-2</v>
      </c>
      <c r="X1021">
        <v>0.99605869999999996</v>
      </c>
      <c r="Y1021">
        <v>0.25145200000000001</v>
      </c>
      <c r="Z1021">
        <v>-4.2387920000000003E-2</v>
      </c>
      <c r="AA1021">
        <v>0.9669411</v>
      </c>
      <c r="AB1021">
        <v>29</v>
      </c>
      <c r="AC1021">
        <v>0.64430000000001497</v>
      </c>
      <c r="AD1021">
        <v>-0.27297109999999902</v>
      </c>
      <c r="AE1021">
        <v>-0.21920000000000001</v>
      </c>
      <c r="AF1021">
        <v>0.19240291411816399</v>
      </c>
      <c r="AG1021">
        <v>-0.27297109999999902</v>
      </c>
      <c r="AH1021">
        <v>0.55378091171445398</v>
      </c>
      <c r="AI1021">
        <v>114.967639652717</v>
      </c>
      <c r="AJ1021">
        <v>70.840979694801206</v>
      </c>
      <c r="AK1021">
        <v>0.64668802445666396</v>
      </c>
      <c r="AL1021">
        <v>87.829129735800706</v>
      </c>
      <c r="AM1021">
        <v>85.396556585923094</v>
      </c>
      <c r="AN1021">
        <v>1.00000002405722</v>
      </c>
    </row>
    <row r="1022" spans="1:40" x14ac:dyDescent="0.25">
      <c r="A1022" t="str">
        <f>"20190312154817200"</f>
        <v>20190312154817200</v>
      </c>
      <c r="B1022" t="str">
        <f>"1552376897196612"</f>
        <v>1552376897196612</v>
      </c>
      <c r="C1022" t="s">
        <v>40</v>
      </c>
      <c r="D1022">
        <v>4.7429600000000001</v>
      </c>
      <c r="E1022">
        <v>0.5622954</v>
      </c>
      <c r="F1022" t="s">
        <v>42</v>
      </c>
      <c r="G1022">
        <v>-241.68129999999999</v>
      </c>
      <c r="H1022" s="1">
        <v>-4.4956139999999997E-6</v>
      </c>
      <c r="I1022">
        <v>366.33069999999998</v>
      </c>
      <c r="J1022">
        <v>-250.553</v>
      </c>
      <c r="K1022">
        <v>1.109917</v>
      </c>
      <c r="L1022">
        <v>368.5324</v>
      </c>
      <c r="M1022">
        <v>0.99987939999999997</v>
      </c>
      <c r="N1022">
        <v>0</v>
      </c>
      <c r="O1022">
        <v>6.3350000000000004E-3</v>
      </c>
      <c r="P1022">
        <v>0.99698520000000002</v>
      </c>
      <c r="Q1022">
        <v>2.3854670000000001E-2</v>
      </c>
      <c r="R1022">
        <v>-7.3837319999999998E-2</v>
      </c>
      <c r="S1022">
        <v>2.964493</v>
      </c>
      <c r="T1022">
        <v>-0.36274849999999997</v>
      </c>
      <c r="U1022">
        <v>-0.71917719999999996</v>
      </c>
      <c r="V1022">
        <v>8.0166680000000004E-2</v>
      </c>
      <c r="W1022">
        <v>3.7956009999999998E-2</v>
      </c>
      <c r="X1022">
        <v>0.99605860000000002</v>
      </c>
      <c r="Y1022">
        <v>0.24017359999999999</v>
      </c>
      <c r="Z1022">
        <v>-1.5194310000000001E-2</v>
      </c>
      <c r="AA1022">
        <v>0.970611</v>
      </c>
      <c r="AB1022">
        <v>29</v>
      </c>
      <c r="AC1022">
        <v>8.8717000000000006</v>
      </c>
      <c r="AD1022">
        <v>-1.109921495614</v>
      </c>
      <c r="AE1022">
        <v>-2.20170000000001</v>
      </c>
      <c r="AF1022">
        <v>2.2250574992129999</v>
      </c>
      <c r="AG1022">
        <v>-1.109921495614</v>
      </c>
      <c r="AH1022">
        <v>8.7288745021236505</v>
      </c>
      <c r="AI1022">
        <v>97.0242967794712</v>
      </c>
      <c r="AJ1022">
        <v>75.699412694224193</v>
      </c>
      <c r="AK1022">
        <v>9.0761256423131602</v>
      </c>
      <c r="AL1022">
        <v>87.824758407518203</v>
      </c>
      <c r="AM1022">
        <v>85.398530731737594</v>
      </c>
      <c r="AN1022">
        <v>1.0000000449556501</v>
      </c>
    </row>
    <row r="1023" spans="1:40" x14ac:dyDescent="0.25">
      <c r="A1023" t="str">
        <f>"20190312154817217"</f>
        <v>20190312154817217</v>
      </c>
      <c r="B1023" t="str">
        <f>"1552376897207348"</f>
        <v>1552376897207348</v>
      </c>
      <c r="C1023" t="s">
        <v>40</v>
      </c>
      <c r="D1023">
        <v>4.5037089999999997</v>
      </c>
      <c r="E1023">
        <v>0.56213119999999905</v>
      </c>
      <c r="F1023" t="s">
        <v>42</v>
      </c>
      <c r="G1023">
        <v>-234.65289999999999</v>
      </c>
      <c r="H1023" s="1">
        <v>-3.1417899999999999E-6</v>
      </c>
      <c r="I1023">
        <v>364.73649999999998</v>
      </c>
      <c r="J1023">
        <v>-250.33770000000001</v>
      </c>
      <c r="K1023">
        <v>1.1099159999999999</v>
      </c>
      <c r="L1023">
        <v>368.53359999999998</v>
      </c>
      <c r="M1023">
        <v>0.99988030000000006</v>
      </c>
      <c r="N1023">
        <v>0</v>
      </c>
      <c r="O1023">
        <v>6.2033000000000001E-3</v>
      </c>
      <c r="P1023">
        <v>0.99697400000000003</v>
      </c>
      <c r="Q1023">
        <v>2.4203269999999999E-2</v>
      </c>
      <c r="R1023">
        <v>-7.3871729999999997E-2</v>
      </c>
      <c r="S1023">
        <v>2.9616549999999999</v>
      </c>
      <c r="T1023">
        <v>-0.2067398</v>
      </c>
      <c r="U1023">
        <v>-0.70703130000000003</v>
      </c>
      <c r="V1023">
        <v>8.0070119999999995E-2</v>
      </c>
      <c r="W1023">
        <v>3.8301929999999998E-2</v>
      </c>
      <c r="X1023">
        <v>0.99605310000000002</v>
      </c>
      <c r="Y1023">
        <v>0.23767150000000001</v>
      </c>
      <c r="Z1023">
        <v>-8.5975589999999994E-3</v>
      </c>
      <c r="AA1023">
        <v>0.97130749999999999</v>
      </c>
      <c r="AB1023">
        <v>29</v>
      </c>
      <c r="AC1023">
        <v>15.684799999999999</v>
      </c>
      <c r="AD1023">
        <v>-1.1099191417899901</v>
      </c>
      <c r="AE1023">
        <v>-3.7970999999999999</v>
      </c>
      <c r="AF1023">
        <v>3.8759995198324102</v>
      </c>
      <c r="AG1023">
        <v>-1.1099191417899901</v>
      </c>
      <c r="AH1023">
        <v>15.5872088160712</v>
      </c>
      <c r="AI1023">
        <v>93.953004941221906</v>
      </c>
      <c r="AJ1023">
        <v>76.0357479765524</v>
      </c>
      <c r="AK1023">
        <v>16.100197870053101</v>
      </c>
      <c r="AL1023">
        <v>87.804924174541597</v>
      </c>
      <c r="AM1023">
        <v>85.404024130040298</v>
      </c>
      <c r="AN1023">
        <v>1.00000001998907</v>
      </c>
    </row>
    <row r="1024" spans="1:40" x14ac:dyDescent="0.25">
      <c r="A1024" t="str">
        <f>"20190312154817231"</f>
        <v>20190312154817231</v>
      </c>
      <c r="B1024" t="str">
        <f>"1552376897226869"</f>
        <v>1552376897226869</v>
      </c>
      <c r="C1024" t="s">
        <v>40</v>
      </c>
      <c r="D1024">
        <v>4.4983370000000003</v>
      </c>
      <c r="E1024">
        <v>0.55794650000000001</v>
      </c>
      <c r="F1024" t="s">
        <v>42</v>
      </c>
      <c r="G1024">
        <v>-227.86359999999999</v>
      </c>
      <c r="H1024" s="1">
        <v>-2.4316250000000002E-6</v>
      </c>
      <c r="I1024">
        <v>363.1576</v>
      </c>
      <c r="J1024">
        <v>-250.1491</v>
      </c>
      <c r="K1024">
        <v>1.1099190000000001</v>
      </c>
      <c r="L1024">
        <v>368.53469999999999</v>
      </c>
      <c r="M1024">
        <v>0.99988109999999997</v>
      </c>
      <c r="N1024">
        <v>0</v>
      </c>
      <c r="O1024">
        <v>6.0876929999999999E-3</v>
      </c>
      <c r="P1024">
        <v>0.99697409999999997</v>
      </c>
      <c r="Q1024">
        <v>2.4331430000000001E-2</v>
      </c>
      <c r="R1024">
        <v>-7.3831389999999997E-2</v>
      </c>
      <c r="S1024">
        <v>2.960175</v>
      </c>
      <c r="T1024">
        <v>-0.14619219999999999</v>
      </c>
      <c r="U1024">
        <v>-0.70809940000000005</v>
      </c>
      <c r="V1024">
        <v>7.9914579999999999E-2</v>
      </c>
      <c r="W1024">
        <v>3.8428209999999997E-2</v>
      </c>
      <c r="X1024">
        <v>0.99606070000000002</v>
      </c>
      <c r="Y1024">
        <v>0.2382803</v>
      </c>
      <c r="Z1024">
        <v>-6.0950379999999997E-3</v>
      </c>
      <c r="AA1024">
        <v>0.97117730000000002</v>
      </c>
      <c r="AB1024">
        <v>29</v>
      </c>
      <c r="AC1024">
        <v>22.285499999999999</v>
      </c>
      <c r="AD1024">
        <v>-1.1099214316249999</v>
      </c>
      <c r="AE1024">
        <v>-5.37709999999998</v>
      </c>
      <c r="AF1024">
        <v>5.4997895190820802</v>
      </c>
      <c r="AG1024">
        <v>-1.1099214316249999</v>
      </c>
      <c r="AH1024">
        <v>22.200311141663601</v>
      </c>
      <c r="AI1024">
        <v>92.7783138732037</v>
      </c>
      <c r="AJ1024">
        <v>76.0859736881348</v>
      </c>
      <c r="AK1024">
        <v>22.898327998464399</v>
      </c>
      <c r="AL1024">
        <v>87.797683472996496</v>
      </c>
      <c r="AM1024">
        <v>85.4129487439331</v>
      </c>
      <c r="AN1024">
        <v>0.99999999275243501</v>
      </c>
    </row>
    <row r="1025" spans="1:40" x14ac:dyDescent="0.25">
      <c r="A1025" t="str">
        <f>"20190312154817246"</f>
        <v>20190312154817246</v>
      </c>
      <c r="B1025" t="str">
        <f>"1552376897236629"</f>
        <v>1552376897236629</v>
      </c>
      <c r="C1025" t="s">
        <v>40</v>
      </c>
      <c r="D1025">
        <v>4.5545019999999896</v>
      </c>
      <c r="E1025">
        <v>0.55712569999999995</v>
      </c>
      <c r="F1025" t="s">
        <v>42</v>
      </c>
      <c r="G1025">
        <v>-210.8212</v>
      </c>
      <c r="H1025">
        <v>7.9986580000000002E-2</v>
      </c>
      <c r="I1025">
        <v>359.5369</v>
      </c>
      <c r="J1025">
        <v>-249.96270000000001</v>
      </c>
      <c r="K1025">
        <v>1.10992</v>
      </c>
      <c r="L1025">
        <v>368.53570000000002</v>
      </c>
      <c r="M1025">
        <v>0.99988169999999998</v>
      </c>
      <c r="N1025">
        <v>0</v>
      </c>
      <c r="O1025">
        <v>5.9730419999999996E-3</v>
      </c>
      <c r="P1025">
        <v>0.99695129999999998</v>
      </c>
      <c r="Q1025">
        <v>2.4798600000000001E-2</v>
      </c>
      <c r="R1025">
        <v>-7.3981379999999999E-2</v>
      </c>
      <c r="S1025">
        <v>2.9608150000000002</v>
      </c>
      <c r="T1025">
        <v>-7.753873E-2</v>
      </c>
      <c r="U1025">
        <v>-0.67739869999999902</v>
      </c>
      <c r="V1025">
        <v>7.9950240000000006E-2</v>
      </c>
      <c r="W1025">
        <v>3.8893249999999997E-2</v>
      </c>
      <c r="X1025">
        <v>0.99603980000000003</v>
      </c>
      <c r="Y1025">
        <v>0.2287681</v>
      </c>
      <c r="Z1025">
        <v>-3.1112739999999998E-3</v>
      </c>
      <c r="AA1025">
        <v>0.97347600000000001</v>
      </c>
      <c r="AB1025">
        <v>29</v>
      </c>
      <c r="AC1025">
        <v>39.141500000000001</v>
      </c>
      <c r="AD1025">
        <v>-1.0299334200000001</v>
      </c>
      <c r="AE1025">
        <v>-8.9988000000000099</v>
      </c>
      <c r="AF1025">
        <v>9.2263893032545798</v>
      </c>
      <c r="AG1025">
        <v>-1.0299334200000001</v>
      </c>
      <c r="AH1025">
        <v>39.061358518562699</v>
      </c>
      <c r="AI1025">
        <v>91.469941458085898</v>
      </c>
      <c r="AJ1025">
        <v>76.710175626512395</v>
      </c>
      <c r="AK1025">
        <v>40.149430279152597</v>
      </c>
      <c r="AL1025">
        <v>87.771018734681704</v>
      </c>
      <c r="AM1025">
        <v>85.410814739114102</v>
      </c>
      <c r="AN1025">
        <v>1.0000000044778301</v>
      </c>
    </row>
    <row r="1026" spans="1:40" x14ac:dyDescent="0.25">
      <c r="A1026" t="str">
        <f>"20190312154817257"</f>
        <v>20190312154817257</v>
      </c>
      <c r="B1026" t="str">
        <f>"1552376897247365"</f>
        <v>1552376897247365</v>
      </c>
      <c r="C1026" t="s">
        <v>40</v>
      </c>
      <c r="D1026">
        <v>4.6071609999999996</v>
      </c>
      <c r="E1026">
        <v>0.55592549999999996</v>
      </c>
      <c r="F1026" t="s">
        <v>45</v>
      </c>
      <c r="G1026">
        <v>-177.62629999999999</v>
      </c>
      <c r="H1026">
        <v>7.9987210000000003E-2</v>
      </c>
      <c r="I1026">
        <v>352.10719999999998</v>
      </c>
      <c r="J1026">
        <v>-249.80840000000001</v>
      </c>
      <c r="K1026">
        <v>1.10992</v>
      </c>
      <c r="L1026">
        <v>368.53660000000002</v>
      </c>
      <c r="M1026">
        <v>0.99988239999999995</v>
      </c>
      <c r="N1026">
        <v>0</v>
      </c>
      <c r="O1026">
        <v>5.8786460000000004E-3</v>
      </c>
      <c r="P1026">
        <v>0.99694760000000004</v>
      </c>
      <c r="Q1026">
        <v>2.493998E-2</v>
      </c>
      <c r="R1026">
        <v>-7.3985140000000005E-2</v>
      </c>
      <c r="S1026">
        <v>2.9603419999999998</v>
      </c>
      <c r="T1026">
        <v>-4.2149659999999999E-2</v>
      </c>
      <c r="U1026">
        <v>-0.67233279999999995</v>
      </c>
      <c r="V1026">
        <v>7.9860050000000002E-2</v>
      </c>
      <c r="W1026">
        <v>3.9032379999999998E-2</v>
      </c>
      <c r="X1026">
        <v>0.99604159999999997</v>
      </c>
      <c r="Y1026">
        <v>0.2271801</v>
      </c>
      <c r="Z1026">
        <v>-1.679561E-3</v>
      </c>
      <c r="AA1026">
        <v>0.97385129999999998</v>
      </c>
      <c r="AB1026">
        <v>29</v>
      </c>
      <c r="AC1026">
        <v>72.182100000000005</v>
      </c>
      <c r="AD1026">
        <v>-1.0299327899999999</v>
      </c>
      <c r="AE1026">
        <v>-16.429400000000001</v>
      </c>
      <c r="AF1026">
        <v>16.850230054204101</v>
      </c>
      <c r="AG1026">
        <v>-1.0299327899999999</v>
      </c>
      <c r="AH1026">
        <v>72.0703100076651</v>
      </c>
      <c r="AI1026">
        <v>90.797241875006307</v>
      </c>
      <c r="AJ1026">
        <v>76.840478448240404</v>
      </c>
      <c r="AK1026">
        <v>74.0210821255166</v>
      </c>
      <c r="AL1026">
        <v>87.7630411311372</v>
      </c>
      <c r="AM1026">
        <v>85.415977864664896</v>
      </c>
      <c r="AN1026">
        <v>1.0000000116025101</v>
      </c>
    </row>
    <row r="1027" spans="1:40" x14ac:dyDescent="0.25">
      <c r="A1027" t="str">
        <f>"20190312154817272"</f>
        <v>20190312154817272</v>
      </c>
      <c r="B1027" t="str">
        <f>"1552376897266884"</f>
        <v>1552376897266884</v>
      </c>
      <c r="C1027" t="s">
        <v>40</v>
      </c>
      <c r="D1027">
        <v>4.5794870000000003</v>
      </c>
      <c r="E1027">
        <v>0.55468030000000002</v>
      </c>
      <c r="F1027" t="s">
        <v>43</v>
      </c>
      <c r="G1027">
        <v>-71.048140000000004</v>
      </c>
      <c r="H1027">
        <v>-0.05</v>
      </c>
      <c r="I1027">
        <v>328.46370000000002</v>
      </c>
      <c r="J1027">
        <v>-249.61600000000001</v>
      </c>
      <c r="K1027">
        <v>1.1099209999999999</v>
      </c>
      <c r="L1027">
        <v>368.53750000000002</v>
      </c>
      <c r="M1027">
        <v>0.99988299999999997</v>
      </c>
      <c r="N1027">
        <v>0</v>
      </c>
      <c r="O1027">
        <v>5.7608349999999997E-3</v>
      </c>
      <c r="P1027">
        <v>0.99695599999999995</v>
      </c>
      <c r="Q1027">
        <v>2.5402339999999999E-2</v>
      </c>
      <c r="R1027">
        <v>-7.3712520000000004E-2</v>
      </c>
      <c r="S1027">
        <v>2.9604029999999999</v>
      </c>
      <c r="T1027">
        <v>-1.9209150000000001E-2</v>
      </c>
      <c r="U1027">
        <v>-0.66363530000000004</v>
      </c>
      <c r="V1027">
        <v>7.9470200000000005E-2</v>
      </c>
      <c r="W1027">
        <v>3.9493599999999997E-2</v>
      </c>
      <c r="X1027">
        <v>0.99605460000000001</v>
      </c>
      <c r="Y1027">
        <v>0.22435540000000001</v>
      </c>
      <c r="Z1027">
        <v>-7.5588879999999997E-4</v>
      </c>
      <c r="AA1027">
        <v>0.97450709999999996</v>
      </c>
      <c r="AB1027">
        <v>29</v>
      </c>
      <c r="AC1027">
        <v>178.56786</v>
      </c>
      <c r="AD1027">
        <v>-1.159921</v>
      </c>
      <c r="AE1027">
        <v>-40.073799999999999</v>
      </c>
      <c r="AF1027">
        <v>41.100287134073099</v>
      </c>
      <c r="AG1027">
        <v>-1.159921</v>
      </c>
      <c r="AH1027">
        <v>178.32685102809</v>
      </c>
      <c r="AI1027">
        <v>90.363152972481103</v>
      </c>
      <c r="AJ1027">
        <v>77.021266130508906</v>
      </c>
      <c r="AK1027">
        <v>183.00558684593199</v>
      </c>
      <c r="AL1027">
        <v>87.736594779423399</v>
      </c>
      <c r="AM1027">
        <v>85.438320133534006</v>
      </c>
      <c r="AN1027">
        <v>1.00000001165508</v>
      </c>
    </row>
    <row r="1028" spans="1:40" x14ac:dyDescent="0.25">
      <c r="A1028" t="str">
        <f>"20190312154817284"</f>
        <v>20190312154817284</v>
      </c>
      <c r="B1028" t="str">
        <f>"1552376897276644"</f>
        <v>1552376897276644</v>
      </c>
      <c r="C1028" t="s">
        <v>40</v>
      </c>
      <c r="D1028">
        <v>4.6133499999999996</v>
      </c>
      <c r="E1028">
        <v>0.55372049999999995</v>
      </c>
      <c r="F1028" t="s">
        <v>48</v>
      </c>
      <c r="G1028">
        <v>0</v>
      </c>
      <c r="H1028">
        <v>0</v>
      </c>
      <c r="I1028">
        <v>0</v>
      </c>
      <c r="J1028">
        <v>-249.4573</v>
      </c>
      <c r="K1028">
        <v>1.1099239999999999</v>
      </c>
      <c r="L1028">
        <v>368.53829999999999</v>
      </c>
      <c r="M1028">
        <v>0.99988370000000004</v>
      </c>
      <c r="N1028">
        <v>0</v>
      </c>
      <c r="O1028">
        <v>5.6629879999999999E-3</v>
      </c>
      <c r="P1028">
        <v>0.99694340000000004</v>
      </c>
      <c r="Q1028">
        <v>2.5558879999999999E-2</v>
      </c>
      <c r="R1028">
        <v>-7.3832709999999996E-2</v>
      </c>
      <c r="S1028">
        <v>2.9609380000000001</v>
      </c>
      <c r="T1028">
        <v>-3.395796E-3</v>
      </c>
      <c r="U1028">
        <v>-0.65341190000000005</v>
      </c>
      <c r="V1028">
        <v>7.9492599999999997E-2</v>
      </c>
      <c r="W1028">
        <v>3.9647979999999999E-2</v>
      </c>
      <c r="X1028">
        <v>0.99604669999999895</v>
      </c>
      <c r="Y1028">
        <v>0.22101960000000001</v>
      </c>
      <c r="Z1028">
        <v>-1.316523E-4</v>
      </c>
      <c r="AA1028">
        <v>0.97526939999999995</v>
      </c>
      <c r="AB1028">
        <v>29</v>
      </c>
      <c r="AC1028">
        <v>2.9609380000000001</v>
      </c>
      <c r="AD1028">
        <v>-3.395796E-3</v>
      </c>
      <c r="AE1028">
        <v>-0.65341190000000005</v>
      </c>
      <c r="AF1028">
        <v>0.67017001772510199</v>
      </c>
      <c r="AG1028">
        <v>-3.395796E-3</v>
      </c>
      <c r="AH1028">
        <v>2.9571861685444101</v>
      </c>
      <c r="AI1028">
        <v>90.064166736826195</v>
      </c>
      <c r="AJ1028">
        <v>77.231070461900003</v>
      </c>
      <c r="AK1028">
        <v>3.0321756907406399</v>
      </c>
      <c r="AL1028">
        <v>87.727742570375696</v>
      </c>
      <c r="AM1028">
        <v>85.437003739351297</v>
      </c>
      <c r="AN1028">
        <v>1.0000000321768601</v>
      </c>
    </row>
    <row r="1029" spans="1:40" x14ac:dyDescent="0.25">
      <c r="A1029" t="str">
        <f>"20190312154817306"</f>
        <v>20190312154817306</v>
      </c>
      <c r="B1029" t="str">
        <f>"1552376897297144"</f>
        <v>1552376897297144</v>
      </c>
      <c r="C1029" t="s">
        <v>40</v>
      </c>
      <c r="D1029">
        <v>4.5719519999999996</v>
      </c>
      <c r="E1029">
        <v>0.55261179999999999</v>
      </c>
      <c r="F1029" t="s">
        <v>46</v>
      </c>
      <c r="G1029">
        <v>188.90690000000001</v>
      </c>
      <c r="H1029">
        <v>-0.1</v>
      </c>
      <c r="I1029">
        <v>272.9375</v>
      </c>
      <c r="J1029">
        <v>-249.18700000000001</v>
      </c>
      <c r="K1029">
        <v>1.109926</v>
      </c>
      <c r="L1029">
        <v>368.53969999999998</v>
      </c>
      <c r="M1029">
        <v>0.99988449999999995</v>
      </c>
      <c r="N1029">
        <v>0</v>
      </c>
      <c r="O1029">
        <v>5.4976209999999899E-3</v>
      </c>
      <c r="P1029">
        <v>0.99695840000000002</v>
      </c>
      <c r="Q1029">
        <v>2.565634E-2</v>
      </c>
      <c r="R1029">
        <v>-7.3590600000000006E-2</v>
      </c>
      <c r="S1029">
        <v>2.9615629999999999</v>
      </c>
      <c r="T1029">
        <v>-8.1741809999999904E-3</v>
      </c>
      <c r="U1029">
        <v>-0.64587399999999995</v>
      </c>
      <c r="V1029">
        <v>7.9086110000000001E-2</v>
      </c>
      <c r="W1029">
        <v>3.9743269999999997E-2</v>
      </c>
      <c r="X1029">
        <v>0.99607520000000005</v>
      </c>
      <c r="Y1029">
        <v>0.2184451</v>
      </c>
      <c r="Z1029">
        <v>-3.1296319999999999E-4</v>
      </c>
      <c r="AA1029">
        <v>0.97584919999999997</v>
      </c>
      <c r="AB1029">
        <v>29</v>
      </c>
      <c r="AC1029">
        <v>438.09390000000002</v>
      </c>
      <c r="AD1029">
        <v>-1.2099260000000001</v>
      </c>
      <c r="AE1029">
        <v>-95.602199999999897</v>
      </c>
      <c r="AF1029">
        <v>98.0087574115976</v>
      </c>
      <c r="AG1029">
        <v>-1.2099260000000001</v>
      </c>
      <c r="AH1029">
        <v>437.55845497808502</v>
      </c>
      <c r="AI1029">
        <v>90.154601670101698</v>
      </c>
      <c r="AJ1029">
        <v>77.374703831939698</v>
      </c>
      <c r="AK1029">
        <v>448.40225464765399</v>
      </c>
      <c r="AL1029">
        <v>87.722278412348999</v>
      </c>
      <c r="AM1029">
        <v>85.460368450969597</v>
      </c>
      <c r="AN1029">
        <v>0.99999997218013204</v>
      </c>
    </row>
    <row r="1030" spans="1:40" x14ac:dyDescent="0.25">
      <c r="A1030" t="str">
        <f>"20190312154817317"</f>
        <v>20190312154817317</v>
      </c>
      <c r="B1030" t="str">
        <f>"1552376897306901"</f>
        <v>1552376897306901</v>
      </c>
      <c r="C1030" t="s">
        <v>40</v>
      </c>
      <c r="D1030">
        <v>4.5536909999999997</v>
      </c>
      <c r="E1030">
        <v>0.55205019999999905</v>
      </c>
      <c r="F1030" t="s">
        <v>46</v>
      </c>
      <c r="G1030">
        <v>11.498989999999999</v>
      </c>
      <c r="H1030">
        <v>-0.1</v>
      </c>
      <c r="I1030">
        <v>312.5444</v>
      </c>
      <c r="J1030">
        <v>-249.0307</v>
      </c>
      <c r="K1030">
        <v>1.1099289999999999</v>
      </c>
      <c r="L1030">
        <v>368.54039999999998</v>
      </c>
      <c r="M1030">
        <v>0.99988509999999997</v>
      </c>
      <c r="N1030">
        <v>0</v>
      </c>
      <c r="O1030">
        <v>5.4017930000000002E-3</v>
      </c>
      <c r="P1030">
        <v>0.99695210000000001</v>
      </c>
      <c r="Q1030">
        <v>2.559875E-2</v>
      </c>
      <c r="R1030">
        <v>-7.3700059999999998E-2</v>
      </c>
      <c r="S1030">
        <v>2.9625400000000002</v>
      </c>
      <c r="T1030">
        <v>-1.375008E-2</v>
      </c>
      <c r="U1030">
        <v>-0.63635249999999999</v>
      </c>
      <c r="V1030">
        <v>7.9099660000000002E-2</v>
      </c>
      <c r="W1030">
        <v>3.9684190000000001E-2</v>
      </c>
      <c r="X1030">
        <v>0.99607650000000003</v>
      </c>
      <c r="Y1030">
        <v>0.21528600000000001</v>
      </c>
      <c r="Z1030">
        <v>-5.1876339999999905E-4</v>
      </c>
      <c r="AA1030">
        <v>0.9765509</v>
      </c>
      <c r="AB1030">
        <v>29</v>
      </c>
      <c r="AC1030">
        <v>260.52969000000002</v>
      </c>
      <c r="AD1030">
        <v>-1.209929</v>
      </c>
      <c r="AE1030">
        <v>-55.995999999999903</v>
      </c>
      <c r="AF1030">
        <v>57.401468147146502</v>
      </c>
      <c r="AG1030">
        <v>-1.209929</v>
      </c>
      <c r="AH1030">
        <v>260.21801451132097</v>
      </c>
      <c r="AI1030">
        <v>90.260150606669399</v>
      </c>
      <c r="AJ1030">
        <v>77.560346533370705</v>
      </c>
      <c r="AK1030">
        <v>266.47665479333602</v>
      </c>
      <c r="AL1030">
        <v>87.725666165903206</v>
      </c>
      <c r="AM1030">
        <v>85.459599818597098</v>
      </c>
      <c r="AN1030">
        <v>0.99999999250016003</v>
      </c>
    </row>
    <row r="1031" spans="1:40" x14ac:dyDescent="0.25">
      <c r="A1031" t="str">
        <f>"20190312154817329"</f>
        <v>20190312154817329</v>
      </c>
      <c r="B1031" t="str">
        <f>"1552376897316660"</f>
        <v>1552376897316660</v>
      </c>
      <c r="C1031" t="s">
        <v>40</v>
      </c>
      <c r="D1031">
        <v>4.5561769999999999</v>
      </c>
      <c r="E1031">
        <v>0.55165819999999999</v>
      </c>
      <c r="F1031" t="s">
        <v>43</v>
      </c>
      <c r="G1031">
        <v>-81.333069999999907</v>
      </c>
      <c r="H1031">
        <v>-0.05</v>
      </c>
      <c r="I1031">
        <v>332.77120000000002</v>
      </c>
      <c r="J1031">
        <v>-248.88890000000001</v>
      </c>
      <c r="K1031">
        <v>1.1099300000000001</v>
      </c>
      <c r="L1031">
        <v>368.54109999999997</v>
      </c>
      <c r="M1031">
        <v>0.99988560000000004</v>
      </c>
      <c r="N1031">
        <v>0</v>
      </c>
      <c r="O1031">
        <v>5.3149060000000003E-3</v>
      </c>
      <c r="P1031">
        <v>0.99695210000000001</v>
      </c>
      <c r="Q1031">
        <v>2.5676270000000001E-2</v>
      </c>
      <c r="R1031">
        <v>-7.3670680000000002E-2</v>
      </c>
      <c r="S1031">
        <v>2.9629669999999999</v>
      </c>
      <c r="T1031">
        <v>-2.049422E-2</v>
      </c>
      <c r="U1031">
        <v>-0.63198849999999995</v>
      </c>
      <c r="V1031">
        <v>7.8983960000000006E-2</v>
      </c>
      <c r="W1031">
        <v>3.9759950000000002E-2</v>
      </c>
      <c r="X1031">
        <v>0.99608269999999999</v>
      </c>
      <c r="Y1031">
        <v>0.21379400000000001</v>
      </c>
      <c r="Z1031">
        <v>-7.675135E-4</v>
      </c>
      <c r="AA1031">
        <v>0.97687849999999998</v>
      </c>
      <c r="AB1031">
        <v>29</v>
      </c>
      <c r="AC1031">
        <v>167.55582999999999</v>
      </c>
      <c r="AD1031">
        <v>-1.1599299999999999</v>
      </c>
      <c r="AE1031">
        <v>-35.7698999999999</v>
      </c>
      <c r="AF1031">
        <v>36.658347264509601</v>
      </c>
      <c r="AG1031">
        <v>-1.1599299999999999</v>
      </c>
      <c r="AH1031">
        <v>167.355659595406</v>
      </c>
      <c r="AI1031">
        <v>90.3879098154312</v>
      </c>
      <c r="AJ1031">
        <v>77.644807235428999</v>
      </c>
      <c r="AK1031">
        <v>171.32745448521601</v>
      </c>
      <c r="AL1031">
        <v>87.721322100029795</v>
      </c>
      <c r="AM1031">
        <v>85.466241509206199</v>
      </c>
      <c r="AN1031">
        <v>1.00000003240028</v>
      </c>
    </row>
    <row r="1032" spans="1:40" x14ac:dyDescent="0.25">
      <c r="A1032" t="str">
        <f>"20190312154817341"</f>
        <v>20190312154817341</v>
      </c>
      <c r="B1032" t="str">
        <f>"1552376897337157"</f>
        <v>1552376897337157</v>
      </c>
      <c r="C1032" t="s">
        <v>40</v>
      </c>
      <c r="D1032">
        <v>4.6118480000000002</v>
      </c>
      <c r="E1032">
        <v>0.5509522</v>
      </c>
      <c r="F1032" t="s">
        <v>43</v>
      </c>
      <c r="G1032">
        <v>-113.2801</v>
      </c>
      <c r="H1032">
        <v>-0.05</v>
      </c>
      <c r="I1032">
        <v>339.78089999999997</v>
      </c>
      <c r="J1032">
        <v>-248.73169999999999</v>
      </c>
      <c r="K1032">
        <v>1.1099300000000001</v>
      </c>
      <c r="L1032">
        <v>368.54180000000002</v>
      </c>
      <c r="M1032">
        <v>0.99988600000000005</v>
      </c>
      <c r="N1032">
        <v>0</v>
      </c>
      <c r="O1032">
        <v>5.2182490000000003E-3</v>
      </c>
      <c r="P1032">
        <v>0.996946</v>
      </c>
      <c r="Q1032">
        <v>2.5800549999999998E-2</v>
      </c>
      <c r="R1032">
        <v>-7.3709090000000005E-2</v>
      </c>
      <c r="S1032">
        <v>2.9633790000000002</v>
      </c>
      <c r="T1032">
        <v>-2.5347229999999998E-2</v>
      </c>
      <c r="U1032">
        <v>-0.62847900000000001</v>
      </c>
      <c r="V1032">
        <v>7.8926060000000006E-2</v>
      </c>
      <c r="W1032">
        <v>3.9882399999999998E-2</v>
      </c>
      <c r="X1032">
        <v>0.99608240000000003</v>
      </c>
      <c r="Y1032">
        <v>0.21256220000000001</v>
      </c>
      <c r="Z1032">
        <v>-9.4321270000000004E-4</v>
      </c>
      <c r="AA1032">
        <v>0.97714710000000005</v>
      </c>
      <c r="AB1032">
        <v>29</v>
      </c>
      <c r="AC1032">
        <v>135.45159999999899</v>
      </c>
      <c r="AD1032">
        <v>-1.1599299999999999</v>
      </c>
      <c r="AE1032">
        <v>-28.760899999999999</v>
      </c>
      <c r="AF1032">
        <v>29.465331929500099</v>
      </c>
      <c r="AG1032">
        <v>-1.1599299999999999</v>
      </c>
      <c r="AH1032">
        <v>135.29016569448299</v>
      </c>
      <c r="AI1032">
        <v>90.479970650246699</v>
      </c>
      <c r="AJ1032">
        <v>77.713218545411195</v>
      </c>
      <c r="AK1032">
        <v>138.466530818683</v>
      </c>
      <c r="AL1032">
        <v>87.714300676030604</v>
      </c>
      <c r="AM1032">
        <v>85.469549827721707</v>
      </c>
      <c r="AN1032">
        <v>1.0000000381833201</v>
      </c>
    </row>
    <row r="1033" spans="1:40" x14ac:dyDescent="0.25">
      <c r="A1033" t="str">
        <f>"20190312154817352"</f>
        <v>20190312154817352</v>
      </c>
      <c r="B1033" t="str">
        <f>"1552376897346917"</f>
        <v>1552376897346917</v>
      </c>
      <c r="C1033" t="s">
        <v>40</v>
      </c>
      <c r="D1033">
        <v>4.6407579999999999</v>
      </c>
      <c r="E1033">
        <v>0.55062149999999999</v>
      </c>
      <c r="F1033" t="s">
        <v>43</v>
      </c>
      <c r="G1033">
        <v>-149.85669999999999</v>
      </c>
      <c r="H1033">
        <v>-0.05</v>
      </c>
      <c r="I1033">
        <v>347.76749999999998</v>
      </c>
      <c r="J1033">
        <v>-248.58949999999999</v>
      </c>
      <c r="K1033">
        <v>1.109931</v>
      </c>
      <c r="L1033">
        <v>368.54250000000002</v>
      </c>
      <c r="M1033">
        <v>0.99988670000000002</v>
      </c>
      <c r="N1033">
        <v>0</v>
      </c>
      <c r="O1033">
        <v>5.1311819999999998E-3</v>
      </c>
      <c r="P1033">
        <v>0.99693359999999998</v>
      </c>
      <c r="Q1033">
        <v>2.5816740000000001E-2</v>
      </c>
      <c r="R1033">
        <v>-7.3871779999999998E-2</v>
      </c>
      <c r="S1033">
        <v>2.9640659999999999</v>
      </c>
      <c r="T1033">
        <v>-3.4772280000000003E-2</v>
      </c>
      <c r="U1033">
        <v>-0.6227722</v>
      </c>
      <c r="V1033">
        <v>7.9001810000000006E-2</v>
      </c>
      <c r="W1033">
        <v>3.9897639999999998E-2</v>
      </c>
      <c r="X1033">
        <v>0.99607570000000001</v>
      </c>
      <c r="Y1033">
        <v>0.210623</v>
      </c>
      <c r="Z1033">
        <v>-1.281613E-3</v>
      </c>
      <c r="AA1033">
        <v>0.9775665</v>
      </c>
      <c r="AB1033">
        <v>29</v>
      </c>
      <c r="AC1033">
        <v>98.732799999999997</v>
      </c>
      <c r="AD1033">
        <v>-1.159931</v>
      </c>
      <c r="AE1033">
        <v>-20.774999999999999</v>
      </c>
      <c r="AF1033">
        <v>21.2785808027763</v>
      </c>
      <c r="AG1033">
        <v>-1.159931</v>
      </c>
      <c r="AH1033">
        <v>98.611855643166606</v>
      </c>
      <c r="AI1033">
        <v>90.658755326985002</v>
      </c>
      <c r="AJ1033">
        <v>77.823346910854696</v>
      </c>
      <c r="AK1033">
        <v>100.88816340034001</v>
      </c>
      <c r="AL1033">
        <v>87.713426600007594</v>
      </c>
      <c r="AM1033">
        <v>85.465189438794496</v>
      </c>
      <c r="AN1033">
        <v>0.99999995389566598</v>
      </c>
    </row>
    <row r="1034" spans="1:40" x14ac:dyDescent="0.25">
      <c r="A1034" t="str">
        <f>"20190312154817363"</f>
        <v>20190312154817363</v>
      </c>
      <c r="B1034" t="str">
        <f>"1552376897356676"</f>
        <v>1552376897356676</v>
      </c>
      <c r="C1034" t="s">
        <v>40</v>
      </c>
      <c r="D1034">
        <v>4.6297499999999996</v>
      </c>
      <c r="E1034">
        <v>0.55033809999999905</v>
      </c>
      <c r="F1034" t="s">
        <v>43</v>
      </c>
      <c r="G1034">
        <v>-153.4136</v>
      </c>
      <c r="H1034">
        <v>-0.05</v>
      </c>
      <c r="I1034">
        <v>348.62150000000003</v>
      </c>
      <c r="J1034">
        <v>-248.43620000000001</v>
      </c>
      <c r="K1034">
        <v>1.1099319999999999</v>
      </c>
      <c r="L1034">
        <v>368.54320000000001</v>
      </c>
      <c r="M1034">
        <v>0.99988719999999998</v>
      </c>
      <c r="N1034">
        <v>0</v>
      </c>
      <c r="O1034">
        <v>5.0373199999999996E-3</v>
      </c>
      <c r="P1034">
        <v>0.99694439999999995</v>
      </c>
      <c r="Q1034">
        <v>2.5910659999999999E-2</v>
      </c>
      <c r="R1034">
        <v>-7.3694209999999996E-2</v>
      </c>
      <c r="S1034">
        <v>2.964172</v>
      </c>
      <c r="T1034">
        <v>-3.6125060000000001E-2</v>
      </c>
      <c r="U1034">
        <v>-0.62042240000000004</v>
      </c>
      <c r="V1034">
        <v>7.8730930000000005E-2</v>
      </c>
      <c r="W1034">
        <v>3.9990079999999997E-2</v>
      </c>
      <c r="X1034">
        <v>0.99609349999999997</v>
      </c>
      <c r="Y1034">
        <v>0.20978069999999999</v>
      </c>
      <c r="Z1034">
        <v>-1.3253200000000001E-3</v>
      </c>
      <c r="AA1034">
        <v>0.97774760000000005</v>
      </c>
      <c r="AB1034">
        <v>29</v>
      </c>
      <c r="AC1034">
        <v>95.022599999999997</v>
      </c>
      <c r="AD1034">
        <v>-1.159932</v>
      </c>
      <c r="AE1034">
        <v>-19.921699999999898</v>
      </c>
      <c r="AF1034">
        <v>20.397242966438601</v>
      </c>
      <c r="AG1034">
        <v>-1.159932</v>
      </c>
      <c r="AH1034">
        <v>94.907485545363897</v>
      </c>
      <c r="AI1034">
        <v>90.684587360431095</v>
      </c>
      <c r="AJ1034">
        <v>77.870659056550494</v>
      </c>
      <c r="AK1034">
        <v>97.081531587733096</v>
      </c>
      <c r="AL1034">
        <v>87.708126083783995</v>
      </c>
      <c r="AM1034">
        <v>85.480754219010507</v>
      </c>
      <c r="AN1034">
        <v>1.00000001328966</v>
      </c>
    </row>
    <row r="1035" spans="1:40" x14ac:dyDescent="0.25">
      <c r="A1035" t="str">
        <f>"20190312154817376"</f>
        <v>20190312154817376</v>
      </c>
      <c r="B1035" t="str">
        <f>"1552376897367412"</f>
        <v>1552376897367412</v>
      </c>
      <c r="C1035" t="s">
        <v>40</v>
      </c>
      <c r="D1035">
        <v>4.6209759999999998</v>
      </c>
      <c r="E1035">
        <v>0.55017740000000004</v>
      </c>
      <c r="F1035" t="s">
        <v>43</v>
      </c>
      <c r="G1035">
        <v>-155.54660000000001</v>
      </c>
      <c r="H1035">
        <v>-0.05</v>
      </c>
      <c r="I1035">
        <v>349.19450000000001</v>
      </c>
      <c r="J1035">
        <v>-248.28960000000001</v>
      </c>
      <c r="K1035">
        <v>1.109931</v>
      </c>
      <c r="L1035">
        <v>368.54379999999998</v>
      </c>
      <c r="M1035">
        <v>0.99988759999999999</v>
      </c>
      <c r="N1035">
        <v>0</v>
      </c>
      <c r="O1035">
        <v>4.9472170000000003E-3</v>
      </c>
      <c r="P1035">
        <v>0.99692250000000004</v>
      </c>
      <c r="Q1035">
        <v>2.6152180000000001E-2</v>
      </c>
      <c r="R1035">
        <v>-7.3904209999999998E-2</v>
      </c>
      <c r="S1035">
        <v>2.9644780000000002</v>
      </c>
      <c r="T1035">
        <v>-3.7018059999999998E-2</v>
      </c>
      <c r="U1035">
        <v>-0.61749270000000001</v>
      </c>
      <c r="V1035">
        <v>7.8851060000000001E-2</v>
      </c>
      <c r="W1035">
        <v>4.0229729999999998E-2</v>
      </c>
      <c r="X1035">
        <v>0.99607429999999997</v>
      </c>
      <c r="Y1035">
        <v>0.20874570000000001</v>
      </c>
      <c r="Z1035">
        <v>-1.350572E-3</v>
      </c>
      <c r="AA1035">
        <v>0.97796899999999998</v>
      </c>
      <c r="AB1035">
        <v>29</v>
      </c>
      <c r="AC1035">
        <v>92.742999999999995</v>
      </c>
      <c r="AD1035">
        <v>-1.159931</v>
      </c>
      <c r="AE1035">
        <v>-19.3492999999999</v>
      </c>
      <c r="AF1035">
        <v>19.8049601329494</v>
      </c>
      <c r="AG1035">
        <v>-1.159931</v>
      </c>
      <c r="AH1035">
        <v>92.632244594908997</v>
      </c>
      <c r="AI1035">
        <v>90.701560282884401</v>
      </c>
      <c r="AJ1035">
        <v>77.931743011537804</v>
      </c>
      <c r="AK1035">
        <v>94.732859264795394</v>
      </c>
      <c r="AL1035">
        <v>87.694383982697303</v>
      </c>
      <c r="AM1035">
        <v>85.473800367341298</v>
      </c>
      <c r="AN1035">
        <v>0.99999996597974194</v>
      </c>
    </row>
    <row r="1036" spans="1:40" x14ac:dyDescent="0.25">
      <c r="A1036" t="str">
        <f>"20190312154817389"</f>
        <v>20190312154817389</v>
      </c>
      <c r="B1036" t="str">
        <f>"1552376897377172"</f>
        <v>1552376897377172</v>
      </c>
      <c r="C1036" t="s">
        <v>40</v>
      </c>
      <c r="D1036">
        <v>4.6392249999999997</v>
      </c>
      <c r="E1036">
        <v>0.54996859999999903</v>
      </c>
      <c r="F1036" t="s">
        <v>43</v>
      </c>
      <c r="G1036">
        <v>-156.53319999999999</v>
      </c>
      <c r="H1036">
        <v>-0.05</v>
      </c>
      <c r="I1036">
        <v>349.4502</v>
      </c>
      <c r="J1036">
        <v>-248.11259999999999</v>
      </c>
      <c r="K1036">
        <v>1.109928</v>
      </c>
      <c r="L1036">
        <v>368.5446</v>
      </c>
      <c r="M1036">
        <v>0.99988809999999995</v>
      </c>
      <c r="N1036">
        <v>0</v>
      </c>
      <c r="O1036">
        <v>4.838462E-3</v>
      </c>
      <c r="P1036">
        <v>0.99690230000000002</v>
      </c>
      <c r="Q1036">
        <v>2.618993E-2</v>
      </c>
      <c r="R1036">
        <v>-7.4163480000000004E-2</v>
      </c>
      <c r="S1036">
        <v>2.964493</v>
      </c>
      <c r="T1036">
        <v>-3.7475349999999998E-2</v>
      </c>
      <c r="U1036">
        <v>-0.61688229999999999</v>
      </c>
      <c r="V1036">
        <v>7.9001719999999998E-2</v>
      </c>
      <c r="W1036">
        <v>4.0264990000000001E-2</v>
      </c>
      <c r="X1036">
        <v>0.99606099999999997</v>
      </c>
      <c r="Y1036">
        <v>0.20844499999999999</v>
      </c>
      <c r="Z1036">
        <v>-1.3640340000000001E-3</v>
      </c>
      <c r="AA1036">
        <v>0.97803309999999999</v>
      </c>
      <c r="AB1036">
        <v>29</v>
      </c>
      <c r="AC1036">
        <v>91.579400000000007</v>
      </c>
      <c r="AD1036">
        <v>-1.1599280000000001</v>
      </c>
      <c r="AE1036">
        <v>-19.0944</v>
      </c>
      <c r="AF1036">
        <v>19.534321098233999</v>
      </c>
      <c r="AG1036">
        <v>-1.1599280000000001</v>
      </c>
      <c r="AH1036">
        <v>91.471868185972994</v>
      </c>
      <c r="AI1036">
        <v>90.7104930438759</v>
      </c>
      <c r="AJ1036">
        <v>77.945249969031494</v>
      </c>
      <c r="AK1036">
        <v>93.5416367355527</v>
      </c>
      <c r="AL1036">
        <v>87.692362239442801</v>
      </c>
      <c r="AM1036">
        <v>85.465127937259197</v>
      </c>
      <c r="AN1036">
        <v>1.00000002845182</v>
      </c>
    </row>
    <row r="1037" spans="1:40" x14ac:dyDescent="0.25">
      <c r="A1037" t="str">
        <f>"20190312154817403"</f>
        <v>20190312154817403</v>
      </c>
      <c r="B1037" t="str">
        <f>"1552376897396693"</f>
        <v>1552376897396693</v>
      </c>
      <c r="C1037" t="s">
        <v>40</v>
      </c>
      <c r="D1037">
        <v>4.6268149999999997</v>
      </c>
      <c r="E1037">
        <v>0.54970259999999904</v>
      </c>
      <c r="F1037" t="s">
        <v>43</v>
      </c>
      <c r="G1037">
        <v>-158.9522</v>
      </c>
      <c r="H1037">
        <v>-0.05</v>
      </c>
      <c r="I1037">
        <v>350.01889999999997</v>
      </c>
      <c r="J1037">
        <v>-247.93270000000001</v>
      </c>
      <c r="K1037">
        <v>1.109928</v>
      </c>
      <c r="L1037">
        <v>368.5453</v>
      </c>
      <c r="M1037">
        <v>0.99988880000000002</v>
      </c>
      <c r="N1037">
        <v>0</v>
      </c>
      <c r="O1037">
        <v>4.7277990000000004E-3</v>
      </c>
      <c r="P1037">
        <v>0.9969015</v>
      </c>
      <c r="Q1037">
        <v>2.6297640000000001E-2</v>
      </c>
      <c r="R1037">
        <v>-7.4137899999999896E-2</v>
      </c>
      <c r="S1037">
        <v>2.9645229999999998</v>
      </c>
      <c r="T1037">
        <v>-3.8566830000000003E-2</v>
      </c>
      <c r="U1037">
        <v>-0.61596680000000004</v>
      </c>
      <c r="V1037">
        <v>7.88658E-2</v>
      </c>
      <c r="W1037">
        <v>4.0371240000000003E-2</v>
      </c>
      <c r="X1037">
        <v>0.99606749999999999</v>
      </c>
      <c r="Y1037">
        <v>0.20804429999999999</v>
      </c>
      <c r="Z1037">
        <v>-1.3997839999999901E-3</v>
      </c>
      <c r="AA1037">
        <v>0.97811840000000005</v>
      </c>
      <c r="AB1037">
        <v>29</v>
      </c>
      <c r="AC1037">
        <v>88.980500000000006</v>
      </c>
      <c r="AD1037">
        <v>-1.1599280000000001</v>
      </c>
      <c r="AE1037">
        <v>-18.526399999999999</v>
      </c>
      <c r="AF1037">
        <v>18.943831516652001</v>
      </c>
      <c r="AG1037">
        <v>-1.1599280000000001</v>
      </c>
      <c r="AH1037">
        <v>88.877431983599195</v>
      </c>
      <c r="AI1037">
        <v>90.731292110902402</v>
      </c>
      <c r="AJ1037">
        <v>77.967714619815894</v>
      </c>
      <c r="AK1037">
        <v>90.881307767305898</v>
      </c>
      <c r="AL1037">
        <v>87.686269677473604</v>
      </c>
      <c r="AM1037">
        <v>85.472927003257496</v>
      </c>
      <c r="AN1037">
        <v>1.0000000579925099</v>
      </c>
    </row>
    <row r="1038" spans="1:40" x14ac:dyDescent="0.25">
      <c r="A1038" t="str">
        <f>"20190312154817419"</f>
        <v>20190312154817419</v>
      </c>
      <c r="B1038" t="str">
        <f>"1552376897406452"</f>
        <v>1552376897406452</v>
      </c>
      <c r="C1038" t="s">
        <v>40</v>
      </c>
      <c r="D1038">
        <v>4.6559489999999997</v>
      </c>
      <c r="E1038">
        <v>0.54958409999999902</v>
      </c>
      <c r="F1038" t="s">
        <v>43</v>
      </c>
      <c r="G1038">
        <v>-158.40369999999999</v>
      </c>
      <c r="H1038">
        <v>-0.05</v>
      </c>
      <c r="I1038">
        <v>350.01510000000002</v>
      </c>
      <c r="J1038">
        <v>-247.7466</v>
      </c>
      <c r="K1038">
        <v>1.1099270000000001</v>
      </c>
      <c r="L1038">
        <v>368.54610000000002</v>
      </c>
      <c r="M1038">
        <v>0.99988929999999998</v>
      </c>
      <c r="N1038">
        <v>0</v>
      </c>
      <c r="O1038">
        <v>4.6139739999999999E-3</v>
      </c>
      <c r="P1038">
        <v>0.996861</v>
      </c>
      <c r="Q1038">
        <v>2.6295610000000001E-2</v>
      </c>
      <c r="R1038">
        <v>-7.4678980000000006E-2</v>
      </c>
      <c r="S1038">
        <v>2.9647060000000001</v>
      </c>
      <c r="T1038">
        <v>-3.8410430000000002E-2</v>
      </c>
      <c r="U1038">
        <v>-0.61361690000000002</v>
      </c>
      <c r="V1038">
        <v>7.9293240000000001E-2</v>
      </c>
      <c r="W1038">
        <v>4.0366470000000002E-2</v>
      </c>
      <c r="X1038">
        <v>0.99603370000000002</v>
      </c>
      <c r="Y1038">
        <v>0.20717769999999999</v>
      </c>
      <c r="Z1038">
        <v>-1.3871210000000001E-3</v>
      </c>
      <c r="AA1038">
        <v>0.97830240000000002</v>
      </c>
      <c r="AB1038">
        <v>29</v>
      </c>
      <c r="AC1038">
        <v>89.3429</v>
      </c>
      <c r="AD1038">
        <v>-1.1599269999999999</v>
      </c>
      <c r="AE1038">
        <v>-18.530999999999999</v>
      </c>
      <c r="AF1038">
        <v>18.940009021030502</v>
      </c>
      <c r="AG1038">
        <v>-1.1599269999999999</v>
      </c>
      <c r="AH1038">
        <v>89.242016956909296</v>
      </c>
      <c r="AI1038">
        <v>90.728439613424499</v>
      </c>
      <c r="AJ1038">
        <v>78.017795004967596</v>
      </c>
      <c r="AK1038">
        <v>91.237092034431598</v>
      </c>
      <c r="AL1038">
        <v>87.6865430686114</v>
      </c>
      <c r="AM1038">
        <v>85.448340005510403</v>
      </c>
      <c r="AN1038">
        <v>1.00000000067282</v>
      </c>
    </row>
    <row r="1039" spans="1:40" x14ac:dyDescent="0.25">
      <c r="A1039" t="str">
        <f>"20190312154817440"</f>
        <v>20190312154817440</v>
      </c>
      <c r="B1039" t="str">
        <f>"1552376897426948"</f>
        <v>1552376897426948</v>
      </c>
      <c r="C1039" t="s">
        <v>40</v>
      </c>
      <c r="D1039">
        <v>4.6191420000000001</v>
      </c>
      <c r="E1039">
        <v>0.54936700000000005</v>
      </c>
      <c r="F1039" t="s">
        <v>43</v>
      </c>
      <c r="G1039">
        <v>-160.5318</v>
      </c>
      <c r="H1039">
        <v>-0.05</v>
      </c>
      <c r="I1039">
        <v>350.4701</v>
      </c>
      <c r="J1039">
        <v>-247.46260000000001</v>
      </c>
      <c r="K1039">
        <v>1.1099289999999999</v>
      </c>
      <c r="L1039">
        <v>368.54719999999998</v>
      </c>
      <c r="M1039">
        <v>0.9998901</v>
      </c>
      <c r="N1039">
        <v>0</v>
      </c>
      <c r="O1039">
        <v>4.439251E-3</v>
      </c>
      <c r="P1039">
        <v>0.99681770000000003</v>
      </c>
      <c r="Q1039">
        <v>2.6374249999999998E-2</v>
      </c>
      <c r="R1039">
        <v>-7.5228069999999994E-2</v>
      </c>
      <c r="S1039">
        <v>2.9644620000000002</v>
      </c>
      <c r="T1039">
        <v>-3.9426330000000002E-2</v>
      </c>
      <c r="U1039">
        <v>-0.61441040000000002</v>
      </c>
      <c r="V1039">
        <v>7.9667870000000002E-2</v>
      </c>
      <c r="W1039">
        <v>4.0441280000000003E-2</v>
      </c>
      <c r="X1039">
        <v>0.99600080000000002</v>
      </c>
      <c r="Y1039">
        <v>0.20727290000000001</v>
      </c>
      <c r="Z1039">
        <v>-1.4222079999999999E-3</v>
      </c>
      <c r="AA1039">
        <v>0.97828210000000004</v>
      </c>
      <c r="AB1039">
        <v>29</v>
      </c>
      <c r="AC1039">
        <v>86.930800000000005</v>
      </c>
      <c r="AD1039">
        <v>-1.159929</v>
      </c>
      <c r="AE1039">
        <v>-18.077099999999898</v>
      </c>
      <c r="AF1039">
        <v>18.459717769876299</v>
      </c>
      <c r="AG1039">
        <v>-1.159929</v>
      </c>
      <c r="AH1039">
        <v>86.834867253962202</v>
      </c>
      <c r="AI1039">
        <v>90.748578135493005</v>
      </c>
      <c r="AJ1039">
        <v>77.998486806696903</v>
      </c>
      <c r="AK1039">
        <v>88.782885661831102</v>
      </c>
      <c r="AL1039">
        <v>87.682253336713202</v>
      </c>
      <c r="AM1039">
        <v>85.426775749973004</v>
      </c>
      <c r="AN1039">
        <v>1.0000000301195</v>
      </c>
    </row>
    <row r="1040" spans="1:40" x14ac:dyDescent="0.25">
      <c r="A1040" t="str">
        <f>"20190312154817453"</f>
        <v>20190312154817453</v>
      </c>
      <c r="B1040" t="str">
        <f>"1552376897446469"</f>
        <v>1552376897446469</v>
      </c>
      <c r="C1040" t="s">
        <v>40</v>
      </c>
      <c r="D1040">
        <v>4.6960730000000002</v>
      </c>
      <c r="E1040">
        <v>0.54921140000000002</v>
      </c>
      <c r="F1040" t="s">
        <v>43</v>
      </c>
      <c r="G1040">
        <v>-160.07990000000001</v>
      </c>
      <c r="H1040">
        <v>-0.05</v>
      </c>
      <c r="I1040">
        <v>350.43959999999998</v>
      </c>
      <c r="J1040">
        <v>-247.30080000000001</v>
      </c>
      <c r="K1040">
        <v>1.1099319999999999</v>
      </c>
      <c r="L1040">
        <v>368.5478</v>
      </c>
      <c r="M1040">
        <v>0.99989059999999996</v>
      </c>
      <c r="N1040">
        <v>0</v>
      </c>
      <c r="O1040">
        <v>4.3394940000000002E-3</v>
      </c>
      <c r="P1040">
        <v>0.99678990000000001</v>
      </c>
      <c r="Q1040">
        <v>2.6490300000000001E-2</v>
      </c>
      <c r="R1040">
        <v>-7.5552880000000003E-2</v>
      </c>
      <c r="S1040">
        <v>2.964264</v>
      </c>
      <c r="T1040">
        <v>-3.9348010000000003E-2</v>
      </c>
      <c r="U1040">
        <v>-0.61425779999999996</v>
      </c>
      <c r="V1040">
        <v>7.9893439999999996E-2</v>
      </c>
      <c r="W1040">
        <v>4.0555609999999999E-2</v>
      </c>
      <c r="X1040">
        <v>0.99597809999999998</v>
      </c>
      <c r="Y1040">
        <v>0.20714009999999999</v>
      </c>
      <c r="Z1040">
        <v>-1.4173009999999999E-3</v>
      </c>
      <c r="AA1040">
        <v>0.97831020000000002</v>
      </c>
      <c r="AB1040">
        <v>29</v>
      </c>
      <c r="AC1040">
        <v>87.2209</v>
      </c>
      <c r="AD1040">
        <v>-1.159932</v>
      </c>
      <c r="AE1040">
        <v>-18.1082</v>
      </c>
      <c r="AF1040">
        <v>18.483428027620398</v>
      </c>
      <c r="AG1040">
        <v>-1.159932</v>
      </c>
      <c r="AH1040">
        <v>87.126718015263506</v>
      </c>
      <c r="AI1040">
        <v>90.746139510912499</v>
      </c>
      <c r="AJ1040">
        <v>78.022607079932399</v>
      </c>
      <c r="AK1040">
        <v>89.073270659654696</v>
      </c>
      <c r="AL1040">
        <v>87.675697372245196</v>
      </c>
      <c r="AM1040">
        <v>85.4137782937362</v>
      </c>
      <c r="AN1040">
        <v>1.00000004746855</v>
      </c>
    </row>
    <row r="1041" spans="1:40" x14ac:dyDescent="0.25">
      <c r="A1041" t="str">
        <f>"20190312154817465"</f>
        <v>20190312154817465</v>
      </c>
      <c r="B1041" t="str">
        <f>"1552376897457206"</f>
        <v>1552376897457206</v>
      </c>
      <c r="C1041" t="s">
        <v>40</v>
      </c>
      <c r="D1041">
        <v>4.6502059999999998</v>
      </c>
      <c r="E1041">
        <v>0.54919410000000002</v>
      </c>
      <c r="F1041" t="s">
        <v>43</v>
      </c>
      <c r="G1041">
        <v>-159.9924</v>
      </c>
      <c r="H1041">
        <v>-0.05</v>
      </c>
      <c r="I1041">
        <v>350.46039999999999</v>
      </c>
      <c r="J1041">
        <v>-247.13390000000001</v>
      </c>
      <c r="K1041">
        <v>1.109931</v>
      </c>
      <c r="L1041">
        <v>368.54840000000002</v>
      </c>
      <c r="M1041">
        <v>0.99989099999999997</v>
      </c>
      <c r="N1041">
        <v>0</v>
      </c>
      <c r="O1041">
        <v>4.237233E-3</v>
      </c>
      <c r="P1041">
        <v>0.99678489999999997</v>
      </c>
      <c r="Q1041">
        <v>2.662173E-2</v>
      </c>
      <c r="R1041">
        <v>-7.557643E-2</v>
      </c>
      <c r="S1041">
        <v>2.9641570000000002</v>
      </c>
      <c r="T1041">
        <v>-3.9380190000000002E-2</v>
      </c>
      <c r="U1041">
        <v>-0.61407469999999997</v>
      </c>
      <c r="V1041">
        <v>7.981502E-2</v>
      </c>
      <c r="W1041">
        <v>4.0685220000000001E-2</v>
      </c>
      <c r="X1041">
        <v>0.99597910000000001</v>
      </c>
      <c r="Y1041">
        <v>0.20698920000000001</v>
      </c>
      <c r="Z1041">
        <v>-1.416182E-3</v>
      </c>
      <c r="AA1041">
        <v>0.97834219999999905</v>
      </c>
      <c r="AB1041">
        <v>29</v>
      </c>
      <c r="AC1041">
        <v>87.141499999999994</v>
      </c>
      <c r="AD1041">
        <v>-1.159931</v>
      </c>
      <c r="AE1041">
        <v>-18.088000000000001</v>
      </c>
      <c r="AF1041">
        <v>18.453978748574599</v>
      </c>
      <c r="AG1041">
        <v>-1.159931</v>
      </c>
      <c r="AH1041">
        <v>87.0492805266462</v>
      </c>
      <c r="AI1041">
        <v>90.746825213157905</v>
      </c>
      <c r="AJ1041">
        <v>78.030808871038602</v>
      </c>
      <c r="AK1041">
        <v>88.991415382520799</v>
      </c>
      <c r="AL1041">
        <v>87.668265129198602</v>
      </c>
      <c r="AM1041">
        <v>85.418265338691896</v>
      </c>
      <c r="AN1041">
        <v>1.0000000460904199</v>
      </c>
    </row>
    <row r="1042" spans="1:40" x14ac:dyDescent="0.25">
      <c r="A1042" t="str">
        <f>"20190312154817477"</f>
        <v>20190312154817477</v>
      </c>
      <c r="B1042" t="str">
        <f>"1552376897466965"</f>
        <v>1552376897466965</v>
      </c>
      <c r="C1042" t="s">
        <v>40</v>
      </c>
      <c r="D1042">
        <v>4.7301380000000002</v>
      </c>
      <c r="E1042">
        <v>0.54910550000000002</v>
      </c>
      <c r="F1042" t="s">
        <v>43</v>
      </c>
      <c r="G1042">
        <v>-158.75450000000001</v>
      </c>
      <c r="H1042">
        <v>-0.05</v>
      </c>
      <c r="I1042">
        <v>350.24020000000002</v>
      </c>
      <c r="J1042">
        <v>-246.97890000000001</v>
      </c>
      <c r="K1042">
        <v>1.1099330000000001</v>
      </c>
      <c r="L1042">
        <v>368.54899999999998</v>
      </c>
      <c r="M1042">
        <v>0.99989150000000004</v>
      </c>
      <c r="N1042">
        <v>0</v>
      </c>
      <c r="O1042">
        <v>4.1418840000000002E-3</v>
      </c>
      <c r="P1042">
        <v>0.99675239999999998</v>
      </c>
      <c r="Q1042">
        <v>2.6748850000000001E-2</v>
      </c>
      <c r="R1042">
        <v>-7.5956389999999999E-2</v>
      </c>
      <c r="S1042">
        <v>2.964188</v>
      </c>
      <c r="T1042">
        <v>-3.8903359999999998E-2</v>
      </c>
      <c r="U1042">
        <v>-0.61404419999999904</v>
      </c>
      <c r="V1042">
        <v>8.0099760000000006E-2</v>
      </c>
      <c r="W1042">
        <v>4.0810039999999999E-2</v>
      </c>
      <c r="X1042">
        <v>0.99595109999999998</v>
      </c>
      <c r="Y1042">
        <v>0.2068846</v>
      </c>
      <c r="Z1042">
        <v>-1.397106E-3</v>
      </c>
      <c r="AA1042">
        <v>0.97836429999999996</v>
      </c>
      <c r="AB1042">
        <v>29</v>
      </c>
      <c r="AC1042">
        <v>88.224400000000003</v>
      </c>
      <c r="AD1042">
        <v>-1.1599330000000001</v>
      </c>
      <c r="AE1042">
        <v>-18.308800000000002</v>
      </c>
      <c r="AF1042">
        <v>18.671000501813499</v>
      </c>
      <c r="AG1042">
        <v>-1.1599330000000001</v>
      </c>
      <c r="AH1042">
        <v>88.133197109192693</v>
      </c>
      <c r="AI1042">
        <v>90.737664249927505</v>
      </c>
      <c r="AJ1042">
        <v>78.038749359816407</v>
      </c>
      <c r="AK1042">
        <v>90.096682164167504</v>
      </c>
      <c r="AL1042">
        <v>87.661107446540299</v>
      </c>
      <c r="AM1042">
        <v>85.401861255050804</v>
      </c>
      <c r="AN1042">
        <v>1.00000001225403</v>
      </c>
    </row>
    <row r="1043" spans="1:40" x14ac:dyDescent="0.25">
      <c r="A1043" t="str">
        <f>"20190312154817490"</f>
        <v>20190312154817490</v>
      </c>
      <c r="B1043" t="str">
        <f>"1552376897486485"</f>
        <v>1552376897486485</v>
      </c>
      <c r="C1043" t="s">
        <v>40</v>
      </c>
      <c r="D1043">
        <v>4.7375030000000002</v>
      </c>
      <c r="E1043">
        <v>0.54899849999999994</v>
      </c>
      <c r="F1043" t="s">
        <v>43</v>
      </c>
      <c r="G1043">
        <v>-160.2466</v>
      </c>
      <c r="H1043">
        <v>-0.05</v>
      </c>
      <c r="I1043">
        <v>350.5711</v>
      </c>
      <c r="J1043">
        <v>-246.827</v>
      </c>
      <c r="K1043">
        <v>1.109939</v>
      </c>
      <c r="L1043">
        <v>368.54950000000002</v>
      </c>
      <c r="M1043">
        <v>0.99989189999999994</v>
      </c>
      <c r="N1043">
        <v>0</v>
      </c>
      <c r="O1043">
        <v>4.0486819999999996E-3</v>
      </c>
      <c r="P1043">
        <v>0.99674430000000003</v>
      </c>
      <c r="Q1043">
        <v>2.7184670000000001E-2</v>
      </c>
      <c r="R1043">
        <v>-7.5908169999999997E-2</v>
      </c>
      <c r="S1043">
        <v>2.9640200000000001</v>
      </c>
      <c r="T1043">
        <v>-3.963995E-2</v>
      </c>
      <c r="U1043">
        <v>-0.61437989999999998</v>
      </c>
      <c r="V1043">
        <v>7.9959020000000006E-2</v>
      </c>
      <c r="W1043">
        <v>4.124456E-2</v>
      </c>
      <c r="X1043">
        <v>0.99594450000000001</v>
      </c>
      <c r="Y1043">
        <v>0.20691000000000001</v>
      </c>
      <c r="Z1043">
        <v>-1.42255299999999E-3</v>
      </c>
      <c r="AA1043">
        <v>0.97835890000000003</v>
      </c>
      <c r="AB1043">
        <v>29</v>
      </c>
      <c r="AC1043">
        <v>86.580399999999997</v>
      </c>
      <c r="AD1043">
        <v>-1.1599389999999901</v>
      </c>
      <c r="AE1043">
        <v>-17.978400000000001</v>
      </c>
      <c r="AF1043">
        <v>18.325670908163399</v>
      </c>
      <c r="AG1043">
        <v>-1.1599389999999901</v>
      </c>
      <c r="AH1043">
        <v>86.492011734528603</v>
      </c>
      <c r="AI1043">
        <v>90.751659571412802</v>
      </c>
      <c r="AJ1043">
        <v>78.037256199207604</v>
      </c>
      <c r="AK1043">
        <v>88.419702366632393</v>
      </c>
      <c r="AL1043">
        <v>87.636190282691203</v>
      </c>
      <c r="AM1043">
        <v>85.409875613980105</v>
      </c>
      <c r="AN1043">
        <v>1.0000000028446001</v>
      </c>
    </row>
    <row r="1044" spans="1:40" x14ac:dyDescent="0.25">
      <c r="A1044" t="str">
        <f>"20190312154817502"</f>
        <v>20190312154817502</v>
      </c>
      <c r="B1044" t="str">
        <f>"1552376897497220"</f>
        <v>1552376897497220</v>
      </c>
      <c r="C1044" t="s">
        <v>40</v>
      </c>
      <c r="D1044">
        <v>4.7483269999999997</v>
      </c>
      <c r="E1044">
        <v>0.54891939999999995</v>
      </c>
      <c r="F1044" t="s">
        <v>43</v>
      </c>
      <c r="G1044">
        <v>-162.24</v>
      </c>
      <c r="H1044">
        <v>-0.05</v>
      </c>
      <c r="I1044">
        <v>351.05059999999997</v>
      </c>
      <c r="J1044">
        <v>-246.67449999999999</v>
      </c>
      <c r="K1044">
        <v>1.1099410000000001</v>
      </c>
      <c r="L1044">
        <v>368.55</v>
      </c>
      <c r="M1044">
        <v>0.99989220000000001</v>
      </c>
      <c r="N1044">
        <v>0</v>
      </c>
      <c r="O1044">
        <v>3.9551810000000003E-3</v>
      </c>
      <c r="P1044">
        <v>0.9967241</v>
      </c>
      <c r="Q1044">
        <v>2.7475059999999999E-2</v>
      </c>
      <c r="R1044">
        <v>-7.6063980000000003E-2</v>
      </c>
      <c r="S1044">
        <v>2.9642179999999998</v>
      </c>
      <c r="T1044">
        <v>-4.0648219999999999E-2</v>
      </c>
      <c r="U1044">
        <v>-0.61322019999999899</v>
      </c>
      <c r="V1044">
        <v>8.0021750000000003E-2</v>
      </c>
      <c r="W1044">
        <v>4.1533269999999997E-2</v>
      </c>
      <c r="X1044">
        <v>0.99592749999999997</v>
      </c>
      <c r="Y1044">
        <v>0.2064376</v>
      </c>
      <c r="Z1044">
        <v>-1.4542209999999999E-3</v>
      </c>
      <c r="AA1044">
        <v>0.97845870000000001</v>
      </c>
      <c r="AB1044">
        <v>29</v>
      </c>
      <c r="AC1044">
        <v>84.4344999999999</v>
      </c>
      <c r="AD1044">
        <v>-1.1599409999999899</v>
      </c>
      <c r="AE1044">
        <v>-17.499400000000001</v>
      </c>
      <c r="AF1044">
        <v>17.830023815111801</v>
      </c>
      <c r="AG1044">
        <v>-1.1599409999999899</v>
      </c>
      <c r="AH1044">
        <v>84.349355927224593</v>
      </c>
      <c r="AI1044">
        <v>90.770829518707103</v>
      </c>
      <c r="AJ1044">
        <v>78.064346311031102</v>
      </c>
      <c r="AK1044">
        <v>86.221047649100996</v>
      </c>
      <c r="AL1044">
        <v>87.619634317896995</v>
      </c>
      <c r="AM1044">
        <v>85.406211867441897</v>
      </c>
      <c r="AN1044">
        <v>1.0000000391231001</v>
      </c>
    </row>
    <row r="1045" spans="1:40" x14ac:dyDescent="0.25">
      <c r="A1045" t="str">
        <f>"20190312154817513"</f>
        <v>20190312154817513</v>
      </c>
      <c r="B1045" t="str">
        <f>"1552376897506981"</f>
        <v>1552376897506981</v>
      </c>
      <c r="C1045" t="s">
        <v>40</v>
      </c>
      <c r="D1045">
        <v>4.7523559999999998</v>
      </c>
      <c r="E1045">
        <v>0.54886169999999901</v>
      </c>
      <c r="F1045" t="s">
        <v>43</v>
      </c>
      <c r="G1045">
        <v>-162.23929999999999</v>
      </c>
      <c r="H1045">
        <v>-0.05</v>
      </c>
      <c r="I1045">
        <v>351.08670000000001</v>
      </c>
      <c r="J1045">
        <v>-246.52869999999999</v>
      </c>
      <c r="K1045">
        <v>1.1099410000000001</v>
      </c>
      <c r="L1045">
        <v>368.5505</v>
      </c>
      <c r="M1045">
        <v>0.99989260000000002</v>
      </c>
      <c r="N1045">
        <v>0</v>
      </c>
      <c r="O1045">
        <v>3.8653770000000001E-3</v>
      </c>
      <c r="P1045">
        <v>0.99672879999999997</v>
      </c>
      <c r="Q1045">
        <v>2.7813439999999998E-2</v>
      </c>
      <c r="R1045">
        <v>-7.5882930000000001E-2</v>
      </c>
      <c r="S1045">
        <v>2.964188</v>
      </c>
      <c r="T1045">
        <v>-4.0720939999999997E-2</v>
      </c>
      <c r="U1045">
        <v>-0.61306759999999905</v>
      </c>
      <c r="V1045">
        <v>7.9751150000000007E-2</v>
      </c>
      <c r="W1045">
        <v>4.1870089999999999E-2</v>
      </c>
      <c r="X1045">
        <v>0.99593509999999996</v>
      </c>
      <c r="Y1045">
        <v>0.2063034</v>
      </c>
      <c r="Z1045">
        <v>-1.454711E-3</v>
      </c>
      <c r="AA1045">
        <v>0.978487</v>
      </c>
      <c r="AB1045">
        <v>29</v>
      </c>
      <c r="AC1045">
        <v>84.289400000000001</v>
      </c>
      <c r="AD1045">
        <v>-1.1599409999999899</v>
      </c>
      <c r="AE1045">
        <v>-17.4637999999999</v>
      </c>
      <c r="AF1045">
        <v>17.786282715757999</v>
      </c>
      <c r="AG1045">
        <v>-1.1599409999999899</v>
      </c>
      <c r="AH1045">
        <v>84.205969007338993</v>
      </c>
      <c r="AI1045">
        <v>90.772166847343499</v>
      </c>
      <c r="AJ1045">
        <v>78.073094839083694</v>
      </c>
      <c r="AK1045">
        <v>86.071728996420703</v>
      </c>
      <c r="AL1045">
        <v>87.600319146602303</v>
      </c>
      <c r="AM1045">
        <v>85.421714769138603</v>
      </c>
      <c r="AN1045">
        <v>1.00000003688746</v>
      </c>
    </row>
    <row r="1046" spans="1:40" x14ac:dyDescent="0.25">
      <c r="A1046" t="str">
        <f>"20190312154817526"</f>
        <v>20190312154817526</v>
      </c>
      <c r="B1046" t="str">
        <f>"1552376897516740"</f>
        <v>1552376897516740</v>
      </c>
      <c r="C1046" t="s">
        <v>40</v>
      </c>
      <c r="D1046">
        <v>4.7625710000000003</v>
      </c>
      <c r="E1046">
        <v>0.54884299999999997</v>
      </c>
      <c r="F1046" t="s">
        <v>43</v>
      </c>
      <c r="G1046">
        <v>-162.6584</v>
      </c>
      <c r="H1046">
        <v>-0.05</v>
      </c>
      <c r="I1046">
        <v>351.23379999999997</v>
      </c>
      <c r="J1046">
        <v>-246.36940000000001</v>
      </c>
      <c r="K1046">
        <v>1.109939</v>
      </c>
      <c r="L1046">
        <v>368.55099999999999</v>
      </c>
      <c r="M1046">
        <v>0.99989300000000003</v>
      </c>
      <c r="N1046">
        <v>0</v>
      </c>
      <c r="O1046">
        <v>3.76729E-3</v>
      </c>
      <c r="P1046">
        <v>0.99672899999999998</v>
      </c>
      <c r="Q1046">
        <v>2.804939E-2</v>
      </c>
      <c r="R1046">
        <v>-7.5793579999999999E-2</v>
      </c>
      <c r="S1046">
        <v>2.9644010000000001</v>
      </c>
      <c r="T1046">
        <v>-4.0998220000000002E-2</v>
      </c>
      <c r="U1046">
        <v>-0.61206050000000001</v>
      </c>
      <c r="V1046">
        <v>7.9564029999999994E-2</v>
      </c>
      <c r="W1046">
        <v>4.2104969999999999E-2</v>
      </c>
      <c r="X1046">
        <v>0.99594009999999999</v>
      </c>
      <c r="Y1046">
        <v>0.20587440000000001</v>
      </c>
      <c r="Z1046">
        <v>-1.4602839999999901E-3</v>
      </c>
      <c r="AA1046">
        <v>0.97857729999999998</v>
      </c>
      <c r="AB1046">
        <v>28</v>
      </c>
      <c r="AC1046">
        <v>83.710999999999999</v>
      </c>
      <c r="AD1046">
        <v>-1.1599389999999901</v>
      </c>
      <c r="AE1046">
        <v>-17.3172</v>
      </c>
      <c r="AF1046">
        <v>17.629226276310899</v>
      </c>
      <c r="AG1046">
        <v>-1.1599389999999901</v>
      </c>
      <c r="AH1046">
        <v>83.629762308495998</v>
      </c>
      <c r="AI1046">
        <v>90.7775514457757</v>
      </c>
      <c r="AJ1046">
        <v>78.096279863711402</v>
      </c>
      <c r="AK1046">
        <v>85.475565054351307</v>
      </c>
      <c r="AL1046">
        <v>87.5868494820118</v>
      </c>
      <c r="AM1046">
        <v>85.432434119684302</v>
      </c>
      <c r="AN1046">
        <v>0.99999997307827504</v>
      </c>
    </row>
    <row r="1047" spans="1:40" x14ac:dyDescent="0.25">
      <c r="A1047" t="str">
        <f>"20190312154817540"</f>
        <v>20190312154817540</v>
      </c>
      <c r="B1047" t="str">
        <f>"1552376897526501"</f>
        <v>1552376897526501</v>
      </c>
      <c r="C1047" t="s">
        <v>40</v>
      </c>
      <c r="D1047">
        <v>4.7818579999999997</v>
      </c>
      <c r="E1047">
        <v>0.5488267</v>
      </c>
      <c r="F1047" t="s">
        <v>43</v>
      </c>
      <c r="G1047">
        <v>-163.90450000000001</v>
      </c>
      <c r="H1047">
        <v>-0.05</v>
      </c>
      <c r="I1047">
        <v>351.5369</v>
      </c>
      <c r="J1047">
        <v>-246.1908</v>
      </c>
      <c r="K1047">
        <v>1.109939</v>
      </c>
      <c r="L1047">
        <v>368.55160000000001</v>
      </c>
      <c r="M1047">
        <v>0.99989340000000004</v>
      </c>
      <c r="N1047">
        <v>0</v>
      </c>
      <c r="O1047">
        <v>3.6577559999999999E-3</v>
      </c>
      <c r="P1047">
        <v>0.99671489999999996</v>
      </c>
      <c r="Q1047">
        <v>2.8266880000000001E-2</v>
      </c>
      <c r="R1047">
        <v>-7.5897569999999998E-2</v>
      </c>
      <c r="S1047">
        <v>2.964493</v>
      </c>
      <c r="T1047">
        <v>-4.1698100000000002E-2</v>
      </c>
      <c r="U1047">
        <v>-0.61163330000000005</v>
      </c>
      <c r="V1047">
        <v>7.9558779999999996E-2</v>
      </c>
      <c r="W1047">
        <v>4.232031E-2</v>
      </c>
      <c r="X1047">
        <v>0.99593140000000002</v>
      </c>
      <c r="Y1047">
        <v>0.20562530000000001</v>
      </c>
      <c r="Z1047">
        <v>-1.481928E-3</v>
      </c>
      <c r="AA1047">
        <v>0.97862959999999999</v>
      </c>
      <c r="AB1047">
        <v>28</v>
      </c>
      <c r="AC1047">
        <v>82.286299999999898</v>
      </c>
      <c r="AD1047">
        <v>-1.1599389999999901</v>
      </c>
      <c r="AE1047">
        <v>-17.014700000000001</v>
      </c>
      <c r="AF1047">
        <v>17.312300398136902</v>
      </c>
      <c r="AG1047">
        <v>-1.1599389999999901</v>
      </c>
      <c r="AH1047">
        <v>82.207842026872299</v>
      </c>
      <c r="AI1047">
        <v>90.7910321394573</v>
      </c>
      <c r="AJ1047">
        <v>78.107747290538398</v>
      </c>
      <c r="AK1047">
        <v>84.018988891049204</v>
      </c>
      <c r="AL1047">
        <v>87.574500419896196</v>
      </c>
      <c r="AM1047">
        <v>85.432694504751097</v>
      </c>
      <c r="AN1047">
        <v>0.99999998080977204</v>
      </c>
    </row>
    <row r="1048" spans="1:40" x14ac:dyDescent="0.25">
      <c r="A1048" t="str">
        <f>"20190312154817551"</f>
        <v>20190312154817551</v>
      </c>
      <c r="B1048" t="str">
        <f>"1552376897546997"</f>
        <v>1552376897546997</v>
      </c>
      <c r="C1048" t="s">
        <v>40</v>
      </c>
      <c r="D1048">
        <v>4.729285</v>
      </c>
      <c r="E1048">
        <v>0.54881780000000002</v>
      </c>
      <c r="F1048" t="s">
        <v>43</v>
      </c>
      <c r="G1048">
        <v>-164.4699</v>
      </c>
      <c r="H1048">
        <v>-0.05</v>
      </c>
      <c r="I1048">
        <v>351.6884</v>
      </c>
      <c r="J1048">
        <v>-246.0438</v>
      </c>
      <c r="K1048">
        <v>1.109945</v>
      </c>
      <c r="L1048">
        <v>368.55200000000002</v>
      </c>
      <c r="M1048">
        <v>0.99989380000000005</v>
      </c>
      <c r="N1048">
        <v>0</v>
      </c>
      <c r="O1048">
        <v>3.5674130000000002E-3</v>
      </c>
      <c r="P1048">
        <v>0.99671730000000003</v>
      </c>
      <c r="Q1048">
        <v>2.8290780000000001E-2</v>
      </c>
      <c r="R1048">
        <v>-7.5859640000000006E-2</v>
      </c>
      <c r="S1048">
        <v>2.9644780000000002</v>
      </c>
      <c r="T1048">
        <v>-4.2077539999999997E-2</v>
      </c>
      <c r="U1048">
        <v>-0.61172490000000002</v>
      </c>
      <c r="V1048">
        <v>7.9430909999999993E-2</v>
      </c>
      <c r="W1048">
        <v>4.2342699999999997E-2</v>
      </c>
      <c r="X1048">
        <v>0.99594070000000001</v>
      </c>
      <c r="Y1048">
        <v>0.20556650000000001</v>
      </c>
      <c r="Z1048">
        <v>-1.4937329999999999E-3</v>
      </c>
      <c r="AA1048">
        <v>0.97864200000000001</v>
      </c>
      <c r="AB1048">
        <v>28</v>
      </c>
      <c r="AC1048">
        <v>81.573899999999995</v>
      </c>
      <c r="AD1048">
        <v>-1.159945</v>
      </c>
      <c r="AE1048">
        <v>-16.863599999999899</v>
      </c>
      <c r="AF1048">
        <v>17.151203747293099</v>
      </c>
      <c r="AG1048">
        <v>-1.159945</v>
      </c>
      <c r="AH1048">
        <v>81.497412313997998</v>
      </c>
      <c r="AI1048">
        <v>90.797953635970202</v>
      </c>
      <c r="AJ1048">
        <v>78.115479659543098</v>
      </c>
      <c r="AK1048">
        <v>83.290680608708996</v>
      </c>
      <c r="AL1048">
        <v>87.573216525688395</v>
      </c>
      <c r="AM1048">
        <v>85.440046675537204</v>
      </c>
      <c r="AN1048">
        <v>1.0000000258116</v>
      </c>
    </row>
    <row r="1049" spans="1:40" x14ac:dyDescent="0.25">
      <c r="A1049" t="str">
        <f>"20190312154817573"</f>
        <v>20190312154817573</v>
      </c>
      <c r="B1049" t="str">
        <f>"1552376897566520"</f>
        <v>1552376897566520</v>
      </c>
      <c r="C1049" t="s">
        <v>40</v>
      </c>
      <c r="D1049">
        <v>4.7777099999999999</v>
      </c>
      <c r="E1049">
        <v>0.54850109999999996</v>
      </c>
      <c r="F1049" t="s">
        <v>45</v>
      </c>
      <c r="G1049">
        <v>-176.8972</v>
      </c>
      <c r="H1049">
        <v>7.9987909999999995E-2</v>
      </c>
      <c r="I1049">
        <v>354.29329999999999</v>
      </c>
      <c r="J1049">
        <v>-245.76599999999999</v>
      </c>
      <c r="K1049">
        <v>1.1099479999999999</v>
      </c>
      <c r="L1049">
        <v>368.55290000000002</v>
      </c>
      <c r="M1049">
        <v>0.99989439999999996</v>
      </c>
      <c r="N1049">
        <v>0</v>
      </c>
      <c r="O1049">
        <v>3.3962649999999999E-3</v>
      </c>
      <c r="P1049">
        <v>0.99669649999999999</v>
      </c>
      <c r="Q1049">
        <v>2.8400399999999999E-2</v>
      </c>
      <c r="R1049">
        <v>-7.6089959999999998E-2</v>
      </c>
      <c r="S1049">
        <v>2.9645999999999999</v>
      </c>
      <c r="T1049">
        <v>-4.4158459999999997E-2</v>
      </c>
      <c r="U1049">
        <v>-0.61132810000000004</v>
      </c>
      <c r="V1049">
        <v>7.9490649999999996E-2</v>
      </c>
      <c r="W1049">
        <v>4.2449899999999999E-2</v>
      </c>
      <c r="X1049">
        <v>0.99593129999999996</v>
      </c>
      <c r="Y1049">
        <v>0.20526340000000001</v>
      </c>
      <c r="Z1049">
        <v>-1.5627970000000001E-3</v>
      </c>
      <c r="AA1049">
        <v>0.97870550000000001</v>
      </c>
      <c r="AB1049">
        <v>28</v>
      </c>
      <c r="AC1049">
        <v>68.868799999999993</v>
      </c>
      <c r="AD1049">
        <v>-1.0299600900000001</v>
      </c>
      <c r="AE1049">
        <v>-14.259600000000001</v>
      </c>
      <c r="AF1049">
        <v>14.4903300621675</v>
      </c>
      <c r="AG1049">
        <v>-1.0299600900000001</v>
      </c>
      <c r="AH1049">
        <v>68.805211917837596</v>
      </c>
      <c r="AI1049">
        <v>90.839203271865003</v>
      </c>
      <c r="AJ1049">
        <v>78.107337329032504</v>
      </c>
      <c r="AK1049">
        <v>70.322028342163804</v>
      </c>
      <c r="AL1049">
        <v>87.5670687205414</v>
      </c>
      <c r="AM1049">
        <v>85.436588724561602</v>
      </c>
      <c r="AN1049">
        <v>0.99999995588356005</v>
      </c>
    </row>
    <row r="1050" spans="1:40" x14ac:dyDescent="0.25">
      <c r="A1050" t="str">
        <f>"20190312154817586"</f>
        <v>20190312154817586</v>
      </c>
      <c r="B1050" t="str">
        <f>"1552376897577252"</f>
        <v>1552376897577252</v>
      </c>
      <c r="C1050" t="s">
        <v>40</v>
      </c>
      <c r="D1050">
        <v>4.6631080000000003</v>
      </c>
      <c r="E1050">
        <v>0.54812530000000004</v>
      </c>
      <c r="F1050" t="s">
        <v>45</v>
      </c>
      <c r="G1050">
        <v>-178.9194</v>
      </c>
      <c r="H1050">
        <v>7.9987929999999999E-2</v>
      </c>
      <c r="I1050">
        <v>354.81450000000001</v>
      </c>
      <c r="J1050">
        <v>-245.613</v>
      </c>
      <c r="K1050">
        <v>1.1099490000000001</v>
      </c>
      <c r="L1050">
        <v>368.55329999999998</v>
      </c>
      <c r="M1050">
        <v>0.99989490000000003</v>
      </c>
      <c r="N1050">
        <v>0</v>
      </c>
      <c r="O1050">
        <v>3.3018729999999999E-3</v>
      </c>
      <c r="P1050">
        <v>0.99668909999999999</v>
      </c>
      <c r="Q1050">
        <v>2.8269900000000001E-2</v>
      </c>
      <c r="R1050">
        <v>-7.6238040000000007E-2</v>
      </c>
      <c r="S1050">
        <v>2.9647220000000001</v>
      </c>
      <c r="T1050">
        <v>-4.5679930000000001E-2</v>
      </c>
      <c r="U1050">
        <v>-0.60931400000000002</v>
      </c>
      <c r="V1050">
        <v>7.9544519999999994E-2</v>
      </c>
      <c r="W1050">
        <v>4.2317929999999997E-2</v>
      </c>
      <c r="X1050">
        <v>0.99593259999999995</v>
      </c>
      <c r="Y1050">
        <v>0.2045236</v>
      </c>
      <c r="Z1050">
        <v>-1.6096019999999999E-3</v>
      </c>
      <c r="AA1050">
        <v>0.97886030000000002</v>
      </c>
      <c r="AB1050">
        <v>28</v>
      </c>
      <c r="AC1050">
        <v>66.693600000000004</v>
      </c>
      <c r="AD1050">
        <v>-1.0299610699999999</v>
      </c>
      <c r="AE1050">
        <v>-13.7387999999999</v>
      </c>
      <c r="AF1050">
        <v>13.955767990288599</v>
      </c>
      <c r="AG1050">
        <v>-1.0299610699999999</v>
      </c>
      <c r="AH1050">
        <v>66.632623649838195</v>
      </c>
      <c r="AI1050">
        <v>90.866764074420402</v>
      </c>
      <c r="AJ1050">
        <v>78.170764236809205</v>
      </c>
      <c r="AK1050">
        <v>68.086201351415198</v>
      </c>
      <c r="AL1050">
        <v>87.574636809034999</v>
      </c>
      <c r="AM1050">
        <v>85.433515158204798</v>
      </c>
      <c r="AN1050">
        <v>0.99999994080213594</v>
      </c>
    </row>
    <row r="1051" spans="1:40" x14ac:dyDescent="0.25">
      <c r="A1051" t="str">
        <f>"20190312154817598"</f>
        <v>20190312154817598</v>
      </c>
      <c r="B1051" t="str">
        <f>"1552376897587013"</f>
        <v>1552376897587013</v>
      </c>
      <c r="C1051" t="s">
        <v>40</v>
      </c>
      <c r="D1051">
        <v>4.6586449999999999</v>
      </c>
      <c r="E1051">
        <v>0.54773939999999999</v>
      </c>
      <c r="F1051" t="s">
        <v>45</v>
      </c>
      <c r="G1051">
        <v>-179.97299999999899</v>
      </c>
      <c r="H1051">
        <v>7.7028620000000006E-2</v>
      </c>
      <c r="I1051">
        <v>355.1114</v>
      </c>
      <c r="J1051">
        <v>-245.4522</v>
      </c>
      <c r="K1051">
        <v>1.1099509999999999</v>
      </c>
      <c r="L1051">
        <v>368.55369999999999</v>
      </c>
      <c r="M1051">
        <v>0.99989510000000004</v>
      </c>
      <c r="N1051">
        <v>0</v>
      </c>
      <c r="O1051">
        <v>3.203483E-3</v>
      </c>
      <c r="P1051">
        <v>0.99666929999999998</v>
      </c>
      <c r="Q1051">
        <v>2.8232859999999999E-2</v>
      </c>
      <c r="R1051">
        <v>-7.6508320000000005E-2</v>
      </c>
      <c r="S1051">
        <v>2.9648439999999998</v>
      </c>
      <c r="T1051">
        <v>-4.6655179999999997E-2</v>
      </c>
      <c r="U1051">
        <v>-0.6071472</v>
      </c>
      <c r="V1051">
        <v>7.9716690000000007E-2</v>
      </c>
      <c r="W1051">
        <v>4.2278379999999997E-2</v>
      </c>
      <c r="X1051">
        <v>0.99592060000000004</v>
      </c>
      <c r="Y1051">
        <v>0.20373189999999999</v>
      </c>
      <c r="Z1051">
        <v>-1.6363180000000001E-3</v>
      </c>
      <c r="AA1051">
        <v>0.97902540000000005</v>
      </c>
      <c r="AB1051">
        <v>28</v>
      </c>
      <c r="AC1051">
        <v>65.479200000000006</v>
      </c>
      <c r="AD1051">
        <v>-1.03292238</v>
      </c>
      <c r="AE1051">
        <v>-13.4422999999999</v>
      </c>
      <c r="AF1051">
        <v>13.6487543748772</v>
      </c>
      <c r="AG1051">
        <v>-1.03292238</v>
      </c>
      <c r="AH1051">
        <v>65.420176342649398</v>
      </c>
      <c r="AI1051">
        <v>90.885507212707594</v>
      </c>
      <c r="AJ1051">
        <v>78.215301342326697</v>
      </c>
      <c r="AK1051">
        <v>66.836778029257104</v>
      </c>
      <c r="AL1051">
        <v>87.576905095591599</v>
      </c>
      <c r="AM1051">
        <v>85.423618269161594</v>
      </c>
      <c r="AN1051">
        <v>1.00000002679217</v>
      </c>
    </row>
    <row r="1052" spans="1:40" x14ac:dyDescent="0.25">
      <c r="A1052" t="str">
        <f>"20190312154817622"</f>
        <v>20190312154817622</v>
      </c>
      <c r="B1052" t="str">
        <f>"1552376897606533"</f>
        <v>1552376897606533</v>
      </c>
      <c r="C1052" t="s">
        <v>40</v>
      </c>
      <c r="D1052">
        <v>4.6639470000000003</v>
      </c>
      <c r="E1052">
        <v>0.54703570000000001</v>
      </c>
      <c r="F1052" t="s">
        <v>45</v>
      </c>
      <c r="G1052">
        <v>-179.97550000000001</v>
      </c>
      <c r="H1052">
        <v>7.4463520000000005E-2</v>
      </c>
      <c r="I1052">
        <v>355.19409999999999</v>
      </c>
      <c r="J1052">
        <v>-245.18</v>
      </c>
      <c r="K1052">
        <v>1.1099509999999999</v>
      </c>
      <c r="L1052">
        <v>368.55439999999999</v>
      </c>
      <c r="M1052">
        <v>0.9998958</v>
      </c>
      <c r="N1052">
        <v>0</v>
      </c>
      <c r="O1052">
        <v>3.035673E-3</v>
      </c>
      <c r="P1052">
        <v>0.99665539999999997</v>
      </c>
      <c r="Q1052">
        <v>2.79434E-2</v>
      </c>
      <c r="R1052">
        <v>-7.6793150000000004E-2</v>
      </c>
      <c r="S1052">
        <v>2.9649200000000002</v>
      </c>
      <c r="T1052">
        <v>-4.6889069999999998E-2</v>
      </c>
      <c r="U1052">
        <v>-0.60494999999999999</v>
      </c>
      <c r="V1052">
        <v>7.9834089999999996E-2</v>
      </c>
      <c r="W1052">
        <v>4.1986349999999999E-2</v>
      </c>
      <c r="X1052">
        <v>0.99592349999999996</v>
      </c>
      <c r="Y1052">
        <v>0.20286599999999999</v>
      </c>
      <c r="Z1052">
        <v>-1.6351950000000001E-3</v>
      </c>
      <c r="AA1052">
        <v>0.97920510000000005</v>
      </c>
      <c r="AB1052">
        <v>28</v>
      </c>
      <c r="AC1052">
        <v>65.204499999999996</v>
      </c>
      <c r="AD1052">
        <v>-1.03548748</v>
      </c>
      <c r="AE1052">
        <v>-13.360299999999899</v>
      </c>
      <c r="AF1052">
        <v>13.554916952063</v>
      </c>
      <c r="AG1052">
        <v>-1.03548748</v>
      </c>
      <c r="AH1052">
        <v>65.1478700527949</v>
      </c>
      <c r="AI1052">
        <v>90.891516882340696</v>
      </c>
      <c r="AJ1052">
        <v>78.246509603855401</v>
      </c>
      <c r="AK1052">
        <v>66.551130571271401</v>
      </c>
      <c r="AL1052">
        <v>87.593651931707697</v>
      </c>
      <c r="AM1052">
        <v>85.416920540862506</v>
      </c>
      <c r="AN1052">
        <v>0.99999997668234997</v>
      </c>
    </row>
    <row r="1053" spans="1:40" x14ac:dyDescent="0.25">
      <c r="A1053" t="str">
        <f>"20190312154817639"</f>
        <v>20190312154817639</v>
      </c>
      <c r="B1053" t="str">
        <f>"1552376897627030"</f>
        <v>1552376897627030</v>
      </c>
      <c r="C1053" t="s">
        <v>40</v>
      </c>
      <c r="D1053">
        <v>4.6001709999999996</v>
      </c>
      <c r="E1053">
        <v>0.5464175</v>
      </c>
      <c r="F1053" t="s">
        <v>45</v>
      </c>
      <c r="G1053">
        <v>-179.9845</v>
      </c>
      <c r="H1053">
        <v>6.5538879999999994E-2</v>
      </c>
      <c r="I1053">
        <v>355.36250000000001</v>
      </c>
      <c r="J1053">
        <v>-244.93860000000001</v>
      </c>
      <c r="K1053">
        <v>1.1099509999999999</v>
      </c>
      <c r="L1053">
        <v>368.55489999999998</v>
      </c>
      <c r="M1053">
        <v>0.99989620000000001</v>
      </c>
      <c r="N1053">
        <v>0</v>
      </c>
      <c r="O1053">
        <v>2.8870509999999999E-3</v>
      </c>
      <c r="P1053">
        <v>0.99663109999999999</v>
      </c>
      <c r="Q1053">
        <v>2.8058119999999999E-2</v>
      </c>
      <c r="R1053">
        <v>-7.7068230000000001E-2</v>
      </c>
      <c r="S1053">
        <v>2.9651489999999998</v>
      </c>
      <c r="T1053">
        <v>-4.7500729999999998E-2</v>
      </c>
      <c r="U1053">
        <v>-0.59997559999999905</v>
      </c>
      <c r="V1053">
        <v>7.9960959999999998E-2</v>
      </c>
      <c r="W1053">
        <v>4.2098780000000002E-2</v>
      </c>
      <c r="X1053">
        <v>0.99590860000000003</v>
      </c>
      <c r="Y1053">
        <v>0.20112730000000001</v>
      </c>
      <c r="Z1053">
        <v>-1.6405279999999901E-3</v>
      </c>
      <c r="AA1053">
        <v>0.97956379999999998</v>
      </c>
      <c r="AB1053">
        <v>28</v>
      </c>
      <c r="AC1053">
        <v>64.954099999999997</v>
      </c>
      <c r="AD1053">
        <v>-1.0444121200000001</v>
      </c>
      <c r="AE1053">
        <v>-13.1923999999999</v>
      </c>
      <c r="AF1053">
        <v>13.376568103473501</v>
      </c>
      <c r="AG1053">
        <v>-1.0444121200000001</v>
      </c>
      <c r="AH1053">
        <v>64.899623799010399</v>
      </c>
      <c r="AI1053">
        <v>90.902988278026896</v>
      </c>
      <c r="AJ1053">
        <v>78.353763425029697</v>
      </c>
      <c r="AK1053">
        <v>66.272049463981006</v>
      </c>
      <c r="AL1053">
        <v>87.587204525000899</v>
      </c>
      <c r="AM1053">
        <v>85.409599963040904</v>
      </c>
      <c r="AN1053">
        <v>1.0000000009777801</v>
      </c>
    </row>
    <row r="1054" spans="1:40" x14ac:dyDescent="0.25">
      <c r="A1054" t="str">
        <f>"20190312154817654"</f>
        <v>20190312154817654</v>
      </c>
      <c r="B1054" t="str">
        <f>"1552376897646549"</f>
        <v>1552376897646549</v>
      </c>
      <c r="C1054" t="s">
        <v>40</v>
      </c>
      <c r="D1054">
        <v>4.5846780000000003</v>
      </c>
      <c r="E1054">
        <v>0.5458153</v>
      </c>
      <c r="F1054" t="s">
        <v>45</v>
      </c>
      <c r="G1054">
        <v>-179.9727</v>
      </c>
      <c r="H1054">
        <v>7.7292830000000007E-2</v>
      </c>
      <c r="I1054">
        <v>355.49939999999998</v>
      </c>
      <c r="J1054">
        <v>-244.75640000000001</v>
      </c>
      <c r="K1054">
        <v>1.1099460000000001</v>
      </c>
      <c r="L1054">
        <v>368.55529999999999</v>
      </c>
      <c r="M1054">
        <v>0.99989649999999997</v>
      </c>
      <c r="N1054">
        <v>0</v>
      </c>
      <c r="O1054">
        <v>2.7747789999999998E-3</v>
      </c>
      <c r="P1054">
        <v>0.99662099999999998</v>
      </c>
      <c r="Q1054">
        <v>2.8406460000000001E-2</v>
      </c>
      <c r="R1054">
        <v>-7.7071990000000007E-2</v>
      </c>
      <c r="S1054">
        <v>2.965347</v>
      </c>
      <c r="T1054">
        <v>-4.7135349999999999E-2</v>
      </c>
      <c r="U1054">
        <v>-0.59591669999999997</v>
      </c>
      <c r="V1054">
        <v>7.9852989999999999E-2</v>
      </c>
      <c r="W1054">
        <v>4.2445129999999998E-2</v>
      </c>
      <c r="X1054">
        <v>0.99590250000000002</v>
      </c>
      <c r="Y1054">
        <v>0.19971659999999999</v>
      </c>
      <c r="Z1054">
        <v>-1.6151539999999999E-3</v>
      </c>
      <c r="AA1054">
        <v>0.97985239999999996</v>
      </c>
      <c r="AB1054">
        <v>28</v>
      </c>
      <c r="AC1054">
        <v>64.783699999999996</v>
      </c>
      <c r="AD1054">
        <v>-1.0326531699999999</v>
      </c>
      <c r="AE1054">
        <v>-13.055899999999999</v>
      </c>
      <c r="AF1054">
        <v>13.232397174698599</v>
      </c>
      <c r="AG1054">
        <v>-1.0326531699999999</v>
      </c>
      <c r="AH1054">
        <v>64.731414407826804</v>
      </c>
      <c r="AI1054">
        <v>90.895441209542199</v>
      </c>
      <c r="AJ1054">
        <v>78.446767505940002</v>
      </c>
      <c r="AK1054">
        <v>66.078125872305804</v>
      </c>
      <c r="AL1054">
        <v>87.567342227578493</v>
      </c>
      <c r="AM1054">
        <v>85.415743910632202</v>
      </c>
      <c r="AN1054">
        <v>0.99999993928945097</v>
      </c>
    </row>
    <row r="1055" spans="1:40" x14ac:dyDescent="0.25">
      <c r="A1055" t="str">
        <f>"20190312154817675"</f>
        <v>20190312154817675</v>
      </c>
      <c r="B1055" t="str">
        <f>"1552376897667045"</f>
        <v>1552376897667045</v>
      </c>
      <c r="C1055" t="s">
        <v>40</v>
      </c>
      <c r="D1055">
        <v>4.5437430000000001</v>
      </c>
      <c r="E1055">
        <v>0.54533259999999995</v>
      </c>
      <c r="F1055" t="s">
        <v>45</v>
      </c>
      <c r="G1055">
        <v>-177.34190000000001</v>
      </c>
      <c r="H1055">
        <v>7.9987989999999995E-2</v>
      </c>
      <c r="I1055">
        <v>355.11630000000002</v>
      </c>
      <c r="J1055">
        <v>-244.48480000000001</v>
      </c>
      <c r="K1055">
        <v>1.109945</v>
      </c>
      <c r="L1055">
        <v>368.55590000000001</v>
      </c>
      <c r="M1055">
        <v>0.99989700000000004</v>
      </c>
      <c r="N1055">
        <v>0</v>
      </c>
      <c r="O1055">
        <v>2.6076820000000001E-3</v>
      </c>
      <c r="P1055">
        <v>0.99662150000000005</v>
      </c>
      <c r="Q1055">
        <v>2.8422139999999999E-2</v>
      </c>
      <c r="R1055">
        <v>-7.7058699999999994E-2</v>
      </c>
      <c r="S1055">
        <v>2.9657439999999999</v>
      </c>
      <c r="T1055">
        <v>-4.5310620000000003E-2</v>
      </c>
      <c r="U1055">
        <v>-0.59121699999999999</v>
      </c>
      <c r="V1055">
        <v>7.9673030000000006E-2</v>
      </c>
      <c r="W1055">
        <v>4.2457990000000001E-2</v>
      </c>
      <c r="X1055">
        <v>0.99591640000000003</v>
      </c>
      <c r="Y1055">
        <v>0.1980363</v>
      </c>
      <c r="Z1055">
        <v>-1.537432E-3</v>
      </c>
      <c r="AA1055">
        <v>0.98019350000000005</v>
      </c>
      <c r="AB1055">
        <v>28</v>
      </c>
      <c r="AC1055">
        <v>67.142899999999997</v>
      </c>
      <c r="AD1055">
        <v>-1.02995701</v>
      </c>
      <c r="AE1055">
        <v>-13.439599999999899</v>
      </c>
      <c r="AF1055">
        <v>13.611579528870999</v>
      </c>
      <c r="AG1055">
        <v>-1.02995701</v>
      </c>
      <c r="AH1055">
        <v>67.092442705599396</v>
      </c>
      <c r="AI1055">
        <v>90.861939402212499</v>
      </c>
      <c r="AJ1055">
        <v>78.5316014556102</v>
      </c>
      <c r="AK1055">
        <v>68.467012326501901</v>
      </c>
      <c r="AL1055">
        <v>87.566604824000805</v>
      </c>
      <c r="AM1055">
        <v>85.426094860589103</v>
      </c>
      <c r="AN1055">
        <v>0.99999997420659004</v>
      </c>
    </row>
    <row r="1056" spans="1:40" x14ac:dyDescent="0.25">
      <c r="A1056" t="str">
        <f>"20190312154817688"</f>
        <v>20190312154817688</v>
      </c>
      <c r="B1056" t="str">
        <f>"1552376897677781"</f>
        <v>1552376897677781</v>
      </c>
      <c r="C1056" t="s">
        <v>40</v>
      </c>
      <c r="D1056">
        <v>4.5492970000000001</v>
      </c>
      <c r="E1056">
        <v>0.54511589999999999</v>
      </c>
      <c r="F1056" t="s">
        <v>45</v>
      </c>
      <c r="G1056">
        <v>-176.74199999999999</v>
      </c>
      <c r="H1056">
        <v>7.9988020000000007E-2</v>
      </c>
      <c r="I1056">
        <v>355.14049999999997</v>
      </c>
      <c r="J1056">
        <v>-244.32060000000001</v>
      </c>
      <c r="K1056">
        <v>1.1099509999999999</v>
      </c>
      <c r="L1056">
        <v>368.55619999999999</v>
      </c>
      <c r="M1056">
        <v>0.99989740000000005</v>
      </c>
      <c r="N1056">
        <v>0</v>
      </c>
      <c r="O1056">
        <v>2.5064940000000002E-3</v>
      </c>
      <c r="P1056">
        <v>0.99663290000000004</v>
      </c>
      <c r="Q1056">
        <v>2.8344330000000001E-2</v>
      </c>
      <c r="R1056">
        <v>-7.6941010000000004E-2</v>
      </c>
      <c r="S1056">
        <v>2.9660190000000002</v>
      </c>
      <c r="T1056">
        <v>-4.5095209999999997E-2</v>
      </c>
      <c r="U1056">
        <v>-0.5873718</v>
      </c>
      <c r="V1056">
        <v>7.9454640000000007E-2</v>
      </c>
      <c r="W1056">
        <v>4.2378909999999999E-2</v>
      </c>
      <c r="X1056">
        <v>0.99593719999999997</v>
      </c>
      <c r="Y1056">
        <v>0.19669739999999999</v>
      </c>
      <c r="Z1056">
        <v>-1.5185719999999999E-3</v>
      </c>
      <c r="AA1056">
        <v>0.98046310000000003</v>
      </c>
      <c r="AB1056">
        <v>28</v>
      </c>
      <c r="AC1056">
        <v>67.578599999999994</v>
      </c>
      <c r="AD1056">
        <v>-1.0299629800000001</v>
      </c>
      <c r="AE1056">
        <v>-13.415699999999999</v>
      </c>
      <c r="AF1056">
        <v>13.5820247478286</v>
      </c>
      <c r="AG1056">
        <v>-1.0299629800000001</v>
      </c>
      <c r="AH1056">
        <v>67.5296664564883</v>
      </c>
      <c r="AI1056">
        <v>90.856655600032695</v>
      </c>
      <c r="AJ1056">
        <v>78.628004018031007</v>
      </c>
      <c r="AK1056">
        <v>68.889680444282504</v>
      </c>
      <c r="AL1056">
        <v>87.571139819452895</v>
      </c>
      <c r="AM1056">
        <v>85.438674174245506</v>
      </c>
      <c r="AN1056">
        <v>0.99999995908707795</v>
      </c>
    </row>
    <row r="1057" spans="1:40" x14ac:dyDescent="0.25">
      <c r="A1057" t="str">
        <f>"20190312154817700"</f>
        <v>20190312154817700</v>
      </c>
      <c r="B1057" t="str">
        <f>"1552376897687543"</f>
        <v>1552376897687543</v>
      </c>
      <c r="C1057" t="s">
        <v>40</v>
      </c>
      <c r="D1057">
        <v>4.5508759999999997</v>
      </c>
      <c r="E1057">
        <v>0.54490209999999994</v>
      </c>
      <c r="F1057" t="s">
        <v>45</v>
      </c>
      <c r="G1057">
        <v>-176.7217</v>
      </c>
      <c r="H1057">
        <v>7.9988020000000007E-2</v>
      </c>
      <c r="I1057">
        <v>355.21910000000003</v>
      </c>
      <c r="J1057">
        <v>-244.16640000000001</v>
      </c>
      <c r="K1057">
        <v>1.10995</v>
      </c>
      <c r="L1057">
        <v>368.55650000000003</v>
      </c>
      <c r="M1057">
        <v>0.99989749999999999</v>
      </c>
      <c r="N1057">
        <v>0</v>
      </c>
      <c r="O1057">
        <v>2.4117409999999998E-3</v>
      </c>
      <c r="P1057">
        <v>0.99665099999999995</v>
      </c>
      <c r="Q1057">
        <v>2.840061E-2</v>
      </c>
      <c r="R1057">
        <v>-7.6682120000000006E-2</v>
      </c>
      <c r="S1057">
        <v>2.9662480000000002</v>
      </c>
      <c r="T1057">
        <v>-4.5194860000000003E-2</v>
      </c>
      <c r="U1057">
        <v>-0.58523559999999997</v>
      </c>
      <c r="V1057">
        <v>7.9101350000000001E-2</v>
      </c>
      <c r="W1057">
        <v>4.2433699999999998E-2</v>
      </c>
      <c r="X1057">
        <v>0.99596300000000004</v>
      </c>
      <c r="Y1057">
        <v>0.19591040000000001</v>
      </c>
      <c r="Z1057">
        <v>-1.5145499999999999E-3</v>
      </c>
      <c r="AA1057">
        <v>0.98062059999999995</v>
      </c>
      <c r="AB1057">
        <v>28</v>
      </c>
      <c r="AC1057">
        <v>67.444699999999997</v>
      </c>
      <c r="AD1057">
        <v>-1.0299619799999999</v>
      </c>
      <c r="AE1057">
        <v>-13.337400000000001</v>
      </c>
      <c r="AF1057">
        <v>13.497007378913899</v>
      </c>
      <c r="AG1057">
        <v>-1.0299619799999999</v>
      </c>
      <c r="AH1057">
        <v>67.397208097514095</v>
      </c>
      <c r="AI1057">
        <v>90.858481553776301</v>
      </c>
      <c r="AJ1057">
        <v>78.675709572531503</v>
      </c>
      <c r="AK1057">
        <v>68.743099211530506</v>
      </c>
      <c r="AL1057">
        <v>87.567997783473302</v>
      </c>
      <c r="AM1057">
        <v>85.458987945236601</v>
      </c>
      <c r="AN1057">
        <v>0.99999996991825502</v>
      </c>
    </row>
    <row r="1058" spans="1:40" x14ac:dyDescent="0.25">
      <c r="A1058" t="str">
        <f>"20190312154817711"</f>
        <v>20190312154817711</v>
      </c>
      <c r="B1058" t="str">
        <f>"1552376897707061"</f>
        <v>1552376897707061</v>
      </c>
      <c r="C1058" t="s">
        <v>40</v>
      </c>
      <c r="D1058">
        <v>4.5095609999999997</v>
      </c>
      <c r="E1058">
        <v>0.5445276</v>
      </c>
      <c r="F1058" t="s">
        <v>45</v>
      </c>
      <c r="G1058">
        <v>-176.0241</v>
      </c>
      <c r="H1058">
        <v>7.9988050000000005E-2</v>
      </c>
      <c r="I1058">
        <v>355.1737</v>
      </c>
      <c r="J1058">
        <v>-244.01570000000001</v>
      </c>
      <c r="K1058">
        <v>1.1099509999999999</v>
      </c>
      <c r="L1058">
        <v>368.55680000000001</v>
      </c>
      <c r="M1058">
        <v>0.9998977</v>
      </c>
      <c r="N1058">
        <v>0</v>
      </c>
      <c r="O1058">
        <v>2.3189560000000001E-3</v>
      </c>
      <c r="P1058">
        <v>0.99664540000000001</v>
      </c>
      <c r="Q1058">
        <v>2.8136049999999999E-2</v>
      </c>
      <c r="R1058">
        <v>-7.6852630000000005E-2</v>
      </c>
      <c r="S1058">
        <v>2.9665370000000002</v>
      </c>
      <c r="T1058">
        <v>-4.4838790000000003E-2</v>
      </c>
      <c r="U1058">
        <v>-0.58261109999999905</v>
      </c>
      <c r="V1058">
        <v>7.917921E-2</v>
      </c>
      <c r="W1058">
        <v>4.216785E-2</v>
      </c>
      <c r="X1058">
        <v>0.99596819999999997</v>
      </c>
      <c r="Y1058">
        <v>0.19496640000000001</v>
      </c>
      <c r="Z1058">
        <v>-1.494146E-3</v>
      </c>
      <c r="AA1058">
        <v>0.98080880000000004</v>
      </c>
      <c r="AB1058">
        <v>28</v>
      </c>
      <c r="AC1058">
        <v>67.991600000000005</v>
      </c>
      <c r="AD1058">
        <v>-1.02996295</v>
      </c>
      <c r="AE1058">
        <v>-13.383100000000001</v>
      </c>
      <c r="AF1058">
        <v>13.5377585574485</v>
      </c>
      <c r="AG1058">
        <v>-1.02996295</v>
      </c>
      <c r="AH1058">
        <v>67.945369120348602</v>
      </c>
      <c r="AI1058">
        <v>90.851723593451794</v>
      </c>
      <c r="AJ1058">
        <v>78.731681484049403</v>
      </c>
      <c r="AK1058">
        <v>69.288562658916305</v>
      </c>
      <c r="AL1058">
        <v>87.583243743349499</v>
      </c>
      <c r="AM1058">
        <v>85.454560550290793</v>
      </c>
      <c r="AN1058">
        <v>1.0000000651405401</v>
      </c>
    </row>
    <row r="1059" spans="1:40" x14ac:dyDescent="0.25">
      <c r="A1059" t="str">
        <f>"20190312154817723"</f>
        <v>20190312154817723</v>
      </c>
      <c r="B1059" t="str">
        <f>"1552376897716822"</f>
        <v>1552376897716822</v>
      </c>
      <c r="C1059" t="s">
        <v>40</v>
      </c>
      <c r="D1059">
        <v>4.5394030000000001</v>
      </c>
      <c r="E1059">
        <v>0.54436070000000003</v>
      </c>
      <c r="F1059" t="s">
        <v>45</v>
      </c>
      <c r="G1059">
        <v>-176.45490000000001</v>
      </c>
      <c r="H1059">
        <v>7.9988030000000002E-2</v>
      </c>
      <c r="I1059">
        <v>355.3408</v>
      </c>
      <c r="J1059">
        <v>-243.86600000000001</v>
      </c>
      <c r="K1059">
        <v>1.10995</v>
      </c>
      <c r="L1059">
        <v>368.55700000000002</v>
      </c>
      <c r="M1059">
        <v>0.99989799999999995</v>
      </c>
      <c r="N1059">
        <v>0</v>
      </c>
      <c r="O1059">
        <v>2.2267070000000001E-3</v>
      </c>
      <c r="P1059">
        <v>0.99664169999999996</v>
      </c>
      <c r="Q1059">
        <v>2.8172570000000001E-2</v>
      </c>
      <c r="R1059">
        <v>-7.6888910000000005E-2</v>
      </c>
      <c r="S1059">
        <v>2.9666290000000002</v>
      </c>
      <c r="T1059">
        <v>-4.5226219999999998E-2</v>
      </c>
      <c r="U1059">
        <v>-0.58032229999999996</v>
      </c>
      <c r="V1059">
        <v>7.9123559999999996E-2</v>
      </c>
      <c r="W1059">
        <v>4.2203119999999997E-2</v>
      </c>
      <c r="X1059">
        <v>0.9959711</v>
      </c>
      <c r="Y1059">
        <v>0.19414110000000001</v>
      </c>
      <c r="Z1059">
        <v>-1.499495E-3</v>
      </c>
      <c r="AA1059">
        <v>0.98097250000000003</v>
      </c>
      <c r="AB1059">
        <v>28</v>
      </c>
      <c r="AC1059">
        <v>67.411099999999905</v>
      </c>
      <c r="AD1059">
        <v>-1.02996197</v>
      </c>
      <c r="AE1059">
        <v>-13.216199999999899</v>
      </c>
      <c r="AF1059">
        <v>13.3632828501239</v>
      </c>
      <c r="AG1059">
        <v>-1.02996197</v>
      </c>
      <c r="AH1059">
        <v>67.366357249053195</v>
      </c>
      <c r="AI1059">
        <v>90.859186369499596</v>
      </c>
      <c r="AJ1059">
        <v>78.780044198016796</v>
      </c>
      <c r="AK1059">
        <v>68.686710790364202</v>
      </c>
      <c r="AL1059">
        <v>87.581221051620403</v>
      </c>
      <c r="AM1059">
        <v>85.457755045876297</v>
      </c>
      <c r="AN1059">
        <v>1.0000000365599999</v>
      </c>
    </row>
    <row r="1060" spans="1:40" x14ac:dyDescent="0.25">
      <c r="A1060" t="str">
        <f>"20190312154817736"</f>
        <v>20190312154817736</v>
      </c>
      <c r="B1060" t="str">
        <f>"1552376897726581"</f>
        <v>1552376897726581</v>
      </c>
      <c r="C1060" t="s">
        <v>40</v>
      </c>
      <c r="D1060">
        <v>4.4684839999999904</v>
      </c>
      <c r="E1060">
        <v>0.54420179999999996</v>
      </c>
      <c r="F1060" t="s">
        <v>45</v>
      </c>
      <c r="G1060">
        <v>-175.66659999999999</v>
      </c>
      <c r="H1060">
        <v>7.9988069999999994E-2</v>
      </c>
      <c r="I1060">
        <v>355.24529999999999</v>
      </c>
      <c r="J1060">
        <v>-243.72239999999999</v>
      </c>
      <c r="K1060">
        <v>1.10995</v>
      </c>
      <c r="L1060">
        <v>368.5573</v>
      </c>
      <c r="M1060">
        <v>0.99989810000000001</v>
      </c>
      <c r="N1060">
        <v>0</v>
      </c>
      <c r="O1060">
        <v>2.1383309999999998E-3</v>
      </c>
      <c r="P1060">
        <v>0.9966372</v>
      </c>
      <c r="Q1060">
        <v>2.811549E-2</v>
      </c>
      <c r="R1060">
        <v>-7.69672E-2</v>
      </c>
      <c r="S1060">
        <v>2.9667210000000002</v>
      </c>
      <c r="T1060">
        <v>-4.4804099999999999E-2</v>
      </c>
      <c r="U1060">
        <v>-0.579071</v>
      </c>
      <c r="V1060">
        <v>7.9113619999999996E-2</v>
      </c>
      <c r="W1060">
        <v>4.2144510000000003E-2</v>
      </c>
      <c r="X1060">
        <v>0.99597440000000004</v>
      </c>
      <c r="Y1060">
        <v>0.19365070000000001</v>
      </c>
      <c r="Z1060">
        <v>-1.4805249999999999E-3</v>
      </c>
      <c r="AA1060">
        <v>0.98106939999999998</v>
      </c>
      <c r="AB1060">
        <v>28</v>
      </c>
      <c r="AC1060">
        <v>68.055800000000005</v>
      </c>
      <c r="AD1060">
        <v>-1.02996193</v>
      </c>
      <c r="AE1060">
        <v>-13.311999999999999</v>
      </c>
      <c r="AF1060">
        <v>13.4545418122882</v>
      </c>
      <c r="AG1060">
        <v>-1.02996193</v>
      </c>
      <c r="AH1060">
        <v>68.012172593971599</v>
      </c>
      <c r="AI1060">
        <v>90.851116949174497</v>
      </c>
      <c r="AJ1060">
        <v>78.809915422711995</v>
      </c>
      <c r="AK1060">
        <v>69.337876646952793</v>
      </c>
      <c r="AL1060">
        <v>87.584582216332805</v>
      </c>
      <c r="AM1060">
        <v>85.458338269037199</v>
      </c>
      <c r="AN1060">
        <v>1.000000065024</v>
      </c>
    </row>
    <row r="1061" spans="1:40" x14ac:dyDescent="0.25">
      <c r="A1061" t="str">
        <f>"20190312154817748"</f>
        <v>20190312154817748</v>
      </c>
      <c r="B1061" t="str">
        <f>"1552376897737317"</f>
        <v>1552376897737317</v>
      </c>
      <c r="C1061" t="s">
        <v>40</v>
      </c>
      <c r="D1061">
        <v>4.5113070000000004</v>
      </c>
      <c r="E1061">
        <v>0.54407519999999998</v>
      </c>
      <c r="F1061" t="s">
        <v>45</v>
      </c>
      <c r="G1061">
        <v>-176.12139999999999</v>
      </c>
      <c r="H1061">
        <v>7.9988050000000005E-2</v>
      </c>
      <c r="I1061">
        <v>355.38189999999997</v>
      </c>
      <c r="J1061">
        <v>-243.5692</v>
      </c>
      <c r="K1061">
        <v>1.10995</v>
      </c>
      <c r="L1061">
        <v>368.5575</v>
      </c>
      <c r="M1061">
        <v>0.99989850000000002</v>
      </c>
      <c r="N1061">
        <v>0</v>
      </c>
      <c r="O1061">
        <v>2.0439970000000001E-3</v>
      </c>
      <c r="P1061">
        <v>0.99663849999999998</v>
      </c>
      <c r="Q1061">
        <v>2.7999650000000001E-2</v>
      </c>
      <c r="R1061">
        <v>-7.6993499999999895E-2</v>
      </c>
      <c r="S1061">
        <v>2.9667509999999999</v>
      </c>
      <c r="T1061">
        <v>-4.5201060000000001E-2</v>
      </c>
      <c r="U1061">
        <v>-0.57821659999999997</v>
      </c>
      <c r="V1061">
        <v>7.9045959999999998E-2</v>
      </c>
      <c r="W1061">
        <v>4.2027309999999998E-2</v>
      </c>
      <c r="X1061">
        <v>0.99598469999999995</v>
      </c>
      <c r="Y1061">
        <v>0.1932837</v>
      </c>
      <c r="Z1061">
        <v>-1.4894719999999999E-3</v>
      </c>
      <c r="AA1061">
        <v>0.98114179999999995</v>
      </c>
      <c r="AB1061">
        <v>28</v>
      </c>
      <c r="AC1061">
        <v>67.447800000000001</v>
      </c>
      <c r="AD1061">
        <v>-1.0299619499999999</v>
      </c>
      <c r="AE1061">
        <v>-13.175599999999999</v>
      </c>
      <c r="AF1061">
        <v>13.3104595230866</v>
      </c>
      <c r="AG1061">
        <v>-1.0299619499999999</v>
      </c>
      <c r="AH1061">
        <v>67.405585071780393</v>
      </c>
      <c r="AI1061">
        <v>90.858833442931001</v>
      </c>
      <c r="AJ1061">
        <v>78.829617388043701</v>
      </c>
      <c r="AK1061">
        <v>68.714933262015194</v>
      </c>
      <c r="AL1061">
        <v>87.591303177261395</v>
      </c>
      <c r="AM1061">
        <v>85.462252917657594</v>
      </c>
      <c r="AN1061">
        <v>1.00000004060612</v>
      </c>
    </row>
    <row r="1062" spans="1:40" x14ac:dyDescent="0.25">
      <c r="A1062" t="str">
        <f>"20190312154817758"</f>
        <v>20190312154817758</v>
      </c>
      <c r="B1062" t="str">
        <f>"1552376897747078"</f>
        <v>1552376897747078</v>
      </c>
      <c r="C1062" t="s">
        <v>40</v>
      </c>
      <c r="D1062">
        <v>4.5028329999999999</v>
      </c>
      <c r="E1062">
        <v>0.54395509999999903</v>
      </c>
      <c r="F1062" t="s">
        <v>45</v>
      </c>
      <c r="G1062">
        <v>-176.8295</v>
      </c>
      <c r="H1062">
        <v>7.9988020000000007E-2</v>
      </c>
      <c r="I1062">
        <v>355.57839999999999</v>
      </c>
      <c r="J1062">
        <v>-243.42089999999999</v>
      </c>
      <c r="K1062">
        <v>1.109947</v>
      </c>
      <c r="L1062">
        <v>368.55770000000001</v>
      </c>
      <c r="M1062">
        <v>0.99989859999999997</v>
      </c>
      <c r="N1062">
        <v>0</v>
      </c>
      <c r="O1062">
        <v>1.9522280000000001E-3</v>
      </c>
      <c r="P1062">
        <v>0.9966218</v>
      </c>
      <c r="Q1062">
        <v>2.7820089999999999E-2</v>
      </c>
      <c r="R1062">
        <v>-7.7270899999999906E-2</v>
      </c>
      <c r="S1062">
        <v>2.966812</v>
      </c>
      <c r="T1062">
        <v>-4.5785430000000002E-2</v>
      </c>
      <c r="U1062">
        <v>-0.57696530000000001</v>
      </c>
      <c r="V1062">
        <v>7.9231979999999994E-2</v>
      </c>
      <c r="W1062">
        <v>4.184628E-2</v>
      </c>
      <c r="X1062">
        <v>0.99597749999999996</v>
      </c>
      <c r="Y1062">
        <v>0.19279070000000001</v>
      </c>
      <c r="Z1062">
        <v>-1.5035840000000001E-3</v>
      </c>
      <c r="AA1062">
        <v>0.98123879999999997</v>
      </c>
      <c r="AB1062">
        <v>28</v>
      </c>
      <c r="AC1062">
        <v>66.591399999999993</v>
      </c>
      <c r="AD1062">
        <v>-1.02995898</v>
      </c>
      <c r="AE1062">
        <v>-12.9793</v>
      </c>
      <c r="AF1062">
        <v>13.106269218286901</v>
      </c>
      <c r="AG1062">
        <v>-1.02995898</v>
      </c>
      <c r="AH1062">
        <v>66.550594226147695</v>
      </c>
      <c r="AI1062">
        <v>90.869950596132298</v>
      </c>
      <c r="AJ1062">
        <v>78.858917857337104</v>
      </c>
      <c r="AK1062">
        <v>67.836691400569194</v>
      </c>
      <c r="AL1062">
        <v>87.601684465212202</v>
      </c>
      <c r="AM1062">
        <v>85.451586184413699</v>
      </c>
      <c r="AN1062">
        <v>0.99999999915540405</v>
      </c>
    </row>
    <row r="1063" spans="1:40" x14ac:dyDescent="0.25">
      <c r="A1063" t="str">
        <f>"20190312154817771"</f>
        <v>20190312154817771</v>
      </c>
      <c r="B1063" t="str">
        <f>"1552376897766597"</f>
        <v>1552376897766597</v>
      </c>
      <c r="C1063" t="s">
        <v>40</v>
      </c>
      <c r="D1063">
        <v>4.4662559999999996</v>
      </c>
      <c r="E1063">
        <v>0.54366999999999999</v>
      </c>
      <c r="F1063" t="s">
        <v>45</v>
      </c>
      <c r="G1063">
        <v>-177.9391</v>
      </c>
      <c r="H1063">
        <v>7.9987970000000005E-2</v>
      </c>
      <c r="I1063">
        <v>355.82229999999998</v>
      </c>
      <c r="J1063">
        <v>-243.2663</v>
      </c>
      <c r="K1063">
        <v>1.109945</v>
      </c>
      <c r="L1063">
        <v>368.55790000000002</v>
      </c>
      <c r="M1063">
        <v>0.99989879999999998</v>
      </c>
      <c r="N1063">
        <v>0</v>
      </c>
      <c r="O1063">
        <v>1.8569400000000001E-3</v>
      </c>
      <c r="P1063">
        <v>0.99660269999999995</v>
      </c>
      <c r="Q1063">
        <v>2.793168E-2</v>
      </c>
      <c r="R1063">
        <v>-7.7479679999999995E-2</v>
      </c>
      <c r="S1063">
        <v>2.966736</v>
      </c>
      <c r="T1063">
        <v>-4.6663639999999999E-2</v>
      </c>
      <c r="U1063">
        <v>-0.57699579999999995</v>
      </c>
      <c r="V1063">
        <v>7.9345650000000004E-2</v>
      </c>
      <c r="W1063">
        <v>4.1955850000000003E-2</v>
      </c>
      <c r="X1063">
        <v>0.99596390000000001</v>
      </c>
      <c r="Y1063">
        <v>0.19271070000000001</v>
      </c>
      <c r="Z1063">
        <v>-1.53035E-3</v>
      </c>
      <c r="AA1063">
        <v>0.98125439999999997</v>
      </c>
      <c r="AB1063">
        <v>28</v>
      </c>
      <c r="AC1063">
        <v>65.327200000000005</v>
      </c>
      <c r="AD1063">
        <v>-1.0299570300000001</v>
      </c>
      <c r="AE1063">
        <v>-12.7356</v>
      </c>
      <c r="AF1063">
        <v>12.853820698473401</v>
      </c>
      <c r="AG1063">
        <v>-1.0299570300000001</v>
      </c>
      <c r="AH1063">
        <v>65.287801307266506</v>
      </c>
      <c r="AI1063">
        <v>90.8867824647524</v>
      </c>
      <c r="AJ1063">
        <v>78.862092706960794</v>
      </c>
      <c r="AK1063">
        <v>66.549068495128196</v>
      </c>
      <c r="AL1063">
        <v>87.595401189455401</v>
      </c>
      <c r="AM1063">
        <v>85.445026314771596</v>
      </c>
      <c r="AN1063">
        <v>1.00000005781317</v>
      </c>
    </row>
    <row r="1064" spans="1:40" x14ac:dyDescent="0.25">
      <c r="A1064" t="str">
        <f>"20190312154817787"</f>
        <v>20190312154817787</v>
      </c>
      <c r="B1064" t="str">
        <f>"1552376897777333"</f>
        <v>1552376897777333</v>
      </c>
      <c r="C1064" t="s">
        <v>40</v>
      </c>
      <c r="D1064">
        <v>4.4631679999999996</v>
      </c>
      <c r="E1064">
        <v>0.54355100000000001</v>
      </c>
      <c r="F1064" t="s">
        <v>45</v>
      </c>
      <c r="G1064">
        <v>-179.83529999999999</v>
      </c>
      <c r="H1064">
        <v>7.9987879999999997E-2</v>
      </c>
      <c r="I1064">
        <v>356.25549999999998</v>
      </c>
      <c r="J1064">
        <v>-243.08160000000001</v>
      </c>
      <c r="K1064">
        <v>1.1099540000000001</v>
      </c>
      <c r="L1064">
        <v>368.55810000000002</v>
      </c>
      <c r="M1064">
        <v>0.99989899999999998</v>
      </c>
      <c r="N1064">
        <v>0</v>
      </c>
      <c r="O1064">
        <v>1.7432929999999999E-3</v>
      </c>
      <c r="P1064">
        <v>0.99657929999999995</v>
      </c>
      <c r="Q1064">
        <v>2.8189720000000001E-2</v>
      </c>
      <c r="R1064">
        <v>-7.7685710000000005E-2</v>
      </c>
      <c r="S1064">
        <v>2.9668269999999999</v>
      </c>
      <c r="T1064">
        <v>-4.8173670000000002E-2</v>
      </c>
      <c r="U1064">
        <v>-0.5754089</v>
      </c>
      <c r="V1064">
        <v>7.9438529999999993E-2</v>
      </c>
      <c r="W1064">
        <v>4.2211690000000003E-2</v>
      </c>
      <c r="X1064">
        <v>0.99594559999999999</v>
      </c>
      <c r="Y1064">
        <v>0.19208629999999999</v>
      </c>
      <c r="Z1064">
        <v>-1.5730469999999999E-3</v>
      </c>
      <c r="AA1064">
        <v>0.98137680000000005</v>
      </c>
      <c r="AB1064">
        <v>28</v>
      </c>
      <c r="AC1064">
        <v>63.246299999999998</v>
      </c>
      <c r="AD1064">
        <v>-1.0299661200000001</v>
      </c>
      <c r="AE1064">
        <v>-12.3026</v>
      </c>
      <c r="AF1064">
        <v>12.4096780268878</v>
      </c>
      <c r="AG1064">
        <v>-1.0299661200000001</v>
      </c>
      <c r="AH1064">
        <v>63.208602850049203</v>
      </c>
      <c r="AI1064">
        <v>90.916051105323206</v>
      </c>
      <c r="AJ1064">
        <v>78.892455927791801</v>
      </c>
      <c r="AK1064">
        <v>64.423508234142403</v>
      </c>
      <c r="AL1064">
        <v>87.580729433756801</v>
      </c>
      <c r="AM1064">
        <v>85.439633415489098</v>
      </c>
      <c r="AN1064">
        <v>0.99999997249028805</v>
      </c>
    </row>
    <row r="1065" spans="1:40" x14ac:dyDescent="0.25">
      <c r="A1065" t="str">
        <f>"20190312154817799"</f>
        <v>20190312154817799</v>
      </c>
      <c r="B1065" t="str">
        <f>"1552376897787093"</f>
        <v>1552376897787093</v>
      </c>
      <c r="C1065" t="s">
        <v>40</v>
      </c>
      <c r="D1065">
        <v>4.4717659999999997</v>
      </c>
      <c r="E1065">
        <v>0.54344550000000003</v>
      </c>
      <c r="F1065" t="s">
        <v>45</v>
      </c>
      <c r="G1065">
        <v>-179.9718</v>
      </c>
      <c r="H1065">
        <v>7.8151449999999997E-2</v>
      </c>
      <c r="I1065">
        <v>356.32670000000002</v>
      </c>
      <c r="J1065">
        <v>-242.91829999999999</v>
      </c>
      <c r="K1065">
        <v>1.1099559999999999</v>
      </c>
      <c r="L1065">
        <v>368.55829999999997</v>
      </c>
      <c r="M1065">
        <v>0.99989910000000004</v>
      </c>
      <c r="N1065">
        <v>0</v>
      </c>
      <c r="O1065">
        <v>1.6427600000000001E-3</v>
      </c>
      <c r="P1065">
        <v>0.99655490000000002</v>
      </c>
      <c r="Q1065">
        <v>2.845613E-2</v>
      </c>
      <c r="R1065">
        <v>-7.7901629999999999E-2</v>
      </c>
      <c r="S1065">
        <v>2.9668580000000002</v>
      </c>
      <c r="T1065">
        <v>-4.8506140000000003E-2</v>
      </c>
      <c r="U1065">
        <v>-0.57501219999999997</v>
      </c>
      <c r="V1065">
        <v>7.9554199999999894E-2</v>
      </c>
      <c r="W1065">
        <v>4.2476569999999998E-2</v>
      </c>
      <c r="X1065">
        <v>0.99592510000000001</v>
      </c>
      <c r="Y1065">
        <v>0.1918589</v>
      </c>
      <c r="Z1065">
        <v>-1.580436E-3</v>
      </c>
      <c r="AA1065">
        <v>0.98142119999999999</v>
      </c>
      <c r="AB1065">
        <v>28</v>
      </c>
      <c r="AC1065">
        <v>62.946499999999901</v>
      </c>
      <c r="AD1065">
        <v>-1.0318045499999999</v>
      </c>
      <c r="AE1065">
        <v>-12.231599999999901</v>
      </c>
      <c r="AF1065">
        <v>12.331806905536601</v>
      </c>
      <c r="AG1065">
        <v>-1.0318045499999999</v>
      </c>
      <c r="AH1065">
        <v>62.9100311925299</v>
      </c>
      <c r="AI1065">
        <v>90.922093818672906</v>
      </c>
      <c r="AJ1065">
        <v>78.909340802851204</v>
      </c>
      <c r="AK1065">
        <v>64.1155995591551</v>
      </c>
      <c r="AL1065">
        <v>87.565539290253597</v>
      </c>
      <c r="AM1065">
        <v>85.432927552899699</v>
      </c>
      <c r="AN1065">
        <v>0.99999996727330598</v>
      </c>
    </row>
    <row r="1066" spans="1:40" x14ac:dyDescent="0.25">
      <c r="A1066" t="str">
        <f>"20190312154817814"</f>
        <v>20190312154817814</v>
      </c>
      <c r="B1066" t="str">
        <f>"1552376897806612"</f>
        <v>1552376897806612</v>
      </c>
      <c r="C1066" t="s">
        <v>40</v>
      </c>
      <c r="D1066">
        <v>4.4810869999999996</v>
      </c>
      <c r="E1066">
        <v>0.54325730000000005</v>
      </c>
      <c r="F1066" t="s">
        <v>45</v>
      </c>
      <c r="G1066">
        <v>-179.65090000000001</v>
      </c>
      <c r="H1066">
        <v>7.9987899999999904E-2</v>
      </c>
      <c r="I1066">
        <v>356.30919999999998</v>
      </c>
      <c r="J1066">
        <v>-242.73939999999999</v>
      </c>
      <c r="K1066">
        <v>1.109958</v>
      </c>
      <c r="L1066">
        <v>368.55849999999998</v>
      </c>
      <c r="M1066">
        <v>0.99989950000000005</v>
      </c>
      <c r="N1066">
        <v>0</v>
      </c>
      <c r="O1066">
        <v>1.532573E-3</v>
      </c>
      <c r="P1066">
        <v>0.99655009999999999</v>
      </c>
      <c r="Q1066">
        <v>2.8456249999999999E-2</v>
      </c>
      <c r="R1066">
        <v>-7.7961799999999998E-2</v>
      </c>
      <c r="S1066">
        <v>2.9668269999999999</v>
      </c>
      <c r="T1066">
        <v>-4.8298720000000003E-2</v>
      </c>
      <c r="U1066">
        <v>-0.57440190000000002</v>
      </c>
      <c r="V1066">
        <v>7.9504740000000004E-2</v>
      </c>
      <c r="W1066">
        <v>4.2474659999999997E-2</v>
      </c>
      <c r="X1066">
        <v>0.99592919999999996</v>
      </c>
      <c r="Y1066">
        <v>0.19155839999999999</v>
      </c>
      <c r="Z1066">
        <v>-1.5695240000000001E-3</v>
      </c>
      <c r="AA1066">
        <v>0.98147989999999996</v>
      </c>
      <c r="AB1066">
        <v>28</v>
      </c>
      <c r="AC1066">
        <v>63.088499999999897</v>
      </c>
      <c r="AD1066">
        <v>-1.0299700999999899</v>
      </c>
      <c r="AE1066">
        <v>-12.2493</v>
      </c>
      <c r="AF1066">
        <v>12.3428127100143</v>
      </c>
      <c r="AG1066">
        <v>-1.0299700999999899</v>
      </c>
      <c r="AH1066">
        <v>63.053455872595897</v>
      </c>
      <c r="AI1066">
        <v>90.918408352423896</v>
      </c>
      <c r="AJ1066">
        <v>78.924312750656995</v>
      </c>
      <c r="AK1066">
        <v>64.258417047720599</v>
      </c>
      <c r="AL1066">
        <v>87.565648991257305</v>
      </c>
      <c r="AM1066">
        <v>85.435773677701206</v>
      </c>
      <c r="AN1066">
        <v>1.0000000359186101</v>
      </c>
    </row>
    <row r="1067" spans="1:40" x14ac:dyDescent="0.25">
      <c r="A1067" t="str">
        <f>"20190312154817829"</f>
        <v>20190312154817829</v>
      </c>
      <c r="B1067" t="str">
        <f>"1552376897817349"</f>
        <v>1552376897817349</v>
      </c>
      <c r="C1067" t="s">
        <v>40</v>
      </c>
      <c r="D1067">
        <v>4.493061</v>
      </c>
      <c r="E1067">
        <v>0.54316489999999995</v>
      </c>
      <c r="F1067" t="s">
        <v>45</v>
      </c>
      <c r="G1067">
        <v>-179.99930000000001</v>
      </c>
      <c r="H1067">
        <v>5.0674190000000001E-2</v>
      </c>
      <c r="I1067">
        <v>356.43729999999999</v>
      </c>
      <c r="J1067">
        <v>-242.559</v>
      </c>
      <c r="K1067">
        <v>1.1099600000000001</v>
      </c>
      <c r="L1067">
        <v>368.55860000000001</v>
      </c>
      <c r="M1067">
        <v>0.9998996</v>
      </c>
      <c r="N1067">
        <v>0</v>
      </c>
      <c r="O1067">
        <v>1.421613E-3</v>
      </c>
      <c r="P1067">
        <v>0.99651310000000004</v>
      </c>
      <c r="Q1067">
        <v>2.875192E-2</v>
      </c>
      <c r="R1067">
        <v>-7.8326489999999999E-2</v>
      </c>
      <c r="S1067">
        <v>2.96698</v>
      </c>
      <c r="T1067">
        <v>-5.0093529999999997E-2</v>
      </c>
      <c r="U1067">
        <v>-0.57321169999999899</v>
      </c>
      <c r="V1067">
        <v>7.9758739999999995E-2</v>
      </c>
      <c r="W1067">
        <v>4.2768140000000003E-2</v>
      </c>
      <c r="X1067">
        <v>0.99589629999999996</v>
      </c>
      <c r="Y1067">
        <v>0.1910587</v>
      </c>
      <c r="Z1067">
        <v>-1.621784E-3</v>
      </c>
      <c r="AA1067">
        <v>0.98157729999999999</v>
      </c>
      <c r="AB1067">
        <v>28</v>
      </c>
      <c r="AC1067">
        <v>62.559699999999999</v>
      </c>
      <c r="AD1067">
        <v>-1.05928581</v>
      </c>
      <c r="AE1067">
        <v>-12.1213</v>
      </c>
      <c r="AF1067">
        <v>12.206859122897701</v>
      </c>
      <c r="AG1067">
        <v>-1.05928581</v>
      </c>
      <c r="AH1067">
        <v>62.525125550794897</v>
      </c>
      <c r="AI1067">
        <v>90.952617179978205</v>
      </c>
      <c r="AJ1067">
        <v>78.953026641940596</v>
      </c>
      <c r="AK1067">
        <v>63.714369032551801</v>
      </c>
      <c r="AL1067">
        <v>87.548818457609997</v>
      </c>
      <c r="AM1067">
        <v>85.421103273778797</v>
      </c>
      <c r="AN1067">
        <v>1.0000000053795599</v>
      </c>
    </row>
    <row r="1068" spans="1:40" x14ac:dyDescent="0.25">
      <c r="A1068" t="str">
        <f>"20190312154817843"</f>
        <v>20190312154817843</v>
      </c>
      <c r="B1068" t="str">
        <f>"1552376897836869"</f>
        <v>1552376897836869</v>
      </c>
      <c r="C1068" t="s">
        <v>40</v>
      </c>
      <c r="D1068">
        <v>4.6089089999999997</v>
      </c>
      <c r="E1068">
        <v>0.543095199999999</v>
      </c>
      <c r="F1068" t="s">
        <v>45</v>
      </c>
      <c r="G1068">
        <v>-179.99590000000001</v>
      </c>
      <c r="H1068">
        <v>5.412873E-2</v>
      </c>
      <c r="I1068">
        <v>356.46339999999998</v>
      </c>
      <c r="J1068">
        <v>-242.3698</v>
      </c>
      <c r="K1068">
        <v>1.109961</v>
      </c>
      <c r="L1068">
        <v>368.55880000000002</v>
      </c>
      <c r="M1068">
        <v>0.99989980000000001</v>
      </c>
      <c r="N1068">
        <v>0</v>
      </c>
      <c r="O1068">
        <v>1.3046959999999999E-3</v>
      </c>
      <c r="P1068">
        <v>0.99653179999999997</v>
      </c>
      <c r="Q1068">
        <v>2.8483689999999999E-2</v>
      </c>
      <c r="R1068">
        <v>-7.8185909999999997E-2</v>
      </c>
      <c r="S1068">
        <v>2.9668730000000001</v>
      </c>
      <c r="T1068">
        <v>-5.006969E-2</v>
      </c>
      <c r="U1068">
        <v>-0.57357789999999997</v>
      </c>
      <c r="V1068">
        <v>7.9501530000000001E-2</v>
      </c>
      <c r="W1068">
        <v>4.2498960000000002E-2</v>
      </c>
      <c r="X1068">
        <v>0.99592840000000005</v>
      </c>
      <c r="Y1068">
        <v>0.1910673</v>
      </c>
      <c r="Z1068">
        <v>-1.6191679999999901E-3</v>
      </c>
      <c r="AA1068">
        <v>0.98157559999999999</v>
      </c>
      <c r="AB1068">
        <v>28</v>
      </c>
      <c r="AC1068">
        <v>62.3738999999999</v>
      </c>
      <c r="AD1068">
        <v>-1.05583227</v>
      </c>
      <c r="AE1068">
        <v>-12.0954</v>
      </c>
      <c r="AF1068">
        <v>12.173415021406599</v>
      </c>
      <c r="AG1068">
        <v>-1.05583227</v>
      </c>
      <c r="AH1068">
        <v>62.340848797064901</v>
      </c>
      <c r="AI1068">
        <v>90.9523109001764</v>
      </c>
      <c r="AJ1068">
        <v>78.950784581444495</v>
      </c>
      <c r="AK1068">
        <v>63.5270670171722</v>
      </c>
      <c r="AL1068">
        <v>87.564255397961105</v>
      </c>
      <c r="AM1068">
        <v>85.435953528870499</v>
      </c>
      <c r="AN1068">
        <v>1.00000001639999</v>
      </c>
    </row>
    <row r="1069" spans="1:40" x14ac:dyDescent="0.25">
      <c r="A1069" t="str">
        <f>"20190312154817858"</f>
        <v>20190312154817858</v>
      </c>
      <c r="B1069" t="str">
        <f>"1552376897846630"</f>
        <v>1552376897846630</v>
      </c>
      <c r="C1069" t="s">
        <v>40</v>
      </c>
      <c r="D1069">
        <v>4.6522209999999999</v>
      </c>
      <c r="E1069">
        <v>0.51711249999999997</v>
      </c>
      <c r="F1069" t="s">
        <v>45</v>
      </c>
      <c r="G1069">
        <v>-180</v>
      </c>
      <c r="H1069">
        <v>2.5539940000000001E-2</v>
      </c>
      <c r="I1069">
        <v>356.52330000000001</v>
      </c>
      <c r="J1069">
        <v>-242.1952</v>
      </c>
      <c r="K1069">
        <v>1.1099540000000001</v>
      </c>
      <c r="L1069">
        <v>368.55889999999999</v>
      </c>
      <c r="M1069">
        <v>0.99990000000000001</v>
      </c>
      <c r="N1069">
        <v>0</v>
      </c>
      <c r="O1069">
        <v>1.1972479999999999E-3</v>
      </c>
      <c r="P1069">
        <v>0.99651610000000002</v>
      </c>
      <c r="Q1069">
        <v>2.8362490000000001E-2</v>
      </c>
      <c r="R1069">
        <v>-7.8432189999999999E-2</v>
      </c>
      <c r="S1069">
        <v>2.9669949999999998</v>
      </c>
      <c r="T1069">
        <v>-5.1586989999999999E-2</v>
      </c>
      <c r="U1069">
        <v>-0.5725403</v>
      </c>
      <c r="V1069">
        <v>7.9640569999999994E-2</v>
      </c>
      <c r="W1069">
        <v>4.2375099999999999E-2</v>
      </c>
      <c r="X1069">
        <v>0.99592259999999999</v>
      </c>
      <c r="Y1069">
        <v>0.19062180000000001</v>
      </c>
      <c r="Z1069">
        <v>-1.6625260000000001E-3</v>
      </c>
      <c r="AA1069">
        <v>0.98166220000000004</v>
      </c>
      <c r="AB1069">
        <v>28</v>
      </c>
      <c r="AC1069">
        <v>62.1952</v>
      </c>
      <c r="AD1069">
        <v>-1.0844140600000001</v>
      </c>
      <c r="AE1069">
        <v>-12.035599999999899</v>
      </c>
      <c r="AF1069">
        <v>12.1065142862854</v>
      </c>
      <c r="AG1069">
        <v>-1.0844140600000001</v>
      </c>
      <c r="AH1069">
        <v>62.1625289695533</v>
      </c>
      <c r="AI1069">
        <v>90.980985664928596</v>
      </c>
      <c r="AJ1069">
        <v>78.979269612520298</v>
      </c>
      <c r="AK1069">
        <v>63.339747788478803</v>
      </c>
      <c r="AL1069">
        <v>87.571358527120196</v>
      </c>
      <c r="AM1069">
        <v>85.427978778822407</v>
      </c>
      <c r="AN1069">
        <v>1.0000000473403401</v>
      </c>
    </row>
    <row r="1070" spans="1:40" x14ac:dyDescent="0.25">
      <c r="A1070" t="str">
        <f>"20190312154817875"</f>
        <v>20190312154817875</v>
      </c>
      <c r="B1070" t="str">
        <f>"1552376897867125"</f>
        <v>1552376897867125</v>
      </c>
      <c r="C1070" t="s">
        <v>40</v>
      </c>
      <c r="D1070">
        <v>4.5784200000000004</v>
      </c>
      <c r="E1070">
        <v>0.49732320000000002</v>
      </c>
      <c r="F1070" t="s">
        <v>45</v>
      </c>
      <c r="G1070">
        <v>-177.4136</v>
      </c>
      <c r="H1070">
        <v>7.9987989999999995E-2</v>
      </c>
      <c r="I1070">
        <v>360.59390000000002</v>
      </c>
      <c r="J1070">
        <v>-241.97839999999999</v>
      </c>
      <c r="K1070">
        <v>1.109953</v>
      </c>
      <c r="L1070">
        <v>368.55900000000003</v>
      </c>
      <c r="M1070">
        <v>0.99990020000000002</v>
      </c>
      <c r="N1070">
        <v>0</v>
      </c>
      <c r="O1070">
        <v>1.063345E-3</v>
      </c>
      <c r="P1070">
        <v>0.99651389999999995</v>
      </c>
      <c r="Q1070">
        <v>2.8160339999999999E-2</v>
      </c>
      <c r="R1070">
        <v>-7.8530420000000004E-2</v>
      </c>
      <c r="S1070">
        <v>2.982971</v>
      </c>
      <c r="T1070">
        <v>-4.7426459999999997E-2</v>
      </c>
      <c r="U1070">
        <v>-0.36676029999999998</v>
      </c>
      <c r="V1070">
        <v>7.9605399999999896E-2</v>
      </c>
      <c r="W1070">
        <v>4.217166E-2</v>
      </c>
      <c r="X1070">
        <v>0.99593399999999999</v>
      </c>
      <c r="Y1070">
        <v>0.1230724</v>
      </c>
      <c r="Z1070">
        <v>-9.9148079999999993E-4</v>
      </c>
      <c r="AA1070">
        <v>0.99239719999999998</v>
      </c>
      <c r="AB1070">
        <v>28</v>
      </c>
      <c r="AC1070">
        <v>64.564799999999906</v>
      </c>
      <c r="AD1070">
        <v>-1.02996501</v>
      </c>
      <c r="AE1070">
        <v>-7.9650999999999996</v>
      </c>
      <c r="AF1070">
        <v>8.0317436906958193</v>
      </c>
      <c r="AG1070">
        <v>-1.02996501</v>
      </c>
      <c r="AH1070">
        <v>64.540115060044101</v>
      </c>
      <c r="AI1070">
        <v>90.907281251492293</v>
      </c>
      <c r="AJ1070">
        <v>82.906252827093994</v>
      </c>
      <c r="AK1070">
        <v>65.046108158740694</v>
      </c>
      <c r="AL1070">
        <v>87.583025095726299</v>
      </c>
      <c r="AM1070">
        <v>85.430041359866095</v>
      </c>
      <c r="AN1070">
        <v>1.00000000048615</v>
      </c>
    </row>
    <row r="1071" spans="1:40" x14ac:dyDescent="0.25">
      <c r="A1071" t="str">
        <f>"20190312154817887"</f>
        <v>20190312154817887</v>
      </c>
      <c r="B1071" t="str">
        <f>"1552376897876885"</f>
        <v>1552376897876885</v>
      </c>
      <c r="C1071" t="s">
        <v>40</v>
      </c>
      <c r="D1071">
        <v>4.448353</v>
      </c>
      <c r="E1071">
        <v>0.48859360000000002</v>
      </c>
      <c r="F1071" t="s">
        <v>45</v>
      </c>
      <c r="G1071">
        <v>-177.3766</v>
      </c>
      <c r="H1071">
        <v>7.9988000000000004E-2</v>
      </c>
      <c r="I1071">
        <v>364.03649999999999</v>
      </c>
      <c r="J1071">
        <v>-241.8193</v>
      </c>
      <c r="K1071">
        <v>1.1099509999999999</v>
      </c>
      <c r="L1071">
        <v>368.55900000000003</v>
      </c>
      <c r="M1071">
        <v>0.99990029999999996</v>
      </c>
      <c r="N1071">
        <v>0</v>
      </c>
      <c r="O1071">
        <v>9.6496039999999998E-4</v>
      </c>
      <c r="P1071">
        <v>0.99650589999999994</v>
      </c>
      <c r="Q1071">
        <v>2.8052649999999998E-2</v>
      </c>
      <c r="R1071">
        <v>-7.8673679999999996E-2</v>
      </c>
      <c r="S1071">
        <v>2.9952999999999999</v>
      </c>
      <c r="T1071">
        <v>-4.775488E-2</v>
      </c>
      <c r="U1071">
        <v>-0.20968629999999999</v>
      </c>
      <c r="V1071">
        <v>7.9650269999999995E-2</v>
      </c>
      <c r="W1071">
        <v>4.2061620000000001E-2</v>
      </c>
      <c r="X1071">
        <v>0.99593509999999996</v>
      </c>
      <c r="Y1071">
        <v>7.0787790000000003E-2</v>
      </c>
      <c r="Z1071">
        <v>-5.7893549999999999E-4</v>
      </c>
      <c r="AA1071">
        <v>0.99749120000000002</v>
      </c>
      <c r="AB1071">
        <v>28</v>
      </c>
      <c r="AC1071">
        <v>64.442700000000002</v>
      </c>
      <c r="AD1071">
        <v>-1.029963</v>
      </c>
      <c r="AE1071">
        <v>-4.5225000000000302</v>
      </c>
      <c r="AF1071">
        <v>4.5835236233638899</v>
      </c>
      <c r="AG1071">
        <v>-1.029963</v>
      </c>
      <c r="AH1071">
        <v>64.4219299761847</v>
      </c>
      <c r="AI1071">
        <v>90.9136445367551</v>
      </c>
      <c r="AJ1071">
        <v>85.930349046269598</v>
      </c>
      <c r="AK1071">
        <v>64.592991682099296</v>
      </c>
      <c r="AL1071">
        <v>87.589335604344896</v>
      </c>
      <c r="AM1071">
        <v>85.4274814277655</v>
      </c>
      <c r="AN1071">
        <v>1.0000000344000499</v>
      </c>
    </row>
    <row r="1072" spans="1:40" x14ac:dyDescent="0.25">
      <c r="A1072" t="str">
        <f>"20190312154817899"</f>
        <v>20190312154817899</v>
      </c>
      <c r="B1072" t="str">
        <f>"1552376897886645"</f>
        <v>1552376897886645</v>
      </c>
      <c r="C1072" t="s">
        <v>40</v>
      </c>
      <c r="D1072">
        <v>4.527336</v>
      </c>
      <c r="E1072">
        <v>0.48232320000000001</v>
      </c>
      <c r="F1072" t="s">
        <v>43</v>
      </c>
      <c r="G1072">
        <v>-160.4957</v>
      </c>
      <c r="H1072">
        <v>-0.05</v>
      </c>
      <c r="I1072">
        <v>364.74770000000001</v>
      </c>
      <c r="J1072">
        <v>-241.6696</v>
      </c>
      <c r="K1072">
        <v>1.1099509999999999</v>
      </c>
      <c r="L1072">
        <v>368.5591</v>
      </c>
      <c r="M1072">
        <v>0.99990029999999996</v>
      </c>
      <c r="N1072">
        <v>0</v>
      </c>
      <c r="O1072">
        <v>8.7265179999999995E-4</v>
      </c>
      <c r="P1072">
        <v>0.99650439999999996</v>
      </c>
      <c r="Q1072">
        <v>2.7945049999999999E-2</v>
      </c>
      <c r="R1072">
        <v>-7.8727420000000006E-2</v>
      </c>
      <c r="S1072">
        <v>3.000626</v>
      </c>
      <c r="T1072">
        <v>-4.2799120000000003E-2</v>
      </c>
      <c r="U1072">
        <v>-0.140625</v>
      </c>
      <c r="V1072">
        <v>7.961203E-2</v>
      </c>
      <c r="W1072">
        <v>4.1952990000000003E-2</v>
      </c>
      <c r="X1072">
        <v>0.99594269999999996</v>
      </c>
      <c r="Y1072">
        <v>4.7680680000000003E-2</v>
      </c>
      <c r="Z1072">
        <v>-3.5228130000000002E-4</v>
      </c>
      <c r="AA1072">
        <v>0.99886260000000004</v>
      </c>
      <c r="AB1072">
        <v>28</v>
      </c>
      <c r="AC1072">
        <v>81.173900000000003</v>
      </c>
      <c r="AD1072">
        <v>-1.159951</v>
      </c>
      <c r="AE1072">
        <v>-3.8113999999999901</v>
      </c>
      <c r="AF1072">
        <v>3.8814513026212101</v>
      </c>
      <c r="AG1072">
        <v>-1.159951</v>
      </c>
      <c r="AH1072">
        <v>81.154007889329804</v>
      </c>
      <c r="AI1072">
        <v>90.817949767238801</v>
      </c>
      <c r="AJ1072">
        <v>87.261731855528893</v>
      </c>
      <c r="AK1072">
        <v>81.255056132147402</v>
      </c>
      <c r="AL1072">
        <v>87.595565049113105</v>
      </c>
      <c r="AM1072">
        <v>85.429702114356402</v>
      </c>
      <c r="AN1072">
        <v>0.99999999518697502</v>
      </c>
    </row>
    <row r="1073" spans="1:40" x14ac:dyDescent="0.25">
      <c r="A1073" t="str">
        <f>"20190312154817911"</f>
        <v>20190312154817911</v>
      </c>
      <c r="B1073" t="str">
        <f>"1552376897906672"</f>
        <v>1552376897906672</v>
      </c>
      <c r="C1073" t="s">
        <v>40</v>
      </c>
      <c r="D1073">
        <v>4.5433909999999997</v>
      </c>
      <c r="E1073">
        <v>0.47443540000000001</v>
      </c>
      <c r="F1073" t="s">
        <v>43</v>
      </c>
      <c r="G1073">
        <v>-161.50399999999999</v>
      </c>
      <c r="H1073">
        <v>-0.05</v>
      </c>
      <c r="I1073">
        <v>366.13510000000002</v>
      </c>
      <c r="J1073">
        <v>-241.53210000000001</v>
      </c>
      <c r="K1073">
        <v>1.10995</v>
      </c>
      <c r="L1073">
        <v>368.5591</v>
      </c>
      <c r="M1073">
        <v>0.99990049999999997</v>
      </c>
      <c r="N1073">
        <v>0</v>
      </c>
      <c r="O1073">
        <v>7.8784999999999999E-4</v>
      </c>
      <c r="P1073">
        <v>0.99649449999999995</v>
      </c>
      <c r="Q1073">
        <v>2.7759969999999998E-2</v>
      </c>
      <c r="R1073">
        <v>-7.8919779999999995E-2</v>
      </c>
      <c r="S1073">
        <v>3.0045470000000001</v>
      </c>
      <c r="T1073">
        <v>-4.3474079999999998E-2</v>
      </c>
      <c r="U1073">
        <v>-9.0850829999999994E-2</v>
      </c>
      <c r="V1073">
        <v>7.9719890000000002E-2</v>
      </c>
      <c r="W1073">
        <v>4.1766709999999999E-2</v>
      </c>
      <c r="X1073">
        <v>0.99594190000000005</v>
      </c>
      <c r="Y1073">
        <v>3.10082E-2</v>
      </c>
      <c r="Z1073">
        <v>-2.3567020000000001E-4</v>
      </c>
      <c r="AA1073">
        <v>0.99951909999999999</v>
      </c>
      <c r="AB1073">
        <v>28</v>
      </c>
      <c r="AC1073">
        <v>80.028099999999995</v>
      </c>
      <c r="AD1073">
        <v>-1.15995</v>
      </c>
      <c r="AE1073">
        <v>-2.4239999999999702</v>
      </c>
      <c r="AF1073">
        <v>2.4865337378812402</v>
      </c>
      <c r="AG1073">
        <v>-1.15995</v>
      </c>
      <c r="AH1073">
        <v>80.009371917020601</v>
      </c>
      <c r="AI1073">
        <v>90.830196726132598</v>
      </c>
      <c r="AJ1073">
        <v>88.219932931670002</v>
      </c>
      <c r="AK1073">
        <v>80.056404669384406</v>
      </c>
      <c r="AL1073">
        <v>87.606247466292601</v>
      </c>
      <c r="AM1073">
        <v>85.423532805944703</v>
      </c>
      <c r="AN1073">
        <v>0.999999993550723</v>
      </c>
    </row>
    <row r="1074" spans="1:40" x14ac:dyDescent="0.25">
      <c r="A1074" t="str">
        <f>"20190312154817923"</f>
        <v>20190312154817923</v>
      </c>
      <c r="B1074" t="str">
        <f>"1552376897917409"</f>
        <v>1552376897917409</v>
      </c>
      <c r="C1074" t="s">
        <v>40</v>
      </c>
      <c r="D1074">
        <v>4.5548520000000003</v>
      </c>
      <c r="E1074">
        <v>0.4717363</v>
      </c>
      <c r="F1074" t="s">
        <v>45</v>
      </c>
      <c r="G1074">
        <v>-185.65219999999999</v>
      </c>
      <c r="H1074" s="1">
        <v>-8.6902080000000005E-6</v>
      </c>
      <c r="I1074">
        <v>368.03739999999999</v>
      </c>
      <c r="J1074">
        <v>-241.3732</v>
      </c>
      <c r="K1074">
        <v>1.1099509999999999</v>
      </c>
      <c r="L1074">
        <v>368.5591</v>
      </c>
      <c r="M1074">
        <v>0.99990069999999998</v>
      </c>
      <c r="N1074">
        <v>0</v>
      </c>
      <c r="O1074">
        <v>6.8981659999999998E-4</v>
      </c>
      <c r="P1074">
        <v>0.9964731</v>
      </c>
      <c r="Q1074">
        <v>2.7703970000000001E-2</v>
      </c>
      <c r="R1074">
        <v>-7.9208000000000001E-2</v>
      </c>
      <c r="S1074">
        <v>3.0100099999999999</v>
      </c>
      <c r="T1074">
        <v>-5.9788699999999903E-2</v>
      </c>
      <c r="U1074">
        <v>-2.810669E-2</v>
      </c>
      <c r="V1074">
        <v>7.9910529999999994E-2</v>
      </c>
      <c r="W1074">
        <v>4.1708599999999998E-2</v>
      </c>
      <c r="X1074">
        <v>0.99592910000000001</v>
      </c>
      <c r="Y1074">
        <v>1.0025070000000001E-2</v>
      </c>
      <c r="Z1074">
        <v>-1.132552E-4</v>
      </c>
      <c r="AA1074">
        <v>0.9999498</v>
      </c>
      <c r="AB1074">
        <v>28</v>
      </c>
      <c r="AC1074">
        <v>55.720999999999997</v>
      </c>
      <c r="AD1074">
        <v>-1.109959690208</v>
      </c>
      <c r="AE1074">
        <v>-0.52170000000000905</v>
      </c>
      <c r="AF1074">
        <v>0.55991879583719295</v>
      </c>
      <c r="AG1074">
        <v>-1.109959690208</v>
      </c>
      <c r="AH1074">
        <v>55.698527336926396</v>
      </c>
      <c r="AI1074">
        <v>91.141580941960896</v>
      </c>
      <c r="AJ1074">
        <v>89.424043959314304</v>
      </c>
      <c r="AK1074">
        <v>55.712399581010303</v>
      </c>
      <c r="AL1074">
        <v>87.609579929811105</v>
      </c>
      <c r="AM1074">
        <v>85.412576713565002</v>
      </c>
      <c r="AN1074">
        <v>1.0000000361728201</v>
      </c>
    </row>
    <row r="1075" spans="1:40" x14ac:dyDescent="0.25">
      <c r="A1075" t="str">
        <f>"20190312154817935"</f>
        <v>20190312154817935</v>
      </c>
      <c r="B1075" t="str">
        <f>"1552376897927169"</f>
        <v>1552376897927169</v>
      </c>
      <c r="C1075" t="s">
        <v>40</v>
      </c>
      <c r="D1075">
        <v>4.5422699999999896</v>
      </c>
      <c r="E1075">
        <v>0.46967940000000002</v>
      </c>
      <c r="F1075" t="s">
        <v>45</v>
      </c>
      <c r="G1075">
        <v>-192.29169999999999</v>
      </c>
      <c r="H1075" s="1">
        <v>-6.2877540000000002E-6</v>
      </c>
      <c r="I1075">
        <v>368.43979999999999</v>
      </c>
      <c r="J1075">
        <v>-241.2286</v>
      </c>
      <c r="K1075">
        <v>1.109952</v>
      </c>
      <c r="L1075">
        <v>368.5591</v>
      </c>
      <c r="M1075">
        <v>0.99990069999999998</v>
      </c>
      <c r="N1075">
        <v>0</v>
      </c>
      <c r="O1075">
        <v>6.0084389999999998E-4</v>
      </c>
      <c r="P1075">
        <v>0.99647300000000005</v>
      </c>
      <c r="Q1075">
        <v>2.7579360000000001E-2</v>
      </c>
      <c r="R1075">
        <v>-7.9255969999999995E-2</v>
      </c>
      <c r="S1075">
        <v>3.0119319999999998</v>
      </c>
      <c r="T1075">
        <v>-6.8113569999999998E-2</v>
      </c>
      <c r="U1075">
        <v>-7.3242189999999999E-3</v>
      </c>
      <c r="V1075">
        <v>7.9869449999999995E-2</v>
      </c>
      <c r="W1075">
        <v>4.158282E-2</v>
      </c>
      <c r="X1075">
        <v>0.99593759999999998</v>
      </c>
      <c r="Y1075">
        <v>3.0317E-3</v>
      </c>
      <c r="Z1075" s="1">
        <v>-4.7863289999999999E-5</v>
      </c>
      <c r="AA1075">
        <v>0.99999539999999998</v>
      </c>
      <c r="AB1075">
        <v>28</v>
      </c>
      <c r="AC1075">
        <v>48.936900000000001</v>
      </c>
      <c r="AD1075">
        <v>-1.109958287754</v>
      </c>
      <c r="AE1075">
        <v>-0.119300000000009</v>
      </c>
      <c r="AF1075">
        <v>0.14862986935825501</v>
      </c>
      <c r="AG1075">
        <v>-1.109958287754</v>
      </c>
      <c r="AH1075">
        <v>48.911657184690299</v>
      </c>
      <c r="AI1075">
        <v>91.299991087131801</v>
      </c>
      <c r="AJ1075">
        <v>89.825893488333094</v>
      </c>
      <c r="AK1075">
        <v>48.924475539256299</v>
      </c>
      <c r="AL1075">
        <v>87.616792720030602</v>
      </c>
      <c r="AM1075">
        <v>85.414963900244999</v>
      </c>
      <c r="AN1075">
        <v>0.99999998152810698</v>
      </c>
    </row>
    <row r="1076" spans="1:40" x14ac:dyDescent="0.25">
      <c r="A1076" t="str">
        <f>"20190312154817947"</f>
        <v>20190312154817947</v>
      </c>
      <c r="B1076" t="str">
        <f>"1552376897937263"</f>
        <v>1552376897937263</v>
      </c>
      <c r="C1076" t="s">
        <v>40</v>
      </c>
      <c r="D1076">
        <v>4.5582050000000001</v>
      </c>
      <c r="E1076">
        <v>0.46800269999999999</v>
      </c>
      <c r="F1076" t="s">
        <v>45</v>
      </c>
      <c r="G1076">
        <v>-197.32300000000001</v>
      </c>
      <c r="H1076" s="1">
        <v>-8.0809349999999999E-6</v>
      </c>
      <c r="I1076">
        <v>368.69170000000003</v>
      </c>
      <c r="J1076">
        <v>-241.07329999999999</v>
      </c>
      <c r="K1076">
        <v>1.109952</v>
      </c>
      <c r="L1076">
        <v>368.5591</v>
      </c>
      <c r="M1076">
        <v>0.99990069999999998</v>
      </c>
      <c r="N1076">
        <v>0</v>
      </c>
      <c r="O1076">
        <v>5.0531640000000004E-4</v>
      </c>
      <c r="P1076">
        <v>0.99647039999999998</v>
      </c>
      <c r="Q1076">
        <v>2.7301969999999998E-2</v>
      </c>
      <c r="R1076">
        <v>-7.9381960000000001E-2</v>
      </c>
      <c r="S1076">
        <v>3.013474</v>
      </c>
      <c r="T1076">
        <v>-7.6182479999999997E-2</v>
      </c>
      <c r="U1076">
        <v>9.0942379999999993E-3</v>
      </c>
      <c r="V1076">
        <v>7.9900230000000003E-2</v>
      </c>
      <c r="W1076">
        <v>4.1304109999999998E-2</v>
      </c>
      <c r="X1076">
        <v>0.99594680000000002</v>
      </c>
      <c r="Y1076">
        <v>-2.51184E-3</v>
      </c>
      <c r="Z1076" s="1">
        <v>1.8971389999999999E-5</v>
      </c>
      <c r="AA1076">
        <v>0.99999680000000002</v>
      </c>
      <c r="AB1076">
        <v>28</v>
      </c>
      <c r="AC1076">
        <v>43.750300000000003</v>
      </c>
      <c r="AD1076">
        <v>-1.1099600809350001</v>
      </c>
      <c r="AE1076">
        <v>0.132600000000024</v>
      </c>
      <c r="AF1076">
        <v>-0.110418975287617</v>
      </c>
      <c r="AG1076">
        <v>-1.1099600809350001</v>
      </c>
      <c r="AH1076">
        <v>43.722219690263501</v>
      </c>
      <c r="AI1076">
        <v>91.45423011391</v>
      </c>
      <c r="AJ1076">
        <v>90.144698230255202</v>
      </c>
      <c r="AK1076">
        <v>43.736445881839103</v>
      </c>
      <c r="AL1076">
        <v>87.632775526293102</v>
      </c>
      <c r="AM1076">
        <v>85.413246651878396</v>
      </c>
      <c r="AN1076">
        <v>1.0000000523435899</v>
      </c>
    </row>
    <row r="1077" spans="1:40" x14ac:dyDescent="0.25">
      <c r="A1077" t="str">
        <f>"20190312154817958"</f>
        <v>20190312154817958</v>
      </c>
      <c r="B1077" t="str">
        <f>"1552376897947023"</f>
        <v>1552376897947023</v>
      </c>
      <c r="C1077" t="s">
        <v>40</v>
      </c>
      <c r="D1077">
        <v>4.5475279999999998</v>
      </c>
      <c r="E1077">
        <v>0.46660020000000002</v>
      </c>
      <c r="F1077" t="s">
        <v>45</v>
      </c>
      <c r="G1077">
        <v>-199.9941</v>
      </c>
      <c r="H1077" s="1">
        <v>-9.0274469999999996E-6</v>
      </c>
      <c r="I1077">
        <v>368.86349999999999</v>
      </c>
      <c r="J1077">
        <v>-240.93100000000001</v>
      </c>
      <c r="K1077">
        <v>1.1099559999999999</v>
      </c>
      <c r="L1077">
        <v>368.5591</v>
      </c>
      <c r="M1077">
        <v>0.99990089999999998</v>
      </c>
      <c r="N1077">
        <v>0</v>
      </c>
      <c r="O1077">
        <v>4.1735760000000002E-4</v>
      </c>
      <c r="P1077">
        <v>0.99646319999999999</v>
      </c>
      <c r="Q1077">
        <v>2.746343E-2</v>
      </c>
      <c r="R1077">
        <v>-7.9417520000000005E-2</v>
      </c>
      <c r="S1077">
        <v>3.0146329999999999</v>
      </c>
      <c r="T1077">
        <v>-8.1455470000000002E-2</v>
      </c>
      <c r="U1077">
        <v>2.233887E-2</v>
      </c>
      <c r="V1077">
        <v>7.9848249999999996E-2</v>
      </c>
      <c r="W1077">
        <v>4.1464189999999998E-2</v>
      </c>
      <c r="X1077">
        <v>0.9959443</v>
      </c>
      <c r="Y1077">
        <v>-6.990156E-3</v>
      </c>
      <c r="Z1077" s="1">
        <v>8.3142659999999895E-5</v>
      </c>
      <c r="AA1077">
        <v>0.99997559999999996</v>
      </c>
      <c r="AB1077">
        <v>28</v>
      </c>
      <c r="AC1077">
        <v>40.936899999999902</v>
      </c>
      <c r="AD1077">
        <v>-1.1099650274470001</v>
      </c>
      <c r="AE1077">
        <v>0.30439999999998602</v>
      </c>
      <c r="AF1077">
        <v>-0.287101897837994</v>
      </c>
      <c r="AG1077">
        <v>-1.1099650274470001</v>
      </c>
      <c r="AH1077">
        <v>40.906951526339199</v>
      </c>
      <c r="AI1077">
        <v>91.554238175430697</v>
      </c>
      <c r="AJ1077">
        <v>90.402118865774099</v>
      </c>
      <c r="AK1077">
        <v>40.923014711042001</v>
      </c>
      <c r="AL1077">
        <v>87.623595713844296</v>
      </c>
      <c r="AM1077">
        <v>85.416206439085997</v>
      </c>
      <c r="AN1077">
        <v>1.00000003539145</v>
      </c>
    </row>
    <row r="1078" spans="1:40" x14ac:dyDescent="0.25">
      <c r="A1078" t="str">
        <f>"20190312154817971"</f>
        <v>20190312154817971</v>
      </c>
      <c r="B1078" t="str">
        <f>"1552376897966543"</f>
        <v>1552376897966543</v>
      </c>
      <c r="C1078" t="s">
        <v>40</v>
      </c>
      <c r="D1078">
        <v>4.490354</v>
      </c>
      <c r="E1078">
        <v>0.46479169999999997</v>
      </c>
      <c r="F1078" t="s">
        <v>45</v>
      </c>
      <c r="G1078">
        <v>-201.35570000000001</v>
      </c>
      <c r="H1078" s="1">
        <v>-9.6153919999999992E-7</v>
      </c>
      <c r="I1078">
        <v>368.99799999999999</v>
      </c>
      <c r="J1078">
        <v>-240.77969999999999</v>
      </c>
      <c r="K1078">
        <v>1.1099589999999999</v>
      </c>
      <c r="L1078">
        <v>368.5591</v>
      </c>
      <c r="M1078">
        <v>0.99990100000000004</v>
      </c>
      <c r="N1078">
        <v>0</v>
      </c>
      <c r="O1078">
        <v>3.2368060000000001E-4</v>
      </c>
      <c r="P1078">
        <v>0.99644779999999999</v>
      </c>
      <c r="Q1078">
        <v>2.7194650000000001E-2</v>
      </c>
      <c r="R1078">
        <v>-7.9703759999999998E-2</v>
      </c>
      <c r="S1078">
        <v>3.0156399999999999</v>
      </c>
      <c r="T1078">
        <v>-8.4578630000000002E-2</v>
      </c>
      <c r="U1078">
        <v>3.3447270000000001E-2</v>
      </c>
      <c r="V1078">
        <v>8.0040990000000006E-2</v>
      </c>
      <c r="W1078">
        <v>4.119358E-2</v>
      </c>
      <c r="X1078">
        <v>0.99594000000000005</v>
      </c>
      <c r="Y1078">
        <v>-1.076279E-2</v>
      </c>
      <c r="Z1078">
        <v>1.4181879999999999E-4</v>
      </c>
      <c r="AA1078">
        <v>0.99994209999999994</v>
      </c>
      <c r="AB1078">
        <v>28</v>
      </c>
      <c r="AC1078">
        <v>39.4239999999999</v>
      </c>
      <c r="AD1078">
        <v>-1.1099599615392</v>
      </c>
      <c r="AE1078">
        <v>0.43890000000004598</v>
      </c>
      <c r="AF1078">
        <v>-0.42580045219111101</v>
      </c>
      <c r="AG1078">
        <v>-1.1099599615392</v>
      </c>
      <c r="AH1078">
        <v>39.392918237129599</v>
      </c>
      <c r="AI1078">
        <v>91.613881126267998</v>
      </c>
      <c r="AJ1078">
        <v>90.619289452337597</v>
      </c>
      <c r="AK1078">
        <v>39.410852875552997</v>
      </c>
      <c r="AL1078">
        <v>87.639113645835707</v>
      </c>
      <c r="AM1078">
        <v>85.405169513996</v>
      </c>
      <c r="AN1078">
        <v>0.99999997735669799</v>
      </c>
    </row>
    <row r="1079" spans="1:40" x14ac:dyDescent="0.25">
      <c r="A1079" t="str">
        <f>"20190312154817986"</f>
        <v>20190312154817986</v>
      </c>
      <c r="B1079" t="str">
        <f>"1552376897977280"</f>
        <v>1552376897977280</v>
      </c>
      <c r="C1079" t="s">
        <v>40</v>
      </c>
      <c r="D1079">
        <v>4.480219</v>
      </c>
      <c r="E1079">
        <v>0.4641248</v>
      </c>
      <c r="F1079" t="s">
        <v>45</v>
      </c>
      <c r="G1079">
        <v>-201.2328</v>
      </c>
      <c r="H1079" s="1">
        <v>-8.4146789999999898E-7</v>
      </c>
      <c r="I1079">
        <v>369.17599999999999</v>
      </c>
      <c r="J1079">
        <v>-240.60489999999999</v>
      </c>
      <c r="K1079">
        <v>1.109961</v>
      </c>
      <c r="L1079">
        <v>368.55900000000003</v>
      </c>
      <c r="M1079">
        <v>0.99990089999999998</v>
      </c>
      <c r="N1079">
        <v>0</v>
      </c>
      <c r="O1079">
        <v>2.1546590000000001E-4</v>
      </c>
      <c r="P1079">
        <v>0.9964421</v>
      </c>
      <c r="Q1079">
        <v>2.7089950000000002E-2</v>
      </c>
      <c r="R1079">
        <v>-7.9807210000000003E-2</v>
      </c>
      <c r="S1079">
        <v>3.016785</v>
      </c>
      <c r="T1079">
        <v>-8.4671850000000007E-2</v>
      </c>
      <c r="U1079">
        <v>4.705811E-2</v>
      </c>
      <c r="V1079">
        <v>8.0036510000000005E-2</v>
      </c>
      <c r="W1079">
        <v>4.1086850000000001E-2</v>
      </c>
      <c r="X1079">
        <v>0.99594479999999996</v>
      </c>
      <c r="Y1079">
        <v>-1.5375440000000001E-2</v>
      </c>
      <c r="Z1079">
        <v>2.0966849999999999E-4</v>
      </c>
      <c r="AA1079">
        <v>0.99988169999999998</v>
      </c>
      <c r="AB1079">
        <v>28</v>
      </c>
      <c r="AC1079">
        <v>39.372099999999897</v>
      </c>
      <c r="AD1079">
        <v>-1.10996184146789</v>
      </c>
      <c r="AE1079">
        <v>0.61699999999996102</v>
      </c>
      <c r="AF1079">
        <v>-0.60803267545575401</v>
      </c>
      <c r="AG1079">
        <v>-1.10996184146789</v>
      </c>
      <c r="AH1079">
        <v>39.340972875062597</v>
      </c>
      <c r="AI1079">
        <v>91.615915149906698</v>
      </c>
      <c r="AJ1079">
        <v>90.885461900255706</v>
      </c>
      <c r="AK1079">
        <v>39.361324492201099</v>
      </c>
      <c r="AL1079">
        <v>87.6452340792939</v>
      </c>
      <c r="AM1079">
        <v>85.405447640537901</v>
      </c>
      <c r="AN1079">
        <v>1.00000000841147</v>
      </c>
    </row>
    <row r="1080" spans="1:40" x14ac:dyDescent="0.25">
      <c r="A1080" t="str">
        <f>"20190312154817998"</f>
        <v>20190312154817998</v>
      </c>
      <c r="B1080" t="str">
        <f>"1552376897987040"</f>
        <v>1552376897987040</v>
      </c>
      <c r="C1080" t="s">
        <v>40</v>
      </c>
      <c r="D1080">
        <v>4.4880370000000003</v>
      </c>
      <c r="E1080">
        <v>0.46348640000000002</v>
      </c>
      <c r="F1080" t="s">
        <v>45</v>
      </c>
      <c r="G1080">
        <v>-200.97579999999999</v>
      </c>
      <c r="H1080" s="1">
        <v>-6.7186660000000005E-7</v>
      </c>
      <c r="I1080">
        <v>369.24160000000001</v>
      </c>
      <c r="J1080">
        <v>-240.4401</v>
      </c>
      <c r="K1080">
        <v>1.1099619999999999</v>
      </c>
      <c r="L1080">
        <v>368.55900000000003</v>
      </c>
      <c r="M1080">
        <v>0.99990089999999998</v>
      </c>
      <c r="N1080">
        <v>0</v>
      </c>
      <c r="O1080">
        <v>1.136833E-4</v>
      </c>
      <c r="P1080">
        <v>0.99642149999999996</v>
      </c>
      <c r="Q1080">
        <v>2.7085140000000001E-2</v>
      </c>
      <c r="R1080">
        <v>-8.0065540000000004E-2</v>
      </c>
      <c r="S1080">
        <v>3.017166</v>
      </c>
      <c r="T1080">
        <v>-8.4506990000000004E-2</v>
      </c>
      <c r="U1080">
        <v>5.1971440000000001E-2</v>
      </c>
      <c r="V1080">
        <v>8.0193500000000001E-2</v>
      </c>
      <c r="W1080">
        <v>4.1080180000000001E-2</v>
      </c>
      <c r="X1080">
        <v>0.9959325</v>
      </c>
      <c r="Y1080">
        <v>-1.710236E-2</v>
      </c>
      <c r="Z1080">
        <v>2.362594E-4</v>
      </c>
      <c r="AA1080">
        <v>0.99985369999999996</v>
      </c>
      <c r="AB1080">
        <v>28</v>
      </c>
      <c r="AC1080">
        <v>39.464300000000001</v>
      </c>
      <c r="AD1080">
        <v>-1.1099626718666</v>
      </c>
      <c r="AE1080">
        <v>0.682599999999979</v>
      </c>
      <c r="AF1080">
        <v>-0.67757727697404302</v>
      </c>
      <c r="AG1080">
        <v>-1.1099626718666</v>
      </c>
      <c r="AH1080">
        <v>39.433192767678001</v>
      </c>
      <c r="AI1080">
        <v>91.612093903586498</v>
      </c>
      <c r="AJ1080">
        <v>90.984411746031697</v>
      </c>
      <c r="AK1080">
        <v>39.454629892473498</v>
      </c>
      <c r="AL1080">
        <v>87.645616690348504</v>
      </c>
      <c r="AM1080">
        <v>85.396417606514106</v>
      </c>
      <c r="AN1080">
        <v>1.00000006159366</v>
      </c>
    </row>
    <row r="1081" spans="1:40" x14ac:dyDescent="0.25">
      <c r="A1081" t="str">
        <f>"20190312154818013"</f>
        <v>20190312154818013</v>
      </c>
      <c r="B1081" t="str">
        <f>"1552376898006559"</f>
        <v>1552376898006559</v>
      </c>
      <c r="C1081" t="s">
        <v>40</v>
      </c>
      <c r="D1081">
        <v>4.5215009999999998</v>
      </c>
      <c r="E1081">
        <v>0.46260069999999998</v>
      </c>
      <c r="F1081" t="s">
        <v>45</v>
      </c>
      <c r="G1081">
        <v>-200.33760000000001</v>
      </c>
      <c r="H1081" s="1">
        <v>-2.7785470000000002E-7</v>
      </c>
      <c r="I1081">
        <v>369.30279999999999</v>
      </c>
      <c r="J1081">
        <v>-240.27369999999999</v>
      </c>
      <c r="K1081">
        <v>1.1099619999999999</v>
      </c>
      <c r="L1081">
        <v>368.55889999999999</v>
      </c>
      <c r="M1081">
        <v>0.99990109999999999</v>
      </c>
      <c r="N1081">
        <v>0</v>
      </c>
      <c r="O1081" s="1">
        <v>1.070905E-5</v>
      </c>
      <c r="P1081">
        <v>0.99642339999999996</v>
      </c>
      <c r="Q1081">
        <v>2.7064390000000001E-2</v>
      </c>
      <c r="R1081">
        <v>-8.0050540000000003E-2</v>
      </c>
      <c r="S1081">
        <v>3.017563</v>
      </c>
      <c r="T1081">
        <v>-8.3520410000000003E-2</v>
      </c>
      <c r="U1081">
        <v>5.5969240000000003E-2</v>
      </c>
      <c r="V1081">
        <v>8.0075820000000006E-2</v>
      </c>
      <c r="W1081">
        <v>4.1057789999999997E-2</v>
      </c>
      <c r="X1081">
        <v>0.99594280000000002</v>
      </c>
      <c r="Y1081">
        <v>-1.8526839999999999E-2</v>
      </c>
      <c r="Z1081">
        <v>2.5602639999999999E-4</v>
      </c>
      <c r="AA1081">
        <v>0.9998283</v>
      </c>
      <c r="AB1081">
        <v>28</v>
      </c>
      <c r="AC1081">
        <v>39.936099999999897</v>
      </c>
      <c r="AD1081">
        <v>-1.1099622778547</v>
      </c>
      <c r="AE1081">
        <v>0.74389999999999601</v>
      </c>
      <c r="AF1081">
        <v>-0.74289860748230296</v>
      </c>
      <c r="AG1081">
        <v>-1.1099622778547</v>
      </c>
      <c r="AH1081">
        <v>39.9052927660764</v>
      </c>
      <c r="AI1081">
        <v>91.592990485270207</v>
      </c>
      <c r="AJ1081">
        <v>91.066526156331506</v>
      </c>
      <c r="AK1081">
        <v>39.927638364240003</v>
      </c>
      <c r="AL1081">
        <v>87.646900410291394</v>
      </c>
      <c r="AM1081">
        <v>85.403191499437696</v>
      </c>
      <c r="AN1081">
        <v>0.99999996997009699</v>
      </c>
    </row>
    <row r="1082" spans="1:40" x14ac:dyDescent="0.25">
      <c r="A1082" t="str">
        <f>"20190312154818032"</f>
        <v>20190312154818032</v>
      </c>
      <c r="B1082" t="str">
        <f>"1552376898027055"</f>
        <v>1552376898027055</v>
      </c>
      <c r="C1082" t="s">
        <v>40</v>
      </c>
      <c r="D1082">
        <v>4.561814</v>
      </c>
      <c r="E1082">
        <v>0.46162520000000001</v>
      </c>
      <c r="F1082" t="s">
        <v>45</v>
      </c>
      <c r="G1082">
        <v>-200.53270000000001</v>
      </c>
      <c r="H1082" s="1">
        <v>-3.6941560000000001E-7</v>
      </c>
      <c r="I1082">
        <v>369.39269999999999</v>
      </c>
      <c r="J1082">
        <v>-240.0256</v>
      </c>
      <c r="K1082">
        <v>1.1099570000000001</v>
      </c>
      <c r="L1082">
        <v>368.55869999999999</v>
      </c>
      <c r="M1082">
        <v>0.99990100000000004</v>
      </c>
      <c r="N1082">
        <v>0</v>
      </c>
      <c r="O1082">
        <v>-1.425013E-4</v>
      </c>
      <c r="P1082">
        <v>0.99640859999999998</v>
      </c>
      <c r="Q1082">
        <v>2.675841E-2</v>
      </c>
      <c r="R1082">
        <v>-8.0337950000000005E-2</v>
      </c>
      <c r="S1082">
        <v>3.0181580000000001</v>
      </c>
      <c r="T1082">
        <v>-8.4296700000000002E-2</v>
      </c>
      <c r="U1082">
        <v>6.3323969999999993E-2</v>
      </c>
      <c r="V1082">
        <v>8.0210130000000004E-2</v>
      </c>
      <c r="W1082">
        <v>4.0749059999999997E-2</v>
      </c>
      <c r="X1082">
        <v>0.99594470000000002</v>
      </c>
      <c r="Y1082">
        <v>-2.111058E-2</v>
      </c>
      <c r="Z1082">
        <v>2.9869709999999998E-4</v>
      </c>
      <c r="AA1082">
        <v>0.99977709999999997</v>
      </c>
      <c r="AB1082">
        <v>28</v>
      </c>
      <c r="AC1082">
        <v>39.492899999999899</v>
      </c>
      <c r="AD1082">
        <v>-1.1099573694156</v>
      </c>
      <c r="AE1082">
        <v>0.83400000000000296</v>
      </c>
      <c r="AF1082">
        <v>-0.838965930775043</v>
      </c>
      <c r="AG1082">
        <v>-1.1099573694156</v>
      </c>
      <c r="AH1082">
        <v>39.461623724603101</v>
      </c>
      <c r="AI1082">
        <v>91.610799221420294</v>
      </c>
      <c r="AJ1082">
        <v>91.217941939115306</v>
      </c>
      <c r="AK1082">
        <v>39.486144610193101</v>
      </c>
      <c r="AL1082">
        <v>87.664604218934002</v>
      </c>
      <c r="AM1082">
        <v>85.395523212078004</v>
      </c>
      <c r="AN1082">
        <v>0.99999999815179497</v>
      </c>
    </row>
    <row r="1083" spans="1:40" x14ac:dyDescent="0.25">
      <c r="A1083" t="str">
        <f>"20190312154818048"</f>
        <v>20190312154818048</v>
      </c>
      <c r="B1083" t="str">
        <f>"1552376898036815"</f>
        <v>1552376898036815</v>
      </c>
      <c r="C1083" t="s">
        <v>40</v>
      </c>
      <c r="D1083">
        <v>4.5755299999999997</v>
      </c>
      <c r="E1083">
        <v>0.46116859999999998</v>
      </c>
      <c r="F1083" t="s">
        <v>45</v>
      </c>
      <c r="G1083">
        <v>-202.43709999999999</v>
      </c>
      <c r="H1083" s="1">
        <v>-1.4859630000000001E-6</v>
      </c>
      <c r="I1083">
        <v>369.43299999999999</v>
      </c>
      <c r="J1083">
        <v>-239.83320000000001</v>
      </c>
      <c r="K1083">
        <v>1.109958</v>
      </c>
      <c r="L1083">
        <v>368.55849999999998</v>
      </c>
      <c r="M1083">
        <v>0.99990109999999999</v>
      </c>
      <c r="N1083">
        <v>0</v>
      </c>
      <c r="O1083">
        <v>-2.61685E-4</v>
      </c>
      <c r="P1083">
        <v>0.99641199999999996</v>
      </c>
      <c r="Q1083">
        <v>2.6684289999999999E-2</v>
      </c>
      <c r="R1083">
        <v>-8.0319100000000004E-2</v>
      </c>
      <c r="S1083">
        <v>3.0188600000000001</v>
      </c>
      <c r="T1083">
        <v>-8.9144710000000002E-2</v>
      </c>
      <c r="U1083">
        <v>7.0220950000000004E-2</v>
      </c>
      <c r="V1083">
        <v>8.0072699999999997E-2</v>
      </c>
      <c r="W1083">
        <v>4.067283E-2</v>
      </c>
      <c r="X1083">
        <v>0.99595889999999998</v>
      </c>
      <c r="Y1083">
        <v>-2.3505749999999999E-2</v>
      </c>
      <c r="Z1083">
        <v>3.546566E-4</v>
      </c>
      <c r="AA1083">
        <v>0.99972360000000005</v>
      </c>
      <c r="AB1083">
        <v>28</v>
      </c>
      <c r="AC1083">
        <v>37.396099999999997</v>
      </c>
      <c r="AD1083">
        <v>-1.109959485963</v>
      </c>
      <c r="AE1083">
        <v>0.874500000000068</v>
      </c>
      <c r="AF1083">
        <v>-0.88350901562927897</v>
      </c>
      <c r="AG1083">
        <v>-1.109959485963</v>
      </c>
      <c r="AH1083">
        <v>37.362972147005799</v>
      </c>
      <c r="AI1083">
        <v>91.701137102064706</v>
      </c>
      <c r="AJ1083">
        <v>91.354600632784397</v>
      </c>
      <c r="AK1083">
        <v>37.389895505324901</v>
      </c>
      <c r="AL1083">
        <v>87.6689755591308</v>
      </c>
      <c r="AM1083">
        <v>85.4034438252868</v>
      </c>
      <c r="AN1083">
        <v>1.0000000234373501</v>
      </c>
    </row>
    <row r="1084" spans="1:40" x14ac:dyDescent="0.25">
      <c r="A1084" t="str">
        <f>"20190312154818066"</f>
        <v>20190312154818066</v>
      </c>
      <c r="B1084" t="str">
        <f>"1552376898057311"</f>
        <v>1552376898057311</v>
      </c>
      <c r="C1084" t="s">
        <v>40</v>
      </c>
      <c r="D1084">
        <v>4.6041600000000003</v>
      </c>
      <c r="E1084">
        <v>0.46032499999999998</v>
      </c>
      <c r="F1084" t="s">
        <v>45</v>
      </c>
      <c r="G1084">
        <v>-203.19409999999999</v>
      </c>
      <c r="H1084" s="1">
        <v>-1.9281389999999998E-6</v>
      </c>
      <c r="I1084">
        <v>369.45510000000002</v>
      </c>
      <c r="J1084">
        <v>-239.619</v>
      </c>
      <c r="K1084">
        <v>1.1099570000000001</v>
      </c>
      <c r="L1084">
        <v>368.55829999999997</v>
      </c>
      <c r="M1084">
        <v>0.99990100000000004</v>
      </c>
      <c r="N1084">
        <v>0</v>
      </c>
      <c r="O1084">
        <v>-3.9433339999999999E-4</v>
      </c>
      <c r="P1084">
        <v>0.99640740000000005</v>
      </c>
      <c r="Q1084">
        <v>2.6624189999999999E-2</v>
      </c>
      <c r="R1084">
        <v>-8.0394859999999999E-2</v>
      </c>
      <c r="S1084">
        <v>3.0192109999999999</v>
      </c>
      <c r="T1084">
        <v>-9.1465229999999995E-2</v>
      </c>
      <c r="U1084">
        <v>7.388306E-2</v>
      </c>
      <c r="V1084">
        <v>8.0016130000000005E-2</v>
      </c>
      <c r="W1084">
        <v>4.061041E-2</v>
      </c>
      <c r="X1084">
        <v>0.99596600000000002</v>
      </c>
      <c r="Y1084">
        <v>-2.4846340000000001E-2</v>
      </c>
      <c r="Z1084">
        <v>3.8815289999999999E-4</v>
      </c>
      <c r="AA1084">
        <v>0.9996912</v>
      </c>
      <c r="AB1084">
        <v>28</v>
      </c>
      <c r="AC1084">
        <v>36.424900000000001</v>
      </c>
      <c r="AD1084">
        <v>-1.1099589281390001</v>
      </c>
      <c r="AE1084">
        <v>0.89680000000004101</v>
      </c>
      <c r="AF1084">
        <v>-0.91032011733657003</v>
      </c>
      <c r="AG1084">
        <v>-1.1099589281390001</v>
      </c>
      <c r="AH1084">
        <v>36.390772396445499</v>
      </c>
      <c r="AI1084">
        <v>91.746497184632801</v>
      </c>
      <c r="AJ1084">
        <v>91.432962865874799</v>
      </c>
      <c r="AK1084">
        <v>36.419074770621002</v>
      </c>
      <c r="AL1084">
        <v>87.672554933750604</v>
      </c>
      <c r="AM1084">
        <v>85.406709917578297</v>
      </c>
      <c r="AN1084">
        <v>1.0000000298082701</v>
      </c>
    </row>
    <row r="1085" spans="1:40" x14ac:dyDescent="0.25">
      <c r="A1085" t="str">
        <f>"20190312154818088"</f>
        <v>20190312154818088</v>
      </c>
      <c r="B1085" t="str">
        <f>"1552376898076832"</f>
        <v>1552376898076832</v>
      </c>
      <c r="C1085" t="s">
        <v>40</v>
      </c>
      <c r="D1085">
        <v>4.5720689999999999</v>
      </c>
      <c r="E1085">
        <v>0.45952009999999999</v>
      </c>
      <c r="F1085" t="s">
        <v>45</v>
      </c>
      <c r="G1085">
        <v>-203.4085</v>
      </c>
      <c r="H1085" s="1">
        <v>-2.0361120000000002E-6</v>
      </c>
      <c r="I1085">
        <v>369.52620000000002</v>
      </c>
      <c r="J1085">
        <v>-239.34119999999999</v>
      </c>
      <c r="K1085">
        <v>1.109952</v>
      </c>
      <c r="L1085">
        <v>368.55799999999999</v>
      </c>
      <c r="M1085">
        <v>0.99990089999999998</v>
      </c>
      <c r="N1085">
        <v>0</v>
      </c>
      <c r="O1085">
        <v>-5.6595940000000002E-4</v>
      </c>
      <c r="P1085">
        <v>0.99645539999999999</v>
      </c>
      <c r="Q1085">
        <v>2.6163869999999999E-2</v>
      </c>
      <c r="R1085">
        <v>-7.9952280000000001E-2</v>
      </c>
      <c r="S1085">
        <v>3.0197910000000001</v>
      </c>
      <c r="T1085">
        <v>-9.2565300000000003E-2</v>
      </c>
      <c r="U1085">
        <v>8.0718990000000004E-2</v>
      </c>
      <c r="V1085">
        <v>7.9402340000000002E-2</v>
      </c>
      <c r="W1085">
        <v>4.0148740000000002E-2</v>
      </c>
      <c r="X1085">
        <v>0.99603379999999997</v>
      </c>
      <c r="Y1085">
        <v>-2.7273189999999999E-2</v>
      </c>
      <c r="Z1085">
        <v>4.3517129999999998E-4</v>
      </c>
      <c r="AA1085">
        <v>0.99962790000000001</v>
      </c>
      <c r="AB1085">
        <v>28</v>
      </c>
      <c r="AC1085">
        <v>35.932699999999897</v>
      </c>
      <c r="AD1085">
        <v>-1.1099540361119999</v>
      </c>
      <c r="AE1085">
        <v>0.96819999999996698</v>
      </c>
      <c r="AF1085">
        <v>-0.98759664527394397</v>
      </c>
      <c r="AG1085">
        <v>-1.1099540361119999</v>
      </c>
      <c r="AH1085">
        <v>35.897918004829698</v>
      </c>
      <c r="AI1085">
        <v>91.770336560840505</v>
      </c>
      <c r="AJ1085">
        <v>91.575881093362497</v>
      </c>
      <c r="AK1085">
        <v>35.928649601362899</v>
      </c>
      <c r="AL1085">
        <v>87.699028179618296</v>
      </c>
      <c r="AM1085">
        <v>85.442104177120001</v>
      </c>
      <c r="AN1085">
        <v>0.99999999183175103</v>
      </c>
    </row>
    <row r="1086" spans="1:40" x14ac:dyDescent="0.25">
      <c r="A1086" t="str">
        <f>"20190312154818100"</f>
        <v>20190312154818100</v>
      </c>
      <c r="B1086" t="str">
        <f>"1552376898097328"</f>
        <v>1552376898097328</v>
      </c>
      <c r="C1086" t="s">
        <v>40</v>
      </c>
      <c r="D1086">
        <v>4.5747910000000003</v>
      </c>
      <c r="E1086">
        <v>0.4589182</v>
      </c>
      <c r="F1086" t="s">
        <v>45</v>
      </c>
      <c r="G1086">
        <v>-204.1422</v>
      </c>
      <c r="H1086" s="1">
        <v>-2.4530390000000001E-6</v>
      </c>
      <c r="I1086">
        <v>369.5915</v>
      </c>
      <c r="J1086">
        <v>-239.19159999999999</v>
      </c>
      <c r="K1086">
        <v>1.109955</v>
      </c>
      <c r="L1086">
        <v>368.55779999999999</v>
      </c>
      <c r="M1086">
        <v>0.99990089999999998</v>
      </c>
      <c r="N1086">
        <v>0</v>
      </c>
      <c r="O1086">
        <v>-6.5856580000000001E-4</v>
      </c>
      <c r="P1086">
        <v>0.99647969999999997</v>
      </c>
      <c r="Q1086">
        <v>2.610844E-2</v>
      </c>
      <c r="R1086">
        <v>-7.9666699999999993E-2</v>
      </c>
      <c r="S1086">
        <v>3.0202939999999998</v>
      </c>
      <c r="T1086">
        <v>-9.5241069999999997E-2</v>
      </c>
      <c r="U1086">
        <v>8.8684079999999998E-2</v>
      </c>
      <c r="V1086">
        <v>7.9024349999999993E-2</v>
      </c>
      <c r="W1086">
        <v>4.009157E-2</v>
      </c>
      <c r="X1086">
        <v>0.99606620000000001</v>
      </c>
      <c r="Y1086">
        <v>-2.9993200000000001E-2</v>
      </c>
      <c r="Z1086">
        <v>4.9343839999999896E-4</v>
      </c>
      <c r="AA1086">
        <v>0.99955000000000005</v>
      </c>
      <c r="AB1086">
        <v>28</v>
      </c>
      <c r="AC1086">
        <v>35.049399999999899</v>
      </c>
      <c r="AD1086">
        <v>-1.109957453039</v>
      </c>
      <c r="AE1086">
        <v>1.0337000000000101</v>
      </c>
      <c r="AF1086">
        <v>-1.05572654159037</v>
      </c>
      <c r="AG1086">
        <v>-1.109957453039</v>
      </c>
      <c r="AH1086">
        <v>35.013627417676702</v>
      </c>
      <c r="AI1086">
        <v>91.814885568947602</v>
      </c>
      <c r="AJ1086">
        <v>91.727051973836396</v>
      </c>
      <c r="AK1086">
        <v>35.047120695173497</v>
      </c>
      <c r="AL1086">
        <v>87.702306502701006</v>
      </c>
      <c r="AM1086">
        <v>85.463857928603503</v>
      </c>
      <c r="AN1086">
        <v>1.00000002833021</v>
      </c>
    </row>
    <row r="1087" spans="1:40" x14ac:dyDescent="0.25">
      <c r="A1087" t="str">
        <f>"20190312154818112"</f>
        <v>20190312154818112</v>
      </c>
      <c r="B1087" t="str">
        <f>"1552376898106620"</f>
        <v>1552376898106620</v>
      </c>
      <c r="C1087" t="s">
        <v>40</v>
      </c>
      <c r="D1087">
        <v>4.5459069999999997</v>
      </c>
      <c r="E1087">
        <v>0.45874740000000003</v>
      </c>
      <c r="F1087" t="s">
        <v>45</v>
      </c>
      <c r="G1087">
        <v>-205.2396</v>
      </c>
      <c r="H1087" s="1">
        <v>-5.2527739999999996E-6</v>
      </c>
      <c r="I1087">
        <v>369.62079999999997</v>
      </c>
      <c r="J1087">
        <v>-239.04990000000001</v>
      </c>
      <c r="K1087">
        <v>1.1099559999999999</v>
      </c>
      <c r="L1087">
        <v>368.55759999999998</v>
      </c>
      <c r="M1087">
        <v>0.99990089999999998</v>
      </c>
      <c r="N1087">
        <v>0</v>
      </c>
      <c r="O1087">
        <v>-7.4592949999999995E-4</v>
      </c>
      <c r="P1087">
        <v>0.99648429999999999</v>
      </c>
      <c r="Q1087">
        <v>2.621687E-2</v>
      </c>
      <c r="R1087">
        <v>-7.9571550000000005E-2</v>
      </c>
      <c r="S1087">
        <v>3.0207519999999999</v>
      </c>
      <c r="T1087">
        <v>-9.8754640000000005E-2</v>
      </c>
      <c r="U1087">
        <v>9.4573969999999993E-2</v>
      </c>
      <c r="V1087">
        <v>7.8842280000000001E-2</v>
      </c>
      <c r="W1087">
        <v>4.0199239999999997E-2</v>
      </c>
      <c r="X1087">
        <v>0.99607630000000003</v>
      </c>
      <c r="Y1087">
        <v>-3.2020899999999998E-2</v>
      </c>
      <c r="Z1087">
        <v>5.4752290000000003E-4</v>
      </c>
      <c r="AA1087">
        <v>0.99948700000000001</v>
      </c>
      <c r="AB1087">
        <v>28</v>
      </c>
      <c r="AC1087">
        <v>33.810299999999998</v>
      </c>
      <c r="AD1087">
        <v>-1.1099612527739999</v>
      </c>
      <c r="AE1087">
        <v>1.0631999999999899</v>
      </c>
      <c r="AF1087">
        <v>-1.08725167015513</v>
      </c>
      <c r="AG1087">
        <v>-1.1099612527739999</v>
      </c>
      <c r="AH1087">
        <v>33.773134440488199</v>
      </c>
      <c r="AI1087">
        <v>91.881386500433706</v>
      </c>
      <c r="AJ1087">
        <v>91.843874607551101</v>
      </c>
      <c r="AK1087">
        <v>33.808855942078303</v>
      </c>
      <c r="AL1087">
        <v>87.696132515348907</v>
      </c>
      <c r="AM1087">
        <v>85.474311311399006</v>
      </c>
      <c r="AN1087">
        <v>1.00000003971693</v>
      </c>
    </row>
    <row r="1088" spans="1:40" x14ac:dyDescent="0.25">
      <c r="A1088" t="str">
        <f>"20190312154818123"</f>
        <v>20190312154818123</v>
      </c>
      <c r="B1088" t="str">
        <f>"1552376898117355"</f>
        <v>1552376898117355</v>
      </c>
      <c r="C1088" t="s">
        <v>40</v>
      </c>
      <c r="D1088">
        <v>4.6030980000000001</v>
      </c>
      <c r="E1088">
        <v>0.45849830000000003</v>
      </c>
      <c r="F1088" t="s">
        <v>45</v>
      </c>
      <c r="G1088">
        <v>-204.9179</v>
      </c>
      <c r="H1088" s="1">
        <v>-5.125336E-6</v>
      </c>
      <c r="I1088">
        <v>369.64139999999998</v>
      </c>
      <c r="J1088">
        <v>-238.90600000000001</v>
      </c>
      <c r="K1088">
        <v>1.1099600000000001</v>
      </c>
      <c r="L1088">
        <v>368.55739999999997</v>
      </c>
      <c r="M1088">
        <v>0.99990100000000004</v>
      </c>
      <c r="N1088">
        <v>0</v>
      </c>
      <c r="O1088">
        <v>-8.3472449999999997E-4</v>
      </c>
      <c r="P1088">
        <v>0.99649790000000005</v>
      </c>
      <c r="Q1088">
        <v>2.6074400000000001E-2</v>
      </c>
      <c r="R1088">
        <v>-7.9450820000000005E-2</v>
      </c>
      <c r="S1088">
        <v>3.020813</v>
      </c>
      <c r="T1088">
        <v>-9.8235959999999997E-2</v>
      </c>
      <c r="U1088">
        <v>9.5916749999999995E-2</v>
      </c>
      <c r="V1088">
        <v>7.8633030000000007E-2</v>
      </c>
      <c r="W1088">
        <v>4.0055340000000002E-2</v>
      </c>
      <c r="X1088">
        <v>0.99609859999999995</v>
      </c>
      <c r="Y1088">
        <v>-3.255272E-2</v>
      </c>
      <c r="Z1088">
        <v>5.5616330000000003E-4</v>
      </c>
      <c r="AA1088">
        <v>0.99946990000000002</v>
      </c>
      <c r="AB1088">
        <v>27</v>
      </c>
      <c r="AC1088">
        <v>33.988099999999903</v>
      </c>
      <c r="AD1088">
        <v>-1.1099651253359999</v>
      </c>
      <c r="AE1088">
        <v>1.0840000000000001</v>
      </c>
      <c r="AF1088">
        <v>-1.1111892310770499</v>
      </c>
      <c r="AG1088">
        <v>-1.1099651253359999</v>
      </c>
      <c r="AH1088">
        <v>33.951010931111497</v>
      </c>
      <c r="AI1088">
        <v>91.871510544443495</v>
      </c>
      <c r="AJ1088">
        <v>91.874575538814696</v>
      </c>
      <c r="AK1088">
        <v>33.987319802114101</v>
      </c>
      <c r="AL1088">
        <v>87.704383937712606</v>
      </c>
      <c r="AM1088">
        <v>85.486373570209594</v>
      </c>
      <c r="AN1088">
        <v>1.0000000022957201</v>
      </c>
    </row>
    <row r="1089" spans="1:40" x14ac:dyDescent="0.25">
      <c r="A1089" t="str">
        <f>"20190312154818135"</f>
        <v>20190312154818135</v>
      </c>
      <c r="B1089" t="str">
        <f>"1552376898127115"</f>
        <v>1552376898127115</v>
      </c>
      <c r="C1089" t="s">
        <v>40</v>
      </c>
      <c r="D1089">
        <v>4.5811099999999998</v>
      </c>
      <c r="E1089">
        <v>0.45824920000000002</v>
      </c>
      <c r="F1089" t="s">
        <v>45</v>
      </c>
      <c r="G1089">
        <v>-205.4957</v>
      </c>
      <c r="H1089" s="1">
        <v>-5.3344039999999901E-6</v>
      </c>
      <c r="I1089">
        <v>369.64690000000002</v>
      </c>
      <c r="J1089">
        <v>-238.7654</v>
      </c>
      <c r="K1089">
        <v>1.109961</v>
      </c>
      <c r="L1089">
        <v>368.55720000000002</v>
      </c>
      <c r="M1089">
        <v>0.99990089999999998</v>
      </c>
      <c r="N1089">
        <v>0</v>
      </c>
      <c r="O1089">
        <v>-9.2172689999999997E-4</v>
      </c>
      <c r="P1089">
        <v>0.99649180000000004</v>
      </c>
      <c r="Q1089">
        <v>2.605246E-2</v>
      </c>
      <c r="R1089">
        <v>-7.9534489999999999E-2</v>
      </c>
      <c r="S1089">
        <v>3.0210270000000001</v>
      </c>
      <c r="T1089">
        <v>-0.1003653</v>
      </c>
      <c r="U1089">
        <v>9.8510739999999999E-2</v>
      </c>
      <c r="V1089">
        <v>7.8629900000000003E-2</v>
      </c>
      <c r="W1089">
        <v>4.003201E-2</v>
      </c>
      <c r="X1089">
        <v>0.99609979999999998</v>
      </c>
      <c r="Y1089">
        <v>-3.34934E-2</v>
      </c>
      <c r="Z1089">
        <v>5.8667019999999895E-4</v>
      </c>
      <c r="AA1089">
        <v>0.99943879999999996</v>
      </c>
      <c r="AB1089">
        <v>27</v>
      </c>
      <c r="AC1089">
        <v>33.2697</v>
      </c>
      <c r="AD1089">
        <v>-1.1099663344040001</v>
      </c>
      <c r="AE1089">
        <v>1.0896999999999899</v>
      </c>
      <c r="AF1089">
        <v>-1.1191238142680799</v>
      </c>
      <c r="AG1089">
        <v>-1.1099663344040001</v>
      </c>
      <c r="AH1089">
        <v>33.231731809125897</v>
      </c>
      <c r="AI1089">
        <v>91.911930483101401</v>
      </c>
      <c r="AJ1089">
        <v>91.928784461610405</v>
      </c>
      <c r="AK1089">
        <v>33.269091697983598</v>
      </c>
      <c r="AL1089">
        <v>87.705721755636105</v>
      </c>
      <c r="AM1089">
        <v>85.486557908329502</v>
      </c>
      <c r="AN1089">
        <v>1.00000001727934</v>
      </c>
    </row>
    <row r="1090" spans="1:40" x14ac:dyDescent="0.25">
      <c r="A1090" t="str">
        <f>"20190312154818147"</f>
        <v>20190312154818147</v>
      </c>
      <c r="B1090" t="str">
        <f>"1552376898136875"</f>
        <v>1552376898136875</v>
      </c>
      <c r="C1090" t="s">
        <v>40</v>
      </c>
      <c r="D1090">
        <v>4.5596389999999998</v>
      </c>
      <c r="E1090">
        <v>0.45810600000000001</v>
      </c>
      <c r="F1090" t="s">
        <v>45</v>
      </c>
      <c r="G1090">
        <v>-205.83519999999999</v>
      </c>
      <c r="H1090" s="1">
        <v>-5.4479930000000002E-6</v>
      </c>
      <c r="I1090">
        <v>369.64729999999997</v>
      </c>
      <c r="J1090">
        <v>-238.61320000000001</v>
      </c>
      <c r="K1090">
        <v>1.109964</v>
      </c>
      <c r="L1090">
        <v>368.55700000000002</v>
      </c>
      <c r="M1090">
        <v>0.99990080000000003</v>
      </c>
      <c r="N1090">
        <v>0</v>
      </c>
      <c r="O1090">
        <v>-1.01588E-3</v>
      </c>
      <c r="P1090">
        <v>0.99648890000000001</v>
      </c>
      <c r="Q1090">
        <v>2.5975809999999998E-2</v>
      </c>
      <c r="R1090">
        <v>-7.9593259999999999E-2</v>
      </c>
      <c r="S1090">
        <v>3.0211939999999999</v>
      </c>
      <c r="T1090">
        <v>-0.1018343</v>
      </c>
      <c r="U1090">
        <v>0.1000061</v>
      </c>
      <c r="V1090">
        <v>7.8594919999999999E-2</v>
      </c>
      <c r="W1090">
        <v>3.9953870000000002E-2</v>
      </c>
      <c r="X1090">
        <v>0.99610569999999998</v>
      </c>
      <c r="Y1090">
        <v>-3.4078890000000001E-2</v>
      </c>
      <c r="Z1090">
        <v>6.0824879999999998E-4</v>
      </c>
      <c r="AA1090">
        <v>0.99941899999999995</v>
      </c>
      <c r="AB1090">
        <v>27</v>
      </c>
      <c r="AC1090">
        <v>32.777999999999999</v>
      </c>
      <c r="AD1090">
        <v>-1.109969447993</v>
      </c>
      <c r="AE1090">
        <v>1.09030000000001</v>
      </c>
      <c r="AF1090">
        <v>-1.1223156795437901</v>
      </c>
      <c r="AG1090">
        <v>-1.109969447993</v>
      </c>
      <c r="AH1090">
        <v>32.739373978420602</v>
      </c>
      <c r="AI1090">
        <v>91.940627312902194</v>
      </c>
      <c r="AJ1090">
        <v>91.963347888337296</v>
      </c>
      <c r="AK1090">
        <v>32.7774043078294</v>
      </c>
      <c r="AL1090">
        <v>87.710202437282604</v>
      </c>
      <c r="AM1090">
        <v>85.488584119065706</v>
      </c>
      <c r="AN1090">
        <v>1.0000000193751299</v>
      </c>
    </row>
    <row r="1091" spans="1:40" x14ac:dyDescent="0.25">
      <c r="A1091" t="str">
        <f>"20190312154818158"</f>
        <v>20190312154818158</v>
      </c>
      <c r="B1091" t="str">
        <f>"1552376898146635"</f>
        <v>1552376898146635</v>
      </c>
      <c r="C1091" t="s">
        <v>40</v>
      </c>
      <c r="D1091">
        <v>4.5404609999999996</v>
      </c>
      <c r="E1091">
        <v>0.45797919999999998</v>
      </c>
      <c r="F1091" t="s">
        <v>45</v>
      </c>
      <c r="G1091">
        <v>-205.7586</v>
      </c>
      <c r="H1091" s="1">
        <v>-5.4211519999999901E-6</v>
      </c>
      <c r="I1091">
        <v>369.6551</v>
      </c>
      <c r="J1091">
        <v>-238.4726</v>
      </c>
      <c r="K1091">
        <v>1.1099650000000001</v>
      </c>
      <c r="L1091">
        <v>368.55669999999998</v>
      </c>
      <c r="M1091">
        <v>0.99990060000000003</v>
      </c>
      <c r="N1091">
        <v>0</v>
      </c>
      <c r="O1091">
        <v>-1.102647E-3</v>
      </c>
      <c r="P1091">
        <v>0.99647819999999998</v>
      </c>
      <c r="Q1091">
        <v>2.603697E-2</v>
      </c>
      <c r="R1091">
        <v>-7.9709160000000001E-2</v>
      </c>
      <c r="S1091">
        <v>3.021271</v>
      </c>
      <c r="T1091">
        <v>-0.1020718</v>
      </c>
      <c r="U1091">
        <v>0.10098269999999999</v>
      </c>
      <c r="V1091">
        <v>7.8624169999999993E-2</v>
      </c>
      <c r="W1091">
        <v>4.0013420000000001E-2</v>
      </c>
      <c r="X1091">
        <v>0.99610100000000001</v>
      </c>
      <c r="Y1091">
        <v>-3.4487089999999998E-2</v>
      </c>
      <c r="Z1091">
        <v>6.1946899999999999E-4</v>
      </c>
      <c r="AA1091">
        <v>0.99940499999999999</v>
      </c>
      <c r="AB1091">
        <v>27</v>
      </c>
      <c r="AC1091">
        <v>32.713999999999999</v>
      </c>
      <c r="AD1091">
        <v>-1.1099704211519901</v>
      </c>
      <c r="AE1091">
        <v>1.09840000000002</v>
      </c>
      <c r="AF1091">
        <v>-1.1331718374161499</v>
      </c>
      <c r="AG1091">
        <v>-1.1099704211519901</v>
      </c>
      <c r="AH1091">
        <v>32.675195105412698</v>
      </c>
      <c r="AI1091">
        <v>91.944411032992704</v>
      </c>
      <c r="AJ1091">
        <v>91.986214729979395</v>
      </c>
      <c r="AK1091">
        <v>32.7136743262772</v>
      </c>
      <c r="AL1091">
        <v>87.706787740011805</v>
      </c>
      <c r="AM1091">
        <v>85.486890872221096</v>
      </c>
      <c r="AN1091">
        <v>1.00000001804464</v>
      </c>
    </row>
    <row r="1092" spans="1:40" x14ac:dyDescent="0.25">
      <c r="A1092" t="str">
        <f>"20190312154818176"</f>
        <v>20190312154818176</v>
      </c>
      <c r="B1092" t="str">
        <f>"1552376898167131"</f>
        <v>1552376898167131</v>
      </c>
      <c r="C1092" t="s">
        <v>40</v>
      </c>
      <c r="D1092">
        <v>4.6224460000000001</v>
      </c>
      <c r="E1092">
        <v>0.4576288</v>
      </c>
      <c r="F1092" t="s">
        <v>45</v>
      </c>
      <c r="G1092">
        <v>-205.4759</v>
      </c>
      <c r="H1092" s="1">
        <v>-5.324647E-6</v>
      </c>
      <c r="I1092">
        <v>369.6669</v>
      </c>
      <c r="J1092">
        <v>-238.25129999999999</v>
      </c>
      <c r="K1092">
        <v>1.109969</v>
      </c>
      <c r="L1092">
        <v>368.5564</v>
      </c>
      <c r="M1092">
        <v>0.99990060000000003</v>
      </c>
      <c r="N1092">
        <v>0</v>
      </c>
      <c r="O1092">
        <v>-1.239829E-3</v>
      </c>
      <c r="P1092">
        <v>0.9964423</v>
      </c>
      <c r="Q1092">
        <v>2.6629130000000001E-2</v>
      </c>
      <c r="R1092">
        <v>-7.9961610000000002E-2</v>
      </c>
      <c r="S1092">
        <v>3.0214080000000001</v>
      </c>
      <c r="T1092">
        <v>-0.1016364</v>
      </c>
      <c r="U1092">
        <v>0.1016541</v>
      </c>
      <c r="V1092">
        <v>7.8740199999999996E-2</v>
      </c>
      <c r="W1092">
        <v>4.060279E-2</v>
      </c>
      <c r="X1092">
        <v>0.99606790000000001</v>
      </c>
      <c r="Y1092">
        <v>-3.4844409999999999E-2</v>
      </c>
      <c r="Z1092">
        <v>6.2741719999999997E-4</v>
      </c>
      <c r="AA1092">
        <v>0.99939259999999996</v>
      </c>
      <c r="AB1092">
        <v>27</v>
      </c>
      <c r="AC1092">
        <v>32.775399999999898</v>
      </c>
      <c r="AD1092">
        <v>-1.109974324647</v>
      </c>
      <c r="AE1092">
        <v>1.1105</v>
      </c>
      <c r="AF1092">
        <v>-1.14982181453512</v>
      </c>
      <c r="AG1092">
        <v>-1.109974324647</v>
      </c>
      <c r="AH1092">
        <v>32.736495032534201</v>
      </c>
      <c r="AI1092">
        <v>91.940749687711801</v>
      </c>
      <c r="AJ1092">
        <v>92.011604049524905</v>
      </c>
      <c r="AK1092">
        <v>32.7754823034184</v>
      </c>
      <c r="AL1092">
        <v>87.672991663811004</v>
      </c>
      <c r="AM1092">
        <v>85.480108633281901</v>
      </c>
      <c r="AN1092">
        <v>0.99999993353111405</v>
      </c>
    </row>
    <row r="1093" spans="1:40" x14ac:dyDescent="0.25">
      <c r="A1093" t="str">
        <f>"20190312154818188"</f>
        <v>20190312154818188</v>
      </c>
      <c r="B1093" t="str">
        <f>"1552376898176891"</f>
        <v>1552376898176891</v>
      </c>
      <c r="C1093" t="s">
        <v>40</v>
      </c>
      <c r="D1093">
        <v>4.5978070000000004</v>
      </c>
      <c r="E1093">
        <v>0.45745590000000003</v>
      </c>
      <c r="F1093" t="s">
        <v>45</v>
      </c>
      <c r="G1093">
        <v>-205.41</v>
      </c>
      <c r="H1093" s="1">
        <v>-5.2996580000000004E-6</v>
      </c>
      <c r="I1093">
        <v>369.6857</v>
      </c>
      <c r="J1093">
        <v>-238.11170000000001</v>
      </c>
      <c r="K1093">
        <v>1.109974</v>
      </c>
      <c r="L1093">
        <v>368.55610000000001</v>
      </c>
      <c r="M1093">
        <v>0.99990049999999997</v>
      </c>
      <c r="N1093">
        <v>0</v>
      </c>
      <c r="O1093">
        <v>-1.3259999999999999E-3</v>
      </c>
      <c r="P1093">
        <v>0.99644109999999997</v>
      </c>
      <c r="Q1093">
        <v>2.6755830000000001E-2</v>
      </c>
      <c r="R1093">
        <v>-7.9934959999999999E-2</v>
      </c>
      <c r="S1093">
        <v>3.0217589999999999</v>
      </c>
      <c r="T1093">
        <v>-0.1021297</v>
      </c>
      <c r="U1093">
        <v>0.1039124</v>
      </c>
      <c r="V1093">
        <v>7.8627680000000005E-2</v>
      </c>
      <c r="W1093">
        <v>4.0728100000000003E-2</v>
      </c>
      <c r="X1093">
        <v>0.99607179999999995</v>
      </c>
      <c r="Y1093">
        <v>-3.5671929999999998E-2</v>
      </c>
      <c r="Z1093">
        <v>6.4726659999999995E-4</v>
      </c>
      <c r="AA1093">
        <v>0.99936340000000001</v>
      </c>
      <c r="AB1093">
        <v>27</v>
      </c>
      <c r="AC1093">
        <v>32.701700000000002</v>
      </c>
      <c r="AD1093">
        <v>-1.109979299658</v>
      </c>
      <c r="AE1093">
        <v>1.12959999999998</v>
      </c>
      <c r="AF1093">
        <v>-1.1716175292494999</v>
      </c>
      <c r="AG1093">
        <v>-1.109979299658</v>
      </c>
      <c r="AH1093">
        <v>32.662587620552998</v>
      </c>
      <c r="AI1093">
        <v>91.945095012226005</v>
      </c>
      <c r="AJ1093">
        <v>92.054337260322598</v>
      </c>
      <c r="AK1093">
        <v>32.702436786129802</v>
      </c>
      <c r="AL1093">
        <v>87.665806281810703</v>
      </c>
      <c r="AM1093">
        <v>85.486558465256294</v>
      </c>
      <c r="AN1093">
        <v>1.00000006047351</v>
      </c>
    </row>
    <row r="1094" spans="1:40" x14ac:dyDescent="0.25">
      <c r="A1094" t="str">
        <f>"20190312154818200"</f>
        <v>20190312154818200</v>
      </c>
      <c r="B1094" t="str">
        <f>"1552376898197388"</f>
        <v>1552376898197388</v>
      </c>
      <c r="C1094" t="s">
        <v>40</v>
      </c>
      <c r="D1094">
        <v>4.5924189999999996</v>
      </c>
      <c r="E1094">
        <v>0.45711859999999999</v>
      </c>
      <c r="F1094" t="s">
        <v>45</v>
      </c>
      <c r="G1094">
        <v>-205.4571</v>
      </c>
      <c r="H1094" s="1">
        <v>-5.3141819999999998E-6</v>
      </c>
      <c r="I1094">
        <v>369.69380000000001</v>
      </c>
      <c r="J1094">
        <v>-237.97030000000001</v>
      </c>
      <c r="K1094">
        <v>1.10997099999999</v>
      </c>
      <c r="L1094">
        <v>368.55579999999998</v>
      </c>
      <c r="M1094">
        <v>0.99990049999999997</v>
      </c>
      <c r="N1094">
        <v>0</v>
      </c>
      <c r="O1094">
        <v>-1.4132459999999999E-3</v>
      </c>
      <c r="P1094">
        <v>0.99645289999999997</v>
      </c>
      <c r="Q1094">
        <v>2.6816010000000001E-2</v>
      </c>
      <c r="R1094">
        <v>-7.976772E-2</v>
      </c>
      <c r="S1094">
        <v>3.0218959999999999</v>
      </c>
      <c r="T1094">
        <v>-0.10271909999999999</v>
      </c>
      <c r="U1094">
        <v>0.10528559999999999</v>
      </c>
      <c r="V1094">
        <v>7.8373540000000005E-2</v>
      </c>
      <c r="W1094">
        <v>4.0787179999999999E-2</v>
      </c>
      <c r="X1094">
        <v>0.99608929999999996</v>
      </c>
      <c r="Y1094">
        <v>-3.6210590000000001E-2</v>
      </c>
      <c r="Z1094">
        <v>6.6307880000000005E-4</v>
      </c>
      <c r="AA1094">
        <v>0.99934400000000001</v>
      </c>
      <c r="AB1094">
        <v>27</v>
      </c>
      <c r="AC1094">
        <v>32.513199999999998</v>
      </c>
      <c r="AD1094">
        <v>-1.1099763141819901</v>
      </c>
      <c r="AE1094">
        <v>1.1380000000000301</v>
      </c>
      <c r="AF1094">
        <v>-1.1825759474483499</v>
      </c>
      <c r="AG1094">
        <v>-1.1099763141819901</v>
      </c>
      <c r="AH1094">
        <v>32.473757611408999</v>
      </c>
      <c r="AI1094">
        <v>91.956352895121</v>
      </c>
      <c r="AJ1094">
        <v>92.085581949869905</v>
      </c>
      <c r="AK1094">
        <v>32.514234831748297</v>
      </c>
      <c r="AL1094">
        <v>87.662418173182104</v>
      </c>
      <c r="AM1094">
        <v>85.501165518696894</v>
      </c>
      <c r="AN1094">
        <v>0.99999994969948502</v>
      </c>
    </row>
    <row r="1095" spans="1:40" x14ac:dyDescent="0.25">
      <c r="A1095" t="str">
        <f>"20190312154818212"</f>
        <v>20190312154818212</v>
      </c>
      <c r="B1095" t="str">
        <f>"1552376898206679"</f>
        <v>1552376898206679</v>
      </c>
      <c r="C1095" t="s">
        <v>40</v>
      </c>
      <c r="D1095">
        <v>4.5622879999999997</v>
      </c>
      <c r="E1095">
        <v>0.45697460000000001</v>
      </c>
      <c r="F1095" t="s">
        <v>45</v>
      </c>
      <c r="G1095">
        <v>-205.87020000000001</v>
      </c>
      <c r="H1095" s="1">
        <v>-5.4499579999999996E-6</v>
      </c>
      <c r="I1095">
        <v>369.70979999999997</v>
      </c>
      <c r="J1095">
        <v>-237.82329999999999</v>
      </c>
      <c r="K1095">
        <v>1.1099680000000001</v>
      </c>
      <c r="L1095">
        <v>368.55549999999999</v>
      </c>
      <c r="M1095">
        <v>0.99990040000000002</v>
      </c>
      <c r="N1095">
        <v>0</v>
      </c>
      <c r="O1095">
        <v>-1.5039459999999999E-3</v>
      </c>
      <c r="P1095">
        <v>0.99648060000000005</v>
      </c>
      <c r="Q1095">
        <v>2.6433149999999999E-2</v>
      </c>
      <c r="R1095">
        <v>-7.9550739999999995E-2</v>
      </c>
      <c r="S1095">
        <v>3.0221710000000002</v>
      </c>
      <c r="T1095">
        <v>-0.10450230000000001</v>
      </c>
      <c r="U1095">
        <v>0.10864260000000001</v>
      </c>
      <c r="V1095">
        <v>7.8065899999999994E-2</v>
      </c>
      <c r="W1095">
        <v>4.0403639999999998E-2</v>
      </c>
      <c r="X1095">
        <v>0.99612920000000005</v>
      </c>
      <c r="Y1095">
        <v>-3.7405170000000001E-2</v>
      </c>
      <c r="Z1095">
        <v>6.9828429999999996E-4</v>
      </c>
      <c r="AA1095">
        <v>0.99929990000000002</v>
      </c>
      <c r="AB1095">
        <v>27</v>
      </c>
      <c r="AC1095">
        <v>31.9530999999999</v>
      </c>
      <c r="AD1095">
        <v>-1.1099734499580001</v>
      </c>
      <c r="AE1095">
        <v>1.1542999999999699</v>
      </c>
      <c r="AF1095">
        <v>-1.20091191240059</v>
      </c>
      <c r="AG1095">
        <v>-1.1099734499580001</v>
      </c>
      <c r="AH1095">
        <v>31.912868622399301</v>
      </c>
      <c r="AI1095">
        <v>91.990615160171998</v>
      </c>
      <c r="AJ1095">
        <v>92.155078363279799</v>
      </c>
      <c r="AK1095">
        <v>31.9547400895622</v>
      </c>
      <c r="AL1095">
        <v>87.684411785377407</v>
      </c>
      <c r="AM1095">
        <v>85.518931509208301</v>
      </c>
      <c r="AN1095">
        <v>1.0000000609803401</v>
      </c>
    </row>
    <row r="1096" spans="1:40" x14ac:dyDescent="0.25">
      <c r="A1096" t="str">
        <f>"20190312154818226"</f>
        <v>20190312154818226</v>
      </c>
      <c r="B1096" t="str">
        <f>"1552376898217414"</f>
        <v>1552376898217414</v>
      </c>
      <c r="C1096" t="s">
        <v>40</v>
      </c>
      <c r="D1096">
        <v>4.6439589999999997</v>
      </c>
      <c r="E1096">
        <v>0.4570805</v>
      </c>
      <c r="F1096" t="s">
        <v>45</v>
      </c>
      <c r="G1096">
        <v>-206.0181</v>
      </c>
      <c r="H1096" s="1">
        <v>-5.4983609999999997E-6</v>
      </c>
      <c r="I1096">
        <v>369.71679999999998</v>
      </c>
      <c r="J1096">
        <v>-237.6532</v>
      </c>
      <c r="K1096">
        <v>1.1099699999999999</v>
      </c>
      <c r="L1096">
        <v>368.55509999999998</v>
      </c>
      <c r="M1096">
        <v>0.99990000000000001</v>
      </c>
      <c r="N1096">
        <v>0</v>
      </c>
      <c r="O1096">
        <v>-1.609067E-3</v>
      </c>
      <c r="P1096">
        <v>0.99650139999999998</v>
      </c>
      <c r="Q1096">
        <v>2.5943850000000001E-2</v>
      </c>
      <c r="R1096">
        <v>-7.9447889999999993E-2</v>
      </c>
      <c r="S1096">
        <v>3.0222020000000001</v>
      </c>
      <c r="T1096">
        <v>-0.1054721</v>
      </c>
      <c r="U1096">
        <v>0.11035159999999999</v>
      </c>
      <c r="V1096">
        <v>7.7857949999999995E-2</v>
      </c>
      <c r="W1096">
        <v>3.9912889999999999E-2</v>
      </c>
      <c r="X1096">
        <v>0.99616519999999997</v>
      </c>
      <c r="Y1096">
        <v>-3.8073299999999997E-2</v>
      </c>
      <c r="Z1096">
        <v>7.2006380000000001E-4</v>
      </c>
      <c r="AA1096">
        <v>0.99927469999999996</v>
      </c>
      <c r="AB1096">
        <v>27</v>
      </c>
      <c r="AC1096">
        <v>31.635099999999898</v>
      </c>
      <c r="AD1096">
        <v>-1.109975498361</v>
      </c>
      <c r="AE1096">
        <v>1.16169999999999</v>
      </c>
      <c r="AF1096">
        <v>-1.2111175343215601</v>
      </c>
      <c r="AG1096">
        <v>-1.109975498361</v>
      </c>
      <c r="AH1096">
        <v>31.594346625636501</v>
      </c>
      <c r="AI1096">
        <v>92.010617570344706</v>
      </c>
      <c r="AJ1096">
        <v>92.195265017670806</v>
      </c>
      <c r="AK1096">
        <v>31.637028779418799</v>
      </c>
      <c r="AL1096">
        <v>87.712552253872104</v>
      </c>
      <c r="AM1096">
        <v>85.530980501075703</v>
      </c>
      <c r="AN1096">
        <v>1.0000000024286899</v>
      </c>
    </row>
    <row r="1097" spans="1:40" x14ac:dyDescent="0.25">
      <c r="A1097" t="str">
        <f>"20190312154818244"</f>
        <v>20190312154818244</v>
      </c>
      <c r="B1097" t="str">
        <f>"1552376898236934"</f>
        <v>1552376898236934</v>
      </c>
      <c r="C1097" t="s">
        <v>40</v>
      </c>
      <c r="D1097">
        <v>4.6218399999999997</v>
      </c>
      <c r="E1097">
        <v>0.4576654</v>
      </c>
      <c r="F1097" t="s">
        <v>45</v>
      </c>
      <c r="G1097">
        <v>-206.36170000000001</v>
      </c>
      <c r="H1097" s="1">
        <v>-5.6176500000000003E-6</v>
      </c>
      <c r="I1097">
        <v>369.68959999999998</v>
      </c>
      <c r="J1097">
        <v>-237.42509999999999</v>
      </c>
      <c r="K1097">
        <v>1.1099680000000001</v>
      </c>
      <c r="L1097">
        <v>368.55459999999999</v>
      </c>
      <c r="M1097">
        <v>0.99989989999999995</v>
      </c>
      <c r="N1097">
        <v>0</v>
      </c>
      <c r="O1097">
        <v>-1.7500619999999999E-3</v>
      </c>
      <c r="P1097">
        <v>0.9965484</v>
      </c>
      <c r="Q1097">
        <v>2.4973789999999999E-2</v>
      </c>
      <c r="R1097">
        <v>-7.9167669999999996E-2</v>
      </c>
      <c r="S1097">
        <v>3.0220180000000001</v>
      </c>
      <c r="T1097">
        <v>-0.1071974</v>
      </c>
      <c r="U1097">
        <v>0.10955810000000001</v>
      </c>
      <c r="V1097">
        <v>7.7436870000000005E-2</v>
      </c>
      <c r="W1097">
        <v>3.8941379999999998E-2</v>
      </c>
      <c r="X1097">
        <v>0.99623640000000002</v>
      </c>
      <c r="Y1097">
        <v>-3.7953580000000001E-2</v>
      </c>
      <c r="Z1097">
        <v>7.3475979999999895E-4</v>
      </c>
      <c r="AA1097">
        <v>0.99927929999999998</v>
      </c>
      <c r="AB1097">
        <v>27</v>
      </c>
      <c r="AC1097">
        <v>31.063399999999898</v>
      </c>
      <c r="AD1097">
        <v>-1.1099736176499999</v>
      </c>
      <c r="AE1097">
        <v>1.13499999999999</v>
      </c>
      <c r="AF1097">
        <v>-1.1878518537712599</v>
      </c>
      <c r="AG1097">
        <v>-1.1099736176499999</v>
      </c>
      <c r="AH1097">
        <v>31.021809660909799</v>
      </c>
      <c r="AI1097">
        <v>92.0476939832309</v>
      </c>
      <c r="AJ1097">
        <v>92.1928335404465</v>
      </c>
      <c r="AK1097">
        <v>31.0643800533039</v>
      </c>
      <c r="AL1097">
        <v>87.768258836976699</v>
      </c>
      <c r="AM1097">
        <v>85.555369628445902</v>
      </c>
      <c r="AN1097">
        <v>0.99999993229832795</v>
      </c>
    </row>
    <row r="1098" spans="1:40" x14ac:dyDescent="0.25">
      <c r="A1098" t="str">
        <f>"20190312154818259"</f>
        <v>20190312154818259</v>
      </c>
      <c r="B1098" t="str">
        <f>"1552376898246695"</f>
        <v>1552376898246695</v>
      </c>
      <c r="C1098" t="s">
        <v>40</v>
      </c>
      <c r="D1098">
        <v>4.5967560000000001</v>
      </c>
      <c r="E1098">
        <v>0.4579628</v>
      </c>
      <c r="F1098" t="s">
        <v>45</v>
      </c>
      <c r="G1098">
        <v>-207.15809999999999</v>
      </c>
      <c r="H1098" s="1">
        <v>-5.8955700000000004E-6</v>
      </c>
      <c r="I1098">
        <v>369.61689999999999</v>
      </c>
      <c r="J1098">
        <v>-237.25749999999999</v>
      </c>
      <c r="K1098">
        <v>1.1099650000000001</v>
      </c>
      <c r="L1098">
        <v>368.55419999999998</v>
      </c>
      <c r="M1098">
        <v>0.99989969999999995</v>
      </c>
      <c r="N1098">
        <v>0</v>
      </c>
      <c r="O1098">
        <v>-1.8541059999999999E-3</v>
      </c>
      <c r="P1098">
        <v>0.99654670000000001</v>
      </c>
      <c r="Q1098">
        <v>2.4417890000000001E-2</v>
      </c>
      <c r="R1098">
        <v>-7.9364980000000002E-2</v>
      </c>
      <c r="S1098">
        <v>3.0215909999999999</v>
      </c>
      <c r="T1098">
        <v>-0.1108098</v>
      </c>
      <c r="U1098">
        <v>0.10604860000000001</v>
      </c>
      <c r="V1098">
        <v>7.7530150000000006E-2</v>
      </c>
      <c r="W1098">
        <v>3.8383889999999997E-2</v>
      </c>
      <c r="X1098">
        <v>0.99625090000000005</v>
      </c>
      <c r="Y1098">
        <v>-3.6902409999999997E-2</v>
      </c>
      <c r="Z1098">
        <v>7.4417789999999895E-4</v>
      </c>
      <c r="AA1098">
        <v>0.99931859999999995</v>
      </c>
      <c r="AB1098">
        <v>27</v>
      </c>
      <c r="AC1098">
        <v>30.099399999999999</v>
      </c>
      <c r="AD1098">
        <v>-1.1099708955699901</v>
      </c>
      <c r="AE1098">
        <v>1.0627</v>
      </c>
      <c r="AF1098">
        <v>-1.1169940423242599</v>
      </c>
      <c r="AG1098">
        <v>-1.1099708955699901</v>
      </c>
      <c r="AH1098">
        <v>30.056554629379999</v>
      </c>
      <c r="AI1098">
        <v>92.113480741038003</v>
      </c>
      <c r="AJ1098">
        <v>92.128308006072601</v>
      </c>
      <c r="AK1098">
        <v>30.097777115071299</v>
      </c>
      <c r="AL1098">
        <v>87.800224826047199</v>
      </c>
      <c r="AM1098">
        <v>85.550101651494998</v>
      </c>
      <c r="AN1098">
        <v>1.0000000514606799</v>
      </c>
    </row>
    <row r="1099" spans="1:40" x14ac:dyDescent="0.25">
      <c r="A1099" t="str">
        <f>"20190312154818273"</f>
        <v>20190312154818273</v>
      </c>
      <c r="B1099" t="str">
        <f>"1552376898267191"</f>
        <v>1552376898267191</v>
      </c>
      <c r="C1099" t="s">
        <v>40</v>
      </c>
      <c r="D1099">
        <v>4.5852300000000001</v>
      </c>
      <c r="E1099">
        <v>0.45847149999999998</v>
      </c>
      <c r="F1099" t="s">
        <v>45</v>
      </c>
      <c r="G1099">
        <v>-207.62029999999999</v>
      </c>
      <c r="H1099" s="1">
        <v>-4.1867059999999998E-6</v>
      </c>
      <c r="I1099">
        <v>369.56569999999999</v>
      </c>
      <c r="J1099">
        <v>-237.08629999999999</v>
      </c>
      <c r="K1099">
        <v>1.109964</v>
      </c>
      <c r="L1099">
        <v>368.55369999999999</v>
      </c>
      <c r="M1099">
        <v>0.9998996</v>
      </c>
      <c r="N1099">
        <v>0</v>
      </c>
      <c r="O1099">
        <v>-1.9604169999999999E-3</v>
      </c>
      <c r="P1099">
        <v>0.99651250000000002</v>
      </c>
      <c r="Q1099">
        <v>2.4406199999999999E-2</v>
      </c>
      <c r="R1099">
        <v>-7.9797580000000007E-2</v>
      </c>
      <c r="S1099">
        <v>3.0214080000000001</v>
      </c>
      <c r="T1099">
        <v>-0.11315739999999901</v>
      </c>
      <c r="U1099">
        <v>0.1031189</v>
      </c>
      <c r="V1099">
        <v>7.7856640000000005E-2</v>
      </c>
      <c r="W1099">
        <v>3.8370080000000001E-2</v>
      </c>
      <c r="X1099">
        <v>0.9962259</v>
      </c>
      <c r="Y1099">
        <v>-3.6042350000000001E-2</v>
      </c>
      <c r="Z1099">
        <v>7.4787599999999997E-4</v>
      </c>
      <c r="AA1099">
        <v>0.99934999999999996</v>
      </c>
      <c r="AB1099">
        <v>27</v>
      </c>
      <c r="AC1099">
        <v>29.466000000000001</v>
      </c>
      <c r="AD1099">
        <v>-1.1099681867060001</v>
      </c>
      <c r="AE1099">
        <v>1.012</v>
      </c>
      <c r="AF1099">
        <v>-1.0682553359886799</v>
      </c>
      <c r="AG1099">
        <v>-1.1099681867060001</v>
      </c>
      <c r="AH1099">
        <v>29.422258588173101</v>
      </c>
      <c r="AI1099">
        <v>92.159063705087604</v>
      </c>
      <c r="AJ1099">
        <v>92.079366139636804</v>
      </c>
      <c r="AK1099">
        <v>29.462560976053901</v>
      </c>
      <c r="AL1099">
        <v>87.801016510413405</v>
      </c>
      <c r="AM1099">
        <v>85.531326579708903</v>
      </c>
      <c r="AN1099">
        <v>0.99999998163105197</v>
      </c>
    </row>
    <row r="1100" spans="1:40" x14ac:dyDescent="0.25">
      <c r="A1100" t="str">
        <f>"20190312154818285"</f>
        <v>20190312154818285</v>
      </c>
      <c r="B1100" t="str">
        <f>"1552376898276950"</f>
        <v>1552376898276950</v>
      </c>
      <c r="C1100" t="s">
        <v>40</v>
      </c>
      <c r="D1100">
        <v>4.5848170000000001</v>
      </c>
      <c r="E1100">
        <v>0.45871770000000001</v>
      </c>
      <c r="F1100" t="s">
        <v>45</v>
      </c>
      <c r="G1100">
        <v>-207.6592</v>
      </c>
      <c r="H1100" s="1">
        <v>-4.2184589999999999E-6</v>
      </c>
      <c r="I1100">
        <v>369.50439999999998</v>
      </c>
      <c r="J1100">
        <v>-236.9288</v>
      </c>
      <c r="K1100">
        <v>1.1099650000000001</v>
      </c>
      <c r="L1100">
        <v>368.55329999999998</v>
      </c>
      <c r="M1100">
        <v>0.99989930000000005</v>
      </c>
      <c r="N1100">
        <v>0</v>
      </c>
      <c r="O1100">
        <v>-2.0579090000000001E-3</v>
      </c>
      <c r="P1100">
        <v>0.99645300000000003</v>
      </c>
      <c r="Q1100">
        <v>2.4278460000000002E-2</v>
      </c>
      <c r="R1100">
        <v>-8.0572759999999993E-2</v>
      </c>
      <c r="S1100">
        <v>3.021118</v>
      </c>
      <c r="T1100">
        <v>-0.1139545</v>
      </c>
      <c r="U1100">
        <v>9.7595210000000002E-2</v>
      </c>
      <c r="V1100">
        <v>7.8534999999999994E-2</v>
      </c>
      <c r="W1100">
        <v>3.8239990000000001E-2</v>
      </c>
      <c r="X1100">
        <v>0.99617770000000005</v>
      </c>
      <c r="Y1100">
        <v>-3.4318620000000001E-2</v>
      </c>
      <c r="Z1100">
        <v>7.2442239999999998E-4</v>
      </c>
      <c r="AA1100">
        <v>0.99941069999999999</v>
      </c>
      <c r="AB1100">
        <v>27</v>
      </c>
      <c r="AC1100">
        <v>29.269600000000001</v>
      </c>
      <c r="AD1100">
        <v>-1.10996921845899</v>
      </c>
      <c r="AE1100">
        <v>0.95109999999999595</v>
      </c>
      <c r="AF1100">
        <v>-1.00988731309486</v>
      </c>
      <c r="AG1100">
        <v>-1.10996921845899</v>
      </c>
      <c r="AH1100">
        <v>29.225595618203801</v>
      </c>
      <c r="AI1100">
        <v>92.1737151615785</v>
      </c>
      <c r="AJ1100">
        <v>91.979062055543295</v>
      </c>
      <c r="AK1100">
        <v>29.264096488527599</v>
      </c>
      <c r="AL1100">
        <v>87.808475691207093</v>
      </c>
      <c r="AM1100">
        <v>85.492333874081396</v>
      </c>
      <c r="AN1100">
        <v>1.0000000265187401</v>
      </c>
    </row>
    <row r="1101" spans="1:40" x14ac:dyDescent="0.25">
      <c r="A1101" t="str">
        <f>"20190312154818299"</f>
        <v>20190312154818299</v>
      </c>
      <c r="B1101" t="str">
        <f>"1552376898286711"</f>
        <v>1552376898286711</v>
      </c>
      <c r="C1101" t="s">
        <v>40</v>
      </c>
      <c r="D1101">
        <v>4.5904480000000003</v>
      </c>
      <c r="E1101">
        <v>0.45891709999999902</v>
      </c>
      <c r="F1101" t="s">
        <v>45</v>
      </c>
      <c r="G1101">
        <v>-207.75290000000001</v>
      </c>
      <c r="H1101" s="1">
        <v>-4.2731209999999997E-6</v>
      </c>
      <c r="I1101">
        <v>369.45460000000003</v>
      </c>
      <c r="J1101">
        <v>-236.75790000000001</v>
      </c>
      <c r="K1101">
        <v>1.1099699999999999</v>
      </c>
      <c r="L1101">
        <v>368.55290000000002</v>
      </c>
      <c r="M1101">
        <v>0.99989910000000004</v>
      </c>
      <c r="N1101">
        <v>0</v>
      </c>
      <c r="O1101">
        <v>-2.1638650000000001E-3</v>
      </c>
      <c r="P1101">
        <v>0.99636270000000005</v>
      </c>
      <c r="Q1101">
        <v>2.406107E-2</v>
      </c>
      <c r="R1101">
        <v>-8.1746970000000002E-2</v>
      </c>
      <c r="S1101">
        <v>3.0210270000000001</v>
      </c>
      <c r="T1101">
        <v>-0.1149319</v>
      </c>
      <c r="U1101">
        <v>9.3322749999999996E-2</v>
      </c>
      <c r="V1101">
        <v>7.9603400000000005E-2</v>
      </c>
      <c r="W1101">
        <v>3.8019379999999998E-2</v>
      </c>
      <c r="X1101">
        <v>0.99610129999999997</v>
      </c>
      <c r="Y1101">
        <v>-3.3013889999999997E-2</v>
      </c>
      <c r="Z1101">
        <v>7.0989509999999905E-4</v>
      </c>
      <c r="AA1101">
        <v>0.99945459999999997</v>
      </c>
      <c r="AB1101">
        <v>27</v>
      </c>
      <c r="AC1101">
        <v>29.0049999999999</v>
      </c>
      <c r="AD1101">
        <v>-1.1099742731209901</v>
      </c>
      <c r="AE1101">
        <v>0.90170000000000505</v>
      </c>
      <c r="AF1101">
        <v>-0.96305797281969097</v>
      </c>
      <c r="AG1101">
        <v>-1.1099742731209901</v>
      </c>
      <c r="AH1101">
        <v>28.9606097754485</v>
      </c>
      <c r="AI1101">
        <v>92.193691555498006</v>
      </c>
      <c r="AJ1101">
        <v>91.904615667319703</v>
      </c>
      <c r="AK1101">
        <v>28.997869613332099</v>
      </c>
      <c r="AL1101">
        <v>87.8211248256369</v>
      </c>
      <c r="AM1101">
        <v>85.430919966039397</v>
      </c>
      <c r="AN1101">
        <v>0.99999998720441696</v>
      </c>
    </row>
    <row r="1102" spans="1:40" x14ac:dyDescent="0.25">
      <c r="A1102" t="str">
        <f>"20190312154818322"</f>
        <v>20190312154818322</v>
      </c>
      <c r="B1102" t="str">
        <f>"1552376898317473"</f>
        <v>1552376898317473</v>
      </c>
      <c r="C1102" t="s">
        <v>40</v>
      </c>
      <c r="D1102">
        <v>4.5795640000000004</v>
      </c>
      <c r="E1102">
        <v>0.45949590000000001</v>
      </c>
      <c r="F1102" t="s">
        <v>45</v>
      </c>
      <c r="G1102">
        <v>-207.91749999999999</v>
      </c>
      <c r="H1102" s="1">
        <v>-4.3628489999999998E-6</v>
      </c>
      <c r="I1102">
        <v>369.39569999999998</v>
      </c>
      <c r="J1102">
        <v>-236.48419999999999</v>
      </c>
      <c r="K1102">
        <v>1.1099699999999999</v>
      </c>
      <c r="L1102">
        <v>368.5521</v>
      </c>
      <c r="M1102">
        <v>0.99989890000000003</v>
      </c>
      <c r="N1102">
        <v>0</v>
      </c>
      <c r="O1102">
        <v>-2.3333519999999999E-3</v>
      </c>
      <c r="P1102">
        <v>0.99629279999999998</v>
      </c>
      <c r="Q1102">
        <v>2.301129E-2</v>
      </c>
      <c r="R1102">
        <v>-8.2894570000000001E-2</v>
      </c>
      <c r="S1102">
        <v>3.0210270000000001</v>
      </c>
      <c r="T1102">
        <v>-0.1162697</v>
      </c>
      <c r="U1102">
        <v>8.8287350000000001E-2</v>
      </c>
      <c r="V1102">
        <v>8.0582130000000002E-2</v>
      </c>
      <c r="W1102">
        <v>3.6965829999999998E-2</v>
      </c>
      <c r="X1102">
        <v>0.99606229999999996</v>
      </c>
      <c r="Y1102">
        <v>-3.1519279999999997E-2</v>
      </c>
      <c r="Z1102">
        <v>6.9594519999999997E-4</v>
      </c>
      <c r="AA1102">
        <v>0.99950289999999997</v>
      </c>
      <c r="AB1102">
        <v>27</v>
      </c>
      <c r="AC1102">
        <v>28.566700000000001</v>
      </c>
      <c r="AD1102">
        <v>-1.109974362849</v>
      </c>
      <c r="AE1102">
        <v>0.84359999999998003</v>
      </c>
      <c r="AF1102">
        <v>-0.90888942529194405</v>
      </c>
      <c r="AG1102">
        <v>-1.109974362849</v>
      </c>
      <c r="AH1102">
        <v>28.521630526251201</v>
      </c>
      <c r="AI1102">
        <v>92.227521725293101</v>
      </c>
      <c r="AJ1102">
        <v>91.8252081169191</v>
      </c>
      <c r="AK1102">
        <v>28.557687773164901</v>
      </c>
      <c r="AL1102">
        <v>87.881531357497394</v>
      </c>
      <c r="AM1102">
        <v>85.3748047142996</v>
      </c>
      <c r="AN1102">
        <v>1.0000000288721</v>
      </c>
    </row>
    <row r="1103" spans="1:40" x14ac:dyDescent="0.25">
      <c r="A1103" t="str">
        <f>"20190312154818334"</f>
        <v>20190312154818334</v>
      </c>
      <c r="B1103" t="str">
        <f>"1552376898327233"</f>
        <v>1552376898327233</v>
      </c>
      <c r="C1103" t="s">
        <v>40</v>
      </c>
      <c r="D1103">
        <v>4.5564460000000002</v>
      </c>
      <c r="E1103">
        <v>0.4596827</v>
      </c>
      <c r="F1103" t="s">
        <v>45</v>
      </c>
      <c r="G1103">
        <v>-208.6858</v>
      </c>
      <c r="H1103" s="1">
        <v>-4.7439399999999998E-6</v>
      </c>
      <c r="I1103">
        <v>369.291</v>
      </c>
      <c r="J1103">
        <v>-236.34440000000001</v>
      </c>
      <c r="K1103">
        <v>1.109969</v>
      </c>
      <c r="L1103">
        <v>368.55160000000001</v>
      </c>
      <c r="M1103">
        <v>0.99989859999999997</v>
      </c>
      <c r="N1103">
        <v>0</v>
      </c>
      <c r="O1103">
        <v>-2.4198800000000001E-3</v>
      </c>
      <c r="P1103">
        <v>0.99627759999999999</v>
      </c>
      <c r="Q1103">
        <v>2.2388789999999999E-2</v>
      </c>
      <c r="R1103">
        <v>-8.3246619999999993E-2</v>
      </c>
      <c r="S1103">
        <v>3.0206149999999998</v>
      </c>
      <c r="T1103">
        <v>-0.1206113</v>
      </c>
      <c r="U1103">
        <v>8.0291749999999995E-2</v>
      </c>
      <c r="V1103">
        <v>8.084761E-2</v>
      </c>
      <c r="W1103">
        <v>3.6341600000000002E-2</v>
      </c>
      <c r="X1103">
        <v>0.9960637</v>
      </c>
      <c r="Y1103">
        <v>-2.896607E-2</v>
      </c>
      <c r="Z1103">
        <v>6.7454549999999998E-4</v>
      </c>
      <c r="AA1103">
        <v>0.99958009999999997</v>
      </c>
      <c r="AB1103">
        <v>27</v>
      </c>
      <c r="AC1103">
        <v>27.6586</v>
      </c>
      <c r="AD1103">
        <v>-1.1099737439399999</v>
      </c>
      <c r="AE1103">
        <v>0.73939999999998895</v>
      </c>
      <c r="AF1103">
        <v>-0.80503931632841697</v>
      </c>
      <c r="AG1103">
        <v>-1.1099737439399999</v>
      </c>
      <c r="AH1103">
        <v>27.612291289811498</v>
      </c>
      <c r="AI1103">
        <v>92.300990492153801</v>
      </c>
      <c r="AJ1103">
        <v>91.669991533213405</v>
      </c>
      <c r="AK1103">
        <v>27.646315492059198</v>
      </c>
      <c r="AL1103">
        <v>87.917321031099505</v>
      </c>
      <c r="AM1103">
        <v>85.359639814851903</v>
      </c>
      <c r="AN1103">
        <v>0.99999997119548001</v>
      </c>
    </row>
    <row r="1104" spans="1:40" x14ac:dyDescent="0.25">
      <c r="A1104" t="str">
        <f>"20190312154818345"</f>
        <v>20190312154818345</v>
      </c>
      <c r="B1104" t="str">
        <f>"1552376898336992"</f>
        <v>1552376898336992</v>
      </c>
      <c r="C1104" t="s">
        <v>40</v>
      </c>
      <c r="D1104">
        <v>4.5975299999999999</v>
      </c>
      <c r="E1104">
        <v>0.45988420000000002</v>
      </c>
      <c r="F1104" t="s">
        <v>45</v>
      </c>
      <c r="G1104">
        <v>-209.1617</v>
      </c>
      <c r="H1104" s="1">
        <v>-4.9742410000000002E-6</v>
      </c>
      <c r="I1104">
        <v>369.25229999999999</v>
      </c>
      <c r="J1104">
        <v>-236.2071</v>
      </c>
      <c r="K1104">
        <v>1.1099680000000001</v>
      </c>
      <c r="L1104">
        <v>368.55119999999999</v>
      </c>
      <c r="M1104">
        <v>0.99989850000000002</v>
      </c>
      <c r="N1104">
        <v>0</v>
      </c>
      <c r="O1104">
        <v>-2.5050950000000002E-3</v>
      </c>
      <c r="P1104">
        <v>0.99628499999999998</v>
      </c>
      <c r="Q1104">
        <v>2.1628479999999999E-2</v>
      </c>
      <c r="R1104">
        <v>-8.3357619999999993E-2</v>
      </c>
      <c r="S1104">
        <v>3.0204620000000002</v>
      </c>
      <c r="T1104">
        <v>-0.1233373</v>
      </c>
      <c r="U1104">
        <v>7.7850340000000004E-2</v>
      </c>
      <c r="V1104">
        <v>8.0873650000000005E-2</v>
      </c>
      <c r="W1104">
        <v>3.5580580000000001E-2</v>
      </c>
      <c r="X1104">
        <v>0.99608909999999995</v>
      </c>
      <c r="Y1104">
        <v>-2.8244579999999998E-2</v>
      </c>
      <c r="Z1104">
        <v>6.7857649999999905E-4</v>
      </c>
      <c r="AA1104">
        <v>0.99960079999999996</v>
      </c>
      <c r="AB1104">
        <v>27</v>
      </c>
      <c r="AC1104">
        <v>27.045400000000001</v>
      </c>
      <c r="AD1104">
        <v>-1.1099729742410001</v>
      </c>
      <c r="AE1104">
        <v>0.70109999999999595</v>
      </c>
      <c r="AF1104">
        <v>-0.76756376618187905</v>
      </c>
      <c r="AG1104">
        <v>-1.1099729742410001</v>
      </c>
      <c r="AH1104">
        <v>26.998114299965401</v>
      </c>
      <c r="AI1104">
        <v>92.353324651385805</v>
      </c>
      <c r="AJ1104">
        <v>91.628496000398897</v>
      </c>
      <c r="AK1104">
        <v>27.031821431281699</v>
      </c>
      <c r="AL1104">
        <v>87.960952568002597</v>
      </c>
      <c r="AM1104">
        <v>85.358269592007304</v>
      </c>
      <c r="AN1104">
        <v>1.0000000100381301</v>
      </c>
    </row>
    <row r="1105" spans="1:40" x14ac:dyDescent="0.25">
      <c r="A1105" t="str">
        <f>"20190312154818356"</f>
        <v>20190312154818356</v>
      </c>
      <c r="B1105" t="str">
        <f>"1552376898347728"</f>
        <v>1552376898347728</v>
      </c>
      <c r="C1105" t="s">
        <v>40</v>
      </c>
      <c r="D1105">
        <v>4.6186210000000001</v>
      </c>
      <c r="E1105">
        <v>0.46007310000000001</v>
      </c>
      <c r="F1105" t="s">
        <v>45</v>
      </c>
      <c r="G1105">
        <v>-209.61670000000001</v>
      </c>
      <c r="H1105" s="1">
        <v>-5.1937739999999999E-6</v>
      </c>
      <c r="I1105">
        <v>369.21809999999999</v>
      </c>
      <c r="J1105">
        <v>-236.0702</v>
      </c>
      <c r="K1105">
        <v>1.109961</v>
      </c>
      <c r="L1105">
        <v>368.55079999999998</v>
      </c>
      <c r="M1105">
        <v>0.99989819999999996</v>
      </c>
      <c r="N1105">
        <v>0</v>
      </c>
      <c r="O1105">
        <v>-2.5898359999999999E-3</v>
      </c>
      <c r="P1105">
        <v>0.99628870000000003</v>
      </c>
      <c r="Q1105">
        <v>2.089208E-2</v>
      </c>
      <c r="R1105">
        <v>-8.3501880000000001E-2</v>
      </c>
      <c r="S1105">
        <v>3.0202640000000001</v>
      </c>
      <c r="T1105">
        <v>-0.1260762</v>
      </c>
      <c r="U1105">
        <v>7.5744629999999993E-2</v>
      </c>
      <c r="V1105">
        <v>8.0933019999999994E-2</v>
      </c>
      <c r="W1105">
        <v>3.4842419999999999E-2</v>
      </c>
      <c r="X1105">
        <v>0.99611039999999995</v>
      </c>
      <c r="Y1105">
        <v>-2.763382E-2</v>
      </c>
      <c r="Z1105">
        <v>6.8447989999999997E-4</v>
      </c>
      <c r="AA1105">
        <v>0.99961789999999995</v>
      </c>
      <c r="AB1105">
        <v>27</v>
      </c>
      <c r="AC1105">
        <v>26.453499999999899</v>
      </c>
      <c r="AD1105">
        <v>-1.109966193774</v>
      </c>
      <c r="AE1105">
        <v>0.667300000000011</v>
      </c>
      <c r="AF1105">
        <v>-0.73452237804498499</v>
      </c>
      <c r="AG1105">
        <v>-1.109966193774</v>
      </c>
      <c r="AH1105">
        <v>26.4052242245846</v>
      </c>
      <c r="AI1105">
        <v>92.406130354469695</v>
      </c>
      <c r="AJ1105">
        <v>91.593403703979803</v>
      </c>
      <c r="AK1105">
        <v>26.438748352101701</v>
      </c>
      <c r="AL1105">
        <v>88.003272321116498</v>
      </c>
      <c r="AM1105">
        <v>85.354975859277602</v>
      </c>
      <c r="AN1105">
        <v>1.0000000384729599</v>
      </c>
    </row>
    <row r="1106" spans="1:40" x14ac:dyDescent="0.25">
      <c r="A1106" t="str">
        <f>"20190312154818369"</f>
        <v>20190312154818369</v>
      </c>
      <c r="B1106" t="str">
        <f>"1552376898356512"</f>
        <v>1552376898356512</v>
      </c>
      <c r="C1106" t="s">
        <v>40</v>
      </c>
      <c r="D1106">
        <v>4.6681280000000003</v>
      </c>
      <c r="E1106">
        <v>0.4602405</v>
      </c>
      <c r="F1106" t="s">
        <v>42</v>
      </c>
      <c r="G1106">
        <v>-209.99189999999999</v>
      </c>
      <c r="H1106" s="1">
        <v>-4.3517369999999997E-6</v>
      </c>
      <c r="I1106">
        <v>369.18819999999999</v>
      </c>
      <c r="J1106">
        <v>-235.92519999999999</v>
      </c>
      <c r="K1106">
        <v>1.109958</v>
      </c>
      <c r="L1106">
        <v>368.55029999999999</v>
      </c>
      <c r="M1106">
        <v>0.99989819999999996</v>
      </c>
      <c r="N1106">
        <v>0</v>
      </c>
      <c r="O1106">
        <v>-2.6799380000000002E-3</v>
      </c>
      <c r="P1106">
        <v>0.99628899999999998</v>
      </c>
      <c r="Q1106">
        <v>2.0293269999999999E-2</v>
      </c>
      <c r="R1106">
        <v>-8.3647819999999998E-2</v>
      </c>
      <c r="S1106">
        <v>3.0200650000000002</v>
      </c>
      <c r="T1106">
        <v>-0.12854180000000001</v>
      </c>
      <c r="U1106">
        <v>7.3822020000000002E-2</v>
      </c>
      <c r="V1106">
        <v>8.0988950000000004E-2</v>
      </c>
      <c r="W1106">
        <v>3.4242439999999999E-2</v>
      </c>
      <c r="X1106">
        <v>0.99612659999999997</v>
      </c>
      <c r="Y1106">
        <v>-2.7088930000000001E-2</v>
      </c>
      <c r="Z1106">
        <v>6.901492E-4</v>
      </c>
      <c r="AA1106">
        <v>0.99963279999999999</v>
      </c>
      <c r="AB1106">
        <v>27</v>
      </c>
      <c r="AC1106">
        <v>25.933299999999999</v>
      </c>
      <c r="AD1106">
        <v>-1.1099623517370001</v>
      </c>
      <c r="AE1106">
        <v>0.63790000000000102</v>
      </c>
      <c r="AF1106">
        <v>-0.70611143021834</v>
      </c>
      <c r="AG1106">
        <v>-1.1099623517370001</v>
      </c>
      <c r="AH1106">
        <v>25.884108818132798</v>
      </c>
      <c r="AI1106">
        <v>92.454541238271901</v>
      </c>
      <c r="AJ1106">
        <v>91.562625691255406</v>
      </c>
      <c r="AK1106">
        <v>25.917517224516299</v>
      </c>
      <c r="AL1106">
        <v>88.037669052230498</v>
      </c>
      <c r="AM1106">
        <v>85.351855168337295</v>
      </c>
      <c r="AN1106">
        <v>0.99999997897340698</v>
      </c>
    </row>
    <row r="1107" spans="1:40" x14ac:dyDescent="0.25">
      <c r="A1107" t="str">
        <f>"20190312154818381"</f>
        <v>20190312154818381</v>
      </c>
      <c r="B1107" t="str">
        <f>"1552376898367249"</f>
        <v>1552376898367249</v>
      </c>
      <c r="C1107" t="s">
        <v>40</v>
      </c>
      <c r="D1107">
        <v>4.6631720000000003</v>
      </c>
      <c r="E1107">
        <v>0.4602405</v>
      </c>
      <c r="F1107" t="s">
        <v>42</v>
      </c>
      <c r="G1107">
        <v>-210.18610000000001</v>
      </c>
      <c r="H1107" s="1">
        <v>-4.2724960000000001E-6</v>
      </c>
      <c r="I1107">
        <v>369.16520000000003</v>
      </c>
      <c r="J1107">
        <v>-235.76939999999999</v>
      </c>
      <c r="K1107">
        <v>1.1099559999999999</v>
      </c>
      <c r="L1107">
        <v>368.5498</v>
      </c>
      <c r="M1107">
        <v>0.99989779999999995</v>
      </c>
      <c r="N1107">
        <v>0</v>
      </c>
      <c r="O1107">
        <v>-2.7765939999999999E-3</v>
      </c>
      <c r="P1107">
        <v>0.99628470000000002</v>
      </c>
      <c r="Q1107">
        <v>1.9732340000000001E-2</v>
      </c>
      <c r="R1107">
        <v>-8.3829680000000004E-2</v>
      </c>
      <c r="S1107">
        <v>3.019882</v>
      </c>
      <c r="T1107">
        <v>-0.13022790000000001</v>
      </c>
      <c r="U1107">
        <v>7.2143550000000001E-2</v>
      </c>
      <c r="V1107">
        <v>8.107425E-2</v>
      </c>
      <c r="W1107">
        <v>3.3680099999999998E-2</v>
      </c>
      <c r="X1107">
        <v>0.99613890000000005</v>
      </c>
      <c r="Y1107">
        <v>-2.663138E-2</v>
      </c>
      <c r="Z1107">
        <v>6.9354740000000001E-4</v>
      </c>
      <c r="AA1107">
        <v>0.99964509999999995</v>
      </c>
      <c r="AB1107">
        <v>27</v>
      </c>
      <c r="AC1107">
        <v>25.583299999999898</v>
      </c>
      <c r="AD1107">
        <v>-1.1099602724959901</v>
      </c>
      <c r="AE1107">
        <v>0.61540000000002204</v>
      </c>
      <c r="AF1107">
        <v>-0.68515010064755599</v>
      </c>
      <c r="AG1107">
        <v>-1.1099602724959901</v>
      </c>
      <c r="AH1107">
        <v>25.533457220029</v>
      </c>
      <c r="AI1107">
        <v>92.488232766226702</v>
      </c>
      <c r="AJ1107">
        <v>91.5370731394666</v>
      </c>
      <c r="AK1107">
        <v>25.566753412859999</v>
      </c>
      <c r="AL1107">
        <v>88.069907487348601</v>
      </c>
      <c r="AM1107">
        <v>85.347038289023899</v>
      </c>
      <c r="AN1107">
        <v>1.00000004562114</v>
      </c>
    </row>
    <row r="1108" spans="1:40" x14ac:dyDescent="0.25">
      <c r="A1108" t="str">
        <f>"20190312154818394"</f>
        <v>20190312154818394</v>
      </c>
      <c r="B1108" t="str">
        <f>"1552376898386768"</f>
        <v>1552376898386768</v>
      </c>
      <c r="C1108" t="s">
        <v>40</v>
      </c>
      <c r="D1108">
        <v>4.6497890000000002</v>
      </c>
      <c r="E1108">
        <v>0.50250139999999999</v>
      </c>
      <c r="F1108" t="s">
        <v>42</v>
      </c>
      <c r="G1108">
        <v>-210.36349999999999</v>
      </c>
      <c r="H1108" s="1">
        <v>-4.1987549999999997E-6</v>
      </c>
      <c r="I1108">
        <v>369.15190000000001</v>
      </c>
      <c r="J1108">
        <v>-235.61279999999999</v>
      </c>
      <c r="K1108">
        <v>1.1099570000000001</v>
      </c>
      <c r="L1108">
        <v>368.54930000000002</v>
      </c>
      <c r="M1108">
        <v>0.99989749999999999</v>
      </c>
      <c r="N1108">
        <v>0</v>
      </c>
      <c r="O1108">
        <v>-2.8740839999999998E-3</v>
      </c>
      <c r="P1108">
        <v>0.99629210000000001</v>
      </c>
      <c r="Q1108">
        <v>1.9304709999999999E-2</v>
      </c>
      <c r="R1108">
        <v>-8.3841490000000005E-2</v>
      </c>
      <c r="S1108">
        <v>3.0198209999999999</v>
      </c>
      <c r="T1108">
        <v>-0.13193289999999999</v>
      </c>
      <c r="U1108">
        <v>7.1563719999999997E-2</v>
      </c>
      <c r="V1108">
        <v>8.0988870000000004E-2</v>
      </c>
      <c r="W1108">
        <v>3.3251669999999997E-2</v>
      </c>
      <c r="X1108">
        <v>0.99616020000000005</v>
      </c>
      <c r="Y1108">
        <v>-2.6536770000000001E-2</v>
      </c>
      <c r="Z1108">
        <v>7.0482599999999998E-4</v>
      </c>
      <c r="AA1108">
        <v>0.99964759999999997</v>
      </c>
      <c r="AB1108">
        <v>27</v>
      </c>
      <c r="AC1108">
        <v>25.249300000000002</v>
      </c>
      <c r="AD1108">
        <v>-1.10996119875499</v>
      </c>
      <c r="AE1108">
        <v>0.60259999999999503</v>
      </c>
      <c r="AF1108">
        <v>-0.67387175097083096</v>
      </c>
      <c r="AG1108">
        <v>-1.10996119875499</v>
      </c>
      <c r="AH1108">
        <v>25.198794942235601</v>
      </c>
      <c r="AI1108">
        <v>92.521244582715894</v>
      </c>
      <c r="AJ1108">
        <v>91.531851319223094</v>
      </c>
      <c r="AK1108">
        <v>25.2322290640431</v>
      </c>
      <c r="AL1108">
        <v>88.094468401847294</v>
      </c>
      <c r="AM1108">
        <v>85.352015832181905</v>
      </c>
      <c r="AN1108">
        <v>1.0000000073428501</v>
      </c>
    </row>
    <row r="1109" spans="1:40" x14ac:dyDescent="0.25">
      <c r="A1109" t="str">
        <f>"20190312154818407"</f>
        <v>20190312154818407</v>
      </c>
      <c r="B1109" t="str">
        <f>"1552376898396529"</f>
        <v>1552376898396529</v>
      </c>
      <c r="C1109" t="s">
        <v>40</v>
      </c>
      <c r="D1109">
        <v>4.6694969999999998</v>
      </c>
      <c r="E1109">
        <v>0.50853230000000005</v>
      </c>
      <c r="F1109" t="s">
        <v>41</v>
      </c>
      <c r="G1109">
        <v>-234.79179999999999</v>
      </c>
      <c r="H1109">
        <v>0.96559790000000001</v>
      </c>
      <c r="I1109">
        <v>368.48050000000001</v>
      </c>
      <c r="J1109">
        <v>-235.45529999999999</v>
      </c>
      <c r="K1109">
        <v>1.109955</v>
      </c>
      <c r="L1109">
        <v>368.5487</v>
      </c>
      <c r="M1109">
        <v>0.99989729999999999</v>
      </c>
      <c r="N1109">
        <v>0</v>
      </c>
      <c r="O1109">
        <v>-2.9722899999999998E-3</v>
      </c>
      <c r="P1109">
        <v>0.99629820000000002</v>
      </c>
      <c r="Q1109">
        <v>1.8728729999999999E-2</v>
      </c>
      <c r="R1109">
        <v>-8.3901260000000005E-2</v>
      </c>
      <c r="S1109">
        <v>3.0003359999999999</v>
      </c>
      <c r="T1109">
        <v>-0.52775729999999998</v>
      </c>
      <c r="U1109">
        <v>-0.25027470000000002</v>
      </c>
      <c r="V1109">
        <v>8.0950229999999998E-2</v>
      </c>
      <c r="W1109">
        <v>3.2674040000000001E-2</v>
      </c>
      <c r="X1109">
        <v>0.99618240000000002</v>
      </c>
      <c r="Y1109">
        <v>7.9004999999999895E-2</v>
      </c>
      <c r="Z1109">
        <v>-6.3658550000000001E-3</v>
      </c>
      <c r="AA1109">
        <v>0.99685389999999996</v>
      </c>
      <c r="AB1109">
        <v>27</v>
      </c>
      <c r="AC1109">
        <v>0.66349999999999898</v>
      </c>
      <c r="AD1109">
        <v>-0.14435709999999999</v>
      </c>
      <c r="AE1109">
        <v>-6.8199999999990199E-2</v>
      </c>
      <c r="AF1109">
        <v>6.3264014450236702E-2</v>
      </c>
      <c r="AG1109">
        <v>-0.14435709999999999</v>
      </c>
      <c r="AH1109">
        <v>0.63400223659905597</v>
      </c>
      <c r="AI1109">
        <v>102.765789591424</v>
      </c>
      <c r="AJ1109">
        <v>84.301594686476093</v>
      </c>
      <c r="AK1109">
        <v>0.65329942894309501</v>
      </c>
      <c r="AL1109">
        <v>88.127582056812102</v>
      </c>
      <c r="AM1109">
        <v>85.354326766478493</v>
      </c>
      <c r="AN1109">
        <v>0.999999953348366</v>
      </c>
    </row>
    <row r="1110" spans="1:40" x14ac:dyDescent="0.25">
      <c r="A1110" t="str">
        <f>"20190312154818421"</f>
        <v>20190312154818421</v>
      </c>
      <c r="B1110" t="str">
        <f>"1552376898416557"</f>
        <v>1552376898416557</v>
      </c>
      <c r="C1110" t="s">
        <v>40</v>
      </c>
      <c r="D1110">
        <v>4.6444739999999998</v>
      </c>
      <c r="E1110">
        <v>0.51288540000000005</v>
      </c>
      <c r="F1110" t="s">
        <v>41</v>
      </c>
      <c r="G1110">
        <v>-234.56809999999999</v>
      </c>
      <c r="H1110">
        <v>0.93037239999999999</v>
      </c>
      <c r="I1110">
        <v>368.46129999999999</v>
      </c>
      <c r="J1110">
        <v>-235.29470000000001</v>
      </c>
      <c r="K1110">
        <v>1.1099509999999999</v>
      </c>
      <c r="L1110">
        <v>368.54809999999998</v>
      </c>
      <c r="M1110">
        <v>0.99989720000000004</v>
      </c>
      <c r="N1110">
        <v>0</v>
      </c>
      <c r="O1110">
        <v>-3.071814E-3</v>
      </c>
      <c r="P1110">
        <v>0.99629219999999996</v>
      </c>
      <c r="Q1110">
        <v>1.8183169999999999E-2</v>
      </c>
      <c r="R1110">
        <v>-8.4093150000000005E-2</v>
      </c>
      <c r="S1110">
        <v>2.9977109999999998</v>
      </c>
      <c r="T1110">
        <v>-0.60683759999999998</v>
      </c>
      <c r="U1110">
        <v>-0.29510500000000001</v>
      </c>
      <c r="V1110">
        <v>8.1042890000000006E-2</v>
      </c>
      <c r="W1110">
        <v>3.2126450000000001E-2</v>
      </c>
      <c r="X1110">
        <v>0.99619270000000004</v>
      </c>
      <c r="Y1110">
        <v>9.3103359999999996E-2</v>
      </c>
      <c r="Z1110">
        <v>-8.6929929999999996E-3</v>
      </c>
      <c r="AA1110">
        <v>0.99561849999999996</v>
      </c>
      <c r="AB1110">
        <v>27</v>
      </c>
      <c r="AC1110">
        <v>0.72660000000001901</v>
      </c>
      <c r="AD1110">
        <v>-0.1795786</v>
      </c>
      <c r="AE1110">
        <v>-8.6799999999982405E-2</v>
      </c>
      <c r="AF1110">
        <v>7.9763755921049104E-2</v>
      </c>
      <c r="AG1110">
        <v>-0.1795786</v>
      </c>
      <c r="AH1110">
        <v>0.685575614521577</v>
      </c>
      <c r="AI1110">
        <v>104.58405773428299</v>
      </c>
      <c r="AJ1110">
        <v>83.363720266053207</v>
      </c>
      <c r="AK1110">
        <v>0.713179257664741</v>
      </c>
      <c r="AL1110">
        <v>88.158973179573294</v>
      </c>
      <c r="AM1110">
        <v>85.349080271377304</v>
      </c>
      <c r="AN1110">
        <v>0.99999997717122202</v>
      </c>
    </row>
    <row r="1111" spans="1:40" x14ac:dyDescent="0.25">
      <c r="A1111" t="str">
        <f>"20190312154818436"</f>
        <v>20190312154818436</v>
      </c>
      <c r="B1111" t="str">
        <f>"1552376898427293"</f>
        <v>1552376898427293</v>
      </c>
      <c r="C1111" t="s">
        <v>40</v>
      </c>
      <c r="D1111">
        <v>4.6127339999999997</v>
      </c>
      <c r="E1111">
        <v>0.51406090000000004</v>
      </c>
      <c r="F1111" t="s">
        <v>41</v>
      </c>
      <c r="G1111">
        <v>-234.55969999999999</v>
      </c>
      <c r="H1111">
        <v>0.94756149999999995</v>
      </c>
      <c r="I1111">
        <v>368.46749999999997</v>
      </c>
      <c r="J1111">
        <v>-235.1123</v>
      </c>
      <c r="K1111">
        <v>1.10995</v>
      </c>
      <c r="L1111">
        <v>368.54750000000001</v>
      </c>
      <c r="M1111">
        <v>0.99989660000000002</v>
      </c>
      <c r="N1111">
        <v>0</v>
      </c>
      <c r="O1111">
        <v>-3.184685E-3</v>
      </c>
      <c r="P1111">
        <v>0.99629239999999997</v>
      </c>
      <c r="Q1111">
        <v>1.7185269999999999E-2</v>
      </c>
      <c r="R1111">
        <v>-8.4300249999999993E-2</v>
      </c>
      <c r="S1111">
        <v>2.9955289999999999</v>
      </c>
      <c r="T1111">
        <v>-0.66188029999999998</v>
      </c>
      <c r="U1111">
        <v>-0.32833859999999998</v>
      </c>
      <c r="V1111">
        <v>8.1137109999999998E-2</v>
      </c>
      <c r="W1111">
        <v>3.1127499999999999E-2</v>
      </c>
      <c r="X1111">
        <v>0.99621680000000001</v>
      </c>
      <c r="Y1111">
        <v>0.1034018</v>
      </c>
      <c r="Z1111">
        <v>-1.0561650000000001E-2</v>
      </c>
      <c r="AA1111">
        <v>0.99458360000000001</v>
      </c>
      <c r="AB1111">
        <v>27</v>
      </c>
      <c r="AC1111">
        <v>0.55260000000001197</v>
      </c>
      <c r="AD1111">
        <v>-0.16238849999999999</v>
      </c>
      <c r="AE1111">
        <v>-8.00000000000409E-2</v>
      </c>
      <c r="AF1111">
        <v>7.2137952844620198E-2</v>
      </c>
      <c r="AG1111">
        <v>-0.16238849999999999</v>
      </c>
      <c r="AH1111">
        <v>0.50973713463031201</v>
      </c>
      <c r="AI1111">
        <v>107.506836989703</v>
      </c>
      <c r="AJ1111">
        <v>81.944997168394295</v>
      </c>
      <c r="AK1111">
        <v>0.539820206729966</v>
      </c>
      <c r="AL1111">
        <v>88.216237547377801</v>
      </c>
      <c r="AM1111">
        <v>85.343809048808694</v>
      </c>
      <c r="AN1111">
        <v>1.0000000322388201</v>
      </c>
    </row>
    <row r="1112" spans="1:40" x14ac:dyDescent="0.25">
      <c r="A1112" t="str">
        <f>"20190312154818457"</f>
        <v>20190312154818457</v>
      </c>
      <c r="B1112" t="str">
        <f>"1552376898446813"</f>
        <v>1552376898446813</v>
      </c>
      <c r="C1112" t="s">
        <v>40</v>
      </c>
      <c r="D1112">
        <v>4.6450709999999997</v>
      </c>
      <c r="E1112">
        <v>0.51576270000000002</v>
      </c>
      <c r="F1112" t="s">
        <v>41</v>
      </c>
      <c r="G1112">
        <v>-234.327</v>
      </c>
      <c r="H1112">
        <v>0.93110130000000002</v>
      </c>
      <c r="I1112">
        <v>368.45850000000002</v>
      </c>
      <c r="J1112">
        <v>-234.8587</v>
      </c>
      <c r="K1112">
        <v>1.1099460000000001</v>
      </c>
      <c r="L1112">
        <v>368.54640000000001</v>
      </c>
      <c r="M1112">
        <v>0.99989620000000001</v>
      </c>
      <c r="N1112">
        <v>0</v>
      </c>
      <c r="O1112">
        <v>-3.3415379999999998E-3</v>
      </c>
      <c r="P1112">
        <v>0.99626409999999999</v>
      </c>
      <c r="Q1112">
        <v>1.6278750000000002E-2</v>
      </c>
      <c r="R1112">
        <v>-8.4813459999999993E-2</v>
      </c>
      <c r="S1112">
        <v>2.9943390000000001</v>
      </c>
      <c r="T1112">
        <v>-0.682037</v>
      </c>
      <c r="U1112">
        <v>-0.337860099999999</v>
      </c>
      <c r="V1112">
        <v>8.1493620000000003E-2</v>
      </c>
      <c r="W1112">
        <v>3.0218120000000001E-2</v>
      </c>
      <c r="X1112">
        <v>0.99621559999999998</v>
      </c>
      <c r="Y1112">
        <v>0.1061986</v>
      </c>
      <c r="Z1112">
        <v>-1.115617E-2</v>
      </c>
      <c r="AA1112">
        <v>0.99428240000000001</v>
      </c>
      <c r="AB1112">
        <v>27</v>
      </c>
      <c r="AC1112">
        <v>0.53169999999999995</v>
      </c>
      <c r="AD1112">
        <v>-0.178844699999999</v>
      </c>
      <c r="AE1112">
        <v>-8.78999999999905E-2</v>
      </c>
      <c r="AF1112">
        <v>7.7578822372766004E-2</v>
      </c>
      <c r="AG1112">
        <v>-0.178844699999999</v>
      </c>
      <c r="AH1112">
        <v>0.47921451125398801</v>
      </c>
      <c r="AI1112">
        <v>110.22417777376199</v>
      </c>
      <c r="AJ1112">
        <v>80.804309841237497</v>
      </c>
      <c r="AK1112">
        <v>0.51734944495498703</v>
      </c>
      <c r="AL1112">
        <v>88.268365539472796</v>
      </c>
      <c r="AM1112">
        <v>85.323435055844399</v>
      </c>
      <c r="AN1112">
        <v>0.99999993328019698</v>
      </c>
    </row>
    <row r="1113" spans="1:40" x14ac:dyDescent="0.25">
      <c r="A1113" t="str">
        <f>"20190312154818471"</f>
        <v>20190312154818471</v>
      </c>
      <c r="B1113" t="str">
        <f>"1552376898456573"</f>
        <v>1552376898456573</v>
      </c>
      <c r="C1113" t="s">
        <v>40</v>
      </c>
      <c r="D1113">
        <v>4.6570320000000001</v>
      </c>
      <c r="E1113">
        <v>0.51638660000000003</v>
      </c>
      <c r="F1113" t="s">
        <v>41</v>
      </c>
      <c r="G1113">
        <v>-234.08799999999999</v>
      </c>
      <c r="H1113">
        <v>0.92807320000000004</v>
      </c>
      <c r="I1113">
        <v>368.45589999999999</v>
      </c>
      <c r="J1113">
        <v>-234.69450000000001</v>
      </c>
      <c r="K1113">
        <v>1.1099490000000001</v>
      </c>
      <c r="L1113">
        <v>368.54579999999999</v>
      </c>
      <c r="M1113">
        <v>0.9998958</v>
      </c>
      <c r="N1113">
        <v>0</v>
      </c>
      <c r="O1113">
        <v>-3.4429669999999999E-3</v>
      </c>
      <c r="P1113">
        <v>0.99623910000000004</v>
      </c>
      <c r="Q1113">
        <v>1.593663E-2</v>
      </c>
      <c r="R1113">
        <v>-8.5169620000000001E-2</v>
      </c>
      <c r="S1113">
        <v>2.9928279999999998</v>
      </c>
      <c r="T1113">
        <v>-0.7063161</v>
      </c>
      <c r="U1113">
        <v>-0.35174559999999999</v>
      </c>
      <c r="V1113">
        <v>8.1748760000000004E-2</v>
      </c>
      <c r="W1113">
        <v>2.9873520000000001E-2</v>
      </c>
      <c r="X1113">
        <v>0.99620520000000001</v>
      </c>
      <c r="Y1113">
        <v>0.11040700000000001</v>
      </c>
      <c r="Z1113">
        <v>-1.2010389999999999E-2</v>
      </c>
      <c r="AA1113">
        <v>0.99381390000000003</v>
      </c>
      <c r="AB1113">
        <v>27</v>
      </c>
      <c r="AC1113">
        <v>0.60650000000001103</v>
      </c>
      <c r="AD1113">
        <v>-0.1818758</v>
      </c>
      <c r="AE1113">
        <v>-8.9899999999999994E-2</v>
      </c>
      <c r="AF1113">
        <v>8.0709232671000497E-2</v>
      </c>
      <c r="AG1113">
        <v>-0.1818758</v>
      </c>
      <c r="AH1113">
        <v>0.557729511652854</v>
      </c>
      <c r="AI1113">
        <v>107.88689491904501</v>
      </c>
      <c r="AJ1113">
        <v>81.765867438501004</v>
      </c>
      <c r="AK1113">
        <v>0.59216129139999796</v>
      </c>
      <c r="AL1113">
        <v>88.288118773704397</v>
      </c>
      <c r="AM1113">
        <v>85.308810169037002</v>
      </c>
      <c r="AN1113">
        <v>1.00000004373288</v>
      </c>
    </row>
    <row r="1114" spans="1:40" x14ac:dyDescent="0.25">
      <c r="A1114" t="str">
        <f>"20190312154818483"</f>
        <v>20190312154818483</v>
      </c>
      <c r="B1114" t="str">
        <f>"1552376898477068"</f>
        <v>1552376898477068</v>
      </c>
      <c r="C1114" t="s">
        <v>40</v>
      </c>
      <c r="D1114">
        <v>4.6592659999999997</v>
      </c>
      <c r="E1114">
        <v>0.51741090000000001</v>
      </c>
      <c r="F1114" t="s">
        <v>41</v>
      </c>
      <c r="G1114">
        <v>-233.85669999999999</v>
      </c>
      <c r="H1114">
        <v>0.90886100000000003</v>
      </c>
      <c r="I1114">
        <v>368.44560000000001</v>
      </c>
      <c r="J1114">
        <v>-234.5318</v>
      </c>
      <c r="K1114">
        <v>1.1099490000000001</v>
      </c>
      <c r="L1114">
        <v>368.54509999999999</v>
      </c>
      <c r="M1114">
        <v>0.9998956</v>
      </c>
      <c r="N1114">
        <v>0</v>
      </c>
      <c r="O1114">
        <v>-3.5440329999999998E-3</v>
      </c>
      <c r="P1114">
        <v>0.99623320000000004</v>
      </c>
      <c r="Q1114">
        <v>1.5938460000000002E-2</v>
      </c>
      <c r="R1114">
        <v>-8.5238369999999994E-2</v>
      </c>
      <c r="S1114">
        <v>2.9922939999999998</v>
      </c>
      <c r="T1114">
        <v>-0.71817540000000002</v>
      </c>
      <c r="U1114">
        <v>-0.35705569999999998</v>
      </c>
      <c r="V1114">
        <v>8.1716819999999996E-2</v>
      </c>
      <c r="W1114">
        <v>2.987399E-2</v>
      </c>
      <c r="X1114">
        <v>0.99620779999999998</v>
      </c>
      <c r="Y1114">
        <v>0.1119293</v>
      </c>
      <c r="Z1114">
        <v>-1.236315E-2</v>
      </c>
      <c r="AA1114">
        <v>0.9936393</v>
      </c>
      <c r="AB1114">
        <v>27</v>
      </c>
      <c r="AC1114">
        <v>0.67510000000001402</v>
      </c>
      <c r="AD1114">
        <v>-0.20108799999999999</v>
      </c>
      <c r="AE1114">
        <v>-9.9499999999977704E-2</v>
      </c>
      <c r="AF1114">
        <v>8.9347890740399505E-2</v>
      </c>
      <c r="AG1114">
        <v>-0.20108799999999999</v>
      </c>
      <c r="AH1114">
        <v>0.62148108124382495</v>
      </c>
      <c r="AI1114">
        <v>107.758687616101</v>
      </c>
      <c r="AJ1114">
        <v>81.818868188119893</v>
      </c>
      <c r="AK1114">
        <v>0.65928610152782097</v>
      </c>
      <c r="AL1114">
        <v>88.288091821760702</v>
      </c>
      <c r="AM1114">
        <v>85.310647068857193</v>
      </c>
      <c r="AN1114">
        <v>1.0000000373651301</v>
      </c>
    </row>
    <row r="1115" spans="1:40" x14ac:dyDescent="0.25">
      <c r="A1115" t="str">
        <f>"20190312154818500"</f>
        <v>20190312154818500</v>
      </c>
      <c r="B1115" t="str">
        <f>"1552376898486828"</f>
        <v>1552376898486828</v>
      </c>
      <c r="C1115" t="s">
        <v>40</v>
      </c>
      <c r="D1115">
        <v>4.6528600000000004</v>
      </c>
      <c r="E1115">
        <v>0.51769659999999995</v>
      </c>
      <c r="F1115" t="s">
        <v>41</v>
      </c>
      <c r="G1115">
        <v>-233.84180000000001</v>
      </c>
      <c r="H1115">
        <v>0.94081349999999997</v>
      </c>
      <c r="I1115">
        <v>368.46080000000001</v>
      </c>
      <c r="J1115">
        <v>-234.33619999999999</v>
      </c>
      <c r="K1115">
        <v>1.1099540000000001</v>
      </c>
      <c r="L1115">
        <v>368.54430000000002</v>
      </c>
      <c r="M1115">
        <v>0.99989519999999998</v>
      </c>
      <c r="N1115">
        <v>0</v>
      </c>
      <c r="O1115">
        <v>-3.665363E-3</v>
      </c>
      <c r="P1115">
        <v>0.99620819999999999</v>
      </c>
      <c r="Q1115">
        <v>1.5948650000000002E-2</v>
      </c>
      <c r="R1115">
        <v>-8.5526320000000003E-2</v>
      </c>
      <c r="S1115">
        <v>2.9918520000000002</v>
      </c>
      <c r="T1115">
        <v>-0.73339370000000004</v>
      </c>
      <c r="U1115">
        <v>-0.36489870000000002</v>
      </c>
      <c r="V1115">
        <v>8.1883999999999998E-2</v>
      </c>
      <c r="W1115">
        <v>2.9882100000000002E-2</v>
      </c>
      <c r="X1115">
        <v>0.99619380000000002</v>
      </c>
      <c r="Y1115">
        <v>0.1142025</v>
      </c>
      <c r="Z1115">
        <v>-1.286203E-2</v>
      </c>
      <c r="AA1115">
        <v>0.99337419999999998</v>
      </c>
      <c r="AB1115">
        <v>27</v>
      </c>
      <c r="AC1115">
        <v>0.49439999999998402</v>
      </c>
      <c r="AD1115">
        <v>-0.1691405</v>
      </c>
      <c r="AE1115">
        <v>-8.3500000000015007E-2</v>
      </c>
      <c r="AF1115">
        <v>7.3341230266184596E-2</v>
      </c>
      <c r="AG1115">
        <v>-0.1691405</v>
      </c>
      <c r="AH1115">
        <v>0.44415956646951998</v>
      </c>
      <c r="AI1115">
        <v>110.59232785327799</v>
      </c>
      <c r="AJ1115">
        <v>80.623720511401899</v>
      </c>
      <c r="AK1115">
        <v>0.48090036939432601</v>
      </c>
      <c r="AL1115">
        <v>88.287626895604802</v>
      </c>
      <c r="AM1115">
        <v>85.301030552163994</v>
      </c>
      <c r="AN1115">
        <v>1.0000000082574201</v>
      </c>
    </row>
    <row r="1116" spans="1:40" x14ac:dyDescent="0.25">
      <c r="A1116" t="str">
        <f>"20190312154818513"</f>
        <v>20190312154818513</v>
      </c>
      <c r="B1116" t="str">
        <f>"1552376898506857"</f>
        <v>1552376898506857</v>
      </c>
      <c r="C1116" t="s">
        <v>40</v>
      </c>
      <c r="D1116">
        <v>4.6503500000000004</v>
      </c>
      <c r="E1116">
        <v>0.51810429999999996</v>
      </c>
      <c r="F1116" t="s">
        <v>41</v>
      </c>
      <c r="G1116">
        <v>-233.60730000000001</v>
      </c>
      <c r="H1116">
        <v>0.92975509999999995</v>
      </c>
      <c r="I1116">
        <v>368.45460000000003</v>
      </c>
      <c r="J1116">
        <v>-234.18700000000001</v>
      </c>
      <c r="K1116">
        <v>1.1099570000000001</v>
      </c>
      <c r="L1116">
        <v>368.54360000000003</v>
      </c>
      <c r="M1116">
        <v>0.99989490000000003</v>
      </c>
      <c r="N1116">
        <v>0</v>
      </c>
      <c r="O1116">
        <v>-3.758206E-3</v>
      </c>
      <c r="P1116">
        <v>0.99618289999999998</v>
      </c>
      <c r="Q1116">
        <v>1.6243230000000001E-2</v>
      </c>
      <c r="R1116">
        <v>-8.5768830000000004E-2</v>
      </c>
      <c r="S1116">
        <v>2.9917449999999999</v>
      </c>
      <c r="T1116">
        <v>-0.73965139999999996</v>
      </c>
      <c r="U1116">
        <v>-0.36743160000000002</v>
      </c>
      <c r="V1116">
        <v>8.2033969999999998E-2</v>
      </c>
      <c r="W1116">
        <v>3.017475E-2</v>
      </c>
      <c r="X1116">
        <v>0.99617259999999996</v>
      </c>
      <c r="Y1116">
        <v>0.1148718</v>
      </c>
      <c r="Z1116">
        <v>-1.302711E-2</v>
      </c>
      <c r="AA1116">
        <v>0.99329489999999998</v>
      </c>
      <c r="AB1116">
        <v>27</v>
      </c>
      <c r="AC1116">
        <v>0.57970000000000199</v>
      </c>
      <c r="AD1116">
        <v>-0.180201899999999</v>
      </c>
      <c r="AE1116">
        <v>-8.8999999999998594E-2</v>
      </c>
      <c r="AF1116">
        <v>7.9331269834739496E-2</v>
      </c>
      <c r="AG1116">
        <v>-0.180201899999999</v>
      </c>
      <c r="AH1116">
        <v>0.52999621060795898</v>
      </c>
      <c r="AI1116">
        <v>108.58573032066199</v>
      </c>
      <c r="AJ1116">
        <v>81.487014481379006</v>
      </c>
      <c r="AK1116">
        <v>0.56538673348071899</v>
      </c>
      <c r="AL1116">
        <v>88.270851651989801</v>
      </c>
      <c r="AM1116">
        <v>85.292363331657299</v>
      </c>
      <c r="AN1116">
        <v>0.99999996838114102</v>
      </c>
    </row>
    <row r="1117" spans="1:40" x14ac:dyDescent="0.25">
      <c r="A1117" t="str">
        <f>"20190312154818526"</f>
        <v>20190312154818526</v>
      </c>
      <c r="B1117" t="str">
        <f>"1552376898516617"</f>
        <v>1552376898516617</v>
      </c>
      <c r="C1117" t="s">
        <v>40</v>
      </c>
      <c r="D1117">
        <v>4.6797430000000002</v>
      </c>
      <c r="E1117">
        <v>0.51831490000000002</v>
      </c>
      <c r="F1117" t="s">
        <v>41</v>
      </c>
      <c r="G1117">
        <v>-233.37790000000001</v>
      </c>
      <c r="H1117">
        <v>0.90760660000000004</v>
      </c>
      <c r="I1117">
        <v>368.44279999999998</v>
      </c>
      <c r="J1117">
        <v>-234.03299999999999</v>
      </c>
      <c r="K1117">
        <v>1.109953</v>
      </c>
      <c r="L1117">
        <v>368.54289999999997</v>
      </c>
      <c r="M1117">
        <v>0.99989450000000002</v>
      </c>
      <c r="N1117">
        <v>0</v>
      </c>
      <c r="O1117">
        <v>-3.854147E-3</v>
      </c>
      <c r="P1117">
        <v>0.99616229999999995</v>
      </c>
      <c r="Q1117">
        <v>1.671601E-2</v>
      </c>
      <c r="R1117">
        <v>-8.5916300000000001E-2</v>
      </c>
      <c r="S1117">
        <v>2.99173</v>
      </c>
      <c r="T1117">
        <v>-0.74827679999999996</v>
      </c>
      <c r="U1117">
        <v>-0.37130740000000001</v>
      </c>
      <c r="V1117">
        <v>8.2086039999999999E-2</v>
      </c>
      <c r="W1117">
        <v>3.0646119999999999E-2</v>
      </c>
      <c r="X1117">
        <v>0.99615399999999998</v>
      </c>
      <c r="Y1117">
        <v>0.1159395</v>
      </c>
      <c r="Z1117">
        <v>-1.3281100000000001E-2</v>
      </c>
      <c r="AA1117">
        <v>0.99316749999999998</v>
      </c>
      <c r="AB1117">
        <v>27</v>
      </c>
      <c r="AC1117">
        <v>0.65509999999997603</v>
      </c>
      <c r="AD1117">
        <v>-0.20234640000000001</v>
      </c>
      <c r="AE1117">
        <v>-0.100099999999997</v>
      </c>
      <c r="AF1117">
        <v>8.9253149850872598E-2</v>
      </c>
      <c r="AG1117">
        <v>-0.20234640000000001</v>
      </c>
      <c r="AH1117">
        <v>0.59958233959910801</v>
      </c>
      <c r="AI1117">
        <v>108.459053134903</v>
      </c>
      <c r="AJ1117">
        <v>81.533188251575794</v>
      </c>
      <c r="AK1117">
        <v>0.63906898869402395</v>
      </c>
      <c r="AL1117">
        <v>88.243831780844701</v>
      </c>
      <c r="AM1117">
        <v>85.2893011032685</v>
      </c>
      <c r="AN1117">
        <v>1.0000000471749599</v>
      </c>
    </row>
    <row r="1118" spans="1:40" x14ac:dyDescent="0.25">
      <c r="A1118" t="str">
        <f>"20190312154818537"</f>
        <v>20190312154818537</v>
      </c>
      <c r="B1118" t="str">
        <f>"1552376898527353"</f>
        <v>1552376898527353</v>
      </c>
      <c r="C1118" t="s">
        <v>40</v>
      </c>
      <c r="D1118">
        <v>4.6887040000000004</v>
      </c>
      <c r="E1118">
        <v>0.51853779999999905</v>
      </c>
      <c r="F1118" t="s">
        <v>41</v>
      </c>
      <c r="G1118">
        <v>-233.14689999999999</v>
      </c>
      <c r="H1118">
        <v>0.88750479999999998</v>
      </c>
      <c r="I1118">
        <v>368.43239999999997</v>
      </c>
      <c r="J1118">
        <v>-233.89</v>
      </c>
      <c r="K1118">
        <v>1.109955</v>
      </c>
      <c r="L1118">
        <v>368.54230000000001</v>
      </c>
      <c r="M1118">
        <v>0.99989410000000001</v>
      </c>
      <c r="N1118">
        <v>0</v>
      </c>
      <c r="O1118">
        <v>-3.9429390000000003E-3</v>
      </c>
      <c r="P1118">
        <v>0.9961333</v>
      </c>
      <c r="Q1118">
        <v>1.7215169999999998E-2</v>
      </c>
      <c r="R1118">
        <v>-8.6151249999999999E-2</v>
      </c>
      <c r="S1118">
        <v>2.991959</v>
      </c>
      <c r="T1118">
        <v>-0.75105909999999998</v>
      </c>
      <c r="U1118">
        <v>-0.37329099999999998</v>
      </c>
      <c r="V1118">
        <v>8.2232970000000002E-2</v>
      </c>
      <c r="W1118">
        <v>3.1143219999999999E-2</v>
      </c>
      <c r="X1118">
        <v>0.99612639999999997</v>
      </c>
      <c r="Y1118">
        <v>0.116453399999999</v>
      </c>
      <c r="Z1118">
        <v>-1.3368929999999999E-2</v>
      </c>
      <c r="AA1118">
        <v>0.99310620000000005</v>
      </c>
      <c r="AB1118">
        <v>27</v>
      </c>
      <c r="AC1118">
        <v>0.74309999999999798</v>
      </c>
      <c r="AD1118">
        <v>-0.22245019999999999</v>
      </c>
      <c r="AE1118">
        <v>-0.109900000000038</v>
      </c>
      <c r="AF1118">
        <v>9.8344545402998501E-2</v>
      </c>
      <c r="AG1118">
        <v>-0.22245019999999999</v>
      </c>
      <c r="AH1118">
        <v>0.68358102727032199</v>
      </c>
      <c r="AI1118">
        <v>107.85388534699401</v>
      </c>
      <c r="AJ1118">
        <v>81.813219275285107</v>
      </c>
      <c r="AK1118">
        <v>0.72556099807977004</v>
      </c>
      <c r="AL1118">
        <v>88.215336333216499</v>
      </c>
      <c r="AM1118">
        <v>85.280777067619695</v>
      </c>
      <c r="AN1118">
        <v>0.99999998314197402</v>
      </c>
    </row>
    <row r="1119" spans="1:40" x14ac:dyDescent="0.25">
      <c r="A1119" t="str">
        <f>"20190312154818549"</f>
        <v>20190312154818549</v>
      </c>
      <c r="B1119" t="str">
        <f>"1552376898537114"</f>
        <v>1552376898537114</v>
      </c>
      <c r="C1119" t="s">
        <v>40</v>
      </c>
      <c r="D1119">
        <v>4.6915979999999999</v>
      </c>
      <c r="E1119">
        <v>0.51861709999999905</v>
      </c>
      <c r="F1119" t="s">
        <v>41</v>
      </c>
      <c r="G1119">
        <v>-233.13329999999999</v>
      </c>
      <c r="H1119">
        <v>0.91937029999999997</v>
      </c>
      <c r="I1119">
        <v>368.44720000000001</v>
      </c>
      <c r="J1119">
        <v>-233.7501</v>
      </c>
      <c r="K1119">
        <v>1.1099570000000001</v>
      </c>
      <c r="L1119">
        <v>368.54169999999999</v>
      </c>
      <c r="M1119">
        <v>0.99989399999999995</v>
      </c>
      <c r="N1119">
        <v>0</v>
      </c>
      <c r="O1119">
        <v>-4.0300639999999999E-3</v>
      </c>
      <c r="P1119">
        <v>0.99610529999999997</v>
      </c>
      <c r="Q1119">
        <v>1.757272E-2</v>
      </c>
      <c r="R1119">
        <v>-8.6407059999999994E-2</v>
      </c>
      <c r="S1119">
        <v>2.9921570000000002</v>
      </c>
      <c r="T1119">
        <v>-0.75351080000000004</v>
      </c>
      <c r="U1119">
        <v>-0.375946</v>
      </c>
      <c r="V1119">
        <v>8.2401870000000002E-2</v>
      </c>
      <c r="W1119">
        <v>3.1498770000000002E-2</v>
      </c>
      <c r="X1119">
        <v>0.99610129999999997</v>
      </c>
      <c r="Y1119">
        <v>0.11718530000000001</v>
      </c>
      <c r="Z1119">
        <v>-1.347859E-2</v>
      </c>
      <c r="AA1119">
        <v>0.99301859999999997</v>
      </c>
      <c r="AB1119">
        <v>27</v>
      </c>
      <c r="AC1119">
        <v>0.61680000000001201</v>
      </c>
      <c r="AD1119">
        <v>-0.190586699999999</v>
      </c>
      <c r="AE1119">
        <v>-9.4499999999982195E-2</v>
      </c>
      <c r="AF1119">
        <v>8.4162043019441801E-2</v>
      </c>
      <c r="AG1119">
        <v>-0.190586699999999</v>
      </c>
      <c r="AH1119">
        <v>0.56451418088582594</v>
      </c>
      <c r="AI1119">
        <v>108.46525936605001</v>
      </c>
      <c r="AJ1119">
        <v>81.520369669721603</v>
      </c>
      <c r="AK1119">
        <v>0.60173316355615003</v>
      </c>
      <c r="AL1119">
        <v>88.194954885776497</v>
      </c>
      <c r="AM1119">
        <v>85.271009452670498</v>
      </c>
      <c r="AN1119">
        <v>1.0000000202763399</v>
      </c>
    </row>
    <row r="1120" spans="1:40" x14ac:dyDescent="0.25">
      <c r="A1120" t="str">
        <f>"20190312154818561"</f>
        <v>20190312154818561</v>
      </c>
      <c r="B1120" t="str">
        <f>"1552376898546874"</f>
        <v>1552376898546874</v>
      </c>
      <c r="C1120" t="s">
        <v>40</v>
      </c>
      <c r="D1120">
        <v>4.7006370000000004</v>
      </c>
      <c r="E1120">
        <v>0.51880109999999902</v>
      </c>
      <c r="F1120" t="s">
        <v>41</v>
      </c>
      <c r="G1120">
        <v>-232.90430000000001</v>
      </c>
      <c r="H1120">
        <v>0.89641589999999904</v>
      </c>
      <c r="I1120">
        <v>368.4348</v>
      </c>
      <c r="J1120">
        <v>-233.60650000000001</v>
      </c>
      <c r="K1120">
        <v>1.109961</v>
      </c>
      <c r="L1120">
        <v>368.541</v>
      </c>
      <c r="M1120">
        <v>0.99989349999999999</v>
      </c>
      <c r="N1120">
        <v>0</v>
      </c>
      <c r="O1120">
        <v>-4.1192149999999999E-3</v>
      </c>
      <c r="P1120">
        <v>0.99608830000000004</v>
      </c>
      <c r="Q1120">
        <v>1.7785430000000001E-2</v>
      </c>
      <c r="R1120">
        <v>-8.6556579999999994E-2</v>
      </c>
      <c r="S1120">
        <v>2.9923709999999999</v>
      </c>
      <c r="T1120">
        <v>-0.75553230000000005</v>
      </c>
      <c r="U1120">
        <v>-0.37710569999999999</v>
      </c>
      <c r="V1120">
        <v>8.2462800000000003E-2</v>
      </c>
      <c r="W1120">
        <v>3.1709899999999999E-2</v>
      </c>
      <c r="X1120">
        <v>0.99608949999999996</v>
      </c>
      <c r="Y1120">
        <v>0.11744400000000001</v>
      </c>
      <c r="Z1120">
        <v>-1.3522370000000001E-2</v>
      </c>
      <c r="AA1120">
        <v>0.99298750000000002</v>
      </c>
      <c r="AB1120">
        <v>27</v>
      </c>
      <c r="AC1120">
        <v>0.70220000000000404</v>
      </c>
      <c r="AD1120">
        <v>-0.21354509999999999</v>
      </c>
      <c r="AE1120">
        <v>-0.106200000000001</v>
      </c>
      <c r="AF1120">
        <v>9.4740438937064395E-2</v>
      </c>
      <c r="AG1120">
        <v>-0.21354509999999999</v>
      </c>
      <c r="AH1120">
        <v>0.64437134380709904</v>
      </c>
      <c r="AI1120">
        <v>108.15306306259799</v>
      </c>
      <c r="AJ1120">
        <v>81.635859180844804</v>
      </c>
      <c r="AK1120">
        <v>0.68541351695437402</v>
      </c>
      <c r="AL1120">
        <v>88.182851875462106</v>
      </c>
      <c r="AM1120">
        <v>85.267472787566703</v>
      </c>
      <c r="AN1120">
        <v>0.99999996157604898</v>
      </c>
    </row>
    <row r="1121" spans="1:40" x14ac:dyDescent="0.25">
      <c r="A1121" t="str">
        <f>"20190312154818572"</f>
        <v>20190312154818572</v>
      </c>
      <c r="B1121" t="str">
        <f>"1552376898566393"</f>
        <v>1552376898566393</v>
      </c>
      <c r="C1121" t="s">
        <v>40</v>
      </c>
      <c r="D1121">
        <v>4.7126150000000004</v>
      </c>
      <c r="E1121">
        <v>0.5197195</v>
      </c>
      <c r="F1121" t="s">
        <v>41</v>
      </c>
      <c r="G1121">
        <v>-232.89009999999999</v>
      </c>
      <c r="H1121">
        <v>0.92851139999999999</v>
      </c>
      <c r="I1121">
        <v>368.45010000000002</v>
      </c>
      <c r="J1121">
        <v>-233.4776</v>
      </c>
      <c r="K1121">
        <v>1.10996299999999</v>
      </c>
      <c r="L1121">
        <v>368.54039999999998</v>
      </c>
      <c r="M1121">
        <v>0.99989320000000004</v>
      </c>
      <c r="N1121">
        <v>0</v>
      </c>
      <c r="O1121">
        <v>-4.1989519999999997E-3</v>
      </c>
      <c r="P1121">
        <v>0.99604119999999996</v>
      </c>
      <c r="Q1121">
        <v>1.813176E-2</v>
      </c>
      <c r="R1121">
        <v>-8.7025080000000005E-2</v>
      </c>
      <c r="S1121">
        <v>2.992416</v>
      </c>
      <c r="T1121">
        <v>-0.7579399</v>
      </c>
      <c r="U1121">
        <v>-0.3785095</v>
      </c>
      <c r="V1121">
        <v>8.2852149999999999E-2</v>
      </c>
      <c r="W1121">
        <v>3.2054010000000001E-2</v>
      </c>
      <c r="X1121">
        <v>0.99604619999999999</v>
      </c>
      <c r="Y1121">
        <v>0.1177914</v>
      </c>
      <c r="Z1121">
        <v>-1.3586930000000001E-2</v>
      </c>
      <c r="AA1121">
        <v>0.99294539999999998</v>
      </c>
      <c r="AB1121">
        <v>27</v>
      </c>
      <c r="AC1121">
        <v>0.58750000000000502</v>
      </c>
      <c r="AD1121">
        <v>-0.18145159999999899</v>
      </c>
      <c r="AE1121">
        <v>-9.0299999999956498E-2</v>
      </c>
      <c r="AF1121">
        <v>8.0344814413136595E-2</v>
      </c>
      <c r="AG1121">
        <v>-0.18145159999999899</v>
      </c>
      <c r="AH1121">
        <v>0.53776058166011498</v>
      </c>
      <c r="AI1121">
        <v>108.45471501332899</v>
      </c>
      <c r="AJ1121">
        <v>81.502505715240105</v>
      </c>
      <c r="AK1121">
        <v>0.57320713143947</v>
      </c>
      <c r="AL1121">
        <v>88.163125839816502</v>
      </c>
      <c r="AM1121">
        <v>85.245024508940304</v>
      </c>
      <c r="AN1121">
        <v>0.999999985425571</v>
      </c>
    </row>
    <row r="1122" spans="1:40" x14ac:dyDescent="0.25">
      <c r="A1122" t="str">
        <f>"20190312154818583"</f>
        <v>20190312154818583</v>
      </c>
      <c r="B1122" t="str">
        <f>"1552376898577129"</f>
        <v>1552376898577129</v>
      </c>
      <c r="C1122" t="s">
        <v>40</v>
      </c>
      <c r="D1122">
        <v>4.707427</v>
      </c>
      <c r="E1122">
        <v>0.52013509999999996</v>
      </c>
      <c r="F1122" t="s">
        <v>41</v>
      </c>
      <c r="G1122">
        <v>-232.66300000000001</v>
      </c>
      <c r="H1122">
        <v>0.90257679999999996</v>
      </c>
      <c r="I1122">
        <v>368.43490000000003</v>
      </c>
      <c r="J1122">
        <v>-233.33019999999999</v>
      </c>
      <c r="K1122">
        <v>1.109964</v>
      </c>
      <c r="L1122">
        <v>368.53960000000001</v>
      </c>
      <c r="M1122">
        <v>0.99989280000000003</v>
      </c>
      <c r="N1122">
        <v>0</v>
      </c>
      <c r="O1122">
        <v>-4.2902519999999996E-3</v>
      </c>
      <c r="P1122">
        <v>0.99600529999999998</v>
      </c>
      <c r="Q1122">
        <v>1.8554629999999999E-2</v>
      </c>
      <c r="R1122">
        <v>-8.7345549999999994E-2</v>
      </c>
      <c r="S1122">
        <v>2.991959</v>
      </c>
      <c r="T1122">
        <v>-0.76177309999999998</v>
      </c>
      <c r="U1122">
        <v>-0.38714599999999999</v>
      </c>
      <c r="V1122">
        <v>8.3082160000000002E-2</v>
      </c>
      <c r="W1122">
        <v>3.2474830000000003E-2</v>
      </c>
      <c r="X1122">
        <v>0.99601340000000005</v>
      </c>
      <c r="Y1122">
        <v>0.1204248</v>
      </c>
      <c r="Z1122">
        <v>-1.3959060000000001E-2</v>
      </c>
      <c r="AA1122">
        <v>0.99262430000000001</v>
      </c>
      <c r="AB1122">
        <v>27</v>
      </c>
      <c r="AC1122">
        <v>0.66720000000000801</v>
      </c>
      <c r="AD1122">
        <v>-0.20738719999999999</v>
      </c>
      <c r="AE1122">
        <v>-0.104699999999979</v>
      </c>
      <c r="AF1122">
        <v>9.3061138201662993E-2</v>
      </c>
      <c r="AG1122">
        <v>-0.20738719999999999</v>
      </c>
      <c r="AH1122">
        <v>0.61011276237779299</v>
      </c>
      <c r="AI1122">
        <v>108.57387602377599</v>
      </c>
      <c r="AJ1122">
        <v>81.327460143092097</v>
      </c>
      <c r="AK1122">
        <v>0.65108172220044003</v>
      </c>
      <c r="AL1122">
        <v>88.139002053012305</v>
      </c>
      <c r="AM1122">
        <v>85.231728465775305</v>
      </c>
      <c r="AN1122">
        <v>0.99999997643667604</v>
      </c>
    </row>
    <row r="1123" spans="1:40" x14ac:dyDescent="0.25">
      <c r="A1123" t="str">
        <f>"20190312154818596"</f>
        <v>20190312154818596</v>
      </c>
      <c r="B1123" t="str">
        <f>"1552376898586890"</f>
        <v>1552376898586890</v>
      </c>
      <c r="C1123" t="s">
        <v>40</v>
      </c>
      <c r="D1123">
        <v>4.7198200000000003</v>
      </c>
      <c r="E1123">
        <v>0.52046649999999905</v>
      </c>
      <c r="F1123" t="s">
        <v>41</v>
      </c>
      <c r="G1123">
        <v>-232.64779999999999</v>
      </c>
      <c r="H1123">
        <v>0.93606230000000001</v>
      </c>
      <c r="I1123">
        <v>368.45030000000003</v>
      </c>
      <c r="J1123">
        <v>-233.18549999999999</v>
      </c>
      <c r="K1123">
        <v>1.109964</v>
      </c>
      <c r="L1123">
        <v>368.53890000000001</v>
      </c>
      <c r="M1123">
        <v>0.99989260000000002</v>
      </c>
      <c r="N1123">
        <v>0</v>
      </c>
      <c r="O1123">
        <v>-4.3798800000000001E-3</v>
      </c>
      <c r="P1123">
        <v>0.99599219999999999</v>
      </c>
      <c r="Q1123">
        <v>1.8824440000000001E-2</v>
      </c>
      <c r="R1123">
        <v>-8.7439169999999997E-2</v>
      </c>
      <c r="S1123">
        <v>2.991959</v>
      </c>
      <c r="T1123">
        <v>-0.76257739999999996</v>
      </c>
      <c r="U1123">
        <v>-0.39102170000000003</v>
      </c>
      <c r="V1123">
        <v>8.3086489999999999E-2</v>
      </c>
      <c r="W1123">
        <v>3.2743149999999999E-2</v>
      </c>
      <c r="X1123">
        <v>0.99600429999999995</v>
      </c>
      <c r="Y1123">
        <v>0.1215605</v>
      </c>
      <c r="Z1123">
        <v>-1.409173E-2</v>
      </c>
      <c r="AA1123">
        <v>0.99248400000000003</v>
      </c>
      <c r="AB1123">
        <v>27</v>
      </c>
      <c r="AC1123">
        <v>0.53770000000000095</v>
      </c>
      <c r="AD1123">
        <v>-0.17390169999999899</v>
      </c>
      <c r="AE1123">
        <v>-8.8599999999985302E-2</v>
      </c>
      <c r="AF1123">
        <v>7.8272997564327706E-2</v>
      </c>
      <c r="AG1123">
        <v>-0.17390169999999899</v>
      </c>
      <c r="AH1123">
        <v>0.48835204385377101</v>
      </c>
      <c r="AI1123">
        <v>109.372250912986</v>
      </c>
      <c r="AJ1123">
        <v>80.894089170391098</v>
      </c>
      <c r="AK1123">
        <v>0.52426728120945199</v>
      </c>
      <c r="AL1123">
        <v>88.123620354604498</v>
      </c>
      <c r="AM1123">
        <v>85.2314377365973</v>
      </c>
      <c r="AN1123">
        <v>1.0000000221554599</v>
      </c>
    </row>
    <row r="1124" spans="1:40" x14ac:dyDescent="0.25">
      <c r="A1124" t="str">
        <f>"20190312154818610"</f>
        <v>20190312154818610</v>
      </c>
      <c r="B1124" t="str">
        <f>"1552376898596650"</f>
        <v>1552376898596650</v>
      </c>
      <c r="C1124" t="s">
        <v>40</v>
      </c>
      <c r="D1124">
        <v>4.7178279999999999</v>
      </c>
      <c r="E1124">
        <v>0.52077479999999998</v>
      </c>
      <c r="F1124" t="s">
        <v>41</v>
      </c>
      <c r="G1124">
        <v>-232.4195</v>
      </c>
      <c r="H1124">
        <v>0.91442129999999999</v>
      </c>
      <c r="I1124">
        <v>368.43790000000001</v>
      </c>
      <c r="J1124">
        <v>-233.0231</v>
      </c>
      <c r="K1124">
        <v>1.109966</v>
      </c>
      <c r="L1124">
        <v>368.53809999999999</v>
      </c>
      <c r="M1124">
        <v>0.999892</v>
      </c>
      <c r="N1124">
        <v>0</v>
      </c>
      <c r="O1124">
        <v>-4.4803530000000003E-3</v>
      </c>
      <c r="P1124">
        <v>0.99595080000000002</v>
      </c>
      <c r="Q1124">
        <v>1.9116129999999999E-2</v>
      </c>
      <c r="R1124">
        <v>-8.7844930000000002E-2</v>
      </c>
      <c r="S1124">
        <v>2.991959</v>
      </c>
      <c r="T1124">
        <v>-0.7638781</v>
      </c>
      <c r="U1124">
        <v>-0.39373780000000003</v>
      </c>
      <c r="V1124">
        <v>8.3392430000000003E-2</v>
      </c>
      <c r="W1124">
        <v>3.3032909999999999E-2</v>
      </c>
      <c r="X1124">
        <v>0.99596910000000005</v>
      </c>
      <c r="Y1124">
        <v>0.1223141</v>
      </c>
      <c r="Z1124">
        <v>-1.4183380000000001E-2</v>
      </c>
      <c r="AA1124">
        <v>0.99239010000000005</v>
      </c>
      <c r="AB1124">
        <v>27</v>
      </c>
      <c r="AC1124">
        <v>0.60360000000000003</v>
      </c>
      <c r="AD1124">
        <v>-0.19554469999999999</v>
      </c>
      <c r="AE1124">
        <v>-0.10019999999997201</v>
      </c>
      <c r="AF1124">
        <v>8.8459324797578301E-2</v>
      </c>
      <c r="AG1124">
        <v>-0.19554469999999999</v>
      </c>
      <c r="AH1124">
        <v>0.54806465826169204</v>
      </c>
      <c r="AI1124">
        <v>109.40393529283099</v>
      </c>
      <c r="AJ1124">
        <v>80.831356254845502</v>
      </c>
      <c r="AK1124">
        <v>0.58858954414535702</v>
      </c>
      <c r="AL1124">
        <v>88.107009225037501</v>
      </c>
      <c r="AM1124">
        <v>85.213792049989394</v>
      </c>
      <c r="AN1124">
        <v>0.99999995933958996</v>
      </c>
    </row>
    <row r="1125" spans="1:40" x14ac:dyDescent="0.25">
      <c r="A1125" t="str">
        <f>"20190312154818624"</f>
        <v>20190312154818624</v>
      </c>
      <c r="B1125" t="str">
        <f>"1552376898616677"</f>
        <v>1552376898616677</v>
      </c>
      <c r="C1125" t="s">
        <v>40</v>
      </c>
      <c r="D1125">
        <v>4.7609979999999998</v>
      </c>
      <c r="E1125">
        <v>0.52108750000000004</v>
      </c>
      <c r="F1125" t="s">
        <v>41</v>
      </c>
      <c r="G1125">
        <v>-232.18879999999999</v>
      </c>
      <c r="H1125">
        <v>0.89684399999999997</v>
      </c>
      <c r="I1125">
        <v>368.4273</v>
      </c>
      <c r="J1125">
        <v>-232.85830000000001</v>
      </c>
      <c r="K1125">
        <v>1.109972</v>
      </c>
      <c r="L1125">
        <v>368.53730000000002</v>
      </c>
      <c r="M1125">
        <v>0.99989159999999999</v>
      </c>
      <c r="N1125">
        <v>0</v>
      </c>
      <c r="O1125">
        <v>-4.5826130000000001E-3</v>
      </c>
      <c r="P1125">
        <v>0.9958844</v>
      </c>
      <c r="Q1125">
        <v>1.994392E-2</v>
      </c>
      <c r="R1125">
        <v>-8.8412820000000003E-2</v>
      </c>
      <c r="S1125">
        <v>2.9918209999999998</v>
      </c>
      <c r="T1125">
        <v>-0.76424309999999995</v>
      </c>
      <c r="U1125">
        <v>-0.39736939999999998</v>
      </c>
      <c r="V1125">
        <v>8.3858929999999998E-2</v>
      </c>
      <c r="W1125">
        <v>3.3857859999999997E-2</v>
      </c>
      <c r="X1125">
        <v>0.99590219999999896</v>
      </c>
      <c r="Y1125">
        <v>0.1233692</v>
      </c>
      <c r="Z1125">
        <v>-1.429598E-2</v>
      </c>
      <c r="AA1125">
        <v>0.99225779999999997</v>
      </c>
      <c r="AB1125">
        <v>27</v>
      </c>
      <c r="AC1125">
        <v>0.66950000000002696</v>
      </c>
      <c r="AD1125">
        <v>-0.21312799999999901</v>
      </c>
      <c r="AE1125">
        <v>-0.110000000000013</v>
      </c>
      <c r="AF1125">
        <v>9.7326678354983195E-2</v>
      </c>
      <c r="AG1125">
        <v>-0.21312799999999901</v>
      </c>
      <c r="AH1125">
        <v>0.60982228606446798</v>
      </c>
      <c r="AI1125">
        <v>109.04079227848899</v>
      </c>
      <c r="AJ1125">
        <v>80.932158539374797</v>
      </c>
      <c r="AK1125">
        <v>0.65328343564222402</v>
      </c>
      <c r="AL1125">
        <v>88.059716560084993</v>
      </c>
      <c r="AM1125">
        <v>85.1868214805897</v>
      </c>
      <c r="AN1125">
        <v>0.99999993339467896</v>
      </c>
    </row>
    <row r="1126" spans="1:40" x14ac:dyDescent="0.25">
      <c r="A1126" t="str">
        <f>"20190312154818647"</f>
        <v>20190312154818647</v>
      </c>
      <c r="B1126" t="str">
        <f>"1552376898637173"</f>
        <v>1552376898637173</v>
      </c>
      <c r="C1126" t="s">
        <v>40</v>
      </c>
      <c r="D1126">
        <v>4.6871340000000004</v>
      </c>
      <c r="E1126">
        <v>0.52159940000000005</v>
      </c>
      <c r="F1126" t="s">
        <v>41</v>
      </c>
      <c r="G1126">
        <v>-232.17240000000001</v>
      </c>
      <c r="H1126">
        <v>0.93386599999999997</v>
      </c>
      <c r="I1126">
        <v>368.44529999999997</v>
      </c>
      <c r="J1126">
        <v>-232.59010000000001</v>
      </c>
      <c r="K1126">
        <v>1.1099669999999999</v>
      </c>
      <c r="L1126">
        <v>368.53579999999999</v>
      </c>
      <c r="M1126">
        <v>0.99989090000000003</v>
      </c>
      <c r="N1126">
        <v>0</v>
      </c>
      <c r="O1126">
        <v>-4.7494700000000004E-3</v>
      </c>
      <c r="P1126">
        <v>0.99580210000000002</v>
      </c>
      <c r="Q1126">
        <v>2.0658619999999999E-2</v>
      </c>
      <c r="R1126">
        <v>-8.9172699999999994E-2</v>
      </c>
      <c r="S1126">
        <v>2.9921419999999999</v>
      </c>
      <c r="T1126">
        <v>-0.76828269999999999</v>
      </c>
      <c r="U1126">
        <v>-0.40124510000000002</v>
      </c>
      <c r="V1126">
        <v>8.4453050000000002E-2</v>
      </c>
      <c r="W1126">
        <v>3.4568399999999999E-2</v>
      </c>
      <c r="X1126">
        <v>0.99582769999999998</v>
      </c>
      <c r="Y1126">
        <v>0.1243879</v>
      </c>
      <c r="Z1126">
        <v>-1.445273E-2</v>
      </c>
      <c r="AA1126">
        <v>0.99212840000000002</v>
      </c>
      <c r="AB1126">
        <v>27</v>
      </c>
      <c r="AC1126">
        <v>0.41769999999999602</v>
      </c>
      <c r="AD1126">
        <v>-0.17610099999999901</v>
      </c>
      <c r="AE1126">
        <v>-9.0500000000019995E-2</v>
      </c>
      <c r="AF1126">
        <v>7.5668388784862206E-2</v>
      </c>
      <c r="AG1126">
        <v>-0.17610099999999901</v>
      </c>
      <c r="AH1126">
        <v>0.357440902359424</v>
      </c>
      <c r="AI1126">
        <v>115.73359711000499</v>
      </c>
      <c r="AJ1126">
        <v>78.047247920729106</v>
      </c>
      <c r="AK1126">
        <v>0.40558755644350902</v>
      </c>
      <c r="AL1126">
        <v>88.018981996645294</v>
      </c>
      <c r="AM1126">
        <v>85.152522293215398</v>
      </c>
      <c r="AN1126">
        <v>1.0000000500100701</v>
      </c>
    </row>
    <row r="1127" spans="1:40" x14ac:dyDescent="0.25">
      <c r="A1127" t="str">
        <f>"20190312154818661"</f>
        <v>20190312154818661</v>
      </c>
      <c r="B1127" t="str">
        <f>"1552376898646933"</f>
        <v>1552376898646933</v>
      </c>
      <c r="C1127" t="s">
        <v>40</v>
      </c>
      <c r="D1127">
        <v>4.678407</v>
      </c>
      <c r="E1127">
        <v>0.52179509999999996</v>
      </c>
      <c r="F1127" t="s">
        <v>41</v>
      </c>
      <c r="G1127">
        <v>-231.71789999999999</v>
      </c>
      <c r="H1127">
        <v>0.88593180000000005</v>
      </c>
      <c r="I1127">
        <v>368.4169</v>
      </c>
      <c r="J1127">
        <v>-232.40960000000001</v>
      </c>
      <c r="K1127">
        <v>1.1099680000000001</v>
      </c>
      <c r="L1127">
        <v>368.53489999999999</v>
      </c>
      <c r="M1127">
        <v>0.99989030000000001</v>
      </c>
      <c r="N1127">
        <v>0</v>
      </c>
      <c r="O1127">
        <v>-4.8619759999999996E-3</v>
      </c>
      <c r="P1127">
        <v>0.99576390000000004</v>
      </c>
      <c r="Q1127">
        <v>2.110041E-2</v>
      </c>
      <c r="R1127">
        <v>-8.9492550000000004E-2</v>
      </c>
      <c r="S1127">
        <v>2.9920810000000002</v>
      </c>
      <c r="T1127">
        <v>-0.76857659999999905</v>
      </c>
      <c r="U1127">
        <v>-0.40762330000000002</v>
      </c>
      <c r="V1127">
        <v>8.4661130000000001E-2</v>
      </c>
      <c r="W1127">
        <v>3.5008259999999999E-2</v>
      </c>
      <c r="X1127">
        <v>0.99579459999999997</v>
      </c>
      <c r="Y1127">
        <v>0.12629669999999901</v>
      </c>
      <c r="Z1127">
        <v>-1.466829E-2</v>
      </c>
      <c r="AA1127">
        <v>0.99188410000000005</v>
      </c>
      <c r="AB1127">
        <v>27</v>
      </c>
      <c r="AC1127">
        <v>0.69170000000002496</v>
      </c>
      <c r="AD1127">
        <v>-0.22403619999999899</v>
      </c>
      <c r="AE1127">
        <v>-0.117999999999994</v>
      </c>
      <c r="AF1127">
        <v>0.104030441595393</v>
      </c>
      <c r="AG1127">
        <v>-0.22403619999999899</v>
      </c>
      <c r="AH1127">
        <v>0.62822471382627598</v>
      </c>
      <c r="AI1127">
        <v>109.38323604281101</v>
      </c>
      <c r="AJ1127">
        <v>80.597468779293493</v>
      </c>
      <c r="AK1127">
        <v>0.67504136373342205</v>
      </c>
      <c r="AL1127">
        <v>87.993764482229096</v>
      </c>
      <c r="AM1127">
        <v>85.140475185632795</v>
      </c>
      <c r="AN1127">
        <v>0.99999998529513201</v>
      </c>
    </row>
    <row r="1128" spans="1:40" x14ac:dyDescent="0.25">
      <c r="A1128" t="str">
        <f>"20190312154818681"</f>
        <v>20190312154818681</v>
      </c>
      <c r="B1128" t="str">
        <f>"1552376898666453"</f>
        <v>1552376898666453</v>
      </c>
      <c r="C1128" t="s">
        <v>40</v>
      </c>
      <c r="D1128">
        <v>4.6635720000000003</v>
      </c>
      <c r="E1128">
        <v>0.52223050000000004</v>
      </c>
      <c r="F1128" t="s">
        <v>41</v>
      </c>
      <c r="G1128">
        <v>-231.7</v>
      </c>
      <c r="H1128">
        <v>0.92775770000000002</v>
      </c>
      <c r="I1128">
        <v>368.4375</v>
      </c>
      <c r="J1128">
        <v>-232.19059999999999</v>
      </c>
      <c r="K1128">
        <v>1.109979</v>
      </c>
      <c r="L1128">
        <v>368.53359999999998</v>
      </c>
      <c r="M1128">
        <v>0.99988960000000005</v>
      </c>
      <c r="N1128">
        <v>0</v>
      </c>
      <c r="O1128">
        <v>-4.9984419999999996E-3</v>
      </c>
      <c r="P1128">
        <v>0.99568610000000002</v>
      </c>
      <c r="Q1128">
        <v>2.1697040000000001E-2</v>
      </c>
      <c r="R1128">
        <v>-9.0214039999999995E-2</v>
      </c>
      <c r="S1128">
        <v>2.9921880000000001</v>
      </c>
      <c r="T1128">
        <v>-0.76825829999999995</v>
      </c>
      <c r="U1128">
        <v>-0.40994259999999899</v>
      </c>
      <c r="V1128">
        <v>8.5247399999999904E-2</v>
      </c>
      <c r="W1128">
        <v>3.5601069999999999E-2</v>
      </c>
      <c r="X1128">
        <v>0.99572360000000004</v>
      </c>
      <c r="Y1128">
        <v>0.1269005</v>
      </c>
      <c r="Z1128">
        <v>-1.470278E-2</v>
      </c>
      <c r="AA1128">
        <v>0.99180650000000004</v>
      </c>
      <c r="AB1128">
        <v>27</v>
      </c>
      <c r="AC1128">
        <v>0.49059999999999998</v>
      </c>
      <c r="AD1128">
        <v>-0.1822213</v>
      </c>
      <c r="AE1128">
        <v>-9.6099999999978494E-2</v>
      </c>
      <c r="AF1128">
        <v>8.2663704237397898E-2</v>
      </c>
      <c r="AG1128">
        <v>-0.1822213</v>
      </c>
      <c r="AH1128">
        <v>0.43348223915584999</v>
      </c>
      <c r="AI1128">
        <v>112.436964605819</v>
      </c>
      <c r="AJ1128">
        <v>79.203501551979699</v>
      </c>
      <c r="AK1128">
        <v>0.47743558920079199</v>
      </c>
      <c r="AL1128">
        <v>87.959777856617393</v>
      </c>
      <c r="AM1128">
        <v>85.1066390715051</v>
      </c>
      <c r="AN1128">
        <v>1.00000002149443</v>
      </c>
    </row>
    <row r="1129" spans="1:40" x14ac:dyDescent="0.25">
      <c r="A1129" t="str">
        <f>"20190312154818702"</f>
        <v>20190312154818702</v>
      </c>
      <c r="B1129" t="str">
        <f>"1552376898696712"</f>
        <v>1552376898696712</v>
      </c>
      <c r="C1129" t="s">
        <v>40</v>
      </c>
      <c r="D1129">
        <v>4.5448539999999999</v>
      </c>
      <c r="E1129">
        <v>0.52255969999999996</v>
      </c>
      <c r="F1129" t="s">
        <v>41</v>
      </c>
      <c r="G1129">
        <v>-231.46459999999999</v>
      </c>
      <c r="H1129">
        <v>0.92357869999999997</v>
      </c>
      <c r="I1129">
        <v>368.43239999999997</v>
      </c>
      <c r="J1129">
        <v>-231.9349</v>
      </c>
      <c r="K1129">
        <v>1.1099859999999999</v>
      </c>
      <c r="L1129">
        <v>368.53210000000001</v>
      </c>
      <c r="M1129">
        <v>0.99988889999999997</v>
      </c>
      <c r="N1129">
        <v>0</v>
      </c>
      <c r="O1129">
        <v>-5.1579069999999998E-3</v>
      </c>
      <c r="P1129">
        <v>0.99558409999999997</v>
      </c>
      <c r="Q1129">
        <v>2.236921E-2</v>
      </c>
      <c r="R1129">
        <v>-9.1169500000000001E-2</v>
      </c>
      <c r="S1129">
        <v>2.9920650000000002</v>
      </c>
      <c r="T1129">
        <v>-0.76833459999999998</v>
      </c>
      <c r="U1129">
        <v>-0.41567989999999999</v>
      </c>
      <c r="V1129">
        <v>8.6044659999999995E-2</v>
      </c>
      <c r="W1129">
        <v>3.6269170000000003E-2</v>
      </c>
      <c r="X1129">
        <v>0.99563089999999999</v>
      </c>
      <c r="Y1129">
        <v>0.12856609999999999</v>
      </c>
      <c r="Z1129">
        <v>-1.487233E-2</v>
      </c>
      <c r="AA1129">
        <v>0.99158939999999995</v>
      </c>
      <c r="AB1129">
        <v>27</v>
      </c>
      <c r="AC1129">
        <v>0.47030000000000799</v>
      </c>
      <c r="AD1129">
        <v>-0.1864073</v>
      </c>
      <c r="AE1129">
        <v>-9.97000000000412E-2</v>
      </c>
      <c r="AF1129">
        <v>8.4559686535029002E-2</v>
      </c>
      <c r="AG1129">
        <v>-0.1864073</v>
      </c>
      <c r="AH1129">
        <v>0.40927609895064498</v>
      </c>
      <c r="AI1129">
        <v>114.03857589022</v>
      </c>
      <c r="AJ1129">
        <v>78.326489862419194</v>
      </c>
      <c r="AK1129">
        <v>0.45760785313677799</v>
      </c>
      <c r="AL1129">
        <v>87.921473788352699</v>
      </c>
      <c r="AM1129">
        <v>85.060642601335005</v>
      </c>
      <c r="AN1129">
        <v>1.0000000126209001</v>
      </c>
    </row>
    <row r="1130" spans="1:40" x14ac:dyDescent="0.25">
      <c r="A1130" t="str">
        <f>"20190312154818714"</f>
        <v>20190312154818714</v>
      </c>
      <c r="B1130" t="str">
        <f>"1552376898706977"</f>
        <v>1552376898706977</v>
      </c>
      <c r="C1130" t="s">
        <v>40</v>
      </c>
      <c r="D1130">
        <v>4.5109969999999997</v>
      </c>
      <c r="E1130">
        <v>0.53543540000000001</v>
      </c>
      <c r="F1130" t="s">
        <v>41</v>
      </c>
      <c r="G1130">
        <v>-231.22559999999999</v>
      </c>
      <c r="H1130">
        <v>0.92805029999999999</v>
      </c>
      <c r="I1130">
        <v>368.4323</v>
      </c>
      <c r="J1130">
        <v>-231.78309999999999</v>
      </c>
      <c r="K1130">
        <v>1.1099870000000001</v>
      </c>
      <c r="L1130">
        <v>368.53129999999999</v>
      </c>
      <c r="M1130">
        <v>0.99988849999999996</v>
      </c>
      <c r="N1130">
        <v>0</v>
      </c>
      <c r="O1130">
        <v>-5.2525410000000003E-3</v>
      </c>
      <c r="P1130">
        <v>0.99556679999999997</v>
      </c>
      <c r="Q1130">
        <v>2.2993489999999998E-2</v>
      </c>
      <c r="R1130">
        <v>-9.1205629999999996E-2</v>
      </c>
      <c r="S1130">
        <v>2.9920040000000001</v>
      </c>
      <c r="T1130">
        <v>-0.76745180000000002</v>
      </c>
      <c r="U1130">
        <v>-0.42095949999999999</v>
      </c>
      <c r="V1130">
        <v>8.5986640000000003E-2</v>
      </c>
      <c r="W1130">
        <v>3.6891970000000003E-2</v>
      </c>
      <c r="X1130">
        <v>0.99561299999999997</v>
      </c>
      <c r="Y1130">
        <v>0.13015360000000001</v>
      </c>
      <c r="Z1130">
        <v>-1.502997E-2</v>
      </c>
      <c r="AA1130">
        <v>0.99137989999999998</v>
      </c>
      <c r="AB1130">
        <v>27</v>
      </c>
      <c r="AC1130">
        <v>0.55750000000000399</v>
      </c>
      <c r="AD1130">
        <v>-0.18193669999999901</v>
      </c>
      <c r="AE1130">
        <v>-9.8999999999989499E-2</v>
      </c>
      <c r="AF1130">
        <v>8.7079562894395293E-2</v>
      </c>
      <c r="AG1130">
        <v>-0.18193669999999901</v>
      </c>
      <c r="AH1130">
        <v>0.50579206767959095</v>
      </c>
      <c r="AI1130">
        <v>109.518968374753</v>
      </c>
      <c r="AJ1130">
        <v>80.231450957357296</v>
      </c>
      <c r="AK1130">
        <v>0.54452679347151001</v>
      </c>
      <c r="AL1130">
        <v>87.885766014615399</v>
      </c>
      <c r="AM1130">
        <v>85.063868448291302</v>
      </c>
      <c r="AN1130">
        <v>0.99999998273898505</v>
      </c>
    </row>
    <row r="1131" spans="1:40" x14ac:dyDescent="0.25">
      <c r="A1131" t="str">
        <f>"20190312154818727"</f>
        <v>20190312154818727</v>
      </c>
      <c r="B1131" t="str">
        <f>"1552376898716736"</f>
        <v>1552376898716736</v>
      </c>
      <c r="C1131" t="s">
        <v>40</v>
      </c>
      <c r="D1131">
        <v>4.4736269999999996</v>
      </c>
      <c r="E1131">
        <v>0.53543540000000001</v>
      </c>
      <c r="F1131" t="s">
        <v>41</v>
      </c>
      <c r="G1131">
        <v>-230.97229999999999</v>
      </c>
      <c r="H1131">
        <v>0.96043979999999995</v>
      </c>
      <c r="I1131">
        <v>368.38619999999997</v>
      </c>
      <c r="J1131">
        <v>-231.63749999999999</v>
      </c>
      <c r="K1131">
        <v>1.10999</v>
      </c>
      <c r="L1131">
        <v>368.53039999999999</v>
      </c>
      <c r="M1131">
        <v>0.99988809999999995</v>
      </c>
      <c r="N1131">
        <v>0</v>
      </c>
      <c r="O1131">
        <v>-5.3431219999999996E-3</v>
      </c>
      <c r="P1131">
        <v>0.99552669999999999</v>
      </c>
      <c r="Q1131">
        <v>2.3377519999999999E-2</v>
      </c>
      <c r="R1131">
        <v>-9.1543910000000006E-2</v>
      </c>
      <c r="S1131">
        <v>2.977341</v>
      </c>
      <c r="T1131">
        <v>-0.54935040000000002</v>
      </c>
      <c r="U1131">
        <v>-0.53152469999999996</v>
      </c>
      <c r="V1131">
        <v>8.6235210000000007E-2</v>
      </c>
      <c r="W1131">
        <v>3.7273649999999998E-2</v>
      </c>
      <c r="X1131">
        <v>0.9955773</v>
      </c>
      <c r="Y1131">
        <v>0.1678238</v>
      </c>
      <c r="Z1131">
        <v>-1.4265460000000001E-2</v>
      </c>
      <c r="AA1131">
        <v>0.98571379999999997</v>
      </c>
      <c r="AB1131">
        <v>26</v>
      </c>
      <c r="AC1131">
        <v>0.66519999999999802</v>
      </c>
      <c r="AD1131">
        <v>-0.149550199999999</v>
      </c>
      <c r="AE1131">
        <v>-0.14420000000001201</v>
      </c>
      <c r="AF1131">
        <v>0.13416640971122101</v>
      </c>
      <c r="AG1131">
        <v>-0.149550199999999</v>
      </c>
      <c r="AH1131">
        <v>0.63529206510347302</v>
      </c>
      <c r="AI1131">
        <v>102.970372386354</v>
      </c>
      <c r="AJ1131">
        <v>78.075013942053502</v>
      </c>
      <c r="AK1131">
        <v>0.66630465689373197</v>
      </c>
      <c r="AL1131">
        <v>87.863882342646704</v>
      </c>
      <c r="AM1131">
        <v>85.049493265147106</v>
      </c>
      <c r="AN1131">
        <v>0.99999999835167797</v>
      </c>
    </row>
    <row r="1132" spans="1:40" x14ac:dyDescent="0.25">
      <c r="A1132" t="str">
        <f>"20190312154818739"</f>
        <v>20190312154818739</v>
      </c>
      <c r="B1132" t="str">
        <f>"1552376898726497"</f>
        <v>1552376898726497</v>
      </c>
      <c r="C1132" t="s">
        <v>40</v>
      </c>
      <c r="D1132">
        <v>4.4929969999999999</v>
      </c>
      <c r="E1132">
        <v>0.55686950000000002</v>
      </c>
      <c r="F1132" t="s">
        <v>41</v>
      </c>
      <c r="G1132">
        <v>-230.74279999999999</v>
      </c>
      <c r="H1132">
        <v>0.94527539999999999</v>
      </c>
      <c r="I1132">
        <v>368.37020000000001</v>
      </c>
      <c r="J1132">
        <v>-231.48920000000001</v>
      </c>
      <c r="K1132">
        <v>1.109993</v>
      </c>
      <c r="L1132">
        <v>368.52949999999998</v>
      </c>
      <c r="M1132">
        <v>0.99988759999999999</v>
      </c>
      <c r="N1132">
        <v>0</v>
      </c>
      <c r="O1132">
        <v>-5.4353730000000003E-3</v>
      </c>
      <c r="P1132">
        <v>0.99549650000000001</v>
      </c>
      <c r="Q1132">
        <v>2.3491600000000001E-2</v>
      </c>
      <c r="R1132">
        <v>-9.1842750000000001E-2</v>
      </c>
      <c r="S1132">
        <v>2.9773559999999999</v>
      </c>
      <c r="T1132">
        <v>-0.54805590000000004</v>
      </c>
      <c r="U1132">
        <v>-0.53295899999999996</v>
      </c>
      <c r="V1132">
        <v>8.6442190000000002E-2</v>
      </c>
      <c r="W1132">
        <v>3.7385639999999998E-2</v>
      </c>
      <c r="X1132">
        <v>0.99555519999999997</v>
      </c>
      <c r="Y1132">
        <v>0.1682003</v>
      </c>
      <c r="Z1132">
        <v>-1.4249120000000001E-2</v>
      </c>
      <c r="AA1132">
        <v>0.98564989999999997</v>
      </c>
      <c r="AB1132">
        <v>26</v>
      </c>
      <c r="AC1132">
        <v>0.74640000000002205</v>
      </c>
      <c r="AD1132">
        <v>-0.16471759999999899</v>
      </c>
      <c r="AE1132">
        <v>-0.15929999999997299</v>
      </c>
      <c r="AF1132">
        <v>0.148331143136708</v>
      </c>
      <c r="AG1132">
        <v>-0.16471759999999899</v>
      </c>
      <c r="AH1132">
        <v>0.71399748590802703</v>
      </c>
      <c r="AI1132">
        <v>102.72808990004999</v>
      </c>
      <c r="AJ1132">
        <v>78.263888171485803</v>
      </c>
      <c r="AK1132">
        <v>0.74761382120516295</v>
      </c>
      <c r="AL1132">
        <v>87.857461417720501</v>
      </c>
      <c r="AM1132">
        <v>85.037560812187394</v>
      </c>
      <c r="AN1132">
        <v>1.0000000472686199</v>
      </c>
    </row>
    <row r="1133" spans="1:40" x14ac:dyDescent="0.25">
      <c r="A1133" t="str">
        <f>"20190312154818751"</f>
        <v>20190312154818751</v>
      </c>
      <c r="B1133" t="str">
        <f>"1552376898737232"</f>
        <v>1552376898737232</v>
      </c>
      <c r="C1133" t="s">
        <v>40</v>
      </c>
      <c r="D1133">
        <v>4.5006500000000003</v>
      </c>
      <c r="E1133">
        <v>0.55674000000000001</v>
      </c>
      <c r="F1133" t="s">
        <v>42</v>
      </c>
      <c r="G1133">
        <v>-215.19460000000001</v>
      </c>
      <c r="H1133" s="1">
        <v>-2.9642700000000002E-6</v>
      </c>
      <c r="I1133">
        <v>364.56939999999997</v>
      </c>
      <c r="J1133">
        <v>-231.3546</v>
      </c>
      <c r="K1133">
        <v>1.1099950000000001</v>
      </c>
      <c r="L1133">
        <v>368.52870000000001</v>
      </c>
      <c r="M1133">
        <v>0.99988719999999998</v>
      </c>
      <c r="N1133">
        <v>0</v>
      </c>
      <c r="O1133">
        <v>-5.5190419999999896E-3</v>
      </c>
      <c r="P1133">
        <v>0.99545450000000002</v>
      </c>
      <c r="Q1133">
        <v>2.3818880000000001E-2</v>
      </c>
      <c r="R1133">
        <v>-9.2214169999999998E-2</v>
      </c>
      <c r="S1133">
        <v>2.9521480000000002</v>
      </c>
      <c r="T1133">
        <v>-0.2011009</v>
      </c>
      <c r="U1133">
        <v>-0.71746829999999995</v>
      </c>
      <c r="V1133">
        <v>8.6730550000000003E-2</v>
      </c>
      <c r="W1133">
        <v>3.7711090000000003E-2</v>
      </c>
      <c r="X1133">
        <v>0.99551780000000001</v>
      </c>
      <c r="Y1133">
        <v>0.23029949999999999</v>
      </c>
      <c r="Z1133">
        <v>-7.3527979999999998E-3</v>
      </c>
      <c r="AA1133">
        <v>0.97309199999999996</v>
      </c>
      <c r="AB1133">
        <v>26</v>
      </c>
      <c r="AC1133">
        <v>16.159999999999901</v>
      </c>
      <c r="AD1133">
        <v>-1.10999796427</v>
      </c>
      <c r="AE1133">
        <v>-3.9593000000000398</v>
      </c>
      <c r="AF1133">
        <v>3.8528945577172</v>
      </c>
      <c r="AG1133">
        <v>-1.10999796427</v>
      </c>
      <c r="AH1133">
        <v>16.1099045196198</v>
      </c>
      <c r="AI1133">
        <v>93.833757726908999</v>
      </c>
      <c r="AJ1133">
        <v>76.549615114126695</v>
      </c>
      <c r="AK1133">
        <v>16.601382941937</v>
      </c>
      <c r="AL1133">
        <v>87.838801251118795</v>
      </c>
      <c r="AM1133">
        <v>85.020903719307796</v>
      </c>
      <c r="AN1133">
        <v>1.0000000023645601</v>
      </c>
    </row>
    <row r="1134" spans="1:40" x14ac:dyDescent="0.25">
      <c r="A1134" t="str">
        <f>"20190312154818763"</f>
        <v>20190312154818763</v>
      </c>
      <c r="B1134" t="str">
        <f>"1552376898756753"</f>
        <v>1552376898756753</v>
      </c>
      <c r="C1134" t="s">
        <v>40</v>
      </c>
      <c r="D1134">
        <v>4.3936219999999997</v>
      </c>
      <c r="E1134">
        <v>0.55730919999999995</v>
      </c>
      <c r="F1134" t="s">
        <v>42</v>
      </c>
      <c r="G1134">
        <v>-213.8167</v>
      </c>
      <c r="H1134" s="1">
        <v>-3.584439E-6</v>
      </c>
      <c r="I1134">
        <v>364.26350000000002</v>
      </c>
      <c r="J1134">
        <v>-231.2021</v>
      </c>
      <c r="K1134">
        <v>1.1099969999999999</v>
      </c>
      <c r="L1134">
        <v>368.52780000000001</v>
      </c>
      <c r="M1134">
        <v>0.99988659999999996</v>
      </c>
      <c r="N1134">
        <v>0</v>
      </c>
      <c r="O1134">
        <v>-5.6136759999999997E-3</v>
      </c>
      <c r="P1134">
        <v>0.9954345</v>
      </c>
      <c r="Q1134">
        <v>2.3952069999999999E-2</v>
      </c>
      <c r="R1134">
        <v>-9.2392039999999995E-2</v>
      </c>
      <c r="S1134">
        <v>2.95166</v>
      </c>
      <c r="T1134">
        <v>-0.18681490000000001</v>
      </c>
      <c r="U1134">
        <v>-0.71783450000000004</v>
      </c>
      <c r="V1134">
        <v>8.6814520000000006E-2</v>
      </c>
      <c r="W1134">
        <v>3.7842599999999997E-2</v>
      </c>
      <c r="X1134">
        <v>0.99550550000000004</v>
      </c>
      <c r="Y1134">
        <v>0.23042550000000001</v>
      </c>
      <c r="Z1134">
        <v>-6.830526E-3</v>
      </c>
      <c r="AA1134">
        <v>0.97306599999999999</v>
      </c>
      <c r="AB1134">
        <v>26</v>
      </c>
      <c r="AC1134">
        <v>17.385400000000001</v>
      </c>
      <c r="AD1134">
        <v>-1.110000584439</v>
      </c>
      <c r="AE1134">
        <v>-4.2642999999999898</v>
      </c>
      <c r="AF1134">
        <v>4.1506676420252804</v>
      </c>
      <c r="AG1134">
        <v>-1.110000584439</v>
      </c>
      <c r="AH1134">
        <v>17.3423840120943</v>
      </c>
      <c r="AI1134">
        <v>93.561899302350298</v>
      </c>
      <c r="AJ1134">
        <v>76.540210706702396</v>
      </c>
      <c r="AK1134">
        <v>17.8666848182575</v>
      </c>
      <c r="AL1134">
        <v>87.831260921543702</v>
      </c>
      <c r="AM1134">
        <v>85.016046102597798</v>
      </c>
      <c r="AN1134">
        <v>1.0000000118939201</v>
      </c>
    </row>
    <row r="1135" spans="1:40" x14ac:dyDescent="0.25">
      <c r="A1135" t="str">
        <f>"20190312154818776"</f>
        <v>20190312154818776</v>
      </c>
      <c r="B1135" t="str">
        <f>"1552376898766513"</f>
        <v>1552376898766513</v>
      </c>
      <c r="C1135" t="s">
        <v>40</v>
      </c>
      <c r="D1135">
        <v>4.4813010000000002</v>
      </c>
      <c r="E1135">
        <v>0.5575601</v>
      </c>
      <c r="F1135" t="s">
        <v>42</v>
      </c>
      <c r="G1135">
        <v>-211.6866</v>
      </c>
      <c r="H1135" s="1">
        <v>-4.5909850000000004E-6</v>
      </c>
      <c r="I1135">
        <v>363.7407</v>
      </c>
      <c r="J1135">
        <v>-231.0633</v>
      </c>
      <c r="K1135">
        <v>1.1099969999999999</v>
      </c>
      <c r="L1135">
        <v>368.52690000000001</v>
      </c>
      <c r="M1135">
        <v>0.99988619999999995</v>
      </c>
      <c r="N1135">
        <v>0</v>
      </c>
      <c r="O1135">
        <v>-5.6997319999999999E-3</v>
      </c>
      <c r="P1135">
        <v>0.99540720000000005</v>
      </c>
      <c r="Q1135">
        <v>2.408511E-2</v>
      </c>
      <c r="R1135">
        <v>-9.2654509999999995E-2</v>
      </c>
      <c r="S1135">
        <v>2.950653</v>
      </c>
      <c r="T1135">
        <v>-0.16782710000000001</v>
      </c>
      <c r="U1135">
        <v>-0.72378540000000002</v>
      </c>
      <c r="V1135">
        <v>8.6991269999999996E-2</v>
      </c>
      <c r="W1135">
        <v>3.7974109999999998E-2</v>
      </c>
      <c r="X1135">
        <v>0.99548510000000001</v>
      </c>
      <c r="Y1135">
        <v>0.23234859999999999</v>
      </c>
      <c r="Z1135">
        <v>-6.1870279999999998E-3</v>
      </c>
      <c r="AA1135">
        <v>0.9726129</v>
      </c>
      <c r="AB1135">
        <v>26</v>
      </c>
      <c r="AC1135">
        <v>19.3767</v>
      </c>
      <c r="AD1135">
        <v>-1.1100015909849901</v>
      </c>
      <c r="AE1135">
        <v>-4.7862</v>
      </c>
      <c r="AF1135">
        <v>4.6612526457132004</v>
      </c>
      <c r="AG1135">
        <v>-1.1100015909849901</v>
      </c>
      <c r="AH1135">
        <v>19.343839210984399</v>
      </c>
      <c r="AI1135">
        <v>93.192988269102599</v>
      </c>
      <c r="AJ1135">
        <v>76.451818664207593</v>
      </c>
      <c r="AK1135">
        <v>19.9284594281539</v>
      </c>
      <c r="AL1135">
        <v>87.823720615021003</v>
      </c>
      <c r="AM1135">
        <v>85.005848463822502</v>
      </c>
      <c r="AN1135">
        <v>1.00000004920425</v>
      </c>
    </row>
    <row r="1136" spans="1:40" x14ac:dyDescent="0.25">
      <c r="A1136" t="str">
        <f>"20190312154818787"</f>
        <v>20190312154818787</v>
      </c>
      <c r="B1136" t="str">
        <f>"1552376898777250"</f>
        <v>1552376898777250</v>
      </c>
      <c r="C1136" t="s">
        <v>40</v>
      </c>
      <c r="D1136">
        <v>4.4091969999999998</v>
      </c>
      <c r="E1136">
        <v>0.55787580000000003</v>
      </c>
      <c r="F1136" t="s">
        <v>42</v>
      </c>
      <c r="G1136">
        <v>-211.64779999999999</v>
      </c>
      <c r="H1136" s="1">
        <v>-4.6067899999999998E-6</v>
      </c>
      <c r="I1136">
        <v>363.74560000000002</v>
      </c>
      <c r="J1136">
        <v>-230.92060000000001</v>
      </c>
      <c r="K1136">
        <v>1.1099969999999999</v>
      </c>
      <c r="L1136">
        <v>368.52600000000001</v>
      </c>
      <c r="M1136">
        <v>0.99988560000000004</v>
      </c>
      <c r="N1136">
        <v>0</v>
      </c>
      <c r="O1136">
        <v>-5.7881709999999999E-3</v>
      </c>
      <c r="P1136">
        <v>0.99538139999999997</v>
      </c>
      <c r="Q1136">
        <v>2.4217539999999999E-2</v>
      </c>
      <c r="R1136">
        <v>-9.2895809999999995E-2</v>
      </c>
      <c r="S1136">
        <v>2.9502869999999999</v>
      </c>
      <c r="T1136">
        <v>-0.16866929999999999</v>
      </c>
      <c r="U1136">
        <v>-0.72653199999999996</v>
      </c>
      <c r="V1136">
        <v>8.7144659999999999E-2</v>
      </c>
      <c r="W1136">
        <v>3.8105149999999997E-2</v>
      </c>
      <c r="X1136">
        <v>0.99546659999999998</v>
      </c>
      <c r="Y1136">
        <v>0.23313980000000001</v>
      </c>
      <c r="Z1136">
        <v>-6.2353850000000004E-3</v>
      </c>
      <c r="AA1136">
        <v>0.97242329999999999</v>
      </c>
      <c r="AB1136">
        <v>26</v>
      </c>
      <c r="AC1136">
        <v>19.2728</v>
      </c>
      <c r="AD1136">
        <v>-1.11000160678999</v>
      </c>
      <c r="AE1136">
        <v>-4.7803999999999798</v>
      </c>
      <c r="AF1136">
        <v>4.6542110735212399</v>
      </c>
      <c r="AG1136">
        <v>-1.11000160678999</v>
      </c>
      <c r="AH1136">
        <v>19.240027510373601</v>
      </c>
      <c r="AI1136">
        <v>93.209497843116793</v>
      </c>
      <c r="AJ1136">
        <v>76.401241936140593</v>
      </c>
      <c r="AK1136">
        <v>19.826054647455599</v>
      </c>
      <c r="AL1136">
        <v>87.816206971857397</v>
      </c>
      <c r="AM1136">
        <v>84.996994523900696</v>
      </c>
      <c r="AN1136">
        <v>0.99999997296929799</v>
      </c>
    </row>
    <row r="1137" spans="1:40" x14ac:dyDescent="0.25">
      <c r="A1137" t="str">
        <f>"20190312154818802"</f>
        <v>20190312154818802</v>
      </c>
      <c r="B1137" t="str">
        <f>"1552376898796768"</f>
        <v>1552376898796768</v>
      </c>
      <c r="C1137" t="s">
        <v>40</v>
      </c>
      <c r="D1137">
        <v>4.4857300000000002</v>
      </c>
      <c r="E1137">
        <v>0.55799129999999997</v>
      </c>
      <c r="F1137" t="s">
        <v>42</v>
      </c>
      <c r="G1137">
        <v>-210.83670000000001</v>
      </c>
      <c r="H1137" s="1">
        <v>-4.9881160000000002E-6</v>
      </c>
      <c r="I1137">
        <v>363.5573</v>
      </c>
      <c r="J1137">
        <v>-230.74610000000001</v>
      </c>
      <c r="K1137">
        <v>1.1099969999999999</v>
      </c>
      <c r="L1137">
        <v>368.5249</v>
      </c>
      <c r="M1137">
        <v>0.99988500000000002</v>
      </c>
      <c r="N1137">
        <v>0</v>
      </c>
      <c r="O1137">
        <v>-5.8966289999999996E-3</v>
      </c>
      <c r="P1137">
        <v>0.99532240000000005</v>
      </c>
      <c r="Q1137">
        <v>2.4520980000000001E-2</v>
      </c>
      <c r="R1137">
        <v>-9.3446319999999999E-2</v>
      </c>
      <c r="S1137">
        <v>2.949783</v>
      </c>
      <c r="T1137">
        <v>-0.16302900000000001</v>
      </c>
      <c r="U1137">
        <v>-0.72976680000000005</v>
      </c>
      <c r="V1137">
        <v>8.7587490000000004E-2</v>
      </c>
      <c r="W1137">
        <v>3.8405809999999999E-2</v>
      </c>
      <c r="X1137">
        <v>0.99541619999999997</v>
      </c>
      <c r="Y1137">
        <v>0.23409969999999999</v>
      </c>
      <c r="Z1137">
        <v>-6.0476139999999998E-3</v>
      </c>
      <c r="AA1137">
        <v>0.9721938</v>
      </c>
      <c r="AB1137">
        <v>26</v>
      </c>
      <c r="AC1137">
        <v>19.909400000000002</v>
      </c>
      <c r="AD1137">
        <v>-1.1100019881159999</v>
      </c>
      <c r="AE1137">
        <v>-4.9676</v>
      </c>
      <c r="AF1137">
        <v>4.8359529064292204</v>
      </c>
      <c r="AG1137">
        <v>-1.1100019881159999</v>
      </c>
      <c r="AH1137">
        <v>19.880175623997399</v>
      </c>
      <c r="AI1137">
        <v>93.105397287953707</v>
      </c>
      <c r="AJ1137">
        <v>76.328054750312006</v>
      </c>
      <c r="AK1137">
        <v>20.489995797164099</v>
      </c>
      <c r="AL1137">
        <v>87.798967846999602</v>
      </c>
      <c r="AM1137">
        <v>84.971448219483307</v>
      </c>
      <c r="AN1137">
        <v>0.99999999293434805</v>
      </c>
    </row>
    <row r="1138" spans="1:40" x14ac:dyDescent="0.25">
      <c r="A1138" t="str">
        <f>"20190312154818824"</f>
        <v>20190312154818824</v>
      </c>
      <c r="B1138" t="str">
        <f>"1552376898816796"</f>
        <v>1552376898816796</v>
      </c>
      <c r="C1138" t="s">
        <v>40</v>
      </c>
      <c r="D1138">
        <v>4.3791289999999998</v>
      </c>
      <c r="E1138">
        <v>0.55827950000000004</v>
      </c>
      <c r="F1138" t="s">
        <v>42</v>
      </c>
      <c r="G1138">
        <v>-210.16220000000001</v>
      </c>
      <c r="H1138" s="1">
        <v>-5.3033419999999996E-6</v>
      </c>
      <c r="I1138">
        <v>363.4117</v>
      </c>
      <c r="J1138">
        <v>-230.4931</v>
      </c>
      <c r="K1138">
        <v>1.109996</v>
      </c>
      <c r="L1138">
        <v>368.52319999999997</v>
      </c>
      <c r="M1138">
        <v>0.99988410000000005</v>
      </c>
      <c r="N1138">
        <v>0</v>
      </c>
      <c r="O1138">
        <v>-6.0533599999999998E-3</v>
      </c>
      <c r="P1138">
        <v>0.99528000000000005</v>
      </c>
      <c r="Q1138">
        <v>2.446475E-2</v>
      </c>
      <c r="R1138">
        <v>-9.3910480000000005E-2</v>
      </c>
      <c r="S1138">
        <v>2.9492029999999998</v>
      </c>
      <c r="T1138">
        <v>-0.1590375</v>
      </c>
      <c r="U1138">
        <v>-0.73260499999999995</v>
      </c>
      <c r="V1138">
        <v>8.7895879999999996E-2</v>
      </c>
      <c r="W1138">
        <v>3.8346249999999998E-2</v>
      </c>
      <c r="X1138">
        <v>0.99539129999999998</v>
      </c>
      <c r="Y1138">
        <v>0.23488809999999999</v>
      </c>
      <c r="Z1138">
        <v>-5.9128169999999999E-3</v>
      </c>
      <c r="AA1138">
        <v>0.97200439999999999</v>
      </c>
      <c r="AB1138">
        <v>26</v>
      </c>
      <c r="AC1138">
        <v>20.3308999999999</v>
      </c>
      <c r="AD1138">
        <v>-1.110001303342</v>
      </c>
      <c r="AE1138">
        <v>-5.1114999999999702</v>
      </c>
      <c r="AF1138">
        <v>4.9743779358907698</v>
      </c>
      <c r="AG1138">
        <v>-1.110001303342</v>
      </c>
      <c r="AH1138">
        <v>20.304546529381199</v>
      </c>
      <c r="AI1138">
        <v>93.039403059498298</v>
      </c>
      <c r="AJ1138">
        <v>76.234327459366995</v>
      </c>
      <c r="AK1138">
        <v>20.9344488464899</v>
      </c>
      <c r="AL1138">
        <v>87.802382871645094</v>
      </c>
      <c r="AM1138">
        <v>84.953708683108005</v>
      </c>
      <c r="AN1138">
        <v>0.99999998036286297</v>
      </c>
    </row>
    <row r="1139" spans="1:40" x14ac:dyDescent="0.25">
      <c r="A1139" t="str">
        <f>"20190312154818840"</f>
        <v>20190312154818840</v>
      </c>
      <c r="B1139" t="str">
        <f>"1552376898826557"</f>
        <v>1552376898826557</v>
      </c>
      <c r="C1139" t="s">
        <v>40</v>
      </c>
      <c r="D1139">
        <v>4.7772819999999996</v>
      </c>
      <c r="E1139">
        <v>0.55807519999999999</v>
      </c>
      <c r="F1139" t="s">
        <v>45</v>
      </c>
      <c r="G1139">
        <v>-209.38050000000001</v>
      </c>
      <c r="H1139" s="1">
        <v>-6.0722970000000004E-6</v>
      </c>
      <c r="I1139">
        <v>363.2484</v>
      </c>
      <c r="J1139">
        <v>-230.30969999999999</v>
      </c>
      <c r="K1139">
        <v>1.109998</v>
      </c>
      <c r="L1139">
        <v>368.52190000000002</v>
      </c>
      <c r="M1139">
        <v>0.99988350000000004</v>
      </c>
      <c r="N1139">
        <v>0</v>
      </c>
      <c r="O1139">
        <v>-6.1675380000000002E-3</v>
      </c>
      <c r="P1139">
        <v>0.9952666</v>
      </c>
      <c r="Q1139">
        <v>2.4228389999999999E-2</v>
      </c>
      <c r="R1139">
        <v>-9.4116630000000007E-2</v>
      </c>
      <c r="S1139">
        <v>2.9485320000000002</v>
      </c>
      <c r="T1139">
        <v>-0.1550195</v>
      </c>
      <c r="U1139">
        <v>-0.73666379999999998</v>
      </c>
      <c r="V1139">
        <v>8.7988239999999995E-2</v>
      </c>
      <c r="W1139">
        <v>3.8107530000000001E-2</v>
      </c>
      <c r="X1139">
        <v>0.99539230000000001</v>
      </c>
      <c r="Y1139">
        <v>0.2361027</v>
      </c>
      <c r="Z1139">
        <v>-5.7894829999999998E-3</v>
      </c>
      <c r="AA1139">
        <v>0.97171090000000004</v>
      </c>
      <c r="AB1139">
        <v>26</v>
      </c>
      <c r="AC1139">
        <v>20.929199999999899</v>
      </c>
      <c r="AD1139">
        <v>-1.1100040722969999</v>
      </c>
      <c r="AE1139">
        <v>-5.2735000000000101</v>
      </c>
      <c r="AF1139">
        <v>5.1307351180460996</v>
      </c>
      <c r="AG1139">
        <v>-1.1100040722969999</v>
      </c>
      <c r="AH1139">
        <v>20.906034919467601</v>
      </c>
      <c r="AI1139">
        <v>92.951827187171801</v>
      </c>
      <c r="AJ1139">
        <v>76.211061919232094</v>
      </c>
      <c r="AK1139">
        <v>21.555019089438701</v>
      </c>
      <c r="AL1139">
        <v>87.816070507889904</v>
      </c>
      <c r="AM1139">
        <v>84.948438567945402</v>
      </c>
      <c r="AN1139">
        <v>0.99999997256014295</v>
      </c>
    </row>
    <row r="1140" spans="1:40" x14ac:dyDescent="0.25">
      <c r="A1140" t="str">
        <f>"20190312154818859"</f>
        <v>20190312154818859</v>
      </c>
      <c r="B1140" t="str">
        <f>"1552376898847052"</f>
        <v>1552376898847052</v>
      </c>
      <c r="C1140" t="s">
        <v>40</v>
      </c>
      <c r="D1140">
        <v>4.4442519999999996</v>
      </c>
      <c r="E1140">
        <v>0.55772359999999999</v>
      </c>
      <c r="F1140" t="s">
        <v>45</v>
      </c>
      <c r="G1140">
        <v>-208.86949999999999</v>
      </c>
      <c r="H1140" s="1">
        <v>-5.9132910000000002E-6</v>
      </c>
      <c r="I1140">
        <v>363.17129999999997</v>
      </c>
      <c r="J1140">
        <v>-230.08369999999999</v>
      </c>
      <c r="K1140">
        <v>1.1099950000000001</v>
      </c>
      <c r="L1140">
        <v>368.5204</v>
      </c>
      <c r="M1140">
        <v>0.99988259999999995</v>
      </c>
      <c r="N1140">
        <v>0</v>
      </c>
      <c r="O1140">
        <v>-6.3081730000000003E-3</v>
      </c>
      <c r="P1140">
        <v>0.99525609999999998</v>
      </c>
      <c r="Q1140">
        <v>2.419868E-2</v>
      </c>
      <c r="R1140">
        <v>-9.4233620000000004E-2</v>
      </c>
      <c r="S1140">
        <v>2.94841</v>
      </c>
      <c r="T1140">
        <v>-0.152645</v>
      </c>
      <c r="U1140">
        <v>-0.7358093</v>
      </c>
      <c r="V1140">
        <v>8.7965219999999997E-2</v>
      </c>
      <c r="W1140">
        <v>3.8075600000000001E-2</v>
      </c>
      <c r="X1140">
        <v>0.99539560000000005</v>
      </c>
      <c r="Y1140">
        <v>0.23572009999999999</v>
      </c>
      <c r="Z1140">
        <v>-5.6844290000000004E-3</v>
      </c>
      <c r="AA1140">
        <v>0.97180440000000001</v>
      </c>
      <c r="AB1140">
        <v>26</v>
      </c>
      <c r="AC1140">
        <v>21.214200000000002</v>
      </c>
      <c r="AD1140">
        <v>-1.110000913291</v>
      </c>
      <c r="AE1140">
        <v>-5.3491000000000204</v>
      </c>
      <c r="AF1140">
        <v>5.2017678319275404</v>
      </c>
      <c r="AG1140">
        <v>-1.110000913291</v>
      </c>
      <c r="AH1140">
        <v>21.192971521146902</v>
      </c>
      <c r="AI1140">
        <v>92.911903223772299</v>
      </c>
      <c r="AJ1140">
        <v>76.209498656086893</v>
      </c>
      <c r="AK1140">
        <v>21.850229575474199</v>
      </c>
      <c r="AL1140">
        <v>87.817901385422303</v>
      </c>
      <c r="AM1140">
        <v>84.949770007831702</v>
      </c>
      <c r="AN1140">
        <v>1.00000001587218</v>
      </c>
    </row>
    <row r="1141" spans="1:40" x14ac:dyDescent="0.25">
      <c r="A1141" t="str">
        <f>"20190312154818873"</f>
        <v>20190312154818873</v>
      </c>
      <c r="B1141" t="str">
        <f>"1552376898866573"</f>
        <v>1552376898866573</v>
      </c>
      <c r="C1141" t="s">
        <v>40</v>
      </c>
      <c r="D1141">
        <v>4.4741359999999997</v>
      </c>
      <c r="E1141">
        <v>0.557612</v>
      </c>
      <c r="F1141" t="s">
        <v>45</v>
      </c>
      <c r="G1141">
        <v>-208.22239999999999</v>
      </c>
      <c r="H1141" s="1">
        <v>-5.7105529999999998E-6</v>
      </c>
      <c r="I1141">
        <v>363.08249999999998</v>
      </c>
      <c r="J1141">
        <v>-229.91829999999999</v>
      </c>
      <c r="K1141">
        <v>1.1099950000000001</v>
      </c>
      <c r="L1141">
        <v>368.51920000000001</v>
      </c>
      <c r="M1141">
        <v>0.99988200000000005</v>
      </c>
      <c r="N1141">
        <v>0</v>
      </c>
      <c r="O1141">
        <v>-6.4112669999999896E-3</v>
      </c>
      <c r="P1141">
        <v>0.99525660000000005</v>
      </c>
      <c r="Q1141">
        <v>2.3985670000000001E-2</v>
      </c>
      <c r="R1141">
        <v>-9.428222E-2</v>
      </c>
      <c r="S1141">
        <v>2.948502</v>
      </c>
      <c r="T1141">
        <v>-0.14970929999999999</v>
      </c>
      <c r="U1141">
        <v>-0.733429</v>
      </c>
      <c r="V1141">
        <v>8.7911089999999997E-2</v>
      </c>
      <c r="W1141">
        <v>3.7861180000000001E-2</v>
      </c>
      <c r="X1141">
        <v>0.99540850000000003</v>
      </c>
      <c r="Y1141">
        <v>0.23488609999999999</v>
      </c>
      <c r="Z1141">
        <v>-5.5496139999999996E-3</v>
      </c>
      <c r="AA1141">
        <v>0.97200699999999995</v>
      </c>
      <c r="AB1141">
        <v>26</v>
      </c>
      <c r="AC1141">
        <v>21.695899999999899</v>
      </c>
      <c r="AD1141">
        <v>-1.1100007105529901</v>
      </c>
      <c r="AE1141">
        <v>-5.4367000000000196</v>
      </c>
      <c r="AF1141">
        <v>5.2844615132581003</v>
      </c>
      <c r="AG1141">
        <v>-1.1100007105529901</v>
      </c>
      <c r="AH1141">
        <v>21.676925999576898</v>
      </c>
      <c r="AI1141">
        <v>92.848092817114505</v>
      </c>
      <c r="AJ1141">
        <v>76.299509604477393</v>
      </c>
      <c r="AK1141">
        <v>22.339354418909799</v>
      </c>
      <c r="AL1141">
        <v>87.830195479632295</v>
      </c>
      <c r="AM1141">
        <v>84.952926715492893</v>
      </c>
      <c r="AN1141">
        <v>0.99999995528411401</v>
      </c>
    </row>
    <row r="1142" spans="1:40" x14ac:dyDescent="0.25">
      <c r="A1142" t="str">
        <f>"20190312154818886"</f>
        <v>20190312154818886</v>
      </c>
      <c r="B1142" t="str">
        <f>"1552376898877308"</f>
        <v>1552376898877308</v>
      </c>
      <c r="C1142" t="s">
        <v>40</v>
      </c>
      <c r="D1142">
        <v>4.7824960000000001</v>
      </c>
      <c r="E1142">
        <v>0.55759019999999904</v>
      </c>
      <c r="F1142" t="s">
        <v>45</v>
      </c>
      <c r="G1142">
        <v>-207.9682</v>
      </c>
      <c r="H1142" s="1">
        <v>-5.6279220000000001E-6</v>
      </c>
      <c r="I1142">
        <v>363.06670000000003</v>
      </c>
      <c r="J1142">
        <v>-229.75649999999999</v>
      </c>
      <c r="K1142">
        <v>1.109996</v>
      </c>
      <c r="L1142">
        <v>368.5181</v>
      </c>
      <c r="M1142">
        <v>0.99988129999999997</v>
      </c>
      <c r="N1142">
        <v>0</v>
      </c>
      <c r="O1142">
        <v>-6.5122139999999997E-3</v>
      </c>
      <c r="P1142">
        <v>0.99525520000000001</v>
      </c>
      <c r="Q1142">
        <v>2.3756280000000001E-2</v>
      </c>
      <c r="R1142">
        <v>-9.4355910000000001E-2</v>
      </c>
      <c r="S1142">
        <v>2.948502</v>
      </c>
      <c r="T1142">
        <v>-0.14910329999999999</v>
      </c>
      <c r="U1142">
        <v>-0.73242189999999996</v>
      </c>
      <c r="V1142">
        <v>8.7884019999999993E-2</v>
      </c>
      <c r="W1142">
        <v>3.7630080000000003E-2</v>
      </c>
      <c r="X1142">
        <v>0.99541970000000002</v>
      </c>
      <c r="Y1142">
        <v>0.23447809999999999</v>
      </c>
      <c r="Z1142">
        <v>-5.5122219999999998E-3</v>
      </c>
      <c r="AA1142">
        <v>0.97210569999999996</v>
      </c>
      <c r="AB1142">
        <v>26</v>
      </c>
      <c r="AC1142">
        <v>21.7882999999999</v>
      </c>
      <c r="AD1142">
        <v>-1.110001627922</v>
      </c>
      <c r="AE1142">
        <v>-5.4513999999999703</v>
      </c>
      <c r="AF1142">
        <v>5.2964440166251601</v>
      </c>
      <c r="AG1142">
        <v>-1.110001627922</v>
      </c>
      <c r="AH1142">
        <v>21.770168838438501</v>
      </c>
      <c r="AI1142">
        <v>92.836237965364504</v>
      </c>
      <c r="AJ1142">
        <v>76.326214172868703</v>
      </c>
      <c r="AK1142">
        <v>22.432669794060502</v>
      </c>
      <c r="AL1142">
        <v>87.843446077230396</v>
      </c>
      <c r="AM1142">
        <v>84.954529287836294</v>
      </c>
      <c r="AN1142">
        <v>1.00000000152012</v>
      </c>
    </row>
    <row r="1143" spans="1:40" x14ac:dyDescent="0.25">
      <c r="A1143" t="str">
        <f>"20190312154818899"</f>
        <v>20190312154818899</v>
      </c>
      <c r="B1143" t="str">
        <f>"1552376898886883"</f>
        <v>1552376898886883</v>
      </c>
      <c r="C1143" t="s">
        <v>40</v>
      </c>
      <c r="D1143">
        <v>4.8090619999999999</v>
      </c>
      <c r="E1143">
        <v>0.55752219999999997</v>
      </c>
      <c r="F1143" t="s">
        <v>45</v>
      </c>
      <c r="G1143">
        <v>-207.6884</v>
      </c>
      <c r="H1143" s="1">
        <v>-5.5395449999999998E-6</v>
      </c>
      <c r="I1143">
        <v>363.03280000000001</v>
      </c>
      <c r="J1143">
        <v>-229.61060000000001</v>
      </c>
      <c r="K1143">
        <v>1.1099969999999999</v>
      </c>
      <c r="L1143">
        <v>368.51710000000003</v>
      </c>
      <c r="M1143">
        <v>0.99988080000000001</v>
      </c>
      <c r="N1143">
        <v>0</v>
      </c>
      <c r="O1143">
        <v>-6.6033860000000002E-3</v>
      </c>
      <c r="P1143">
        <v>0.99527589999999999</v>
      </c>
      <c r="Q1143">
        <v>2.338751E-2</v>
      </c>
      <c r="R1143">
        <v>-9.4229770000000004E-2</v>
      </c>
      <c r="S1143">
        <v>2.9483640000000002</v>
      </c>
      <c r="T1143">
        <v>-0.1482995</v>
      </c>
      <c r="U1143">
        <v>-0.73284910000000003</v>
      </c>
      <c r="V1143">
        <v>8.7666889999999997E-2</v>
      </c>
      <c r="W1143">
        <v>3.7260309999999998E-2</v>
      </c>
      <c r="X1143">
        <v>0.99545280000000003</v>
      </c>
      <c r="Y1143">
        <v>0.23453570000000001</v>
      </c>
      <c r="Z1143">
        <v>-5.4796080000000004E-3</v>
      </c>
      <c r="AA1143">
        <v>0.97209199999999996</v>
      </c>
      <c r="AB1143">
        <v>26</v>
      </c>
      <c r="AC1143">
        <v>21.9222</v>
      </c>
      <c r="AD1143">
        <v>-1.1100025395449999</v>
      </c>
      <c r="AE1143">
        <v>-5.4843000000000099</v>
      </c>
      <c r="AF1143">
        <v>5.3265538112932598</v>
      </c>
      <c r="AG1143">
        <v>-1.1100025395449999</v>
      </c>
      <c r="AH1143">
        <v>21.905088502555</v>
      </c>
      <c r="AI1143">
        <v>92.818879435509004</v>
      </c>
      <c r="AJ1143">
        <v>76.332918197580796</v>
      </c>
      <c r="AK1143">
        <v>22.5707151735865</v>
      </c>
      <c r="AL1143">
        <v>87.864647300737502</v>
      </c>
      <c r="AM1143">
        <v>84.967097231792494</v>
      </c>
      <c r="AN1143">
        <v>1.0000000456657001</v>
      </c>
    </row>
    <row r="1144" spans="1:40" x14ac:dyDescent="0.25">
      <c r="A1144" t="str">
        <f>"20190312154818911"</f>
        <v>20190312154818911</v>
      </c>
      <c r="B1144" t="str">
        <f>"1552376898906910"</f>
        <v>1552376898906910</v>
      </c>
      <c r="C1144" t="s">
        <v>40</v>
      </c>
      <c r="D1144">
        <v>4.4509730000000003</v>
      </c>
      <c r="E1144">
        <v>0.55754919999999997</v>
      </c>
      <c r="F1144" t="s">
        <v>45</v>
      </c>
      <c r="G1144">
        <v>-207.52719999999999</v>
      </c>
      <c r="H1144" s="1">
        <v>-5.485276E-6</v>
      </c>
      <c r="I1144">
        <v>363.03489999999999</v>
      </c>
      <c r="J1144">
        <v>-229.47049999999999</v>
      </c>
      <c r="K1144">
        <v>1.109996</v>
      </c>
      <c r="L1144">
        <v>368.51600000000002</v>
      </c>
      <c r="M1144">
        <v>0.99988030000000006</v>
      </c>
      <c r="N1144">
        <v>0</v>
      </c>
      <c r="O1144">
        <v>-6.6909860000000003E-3</v>
      </c>
      <c r="P1144">
        <v>0.99527049999999995</v>
      </c>
      <c r="Q1144">
        <v>2.35111E-2</v>
      </c>
      <c r="R1144">
        <v>-9.4257259999999995E-2</v>
      </c>
      <c r="S1144">
        <v>2.9484249999999999</v>
      </c>
      <c r="T1144">
        <v>-0.1482</v>
      </c>
      <c r="U1144">
        <v>-0.73193359999999996</v>
      </c>
      <c r="V1144">
        <v>8.760714E-2</v>
      </c>
      <c r="W1144">
        <v>3.73823E-2</v>
      </c>
      <c r="X1144">
        <v>0.99545340000000004</v>
      </c>
      <c r="Y1144">
        <v>0.23416239999999999</v>
      </c>
      <c r="Z1144">
        <v>-5.4624620000000004E-3</v>
      </c>
      <c r="AA1144">
        <v>0.9721822</v>
      </c>
      <c r="AB1144">
        <v>26</v>
      </c>
      <c r="AC1144">
        <v>21.943299999999901</v>
      </c>
      <c r="AD1144">
        <v>-1.1100014852760001</v>
      </c>
      <c r="AE1144">
        <v>-5.4810999999999597</v>
      </c>
      <c r="AF1144">
        <v>5.3213239278781499</v>
      </c>
      <c r="AG1144">
        <v>-1.1100014852760001</v>
      </c>
      <c r="AH1144">
        <v>21.926674427649601</v>
      </c>
      <c r="AI1144">
        <v>92.816414399334903</v>
      </c>
      <c r="AJ1144">
        <v>76.358774190332795</v>
      </c>
      <c r="AK1144">
        <v>22.590432556701199</v>
      </c>
      <c r="AL1144">
        <v>87.857652731258</v>
      </c>
      <c r="AM1144">
        <v>84.970512858951196</v>
      </c>
      <c r="AN1144">
        <v>0.999999959451914</v>
      </c>
    </row>
    <row r="1145" spans="1:40" x14ac:dyDescent="0.25">
      <c r="A1145" t="str">
        <f>"20190312154818925"</f>
        <v>20190312154818925</v>
      </c>
      <c r="B1145" t="str">
        <f>"1552376898916671"</f>
        <v>1552376898916671</v>
      </c>
      <c r="C1145" t="s">
        <v>40</v>
      </c>
      <c r="D1145">
        <v>4.4745929999999996</v>
      </c>
      <c r="E1145">
        <v>0.55759530000000002</v>
      </c>
      <c r="F1145" t="s">
        <v>45</v>
      </c>
      <c r="G1145">
        <v>-207.1086</v>
      </c>
      <c r="H1145" s="1">
        <v>-5.3561630000000001E-6</v>
      </c>
      <c r="I1145">
        <v>362.96440000000001</v>
      </c>
      <c r="J1145">
        <v>-229.31209999999999</v>
      </c>
      <c r="K1145">
        <v>1.109993</v>
      </c>
      <c r="L1145">
        <v>368.51490000000001</v>
      </c>
      <c r="M1145">
        <v>0.99987950000000003</v>
      </c>
      <c r="N1145">
        <v>0</v>
      </c>
      <c r="O1145">
        <v>-6.7895519999999999E-3</v>
      </c>
      <c r="P1145">
        <v>0.995282</v>
      </c>
      <c r="Q1145">
        <v>2.3698710000000001E-2</v>
      </c>
      <c r="R1145">
        <v>-9.4085539999999995E-2</v>
      </c>
      <c r="S1145">
        <v>2.9483799999999998</v>
      </c>
      <c r="T1145">
        <v>-0.146351799999999</v>
      </c>
      <c r="U1145">
        <v>-0.73196410000000001</v>
      </c>
      <c r="V1145">
        <v>8.7337150000000002E-2</v>
      </c>
      <c r="W1145">
        <v>3.7568610000000002E-2</v>
      </c>
      <c r="X1145">
        <v>0.99547019999999997</v>
      </c>
      <c r="Y1145">
        <v>0.2340865</v>
      </c>
      <c r="Z1145">
        <v>-5.3878240000000003E-3</v>
      </c>
      <c r="AA1145">
        <v>0.97220079999999998</v>
      </c>
      <c r="AB1145">
        <v>26</v>
      </c>
      <c r="AC1145">
        <v>22.203499999999899</v>
      </c>
      <c r="AD1145">
        <v>-1.109998356163</v>
      </c>
      <c r="AE1145">
        <v>-5.5505000000000004</v>
      </c>
      <c r="AF1145">
        <v>5.3869343232295304</v>
      </c>
      <c r="AG1145">
        <v>-1.109998356163</v>
      </c>
      <c r="AH1145">
        <v>22.188485204265302</v>
      </c>
      <c r="AI1145">
        <v>92.783167644568806</v>
      </c>
      <c r="AJ1145">
        <v>76.353720871293802</v>
      </c>
      <c r="AK1145">
        <v>22.860009479730699</v>
      </c>
      <c r="AL1145">
        <v>87.846970642496004</v>
      </c>
      <c r="AM1145">
        <v>84.986017917377893</v>
      </c>
      <c r="AN1145">
        <v>1.0000000486577401</v>
      </c>
    </row>
    <row r="1146" spans="1:40" x14ac:dyDescent="0.25">
      <c r="A1146" t="str">
        <f>"20190312154818937"</f>
        <v>20190312154818937</v>
      </c>
      <c r="B1146" t="str">
        <f>"1552376898927406"</f>
        <v>1552376898927406</v>
      </c>
      <c r="C1146" t="s">
        <v>40</v>
      </c>
      <c r="D1146">
        <v>4.7778890000000001</v>
      </c>
      <c r="E1146">
        <v>0.55759300000000001</v>
      </c>
      <c r="F1146" t="s">
        <v>45</v>
      </c>
      <c r="G1146">
        <v>-206.62379999999999</v>
      </c>
      <c r="H1146" s="1">
        <v>-5.2048760000000001E-6</v>
      </c>
      <c r="I1146">
        <v>362.8802</v>
      </c>
      <c r="J1146">
        <v>-229.17150000000001</v>
      </c>
      <c r="K1146">
        <v>1.109996</v>
      </c>
      <c r="L1146">
        <v>368.5138</v>
      </c>
      <c r="M1146">
        <v>0.99987910000000002</v>
      </c>
      <c r="N1146">
        <v>0</v>
      </c>
      <c r="O1146">
        <v>-6.8775069999999997E-3</v>
      </c>
      <c r="P1146">
        <v>0.99529710000000005</v>
      </c>
      <c r="Q1146">
        <v>2.3730640000000001E-2</v>
      </c>
      <c r="R1146">
        <v>-9.3920920000000005E-2</v>
      </c>
      <c r="S1146">
        <v>2.9484409999999999</v>
      </c>
      <c r="T1146">
        <v>-0.1442485</v>
      </c>
      <c r="U1146">
        <v>-0.73223879999999997</v>
      </c>
      <c r="V1146">
        <v>8.7084850000000005E-2</v>
      </c>
      <c r="W1146">
        <v>3.7599109999999998E-2</v>
      </c>
      <c r="X1146">
        <v>0.99549109999999996</v>
      </c>
      <c r="Y1146">
        <v>0.2340893</v>
      </c>
      <c r="Z1146">
        <v>-5.3061459999999899E-3</v>
      </c>
      <c r="AA1146">
        <v>0.97220059999999997</v>
      </c>
      <c r="AB1146">
        <v>26</v>
      </c>
      <c r="AC1146">
        <v>22.547699999999999</v>
      </c>
      <c r="AD1146">
        <v>-1.110001204876</v>
      </c>
      <c r="AE1146">
        <v>-5.6336000000000004</v>
      </c>
      <c r="AF1146">
        <v>5.4659114215529803</v>
      </c>
      <c r="AG1146">
        <v>-1.110001204876</v>
      </c>
      <c r="AH1146">
        <v>22.534512137932101</v>
      </c>
      <c r="AI1146">
        <v>92.740643634630899</v>
      </c>
      <c r="AJ1146">
        <v>76.365802487426905</v>
      </c>
      <c r="AK1146">
        <v>23.214489605367099</v>
      </c>
      <c r="AL1146">
        <v>87.845221774784804</v>
      </c>
      <c r="AM1146">
        <v>85.0005332487261</v>
      </c>
      <c r="AN1146">
        <v>0.99999999717576205</v>
      </c>
    </row>
    <row r="1147" spans="1:40" x14ac:dyDescent="0.25">
      <c r="A1147" t="str">
        <f>"20190312154818948"</f>
        <v>20190312154818948</v>
      </c>
      <c r="B1147" t="str">
        <f>"1552376898937167"</f>
        <v>1552376898937167</v>
      </c>
      <c r="C1147" t="s">
        <v>40</v>
      </c>
      <c r="D1147">
        <v>4.4496440000000002</v>
      </c>
      <c r="E1147">
        <v>0.55764760000000002</v>
      </c>
      <c r="F1147" t="s">
        <v>45</v>
      </c>
      <c r="G1147">
        <v>-206.23939999999999</v>
      </c>
      <c r="H1147" s="1">
        <v>-5.0387739999999996E-6</v>
      </c>
      <c r="I1147">
        <v>362.822</v>
      </c>
      <c r="J1147">
        <v>-229.035</v>
      </c>
      <c r="K1147">
        <v>1.1099969999999999</v>
      </c>
      <c r="L1147">
        <v>368.51280000000003</v>
      </c>
      <c r="M1147">
        <v>0.9998785</v>
      </c>
      <c r="N1147">
        <v>0</v>
      </c>
      <c r="O1147">
        <v>-6.9627219999999898E-3</v>
      </c>
      <c r="P1147">
        <v>0.99529250000000002</v>
      </c>
      <c r="Q1147">
        <v>2.3882359999999998E-2</v>
      </c>
      <c r="R1147">
        <v>-9.3929830000000006E-2</v>
      </c>
      <c r="S1147">
        <v>2.948547</v>
      </c>
      <c r="T1147">
        <v>-0.14272119999999999</v>
      </c>
      <c r="U1147">
        <v>-0.73184199999999999</v>
      </c>
      <c r="V1147">
        <v>8.7008870000000002E-2</v>
      </c>
      <c r="W1147">
        <v>3.7749690000000002E-2</v>
      </c>
      <c r="X1147">
        <v>0.99549200000000004</v>
      </c>
      <c r="Y1147">
        <v>0.23388059999999999</v>
      </c>
      <c r="Z1147">
        <v>-5.2408969999999996E-3</v>
      </c>
      <c r="AA1147">
        <v>0.97225119999999998</v>
      </c>
      <c r="AB1147">
        <v>26</v>
      </c>
      <c r="AC1147">
        <v>22.7956</v>
      </c>
      <c r="AD1147">
        <v>-1.1100020387739999</v>
      </c>
      <c r="AE1147">
        <v>-5.6908000000000802</v>
      </c>
      <c r="AF1147">
        <v>5.5196075435341596</v>
      </c>
      <c r="AG1147">
        <v>-1.1100020387739999</v>
      </c>
      <c r="AH1147">
        <v>22.783821740555801</v>
      </c>
      <c r="AI1147">
        <v>92.710885737900099</v>
      </c>
      <c r="AJ1147">
        <v>76.381896165376702</v>
      </c>
      <c r="AK1147">
        <v>23.469143679864899</v>
      </c>
      <c r="AL1147">
        <v>87.836587949799906</v>
      </c>
      <c r="AM1147">
        <v>85.004877610407107</v>
      </c>
      <c r="AN1147">
        <v>0.99999995230888505</v>
      </c>
    </row>
    <row r="1148" spans="1:40" x14ac:dyDescent="0.25">
      <c r="A1148" t="str">
        <f>"20190312154818970"</f>
        <v>20190312154818970</v>
      </c>
      <c r="B1148" t="str">
        <f>"1552376898966447"</f>
        <v>1552376898966447</v>
      </c>
      <c r="C1148" t="s">
        <v>40</v>
      </c>
      <c r="D1148">
        <v>4.4709949999999896</v>
      </c>
      <c r="E1148">
        <v>0.55800530000000004</v>
      </c>
      <c r="F1148" t="s">
        <v>45</v>
      </c>
      <c r="G1148">
        <v>-205.9297</v>
      </c>
      <c r="H1148" s="1">
        <v>-4.9049740000000002E-6</v>
      </c>
      <c r="I1148">
        <v>362.7747</v>
      </c>
      <c r="J1148">
        <v>-228.78960000000001</v>
      </c>
      <c r="K1148">
        <v>1.1099969999999999</v>
      </c>
      <c r="L1148">
        <v>368.51089999999999</v>
      </c>
      <c r="M1148">
        <v>0.99987729999999997</v>
      </c>
      <c r="N1148">
        <v>0</v>
      </c>
      <c r="O1148">
        <v>-7.1156369999999898E-3</v>
      </c>
      <c r="P1148">
        <v>0.99526389999999998</v>
      </c>
      <c r="Q1148">
        <v>2.4014219999999999E-2</v>
      </c>
      <c r="R1148">
        <v>-9.4198089999999998E-2</v>
      </c>
      <c r="S1148">
        <v>2.9484859999999999</v>
      </c>
      <c r="T1148">
        <v>-0.14164869999999999</v>
      </c>
      <c r="U1148">
        <v>-0.73223879999999997</v>
      </c>
      <c r="V1148">
        <v>8.7124969999999996E-2</v>
      </c>
      <c r="W1148">
        <v>3.7878809999999999E-2</v>
      </c>
      <c r="X1148">
        <v>0.99547699999999995</v>
      </c>
      <c r="Y1148">
        <v>0.23386380000000001</v>
      </c>
      <c r="Z1148">
        <v>-5.1939480000000003E-3</v>
      </c>
      <c r="AA1148">
        <v>0.97225550000000005</v>
      </c>
      <c r="AB1148">
        <v>26</v>
      </c>
      <c r="AC1148">
        <v>22.8599</v>
      </c>
      <c r="AD1148">
        <v>-1.110001904974</v>
      </c>
      <c r="AE1148">
        <v>-5.7361999999999904</v>
      </c>
      <c r="AF1148">
        <v>5.5610412515918402</v>
      </c>
      <c r="AG1148">
        <v>-1.110001904974</v>
      </c>
      <c r="AH1148">
        <v>22.849459616707701</v>
      </c>
      <c r="AI1148">
        <v>92.702418147901497</v>
      </c>
      <c r="AJ1148">
        <v>76.321437810082799</v>
      </c>
      <c r="AK1148">
        <v>23.5426228106918</v>
      </c>
      <c r="AL1148">
        <v>87.829184751081101</v>
      </c>
      <c r="AM1148">
        <v>84.998171189268803</v>
      </c>
      <c r="AN1148">
        <v>1.00000001108675</v>
      </c>
    </row>
    <row r="1149" spans="1:40" x14ac:dyDescent="0.25">
      <c r="A1149" t="str">
        <f>"20190312154818983"</f>
        <v>20190312154818983</v>
      </c>
      <c r="B1149" t="str">
        <f>"1552376898977182"</f>
        <v>1552376898977182</v>
      </c>
      <c r="C1149" t="s">
        <v>40</v>
      </c>
      <c r="D1149">
        <v>4.4796959999999997</v>
      </c>
      <c r="E1149">
        <v>0.558083199999999</v>
      </c>
      <c r="F1149" t="s">
        <v>45</v>
      </c>
      <c r="G1149">
        <v>-205.56870000000001</v>
      </c>
      <c r="H1149" s="1">
        <v>-4.7500829999999998E-6</v>
      </c>
      <c r="I1149">
        <v>362.71480000000003</v>
      </c>
      <c r="J1149">
        <v>-228.6353</v>
      </c>
      <c r="K1149">
        <v>1.110001</v>
      </c>
      <c r="L1149">
        <v>368.50970000000001</v>
      </c>
      <c r="M1149">
        <v>0.99987680000000001</v>
      </c>
      <c r="N1149">
        <v>0</v>
      </c>
      <c r="O1149">
        <v>-7.2122949999999996E-3</v>
      </c>
      <c r="P1149">
        <v>0.99523499999999998</v>
      </c>
      <c r="Q1149">
        <v>2.4026909999999999E-2</v>
      </c>
      <c r="R1149">
        <v>-9.4500769999999998E-2</v>
      </c>
      <c r="S1149">
        <v>2.9479980000000001</v>
      </c>
      <c r="T1149">
        <v>-0.1409194</v>
      </c>
      <c r="U1149">
        <v>-0.73583980000000004</v>
      </c>
      <c r="V1149">
        <v>8.7331779999999998E-2</v>
      </c>
      <c r="W1149">
        <v>3.7889289999999999E-2</v>
      </c>
      <c r="X1149">
        <v>0.99545850000000002</v>
      </c>
      <c r="Y1149">
        <v>0.2349272</v>
      </c>
      <c r="Z1149">
        <v>-5.1877920000000001E-3</v>
      </c>
      <c r="AA1149">
        <v>0.9719991</v>
      </c>
      <c r="AB1149">
        <v>26</v>
      </c>
      <c r="AC1149">
        <v>23.066599999999902</v>
      </c>
      <c r="AD1149">
        <v>-1.1100057500830001</v>
      </c>
      <c r="AE1149">
        <v>-5.7948999999999797</v>
      </c>
      <c r="AF1149">
        <v>5.6161367263677802</v>
      </c>
      <c r="AG1149">
        <v>-1.1100057500830001</v>
      </c>
      <c r="AH1149">
        <v>23.057573863280901</v>
      </c>
      <c r="AI1149">
        <v>92.677952962991696</v>
      </c>
      <c r="AJ1149">
        <v>76.311010131746897</v>
      </c>
      <c r="AK1149">
        <v>23.7576265008761</v>
      </c>
      <c r="AL1149">
        <v>87.828583904655005</v>
      </c>
      <c r="AM1149">
        <v>84.986266007743097</v>
      </c>
      <c r="AN1149">
        <v>1.0000000316584601</v>
      </c>
    </row>
    <row r="1150" spans="1:40" x14ac:dyDescent="0.25">
      <c r="A1150" t="str">
        <f>"20190312154818998"</f>
        <v>20190312154818998</v>
      </c>
      <c r="B1150" t="str">
        <f>"1552376898986943"</f>
        <v>1552376898986943</v>
      </c>
      <c r="C1150" t="s">
        <v>40</v>
      </c>
      <c r="D1150">
        <v>4.4690390000000004</v>
      </c>
      <c r="E1150">
        <v>0.55824910000000005</v>
      </c>
      <c r="F1150" t="s">
        <v>45</v>
      </c>
      <c r="G1150">
        <v>-205.32830000000001</v>
      </c>
      <c r="H1150" s="1">
        <v>-4.6462410000000002E-6</v>
      </c>
      <c r="I1150">
        <v>362.67809999999997</v>
      </c>
      <c r="J1150">
        <v>-228.4563</v>
      </c>
      <c r="K1150">
        <v>1.1100019999999999</v>
      </c>
      <c r="L1150">
        <v>368.50830000000002</v>
      </c>
      <c r="M1150">
        <v>0.99987599999999999</v>
      </c>
      <c r="N1150">
        <v>0</v>
      </c>
      <c r="O1150">
        <v>-7.3240889999999998E-3</v>
      </c>
      <c r="P1150">
        <v>0.99524279999999998</v>
      </c>
      <c r="Q1150">
        <v>2.404309E-2</v>
      </c>
      <c r="R1150">
        <v>-9.4414509999999993E-2</v>
      </c>
      <c r="S1150">
        <v>2.9477540000000002</v>
      </c>
      <c r="T1150">
        <v>-0.14038809999999999</v>
      </c>
      <c r="U1150">
        <v>-0.7375488</v>
      </c>
      <c r="V1150">
        <v>8.7134130000000004E-2</v>
      </c>
      <c r="W1150">
        <v>3.7904069999999998E-2</v>
      </c>
      <c r="X1150">
        <v>0.9954752</v>
      </c>
      <c r="Y1150">
        <v>0.2353693</v>
      </c>
      <c r="Z1150">
        <v>-5.1734349999999997E-3</v>
      </c>
      <c r="AA1150">
        <v>0.97189219999999998</v>
      </c>
      <c r="AB1150">
        <v>26</v>
      </c>
      <c r="AC1150">
        <v>23.127999999999901</v>
      </c>
      <c r="AD1150">
        <v>-1.1100066462410001</v>
      </c>
      <c r="AE1150">
        <v>-5.8302000000000396</v>
      </c>
      <c r="AF1150">
        <v>5.6484022862104002</v>
      </c>
      <c r="AG1150">
        <v>-1.1100066462410001</v>
      </c>
      <c r="AH1150">
        <v>23.120011259399501</v>
      </c>
      <c r="AI1150">
        <v>92.670280605408294</v>
      </c>
      <c r="AJ1150">
        <v>76.271112156337693</v>
      </c>
      <c r="AK1150">
        <v>23.8258574615128</v>
      </c>
      <c r="AL1150">
        <v>87.827736340033894</v>
      </c>
      <c r="AM1150">
        <v>84.997638984196797</v>
      </c>
      <c r="AN1150">
        <v>0.99999997447422995</v>
      </c>
    </row>
    <row r="1151" spans="1:40" x14ac:dyDescent="0.25">
      <c r="A1151" t="str">
        <f>"20190312154819010"</f>
        <v>20190312154819010</v>
      </c>
      <c r="B1151" t="str">
        <f>"1552376899006969"</f>
        <v>1552376899006969</v>
      </c>
      <c r="C1151" t="s">
        <v>40</v>
      </c>
      <c r="D1151">
        <v>5.2504879999999998</v>
      </c>
      <c r="E1151">
        <v>0.5584789</v>
      </c>
      <c r="F1151" t="s">
        <v>45</v>
      </c>
      <c r="G1151">
        <v>-205.12370000000001</v>
      </c>
      <c r="H1151" s="1">
        <v>-4.5546520000000001E-6</v>
      </c>
      <c r="I1151">
        <v>362.66140000000001</v>
      </c>
      <c r="J1151">
        <v>-228.31710000000001</v>
      </c>
      <c r="K1151">
        <v>1.1100019999999999</v>
      </c>
      <c r="L1151">
        <v>368.50709999999998</v>
      </c>
      <c r="M1151">
        <v>0.99987530000000002</v>
      </c>
      <c r="N1151">
        <v>0</v>
      </c>
      <c r="O1151">
        <v>-7.4109739999999999E-3</v>
      </c>
      <c r="P1151">
        <v>0.9952164</v>
      </c>
      <c r="Q1151">
        <v>2.4054659999999999E-2</v>
      </c>
      <c r="R1151">
        <v>-9.4686759999999995E-2</v>
      </c>
      <c r="S1151">
        <v>2.9476469999999999</v>
      </c>
      <c r="T1151">
        <v>-0.14022899999999999</v>
      </c>
      <c r="U1151">
        <v>-0.73864750000000001</v>
      </c>
      <c r="V1151">
        <v>8.7320129999999996E-2</v>
      </c>
      <c r="W1151">
        <v>3.7914549999999998E-2</v>
      </c>
      <c r="X1151">
        <v>0.99545850000000002</v>
      </c>
      <c r="Y1151">
        <v>0.23563429999999999</v>
      </c>
      <c r="Z1151">
        <v>-5.1696670000000002E-3</v>
      </c>
      <c r="AA1151">
        <v>0.97182800000000003</v>
      </c>
      <c r="AB1151">
        <v>26</v>
      </c>
      <c r="AC1151">
        <v>23.1934</v>
      </c>
      <c r="AD1151">
        <v>-1.1100065546519999</v>
      </c>
      <c r="AE1151">
        <v>-5.8456999999999599</v>
      </c>
      <c r="AF1151">
        <v>5.6614442827918703</v>
      </c>
      <c r="AG1151">
        <v>-1.1100065546519999</v>
      </c>
      <c r="AH1151">
        <v>23.186154692030001</v>
      </c>
      <c r="AI1151">
        <v>92.662756219095797</v>
      </c>
      <c r="AJ1151">
        <v>76.278381885629699</v>
      </c>
      <c r="AK1151">
        <v>23.893133643816402</v>
      </c>
      <c r="AL1151">
        <v>87.8271354423172</v>
      </c>
      <c r="AM1151">
        <v>84.986931428053197</v>
      </c>
      <c r="AN1151">
        <v>0.99999997171358401</v>
      </c>
    </row>
    <row r="1152" spans="1:40" x14ac:dyDescent="0.25">
      <c r="A1152" t="str">
        <f>"20190312154819021"</f>
        <v>20190312154819021</v>
      </c>
      <c r="B1152" t="str">
        <f>"1552376899016728"</f>
        <v>1552376899016728</v>
      </c>
      <c r="C1152" t="s">
        <v>40</v>
      </c>
      <c r="D1152">
        <v>4.4627299999999996</v>
      </c>
      <c r="E1152">
        <v>0.55857819999999903</v>
      </c>
      <c r="F1152" t="s">
        <v>45</v>
      </c>
      <c r="G1152">
        <v>-204.9462</v>
      </c>
      <c r="H1152" s="1">
        <v>-4.4767660000000004E-6</v>
      </c>
      <c r="I1152">
        <v>362.63060000000002</v>
      </c>
      <c r="J1152">
        <v>-228.17670000000001</v>
      </c>
      <c r="K1152">
        <v>1.1100030000000001</v>
      </c>
      <c r="L1152">
        <v>368.50599999999997</v>
      </c>
      <c r="M1152">
        <v>0.99987459999999995</v>
      </c>
      <c r="N1152">
        <v>0</v>
      </c>
      <c r="O1152">
        <v>-7.4984580000000004E-3</v>
      </c>
      <c r="P1152">
        <v>0.99522940000000004</v>
      </c>
      <c r="Q1152">
        <v>2.3939289999999998E-2</v>
      </c>
      <c r="R1152">
        <v>-9.4579250000000004E-2</v>
      </c>
      <c r="S1152">
        <v>2.9472809999999998</v>
      </c>
      <c r="T1152">
        <v>-0.13998160000000001</v>
      </c>
      <c r="U1152">
        <v>-0.74108890000000005</v>
      </c>
      <c r="V1152">
        <v>8.7125060000000004E-2</v>
      </c>
      <c r="W1152">
        <v>3.7797810000000001E-2</v>
      </c>
      <c r="X1152">
        <v>0.99548009999999998</v>
      </c>
      <c r="Y1152">
        <v>0.2363352</v>
      </c>
      <c r="Z1152">
        <v>-5.1729599999999999E-3</v>
      </c>
      <c r="AA1152">
        <v>0.97165780000000002</v>
      </c>
      <c r="AB1152">
        <v>26</v>
      </c>
      <c r="AC1152">
        <v>23.230499999999999</v>
      </c>
      <c r="AD1152">
        <v>-1.110007476766</v>
      </c>
      <c r="AE1152">
        <v>-5.8753999999999502</v>
      </c>
      <c r="AF1152">
        <v>5.6888173641393296</v>
      </c>
      <c r="AG1152">
        <v>-1.110007476766</v>
      </c>
      <c r="AH1152">
        <v>23.224071316584698</v>
      </c>
      <c r="AI1152">
        <v>92.657939563531997</v>
      </c>
      <c r="AJ1152">
        <v>76.236213169333993</v>
      </c>
      <c r="AK1152">
        <v>23.9364209546629</v>
      </c>
      <c r="AL1152">
        <v>87.833829097739695</v>
      </c>
      <c r="AM1152">
        <v>84.998181545667606</v>
      </c>
      <c r="AN1152">
        <v>1.0000000400083999</v>
      </c>
    </row>
    <row r="1153" spans="1:40" x14ac:dyDescent="0.25">
      <c r="A1153" t="str">
        <f>"20190312154819038"</f>
        <v>20190312154819038</v>
      </c>
      <c r="B1153" t="str">
        <f>"1552376899027465"</f>
        <v>1552376899027465</v>
      </c>
      <c r="C1153" t="s">
        <v>40</v>
      </c>
      <c r="D1153">
        <v>4.6010099999999996</v>
      </c>
      <c r="E1153">
        <v>0.55857819999999903</v>
      </c>
      <c r="F1153" t="s">
        <v>45</v>
      </c>
      <c r="G1153">
        <v>-204.96709999999999</v>
      </c>
      <c r="H1153" s="1">
        <v>-4.4790340000000003E-6</v>
      </c>
      <c r="I1153">
        <v>362.66789999999997</v>
      </c>
      <c r="J1153">
        <v>-227.9957</v>
      </c>
      <c r="K1153">
        <v>1.1100019999999999</v>
      </c>
      <c r="L1153">
        <v>368.50450000000001</v>
      </c>
      <c r="M1153">
        <v>0.99987389999999998</v>
      </c>
      <c r="N1153">
        <v>0</v>
      </c>
      <c r="O1153">
        <v>-7.6113269999999898E-3</v>
      </c>
      <c r="P1153">
        <v>0.99520770000000003</v>
      </c>
      <c r="Q1153">
        <v>2.4049810000000001E-2</v>
      </c>
      <c r="R1153">
        <v>-9.4780139999999999E-2</v>
      </c>
      <c r="S1153">
        <v>2.947311</v>
      </c>
      <c r="T1153">
        <v>-0.14095629999999901</v>
      </c>
      <c r="U1153">
        <v>-0.74136349999999995</v>
      </c>
      <c r="V1153">
        <v>8.7213719999999995E-2</v>
      </c>
      <c r="W1153">
        <v>3.7906450000000001E-2</v>
      </c>
      <c r="X1153">
        <v>0.99546809999999997</v>
      </c>
      <c r="Y1153">
        <v>0.23630509999999999</v>
      </c>
      <c r="Z1153">
        <v>-5.2028100000000004E-3</v>
      </c>
      <c r="AA1153">
        <v>0.971665</v>
      </c>
      <c r="AB1153">
        <v>26</v>
      </c>
      <c r="AC1153">
        <v>23.028600000000001</v>
      </c>
      <c r="AD1153">
        <v>-1.1100064790339901</v>
      </c>
      <c r="AE1153">
        <v>-5.83660000000003</v>
      </c>
      <c r="AF1153">
        <v>5.6488036525743199</v>
      </c>
      <c r="AG1153">
        <v>-1.1100064790339901</v>
      </c>
      <c r="AH1153">
        <v>23.022101385050501</v>
      </c>
      <c r="AI1153">
        <v>92.680966647861993</v>
      </c>
      <c r="AJ1153">
        <v>76.214005697106501</v>
      </c>
      <c r="AK1153">
        <v>23.730955506940301</v>
      </c>
      <c r="AL1153">
        <v>87.827599792237805</v>
      </c>
      <c r="AM1153">
        <v>84.993057417545899</v>
      </c>
      <c r="AN1153">
        <v>0.999999935012723</v>
      </c>
    </row>
    <row r="1154" spans="1:40" x14ac:dyDescent="0.25">
      <c r="A1154" t="str">
        <f>"20190312154819053"</f>
        <v>20190312154819053</v>
      </c>
      <c r="B1154" t="str">
        <f>"1552376899046984"</f>
        <v>1552376899046984</v>
      </c>
      <c r="C1154" t="s">
        <v>40</v>
      </c>
      <c r="D1154">
        <v>4.5846010000000001</v>
      </c>
      <c r="E1154">
        <v>0.51366420000000002</v>
      </c>
      <c r="F1154" t="s">
        <v>45</v>
      </c>
      <c r="G1154">
        <v>-204.71530000000001</v>
      </c>
      <c r="H1154" s="1">
        <v>-4.3583469999999997E-6</v>
      </c>
      <c r="I1154">
        <v>362.64069999999998</v>
      </c>
      <c r="J1154">
        <v>-227.82060000000001</v>
      </c>
      <c r="K1154">
        <v>1.1100030000000001</v>
      </c>
      <c r="L1154">
        <v>368.50310000000002</v>
      </c>
      <c r="M1154">
        <v>0.99987309999999996</v>
      </c>
      <c r="N1154">
        <v>0</v>
      </c>
      <c r="O1154">
        <v>-7.7205030000000001E-3</v>
      </c>
      <c r="P1154">
        <v>0.99522750000000004</v>
      </c>
      <c r="Q1154">
        <v>2.4035959999999999E-2</v>
      </c>
      <c r="R1154">
        <v>-9.4577739999999993E-2</v>
      </c>
      <c r="S1154">
        <v>2.9471280000000002</v>
      </c>
      <c r="T1154">
        <v>-0.1405187</v>
      </c>
      <c r="U1154">
        <v>-0.74230959999999901</v>
      </c>
      <c r="V1154">
        <v>8.6902499999999994E-2</v>
      </c>
      <c r="W1154">
        <v>3.7891679999999997E-2</v>
      </c>
      <c r="X1154">
        <v>0.99549600000000005</v>
      </c>
      <c r="Y1154">
        <v>0.2365081</v>
      </c>
      <c r="Z1154">
        <v>-5.1864279999999999E-3</v>
      </c>
      <c r="AA1154">
        <v>0.97161569999999997</v>
      </c>
      <c r="AB1154">
        <v>26</v>
      </c>
      <c r="AC1154">
        <v>23.1053</v>
      </c>
      <c r="AD1154">
        <v>-1.110007358347</v>
      </c>
      <c r="AE1154">
        <v>-5.8624000000000303</v>
      </c>
      <c r="AF1154">
        <v>5.6715254261371202</v>
      </c>
      <c r="AG1154">
        <v>-1.110007358347</v>
      </c>
      <c r="AH1154">
        <v>23.099787454825002</v>
      </c>
      <c r="AI1154">
        <v>92.671867715068799</v>
      </c>
      <c r="AJ1154">
        <v>76.205442508988696</v>
      </c>
      <c r="AK1154">
        <v>23.811730249038899</v>
      </c>
      <c r="AL1154">
        <v>87.828446919982497</v>
      </c>
      <c r="AM1154">
        <v>85.010973348564804</v>
      </c>
      <c r="AN1154">
        <v>1.0000000549677299</v>
      </c>
    </row>
    <row r="1155" spans="1:40" x14ac:dyDescent="0.25">
      <c r="A1155" t="str">
        <f>"20190312154819067"</f>
        <v>20190312154819067</v>
      </c>
      <c r="B1155" t="str">
        <f>"1552376899056744"</f>
        <v>1552376899056744</v>
      </c>
      <c r="C1155" t="s">
        <v>40</v>
      </c>
      <c r="D1155">
        <v>4.562621</v>
      </c>
      <c r="E1155">
        <v>0.50595239999999997</v>
      </c>
      <c r="F1155" t="s">
        <v>45</v>
      </c>
      <c r="G1155">
        <v>-205.19749999999999</v>
      </c>
      <c r="H1155" s="1">
        <v>-3.9403899999999997E-6</v>
      </c>
      <c r="I1155">
        <v>365.58670000000001</v>
      </c>
      <c r="J1155">
        <v>-227.65530000000001</v>
      </c>
      <c r="K1155">
        <v>1.1100030000000001</v>
      </c>
      <c r="L1155">
        <v>368.50170000000003</v>
      </c>
      <c r="M1155">
        <v>0.99987239999999999</v>
      </c>
      <c r="N1155">
        <v>0</v>
      </c>
      <c r="O1155">
        <v>-7.8234800000000007E-3</v>
      </c>
      <c r="P1155">
        <v>0.99521669999999995</v>
      </c>
      <c r="Q1155">
        <v>2.4129680000000001E-2</v>
      </c>
      <c r="R1155">
        <v>-9.4667929999999997E-2</v>
      </c>
      <c r="S1155">
        <v>2.9813999999999998</v>
      </c>
      <c r="T1155">
        <v>-0.14628269999999999</v>
      </c>
      <c r="U1155">
        <v>-0.38433840000000002</v>
      </c>
      <c r="V1155">
        <v>8.6890019999999998E-2</v>
      </c>
      <c r="W1155">
        <v>3.7983160000000002E-2</v>
      </c>
      <c r="X1155">
        <v>0.99549350000000003</v>
      </c>
      <c r="Y1155">
        <v>0.11995749999999999</v>
      </c>
      <c r="Z1155">
        <v>-2.5469609999999999E-3</v>
      </c>
      <c r="AA1155">
        <v>0.99277570000000004</v>
      </c>
      <c r="AB1155">
        <v>26</v>
      </c>
      <c r="AC1155">
        <v>22.457799999999999</v>
      </c>
      <c r="AD1155">
        <v>-1.1100069403899999</v>
      </c>
      <c r="AE1155">
        <v>-2.91500000000002</v>
      </c>
      <c r="AF1155">
        <v>2.7326304712049998</v>
      </c>
      <c r="AG1155">
        <v>-1.1100069403899999</v>
      </c>
      <c r="AH1155">
        <v>22.4260419555944</v>
      </c>
      <c r="AI1155">
        <v>92.812847426646798</v>
      </c>
      <c r="AJ1155">
        <v>83.052713616781304</v>
      </c>
      <c r="AK1155">
        <v>22.6191675906509</v>
      </c>
      <c r="AL1155">
        <v>87.823201502796906</v>
      </c>
      <c r="AM1155">
        <v>85.011673739468307</v>
      </c>
      <c r="AN1155">
        <v>0.99999995228071603</v>
      </c>
    </row>
    <row r="1156" spans="1:40" x14ac:dyDescent="0.25">
      <c r="A1156" t="str">
        <f>"20190312154819082"</f>
        <v>20190312154819082</v>
      </c>
      <c r="B1156" t="str">
        <f>"1552376899077239"</f>
        <v>1552376899077239</v>
      </c>
      <c r="C1156" t="s">
        <v>40</v>
      </c>
      <c r="D1156">
        <v>4.5873869999999997</v>
      </c>
      <c r="E1156">
        <v>0.49244359999999998</v>
      </c>
      <c r="F1156" t="s">
        <v>45</v>
      </c>
      <c r="G1156">
        <v>-204.10679999999999</v>
      </c>
      <c r="H1156" s="1">
        <v>-3.3187340000000002E-6</v>
      </c>
      <c r="I1156">
        <v>365.94830000000002</v>
      </c>
      <c r="J1156">
        <v>-227.48429999999999</v>
      </c>
      <c r="K1156">
        <v>1.110006</v>
      </c>
      <c r="L1156">
        <v>368.50020000000001</v>
      </c>
      <c r="M1156">
        <v>0.99987139999999997</v>
      </c>
      <c r="N1156">
        <v>0</v>
      </c>
      <c r="O1156">
        <v>-7.9295600000000004E-3</v>
      </c>
      <c r="P1156">
        <v>0.99521740000000003</v>
      </c>
      <c r="Q1156">
        <v>2.3940240000000002E-2</v>
      </c>
      <c r="R1156">
        <v>-9.4705559999999994E-2</v>
      </c>
      <c r="S1156">
        <v>2.9870610000000002</v>
      </c>
      <c r="T1156">
        <v>-0.14080119999999999</v>
      </c>
      <c r="U1156">
        <v>-0.32388309999999998</v>
      </c>
      <c r="V1156">
        <v>8.6822159999999995E-2</v>
      </c>
      <c r="W1156">
        <v>3.7792560000000003E-2</v>
      </c>
      <c r="X1156">
        <v>0.99550669999999997</v>
      </c>
      <c r="Y1156">
        <v>9.9808569999999999E-2</v>
      </c>
      <c r="Z1156">
        <v>-1.9717039999999999E-3</v>
      </c>
      <c r="AA1156">
        <v>0.99500469999999996</v>
      </c>
      <c r="AB1156">
        <v>26</v>
      </c>
      <c r="AC1156">
        <v>23.377500000000001</v>
      </c>
      <c r="AD1156">
        <v>-1.1100093187340001</v>
      </c>
      <c r="AE1156">
        <v>-2.5518999999999799</v>
      </c>
      <c r="AF1156">
        <v>2.3611678019023699</v>
      </c>
      <c r="AG1156">
        <v>-1.1100093187340001</v>
      </c>
      <c r="AH1156">
        <v>23.3449899581422</v>
      </c>
      <c r="AI1156">
        <v>92.708456239243603</v>
      </c>
      <c r="AJ1156">
        <v>84.2246088274036</v>
      </c>
      <c r="AK1156">
        <v>23.490333974258</v>
      </c>
      <c r="AL1156">
        <v>87.834129979982606</v>
      </c>
      <c r="AM1156">
        <v>85.015615683613504</v>
      </c>
      <c r="AN1156">
        <v>0.99999997740165403</v>
      </c>
    </row>
    <row r="1157" spans="1:40" x14ac:dyDescent="0.25">
      <c r="A1157" t="str">
        <f>"20190312154819093"</f>
        <v>20190312154819093</v>
      </c>
      <c r="B1157" t="str">
        <f>"1552376899087000"</f>
        <v>1552376899087000</v>
      </c>
      <c r="C1157" t="s">
        <v>40</v>
      </c>
      <c r="D1157">
        <v>4.6359760000000003</v>
      </c>
      <c r="E1157">
        <v>0.48871809999999899</v>
      </c>
      <c r="F1157" t="s">
        <v>45</v>
      </c>
      <c r="G1157">
        <v>-206.18889999999999</v>
      </c>
      <c r="H1157" s="1">
        <v>-4.0964549999999999E-6</v>
      </c>
      <c r="I1157">
        <v>366.96570000000003</v>
      </c>
      <c r="J1157">
        <v>-227.3484</v>
      </c>
      <c r="K1157">
        <v>1.1100049999999999</v>
      </c>
      <c r="L1157">
        <v>368.4991</v>
      </c>
      <c r="M1157">
        <v>0.99987079999999995</v>
      </c>
      <c r="N1157">
        <v>0</v>
      </c>
      <c r="O1157">
        <v>-8.0141829999999994E-3</v>
      </c>
      <c r="P1157">
        <v>0.99521990000000005</v>
      </c>
      <c r="Q1157">
        <v>2.405589E-2</v>
      </c>
      <c r="R1157">
        <v>-9.4650049999999999E-2</v>
      </c>
      <c r="S1157">
        <v>2.9976039999999999</v>
      </c>
      <c r="T1157">
        <v>-0.15624859999999999</v>
      </c>
      <c r="U1157">
        <v>-0.21600340000000001</v>
      </c>
      <c r="V1157">
        <v>8.6682259999999997E-2</v>
      </c>
      <c r="W1157">
        <v>3.7906919999999997E-2</v>
      </c>
      <c r="X1157">
        <v>0.99551460000000003</v>
      </c>
      <c r="Y1157">
        <v>6.3800460000000003E-2</v>
      </c>
      <c r="Z1157">
        <v>-1.2425890000000001E-3</v>
      </c>
      <c r="AA1157">
        <v>0.99796189999999996</v>
      </c>
      <c r="AB1157">
        <v>26</v>
      </c>
      <c r="AC1157">
        <v>21.159500000000001</v>
      </c>
      <c r="AD1157">
        <v>-1.110009096455</v>
      </c>
      <c r="AE1157">
        <v>-1.5333999999999699</v>
      </c>
      <c r="AF1157">
        <v>1.3600349670118199</v>
      </c>
      <c r="AG1157">
        <v>-1.110009096455</v>
      </c>
      <c r="AH1157">
        <v>21.1133110287766</v>
      </c>
      <c r="AI1157">
        <v>93.003278793629207</v>
      </c>
      <c r="AJ1157">
        <v>86.314327447028305</v>
      </c>
      <c r="AK1157">
        <v>21.1861680797535</v>
      </c>
      <c r="AL1157">
        <v>87.827573058557803</v>
      </c>
      <c r="AM1157">
        <v>85.023646149637699</v>
      </c>
      <c r="AN1157">
        <v>1.0000000337978701</v>
      </c>
    </row>
    <row r="1158" spans="1:40" x14ac:dyDescent="0.25">
      <c r="A1158" t="str">
        <f>"20190312154819114"</f>
        <v>20190312154819114</v>
      </c>
      <c r="B1158" t="str">
        <f>"1552376899107026"</f>
        <v>1552376899107026</v>
      </c>
      <c r="C1158" t="s">
        <v>40</v>
      </c>
      <c r="D1158">
        <v>4.5890709999999997</v>
      </c>
      <c r="E1158">
        <v>0.48420479999999999</v>
      </c>
      <c r="F1158" t="s">
        <v>45</v>
      </c>
      <c r="G1158">
        <v>-206.38040000000001</v>
      </c>
      <c r="H1158" s="1">
        <v>-4.1339380000000001E-6</v>
      </c>
      <c r="I1158">
        <v>367.19880000000001</v>
      </c>
      <c r="J1158">
        <v>-227.1105</v>
      </c>
      <c r="K1158">
        <v>1.110004</v>
      </c>
      <c r="L1158">
        <v>368.49700000000001</v>
      </c>
      <c r="M1158">
        <v>0.99986960000000003</v>
      </c>
      <c r="N1158">
        <v>0</v>
      </c>
      <c r="O1158">
        <v>-8.1623340000000003E-3</v>
      </c>
      <c r="P1158">
        <v>0.99521700000000002</v>
      </c>
      <c r="Q1158">
        <v>2.3774469999999999E-2</v>
      </c>
      <c r="R1158">
        <v>-9.4751329999999995E-2</v>
      </c>
      <c r="S1158">
        <v>3.000534</v>
      </c>
      <c r="T1158">
        <v>-0.15884279999999901</v>
      </c>
      <c r="U1158">
        <v>-0.1860657</v>
      </c>
      <c r="V1158">
        <v>8.6636060000000001E-2</v>
      </c>
      <c r="W1158">
        <v>3.7623410000000003E-2</v>
      </c>
      <c r="X1158">
        <v>0.99552940000000001</v>
      </c>
      <c r="Y1158">
        <v>5.3678950000000003E-2</v>
      </c>
      <c r="Z1158">
        <v>-9.8708499999999996E-4</v>
      </c>
      <c r="AA1158">
        <v>0.99855769999999999</v>
      </c>
      <c r="AB1158">
        <v>26</v>
      </c>
      <c r="AC1158">
        <v>20.7301</v>
      </c>
      <c r="AD1158">
        <v>-1.1100081339379999</v>
      </c>
      <c r="AE1158">
        <v>-1.2981999999999501</v>
      </c>
      <c r="AF1158">
        <v>1.12571932536334</v>
      </c>
      <c r="AG1158">
        <v>-1.1100081339379999</v>
      </c>
      <c r="AH1158">
        <v>20.680943055382102</v>
      </c>
      <c r="AI1158">
        <v>93.067755393055904</v>
      </c>
      <c r="AJ1158">
        <v>86.884311446174493</v>
      </c>
      <c r="AK1158">
        <v>20.741281727918</v>
      </c>
      <c r="AL1158">
        <v>87.843828630722598</v>
      </c>
      <c r="AM1158">
        <v>85.026358714605294</v>
      </c>
      <c r="AN1158">
        <v>1.00000005706835</v>
      </c>
    </row>
    <row r="1159" spans="1:40" x14ac:dyDescent="0.25">
      <c r="A1159" t="str">
        <f>"20190312154819126"</f>
        <v>20190312154819126</v>
      </c>
      <c r="B1159" t="str">
        <f>"1552376899116786"</f>
        <v>1552376899116786</v>
      </c>
      <c r="C1159" t="s">
        <v>40</v>
      </c>
      <c r="D1159">
        <v>4.5698030000000003</v>
      </c>
      <c r="E1159">
        <v>0.48283609999999999</v>
      </c>
      <c r="F1159" t="s">
        <v>45</v>
      </c>
      <c r="G1159">
        <v>-207.34649999999999</v>
      </c>
      <c r="H1159" s="1">
        <v>-4.5150549999999996E-6</v>
      </c>
      <c r="I1159">
        <v>367.50979999999998</v>
      </c>
      <c r="J1159">
        <v>-226.97290000000001</v>
      </c>
      <c r="K1159">
        <v>1.1100049999999999</v>
      </c>
      <c r="L1159">
        <v>368.49579999999997</v>
      </c>
      <c r="M1159">
        <v>0.99986889999999995</v>
      </c>
      <c r="N1159">
        <v>0</v>
      </c>
      <c r="O1159">
        <v>-8.2479119999999996E-3</v>
      </c>
      <c r="P1159">
        <v>0.99519820000000003</v>
      </c>
      <c r="Q1159">
        <v>2.362533E-2</v>
      </c>
      <c r="R1159">
        <v>-9.4986909999999994E-2</v>
      </c>
      <c r="S1159">
        <v>3.0041660000000001</v>
      </c>
      <c r="T1159">
        <v>-0.16872379999999901</v>
      </c>
      <c r="U1159">
        <v>-0.15005489999999999</v>
      </c>
      <c r="V1159">
        <v>8.6786290000000002E-2</v>
      </c>
      <c r="W1159">
        <v>3.7472829999999999E-2</v>
      </c>
      <c r="X1159">
        <v>0.99552200000000002</v>
      </c>
      <c r="Y1159">
        <v>4.159421E-2</v>
      </c>
      <c r="Z1159">
        <v>-7.0379419999999995E-4</v>
      </c>
      <c r="AA1159">
        <v>0.99913439999999998</v>
      </c>
      <c r="AB1159">
        <v>26</v>
      </c>
      <c r="AC1159">
        <v>19.6264</v>
      </c>
      <c r="AD1159">
        <v>-1.110009515055</v>
      </c>
      <c r="AE1159">
        <v>-0.98599999999999</v>
      </c>
      <c r="AF1159">
        <v>0.82145296006551605</v>
      </c>
      <c r="AG1159">
        <v>-1.110009515055</v>
      </c>
      <c r="AH1159">
        <v>19.571420222535899</v>
      </c>
      <c r="AI1159">
        <v>93.243251231533193</v>
      </c>
      <c r="AJ1159">
        <v>87.596588370301802</v>
      </c>
      <c r="AK1159">
        <v>19.620076340733199</v>
      </c>
      <c r="AL1159">
        <v>87.852462329332795</v>
      </c>
      <c r="AM1159">
        <v>85.017740768666101</v>
      </c>
      <c r="AN1159">
        <v>1.00000006280208</v>
      </c>
    </row>
    <row r="1160" spans="1:40" x14ac:dyDescent="0.25">
      <c r="A1160" t="str">
        <f>"20190312154819138"</f>
        <v>20190312154819138</v>
      </c>
      <c r="B1160" t="str">
        <f>"1552376899127523"</f>
        <v>1552376899127523</v>
      </c>
      <c r="C1160" t="s">
        <v>40</v>
      </c>
      <c r="D1160">
        <v>4.5914710000000003</v>
      </c>
      <c r="E1160">
        <v>0.48188009999999898</v>
      </c>
      <c r="F1160" t="s">
        <v>45</v>
      </c>
      <c r="G1160">
        <v>-207.67439999999999</v>
      </c>
      <c r="H1160" s="1">
        <v>-4.6485350000000004E-6</v>
      </c>
      <c r="I1160">
        <v>367.59660000000002</v>
      </c>
      <c r="J1160">
        <v>-226.83019999999999</v>
      </c>
      <c r="K1160">
        <v>1.1100049999999999</v>
      </c>
      <c r="L1160">
        <v>368.49439999999998</v>
      </c>
      <c r="M1160">
        <v>0.99986830000000004</v>
      </c>
      <c r="N1160">
        <v>0</v>
      </c>
      <c r="O1160">
        <v>-8.3369429999999994E-3</v>
      </c>
      <c r="P1160">
        <v>0.99519590000000002</v>
      </c>
      <c r="Q1160">
        <v>2.362974E-2</v>
      </c>
      <c r="R1160">
        <v>-9.5010559999999994E-2</v>
      </c>
      <c r="S1160">
        <v>3.0052029999999998</v>
      </c>
      <c r="T1160">
        <v>-0.17285300000000001</v>
      </c>
      <c r="U1160">
        <v>-0.14001459999999999</v>
      </c>
      <c r="V1160">
        <v>8.6721229999999996E-2</v>
      </c>
      <c r="W1160">
        <v>3.7475219999999997E-2</v>
      </c>
      <c r="X1160">
        <v>0.99552750000000001</v>
      </c>
      <c r="Y1160">
        <v>3.816075E-2</v>
      </c>
      <c r="Z1160">
        <v>-6.1707629999999895E-4</v>
      </c>
      <c r="AA1160">
        <v>0.99927149999999998</v>
      </c>
      <c r="AB1160">
        <v>26</v>
      </c>
      <c r="AC1160">
        <v>19.155799999999999</v>
      </c>
      <c r="AD1160">
        <v>-1.1100096485349999</v>
      </c>
      <c r="AE1160">
        <v>-0.89779999999996096</v>
      </c>
      <c r="AF1160">
        <v>0.73558796383161795</v>
      </c>
      <c r="AG1160">
        <v>-1.1100096485349999</v>
      </c>
      <c r="AH1160">
        <v>19.098631241217099</v>
      </c>
      <c r="AI1160">
        <v>93.323821505285295</v>
      </c>
      <c r="AJ1160">
        <v>87.794330722425002</v>
      </c>
      <c r="AK1160">
        <v>19.1449974238799</v>
      </c>
      <c r="AL1160">
        <v>87.852325125892307</v>
      </c>
      <c r="AM1160">
        <v>85.021484345232494</v>
      </c>
      <c r="AN1160">
        <v>0.99999998355150499</v>
      </c>
    </row>
    <row r="1161" spans="1:40" x14ac:dyDescent="0.25">
      <c r="A1161" t="str">
        <f>"20190312154819159"</f>
        <v>20190312154819159</v>
      </c>
      <c r="B1161" t="str">
        <f>"1552376899147043"</f>
        <v>1552376899147043</v>
      </c>
      <c r="C1161" t="s">
        <v>40</v>
      </c>
      <c r="D1161">
        <v>4.6107639999999996</v>
      </c>
      <c r="E1161">
        <v>0.4801723</v>
      </c>
      <c r="F1161" t="s">
        <v>45</v>
      </c>
      <c r="G1161">
        <v>-207.92500000000001</v>
      </c>
      <c r="H1161" s="1">
        <v>-4.7505020000000001E-6</v>
      </c>
      <c r="I1161">
        <v>367.66320000000002</v>
      </c>
      <c r="J1161">
        <v>-226.59229999999999</v>
      </c>
      <c r="K1161">
        <v>1.1100030000000001</v>
      </c>
      <c r="L1161">
        <v>368.4923</v>
      </c>
      <c r="M1161">
        <v>0.99986699999999995</v>
      </c>
      <c r="N1161">
        <v>0</v>
      </c>
      <c r="O1161">
        <v>-8.4852090000000005E-3</v>
      </c>
      <c r="P1161">
        <v>0.99516879999999996</v>
      </c>
      <c r="Q1161">
        <v>2.3902530000000002E-2</v>
      </c>
      <c r="R1161">
        <v>-9.5224630000000005E-2</v>
      </c>
      <c r="S1161">
        <v>3.0060579999999999</v>
      </c>
      <c r="T1161">
        <v>-0.17649979999999901</v>
      </c>
      <c r="U1161">
        <v>-0.1321716</v>
      </c>
      <c r="V1161">
        <v>8.678806E-2</v>
      </c>
      <c r="W1161">
        <v>3.7745870000000001E-2</v>
      </c>
      <c r="X1161">
        <v>0.99551149999999999</v>
      </c>
      <c r="Y1161">
        <v>3.5400309999999997E-2</v>
      </c>
      <c r="Z1161">
        <v>-5.4030629999999896E-4</v>
      </c>
      <c r="AA1161">
        <v>0.99937310000000001</v>
      </c>
      <c r="AB1161">
        <v>26</v>
      </c>
      <c r="AC1161">
        <v>18.667299999999901</v>
      </c>
      <c r="AD1161">
        <v>-1.1100077505020001</v>
      </c>
      <c r="AE1161">
        <v>-0.82909999999998196</v>
      </c>
      <c r="AF1161">
        <v>0.66830050734962199</v>
      </c>
      <c r="AG1161">
        <v>-1.1100077505020001</v>
      </c>
      <c r="AH1161">
        <v>18.6079987877423</v>
      </c>
      <c r="AI1161">
        <v>93.411578665305697</v>
      </c>
      <c r="AJ1161">
        <v>87.943123902574698</v>
      </c>
      <c r="AK1161">
        <v>18.653052341612</v>
      </c>
      <c r="AL1161">
        <v>87.8368071490072</v>
      </c>
      <c r="AM1161">
        <v>85.017587381191504</v>
      </c>
      <c r="AN1161">
        <v>1.00000003234643</v>
      </c>
    </row>
    <row r="1162" spans="1:40" x14ac:dyDescent="0.25">
      <c r="A1162" t="str">
        <f>"20190312154819172"</f>
        <v>20190312154819172</v>
      </c>
      <c r="B1162" t="str">
        <f>"1552376899167538"</f>
        <v>1552376899167538</v>
      </c>
      <c r="C1162" t="s">
        <v>40</v>
      </c>
      <c r="D1162">
        <v>4.6040089999999996</v>
      </c>
      <c r="E1162">
        <v>0.47901559999999999</v>
      </c>
      <c r="F1162" t="s">
        <v>45</v>
      </c>
      <c r="G1162">
        <v>-208.1217</v>
      </c>
      <c r="H1162" s="1">
        <v>-4.8208880000000004E-6</v>
      </c>
      <c r="I1162">
        <v>367.75889999999998</v>
      </c>
      <c r="J1162">
        <v>-226.44380000000001</v>
      </c>
      <c r="K1162">
        <v>1.1100030000000001</v>
      </c>
      <c r="L1162">
        <v>368.49099999999999</v>
      </c>
      <c r="M1162">
        <v>0.99986620000000004</v>
      </c>
      <c r="N1162">
        <v>0</v>
      </c>
      <c r="O1162">
        <v>-8.5778179999999992E-3</v>
      </c>
      <c r="P1162">
        <v>0.99515560000000003</v>
      </c>
      <c r="Q1162">
        <v>2.4033929999999998E-2</v>
      </c>
      <c r="R1162">
        <v>-9.5330090000000006E-2</v>
      </c>
      <c r="S1162">
        <v>3.0074770000000002</v>
      </c>
      <c r="T1162">
        <v>-0.18073700000000001</v>
      </c>
      <c r="U1162">
        <v>-0.1194153</v>
      </c>
      <c r="V1162">
        <v>8.6801379999999997E-2</v>
      </c>
      <c r="W1162">
        <v>3.7875480000000003E-2</v>
      </c>
      <c r="X1162">
        <v>0.99550539999999998</v>
      </c>
      <c r="Y1162">
        <v>3.106103E-2</v>
      </c>
      <c r="Z1162">
        <v>-4.1726460000000002E-4</v>
      </c>
      <c r="AA1162">
        <v>0.9995174</v>
      </c>
      <c r="AB1162">
        <v>26</v>
      </c>
      <c r="AC1162">
        <v>18.322099999999999</v>
      </c>
      <c r="AD1162">
        <v>-1.110007820888</v>
      </c>
      <c r="AE1162">
        <v>-0.73210000000000197</v>
      </c>
      <c r="AF1162">
        <v>0.57279519508909205</v>
      </c>
      <c r="AG1162">
        <v>-1.110007820888</v>
      </c>
      <c r="AH1162">
        <v>18.260790480610201</v>
      </c>
      <c r="AI1162">
        <v>93.476818515075905</v>
      </c>
      <c r="AJ1162">
        <v>88.203364201575994</v>
      </c>
      <c r="AK1162">
        <v>18.303460893358299</v>
      </c>
      <c r="AL1162">
        <v>87.829375694775607</v>
      </c>
      <c r="AM1162">
        <v>85.016796163017105</v>
      </c>
      <c r="AN1162">
        <v>1.0000000164921401</v>
      </c>
    </row>
    <row r="1163" spans="1:40" x14ac:dyDescent="0.25">
      <c r="A1163" t="str">
        <f>"20190312154819184"</f>
        <v>20190312154819184</v>
      </c>
      <c r="B1163" t="str">
        <f>"1552376899177299"</f>
        <v>1552376899177299</v>
      </c>
      <c r="C1163" t="s">
        <v>40</v>
      </c>
      <c r="D1163">
        <v>4.5488269999999904</v>
      </c>
      <c r="E1163">
        <v>0.47839910000000002</v>
      </c>
      <c r="F1163" t="s">
        <v>45</v>
      </c>
      <c r="G1163">
        <v>-208.2533</v>
      </c>
      <c r="H1163" s="1">
        <v>-4.8674570000000003E-6</v>
      </c>
      <c r="I1163">
        <v>367.8254</v>
      </c>
      <c r="J1163">
        <v>-226.3124</v>
      </c>
      <c r="K1163">
        <v>1.110001</v>
      </c>
      <c r="L1163">
        <v>368.48970000000003</v>
      </c>
      <c r="M1163">
        <v>0.99986560000000002</v>
      </c>
      <c r="N1163">
        <v>0</v>
      </c>
      <c r="O1163">
        <v>-8.6595819999999903E-3</v>
      </c>
      <c r="P1163">
        <v>0.99514939999999996</v>
      </c>
      <c r="Q1163">
        <v>2.3946700000000001E-2</v>
      </c>
      <c r="R1163">
        <v>-9.5417130000000003E-2</v>
      </c>
      <c r="S1163">
        <v>3.0084840000000002</v>
      </c>
      <c r="T1163">
        <v>-0.1835812</v>
      </c>
      <c r="U1163">
        <v>-0.11007690000000001</v>
      </c>
      <c r="V1163">
        <v>8.6806939999999999E-2</v>
      </c>
      <c r="W1163">
        <v>3.7787330000000001E-2</v>
      </c>
      <c r="X1163">
        <v>0.99550830000000001</v>
      </c>
      <c r="Y1163">
        <v>2.787268E-2</v>
      </c>
      <c r="Z1163">
        <v>-3.2156220000000002E-4</v>
      </c>
      <c r="AA1163">
        <v>0.99961140000000004</v>
      </c>
      <c r="AB1163">
        <v>26</v>
      </c>
      <c r="AC1163">
        <v>18.059100000000001</v>
      </c>
      <c r="AD1163">
        <v>-1.1100058674569999</v>
      </c>
      <c r="AE1163">
        <v>-0.66430000000002498</v>
      </c>
      <c r="AF1163">
        <v>0.50596673129943204</v>
      </c>
      <c r="AG1163">
        <v>-1.1100058674569999</v>
      </c>
      <c r="AH1163">
        <v>17.9962783617386</v>
      </c>
      <c r="AI1163">
        <v>93.528127117803507</v>
      </c>
      <c r="AJ1163">
        <v>88.389549054251702</v>
      </c>
      <c r="AK1163">
        <v>18.0375760631009</v>
      </c>
      <c r="AL1163">
        <v>87.834430011123104</v>
      </c>
      <c r="AM1163">
        <v>85.016493019181993</v>
      </c>
      <c r="AN1163">
        <v>1.00000005125479</v>
      </c>
    </row>
    <row r="1164" spans="1:40" x14ac:dyDescent="0.25">
      <c r="A1164" t="str">
        <f>"20190312154819196"</f>
        <v>20190312154819196</v>
      </c>
      <c r="B1164" t="str">
        <f>"1552376899187051"</f>
        <v>1552376899187051</v>
      </c>
      <c r="C1164" t="s">
        <v>40</v>
      </c>
      <c r="D1164">
        <v>4.598706</v>
      </c>
      <c r="E1164">
        <v>0.47790529999999998</v>
      </c>
      <c r="F1164" t="s">
        <v>45</v>
      </c>
      <c r="G1164">
        <v>-208.71520000000001</v>
      </c>
      <c r="H1164" s="1">
        <v>-5.0719609999999999E-6</v>
      </c>
      <c r="I1164">
        <v>367.87349999999998</v>
      </c>
      <c r="J1164">
        <v>-226.17</v>
      </c>
      <c r="K1164">
        <v>1.110001</v>
      </c>
      <c r="L1164">
        <v>368.48840000000001</v>
      </c>
      <c r="M1164">
        <v>0.99986489999999995</v>
      </c>
      <c r="N1164">
        <v>0</v>
      </c>
      <c r="O1164">
        <v>-8.7486130000000006E-3</v>
      </c>
      <c r="P1164">
        <v>0.9951352</v>
      </c>
      <c r="Q1164">
        <v>2.4034119999999999E-2</v>
      </c>
      <c r="R1164">
        <v>-9.5542139999999998E-2</v>
      </c>
      <c r="S1164">
        <v>3.009109</v>
      </c>
      <c r="T1164">
        <v>-0.18981000000000001</v>
      </c>
      <c r="U1164">
        <v>-0.1053772</v>
      </c>
      <c r="V1164">
        <v>8.6843539999999997E-2</v>
      </c>
      <c r="W1164">
        <v>3.7873089999999998E-2</v>
      </c>
      <c r="X1164">
        <v>0.99550179999999999</v>
      </c>
      <c r="Y1164">
        <v>2.6217819999999999E-2</v>
      </c>
      <c r="Z1164">
        <v>-2.746569E-4</v>
      </c>
      <c r="AA1164">
        <v>0.99965619999999999</v>
      </c>
      <c r="AB1164">
        <v>26</v>
      </c>
      <c r="AC1164">
        <v>17.454799999999899</v>
      </c>
      <c r="AD1164">
        <v>-1.1100060719609901</v>
      </c>
      <c r="AE1164">
        <v>-0.61490000000003397</v>
      </c>
      <c r="AF1164">
        <v>0.46029720910335398</v>
      </c>
      <c r="AG1164">
        <v>-1.1100060719609901</v>
      </c>
      <c r="AH1164">
        <v>17.389275268976501</v>
      </c>
      <c r="AI1164">
        <v>93.651119076656499</v>
      </c>
      <c r="AJ1164">
        <v>88.483724596310495</v>
      </c>
      <c r="AK1164">
        <v>17.430745290455501</v>
      </c>
      <c r="AL1164">
        <v>87.829512699828598</v>
      </c>
      <c r="AM1164">
        <v>85.014370045868105</v>
      </c>
      <c r="AN1164">
        <v>1.0000000025945599</v>
      </c>
    </row>
    <row r="1165" spans="1:40" x14ac:dyDescent="0.25">
      <c r="A1165" t="str">
        <f>"20190312154819209"</f>
        <v>20190312154819209</v>
      </c>
      <c r="B1165" t="str">
        <f>"1552376899196811"</f>
        <v>1552376899196811</v>
      </c>
      <c r="C1165" t="s">
        <v>40</v>
      </c>
      <c r="D1165">
        <v>4.5855189999999997</v>
      </c>
      <c r="E1165">
        <v>0.47748350000000001</v>
      </c>
      <c r="F1165" t="s">
        <v>45</v>
      </c>
      <c r="G1165">
        <v>-208.6378</v>
      </c>
      <c r="H1165" s="1">
        <v>-5.0309840000000002E-6</v>
      </c>
      <c r="I1165">
        <v>367.89569999999998</v>
      </c>
      <c r="J1165">
        <v>-226.0241</v>
      </c>
      <c r="K1165">
        <v>1.1100019999999999</v>
      </c>
      <c r="L1165">
        <v>368.48700000000002</v>
      </c>
      <c r="M1165">
        <v>0.99986410000000003</v>
      </c>
      <c r="N1165">
        <v>0</v>
      </c>
      <c r="O1165">
        <v>-8.8396719999999998E-3</v>
      </c>
      <c r="P1165">
        <v>0.99510330000000002</v>
      </c>
      <c r="Q1165">
        <v>2.420255E-2</v>
      </c>
      <c r="R1165">
        <v>-9.5832810000000004E-2</v>
      </c>
      <c r="S1165">
        <v>3.0095209999999999</v>
      </c>
      <c r="T1165">
        <v>-0.19053999999999999</v>
      </c>
      <c r="U1165">
        <v>-0.10174560000000001</v>
      </c>
      <c r="V1165">
        <v>8.7043720000000005E-2</v>
      </c>
      <c r="W1165">
        <v>3.8039389999999999E-2</v>
      </c>
      <c r="X1165">
        <v>0.99547799999999997</v>
      </c>
      <c r="Y1165">
        <v>2.491964E-2</v>
      </c>
      <c r="Z1165">
        <v>-2.2887800000000001E-4</v>
      </c>
      <c r="AA1165">
        <v>0.99968950000000001</v>
      </c>
      <c r="AB1165">
        <v>26</v>
      </c>
      <c r="AC1165">
        <v>17.386299999999999</v>
      </c>
      <c r="AD1165">
        <v>-1.110007030984</v>
      </c>
      <c r="AE1165">
        <v>-0.59129999999998895</v>
      </c>
      <c r="AF1165">
        <v>0.43579854655415101</v>
      </c>
      <c r="AG1165">
        <v>-1.110007030984</v>
      </c>
      <c r="AH1165">
        <v>17.320331391631399</v>
      </c>
      <c r="AI1165">
        <v>93.665739491382496</v>
      </c>
      <c r="AJ1165">
        <v>88.558679412546198</v>
      </c>
      <c r="AK1165">
        <v>17.361333920466599</v>
      </c>
      <c r="AL1165">
        <v>87.819977592689995</v>
      </c>
      <c r="AM1165">
        <v>85.002817101530894</v>
      </c>
      <c r="AN1165">
        <v>1.0000000264335001</v>
      </c>
    </row>
    <row r="1166" spans="1:40" x14ac:dyDescent="0.25">
      <c r="A1166" t="str">
        <f>"20190312154819221"</f>
        <v>20190312154819221</v>
      </c>
      <c r="B1166" t="str">
        <f>"1552376899217308"</f>
        <v>1552376899217308</v>
      </c>
      <c r="C1166" t="s">
        <v>40</v>
      </c>
      <c r="D1166">
        <v>4.5830250000000001</v>
      </c>
      <c r="E1166">
        <v>0.47675390000000001</v>
      </c>
      <c r="F1166" t="s">
        <v>45</v>
      </c>
      <c r="G1166">
        <v>-208.5651</v>
      </c>
      <c r="H1166" s="1">
        <v>-4.9937619999999997E-6</v>
      </c>
      <c r="I1166">
        <v>367.91079999999999</v>
      </c>
      <c r="J1166">
        <v>-225.8871</v>
      </c>
      <c r="K1166">
        <v>1.1100030000000001</v>
      </c>
      <c r="L1166">
        <v>368.48570000000001</v>
      </c>
      <c r="M1166">
        <v>0.99986330000000001</v>
      </c>
      <c r="N1166">
        <v>0</v>
      </c>
      <c r="O1166">
        <v>-8.9250089999999994E-3</v>
      </c>
      <c r="P1166">
        <v>0.99509709999999996</v>
      </c>
      <c r="Q1166">
        <v>2.422943E-2</v>
      </c>
      <c r="R1166">
        <v>-9.5890069999999994E-2</v>
      </c>
      <c r="S1166">
        <v>3.009811</v>
      </c>
      <c r="T1166">
        <v>-0.19135769999999999</v>
      </c>
      <c r="U1166">
        <v>-9.9334720000000001E-2</v>
      </c>
      <c r="V1166">
        <v>8.7015969999999998E-2</v>
      </c>
      <c r="W1166">
        <v>3.8065120000000001E-2</v>
      </c>
      <c r="X1166">
        <v>0.99547940000000001</v>
      </c>
      <c r="Y1166">
        <v>2.403288E-2</v>
      </c>
      <c r="Z1166">
        <v>-1.96267E-4</v>
      </c>
      <c r="AA1166">
        <v>0.99971120000000002</v>
      </c>
      <c r="AB1166">
        <v>26</v>
      </c>
      <c r="AC1166">
        <v>17.321999999999999</v>
      </c>
      <c r="AD1166">
        <v>-1.110007993762</v>
      </c>
      <c r="AE1166">
        <v>-0.57490000000001296</v>
      </c>
      <c r="AF1166">
        <v>0.41854630782379998</v>
      </c>
      <c r="AG1166">
        <v>-1.110007993762</v>
      </c>
      <c r="AH1166">
        <v>17.255661587800301</v>
      </c>
      <c r="AI1166">
        <v>93.679525304575904</v>
      </c>
      <c r="AJ1166">
        <v>88.610529328325399</v>
      </c>
      <c r="AK1166">
        <v>17.296391403720499</v>
      </c>
      <c r="AL1166">
        <v>87.818502211471895</v>
      </c>
      <c r="AM1166">
        <v>85.004409156994598</v>
      </c>
      <c r="AN1166">
        <v>0.99999998411000701</v>
      </c>
    </row>
    <row r="1167" spans="1:40" x14ac:dyDescent="0.25">
      <c r="A1167" t="str">
        <f>"20190312154819233"</f>
        <v>20190312154819233</v>
      </c>
      <c r="B1167" t="str">
        <f>"1552376899227067"</f>
        <v>1552376899227067</v>
      </c>
      <c r="C1167" t="s">
        <v>40</v>
      </c>
      <c r="D1167">
        <v>4.6172829999999996</v>
      </c>
      <c r="E1167">
        <v>0.47646169999999999</v>
      </c>
      <c r="F1167" t="s">
        <v>45</v>
      </c>
      <c r="G1167">
        <v>-208.51390000000001</v>
      </c>
      <c r="H1167" s="1">
        <v>-4.9619199999999996E-6</v>
      </c>
      <c r="I1167">
        <v>367.9468</v>
      </c>
      <c r="J1167">
        <v>-225.74440000000001</v>
      </c>
      <c r="K1167">
        <v>1.1100030000000001</v>
      </c>
      <c r="L1167">
        <v>368.48430000000002</v>
      </c>
      <c r="M1167">
        <v>0.99986240000000004</v>
      </c>
      <c r="N1167">
        <v>0</v>
      </c>
      <c r="O1167">
        <v>-9.0139230000000001E-3</v>
      </c>
      <c r="P1167">
        <v>0.99506680000000003</v>
      </c>
      <c r="Q1167">
        <v>2.418174E-2</v>
      </c>
      <c r="R1167">
        <v>-9.6215869999999995E-2</v>
      </c>
      <c r="S1167">
        <v>3.0104519999999999</v>
      </c>
      <c r="T1167">
        <v>-0.19234299999999999</v>
      </c>
      <c r="U1167">
        <v>-9.3383789999999994E-2</v>
      </c>
      <c r="V1167">
        <v>8.725339E-2</v>
      </c>
      <c r="W1167">
        <v>3.8015569999999999E-2</v>
      </c>
      <c r="X1167">
        <v>0.99546049999999997</v>
      </c>
      <c r="Y1167">
        <v>2.1966840000000001E-2</v>
      </c>
      <c r="Z1167">
        <v>-1.256462E-4</v>
      </c>
      <c r="AA1167">
        <v>0.9997587</v>
      </c>
      <c r="AB1167">
        <v>26</v>
      </c>
      <c r="AC1167">
        <v>17.230499999999999</v>
      </c>
      <c r="AD1167">
        <v>-1.1100079619200001</v>
      </c>
      <c r="AE1167">
        <v>-0.53750000000002196</v>
      </c>
      <c r="AF1167">
        <v>0.38057083282244503</v>
      </c>
      <c r="AG1167">
        <v>-1.1100079619200001</v>
      </c>
      <c r="AH1167">
        <v>17.163484726428798</v>
      </c>
      <c r="AI1167">
        <v>93.699409675160993</v>
      </c>
      <c r="AJ1167">
        <v>88.729772514042594</v>
      </c>
      <c r="AK1167">
        <v>17.203550790132699</v>
      </c>
      <c r="AL1167">
        <v>87.821343248096099</v>
      </c>
      <c r="AM1167">
        <v>84.990753497343405</v>
      </c>
      <c r="AN1167">
        <v>0.99999997234458304</v>
      </c>
    </row>
    <row r="1168" spans="1:40" x14ac:dyDescent="0.25">
      <c r="A1168" t="str">
        <f>"20190312154819249"</f>
        <v>20190312154819249</v>
      </c>
      <c r="B1168" t="str">
        <f>"1552376899236827"</f>
        <v>1552376899236827</v>
      </c>
      <c r="C1168" t="s">
        <v>40</v>
      </c>
      <c r="D1168">
        <v>4.6076370000000004</v>
      </c>
      <c r="E1168">
        <v>0.47619309999999998</v>
      </c>
      <c r="F1168" t="s">
        <v>45</v>
      </c>
      <c r="G1168">
        <v>-208.45249999999999</v>
      </c>
      <c r="H1168" s="1">
        <v>-4.9314550000000004E-6</v>
      </c>
      <c r="I1168">
        <v>367.9554</v>
      </c>
      <c r="J1168">
        <v>-225.5675</v>
      </c>
      <c r="K1168">
        <v>1.110001</v>
      </c>
      <c r="L1168">
        <v>368.48259999999999</v>
      </c>
      <c r="M1168">
        <v>0.99986160000000002</v>
      </c>
      <c r="N1168">
        <v>0</v>
      </c>
      <c r="O1168">
        <v>-9.1242909999999997E-3</v>
      </c>
      <c r="P1168">
        <v>0.99502080000000004</v>
      </c>
      <c r="Q1168">
        <v>2.422156E-2</v>
      </c>
      <c r="R1168">
        <v>-9.6681359999999994E-2</v>
      </c>
      <c r="S1168">
        <v>3.0106510000000002</v>
      </c>
      <c r="T1168">
        <v>-0.19326170000000001</v>
      </c>
      <c r="U1168">
        <v>-9.2102050000000005E-2</v>
      </c>
      <c r="V1168">
        <v>8.7609339999999994E-2</v>
      </c>
      <c r="W1168">
        <v>3.8053209999999997E-2</v>
      </c>
      <c r="X1168">
        <v>0.99542779999999997</v>
      </c>
      <c r="Y1168">
        <v>2.1430290000000001E-2</v>
      </c>
      <c r="Z1168">
        <v>-1.019622E-4</v>
      </c>
      <c r="AA1168">
        <v>0.9997703</v>
      </c>
      <c r="AB1168">
        <v>26</v>
      </c>
      <c r="AC1168">
        <v>17.114999999999998</v>
      </c>
      <c r="AD1168">
        <v>-1.1100059314549999</v>
      </c>
      <c r="AE1168">
        <v>-0.52719999999999301</v>
      </c>
      <c r="AF1168">
        <v>0.369448171950082</v>
      </c>
      <c r="AG1168">
        <v>-1.1100059314549999</v>
      </c>
      <c r="AH1168">
        <v>17.047460016842699</v>
      </c>
      <c r="AI1168">
        <v>93.724551183213194</v>
      </c>
      <c r="AJ1168">
        <v>88.758494931801707</v>
      </c>
      <c r="AK1168">
        <v>17.087553895905501</v>
      </c>
      <c r="AL1168">
        <v>87.819185077201496</v>
      </c>
      <c r="AM1168">
        <v>84.970258519766503</v>
      </c>
      <c r="AN1168">
        <v>0.999999974129689</v>
      </c>
    </row>
    <row r="1169" spans="1:40" x14ac:dyDescent="0.25">
      <c r="A1169" t="str">
        <f>"20190312154819263"</f>
        <v>20190312154819263</v>
      </c>
      <c r="B1169" t="str">
        <f>"1552376899247562"</f>
        <v>1552376899247562</v>
      </c>
      <c r="C1169" t="s">
        <v>40</v>
      </c>
      <c r="D1169">
        <v>4.5888720000000003</v>
      </c>
      <c r="E1169">
        <v>0.47586030000000001</v>
      </c>
      <c r="F1169" t="s">
        <v>45</v>
      </c>
      <c r="G1169">
        <v>-208.34309999999999</v>
      </c>
      <c r="H1169" s="1">
        <v>-4.8793610000000002E-6</v>
      </c>
      <c r="I1169">
        <v>367.96039999999999</v>
      </c>
      <c r="J1169">
        <v>-225.4024</v>
      </c>
      <c r="K1169">
        <v>1.1100030000000001</v>
      </c>
      <c r="L1169">
        <v>368.48099999999999</v>
      </c>
      <c r="M1169">
        <v>0.99986059999999999</v>
      </c>
      <c r="N1169">
        <v>0</v>
      </c>
      <c r="O1169">
        <v>-9.2272670000000008E-3</v>
      </c>
      <c r="P1169">
        <v>0.99500560000000005</v>
      </c>
      <c r="Q1169">
        <v>2.4339090000000001E-2</v>
      </c>
      <c r="R1169">
        <v>-9.6807470000000007E-2</v>
      </c>
      <c r="S1169">
        <v>3.0108489999999999</v>
      </c>
      <c r="T1169">
        <v>-0.19403110000000001</v>
      </c>
      <c r="U1169">
        <v>-9.1278079999999998E-2</v>
      </c>
      <c r="V1169">
        <v>8.7633210000000003E-2</v>
      </c>
      <c r="W1169">
        <v>3.8169000000000002E-2</v>
      </c>
      <c r="X1169">
        <v>0.99542129999999995</v>
      </c>
      <c r="Y1169">
        <v>2.1052749999999999E-2</v>
      </c>
      <c r="Z1169" s="1">
        <v>-8.3583519999999903E-5</v>
      </c>
      <c r="AA1169">
        <v>0.99977839999999996</v>
      </c>
      <c r="AB1169">
        <v>26</v>
      </c>
      <c r="AC1169">
        <v>17.0593</v>
      </c>
      <c r="AD1169">
        <v>-1.110007879361</v>
      </c>
      <c r="AE1169">
        <v>-0.52060000000000095</v>
      </c>
      <c r="AF1169">
        <v>0.36162226453650798</v>
      </c>
      <c r="AG1169">
        <v>-1.110007879361</v>
      </c>
      <c r="AH1169">
        <v>16.991506187572</v>
      </c>
      <c r="AI1169">
        <v>93.736819284327893</v>
      </c>
      <c r="AJ1169">
        <v>88.780784828890702</v>
      </c>
      <c r="AK1169">
        <v>17.031563952753999</v>
      </c>
      <c r="AL1169">
        <v>87.812546050188601</v>
      </c>
      <c r="AM1169">
        <v>84.968862467250005</v>
      </c>
      <c r="AN1169">
        <v>1.00000000827479</v>
      </c>
    </row>
    <row r="1170" spans="1:40" x14ac:dyDescent="0.25">
      <c r="A1170" t="str">
        <f>"20190312154819278"</f>
        <v>20190312154819278</v>
      </c>
      <c r="B1170" t="str">
        <f>"1552376899267082"</f>
        <v>1552376899267082</v>
      </c>
      <c r="C1170" t="s">
        <v>40</v>
      </c>
      <c r="D1170">
        <v>4.6272140000000004</v>
      </c>
      <c r="E1170">
        <v>0.4753231</v>
      </c>
      <c r="F1170" t="s">
        <v>45</v>
      </c>
      <c r="G1170">
        <v>-208.4614</v>
      </c>
      <c r="H1170" s="1">
        <v>-4.9300640000000003E-6</v>
      </c>
      <c r="I1170">
        <v>367.98020000000002</v>
      </c>
      <c r="J1170">
        <v>-225.23240000000001</v>
      </c>
      <c r="K1170">
        <v>1.1100030000000001</v>
      </c>
      <c r="L1170">
        <v>368.47930000000002</v>
      </c>
      <c r="M1170">
        <v>0.99985979999999997</v>
      </c>
      <c r="N1170">
        <v>0</v>
      </c>
      <c r="O1170">
        <v>-9.3335799999999993E-3</v>
      </c>
      <c r="P1170">
        <v>0.99500129999999998</v>
      </c>
      <c r="Q1170">
        <v>2.427232E-2</v>
      </c>
      <c r="R1170">
        <v>-9.6868460000000003E-2</v>
      </c>
      <c r="S1170">
        <v>3.011215</v>
      </c>
      <c r="T1170">
        <v>-0.19730020000000001</v>
      </c>
      <c r="U1170">
        <v>-8.9019780000000007E-2</v>
      </c>
      <c r="V1170">
        <v>8.7588349999999995E-2</v>
      </c>
      <c r="W1170">
        <v>3.8100849999999999E-2</v>
      </c>
      <c r="X1170">
        <v>0.99542779999999997</v>
      </c>
      <c r="Y1170">
        <v>2.019487E-2</v>
      </c>
      <c r="Z1170" s="1">
        <v>-4.9953290000000001E-5</v>
      </c>
      <c r="AA1170">
        <v>0.99979600000000002</v>
      </c>
      <c r="AB1170">
        <v>26</v>
      </c>
      <c r="AC1170">
        <v>16.771000000000001</v>
      </c>
      <c r="AD1170">
        <v>-1.110007930064</v>
      </c>
      <c r="AE1170">
        <v>-0.49909999999999799</v>
      </c>
      <c r="AF1170">
        <v>0.34103702992683099</v>
      </c>
      <c r="AG1170">
        <v>-1.110007930064</v>
      </c>
      <c r="AH1170">
        <v>16.701828773795299</v>
      </c>
      <c r="AI1170">
        <v>93.8015108354614</v>
      </c>
      <c r="AJ1170">
        <v>88.830231842250896</v>
      </c>
      <c r="AK1170">
        <v>16.742147659418201</v>
      </c>
      <c r="AL1170">
        <v>87.816453471310396</v>
      </c>
      <c r="AM1170">
        <v>84.971457397772994</v>
      </c>
      <c r="AN1170">
        <v>0.99999994941964099</v>
      </c>
    </row>
    <row r="1171" spans="1:40" x14ac:dyDescent="0.25">
      <c r="A1171" t="str">
        <f>"20190312154819294"</f>
        <v>20190312154819294</v>
      </c>
      <c r="B1171" t="str">
        <f>"1552376899287579"</f>
        <v>1552376899287579</v>
      </c>
      <c r="C1171" t="s">
        <v>40</v>
      </c>
      <c r="D1171">
        <v>4.6962120000000001</v>
      </c>
      <c r="E1171">
        <v>0.4748483</v>
      </c>
      <c r="F1171" t="s">
        <v>45</v>
      </c>
      <c r="G1171">
        <v>-208.59540000000001</v>
      </c>
      <c r="H1171" s="1">
        <v>-4.9854489999999996E-6</v>
      </c>
      <c r="I1171">
        <v>368.012</v>
      </c>
      <c r="J1171">
        <v>-225.0453</v>
      </c>
      <c r="K1171">
        <v>1.1100030000000001</v>
      </c>
      <c r="L1171">
        <v>368.47739999999999</v>
      </c>
      <c r="M1171">
        <v>0.99985849999999998</v>
      </c>
      <c r="N1171">
        <v>0</v>
      </c>
      <c r="O1171">
        <v>-9.4499059999999992E-3</v>
      </c>
      <c r="P1171">
        <v>0.99499579999999999</v>
      </c>
      <c r="Q1171">
        <v>2.3983919999999999E-2</v>
      </c>
      <c r="R1171">
        <v>-9.6997509999999995E-2</v>
      </c>
      <c r="S1171">
        <v>3.011749</v>
      </c>
      <c r="T1171">
        <v>-0.2009418</v>
      </c>
      <c r="U1171">
        <v>-8.4594730000000007E-2</v>
      </c>
      <c r="V1171">
        <v>8.760134E-2</v>
      </c>
      <c r="W1171">
        <v>3.7810679999999999E-2</v>
      </c>
      <c r="X1171">
        <v>0.99543780000000004</v>
      </c>
      <c r="Y1171">
        <v>1.8608469999999998E-2</v>
      </c>
      <c r="Z1171" s="1">
        <v>9.7395390000000005E-6</v>
      </c>
      <c r="AA1171">
        <v>0.99982680000000002</v>
      </c>
      <c r="AB1171">
        <v>26</v>
      </c>
      <c r="AC1171">
        <v>16.4498999999999</v>
      </c>
      <c r="AD1171">
        <v>-1.1100079854489999</v>
      </c>
      <c r="AE1171">
        <v>-0.465400000000045</v>
      </c>
      <c r="AF1171">
        <v>0.30851053498637498</v>
      </c>
      <c r="AG1171">
        <v>-1.1100079854489999</v>
      </c>
      <c r="AH1171">
        <v>16.3790448026297</v>
      </c>
      <c r="AI1171">
        <v>93.876321771561607</v>
      </c>
      <c r="AJ1171">
        <v>88.920922323333301</v>
      </c>
      <c r="AK1171">
        <v>16.4195129381024</v>
      </c>
      <c r="AL1171">
        <v>87.833091147516001</v>
      </c>
      <c r="AM1171">
        <v>84.970765716492295</v>
      </c>
      <c r="AN1171">
        <v>1.00000002798034</v>
      </c>
    </row>
    <row r="1172" spans="1:40" x14ac:dyDescent="0.25">
      <c r="A1172" t="str">
        <f>"20190312154819308"</f>
        <v>20190312154819308</v>
      </c>
      <c r="B1172" t="str">
        <f>"1552376899297339"</f>
        <v>1552376899297339</v>
      </c>
      <c r="C1172" t="s">
        <v>40</v>
      </c>
      <c r="D1172">
        <v>4.6555140000000002</v>
      </c>
      <c r="E1172">
        <v>0.47465819999999997</v>
      </c>
      <c r="F1172" t="s">
        <v>45</v>
      </c>
      <c r="G1172">
        <v>-208.7251</v>
      </c>
      <c r="H1172" s="1">
        <v>-5.0404629999999999E-6</v>
      </c>
      <c r="I1172">
        <v>368.03640000000001</v>
      </c>
      <c r="J1172">
        <v>-224.8938</v>
      </c>
      <c r="K1172">
        <v>1.110004</v>
      </c>
      <c r="L1172">
        <v>368.47590000000002</v>
      </c>
      <c r="M1172">
        <v>0.99985769999999996</v>
      </c>
      <c r="N1172">
        <v>0</v>
      </c>
      <c r="O1172">
        <v>-9.5443030000000005E-3</v>
      </c>
      <c r="P1172">
        <v>0.99498640000000005</v>
      </c>
      <c r="Q1172">
        <v>2.379332E-2</v>
      </c>
      <c r="R1172">
        <v>-9.7138669999999996E-2</v>
      </c>
      <c r="S1172">
        <v>3.01207</v>
      </c>
      <c r="T1172">
        <v>-0.2048644</v>
      </c>
      <c r="U1172">
        <v>-8.1390379999999998E-2</v>
      </c>
      <c r="V1172">
        <v>8.7648729999999994E-2</v>
      </c>
      <c r="W1172">
        <v>3.7618640000000002E-2</v>
      </c>
      <c r="X1172">
        <v>0.99544089999999996</v>
      </c>
      <c r="Y1172">
        <v>1.745033E-2</v>
      </c>
      <c r="Z1172" s="1">
        <v>5.5673179999999999E-5</v>
      </c>
      <c r="AA1172">
        <v>0.99984770000000001</v>
      </c>
      <c r="AB1172">
        <v>26</v>
      </c>
      <c r="AC1172">
        <v>16.168700000000001</v>
      </c>
      <c r="AD1172">
        <v>-1.1100090404629901</v>
      </c>
      <c r="AE1172">
        <v>-0.43950000000000899</v>
      </c>
      <c r="AF1172">
        <v>0.28380945151557702</v>
      </c>
      <c r="AG1172">
        <v>-1.1100090404629901</v>
      </c>
      <c r="AH1172">
        <v>16.09635150027</v>
      </c>
      <c r="AI1172">
        <v>93.944276928585197</v>
      </c>
      <c r="AJ1172">
        <v>88.989870532683099</v>
      </c>
      <c r="AK1172">
        <v>16.1370753079647</v>
      </c>
      <c r="AL1172">
        <v>87.8441020531492</v>
      </c>
      <c r="AM1172">
        <v>84.968074588745793</v>
      </c>
      <c r="AN1172">
        <v>1.00000002366943</v>
      </c>
    </row>
    <row r="1173" spans="1:40" x14ac:dyDescent="0.25">
      <c r="A1173" t="str">
        <f>"20190312154819320"</f>
        <v>20190312154819320</v>
      </c>
      <c r="B1173" t="str">
        <f>"1552376899307099"</f>
        <v>1552376899307099</v>
      </c>
      <c r="C1173" t="s">
        <v>40</v>
      </c>
      <c r="D1173">
        <v>4.7455220000000002</v>
      </c>
      <c r="E1173">
        <v>0.47471400000000002</v>
      </c>
      <c r="F1173" t="s">
        <v>41</v>
      </c>
      <c r="G1173">
        <v>-223.95339999999999</v>
      </c>
      <c r="H1173">
        <v>1.0459449999999999</v>
      </c>
      <c r="I1173">
        <v>368.45060000000001</v>
      </c>
      <c r="J1173">
        <v>-224.74340000000001</v>
      </c>
      <c r="K1173">
        <v>1.110009</v>
      </c>
      <c r="L1173">
        <v>368.4744</v>
      </c>
      <c r="M1173">
        <v>0.99985690000000005</v>
      </c>
      <c r="N1173">
        <v>0</v>
      </c>
      <c r="O1173">
        <v>-9.6382199999999994E-3</v>
      </c>
      <c r="P1173">
        <v>0.99498629999999999</v>
      </c>
      <c r="Q1173">
        <v>2.396239E-2</v>
      </c>
      <c r="R1173">
        <v>-9.7099900000000003E-2</v>
      </c>
      <c r="S1173">
        <v>3.0121769999999999</v>
      </c>
      <c r="T1173">
        <v>-0.2054523</v>
      </c>
      <c r="U1173">
        <v>-8.0291749999999995E-2</v>
      </c>
      <c r="V1173">
        <v>8.7516220000000006E-2</v>
      </c>
      <c r="W1173">
        <v>3.7785899999999997E-2</v>
      </c>
      <c r="X1173">
        <v>0.99544619999999995</v>
      </c>
      <c r="Y1173">
        <v>1.6992219999999999E-2</v>
      </c>
      <c r="Z1173" s="1">
        <v>7.7830799999999993E-5</v>
      </c>
      <c r="AA1173">
        <v>0.99985559999999996</v>
      </c>
      <c r="AB1173">
        <v>26</v>
      </c>
      <c r="AC1173">
        <v>0.79000000000002002</v>
      </c>
      <c r="AD1173">
        <v>-6.4063999999999899E-2</v>
      </c>
      <c r="AE1173">
        <v>-2.3799999999994201E-2</v>
      </c>
      <c r="AF1173">
        <v>1.6078326402425201E-2</v>
      </c>
      <c r="AG1173">
        <v>-6.4063999999999899E-2</v>
      </c>
      <c r="AH1173">
        <v>0.78503485829825903</v>
      </c>
      <c r="AI1173">
        <v>94.664399784202402</v>
      </c>
      <c r="AJ1173">
        <v>88.826687174177906</v>
      </c>
      <c r="AK1173">
        <v>0.78780862994719103</v>
      </c>
      <c r="AL1173">
        <v>87.834511891699194</v>
      </c>
      <c r="AM1173">
        <v>84.975669650662596</v>
      </c>
      <c r="AN1173">
        <v>1.0000000000481599</v>
      </c>
    </row>
    <row r="1174" spans="1:40" x14ac:dyDescent="0.25">
      <c r="A1174" t="str">
        <f>"20190312154819338"</f>
        <v>20190312154819338</v>
      </c>
      <c r="B1174" t="str">
        <f>"1552376899327595"</f>
        <v>1552376899327595</v>
      </c>
      <c r="C1174" t="s">
        <v>40</v>
      </c>
      <c r="D1174">
        <v>4.6387769999999904</v>
      </c>
      <c r="E1174">
        <v>0.47434270000000001</v>
      </c>
      <c r="F1174" t="s">
        <v>45</v>
      </c>
      <c r="G1174">
        <v>-208.53870000000001</v>
      </c>
      <c r="H1174" s="1">
        <v>-4.9526010000000001E-6</v>
      </c>
      <c r="I1174">
        <v>368.041</v>
      </c>
      <c r="J1174">
        <v>-224.54339999999999</v>
      </c>
      <c r="K1174">
        <v>1.1100080000000001</v>
      </c>
      <c r="L1174">
        <v>368.47230000000002</v>
      </c>
      <c r="M1174">
        <v>0.99985579999999996</v>
      </c>
      <c r="N1174">
        <v>0</v>
      </c>
      <c r="O1174">
        <v>-9.7628909999999992E-3</v>
      </c>
      <c r="P1174">
        <v>0.99499570000000004</v>
      </c>
      <c r="Q1174">
        <v>2.3990910000000001E-2</v>
      </c>
      <c r="R1174">
        <v>-9.6995449999999997E-2</v>
      </c>
      <c r="S1174">
        <v>3.012238</v>
      </c>
      <c r="T1174">
        <v>-0.20633589999999999</v>
      </c>
      <c r="U1174">
        <v>-8.0566410000000005E-2</v>
      </c>
      <c r="V1174">
        <v>8.7287600000000007E-2</v>
      </c>
      <c r="W1174">
        <v>3.7812579999999998E-2</v>
      </c>
      <c r="X1174">
        <v>0.9954653</v>
      </c>
      <c r="Y1174">
        <v>1.6958339999999999E-2</v>
      </c>
      <c r="Z1174" s="1">
        <v>8.7849969999999897E-5</v>
      </c>
      <c r="AA1174">
        <v>0.99985619999999997</v>
      </c>
      <c r="AB1174">
        <v>26</v>
      </c>
      <c r="AC1174">
        <v>16.0046999999999</v>
      </c>
      <c r="AD1174">
        <v>-1.1100129526010001</v>
      </c>
      <c r="AE1174">
        <v>-0.431300000000021</v>
      </c>
      <c r="AF1174">
        <v>0.27369664009806699</v>
      </c>
      <c r="AG1174">
        <v>-1.1100129526010001</v>
      </c>
      <c r="AH1174">
        <v>15.9315701861957</v>
      </c>
      <c r="AI1174">
        <v>93.984987357210002</v>
      </c>
      <c r="AJ1174">
        <v>89.015783146616698</v>
      </c>
      <c r="AK1174">
        <v>15.9725379074029</v>
      </c>
      <c r="AL1174">
        <v>87.832982233501994</v>
      </c>
      <c r="AM1174">
        <v>84.988823528671006</v>
      </c>
      <c r="AN1174">
        <v>1.0000000399120501</v>
      </c>
    </row>
    <row r="1175" spans="1:40" x14ac:dyDescent="0.25">
      <c r="A1175" t="str">
        <f>"20190312154819351"</f>
        <v>20190312154819351</v>
      </c>
      <c r="B1175" t="str">
        <f>"1552376899347115"</f>
        <v>1552376899347115</v>
      </c>
      <c r="C1175" t="s">
        <v>40</v>
      </c>
      <c r="D1175">
        <v>4.6528749999999999</v>
      </c>
      <c r="E1175">
        <v>0.47404010000000002</v>
      </c>
      <c r="F1175" t="s">
        <v>45</v>
      </c>
      <c r="G1175">
        <v>-208.3621</v>
      </c>
      <c r="H1175" s="1">
        <v>-4.8667530000000003E-6</v>
      </c>
      <c r="I1175">
        <v>368.05709999999999</v>
      </c>
      <c r="J1175">
        <v>-224.38849999999999</v>
      </c>
      <c r="K1175">
        <v>1.110007</v>
      </c>
      <c r="L1175">
        <v>368.47070000000002</v>
      </c>
      <c r="M1175">
        <v>0.99985469999999999</v>
      </c>
      <c r="N1175">
        <v>0</v>
      </c>
      <c r="O1175">
        <v>-9.8594319999999996E-3</v>
      </c>
      <c r="P1175">
        <v>0.99498279999999995</v>
      </c>
      <c r="Q1175">
        <v>2.4036370000000001E-2</v>
      </c>
      <c r="R1175">
        <v>-9.7116599999999997E-2</v>
      </c>
      <c r="S1175">
        <v>3.012543</v>
      </c>
      <c r="T1175">
        <v>-0.20665600000000001</v>
      </c>
      <c r="U1175">
        <v>-7.7301030000000007E-2</v>
      </c>
      <c r="V1175">
        <v>8.7312650000000006E-2</v>
      </c>
      <c r="W1175">
        <v>3.7856889999999997E-2</v>
      </c>
      <c r="X1175">
        <v>0.99546140000000005</v>
      </c>
      <c r="Y1175">
        <v>1.5778999999999901E-2</v>
      </c>
      <c r="Z1175">
        <v>1.34989599999999E-4</v>
      </c>
      <c r="AA1175">
        <v>0.99987550000000003</v>
      </c>
      <c r="AB1175">
        <v>26</v>
      </c>
      <c r="AC1175">
        <v>16.026399999999899</v>
      </c>
      <c r="AD1175">
        <v>-1.1100118667529999</v>
      </c>
      <c r="AE1175">
        <v>-0.41360000000003</v>
      </c>
      <c r="AF1175">
        <v>0.254334145399012</v>
      </c>
      <c r="AG1175">
        <v>-1.1100118667529999</v>
      </c>
      <c r="AH1175">
        <v>15.9532200844772</v>
      </c>
      <c r="AI1175">
        <v>93.979674136153903</v>
      </c>
      <c r="AJ1175">
        <v>89.086639647036193</v>
      </c>
      <c r="AK1175">
        <v>15.9938126556996</v>
      </c>
      <c r="AL1175">
        <v>87.830441597370793</v>
      </c>
      <c r="AM1175">
        <v>84.987373197126502</v>
      </c>
      <c r="AN1175">
        <v>1.00000002093022</v>
      </c>
    </row>
    <row r="1176" spans="1:40" x14ac:dyDescent="0.25">
      <c r="A1176" t="str">
        <f>"20190312154819365"</f>
        <v>20190312154819365</v>
      </c>
      <c r="B1176" t="str">
        <f>"1552376899356876"</f>
        <v>1552376899356876</v>
      </c>
      <c r="C1176" t="s">
        <v>40</v>
      </c>
      <c r="D1176">
        <v>4.6388959999999999</v>
      </c>
      <c r="E1176">
        <v>0.47394999999999998</v>
      </c>
      <c r="F1176" t="s">
        <v>45</v>
      </c>
      <c r="G1176">
        <v>-208.2124</v>
      </c>
      <c r="H1176" s="1">
        <v>-4.7946889999999999E-6</v>
      </c>
      <c r="I1176">
        <v>368.06760000000003</v>
      </c>
      <c r="J1176">
        <v>-224.23869999999999</v>
      </c>
      <c r="K1176">
        <v>1.110007</v>
      </c>
      <c r="L1176">
        <v>368.46910000000003</v>
      </c>
      <c r="M1176">
        <v>0.99985380000000001</v>
      </c>
      <c r="N1176">
        <v>0</v>
      </c>
      <c r="O1176">
        <v>-9.9531099999999994E-3</v>
      </c>
      <c r="P1176">
        <v>0.99499990000000005</v>
      </c>
      <c r="Q1176">
        <v>2.423198E-2</v>
      </c>
      <c r="R1176">
        <v>-9.6893560000000004E-2</v>
      </c>
      <c r="S1176">
        <v>3.0127869999999999</v>
      </c>
      <c r="T1176">
        <v>-0.20673839999999999</v>
      </c>
      <c r="U1176">
        <v>-7.5073239999999999E-2</v>
      </c>
      <c r="V1176">
        <v>8.6996169999999998E-2</v>
      </c>
      <c r="W1176">
        <v>3.8051300000000003E-2</v>
      </c>
      <c r="X1176">
        <v>0.99548170000000002</v>
      </c>
      <c r="Y1176">
        <v>1.494652E-2</v>
      </c>
      <c r="Z1176">
        <v>1.6997820000000001E-4</v>
      </c>
      <c r="AA1176">
        <v>0.99988829999999995</v>
      </c>
      <c r="AB1176">
        <v>25</v>
      </c>
      <c r="AC1176">
        <v>16.0262999999999</v>
      </c>
      <c r="AD1176">
        <v>-1.110011794689</v>
      </c>
      <c r="AE1176">
        <v>-0.40149999999999803</v>
      </c>
      <c r="AF1176">
        <v>0.24079872425612001</v>
      </c>
      <c r="AG1176">
        <v>-1.110011794689</v>
      </c>
      <c r="AH1176">
        <v>15.9530205955081</v>
      </c>
      <c r="AI1176">
        <v>93.979775690332602</v>
      </c>
      <c r="AJ1176">
        <v>89.135229414805195</v>
      </c>
      <c r="AK1176">
        <v>15.993404150794699</v>
      </c>
      <c r="AL1176">
        <v>87.819294702512394</v>
      </c>
      <c r="AM1176">
        <v>85.005551606740298</v>
      </c>
      <c r="AN1176">
        <v>1.00000002503062</v>
      </c>
    </row>
    <row r="1177" spans="1:40" x14ac:dyDescent="0.25">
      <c r="A1177" t="str">
        <f>"20190312154819377"</f>
        <v>20190312154819377</v>
      </c>
      <c r="B1177" t="str">
        <f>"1552376899367611"</f>
        <v>1552376899367611</v>
      </c>
      <c r="C1177" t="s">
        <v>40</v>
      </c>
      <c r="D1177">
        <v>4.6283919999999998</v>
      </c>
      <c r="E1177">
        <v>0.47381060000000003</v>
      </c>
      <c r="F1177" t="s">
        <v>41</v>
      </c>
      <c r="G1177">
        <v>-223.27959999999999</v>
      </c>
      <c r="H1177">
        <v>1.044386</v>
      </c>
      <c r="I1177">
        <v>368.44549999999998</v>
      </c>
      <c r="J1177">
        <v>-224.09</v>
      </c>
      <c r="K1177">
        <v>1.110009</v>
      </c>
      <c r="L1177">
        <v>368.46749999999997</v>
      </c>
      <c r="M1177">
        <v>0.99985290000000004</v>
      </c>
      <c r="N1177">
        <v>0</v>
      </c>
      <c r="O1177">
        <v>-1.0046309999999999E-2</v>
      </c>
      <c r="P1177">
        <v>0.99499879999999996</v>
      </c>
      <c r="Q1177">
        <v>2.411984E-2</v>
      </c>
      <c r="R1177">
        <v>-9.6931059999999999E-2</v>
      </c>
      <c r="S1177">
        <v>3.0128940000000002</v>
      </c>
      <c r="T1177">
        <v>-0.20632039999999999</v>
      </c>
      <c r="U1177">
        <v>-7.3791499999999996E-2</v>
      </c>
      <c r="V1177">
        <v>8.694085E-2</v>
      </c>
      <c r="W1177">
        <v>3.7937899999999997E-2</v>
      </c>
      <c r="X1177">
        <v>0.99549080000000001</v>
      </c>
      <c r="Y1177">
        <v>1.44288E-2</v>
      </c>
      <c r="Z1177">
        <v>1.9370739999999999E-4</v>
      </c>
      <c r="AA1177">
        <v>0.99989589999999995</v>
      </c>
      <c r="AB1177">
        <v>25</v>
      </c>
      <c r="AC1177">
        <v>0.810400000000015</v>
      </c>
      <c r="AD1177">
        <v>-6.5622999999999904E-2</v>
      </c>
      <c r="AE1177">
        <v>-2.1999999999991301E-2</v>
      </c>
      <c r="AF1177">
        <v>1.3766371821083799E-2</v>
      </c>
      <c r="AG1177">
        <v>-6.5622999999999904E-2</v>
      </c>
      <c r="AH1177">
        <v>0.80530354971656404</v>
      </c>
      <c r="AI1177">
        <v>94.657977574116799</v>
      </c>
      <c r="AJ1177">
        <v>89.020644840609805</v>
      </c>
      <c r="AK1177">
        <v>0.80809015481455704</v>
      </c>
      <c r="AL1177">
        <v>87.825796606411103</v>
      </c>
      <c r="AM1177">
        <v>85.008756874256804</v>
      </c>
      <c r="AN1177">
        <v>0.99999996426988502</v>
      </c>
    </row>
    <row r="1178" spans="1:40" x14ac:dyDescent="0.25">
      <c r="A1178" t="str">
        <f>"20190312154819390"</f>
        <v>20190312154819390</v>
      </c>
      <c r="B1178" t="str">
        <f>"1552376899377371"</f>
        <v>1552376899377371</v>
      </c>
      <c r="C1178" t="s">
        <v>40</v>
      </c>
      <c r="D1178">
        <v>4.5957019999999904</v>
      </c>
      <c r="E1178">
        <v>0.47367749999999997</v>
      </c>
      <c r="F1178" t="s">
        <v>45</v>
      </c>
      <c r="G1178">
        <v>-207.92269999999999</v>
      </c>
      <c r="H1178" s="1">
        <v>-4.6579550000000004E-6</v>
      </c>
      <c r="I1178">
        <v>368.07560000000001</v>
      </c>
      <c r="J1178">
        <v>-223.96340000000001</v>
      </c>
      <c r="K1178">
        <v>1.110006</v>
      </c>
      <c r="L1178">
        <v>368.46609999999998</v>
      </c>
      <c r="M1178">
        <v>0.99985219999999997</v>
      </c>
      <c r="N1178">
        <v>0</v>
      </c>
      <c r="O1178">
        <v>-1.012556E-2</v>
      </c>
      <c r="P1178">
        <v>0.99499439999999995</v>
      </c>
      <c r="Q1178">
        <v>2.4058059999999999E-2</v>
      </c>
      <c r="R1178">
        <v>-9.6992149999999999E-2</v>
      </c>
      <c r="S1178">
        <v>3.012985</v>
      </c>
      <c r="T1178">
        <v>-0.20686470000000001</v>
      </c>
      <c r="U1178">
        <v>-7.3028560000000006E-2</v>
      </c>
      <c r="V1178">
        <v>8.6922970000000002E-2</v>
      </c>
      <c r="W1178">
        <v>3.7874520000000002E-2</v>
      </c>
      <c r="X1178">
        <v>0.99549480000000001</v>
      </c>
      <c r="Y1178">
        <v>1.409668E-2</v>
      </c>
      <c r="Z1178">
        <v>2.1103300000000001E-4</v>
      </c>
      <c r="AA1178">
        <v>0.99990060000000003</v>
      </c>
      <c r="AB1178">
        <v>25</v>
      </c>
      <c r="AC1178">
        <v>16.040700000000001</v>
      </c>
      <c r="AD1178">
        <v>-1.110010657955</v>
      </c>
      <c r="AE1178">
        <v>-0.39049999999997398</v>
      </c>
      <c r="AF1178">
        <v>0.22695706622422701</v>
      </c>
      <c r="AG1178">
        <v>-1.110010657955</v>
      </c>
      <c r="AH1178">
        <v>15.9674158091454</v>
      </c>
      <c r="AI1178">
        <v>93.976246358538006</v>
      </c>
      <c r="AJ1178">
        <v>89.185666198527102</v>
      </c>
      <c r="AK1178">
        <v>16.007560738376998</v>
      </c>
      <c r="AL1178">
        <v>87.829430679390398</v>
      </c>
      <c r="AM1178">
        <v>85.009798124928693</v>
      </c>
      <c r="AN1178">
        <v>0.99999998940294499</v>
      </c>
    </row>
    <row r="1179" spans="1:40" x14ac:dyDescent="0.25">
      <c r="A1179" t="str">
        <f>"20190312154819401"</f>
        <v>20190312154819401</v>
      </c>
      <c r="B1179" t="str">
        <f>"1552376899396892"</f>
        <v>1552376899396892</v>
      </c>
      <c r="C1179" t="s">
        <v>40</v>
      </c>
      <c r="D1179">
        <v>4.6163509999999999</v>
      </c>
      <c r="E1179">
        <v>0.47342129999999999</v>
      </c>
      <c r="F1179" t="s">
        <v>45</v>
      </c>
      <c r="G1179">
        <v>-207.82689999999999</v>
      </c>
      <c r="H1179" s="1">
        <v>-4.6124530000000001E-6</v>
      </c>
      <c r="I1179">
        <v>368.07979999999998</v>
      </c>
      <c r="J1179">
        <v>-223.82</v>
      </c>
      <c r="K1179">
        <v>1.110004</v>
      </c>
      <c r="L1179">
        <v>368.46460000000002</v>
      </c>
      <c r="M1179">
        <v>0.9998513</v>
      </c>
      <c r="N1179">
        <v>0</v>
      </c>
      <c r="O1179">
        <v>-1.021531E-2</v>
      </c>
      <c r="P1179">
        <v>0.9949827</v>
      </c>
      <c r="Q1179">
        <v>2.398252E-2</v>
      </c>
      <c r="R1179">
        <v>-9.7132819999999995E-2</v>
      </c>
      <c r="S1179">
        <v>3.013077</v>
      </c>
      <c r="T1179">
        <v>-0.20726629999999999</v>
      </c>
      <c r="U1179">
        <v>-7.2143550000000001E-2</v>
      </c>
      <c r="V1179">
        <v>8.6974109999999993E-2</v>
      </c>
      <c r="W1179">
        <v>3.7797799999999999E-2</v>
      </c>
      <c r="X1179">
        <v>0.99549319999999997</v>
      </c>
      <c r="Y1179">
        <v>1.371375E-2</v>
      </c>
      <c r="Z1179">
        <v>2.3075489999999999E-4</v>
      </c>
      <c r="AA1179">
        <v>0.99990590000000001</v>
      </c>
      <c r="AB1179">
        <v>25</v>
      </c>
      <c r="AC1179">
        <v>15.993099999999901</v>
      </c>
      <c r="AD1179">
        <v>-1.110008612453</v>
      </c>
      <c r="AE1179">
        <v>-0.384800000000041</v>
      </c>
      <c r="AF1179">
        <v>0.22032893713076501</v>
      </c>
      <c r="AG1179">
        <v>-1.110008612453</v>
      </c>
      <c r="AH1179">
        <v>15.919554563943899</v>
      </c>
      <c r="AI1179">
        <v>93.988175705041499</v>
      </c>
      <c r="AJ1179">
        <v>89.207068752544899</v>
      </c>
      <c r="AK1179">
        <v>15.959726860903499</v>
      </c>
      <c r="AL1179">
        <v>87.833829455171994</v>
      </c>
      <c r="AM1179">
        <v>85.006869057576907</v>
      </c>
      <c r="AN1179">
        <v>0.99999994037068396</v>
      </c>
    </row>
    <row r="1180" spans="1:40" x14ac:dyDescent="0.25">
      <c r="A1180" t="str">
        <f>"20190312154819416"</f>
        <v>20190312154819416</v>
      </c>
      <c r="B1180" t="str">
        <f>"1552376899406651"</f>
        <v>1552376899406651</v>
      </c>
      <c r="C1180" t="s">
        <v>40</v>
      </c>
      <c r="D1180">
        <v>4.6129379999999998</v>
      </c>
      <c r="E1180">
        <v>0.47332950000000001</v>
      </c>
      <c r="F1180" t="s">
        <v>45</v>
      </c>
      <c r="G1180">
        <v>-207.7542</v>
      </c>
      <c r="H1180" s="1">
        <v>-4.5762710000000004E-6</v>
      </c>
      <c r="I1180">
        <v>368.09010000000001</v>
      </c>
      <c r="J1180">
        <v>-223.65710000000001</v>
      </c>
      <c r="K1180">
        <v>1.1100030000000001</v>
      </c>
      <c r="L1180">
        <v>368.46280000000002</v>
      </c>
      <c r="M1180">
        <v>0.99985020000000002</v>
      </c>
      <c r="N1180">
        <v>0</v>
      </c>
      <c r="O1180">
        <v>-1.031781E-2</v>
      </c>
      <c r="P1180">
        <v>0.9949057</v>
      </c>
      <c r="Q1180">
        <v>2.3257099999999999E-2</v>
      </c>
      <c r="R1180">
        <v>-9.8092269999999995E-2</v>
      </c>
      <c r="S1180">
        <v>3.0132750000000001</v>
      </c>
      <c r="T1180">
        <v>-0.2081914</v>
      </c>
      <c r="U1180">
        <v>-7.0251460000000002E-2</v>
      </c>
      <c r="V1180">
        <v>8.7832019999999997E-2</v>
      </c>
      <c r="W1180">
        <v>3.7069709999999999E-2</v>
      </c>
      <c r="X1180">
        <v>0.99544529999999998</v>
      </c>
      <c r="Y1180">
        <v>1.298407E-2</v>
      </c>
      <c r="Z1180">
        <v>2.6401549999999999E-4</v>
      </c>
      <c r="AA1180">
        <v>0.99991569999999996</v>
      </c>
      <c r="AB1180">
        <v>25</v>
      </c>
      <c r="AC1180">
        <v>15.902900000000001</v>
      </c>
      <c r="AD1180">
        <v>-1.110007576271</v>
      </c>
      <c r="AE1180">
        <v>-0.37270000000000802</v>
      </c>
      <c r="AF1180">
        <v>0.207570500893172</v>
      </c>
      <c r="AG1180">
        <v>-1.110007576271</v>
      </c>
      <c r="AH1180">
        <v>15.8288248712386</v>
      </c>
      <c r="AI1180">
        <v>94.010996656707405</v>
      </c>
      <c r="AJ1180">
        <v>89.248697732922196</v>
      </c>
      <c r="AK1180">
        <v>15.869054765062801</v>
      </c>
      <c r="AL1180">
        <v>87.875575299250698</v>
      </c>
      <c r="AM1180">
        <v>84.957628251112894</v>
      </c>
      <c r="AN1180">
        <v>0.99999998621442698</v>
      </c>
    </row>
    <row r="1181" spans="1:40" x14ac:dyDescent="0.25">
      <c r="A1181" t="str">
        <f>"20190312154819429"</f>
        <v>20190312154819429</v>
      </c>
      <c r="B1181" t="str">
        <f>"1552376899417388"</f>
        <v>1552376899417388</v>
      </c>
      <c r="C1181" t="s">
        <v>40</v>
      </c>
      <c r="D1181">
        <v>4.6028330000000004</v>
      </c>
      <c r="E1181">
        <v>0.47322389999999998</v>
      </c>
      <c r="F1181" t="s">
        <v>45</v>
      </c>
      <c r="G1181">
        <v>-207.7569</v>
      </c>
      <c r="H1181" s="1">
        <v>-4.5795459999999999E-6</v>
      </c>
      <c r="I1181">
        <v>368.08109999999999</v>
      </c>
      <c r="J1181">
        <v>-223.51400000000001</v>
      </c>
      <c r="K1181">
        <v>1.1100030000000001</v>
      </c>
      <c r="L1181">
        <v>368.46120000000002</v>
      </c>
      <c r="M1181">
        <v>0.99984930000000005</v>
      </c>
      <c r="N1181">
        <v>0</v>
      </c>
      <c r="O1181">
        <v>-1.040779E-2</v>
      </c>
      <c r="P1181">
        <v>0.99487530000000002</v>
      </c>
      <c r="Q1181">
        <v>2.3066409999999999E-2</v>
      </c>
      <c r="R1181">
        <v>-9.8442550000000004E-2</v>
      </c>
      <c r="S1181">
        <v>3.0131380000000001</v>
      </c>
      <c r="T1181">
        <v>-0.21035029999999999</v>
      </c>
      <c r="U1181">
        <v>-7.2326660000000001E-2</v>
      </c>
      <c r="V1181">
        <v>8.8093110000000002E-2</v>
      </c>
      <c r="W1181">
        <v>3.6877199999999999E-2</v>
      </c>
      <c r="X1181">
        <v>0.99542940000000002</v>
      </c>
      <c r="Y1181">
        <v>1.358204E-2</v>
      </c>
      <c r="Z1181">
        <v>2.5218499999999999E-4</v>
      </c>
      <c r="AA1181">
        <v>0.99990769999999995</v>
      </c>
      <c r="AB1181">
        <v>25</v>
      </c>
      <c r="AC1181">
        <v>15.757099999999999</v>
      </c>
      <c r="AD1181">
        <v>-1.110007579546</v>
      </c>
      <c r="AE1181">
        <v>-0.38010000000002703</v>
      </c>
      <c r="AF1181">
        <v>0.21500067118843699</v>
      </c>
      <c r="AG1181">
        <v>-1.110007579546</v>
      </c>
      <c r="AH1181">
        <v>15.682424220032299</v>
      </c>
      <c r="AI1181">
        <v>94.048284475810405</v>
      </c>
      <c r="AJ1181">
        <v>89.214543671044694</v>
      </c>
      <c r="AK1181">
        <v>15.7231285542133</v>
      </c>
      <c r="AL1181">
        <v>87.886612901144005</v>
      </c>
      <c r="AM1181">
        <v>84.942636521540607</v>
      </c>
      <c r="AN1181">
        <v>1.00000000714683</v>
      </c>
    </row>
    <row r="1182" spans="1:40" x14ac:dyDescent="0.25">
      <c r="A1182" t="str">
        <f>"20190312154819443"</f>
        <v>20190312154819443</v>
      </c>
      <c r="B1182" t="str">
        <f>"1552376899436908"</f>
        <v>1552376899436908</v>
      </c>
      <c r="C1182" t="s">
        <v>40</v>
      </c>
      <c r="D1182">
        <v>4.609782</v>
      </c>
      <c r="E1182">
        <v>0.47304940000000001</v>
      </c>
      <c r="F1182" t="s">
        <v>45</v>
      </c>
      <c r="G1182">
        <v>-207.65199999999999</v>
      </c>
      <c r="H1182" s="1">
        <v>-4.530896E-6</v>
      </c>
      <c r="I1182">
        <v>368.08010000000002</v>
      </c>
      <c r="J1182">
        <v>-223.34800000000001</v>
      </c>
      <c r="K1182">
        <v>1.1100049999999999</v>
      </c>
      <c r="L1182">
        <v>368.45940000000002</v>
      </c>
      <c r="M1182">
        <v>0.99984819999999996</v>
      </c>
      <c r="N1182">
        <v>0</v>
      </c>
      <c r="O1182">
        <v>-1.0512189999999999E-2</v>
      </c>
      <c r="P1182">
        <v>0.99480950000000001</v>
      </c>
      <c r="Q1182">
        <v>2.3073449999999999E-2</v>
      </c>
      <c r="R1182">
        <v>-9.9103860000000002E-2</v>
      </c>
      <c r="S1182">
        <v>3.0132140000000001</v>
      </c>
      <c r="T1182">
        <v>-0.21086279999999999</v>
      </c>
      <c r="U1182">
        <v>-7.2387699999999999E-2</v>
      </c>
      <c r="V1182">
        <v>8.8651110000000005E-2</v>
      </c>
      <c r="W1182">
        <v>3.688197E-2</v>
      </c>
      <c r="X1182">
        <v>0.99537969999999998</v>
      </c>
      <c r="Y1182">
        <v>1.349769E-2</v>
      </c>
      <c r="Z1182">
        <v>2.6303459999999998E-4</v>
      </c>
      <c r="AA1182">
        <v>0.99990889999999999</v>
      </c>
      <c r="AB1182">
        <v>25</v>
      </c>
      <c r="AC1182">
        <v>15.6959999999999</v>
      </c>
      <c r="AD1182">
        <v>-1.1100095308960001</v>
      </c>
      <c r="AE1182">
        <v>-0.37930000000000003</v>
      </c>
      <c r="AF1182">
        <v>0.213198145804851</v>
      </c>
      <c r="AG1182">
        <v>-1.1100095308960001</v>
      </c>
      <c r="AH1182">
        <v>15.6210416386178</v>
      </c>
      <c r="AI1182">
        <v>94.064149458606707</v>
      </c>
      <c r="AJ1182">
        <v>89.218067791909306</v>
      </c>
      <c r="AK1182">
        <v>15.661881000808499</v>
      </c>
      <c r="AL1182">
        <v>87.886339447950704</v>
      </c>
      <c r="AM1182">
        <v>84.910517062962896</v>
      </c>
      <c r="AN1182">
        <v>1.0000000230937001</v>
      </c>
    </row>
    <row r="1183" spans="1:40" x14ac:dyDescent="0.25">
      <c r="A1183" t="str">
        <f>"20190312154819457"</f>
        <v>20190312154819457</v>
      </c>
      <c r="B1183" t="str">
        <f>"1552376899446667"</f>
        <v>1552376899446667</v>
      </c>
      <c r="C1183" t="s">
        <v>40</v>
      </c>
      <c r="D1183">
        <v>4.7475969999999998</v>
      </c>
      <c r="E1183">
        <v>0.47319650000000002</v>
      </c>
      <c r="F1183" t="s">
        <v>45</v>
      </c>
      <c r="G1183">
        <v>-207.64510000000001</v>
      </c>
      <c r="H1183" s="1">
        <v>-4.5278580000000004E-6</v>
      </c>
      <c r="I1183">
        <v>368.07929999999999</v>
      </c>
      <c r="J1183">
        <v>-223.20169999999999</v>
      </c>
      <c r="K1183">
        <v>1.110007</v>
      </c>
      <c r="L1183">
        <v>368.45769999999999</v>
      </c>
      <c r="M1183">
        <v>0.99984720000000005</v>
      </c>
      <c r="N1183">
        <v>0</v>
      </c>
      <c r="O1183">
        <v>-1.060445E-2</v>
      </c>
      <c r="P1183">
        <v>0.99474030000000002</v>
      </c>
      <c r="Q1183">
        <v>2.3022440000000002E-2</v>
      </c>
      <c r="R1183">
        <v>-9.9807999999999994E-2</v>
      </c>
      <c r="S1183">
        <v>3.0133510000000001</v>
      </c>
      <c r="T1183">
        <v>-0.2130089</v>
      </c>
      <c r="U1183">
        <v>-7.2937009999999997E-2</v>
      </c>
      <c r="V1183">
        <v>8.9263910000000002E-2</v>
      </c>
      <c r="W1183">
        <v>3.6828119999999999E-2</v>
      </c>
      <c r="X1183">
        <v>0.99532690000000001</v>
      </c>
      <c r="Y1183">
        <v>1.358637E-2</v>
      </c>
      <c r="Z1183">
        <v>2.6907459999999999E-4</v>
      </c>
      <c r="AA1183">
        <v>0.99990769999999995</v>
      </c>
      <c r="AB1183">
        <v>25</v>
      </c>
      <c r="AC1183">
        <v>15.5565999999999</v>
      </c>
      <c r="AD1183">
        <v>-1.1100115278580001</v>
      </c>
      <c r="AE1183">
        <v>-0.37839999999999901</v>
      </c>
      <c r="AF1183">
        <v>0.21231329628982001</v>
      </c>
      <c r="AG1183">
        <v>-1.1100115278580001</v>
      </c>
      <c r="AH1183">
        <v>15.4809671308996</v>
      </c>
      <c r="AI1183">
        <v>94.100801345419399</v>
      </c>
      <c r="AJ1183">
        <v>89.214267873258905</v>
      </c>
      <c r="AK1183">
        <v>15.522163052737</v>
      </c>
      <c r="AL1183">
        <v>87.889426867981499</v>
      </c>
      <c r="AM1183">
        <v>84.875252341682099</v>
      </c>
      <c r="AN1183">
        <v>0.99999999695741604</v>
      </c>
    </row>
    <row r="1184" spans="1:40" x14ac:dyDescent="0.25">
      <c r="A1184" t="str">
        <f>"20190312154819473"</f>
        <v>20190312154819473</v>
      </c>
      <c r="B1184" t="str">
        <f>"1552376899467163"</f>
        <v>1552376899467163</v>
      </c>
      <c r="C1184" t="s">
        <v>40</v>
      </c>
      <c r="D1184">
        <v>4.7608829999999998</v>
      </c>
      <c r="E1184">
        <v>0.50592429999999999</v>
      </c>
      <c r="F1184" t="s">
        <v>45</v>
      </c>
      <c r="G1184">
        <v>-207.5675</v>
      </c>
      <c r="H1184" s="1">
        <v>-4.4960959999999999E-6</v>
      </c>
      <c r="I1184">
        <v>368.05939999999998</v>
      </c>
      <c r="J1184">
        <v>-223.0155</v>
      </c>
      <c r="K1184">
        <v>1.1100000000000001</v>
      </c>
      <c r="L1184">
        <v>368.4556</v>
      </c>
      <c r="M1184">
        <v>0.99984609999999996</v>
      </c>
      <c r="N1184">
        <v>0</v>
      </c>
      <c r="O1184">
        <v>-1.0724849999999999E-2</v>
      </c>
      <c r="P1184">
        <v>0.99459989999999998</v>
      </c>
      <c r="Q1184">
        <v>2.3038690000000001E-2</v>
      </c>
      <c r="R1184">
        <v>-0.10119450000000001</v>
      </c>
      <c r="S1184">
        <v>3.0130919999999999</v>
      </c>
      <c r="T1184">
        <v>-0.21392659999999999</v>
      </c>
      <c r="U1184">
        <v>-7.6751710000000001E-2</v>
      </c>
      <c r="V1184">
        <v>9.0532169999999995E-2</v>
      </c>
      <c r="W1184">
        <v>3.684051E-2</v>
      </c>
      <c r="X1184">
        <v>0.99521190000000004</v>
      </c>
      <c r="Y1184">
        <v>1.473054E-2</v>
      </c>
      <c r="Z1184">
        <v>2.3822519999999999E-4</v>
      </c>
      <c r="AA1184">
        <v>0.99989150000000004</v>
      </c>
      <c r="AB1184">
        <v>25</v>
      </c>
      <c r="AC1184">
        <v>15.448</v>
      </c>
      <c r="AD1184">
        <v>-1.1100044960959901</v>
      </c>
      <c r="AE1184">
        <v>-0.39620000000002098</v>
      </c>
      <c r="AF1184">
        <v>0.22930064768837699</v>
      </c>
      <c r="AG1184">
        <v>-1.1100044960959901</v>
      </c>
      <c r="AH1184">
        <v>15.372046742630999</v>
      </c>
      <c r="AI1184">
        <v>94.129660972711406</v>
      </c>
      <c r="AJ1184">
        <v>89.145397794773899</v>
      </c>
      <c r="AK1184">
        <v>15.4137766243713</v>
      </c>
      <c r="AL1184">
        <v>87.888716521794294</v>
      </c>
      <c r="AM1184">
        <v>84.802238728808604</v>
      </c>
      <c r="AN1184">
        <v>1.00000001144178</v>
      </c>
    </row>
    <row r="1185" spans="1:40" x14ac:dyDescent="0.25">
      <c r="A1185" t="str">
        <f>"20190312154819495"</f>
        <v>20190312154819495</v>
      </c>
      <c r="B1185" t="str">
        <f>"1552376899486685"</f>
        <v>1552376899486685</v>
      </c>
      <c r="C1185" t="s">
        <v>40</v>
      </c>
      <c r="D1185">
        <v>4.7271470000000004</v>
      </c>
      <c r="E1185">
        <v>0.51729619999999998</v>
      </c>
      <c r="F1185" t="s">
        <v>41</v>
      </c>
      <c r="G1185">
        <v>-222.15219999999999</v>
      </c>
      <c r="H1185">
        <v>1.0438750000000001</v>
      </c>
      <c r="I1185">
        <v>368.35700000000003</v>
      </c>
      <c r="J1185">
        <v>-222.7629</v>
      </c>
      <c r="K1185">
        <v>1.1099870000000001</v>
      </c>
      <c r="L1185">
        <v>368.45269999999999</v>
      </c>
      <c r="M1185">
        <v>0.99984430000000002</v>
      </c>
      <c r="N1185">
        <v>0</v>
      </c>
      <c r="O1185">
        <v>-1.0896930000000001E-2</v>
      </c>
      <c r="P1185">
        <v>0.99443599999999999</v>
      </c>
      <c r="Q1185">
        <v>2.234189E-2</v>
      </c>
      <c r="R1185">
        <v>-0.10294789999999999</v>
      </c>
      <c r="S1185">
        <v>2.9870000000000001</v>
      </c>
      <c r="T1185">
        <v>-0.22911889999999999</v>
      </c>
      <c r="U1185">
        <v>-0.3399353</v>
      </c>
      <c r="V1185">
        <v>9.2115829999999996E-2</v>
      </c>
      <c r="W1185">
        <v>3.613765E-2</v>
      </c>
      <c r="X1185">
        <v>0.99509230000000004</v>
      </c>
      <c r="Y1185">
        <v>0.1019762</v>
      </c>
      <c r="Z1185">
        <v>-3.0609249999999999E-3</v>
      </c>
      <c r="AA1185">
        <v>0.9947821</v>
      </c>
      <c r="AB1185">
        <v>25</v>
      </c>
      <c r="AC1185">
        <v>0.61070000000000801</v>
      </c>
      <c r="AD1185">
        <v>-6.6111999999999893E-2</v>
      </c>
      <c r="AE1185">
        <v>-9.5700000000022101E-2</v>
      </c>
      <c r="AF1185">
        <v>8.8031967652698898E-2</v>
      </c>
      <c r="AG1185">
        <v>-6.6111999999999893E-2</v>
      </c>
      <c r="AH1185">
        <v>0.60478879812358199</v>
      </c>
      <c r="AI1185">
        <v>96.173920731473601</v>
      </c>
      <c r="AJ1185">
        <v>81.718291448090397</v>
      </c>
      <c r="AK1185">
        <v>0.61472751216174804</v>
      </c>
      <c r="AL1185">
        <v>87.929014185559694</v>
      </c>
      <c r="AM1185">
        <v>84.711194501844105</v>
      </c>
      <c r="AN1185">
        <v>0.99999997070169999</v>
      </c>
    </row>
    <row r="1186" spans="1:40" x14ac:dyDescent="0.25">
      <c r="A1186" t="str">
        <f>"20190312154819509"</f>
        <v>20190312154819509</v>
      </c>
      <c r="B1186" t="str">
        <f>"1552376899497419"</f>
        <v>1552376899497419</v>
      </c>
      <c r="C1186" t="s">
        <v>40</v>
      </c>
      <c r="D1186">
        <v>4.6251949999999997</v>
      </c>
      <c r="E1186">
        <v>0.57442939999999998</v>
      </c>
      <c r="F1186" t="s">
        <v>45</v>
      </c>
      <c r="G1186">
        <v>-207.08070000000001</v>
      </c>
      <c r="H1186" s="1">
        <v>-4.6915839999999997E-6</v>
      </c>
      <c r="I1186">
        <v>366.1551</v>
      </c>
      <c r="J1186">
        <v>-222.6131</v>
      </c>
      <c r="K1186">
        <v>1.109982</v>
      </c>
      <c r="L1186">
        <v>368.45100000000002</v>
      </c>
      <c r="M1186">
        <v>0.99984300000000004</v>
      </c>
      <c r="N1186">
        <v>0</v>
      </c>
      <c r="O1186">
        <v>-1.100536E-2</v>
      </c>
      <c r="P1186">
        <v>0.99436880000000005</v>
      </c>
      <c r="Q1186">
        <v>2.1889570000000001E-2</v>
      </c>
      <c r="R1186">
        <v>-0.10369009999999999</v>
      </c>
      <c r="S1186">
        <v>2.9763790000000001</v>
      </c>
      <c r="T1186">
        <v>-0.21066840000000001</v>
      </c>
      <c r="U1186">
        <v>-0.4360657</v>
      </c>
      <c r="V1186">
        <v>9.275129E-2</v>
      </c>
      <c r="W1186">
        <v>3.5681610000000002E-2</v>
      </c>
      <c r="X1186">
        <v>0.99504979999999998</v>
      </c>
      <c r="Y1186">
        <v>0.13376179999999999</v>
      </c>
      <c r="Z1186">
        <v>-3.9291339999999999E-3</v>
      </c>
      <c r="AA1186">
        <v>0.99100569999999999</v>
      </c>
      <c r="AB1186">
        <v>25</v>
      </c>
      <c r="AC1186">
        <v>15.5323999999999</v>
      </c>
      <c r="AD1186">
        <v>-1.109986691584</v>
      </c>
      <c r="AE1186">
        <v>-2.2958999999999601</v>
      </c>
      <c r="AF1186">
        <v>2.11423842468181</v>
      </c>
      <c r="AG1186">
        <v>-1.109986691584</v>
      </c>
      <c r="AH1186">
        <v>15.4793672943836</v>
      </c>
      <c r="AI1186">
        <v>94.063913270460802</v>
      </c>
      <c r="AJ1186">
        <v>82.222422502470195</v>
      </c>
      <c r="AK1186">
        <v>15.662467443105101</v>
      </c>
      <c r="AL1186">
        <v>87.955160362369298</v>
      </c>
      <c r="AM1186">
        <v>84.674692629422694</v>
      </c>
      <c r="AN1186">
        <v>1.0000000417844399</v>
      </c>
    </row>
    <row r="1187" spans="1:40" x14ac:dyDescent="0.25">
      <c r="A1187" t="str">
        <f>"20190312154819521"</f>
        <v>20190312154819521</v>
      </c>
      <c r="B1187" t="str">
        <f>"1552376899507180"</f>
        <v>1552376899507180</v>
      </c>
      <c r="C1187" t="s">
        <v>40</v>
      </c>
      <c r="D1187">
        <v>4.6875970000000002</v>
      </c>
      <c r="E1187">
        <v>0.57803000000000004</v>
      </c>
      <c r="F1187" t="s">
        <v>45</v>
      </c>
      <c r="G1187">
        <v>-209.02199999999999</v>
      </c>
      <c r="H1187" s="1">
        <v>-5.7852229999999997E-6</v>
      </c>
      <c r="I1187">
        <v>364.31810000000002</v>
      </c>
      <c r="J1187">
        <v>-222.46960000000001</v>
      </c>
      <c r="K1187">
        <v>1.10998</v>
      </c>
      <c r="L1187">
        <v>368.44920000000002</v>
      </c>
      <c r="M1187">
        <v>0.99984189999999995</v>
      </c>
      <c r="N1187">
        <v>0</v>
      </c>
      <c r="O1187">
        <v>-1.11161E-2</v>
      </c>
      <c r="P1187">
        <v>0.99424400000000002</v>
      </c>
      <c r="Q1187">
        <v>2.2031579999999999E-2</v>
      </c>
      <c r="R1187">
        <v>-0.1048506</v>
      </c>
      <c r="S1187">
        <v>2.9293670000000001</v>
      </c>
      <c r="T1187">
        <v>-0.2392417</v>
      </c>
      <c r="U1187">
        <v>-0.89077759999999995</v>
      </c>
      <c r="V1187">
        <v>9.3803330000000004E-2</v>
      </c>
      <c r="W1187">
        <v>3.5818849999999999E-2</v>
      </c>
      <c r="X1187">
        <v>0.9949462</v>
      </c>
      <c r="Y1187">
        <v>0.27946029999999999</v>
      </c>
      <c r="Z1187">
        <v>-1.0256039999999999E-2</v>
      </c>
      <c r="AA1187">
        <v>0.96010249999999997</v>
      </c>
      <c r="AB1187">
        <v>25</v>
      </c>
      <c r="AC1187">
        <v>13.4475999999999</v>
      </c>
      <c r="AD1187">
        <v>-1.109985785223</v>
      </c>
      <c r="AE1187">
        <v>-4.1311</v>
      </c>
      <c r="AF1187">
        <v>3.9567125791279398</v>
      </c>
      <c r="AG1187">
        <v>-1.109985785223</v>
      </c>
      <c r="AH1187">
        <v>13.4092148602473</v>
      </c>
      <c r="AI1187">
        <v>94.539397084921603</v>
      </c>
      <c r="AJ1187">
        <v>73.560032881671006</v>
      </c>
      <c r="AK1187">
        <v>14.0247882709688</v>
      </c>
      <c r="AL1187">
        <v>87.947291969852103</v>
      </c>
      <c r="AM1187">
        <v>84.614085536088993</v>
      </c>
      <c r="AN1187">
        <v>0.99999999781442495</v>
      </c>
    </row>
    <row r="1188" spans="1:40" x14ac:dyDescent="0.25">
      <c r="A1188" t="str">
        <f>"20190312154819534"</f>
        <v>20190312154819534</v>
      </c>
      <c r="B1188" t="str">
        <f>"1552376899526699"</f>
        <v>1552376899526699</v>
      </c>
      <c r="C1188" t="s">
        <v>40</v>
      </c>
      <c r="D1188">
        <v>4.662134</v>
      </c>
      <c r="E1188">
        <v>0.58071329999999999</v>
      </c>
      <c r="F1188" t="s">
        <v>42</v>
      </c>
      <c r="G1188">
        <v>-210.1754</v>
      </c>
      <c r="H1188" s="1">
        <v>-5.0910080000000003E-6</v>
      </c>
      <c r="I1188">
        <v>364.57670000000002</v>
      </c>
      <c r="J1188">
        <v>-222.3228</v>
      </c>
      <c r="K1188">
        <v>1.109969</v>
      </c>
      <c r="L1188">
        <v>368.44749999999999</v>
      </c>
      <c r="M1188">
        <v>0.99984039999999996</v>
      </c>
      <c r="N1188">
        <v>0</v>
      </c>
      <c r="O1188">
        <v>-1.124348E-2</v>
      </c>
      <c r="P1188">
        <v>0.99416340000000003</v>
      </c>
      <c r="Q1188">
        <v>2.2068319999999999E-2</v>
      </c>
      <c r="R1188">
        <v>-0.10560509999999999</v>
      </c>
      <c r="S1188">
        <v>2.9260250000000001</v>
      </c>
      <c r="T1188">
        <v>-0.26417469999999998</v>
      </c>
      <c r="U1188">
        <v>-0.92166139999999996</v>
      </c>
      <c r="V1188">
        <v>9.4433020000000006E-2</v>
      </c>
      <c r="W1188">
        <v>3.5850300000000002E-2</v>
      </c>
      <c r="X1188">
        <v>0.99488549999999998</v>
      </c>
      <c r="Y1188">
        <v>0.28866589999999998</v>
      </c>
      <c r="Z1188">
        <v>-1.170996E-2</v>
      </c>
      <c r="AA1188">
        <v>0.9573583</v>
      </c>
      <c r="AB1188">
        <v>25</v>
      </c>
      <c r="AC1188">
        <v>12.147399999999999</v>
      </c>
      <c r="AD1188">
        <v>-1.10997409100799</v>
      </c>
      <c r="AE1188">
        <v>-3.8707999999999698</v>
      </c>
      <c r="AF1188">
        <v>3.7058732091601798</v>
      </c>
      <c r="AG1188">
        <v>-1.10997409100799</v>
      </c>
      <c r="AH1188">
        <v>12.0984533596038</v>
      </c>
      <c r="AI1188">
        <v>95.013272175991403</v>
      </c>
      <c r="AJ1188">
        <v>72.969667236188698</v>
      </c>
      <c r="AK1188">
        <v>12.701894048510599</v>
      </c>
      <c r="AL1188">
        <v>87.9454888613149</v>
      </c>
      <c r="AM1188">
        <v>84.577816480085104</v>
      </c>
      <c r="AN1188">
        <v>0.99999999869333001</v>
      </c>
    </row>
    <row r="1189" spans="1:40" x14ac:dyDescent="0.25">
      <c r="A1189" t="str">
        <f>"20190312154819547"</f>
        <v>20190312154819547</v>
      </c>
      <c r="B1189" t="str">
        <f>"1552376899537435"</f>
        <v>1552376899537435</v>
      </c>
      <c r="C1189" t="s">
        <v>40</v>
      </c>
      <c r="D1189">
        <v>4.6087089999999904</v>
      </c>
      <c r="E1189">
        <v>0.58106199999999997</v>
      </c>
      <c r="F1189" t="s">
        <v>42</v>
      </c>
      <c r="G1189">
        <v>-210.41650000000001</v>
      </c>
      <c r="H1189" s="1">
        <v>-4.98390499999999E-6</v>
      </c>
      <c r="I1189">
        <v>364.59750000000003</v>
      </c>
      <c r="J1189">
        <v>-222.17910000000001</v>
      </c>
      <c r="K1189">
        <v>1.109953</v>
      </c>
      <c r="L1189">
        <v>368.44569999999999</v>
      </c>
      <c r="M1189">
        <v>0.99983900000000003</v>
      </c>
      <c r="N1189">
        <v>0</v>
      </c>
      <c r="O1189">
        <v>-1.1379500000000001E-2</v>
      </c>
      <c r="P1189">
        <v>0.99411490000000002</v>
      </c>
      <c r="Q1189">
        <v>2.2217560000000001E-2</v>
      </c>
      <c r="R1189">
        <v>-0.106029</v>
      </c>
      <c r="S1189">
        <v>2.923279</v>
      </c>
      <c r="T1189">
        <v>-0.27252140000000002</v>
      </c>
      <c r="U1189">
        <v>-0.94525150000000002</v>
      </c>
      <c r="V1189">
        <v>9.4723450000000001E-2</v>
      </c>
      <c r="W1189">
        <v>3.5993730000000002E-2</v>
      </c>
      <c r="X1189">
        <v>0.99485270000000003</v>
      </c>
      <c r="Y1189">
        <v>0.29570469999999999</v>
      </c>
      <c r="Z1189">
        <v>-1.238185E-2</v>
      </c>
      <c r="AA1189">
        <v>0.95519920000000003</v>
      </c>
      <c r="AB1189">
        <v>25</v>
      </c>
      <c r="AC1189">
        <v>11.7625999999999</v>
      </c>
      <c r="AD1189">
        <v>-1.109957983905</v>
      </c>
      <c r="AE1189">
        <v>-3.8481999999999599</v>
      </c>
      <c r="AF1189">
        <v>3.6844494132576799</v>
      </c>
      <c r="AG1189">
        <v>-1.109957983905</v>
      </c>
      <c r="AH1189">
        <v>11.711431785273501</v>
      </c>
      <c r="AI1189">
        <v>95.165902769794201</v>
      </c>
      <c r="AJ1189">
        <v>72.536277795990799</v>
      </c>
      <c r="AK1189">
        <v>12.3274007262685</v>
      </c>
      <c r="AL1189">
        <v>87.9372655975165</v>
      </c>
      <c r="AM1189">
        <v>84.561062085835999</v>
      </c>
      <c r="AN1189">
        <v>0.99999998763825204</v>
      </c>
    </row>
    <row r="1190" spans="1:40" x14ac:dyDescent="0.25">
      <c r="A1190" t="str">
        <f>"20190312154819561"</f>
        <v>20190312154819561</v>
      </c>
      <c r="B1190" t="str">
        <f>"1552376899547196"</f>
        <v>1552376899547196</v>
      </c>
      <c r="C1190" t="s">
        <v>40</v>
      </c>
      <c r="D1190">
        <v>4.6677910000000002</v>
      </c>
      <c r="E1190">
        <v>0.58196649999999905</v>
      </c>
      <c r="F1190" t="s">
        <v>42</v>
      </c>
      <c r="G1190">
        <v>-210.28880000000001</v>
      </c>
      <c r="H1190" s="1">
        <v>-5.0408400000000003E-6</v>
      </c>
      <c r="I1190">
        <v>364.58519999999999</v>
      </c>
      <c r="J1190">
        <v>-222.01310000000001</v>
      </c>
      <c r="K1190">
        <v>1.109928</v>
      </c>
      <c r="L1190">
        <v>368.4436</v>
      </c>
      <c r="M1190">
        <v>0.99983670000000002</v>
      </c>
      <c r="N1190">
        <v>0</v>
      </c>
      <c r="O1190">
        <v>-1.1567920000000001E-2</v>
      </c>
      <c r="P1190">
        <v>0.99404219999999999</v>
      </c>
      <c r="Q1190">
        <v>2.282404E-2</v>
      </c>
      <c r="R1190">
        <v>-0.1065812</v>
      </c>
      <c r="S1190">
        <v>2.9226529999999999</v>
      </c>
      <c r="T1190">
        <v>-0.27282849999999997</v>
      </c>
      <c r="U1190">
        <v>-0.94891360000000002</v>
      </c>
      <c r="V1190">
        <v>9.509136E-2</v>
      </c>
      <c r="W1190">
        <v>3.659225E-2</v>
      </c>
      <c r="X1190">
        <v>0.99479580000000001</v>
      </c>
      <c r="Y1190">
        <v>0.29666219999999999</v>
      </c>
      <c r="Z1190">
        <v>-1.2422330000000001E-2</v>
      </c>
      <c r="AA1190">
        <v>0.95490169999999996</v>
      </c>
      <c r="AB1190">
        <v>25</v>
      </c>
      <c r="AC1190">
        <v>11.724299999999999</v>
      </c>
      <c r="AD1190">
        <v>-1.1099330408399899</v>
      </c>
      <c r="AE1190">
        <v>-3.8584000000000098</v>
      </c>
      <c r="AF1190">
        <v>3.6926423510202802</v>
      </c>
      <c r="AG1190">
        <v>-1.1099330408399899</v>
      </c>
      <c r="AH1190">
        <v>11.6737533964344</v>
      </c>
      <c r="AI1190">
        <v>95.179831044725802</v>
      </c>
      <c r="AJ1190">
        <v>72.446792296425798</v>
      </c>
      <c r="AK1190">
        <v>12.2940667497968</v>
      </c>
      <c r="AL1190">
        <v>87.902950390713997</v>
      </c>
      <c r="AM1190">
        <v>84.539754019547999</v>
      </c>
      <c r="AN1190">
        <v>1.0000000216021701</v>
      </c>
    </row>
    <row r="1191" spans="1:40" x14ac:dyDescent="0.25">
      <c r="A1191" t="str">
        <f>"20190312154819574"</f>
        <v>20190312154819574</v>
      </c>
      <c r="B1191" t="str">
        <f>"1552376899566715"</f>
        <v>1552376899566715</v>
      </c>
      <c r="C1191" t="s">
        <v>40</v>
      </c>
      <c r="D1191">
        <v>4.5720729999999996</v>
      </c>
      <c r="E1191">
        <v>0.5824646</v>
      </c>
      <c r="F1191" t="s">
        <v>45</v>
      </c>
      <c r="G1191">
        <v>-209.85140000000001</v>
      </c>
      <c r="H1191" s="1">
        <v>-6.0414359999999996E-6</v>
      </c>
      <c r="I1191">
        <v>364.4554</v>
      </c>
      <c r="J1191">
        <v>-221.87899999999999</v>
      </c>
      <c r="K1191">
        <v>1.1099019999999999</v>
      </c>
      <c r="L1191">
        <v>368.44189999999998</v>
      </c>
      <c r="M1191">
        <v>0.99983460000000002</v>
      </c>
      <c r="N1191">
        <v>0</v>
      </c>
      <c r="O1191">
        <v>-1.1750170000000001E-2</v>
      </c>
      <c r="P1191">
        <v>0.99402639999999998</v>
      </c>
      <c r="Q1191">
        <v>2.2841750000000001E-2</v>
      </c>
      <c r="R1191">
        <v>-0.1067241</v>
      </c>
      <c r="S1191">
        <v>2.9213870000000002</v>
      </c>
      <c r="T1191">
        <v>-0.266621</v>
      </c>
      <c r="U1191">
        <v>-0.95803830000000001</v>
      </c>
      <c r="V1191">
        <v>9.5055420000000002E-2</v>
      </c>
      <c r="W1191">
        <v>3.6602250000000003E-2</v>
      </c>
      <c r="X1191">
        <v>0.99479879999999998</v>
      </c>
      <c r="Y1191">
        <v>0.29934529999999998</v>
      </c>
      <c r="Z1191">
        <v>-1.2243E-2</v>
      </c>
      <c r="AA1191">
        <v>0.95406630000000003</v>
      </c>
      <c r="AB1191">
        <v>25</v>
      </c>
      <c r="AC1191">
        <v>12.0276</v>
      </c>
      <c r="AD1191">
        <v>-1.1099080414360001</v>
      </c>
      <c r="AE1191">
        <v>-3.9864999999999702</v>
      </c>
      <c r="AF1191">
        <v>3.81560868351395</v>
      </c>
      <c r="AG1191">
        <v>-1.1099080414360001</v>
      </c>
      <c r="AH1191">
        <v>11.981683992605801</v>
      </c>
      <c r="AI1191">
        <v>95.044204530225201</v>
      </c>
      <c r="AJ1191">
        <v>72.335743966194102</v>
      </c>
      <c r="AK1191">
        <v>12.6234510647769</v>
      </c>
      <c r="AL1191">
        <v>87.902376909139406</v>
      </c>
      <c r="AM1191">
        <v>84.541821627639905</v>
      </c>
      <c r="AN1191">
        <v>0.99999995502893801</v>
      </c>
    </row>
    <row r="1192" spans="1:40" x14ac:dyDescent="0.25">
      <c r="A1192" t="str">
        <f>"20190312154819587"</f>
        <v>20190312154819587</v>
      </c>
      <c r="B1192" t="str">
        <f>"1552376899577451"</f>
        <v>1552376899577451</v>
      </c>
      <c r="C1192" t="s">
        <v>40</v>
      </c>
      <c r="D1192">
        <v>4.6240319999999997</v>
      </c>
      <c r="E1192">
        <v>0.58274009999999998</v>
      </c>
      <c r="F1192" t="s">
        <v>45</v>
      </c>
      <c r="G1192">
        <v>-209.62710000000001</v>
      </c>
      <c r="H1192" s="1">
        <v>-5.9741379999999999E-6</v>
      </c>
      <c r="I1192">
        <v>364.40539999999999</v>
      </c>
      <c r="J1192">
        <v>-221.73320000000001</v>
      </c>
      <c r="K1192">
        <v>1.1098709999999901</v>
      </c>
      <c r="L1192">
        <v>368.44</v>
      </c>
      <c r="M1192">
        <v>0.9998321</v>
      </c>
      <c r="N1192">
        <v>0</v>
      </c>
      <c r="O1192">
        <v>-1.196842E-2</v>
      </c>
      <c r="P1192">
        <v>0.9939943</v>
      </c>
      <c r="Q1192">
        <v>2.2843820000000001E-2</v>
      </c>
      <c r="R1192">
        <v>-0.1070222</v>
      </c>
      <c r="S1192">
        <v>2.9207920000000001</v>
      </c>
      <c r="T1192">
        <v>-0.26459680000000002</v>
      </c>
      <c r="U1192">
        <v>-0.96228029999999998</v>
      </c>
      <c r="V1192">
        <v>9.5139660000000001E-2</v>
      </c>
      <c r="W1192">
        <v>3.659511E-2</v>
      </c>
      <c r="X1192">
        <v>0.99479099999999998</v>
      </c>
      <c r="Y1192">
        <v>0.30045809999999901</v>
      </c>
      <c r="Z1192">
        <v>-1.2179880000000001E-2</v>
      </c>
      <c r="AA1192">
        <v>0.95371719999999904</v>
      </c>
      <c r="AB1192">
        <v>25</v>
      </c>
      <c r="AC1192">
        <v>12.1060999999999</v>
      </c>
      <c r="AD1192">
        <v>-1.1098769741379999</v>
      </c>
      <c r="AE1192">
        <v>-4.03460000000001</v>
      </c>
      <c r="AF1192">
        <v>3.86020427377191</v>
      </c>
      <c r="AG1192">
        <v>-1.1098769741379999</v>
      </c>
      <c r="AH1192">
        <v>12.062275902790899</v>
      </c>
      <c r="AI1192">
        <v>95.008269103431104</v>
      </c>
      <c r="AJ1192">
        <v>72.254139225126394</v>
      </c>
      <c r="AK1192">
        <v>12.7134379255974</v>
      </c>
      <c r="AL1192">
        <v>87.902786254933005</v>
      </c>
      <c r="AM1192">
        <v>84.536971156809898</v>
      </c>
      <c r="AN1192">
        <v>0.99999994533091197</v>
      </c>
    </row>
    <row r="1193" spans="1:40" x14ac:dyDescent="0.25">
      <c r="A1193" t="str">
        <f>"20190312154819599"</f>
        <v>20190312154819599</v>
      </c>
      <c r="B1193" t="str">
        <f>"1552376899587212"</f>
        <v>1552376899587212</v>
      </c>
      <c r="C1193" t="s">
        <v>40</v>
      </c>
      <c r="D1193">
        <v>4.6090220000000004</v>
      </c>
      <c r="E1193">
        <v>0.58274019999999904</v>
      </c>
      <c r="F1193" t="s">
        <v>45</v>
      </c>
      <c r="G1193">
        <v>-209.52719999999999</v>
      </c>
      <c r="H1193" s="1">
        <v>-5.9409460000000002E-6</v>
      </c>
      <c r="I1193">
        <v>364.40379999999999</v>
      </c>
      <c r="J1193">
        <v>-221.5882</v>
      </c>
      <c r="K1193">
        <v>1.109823</v>
      </c>
      <c r="L1193">
        <v>368.43799999999999</v>
      </c>
      <c r="M1193">
        <v>0.99982890000000002</v>
      </c>
      <c r="N1193">
        <v>0</v>
      </c>
      <c r="O1193">
        <v>-1.223862E-2</v>
      </c>
      <c r="P1193">
        <v>0.99396879999999999</v>
      </c>
      <c r="Q1193">
        <v>2.2924360000000001E-2</v>
      </c>
      <c r="R1193">
        <v>-0.1072425</v>
      </c>
      <c r="S1193">
        <v>2.920258</v>
      </c>
      <c r="T1193">
        <v>-0.26553399999999999</v>
      </c>
      <c r="U1193">
        <v>-0.96563719999999997</v>
      </c>
      <c r="V1193">
        <v>9.5095289999999999E-2</v>
      </c>
      <c r="W1193">
        <v>3.6664200000000001E-2</v>
      </c>
      <c r="X1193">
        <v>0.99479280000000003</v>
      </c>
      <c r="Y1193">
        <v>0.30123149999999999</v>
      </c>
      <c r="Z1193">
        <v>-1.223317E-2</v>
      </c>
      <c r="AA1193">
        <v>0.9534726</v>
      </c>
      <c r="AB1193">
        <v>25</v>
      </c>
      <c r="AC1193">
        <v>12.061</v>
      </c>
      <c r="AD1193">
        <v>-1.109828940946</v>
      </c>
      <c r="AE1193">
        <v>-4.03420000000005</v>
      </c>
      <c r="AF1193">
        <v>3.8569020741265398</v>
      </c>
      <c r="AG1193">
        <v>-1.109828940946</v>
      </c>
      <c r="AH1193">
        <v>12.0179537885776</v>
      </c>
      <c r="AI1193">
        <v>95.025112895566707</v>
      </c>
      <c r="AJ1193">
        <v>72.207091647995497</v>
      </c>
      <c r="AK1193">
        <v>12.670383859692199</v>
      </c>
      <c r="AL1193">
        <v>87.898825243293501</v>
      </c>
      <c r="AM1193">
        <v>84.539513351104802</v>
      </c>
      <c r="AN1193">
        <v>1.0000000463368299</v>
      </c>
    </row>
    <row r="1194" spans="1:40" x14ac:dyDescent="0.25">
      <c r="A1194" t="str">
        <f>"20190312154819617"</f>
        <v>20190312154819617</v>
      </c>
      <c r="B1194" t="str">
        <f>"1552376899606731"</f>
        <v>1552376899606731</v>
      </c>
      <c r="C1194" t="s">
        <v>40</v>
      </c>
      <c r="D1194">
        <v>4.6065639999999997</v>
      </c>
      <c r="E1194">
        <v>0.58323000000000003</v>
      </c>
      <c r="F1194" t="s">
        <v>45</v>
      </c>
      <c r="G1194">
        <v>-209.38079999999999</v>
      </c>
      <c r="H1194" s="1">
        <v>-5.8926180000000002E-6</v>
      </c>
      <c r="I1194">
        <v>364.39940000000001</v>
      </c>
      <c r="J1194">
        <v>-221.38990000000001</v>
      </c>
      <c r="K1194">
        <v>1.109748</v>
      </c>
      <c r="L1194">
        <v>368.43509999999998</v>
      </c>
      <c r="M1194">
        <v>0.99982340000000003</v>
      </c>
      <c r="N1194">
        <v>0</v>
      </c>
      <c r="O1194">
        <v>-1.2679070000000001E-2</v>
      </c>
      <c r="P1194">
        <v>0.99386819999999998</v>
      </c>
      <c r="Q1194">
        <v>2.194012E-2</v>
      </c>
      <c r="R1194">
        <v>-0.10837430000000001</v>
      </c>
      <c r="S1194">
        <v>2.9200740000000001</v>
      </c>
      <c r="T1194">
        <v>-0.26547500000000002</v>
      </c>
      <c r="U1194">
        <v>-0.9660339</v>
      </c>
      <c r="V1194">
        <v>9.5795480000000002E-2</v>
      </c>
      <c r="W1194">
        <v>3.5660160000000003E-2</v>
      </c>
      <c r="X1194">
        <v>0.99476209999999998</v>
      </c>
      <c r="Y1194">
        <v>0.30094929999999998</v>
      </c>
      <c r="Z1194">
        <v>-1.2179570000000001E-2</v>
      </c>
      <c r="AA1194">
        <v>0.95356240000000003</v>
      </c>
      <c r="AB1194">
        <v>25</v>
      </c>
      <c r="AC1194">
        <v>12.0091</v>
      </c>
      <c r="AD1194">
        <v>-1.1097538926179999</v>
      </c>
      <c r="AE1194">
        <v>-4.0356999999999603</v>
      </c>
      <c r="AF1194">
        <v>3.8535286356402798</v>
      </c>
      <c r="AG1194">
        <v>-1.1097538926179999</v>
      </c>
      <c r="AH1194">
        <v>11.967482137958999</v>
      </c>
      <c r="AI1194">
        <v>95.044290112296295</v>
      </c>
      <c r="AJ1194">
        <v>72.151444108379295</v>
      </c>
      <c r="AK1194">
        <v>12.621484277621599</v>
      </c>
      <c r="AL1194">
        <v>87.956390111856393</v>
      </c>
      <c r="AM1194">
        <v>84.499384563620495</v>
      </c>
      <c r="AN1194">
        <v>1.0000000282980299</v>
      </c>
    </row>
    <row r="1195" spans="1:40" x14ac:dyDescent="0.25">
      <c r="A1195" t="str">
        <f>"20190312154819633"</f>
        <v>20190312154819633</v>
      </c>
      <c r="B1195" t="str">
        <f>"1552376899617467"</f>
        <v>1552376899617467</v>
      </c>
      <c r="C1195" t="s">
        <v>40</v>
      </c>
      <c r="D1195">
        <v>4.6328399999999998</v>
      </c>
      <c r="E1195">
        <v>0.58348710000000004</v>
      </c>
      <c r="F1195" t="s">
        <v>45</v>
      </c>
      <c r="G1195">
        <v>-209.35470000000001</v>
      </c>
      <c r="H1195" s="1">
        <v>-5.8804569999999997E-6</v>
      </c>
      <c r="I1195">
        <v>364.42149999999998</v>
      </c>
      <c r="J1195">
        <v>-221.23750000000001</v>
      </c>
      <c r="K1195">
        <v>1.10968</v>
      </c>
      <c r="L1195">
        <v>368.43279999999999</v>
      </c>
      <c r="M1195">
        <v>0.99981810000000004</v>
      </c>
      <c r="N1195">
        <v>0</v>
      </c>
      <c r="O1195">
        <v>-1.3084719999999999E-2</v>
      </c>
      <c r="P1195">
        <v>0.99380869999999999</v>
      </c>
      <c r="Q1195">
        <v>2.1290480000000001E-2</v>
      </c>
      <c r="R1195">
        <v>-0.1090459</v>
      </c>
      <c r="S1195">
        <v>2.91832</v>
      </c>
      <c r="T1195">
        <v>-0.26909529999999998</v>
      </c>
      <c r="U1195">
        <v>-0.97323610000000005</v>
      </c>
      <c r="V1195">
        <v>9.6069280000000007E-2</v>
      </c>
      <c r="W1195">
        <v>3.4993959999999998E-2</v>
      </c>
      <c r="X1195">
        <v>0.99475930000000001</v>
      </c>
      <c r="Y1195">
        <v>0.30281710000000001</v>
      </c>
      <c r="Z1195">
        <v>-1.2394759999999999E-2</v>
      </c>
      <c r="AA1195">
        <v>0.95296809999999998</v>
      </c>
      <c r="AB1195">
        <v>25</v>
      </c>
      <c r="AC1195">
        <v>11.8828</v>
      </c>
      <c r="AD1195">
        <v>-1.109685880457</v>
      </c>
      <c r="AE1195">
        <v>-4.0113000000000003</v>
      </c>
      <c r="AF1195">
        <v>3.8255093179856798</v>
      </c>
      <c r="AG1195">
        <v>-1.109685880457</v>
      </c>
      <c r="AH1195">
        <v>11.84156909871</v>
      </c>
      <c r="AI1195">
        <v>95.095768351344901</v>
      </c>
      <c r="AJ1195">
        <v>72.096553130544905</v>
      </c>
      <c r="AK1195">
        <v>12.4935456542491</v>
      </c>
      <c r="AL1195">
        <v>87.994584292295301</v>
      </c>
      <c r="AM1195">
        <v>84.483744259884205</v>
      </c>
      <c r="AN1195">
        <v>0.99999997436634402</v>
      </c>
    </row>
    <row r="1196" spans="1:40" x14ac:dyDescent="0.25">
      <c r="A1196" t="str">
        <f>"20190312154819649"</f>
        <v>20190312154819649</v>
      </c>
      <c r="B1196" t="str">
        <f>"1552376899636988"</f>
        <v>1552376899636988</v>
      </c>
      <c r="C1196" t="s">
        <v>40</v>
      </c>
      <c r="D1196">
        <v>4.5946709999999999</v>
      </c>
      <c r="E1196">
        <v>0.583974199999999</v>
      </c>
      <c r="F1196" t="s">
        <v>45</v>
      </c>
      <c r="G1196">
        <v>-209.2928</v>
      </c>
      <c r="H1196" s="1">
        <v>-5.8583749999999996E-6</v>
      </c>
      <c r="I1196">
        <v>364.43009999999998</v>
      </c>
      <c r="J1196">
        <v>-221.04179999999999</v>
      </c>
      <c r="K1196">
        <v>1.10958</v>
      </c>
      <c r="L1196">
        <v>368.42959999999999</v>
      </c>
      <c r="M1196">
        <v>0.99980990000000003</v>
      </c>
      <c r="N1196">
        <v>0</v>
      </c>
      <c r="O1196">
        <v>-1.3703989999999999E-2</v>
      </c>
      <c r="P1196">
        <v>0.99372819999999995</v>
      </c>
      <c r="Q1196">
        <v>2.0701520000000001E-2</v>
      </c>
      <c r="R1196">
        <v>-0.1098906</v>
      </c>
      <c r="S1196">
        <v>2.9172210000000001</v>
      </c>
      <c r="T1196">
        <v>-0.27101500000000001</v>
      </c>
      <c r="U1196">
        <v>-0.97756960000000004</v>
      </c>
      <c r="V1196">
        <v>9.6306059999999999E-2</v>
      </c>
      <c r="W1196">
        <v>3.4380630000000002E-2</v>
      </c>
      <c r="X1196">
        <v>0.99475780000000003</v>
      </c>
      <c r="Y1196">
        <v>0.30359140000000001</v>
      </c>
      <c r="Z1196">
        <v>-1.246355E-2</v>
      </c>
      <c r="AA1196">
        <v>0.95272080000000003</v>
      </c>
      <c r="AB1196">
        <v>25</v>
      </c>
      <c r="AC1196">
        <v>11.748999999999899</v>
      </c>
      <c r="AD1196">
        <v>-1.109585858375</v>
      </c>
      <c r="AE1196">
        <v>-3.99950000000001</v>
      </c>
      <c r="AF1196">
        <v>3.8076665317154501</v>
      </c>
      <c r="AG1196">
        <v>-1.109585858375</v>
      </c>
      <c r="AH1196">
        <v>11.7091214765641</v>
      </c>
      <c r="AI1196">
        <v>95.149437071326801</v>
      </c>
      <c r="AJ1196">
        <v>71.986093121399193</v>
      </c>
      <c r="AK1196">
        <v>12.362565710514399</v>
      </c>
      <c r="AL1196">
        <v>88.029746690999801</v>
      </c>
      <c r="AM1196">
        <v>84.470224337329299</v>
      </c>
      <c r="AN1196">
        <v>0.99999998278638003</v>
      </c>
    </row>
    <row r="1197" spans="1:40" x14ac:dyDescent="0.25">
      <c r="A1197" t="str">
        <f>"20190312154819667"</f>
        <v>20190312154819667</v>
      </c>
      <c r="B1197" t="str">
        <f>"1552376899657483"</f>
        <v>1552376899657483</v>
      </c>
      <c r="C1197" t="s">
        <v>40</v>
      </c>
      <c r="D1197">
        <v>4.6234310000000001</v>
      </c>
      <c r="E1197">
        <v>0.58477800000000002</v>
      </c>
      <c r="F1197" t="s">
        <v>45</v>
      </c>
      <c r="G1197">
        <v>-209.18199999999999</v>
      </c>
      <c r="H1197" s="1">
        <v>-5.8215459999999899E-6</v>
      </c>
      <c r="I1197">
        <v>364.42849999999999</v>
      </c>
      <c r="J1197">
        <v>-220.85470000000001</v>
      </c>
      <c r="K1197">
        <v>1.109472</v>
      </c>
      <c r="L1197">
        <v>368.42630000000003</v>
      </c>
      <c r="M1197">
        <v>0.99980000000000002</v>
      </c>
      <c r="N1197">
        <v>0</v>
      </c>
      <c r="O1197">
        <v>-1.440845E-2</v>
      </c>
      <c r="P1197">
        <v>0.99364209999999997</v>
      </c>
      <c r="Q1197">
        <v>1.9883000000000001E-2</v>
      </c>
      <c r="R1197">
        <v>-0.1108166</v>
      </c>
      <c r="S1197">
        <v>2.915848</v>
      </c>
      <c r="T1197">
        <v>-0.27280399999999999</v>
      </c>
      <c r="U1197">
        <v>-0.98370360000000001</v>
      </c>
      <c r="V1197">
        <v>9.6539799999999995E-2</v>
      </c>
      <c r="W1197">
        <v>3.3536169999999997E-2</v>
      </c>
      <c r="X1197">
        <v>0.99476399999999998</v>
      </c>
      <c r="Y1197">
        <v>0.30483890000000002</v>
      </c>
      <c r="Z1197">
        <v>-1.2539740000000001E-2</v>
      </c>
      <c r="AA1197">
        <v>0.95232139999999998</v>
      </c>
      <c r="AB1197">
        <v>25</v>
      </c>
      <c r="AC1197">
        <v>11.672699999999899</v>
      </c>
      <c r="AD1197">
        <v>-1.1094778215459999</v>
      </c>
      <c r="AE1197">
        <v>-3.9978000000000402</v>
      </c>
      <c r="AF1197">
        <v>3.7984694463998099</v>
      </c>
      <c r="AG1197">
        <v>-1.1094778215459999</v>
      </c>
      <c r="AH1197">
        <v>11.635016921695</v>
      </c>
      <c r="AI1197">
        <v>95.179610853048601</v>
      </c>
      <c r="AJ1197">
        <v>71.919757546163495</v>
      </c>
      <c r="AK1197">
        <v>12.2895455546519</v>
      </c>
      <c r="AL1197">
        <v>88.078158664521595</v>
      </c>
      <c r="AM1197">
        <v>84.456921094683693</v>
      </c>
      <c r="AN1197">
        <v>1.0000000116891501</v>
      </c>
    </row>
    <row r="1198" spans="1:40" x14ac:dyDescent="0.25">
      <c r="A1198" t="str">
        <f>"20190312154819686"</f>
        <v>20190312154819686</v>
      </c>
      <c r="B1198" t="str">
        <f>"1552376899677003"</f>
        <v>1552376899677003</v>
      </c>
      <c r="C1198" t="s">
        <v>40</v>
      </c>
      <c r="D1198">
        <v>4.6217819999999996</v>
      </c>
      <c r="E1198">
        <v>0.58545369999999997</v>
      </c>
      <c r="F1198" t="s">
        <v>45</v>
      </c>
      <c r="G1198">
        <v>-209.0438</v>
      </c>
      <c r="H1198" s="1">
        <v>-5.7795809999999901E-6</v>
      </c>
      <c r="I1198">
        <v>364.40100000000001</v>
      </c>
      <c r="J1198">
        <v>-220.62889999999999</v>
      </c>
      <c r="K1198">
        <v>1.1093309999999901</v>
      </c>
      <c r="L1198">
        <v>368.4221</v>
      </c>
      <c r="M1198">
        <v>0.99978469999999997</v>
      </c>
      <c r="N1198">
        <v>0</v>
      </c>
      <c r="O1198">
        <v>-1.5431210000000001E-2</v>
      </c>
      <c r="P1198">
        <v>0.99351299999999998</v>
      </c>
      <c r="Q1198">
        <v>2.0926279999999998E-2</v>
      </c>
      <c r="R1198">
        <v>-0.1117766</v>
      </c>
      <c r="S1198">
        <v>2.91391</v>
      </c>
      <c r="T1198">
        <v>-0.27372279999999999</v>
      </c>
      <c r="U1198">
        <v>-0.99310299999999996</v>
      </c>
      <c r="V1198">
        <v>9.6496780000000004E-2</v>
      </c>
      <c r="W1198">
        <v>3.454695E-2</v>
      </c>
      <c r="X1198">
        <v>0.9947336</v>
      </c>
      <c r="Y1198">
        <v>0.30679980000000001</v>
      </c>
      <c r="Z1198">
        <v>-1.2579659999999999E-2</v>
      </c>
      <c r="AA1198">
        <v>0.95169090000000001</v>
      </c>
      <c r="AB1198">
        <v>25</v>
      </c>
      <c r="AC1198">
        <v>11.585099999999899</v>
      </c>
      <c r="AD1198">
        <v>-1.1093367795810001</v>
      </c>
      <c r="AE1198">
        <v>-4.0210999999999899</v>
      </c>
      <c r="AF1198">
        <v>3.81064832156838</v>
      </c>
      <c r="AG1198">
        <v>-1.1093367795810001</v>
      </c>
      <c r="AH1198">
        <v>11.551249963512999</v>
      </c>
      <c r="AI1198">
        <v>95.2110497179292</v>
      </c>
      <c r="AJ1198">
        <v>71.742764889066507</v>
      </c>
      <c r="AK1198">
        <v>12.2140511068508</v>
      </c>
      <c r="AL1198">
        <v>88.020211681253102</v>
      </c>
      <c r="AM1198">
        <v>84.4592075509713</v>
      </c>
      <c r="AN1198">
        <v>1.00000002763681</v>
      </c>
    </row>
    <row r="1199" spans="1:40" x14ac:dyDescent="0.25">
      <c r="A1199" t="str">
        <f>"20190312154819707"</f>
        <v>20190312154819707</v>
      </c>
      <c r="B1199" t="str">
        <f>"1552376899697499"</f>
        <v>1552376899697499</v>
      </c>
      <c r="C1199" t="s">
        <v>40</v>
      </c>
      <c r="D1199">
        <v>4.624301</v>
      </c>
      <c r="E1199">
        <v>0.586036</v>
      </c>
      <c r="F1199" t="s">
        <v>45</v>
      </c>
      <c r="G1199">
        <v>-208.60210000000001</v>
      </c>
      <c r="H1199" s="1">
        <v>-5.649865E-6</v>
      </c>
      <c r="I1199">
        <v>364.28489999999999</v>
      </c>
      <c r="J1199">
        <v>-220.3871</v>
      </c>
      <c r="K1199">
        <v>1.1091869999999999</v>
      </c>
      <c r="L1199">
        <v>368.4169</v>
      </c>
      <c r="M1199">
        <v>0.99976370000000003</v>
      </c>
      <c r="N1199">
        <v>0</v>
      </c>
      <c r="O1199">
        <v>-1.6739549999999999E-2</v>
      </c>
      <c r="P1199">
        <v>0.99338510000000002</v>
      </c>
      <c r="Q1199">
        <v>2.2785050000000001E-2</v>
      </c>
      <c r="R1199">
        <v>-0.1125477</v>
      </c>
      <c r="S1199">
        <v>2.9125369999999999</v>
      </c>
      <c r="T1199">
        <v>-0.26864870000000002</v>
      </c>
      <c r="U1199">
        <v>-1.001892</v>
      </c>
      <c r="V1199">
        <v>9.5984550000000002E-2</v>
      </c>
      <c r="W1199">
        <v>3.6372580000000002E-2</v>
      </c>
      <c r="X1199">
        <v>0.99471810000000005</v>
      </c>
      <c r="Y1199">
        <v>0.30830360000000001</v>
      </c>
      <c r="Z1199">
        <v>-1.229741E-2</v>
      </c>
      <c r="AA1199">
        <v>0.95120850000000001</v>
      </c>
      <c r="AB1199">
        <v>25</v>
      </c>
      <c r="AC1199">
        <v>11.784999999999901</v>
      </c>
      <c r="AD1199">
        <v>-1.109192649865</v>
      </c>
      <c r="AE1199">
        <v>-4.1319999999999997</v>
      </c>
      <c r="AF1199">
        <v>3.9033343883250899</v>
      </c>
      <c r="AG1199">
        <v>-1.109192649865</v>
      </c>
      <c r="AH1199">
        <v>11.759754507427401</v>
      </c>
      <c r="AI1199">
        <v>95.115404268007296</v>
      </c>
      <c r="AJ1199">
        <v>71.637801340868293</v>
      </c>
      <c r="AK1199">
        <v>12.440183027453999</v>
      </c>
      <c r="AL1199">
        <v>87.915544994574105</v>
      </c>
      <c r="AM1199">
        <v>84.4883525794462</v>
      </c>
      <c r="AN1199">
        <v>1.00000004844108</v>
      </c>
    </row>
    <row r="1200" spans="1:40" x14ac:dyDescent="0.25">
      <c r="A1200" t="str">
        <f>"20190312154819719"</f>
        <v>20190312154819719</v>
      </c>
      <c r="B1200" t="str">
        <f>"1552376899717019"</f>
        <v>1552376899717019</v>
      </c>
      <c r="C1200" t="s">
        <v>40</v>
      </c>
      <c r="D1200">
        <v>4.6219970000000004</v>
      </c>
      <c r="E1200">
        <v>0.5866015</v>
      </c>
      <c r="F1200" t="s">
        <v>45</v>
      </c>
      <c r="G1200">
        <v>-208.0744</v>
      </c>
      <c r="H1200" s="1">
        <v>-5.4943949999999999E-6</v>
      </c>
      <c r="I1200">
        <v>364.14909999999998</v>
      </c>
      <c r="J1200">
        <v>-220.24539999999999</v>
      </c>
      <c r="K1200">
        <v>1.1091089999999999</v>
      </c>
      <c r="L1200">
        <v>368.41359999999997</v>
      </c>
      <c r="M1200">
        <v>0.99974850000000004</v>
      </c>
      <c r="N1200">
        <v>0</v>
      </c>
      <c r="O1200">
        <v>-1.7613759999999999E-2</v>
      </c>
      <c r="P1200">
        <v>0.99327949999999998</v>
      </c>
      <c r="Q1200">
        <v>2.366592E-2</v>
      </c>
      <c r="R1200">
        <v>-0.1132951</v>
      </c>
      <c r="S1200">
        <v>2.911667</v>
      </c>
      <c r="T1200">
        <v>-0.26229609999999998</v>
      </c>
      <c r="U1200">
        <v>-1.0092159999999999</v>
      </c>
      <c r="V1200">
        <v>9.5873399999999998E-2</v>
      </c>
      <c r="W1200">
        <v>3.7233160000000001E-2</v>
      </c>
      <c r="X1200">
        <v>0.99469689999999999</v>
      </c>
      <c r="Y1200">
        <v>0.30974689999999999</v>
      </c>
      <c r="Z1200">
        <v>-1.199311E-2</v>
      </c>
      <c r="AA1200">
        <v>0.95074340000000002</v>
      </c>
      <c r="AB1200">
        <v>25</v>
      </c>
      <c r="AC1200">
        <v>12.1709999999999</v>
      </c>
      <c r="AD1200">
        <v>-1.109114494395</v>
      </c>
      <c r="AE1200">
        <v>-4.2644999999999902</v>
      </c>
      <c r="AF1200">
        <v>4.0197098756500997</v>
      </c>
      <c r="AG1200">
        <v>-1.109114494395</v>
      </c>
      <c r="AH1200">
        <v>12.154336354392701</v>
      </c>
      <c r="AI1200">
        <v>94.951594207168199</v>
      </c>
      <c r="AJ1200">
        <v>71.699798391440197</v>
      </c>
      <c r="AK1200">
        <v>12.849750762633001</v>
      </c>
      <c r="AL1200">
        <v>87.866203799611696</v>
      </c>
      <c r="AM1200">
        <v>84.494579213071901</v>
      </c>
      <c r="AN1200">
        <v>0.99999996995037699</v>
      </c>
    </row>
    <row r="1201" spans="1:40" x14ac:dyDescent="0.25">
      <c r="A1201" t="str">
        <f>"20190312154819740"</f>
        <v>20190312154819740</v>
      </c>
      <c r="B1201" t="str">
        <f>"1552376899737516"</f>
        <v>1552376899737516</v>
      </c>
      <c r="C1201" t="s">
        <v>40</v>
      </c>
      <c r="D1201">
        <v>4.6343360000000002</v>
      </c>
      <c r="E1201">
        <v>0.58716380000000001</v>
      </c>
      <c r="F1201" t="s">
        <v>45</v>
      </c>
      <c r="G1201">
        <v>-207.83009999999999</v>
      </c>
      <c r="H1201" s="1">
        <v>-5.4235720000000001E-6</v>
      </c>
      <c r="I1201">
        <v>364.07920000000001</v>
      </c>
      <c r="J1201">
        <v>-220.02279999999999</v>
      </c>
      <c r="K1201">
        <v>1.1089690000000001</v>
      </c>
      <c r="L1201">
        <v>368.40809999999999</v>
      </c>
      <c r="M1201">
        <v>0.99972050000000001</v>
      </c>
      <c r="N1201">
        <v>0</v>
      </c>
      <c r="O1201">
        <v>-1.9141499999999999E-2</v>
      </c>
      <c r="P1201">
        <v>0.99308050000000003</v>
      </c>
      <c r="Q1201">
        <v>2.4479299999999999E-2</v>
      </c>
      <c r="R1201">
        <v>-0.114855399999999</v>
      </c>
      <c r="S1201">
        <v>2.910568</v>
      </c>
      <c r="T1201">
        <v>-0.26001570000000002</v>
      </c>
      <c r="U1201">
        <v>-1.0161439999999999</v>
      </c>
      <c r="V1201">
        <v>9.5931900000000001E-2</v>
      </c>
      <c r="W1201">
        <v>3.8014609999999997E-2</v>
      </c>
      <c r="X1201">
        <v>0.99466169999999998</v>
      </c>
      <c r="Y1201">
        <v>0.31044549999999999</v>
      </c>
      <c r="Z1201">
        <v>-1.178711E-2</v>
      </c>
      <c r="AA1201">
        <v>0.95051810000000003</v>
      </c>
      <c r="AB1201">
        <v>25</v>
      </c>
      <c r="AC1201">
        <v>12.1927</v>
      </c>
      <c r="AD1201">
        <v>-1.108974423572</v>
      </c>
      <c r="AE1201">
        <v>-4.3288999999999698</v>
      </c>
      <c r="AF1201">
        <v>4.0648351222928802</v>
      </c>
      <c r="AG1201">
        <v>-1.108974423572</v>
      </c>
      <c r="AH1201">
        <v>12.183826051027101</v>
      </c>
      <c r="AI1201">
        <v>94.934781296044406</v>
      </c>
      <c r="AJ1201">
        <v>71.549986301343694</v>
      </c>
      <c r="AK1201">
        <v>12.89179297403</v>
      </c>
      <c r="AL1201">
        <v>87.821398283952803</v>
      </c>
      <c r="AM1201">
        <v>84.491046825292699</v>
      </c>
      <c r="AN1201">
        <v>0.99999996872897501</v>
      </c>
    </row>
    <row r="1202" spans="1:40" x14ac:dyDescent="0.25">
      <c r="A1202" t="str">
        <f>"20190312154819752"</f>
        <v>20190312154819752</v>
      </c>
      <c r="B1202" t="str">
        <f>"1552376899747275"</f>
        <v>1552376899747275</v>
      </c>
      <c r="C1202" t="s">
        <v>40</v>
      </c>
      <c r="D1202">
        <v>4.6260190000000003</v>
      </c>
      <c r="E1202">
        <v>0.58736529999999998</v>
      </c>
      <c r="F1202" t="s">
        <v>45</v>
      </c>
      <c r="G1202">
        <v>-207.54320000000001</v>
      </c>
      <c r="H1202" s="1">
        <v>-5.3381749999999999E-6</v>
      </c>
      <c r="I1202">
        <v>364.01089999999999</v>
      </c>
      <c r="J1202">
        <v>-219.8887</v>
      </c>
      <c r="K1202">
        <v>1.108881</v>
      </c>
      <c r="L1202">
        <v>368.40440000000001</v>
      </c>
      <c r="M1202">
        <v>0.99970020000000004</v>
      </c>
      <c r="N1202">
        <v>0</v>
      </c>
      <c r="O1202">
        <v>-2.017596E-2</v>
      </c>
      <c r="P1202">
        <v>0.99296680000000004</v>
      </c>
      <c r="Q1202">
        <v>2.4660950000000001E-2</v>
      </c>
      <c r="R1202">
        <v>-0.1157989</v>
      </c>
      <c r="S1202">
        <v>2.9087679999999998</v>
      </c>
      <c r="T1202">
        <v>-0.2584804</v>
      </c>
      <c r="U1202">
        <v>-1.024902</v>
      </c>
      <c r="V1202">
        <v>9.5856559999999993E-2</v>
      </c>
      <c r="W1202">
        <v>3.817566E-2</v>
      </c>
      <c r="X1202">
        <v>0.99466279999999996</v>
      </c>
      <c r="Y1202">
        <v>0.31220290000000001</v>
      </c>
      <c r="Z1202">
        <v>-1.1705699999999999E-2</v>
      </c>
      <c r="AA1202">
        <v>0.94994330000000005</v>
      </c>
      <c r="AB1202">
        <v>25</v>
      </c>
      <c r="AC1202">
        <v>12.3454999999999</v>
      </c>
      <c r="AD1202">
        <v>-1.108886338175</v>
      </c>
      <c r="AE1202">
        <v>-4.3935000000000102</v>
      </c>
      <c r="AF1202">
        <v>4.11403898645474</v>
      </c>
      <c r="AG1202">
        <v>-1.108886338175</v>
      </c>
      <c r="AH1202">
        <v>12.3432493162073</v>
      </c>
      <c r="AI1202">
        <v>94.871437682851194</v>
      </c>
      <c r="AJ1202">
        <v>71.566628068094303</v>
      </c>
      <c r="AK1202">
        <v>13.057976465559801</v>
      </c>
      <c r="AL1202">
        <v>87.812164105662902</v>
      </c>
      <c r="AM1202">
        <v>84.495352741011303</v>
      </c>
      <c r="AN1202">
        <v>0.99999997340765401</v>
      </c>
    </row>
    <row r="1203" spans="1:40" x14ac:dyDescent="0.25">
      <c r="A1203" t="str">
        <f>"20190312154819762"</f>
        <v>20190312154819762</v>
      </c>
      <c r="B1203" t="str">
        <f>"1552376899757035"</f>
        <v>1552376899757035</v>
      </c>
      <c r="C1203" t="s">
        <v>40</v>
      </c>
      <c r="D1203">
        <v>4.6512929999999999</v>
      </c>
      <c r="E1203">
        <v>0.58761629999999998</v>
      </c>
      <c r="F1203" t="s">
        <v>45</v>
      </c>
      <c r="G1203">
        <v>-207.43979999999999</v>
      </c>
      <c r="H1203" s="1">
        <v>-5.3057069999999999E-6</v>
      </c>
      <c r="I1203">
        <v>363.9973</v>
      </c>
      <c r="J1203">
        <v>-219.76310000000001</v>
      </c>
      <c r="K1203">
        <v>1.1087910000000001</v>
      </c>
      <c r="L1203">
        <v>368.40089999999998</v>
      </c>
      <c r="M1203">
        <v>0.99967899999999998</v>
      </c>
      <c r="N1203">
        <v>0</v>
      </c>
      <c r="O1203">
        <v>-2.1196799999999998E-2</v>
      </c>
      <c r="P1203">
        <v>0.99280440000000003</v>
      </c>
      <c r="Q1203">
        <v>2.50434E-2</v>
      </c>
      <c r="R1203">
        <v>-0.1170997</v>
      </c>
      <c r="S1203">
        <v>2.9076230000000001</v>
      </c>
      <c r="T1203">
        <v>-0.25899699999999998</v>
      </c>
      <c r="U1203">
        <v>-1.029358</v>
      </c>
      <c r="V1203">
        <v>9.6154080000000003E-2</v>
      </c>
      <c r="W1203">
        <v>3.853732E-2</v>
      </c>
      <c r="X1203">
        <v>0.99462010000000001</v>
      </c>
      <c r="Y1203">
        <v>0.31264239999999999</v>
      </c>
      <c r="Z1203">
        <v>-1.166149E-2</v>
      </c>
      <c r="AA1203">
        <v>0.94979930000000001</v>
      </c>
      <c r="AB1203">
        <v>25</v>
      </c>
      <c r="AC1203">
        <v>12.3233</v>
      </c>
      <c r="AD1203">
        <v>-1.1087963057070001</v>
      </c>
      <c r="AE1203">
        <v>-4.4035999999999804</v>
      </c>
      <c r="AF1203">
        <v>4.1118520721980598</v>
      </c>
      <c r="AG1203">
        <v>-1.1087963057070001</v>
      </c>
      <c r="AH1203">
        <v>12.3253988427007</v>
      </c>
      <c r="AI1203">
        <v>94.877619916166793</v>
      </c>
      <c r="AJ1203">
        <v>71.550887091340101</v>
      </c>
      <c r="AK1203">
        <v>13.040406946979701</v>
      </c>
      <c r="AL1203">
        <v>87.791427174686206</v>
      </c>
      <c r="AM1203">
        <v>84.478137235936103</v>
      </c>
      <c r="AN1203">
        <v>0.99999993772871698</v>
      </c>
    </row>
    <row r="1204" spans="1:40" x14ac:dyDescent="0.25">
      <c r="A1204" t="str">
        <f>"20190312154819774"</f>
        <v>20190312154819774</v>
      </c>
      <c r="B1204" t="str">
        <f>"1552376899766795"</f>
        <v>1552376899766795</v>
      </c>
      <c r="C1204" t="s">
        <v>40</v>
      </c>
      <c r="D1204">
        <v>4.6464509999999999</v>
      </c>
      <c r="E1204">
        <v>0.58773069999999905</v>
      </c>
      <c r="F1204" t="s">
        <v>45</v>
      </c>
      <c r="G1204">
        <v>-207.30850000000001</v>
      </c>
      <c r="H1204" s="1">
        <v>-5.2667309999999997E-6</v>
      </c>
      <c r="I1204">
        <v>363.96539999999999</v>
      </c>
      <c r="J1204">
        <v>-219.6431</v>
      </c>
      <c r="K1204">
        <v>1.1087020000000001</v>
      </c>
      <c r="L1204">
        <v>368.3972</v>
      </c>
      <c r="M1204">
        <v>0.99965550000000003</v>
      </c>
      <c r="N1204">
        <v>0</v>
      </c>
      <c r="O1204">
        <v>-2.2276460000000001E-2</v>
      </c>
      <c r="P1204">
        <v>0.99266790000000005</v>
      </c>
      <c r="Q1204">
        <v>2.537855E-2</v>
      </c>
      <c r="R1204">
        <v>-0.1181807</v>
      </c>
      <c r="S1204">
        <v>2.9062039999999998</v>
      </c>
      <c r="T1204">
        <v>-0.2587315</v>
      </c>
      <c r="U1204">
        <v>-1.035004</v>
      </c>
      <c r="V1204">
        <v>9.6172750000000001E-2</v>
      </c>
      <c r="W1204">
        <v>3.8852749999999998E-2</v>
      </c>
      <c r="X1204">
        <v>0.99460610000000005</v>
      </c>
      <c r="Y1204">
        <v>0.31340430000000002</v>
      </c>
      <c r="Z1204">
        <v>-1.1591219999999999E-2</v>
      </c>
      <c r="AA1204">
        <v>0.94954910000000003</v>
      </c>
      <c r="AB1204">
        <v>25</v>
      </c>
      <c r="AC1204">
        <v>12.334599999999901</v>
      </c>
      <c r="AD1204">
        <v>-1.1087072667309901</v>
      </c>
      <c r="AE1204">
        <v>-4.4318000000000097</v>
      </c>
      <c r="AF1204">
        <v>4.1263751708859697</v>
      </c>
      <c r="AG1204">
        <v>-1.1087072667309901</v>
      </c>
      <c r="AH1204">
        <v>12.3419573531759</v>
      </c>
      <c r="AI1204">
        <v>94.869656296674293</v>
      </c>
      <c r="AJ1204">
        <v>71.513302409152899</v>
      </c>
      <c r="AK1204">
        <v>13.06063226501</v>
      </c>
      <c r="AL1204">
        <v>87.773340990397401</v>
      </c>
      <c r="AM1204">
        <v>84.476994438354694</v>
      </c>
      <c r="AN1204">
        <v>1.00000001409116</v>
      </c>
    </row>
    <row r="1205" spans="1:40" x14ac:dyDescent="0.25">
      <c r="A1205" t="str">
        <f>"20190312154819787"</f>
        <v>20190312154819787</v>
      </c>
      <c r="B1205" t="str">
        <f>"1552376899777531"</f>
        <v>1552376899777531</v>
      </c>
      <c r="C1205" t="s">
        <v>40</v>
      </c>
      <c r="D1205">
        <v>4.6865399999999999</v>
      </c>
      <c r="E1205">
        <v>0.5878255</v>
      </c>
      <c r="F1205" t="s">
        <v>45</v>
      </c>
      <c r="G1205">
        <v>-207.2225</v>
      </c>
      <c r="H1205" s="1">
        <v>-5.2396039999999999E-6</v>
      </c>
      <c r="I1205">
        <v>363.95479999999998</v>
      </c>
      <c r="J1205">
        <v>-219.50200000000001</v>
      </c>
      <c r="K1205">
        <v>1.108595</v>
      </c>
      <c r="L1205">
        <v>368.39280000000002</v>
      </c>
      <c r="M1205">
        <v>0.99962549999999994</v>
      </c>
      <c r="N1205">
        <v>0</v>
      </c>
      <c r="O1205">
        <v>-2.358588E-2</v>
      </c>
      <c r="P1205">
        <v>0.99250020000000005</v>
      </c>
      <c r="Q1205">
        <v>2.579043E-2</v>
      </c>
      <c r="R1205">
        <v>-0.1194928</v>
      </c>
      <c r="S1205">
        <v>2.90509</v>
      </c>
      <c r="T1205">
        <v>-0.25931979999999999</v>
      </c>
      <c r="U1205">
        <v>-1.0390629999999901</v>
      </c>
      <c r="V1205">
        <v>9.6196920000000005E-2</v>
      </c>
      <c r="W1205">
        <v>3.924155E-2</v>
      </c>
      <c r="X1205">
        <v>0.99458849999999999</v>
      </c>
      <c r="Y1205">
        <v>0.31345240000000002</v>
      </c>
      <c r="Z1205">
        <v>-1.150819E-2</v>
      </c>
      <c r="AA1205">
        <v>0.94953419999999999</v>
      </c>
      <c r="AB1205">
        <v>25</v>
      </c>
      <c r="AC1205">
        <v>12.279500000000001</v>
      </c>
      <c r="AD1205">
        <v>-1.108600239604</v>
      </c>
      <c r="AE1205">
        <v>-4.4380000000000397</v>
      </c>
      <c r="AF1205">
        <v>4.1174321443407198</v>
      </c>
      <c r="AG1205">
        <v>-1.108600239604</v>
      </c>
      <c r="AH1205">
        <v>12.2921541585205</v>
      </c>
      <c r="AI1205">
        <v>94.887903137574696</v>
      </c>
      <c r="AJ1205">
        <v>71.480992415184005</v>
      </c>
      <c r="AK1205">
        <v>13.010737712033601</v>
      </c>
      <c r="AL1205">
        <v>87.751047392875805</v>
      </c>
      <c r="AM1205">
        <v>84.475517836538103</v>
      </c>
      <c r="AN1205">
        <v>1.0000000154980599</v>
      </c>
    </row>
    <row r="1206" spans="1:40" x14ac:dyDescent="0.25">
      <c r="A1206" t="str">
        <f>"20190312154819799"</f>
        <v>20190312154819799</v>
      </c>
      <c r="B1206" t="str">
        <f>"1552376899787292"</f>
        <v>1552376899787292</v>
      </c>
      <c r="C1206" t="s">
        <v>40</v>
      </c>
      <c r="D1206">
        <v>4.6748649999999996</v>
      </c>
      <c r="E1206">
        <v>0.58794579999999996</v>
      </c>
      <c r="F1206" t="s">
        <v>45</v>
      </c>
      <c r="G1206">
        <v>-207.10839999999999</v>
      </c>
      <c r="H1206" s="1">
        <v>-5.1955789999999999E-6</v>
      </c>
      <c r="I1206">
        <v>363.94040000000001</v>
      </c>
      <c r="J1206">
        <v>-219.3674</v>
      </c>
      <c r="K1206">
        <v>1.108492</v>
      </c>
      <c r="L1206">
        <v>368.38819999999998</v>
      </c>
      <c r="M1206">
        <v>0.99959249999999999</v>
      </c>
      <c r="N1206">
        <v>0</v>
      </c>
      <c r="O1206">
        <v>-2.4941350000000001E-2</v>
      </c>
      <c r="P1206">
        <v>0.99233910000000003</v>
      </c>
      <c r="Q1206">
        <v>2.671142E-2</v>
      </c>
      <c r="R1206">
        <v>-0.1206228</v>
      </c>
      <c r="S1206">
        <v>2.9038240000000002</v>
      </c>
      <c r="T1206">
        <v>-0.259745</v>
      </c>
      <c r="U1206">
        <v>-1.0432129999999999</v>
      </c>
      <c r="V1206">
        <v>9.5994750000000004E-2</v>
      </c>
      <c r="W1206">
        <v>4.0142070000000002E-2</v>
      </c>
      <c r="X1206">
        <v>0.99457209999999996</v>
      </c>
      <c r="Y1206">
        <v>0.31350020000000001</v>
      </c>
      <c r="Z1206">
        <v>-1.141401E-2</v>
      </c>
      <c r="AA1206">
        <v>0.94951949999999996</v>
      </c>
      <c r="AB1206">
        <v>25</v>
      </c>
      <c r="AC1206">
        <v>12.259</v>
      </c>
      <c r="AD1206">
        <v>-1.1084971955789999</v>
      </c>
      <c r="AE1206">
        <v>-4.4477999999999698</v>
      </c>
      <c r="AF1206">
        <v>4.1109282088488701</v>
      </c>
      <c r="AG1206">
        <v>-1.1084971955789999</v>
      </c>
      <c r="AH1206">
        <v>12.277423308671199</v>
      </c>
      <c r="AI1206">
        <v>94.893474145900399</v>
      </c>
      <c r="AJ1206">
        <v>71.487578774482998</v>
      </c>
      <c r="AK1206">
        <v>12.9947535517692</v>
      </c>
      <c r="AL1206">
        <v>87.699410715535294</v>
      </c>
      <c r="AM1206">
        <v>84.486966287070004</v>
      </c>
      <c r="AN1206">
        <v>1.0000000199549199</v>
      </c>
    </row>
    <row r="1207" spans="1:40" x14ac:dyDescent="0.25">
      <c r="A1207" t="str">
        <f>"20190312154819810"</f>
        <v>20190312154819810</v>
      </c>
      <c r="B1207" t="str">
        <f>"1552376899806811"</f>
        <v>1552376899806811</v>
      </c>
      <c r="C1207" t="s">
        <v>40</v>
      </c>
      <c r="D1207">
        <v>4.7076140000000004</v>
      </c>
      <c r="E1207">
        <v>0.58811919999999995</v>
      </c>
      <c r="F1207" t="s">
        <v>45</v>
      </c>
      <c r="G1207">
        <v>-206.93530000000001</v>
      </c>
      <c r="H1207" s="1">
        <v>-5.1232829999999999E-6</v>
      </c>
      <c r="I1207">
        <v>363.90269999999998</v>
      </c>
      <c r="J1207">
        <v>-219.2379</v>
      </c>
      <c r="K1207">
        <v>1.1084000000000001</v>
      </c>
      <c r="L1207">
        <v>368.3836</v>
      </c>
      <c r="M1207">
        <v>0.9995579</v>
      </c>
      <c r="N1207">
        <v>0</v>
      </c>
      <c r="O1207">
        <v>-2.6295329999999999E-2</v>
      </c>
      <c r="P1207">
        <v>0.99213530000000005</v>
      </c>
      <c r="Q1207">
        <v>2.7110889999999999E-2</v>
      </c>
      <c r="R1207">
        <v>-0.12220010000000001</v>
      </c>
      <c r="S1207">
        <v>2.9028170000000002</v>
      </c>
      <c r="T1207">
        <v>-0.2588279</v>
      </c>
      <c r="U1207">
        <v>-1.0473330000000001</v>
      </c>
      <c r="V1207">
        <v>9.6239619999999998E-2</v>
      </c>
      <c r="W1207">
        <v>4.0521309999999998E-2</v>
      </c>
      <c r="X1207">
        <v>0.99453309999999995</v>
      </c>
      <c r="Y1207">
        <v>0.31352409999999997</v>
      </c>
      <c r="Z1207">
        <v>-1.1259419999999999E-2</v>
      </c>
      <c r="AA1207">
        <v>0.94951350000000001</v>
      </c>
      <c r="AB1207">
        <v>25</v>
      </c>
      <c r="AC1207">
        <v>12.302599999999901</v>
      </c>
      <c r="AD1207">
        <v>-1.1084051232829999</v>
      </c>
      <c r="AE1207">
        <v>-4.4809000000000196</v>
      </c>
      <c r="AF1207">
        <v>4.1262476622503801</v>
      </c>
      <c r="AG1207">
        <v>-1.1084051232829999</v>
      </c>
      <c r="AH1207">
        <v>12.3278364323495</v>
      </c>
      <c r="AI1207">
        <v>94.873341462110901</v>
      </c>
      <c r="AJ1207">
        <v>71.494101372417006</v>
      </c>
      <c r="AK1207">
        <v>13.0472231831264</v>
      </c>
      <c r="AL1207">
        <v>87.677664272624298</v>
      </c>
      <c r="AM1207">
        <v>84.472774835483506</v>
      </c>
      <c r="AN1207">
        <v>1.0000000640087301</v>
      </c>
    </row>
    <row r="1208" spans="1:40" x14ac:dyDescent="0.25">
      <c r="A1208" t="str">
        <f>"20190312154819823"</f>
        <v>20190312154819823</v>
      </c>
      <c r="B1208" t="str">
        <f>"1552376899816571"</f>
        <v>1552376899816571</v>
      </c>
      <c r="C1208" t="s">
        <v>40</v>
      </c>
      <c r="D1208">
        <v>4.7001520000000001</v>
      </c>
      <c r="E1208">
        <v>0.58830669999999996</v>
      </c>
      <c r="F1208" t="s">
        <v>45</v>
      </c>
      <c r="G1208">
        <v>-206.88939999999999</v>
      </c>
      <c r="H1208" s="1">
        <v>-5.1023269999999999E-6</v>
      </c>
      <c r="I1208">
        <v>363.9008</v>
      </c>
      <c r="J1208">
        <v>-219.09950000000001</v>
      </c>
      <c r="K1208">
        <v>1.108303</v>
      </c>
      <c r="L1208">
        <v>368.3784</v>
      </c>
      <c r="M1208">
        <v>0.99951699999999999</v>
      </c>
      <c r="N1208">
        <v>0</v>
      </c>
      <c r="O1208">
        <v>-2.779802E-2</v>
      </c>
      <c r="P1208">
        <v>0.99192800000000003</v>
      </c>
      <c r="Q1208">
        <v>2.735988E-2</v>
      </c>
      <c r="R1208">
        <v>-0.1238167</v>
      </c>
      <c r="S1208">
        <v>2.9011990000000001</v>
      </c>
      <c r="T1208">
        <v>-0.2604127</v>
      </c>
      <c r="U1208">
        <v>-1.0531919999999999</v>
      </c>
      <c r="V1208">
        <v>9.6375870000000002E-2</v>
      </c>
      <c r="W1208">
        <v>4.075049E-2</v>
      </c>
      <c r="X1208">
        <v>0.99451049999999996</v>
      </c>
      <c r="Y1208">
        <v>0.31395279999999998</v>
      </c>
      <c r="Z1208">
        <v>-1.1218759999999999E-2</v>
      </c>
      <c r="AA1208">
        <v>0.94937229999999995</v>
      </c>
      <c r="AB1208">
        <v>25</v>
      </c>
      <c r="AC1208">
        <v>12.210100000000001</v>
      </c>
      <c r="AD1208">
        <v>-1.1083081023270001</v>
      </c>
      <c r="AE1208">
        <v>-4.47759999999999</v>
      </c>
      <c r="AF1208">
        <v>4.1065958063148198</v>
      </c>
      <c r="AG1208">
        <v>-1.1083081023270001</v>
      </c>
      <c r="AH1208">
        <v>12.2409610226052</v>
      </c>
      <c r="AI1208">
        <v>94.906199494428705</v>
      </c>
      <c r="AJ1208">
        <v>71.4544346730802</v>
      </c>
      <c r="AK1208">
        <v>12.9589198131274</v>
      </c>
      <c r="AL1208">
        <v>87.664522275178896</v>
      </c>
      <c r="AM1208">
        <v>84.464873296881194</v>
      </c>
      <c r="AN1208">
        <v>1.0000000226818699</v>
      </c>
    </row>
    <row r="1209" spans="1:40" x14ac:dyDescent="0.25">
      <c r="A1209" t="str">
        <f>"20190312154819836"</f>
        <v>20190312154819836</v>
      </c>
      <c r="B1209" t="str">
        <f>"1552376899827308"</f>
        <v>1552376899827308</v>
      </c>
      <c r="C1209" t="s">
        <v>40</v>
      </c>
      <c r="D1209">
        <v>4.7110320000000003</v>
      </c>
      <c r="E1209">
        <v>0.58838119999999905</v>
      </c>
      <c r="F1209" t="s">
        <v>45</v>
      </c>
      <c r="G1209">
        <v>-206.79089999999999</v>
      </c>
      <c r="H1209" s="1">
        <v>-5.0604620000000003E-6</v>
      </c>
      <c r="I1209">
        <v>363.88260000000002</v>
      </c>
      <c r="J1209">
        <v>-218.96379999999999</v>
      </c>
      <c r="K1209">
        <v>1.108225</v>
      </c>
      <c r="L1209">
        <v>368.37299999999999</v>
      </c>
      <c r="M1209">
        <v>0.99947260000000004</v>
      </c>
      <c r="N1209">
        <v>0</v>
      </c>
      <c r="O1209">
        <v>-2.9356409999999999E-2</v>
      </c>
      <c r="P1209">
        <v>0.99167380000000005</v>
      </c>
      <c r="Q1209">
        <v>2.7301300000000001E-2</v>
      </c>
      <c r="R1209">
        <v>-0.12584880000000001</v>
      </c>
      <c r="S1209">
        <v>2.8994140000000002</v>
      </c>
      <c r="T1209">
        <v>-0.26107170000000002</v>
      </c>
      <c r="U1209">
        <v>-1.059021</v>
      </c>
      <c r="V1209">
        <v>9.6870810000000002E-2</v>
      </c>
      <c r="W1209">
        <v>4.067283E-2</v>
      </c>
      <c r="X1209">
        <v>0.99446559999999995</v>
      </c>
      <c r="Y1209">
        <v>0.31434440000000002</v>
      </c>
      <c r="Z1209">
        <v>-1.113155E-2</v>
      </c>
      <c r="AA1209">
        <v>0.94924379999999997</v>
      </c>
      <c r="AB1209">
        <v>25</v>
      </c>
      <c r="AC1209">
        <v>12.172899999999901</v>
      </c>
      <c r="AD1209">
        <v>-1.1082300604619999</v>
      </c>
      <c r="AE1209">
        <v>-4.4904000000000197</v>
      </c>
      <c r="AF1209">
        <v>4.1011565908601399</v>
      </c>
      <c r="AG1209">
        <v>-1.1082300604619999</v>
      </c>
      <c r="AH1209">
        <v>12.210404388512901</v>
      </c>
      <c r="AI1209">
        <v>94.917490711167503</v>
      </c>
      <c r="AJ1209">
        <v>71.434141915498898</v>
      </c>
      <c r="AK1209">
        <v>12.9283268283518</v>
      </c>
      <c r="AL1209">
        <v>87.668975577368201</v>
      </c>
      <c r="AM1209">
        <v>84.436375827675306</v>
      </c>
      <c r="AN1209">
        <v>1.00000003125681</v>
      </c>
    </row>
    <row r="1210" spans="1:40" x14ac:dyDescent="0.25">
      <c r="A1210" t="str">
        <f>"20190312154819850"</f>
        <v>20190312154819850</v>
      </c>
      <c r="B1210" t="str">
        <f>"1552376899846827"</f>
        <v>1552376899846827</v>
      </c>
      <c r="C1210" t="s">
        <v>40</v>
      </c>
      <c r="D1210">
        <v>4.7075670000000001</v>
      </c>
      <c r="E1210">
        <v>0.58860449999999997</v>
      </c>
      <c r="F1210" t="s">
        <v>45</v>
      </c>
      <c r="G1210">
        <v>-206.7354</v>
      </c>
      <c r="H1210" s="1">
        <v>-5.0358239999999999E-6</v>
      </c>
      <c r="I1210">
        <v>363.87720000000002</v>
      </c>
      <c r="J1210">
        <v>-218.80350000000001</v>
      </c>
      <c r="K1210">
        <v>1.1081399999999999</v>
      </c>
      <c r="L1210">
        <v>368.36630000000002</v>
      </c>
      <c r="M1210">
        <v>0.9994151</v>
      </c>
      <c r="N1210">
        <v>0</v>
      </c>
      <c r="O1210">
        <v>-3.1249530000000001E-2</v>
      </c>
      <c r="P1210">
        <v>0.99137580000000003</v>
      </c>
      <c r="Q1210">
        <v>2.7136690000000002E-2</v>
      </c>
      <c r="R1210">
        <v>-0.12820999999999999</v>
      </c>
      <c r="S1210">
        <v>2.8972630000000001</v>
      </c>
      <c r="T1210">
        <v>-0.262571</v>
      </c>
      <c r="U1210">
        <v>-1.065186</v>
      </c>
      <c r="V1210">
        <v>9.7362950000000004E-2</v>
      </c>
      <c r="W1210">
        <v>4.0487969999999998E-2</v>
      </c>
      <c r="X1210">
        <v>0.99442509999999995</v>
      </c>
      <c r="Y1210">
        <v>0.31454850000000001</v>
      </c>
      <c r="Z1210">
        <v>-1.1042690000000001E-2</v>
      </c>
      <c r="AA1210">
        <v>0.9491771</v>
      </c>
      <c r="AB1210">
        <v>25</v>
      </c>
      <c r="AC1210">
        <v>12.068099999999999</v>
      </c>
      <c r="AD1210">
        <v>-1.1081450358239999</v>
      </c>
      <c r="AE1210">
        <v>-4.4890999999999996</v>
      </c>
      <c r="AF1210">
        <v>4.0795319465057904</v>
      </c>
      <c r="AG1210">
        <v>-1.1081450358239999</v>
      </c>
      <c r="AH1210">
        <v>12.112783499109099</v>
      </c>
      <c r="AI1210">
        <v>94.955174066454504</v>
      </c>
      <c r="AJ1210">
        <v>71.386702080140296</v>
      </c>
      <c r="AK1210">
        <v>12.829266947853</v>
      </c>
      <c r="AL1210">
        <v>87.679576049331203</v>
      </c>
      <c r="AM1210">
        <v>84.408062928647695</v>
      </c>
      <c r="AN1210">
        <v>1.00000004962871</v>
      </c>
    </row>
    <row r="1211" spans="1:40" x14ac:dyDescent="0.25">
      <c r="A1211" t="str">
        <f>"20190312154819863"</f>
        <v>20190312154819863</v>
      </c>
      <c r="B1211" t="str">
        <f>"1552376899856587"</f>
        <v>1552376899856587</v>
      </c>
      <c r="C1211" t="s">
        <v>40</v>
      </c>
      <c r="D1211">
        <v>4.719068</v>
      </c>
      <c r="E1211">
        <v>0.58861649999999999</v>
      </c>
      <c r="F1211" t="s">
        <v>45</v>
      </c>
      <c r="G1211">
        <v>-206.74029999999999</v>
      </c>
      <c r="H1211" s="1">
        <v>-5.0345709999999999E-6</v>
      </c>
      <c r="I1211">
        <v>363.89319999999998</v>
      </c>
      <c r="J1211">
        <v>-218.6499</v>
      </c>
      <c r="K1211">
        <v>1.1080760000000001</v>
      </c>
      <c r="L1211">
        <v>368.35950000000003</v>
      </c>
      <c r="M1211">
        <v>0.99935450000000003</v>
      </c>
      <c r="N1211">
        <v>0</v>
      </c>
      <c r="O1211">
        <v>-3.312644E-2</v>
      </c>
      <c r="P1211">
        <v>0.99091700000000005</v>
      </c>
      <c r="Q1211">
        <v>2.7308289999999999E-2</v>
      </c>
      <c r="R1211">
        <v>-0.13167300000000001</v>
      </c>
      <c r="S1211">
        <v>2.8945919999999998</v>
      </c>
      <c r="T1211">
        <v>-0.26590259999999999</v>
      </c>
      <c r="U1211">
        <v>-1.073334</v>
      </c>
      <c r="V1211">
        <v>9.8978159999999996E-2</v>
      </c>
      <c r="W1211">
        <v>4.0635669999999999E-2</v>
      </c>
      <c r="X1211">
        <v>0.99425949999999996</v>
      </c>
      <c r="Y1211">
        <v>0.3153784</v>
      </c>
      <c r="Z1211">
        <v>-1.105751E-2</v>
      </c>
      <c r="AA1211">
        <v>0.94890160000000001</v>
      </c>
      <c r="AB1211">
        <v>25</v>
      </c>
      <c r="AC1211">
        <v>11.909599999999999</v>
      </c>
      <c r="AD1211">
        <v>-1.1080810345709999</v>
      </c>
      <c r="AE1211">
        <v>-4.4663000000000403</v>
      </c>
      <c r="AF1211">
        <v>4.0386371323549799</v>
      </c>
      <c r="AG1211">
        <v>-1.1080810345709999</v>
      </c>
      <c r="AH1211">
        <v>11.960259443527899</v>
      </c>
      <c r="AI1211">
        <v>95.016432637782202</v>
      </c>
      <c r="AJ1211">
        <v>71.341647234110297</v>
      </c>
      <c r="AK1211">
        <v>12.672262600755699</v>
      </c>
      <c r="AL1211">
        <v>87.671106245828994</v>
      </c>
      <c r="AM1211">
        <v>84.3149571174242</v>
      </c>
      <c r="AN1211">
        <v>0.99999994358679001</v>
      </c>
    </row>
    <row r="1212" spans="1:40" x14ac:dyDescent="0.25">
      <c r="A1212" t="str">
        <f>"20190312154819878"</f>
        <v>20190312154819878</v>
      </c>
      <c r="B1212" t="str">
        <f>"1552376899867323"</f>
        <v>1552376899867323</v>
      </c>
      <c r="C1212" t="s">
        <v>40</v>
      </c>
      <c r="D1212">
        <v>4.7327130000000004</v>
      </c>
      <c r="E1212">
        <v>0.58863909999999997</v>
      </c>
      <c r="F1212" t="s">
        <v>45</v>
      </c>
      <c r="G1212">
        <v>-206.66759999999999</v>
      </c>
      <c r="H1212" s="1">
        <v>-5.0059949999999997E-6</v>
      </c>
      <c r="I1212">
        <v>363.86930000000001</v>
      </c>
      <c r="J1212">
        <v>-218.49850000000001</v>
      </c>
      <c r="K1212">
        <v>1.108026</v>
      </c>
      <c r="L1212">
        <v>368.35239999999999</v>
      </c>
      <c r="M1212">
        <v>0.99928899999999998</v>
      </c>
      <c r="N1212">
        <v>0</v>
      </c>
      <c r="O1212">
        <v>-3.5045989999999999E-2</v>
      </c>
      <c r="P1212">
        <v>0.99050320000000003</v>
      </c>
      <c r="Q1212">
        <v>2.7713749999999999E-2</v>
      </c>
      <c r="R1212">
        <v>-0.13466789999999901</v>
      </c>
      <c r="S1212">
        <v>2.89093</v>
      </c>
      <c r="T1212">
        <v>-0.26734259999999999</v>
      </c>
      <c r="U1212">
        <v>-1.0833440000000001</v>
      </c>
      <c r="V1212">
        <v>0.1000819</v>
      </c>
      <c r="W1212">
        <v>4.1023490000000003E-2</v>
      </c>
      <c r="X1212">
        <v>0.99413309999999999</v>
      </c>
      <c r="Y1212">
        <v>0.31682169999999998</v>
      </c>
      <c r="Z1212">
        <v>-1.1017529999999999E-2</v>
      </c>
      <c r="AA1212">
        <v>0.94842110000000002</v>
      </c>
      <c r="AB1212">
        <v>25</v>
      </c>
      <c r="AC1212">
        <v>11.8309</v>
      </c>
      <c r="AD1212">
        <v>-1.108031005995</v>
      </c>
      <c r="AE1212">
        <v>-4.4830999999999701</v>
      </c>
      <c r="AF1212">
        <v>4.0347332137346799</v>
      </c>
      <c r="AG1212">
        <v>-1.108031005995</v>
      </c>
      <c r="AH1212">
        <v>11.8895671514447</v>
      </c>
      <c r="AI1212">
        <v>95.043319205395306</v>
      </c>
      <c r="AJ1212">
        <v>71.255319383809706</v>
      </c>
      <c r="AK1212">
        <v>12.604309257748801</v>
      </c>
      <c r="AL1212">
        <v>87.648867305706503</v>
      </c>
      <c r="AM1212">
        <v>84.2512574706317</v>
      </c>
      <c r="AN1212">
        <v>0.99999996697749904</v>
      </c>
    </row>
    <row r="1213" spans="1:40" x14ac:dyDescent="0.25">
      <c r="A1213" t="str">
        <f>"20190312154819896"</f>
        <v>20190312154819896</v>
      </c>
      <c r="B1213" t="str">
        <f>"1552376899886843"</f>
        <v>1552376899886843</v>
      </c>
      <c r="C1213" t="s">
        <v>40</v>
      </c>
      <c r="D1213">
        <v>4.7434690000000002</v>
      </c>
      <c r="E1213">
        <v>0.58874309999999996</v>
      </c>
      <c r="F1213" t="s">
        <v>45</v>
      </c>
      <c r="G1213">
        <v>-206.53809999999999</v>
      </c>
      <c r="H1213" s="1">
        <v>-4.9546690000000004E-6</v>
      </c>
      <c r="I1213">
        <v>363.82870000000003</v>
      </c>
      <c r="J1213">
        <v>-218.28550000000001</v>
      </c>
      <c r="K1213">
        <v>1.1079749999999999</v>
      </c>
      <c r="L1213">
        <v>368.34190000000001</v>
      </c>
      <c r="M1213">
        <v>0.99918830000000003</v>
      </c>
      <c r="N1213">
        <v>0</v>
      </c>
      <c r="O1213">
        <v>-3.780613E-2</v>
      </c>
      <c r="P1213">
        <v>0.98973440000000001</v>
      </c>
      <c r="Q1213">
        <v>2.8677569999999999E-2</v>
      </c>
      <c r="R1213">
        <v>-0.14001279999999999</v>
      </c>
      <c r="S1213">
        <v>2.887756</v>
      </c>
      <c r="T1213">
        <v>-0.26752540000000002</v>
      </c>
      <c r="U1213">
        <v>-1.0922240000000001</v>
      </c>
      <c r="V1213">
        <v>0.102715</v>
      </c>
      <c r="W1213">
        <v>4.1957759999999997E-2</v>
      </c>
      <c r="X1213">
        <v>0.99382559999999998</v>
      </c>
      <c r="Y1213">
        <v>0.31710680000000002</v>
      </c>
      <c r="Z1213">
        <v>-1.0797599999999999E-2</v>
      </c>
      <c r="AA1213">
        <v>0.94832839999999996</v>
      </c>
      <c r="AB1213">
        <v>25</v>
      </c>
      <c r="AC1213">
        <v>11.747400000000001</v>
      </c>
      <c r="AD1213">
        <v>-1.1079799546689999</v>
      </c>
      <c r="AE1213">
        <v>-4.5131999999999799</v>
      </c>
      <c r="AF1213">
        <v>4.0345321919905999</v>
      </c>
      <c r="AG1213">
        <v>-1.1079799546689999</v>
      </c>
      <c r="AH1213">
        <v>11.8180348433121</v>
      </c>
      <c r="AI1213">
        <v>95.0703190608249</v>
      </c>
      <c r="AJ1213">
        <v>71.150724468586802</v>
      </c>
      <c r="AK1213">
        <v>12.5367865558083</v>
      </c>
      <c r="AL1213">
        <v>87.595291697097494</v>
      </c>
      <c r="AM1213">
        <v>84.0992518999428</v>
      </c>
      <c r="AN1213">
        <v>1.0000000740322801</v>
      </c>
    </row>
    <row r="1214" spans="1:40" x14ac:dyDescent="0.25">
      <c r="A1214" t="str">
        <f>"20190312154819909"</f>
        <v>20190312154819909</v>
      </c>
      <c r="B1214" t="str">
        <f>"1552376899896603"</f>
        <v>1552376899896603</v>
      </c>
      <c r="C1214" t="s">
        <v>40</v>
      </c>
      <c r="D1214">
        <v>4.7385289999999998</v>
      </c>
      <c r="E1214">
        <v>0.58882089999999998</v>
      </c>
      <c r="F1214" t="s">
        <v>45</v>
      </c>
      <c r="G1214">
        <v>-206.31950000000001</v>
      </c>
      <c r="H1214" s="1">
        <v>-4.8721420000000002E-6</v>
      </c>
      <c r="I1214">
        <v>363.74169999999998</v>
      </c>
      <c r="J1214">
        <v>-218.15190000000001</v>
      </c>
      <c r="K1214">
        <v>1.1079490000000001</v>
      </c>
      <c r="L1214">
        <v>368.33499999999998</v>
      </c>
      <c r="M1214">
        <v>0.99912020000000001</v>
      </c>
      <c r="N1214">
        <v>0</v>
      </c>
      <c r="O1214">
        <v>-3.9568430000000002E-2</v>
      </c>
      <c r="P1214">
        <v>0.98927920000000003</v>
      </c>
      <c r="Q1214">
        <v>2.9218540000000001E-2</v>
      </c>
      <c r="R1214">
        <v>-0.14308409999999999</v>
      </c>
      <c r="S1214">
        <v>2.8821110000000001</v>
      </c>
      <c r="T1214">
        <v>-0.2668663</v>
      </c>
      <c r="U1214">
        <v>-1.1080019999999999</v>
      </c>
      <c r="V1214">
        <v>0.10405399999999999</v>
      </c>
      <c r="W1214">
        <v>4.248325E-2</v>
      </c>
      <c r="X1214">
        <v>0.99366390000000004</v>
      </c>
      <c r="Y1214">
        <v>0.32057600000000003</v>
      </c>
      <c r="Z1214">
        <v>-1.0778899999999999E-2</v>
      </c>
      <c r="AA1214">
        <v>0.94716149999999999</v>
      </c>
      <c r="AB1214">
        <v>25</v>
      </c>
      <c r="AC1214">
        <v>11.8324</v>
      </c>
      <c r="AD1214">
        <v>-1.1079538721419999</v>
      </c>
      <c r="AE1214">
        <v>-4.5932999999999904</v>
      </c>
      <c r="AF1214">
        <v>4.0903006197446796</v>
      </c>
      <c r="AG1214">
        <v>-1.1079538721419999</v>
      </c>
      <c r="AH1214">
        <v>11.914117273871399</v>
      </c>
      <c r="AI1214">
        <v>95.026566878357897</v>
      </c>
      <c r="AJ1214">
        <v>71.051861544452905</v>
      </c>
      <c r="AK1214">
        <v>12.6453276493035</v>
      </c>
      <c r="AL1214">
        <v>87.565156297636506</v>
      </c>
      <c r="AM1214">
        <v>84.021917041121299</v>
      </c>
      <c r="AN1214">
        <v>1.00000000380488</v>
      </c>
    </row>
    <row r="1215" spans="1:40" x14ac:dyDescent="0.25">
      <c r="A1215" t="str">
        <f>"20190312154819920"</f>
        <v>20190312154819920</v>
      </c>
      <c r="B1215" t="str">
        <f>"1552376899907340"</f>
        <v>1552376899907340</v>
      </c>
      <c r="C1215" t="s">
        <v>40</v>
      </c>
      <c r="D1215">
        <v>4.7380120000000003</v>
      </c>
      <c r="E1215">
        <v>0.58890189999999998</v>
      </c>
      <c r="F1215" t="s">
        <v>45</v>
      </c>
      <c r="G1215">
        <v>-206.15209999999999</v>
      </c>
      <c r="H1215" s="1">
        <v>-4.8090390000000001E-6</v>
      </c>
      <c r="I1215">
        <v>363.67469999999997</v>
      </c>
      <c r="J1215">
        <v>-218.02860000000001</v>
      </c>
      <c r="K1215">
        <v>1.1079300000000001</v>
      </c>
      <c r="L1215">
        <v>368.32839999999999</v>
      </c>
      <c r="M1215">
        <v>0.99905339999999998</v>
      </c>
      <c r="N1215">
        <v>0</v>
      </c>
      <c r="O1215">
        <v>-4.1216959999999997E-2</v>
      </c>
      <c r="P1215">
        <v>0.98886070000000004</v>
      </c>
      <c r="Q1215">
        <v>2.9735910000000001E-2</v>
      </c>
      <c r="R1215">
        <v>-0.14584250000000001</v>
      </c>
      <c r="S1215">
        <v>2.878647</v>
      </c>
      <c r="T1215">
        <v>-0.26578829999999998</v>
      </c>
      <c r="U1215">
        <v>-1.1179809999999999</v>
      </c>
      <c r="V1215">
        <v>0.1051919</v>
      </c>
      <c r="W1215">
        <v>4.2988230000000002E-2</v>
      </c>
      <c r="X1215">
        <v>0.99352229999999997</v>
      </c>
      <c r="Y1215">
        <v>0.32225880000000001</v>
      </c>
      <c r="Z1215">
        <v>-1.0670010000000001E-2</v>
      </c>
      <c r="AA1215">
        <v>0.94659139999999997</v>
      </c>
      <c r="AB1215">
        <v>25</v>
      </c>
      <c r="AC1215">
        <v>11.8765</v>
      </c>
      <c r="AD1215">
        <v>-1.10793480903899</v>
      </c>
      <c r="AE1215">
        <v>-4.6537000000000104</v>
      </c>
      <c r="AF1215">
        <v>4.1290333563361603</v>
      </c>
      <c r="AG1215">
        <v>-1.10793480903899</v>
      </c>
      <c r="AH1215">
        <v>11.967945766930001</v>
      </c>
      <c r="AI1215">
        <v>95.001396364505098</v>
      </c>
      <c r="AJ1215">
        <v>70.965171764201699</v>
      </c>
      <c r="AK1215">
        <v>12.7085861479157</v>
      </c>
      <c r="AL1215">
        <v>87.536196465503494</v>
      </c>
      <c r="AM1215">
        <v>83.956168968085507</v>
      </c>
      <c r="AN1215">
        <v>0.99999994217071397</v>
      </c>
    </row>
    <row r="1216" spans="1:40" x14ac:dyDescent="0.25">
      <c r="A1216" t="str">
        <f>"20190312154819931"</f>
        <v>20190312154819931</v>
      </c>
      <c r="B1216" t="str">
        <f>"1552376899926859"</f>
        <v>1552376899926859</v>
      </c>
      <c r="C1216" t="s">
        <v>40</v>
      </c>
      <c r="D1216">
        <v>4.7660749999999998</v>
      </c>
      <c r="E1216">
        <v>0.58895359999999997</v>
      </c>
      <c r="F1216" t="s">
        <v>45</v>
      </c>
      <c r="G1216">
        <v>-205.99850000000001</v>
      </c>
      <c r="H1216" s="1">
        <v>-4.7509800000000002E-6</v>
      </c>
      <c r="I1216">
        <v>363.61380000000003</v>
      </c>
      <c r="J1216">
        <v>-217.9068</v>
      </c>
      <c r="K1216">
        <v>1.107915</v>
      </c>
      <c r="L1216">
        <v>368.32159999999999</v>
      </c>
      <c r="M1216">
        <v>0.99898439999999999</v>
      </c>
      <c r="N1216">
        <v>0</v>
      </c>
      <c r="O1216">
        <v>-4.2856100000000001E-2</v>
      </c>
      <c r="P1216">
        <v>0.98837379999999997</v>
      </c>
      <c r="Q1216">
        <v>3.03707E-2</v>
      </c>
      <c r="R1216">
        <v>-0.14897929999999901</v>
      </c>
      <c r="S1216">
        <v>2.875534</v>
      </c>
      <c r="T1216">
        <v>-0.26482879999999998</v>
      </c>
      <c r="U1216">
        <v>-1.1269229999999999</v>
      </c>
      <c r="V1216">
        <v>0.1067207</v>
      </c>
      <c r="W1216">
        <v>4.3608969999999997E-2</v>
      </c>
      <c r="X1216">
        <v>0.99333229999999995</v>
      </c>
      <c r="Y1216">
        <v>0.32361390000000001</v>
      </c>
      <c r="Z1216">
        <v>-1.055203E-2</v>
      </c>
      <c r="AA1216">
        <v>0.94613040000000004</v>
      </c>
      <c r="AB1216">
        <v>25</v>
      </c>
      <c r="AC1216">
        <v>11.908299999999899</v>
      </c>
      <c r="AD1216">
        <v>-1.1079197509799901</v>
      </c>
      <c r="AE1216">
        <v>-4.7077999999999598</v>
      </c>
      <c r="AF1216">
        <v>4.1619250573057398</v>
      </c>
      <c r="AG1216">
        <v>-1.1079197509799901</v>
      </c>
      <c r="AH1216">
        <v>12.0092335919412</v>
      </c>
      <c r="AI1216">
        <v>94.981843224340693</v>
      </c>
      <c r="AJ1216">
        <v>70.885708156776204</v>
      </c>
      <c r="AK1216">
        <v>12.758165927085701</v>
      </c>
      <c r="AL1216">
        <v>87.500597574985406</v>
      </c>
      <c r="AM1216">
        <v>83.867831791204097</v>
      </c>
      <c r="AN1216">
        <v>1.00000005414811</v>
      </c>
    </row>
    <row r="1217" spans="1:40" x14ac:dyDescent="0.25">
      <c r="A1217" t="str">
        <f>"20190312154819943"</f>
        <v>20190312154819943</v>
      </c>
      <c r="B1217" t="str">
        <f>"1552376899937595"</f>
        <v>1552376899937595</v>
      </c>
      <c r="C1217" t="s">
        <v>40</v>
      </c>
      <c r="D1217">
        <v>4.8082510000000003</v>
      </c>
      <c r="E1217">
        <v>0.58901029999999999</v>
      </c>
      <c r="F1217" t="s">
        <v>45</v>
      </c>
      <c r="G1217">
        <v>-205.85220000000001</v>
      </c>
      <c r="H1217" s="1">
        <v>-4.6968770000000003E-6</v>
      </c>
      <c r="I1217">
        <v>363.55040000000002</v>
      </c>
      <c r="J1217">
        <v>-217.77099999999999</v>
      </c>
      <c r="K1217">
        <v>1.1079019999999999</v>
      </c>
      <c r="L1217">
        <v>368.31389999999999</v>
      </c>
      <c r="M1217">
        <v>0.99890389999999996</v>
      </c>
      <c r="N1217">
        <v>0</v>
      </c>
      <c r="O1217">
        <v>-4.4693209999999997E-2</v>
      </c>
      <c r="P1217">
        <v>0.9878922</v>
      </c>
      <c r="Q1217">
        <v>3.1161709999999999E-2</v>
      </c>
      <c r="R1217">
        <v>-0.151981</v>
      </c>
      <c r="S1217">
        <v>2.8720699999999999</v>
      </c>
      <c r="T1217">
        <v>-0.26396760000000002</v>
      </c>
      <c r="U1217">
        <v>-1.1367799999999999</v>
      </c>
      <c r="V1217">
        <v>0.1079191</v>
      </c>
      <c r="W1217">
        <v>4.4387360000000001E-2</v>
      </c>
      <c r="X1217">
        <v>0.9931683</v>
      </c>
      <c r="Y1217">
        <v>0.32507979999999997</v>
      </c>
      <c r="Z1217">
        <v>-1.04265E-2</v>
      </c>
      <c r="AA1217">
        <v>0.9456291</v>
      </c>
      <c r="AB1217">
        <v>25</v>
      </c>
      <c r="AC1217">
        <v>11.9187999999999</v>
      </c>
      <c r="AD1217">
        <v>-1.1079066968769999</v>
      </c>
      <c r="AE1217">
        <v>-4.7634999999999597</v>
      </c>
      <c r="AF1217">
        <v>4.1947453438144002</v>
      </c>
      <c r="AG1217">
        <v>-1.1079066968769999</v>
      </c>
      <c r="AH1217">
        <v>12.0301740679853</v>
      </c>
      <c r="AI1217">
        <v>94.969896767954907</v>
      </c>
      <c r="AJ1217">
        <v>70.7770854361532</v>
      </c>
      <c r="AK1217">
        <v>12.788605625886801</v>
      </c>
      <c r="AL1217">
        <v>87.455955799581702</v>
      </c>
      <c r="AM1217">
        <v>83.798489295070695</v>
      </c>
      <c r="AN1217">
        <v>1.0000000209987301</v>
      </c>
    </row>
    <row r="1218" spans="1:40" x14ac:dyDescent="0.25">
      <c r="A1218" t="str">
        <f>"20190312154819954"</f>
        <v>20190312154819954</v>
      </c>
      <c r="B1218" t="str">
        <f>"1552376899947356"</f>
        <v>1552376899947356</v>
      </c>
      <c r="C1218" t="s">
        <v>40</v>
      </c>
      <c r="D1218">
        <v>4.7777669999999999</v>
      </c>
      <c r="E1218">
        <v>0.58901800000000004</v>
      </c>
      <c r="F1218" t="s">
        <v>45</v>
      </c>
      <c r="G1218">
        <v>-205.65479999999999</v>
      </c>
      <c r="H1218" s="1">
        <v>-4.6221409999999998E-6</v>
      </c>
      <c r="I1218">
        <v>363.4726</v>
      </c>
      <c r="J1218">
        <v>-217.65209999999999</v>
      </c>
      <c r="K1218">
        <v>1.107893</v>
      </c>
      <c r="L1218">
        <v>368.30680000000001</v>
      </c>
      <c r="M1218">
        <v>0.9988302</v>
      </c>
      <c r="N1218">
        <v>0</v>
      </c>
      <c r="O1218">
        <v>-4.6312859999999997E-2</v>
      </c>
      <c r="P1218">
        <v>0.98740910000000004</v>
      </c>
      <c r="Q1218">
        <v>3.2163270000000001E-2</v>
      </c>
      <c r="R1218">
        <v>-0.1548841</v>
      </c>
      <c r="S1218">
        <v>2.8687130000000001</v>
      </c>
      <c r="T1218">
        <v>-0.26231399999999999</v>
      </c>
      <c r="U1218">
        <v>-1.1462399999999999</v>
      </c>
      <c r="V1218">
        <v>0.1092368</v>
      </c>
      <c r="W1218">
        <v>4.5376760000000002E-2</v>
      </c>
      <c r="X1218">
        <v>0.99297950000000001</v>
      </c>
      <c r="Y1218">
        <v>0.32662980000000003</v>
      </c>
      <c r="Z1218">
        <v>-1.0293149999999999E-2</v>
      </c>
      <c r="AA1218">
        <v>0.9450963</v>
      </c>
      <c r="AB1218">
        <v>25</v>
      </c>
      <c r="AC1218">
        <v>11.9972999999999</v>
      </c>
      <c r="AD1218">
        <v>-1.107897622141</v>
      </c>
      <c r="AE1218">
        <v>-4.8342000000000098</v>
      </c>
      <c r="AF1218">
        <v>4.2422057225021996</v>
      </c>
      <c r="AG1218">
        <v>-1.107897622141</v>
      </c>
      <c r="AH1218">
        <v>12.1194169334508</v>
      </c>
      <c r="AI1218">
        <v>94.931380684880097</v>
      </c>
      <c r="AJ1218">
        <v>70.708227873476005</v>
      </c>
      <c r="AK1218">
        <v>12.8881345950448</v>
      </c>
      <c r="AL1218">
        <v>87.399210137689593</v>
      </c>
      <c r="AM1218">
        <v>83.7221852759927</v>
      </c>
      <c r="AN1218">
        <v>1.0000000081212901</v>
      </c>
    </row>
    <row r="1219" spans="1:40" x14ac:dyDescent="0.25">
      <c r="A1219" t="str">
        <f>"20190312154819965"</f>
        <v>20190312154819965</v>
      </c>
      <c r="B1219" t="str">
        <f>"1552376899957115"</f>
        <v>1552376899957115</v>
      </c>
      <c r="C1219" t="s">
        <v>40</v>
      </c>
      <c r="D1219">
        <v>4.7868230000000001</v>
      </c>
      <c r="E1219">
        <v>0.58904400000000001</v>
      </c>
      <c r="F1219" t="s">
        <v>45</v>
      </c>
      <c r="G1219">
        <v>-205.4325</v>
      </c>
      <c r="H1219" s="1">
        <v>-4.5388100000000003E-6</v>
      </c>
      <c r="I1219">
        <v>363.38150000000002</v>
      </c>
      <c r="J1219">
        <v>-217.52449999999999</v>
      </c>
      <c r="K1219">
        <v>1.107888</v>
      </c>
      <c r="L1219">
        <v>368.29899999999998</v>
      </c>
      <c r="M1219">
        <v>0.99874799999999997</v>
      </c>
      <c r="N1219">
        <v>0</v>
      </c>
      <c r="O1219">
        <v>-4.805338E-2</v>
      </c>
      <c r="P1219">
        <v>0.98685560000000005</v>
      </c>
      <c r="Q1219">
        <v>3.3525060000000002E-2</v>
      </c>
      <c r="R1219">
        <v>-0.15808889999999901</v>
      </c>
      <c r="S1219">
        <v>2.86557</v>
      </c>
      <c r="T1219">
        <v>-0.25980839999999999</v>
      </c>
      <c r="U1219">
        <v>-1.1549990000000001</v>
      </c>
      <c r="V1219">
        <v>0.1107419</v>
      </c>
      <c r="W1219">
        <v>4.6725240000000001E-2</v>
      </c>
      <c r="X1219">
        <v>0.99275020000000003</v>
      </c>
      <c r="Y1219">
        <v>0.32784829999999998</v>
      </c>
      <c r="Z1219">
        <v>-1.010232E-2</v>
      </c>
      <c r="AA1219">
        <v>0.94467639999999997</v>
      </c>
      <c r="AB1219">
        <v>25</v>
      </c>
      <c r="AC1219">
        <v>12.091999999999899</v>
      </c>
      <c r="AD1219">
        <v>-1.10789253881</v>
      </c>
      <c r="AE1219">
        <v>-4.9175000000000102</v>
      </c>
      <c r="AF1219">
        <v>4.2997282804230901</v>
      </c>
      <c r="AG1219">
        <v>-1.10789253881</v>
      </c>
      <c r="AH1219">
        <v>12.226284275986499</v>
      </c>
      <c r="AI1219">
        <v>94.885964259086094</v>
      </c>
      <c r="AJ1219">
        <v>70.624293916934207</v>
      </c>
      <c r="AK1219">
        <v>13.0075791890826</v>
      </c>
      <c r="AL1219">
        <v>87.321865810503994</v>
      </c>
      <c r="AM1219">
        <v>83.634934566716296</v>
      </c>
      <c r="AN1219">
        <v>0.99999998803435297</v>
      </c>
    </row>
    <row r="1220" spans="1:40" x14ac:dyDescent="0.25">
      <c r="A1220" t="str">
        <f>"20190312154819977"</f>
        <v>20190312154819977</v>
      </c>
      <c r="B1220" t="str">
        <f>"1552376899966876"</f>
        <v>1552376899966876</v>
      </c>
      <c r="C1220" t="s">
        <v>40</v>
      </c>
      <c r="D1220">
        <v>4.7819349999999998</v>
      </c>
      <c r="E1220">
        <v>0.5890514</v>
      </c>
      <c r="F1220" t="s">
        <v>45</v>
      </c>
      <c r="G1220">
        <v>-205.1249</v>
      </c>
      <c r="H1220" s="1">
        <v>-4.4244039999999996E-6</v>
      </c>
      <c r="I1220">
        <v>363.25130000000001</v>
      </c>
      <c r="J1220">
        <v>-217.38939999999999</v>
      </c>
      <c r="K1220">
        <v>1.1078870000000001</v>
      </c>
      <c r="L1220">
        <v>368.29039999999998</v>
      </c>
      <c r="M1220">
        <v>0.99865720000000002</v>
      </c>
      <c r="N1220">
        <v>0</v>
      </c>
      <c r="O1220">
        <v>-4.9903080000000002E-2</v>
      </c>
      <c r="P1220">
        <v>0.98632699999999995</v>
      </c>
      <c r="Q1220">
        <v>3.5157849999999997E-2</v>
      </c>
      <c r="R1220">
        <v>-0.1610057</v>
      </c>
      <c r="S1220">
        <v>2.862015</v>
      </c>
      <c r="T1220">
        <v>-0.25571870000000002</v>
      </c>
      <c r="U1220">
        <v>-1.1651</v>
      </c>
      <c r="V1220">
        <v>0.1118512</v>
      </c>
      <c r="W1220">
        <v>4.8348000000000002E-2</v>
      </c>
      <c r="X1220">
        <v>0.99254810000000004</v>
      </c>
      <c r="Y1220">
        <v>0.32940049999999998</v>
      </c>
      <c r="Z1220">
        <v>-9.8578539999999992E-3</v>
      </c>
      <c r="AA1220">
        <v>0.94413879999999994</v>
      </c>
      <c r="AB1220">
        <v>24</v>
      </c>
      <c r="AC1220">
        <v>12.2644999999999</v>
      </c>
      <c r="AD1220">
        <v>-1.1078914244039999</v>
      </c>
      <c r="AE1220">
        <v>-5.0390999999999604</v>
      </c>
      <c r="AF1220">
        <v>4.3900754785006599</v>
      </c>
      <c r="AG1220">
        <v>-1.1078914244039999</v>
      </c>
      <c r="AH1220">
        <v>12.4140384292559</v>
      </c>
      <c r="AI1220">
        <v>94.809470125015494</v>
      </c>
      <c r="AJ1220">
        <v>70.524471357502406</v>
      </c>
      <c r="AK1220">
        <v>13.2139523322223</v>
      </c>
      <c r="AL1220">
        <v>87.228783234776301</v>
      </c>
      <c r="AM1220">
        <v>83.570408940364402</v>
      </c>
      <c r="AN1220">
        <v>0.99999997542952401</v>
      </c>
    </row>
    <row r="1221" spans="1:40" x14ac:dyDescent="0.25">
      <c r="A1221" t="str">
        <f>"20190312154819991"</f>
        <v>20190312154819991</v>
      </c>
      <c r="B1221" t="str">
        <f>"1552376899977611"</f>
        <v>1552376899977611</v>
      </c>
      <c r="C1221" t="s">
        <v>40</v>
      </c>
      <c r="D1221">
        <v>4.7623189999999997</v>
      </c>
      <c r="E1221">
        <v>0.58904350000000005</v>
      </c>
      <c r="F1221" t="s">
        <v>45</v>
      </c>
      <c r="G1221">
        <v>-204.79169999999999</v>
      </c>
      <c r="H1221" s="1">
        <v>-4.291003E-6</v>
      </c>
      <c r="I1221">
        <v>363.11779999999999</v>
      </c>
      <c r="J1221">
        <v>-217.2465</v>
      </c>
      <c r="K1221">
        <v>1.107888</v>
      </c>
      <c r="L1221">
        <v>368.28120000000001</v>
      </c>
      <c r="M1221">
        <v>0.99855740000000004</v>
      </c>
      <c r="N1221">
        <v>0</v>
      </c>
      <c r="O1221">
        <v>-5.1861440000000002E-2</v>
      </c>
      <c r="P1221">
        <v>0.98576299999999994</v>
      </c>
      <c r="Q1221">
        <v>3.6417520000000002E-2</v>
      </c>
      <c r="R1221">
        <v>-0.16415009999999999</v>
      </c>
      <c r="S1221">
        <v>2.8589319999999998</v>
      </c>
      <c r="T1221">
        <v>-0.2514265</v>
      </c>
      <c r="U1221">
        <v>-1.173889</v>
      </c>
      <c r="V1221">
        <v>0.11308</v>
      </c>
      <c r="W1221">
        <v>4.9597710000000003E-2</v>
      </c>
      <c r="X1221">
        <v>0.99234719999999998</v>
      </c>
      <c r="Y1221">
        <v>0.33042549999999998</v>
      </c>
      <c r="Z1221">
        <v>-9.5762610000000008E-3</v>
      </c>
      <c r="AA1221">
        <v>0.9437835</v>
      </c>
      <c r="AB1221">
        <v>24</v>
      </c>
      <c r="AC1221">
        <v>12.454800000000001</v>
      </c>
      <c r="AD1221">
        <v>-1.107892291003</v>
      </c>
      <c r="AE1221">
        <v>-5.1634000000000198</v>
      </c>
      <c r="AF1221">
        <v>4.4802127543940502</v>
      </c>
      <c r="AG1221">
        <v>-1.107892291003</v>
      </c>
      <c r="AH1221">
        <v>12.620627042705401</v>
      </c>
      <c r="AI1221">
        <v>94.729101351948202</v>
      </c>
      <c r="AJ1221">
        <v>70.455580545328502</v>
      </c>
      <c r="AK1221">
        <v>13.4380042641817</v>
      </c>
      <c r="AL1221">
        <v>87.157094148587802</v>
      </c>
      <c r="AM1221">
        <v>83.499069905863095</v>
      </c>
      <c r="AN1221">
        <v>0.99999999229254199</v>
      </c>
    </row>
    <row r="1222" spans="1:40" x14ac:dyDescent="0.25">
      <c r="A1222" t="str">
        <f>"20190312154820008"</f>
        <v>20190312154820008</v>
      </c>
      <c r="B1222" t="str">
        <f>"1552376899997132"</f>
        <v>1552376899997132</v>
      </c>
      <c r="C1222" t="s">
        <v>40</v>
      </c>
      <c r="D1222">
        <v>4.7951889999999997</v>
      </c>
      <c r="E1222">
        <v>0.58905479999999999</v>
      </c>
      <c r="F1222" t="s">
        <v>45</v>
      </c>
      <c r="G1222">
        <v>-204.51140000000001</v>
      </c>
      <c r="H1222" s="1">
        <v>-4.1752799999999999E-6</v>
      </c>
      <c r="I1222">
        <v>363.00360000000001</v>
      </c>
      <c r="J1222">
        <v>-217.05459999999999</v>
      </c>
      <c r="K1222">
        <v>1.1078969999999999</v>
      </c>
      <c r="L1222">
        <v>368.26819999999998</v>
      </c>
      <c r="M1222">
        <v>0.9984172</v>
      </c>
      <c r="N1222">
        <v>0</v>
      </c>
      <c r="O1222">
        <v>-5.4494720000000003E-2</v>
      </c>
      <c r="P1222">
        <v>0.98479119999999998</v>
      </c>
      <c r="Q1222">
        <v>3.953475E-2</v>
      </c>
      <c r="R1222">
        <v>-0.16918429999999901</v>
      </c>
      <c r="S1222">
        <v>2.855499</v>
      </c>
      <c r="T1222">
        <v>-0.24841579999999999</v>
      </c>
      <c r="U1222">
        <v>-1.1833499999999999</v>
      </c>
      <c r="V1222">
        <v>0.1155576</v>
      </c>
      <c r="W1222">
        <v>5.2695949999999998E-2</v>
      </c>
      <c r="X1222">
        <v>0.99190199999999995</v>
      </c>
      <c r="Y1222">
        <v>0.33103529999999998</v>
      </c>
      <c r="Z1222">
        <v>-9.2739889999999998E-3</v>
      </c>
      <c r="AA1222">
        <v>0.94357279999999999</v>
      </c>
      <c r="AB1222">
        <v>24</v>
      </c>
      <c r="AC1222">
        <v>12.543199999999899</v>
      </c>
      <c r="AD1222">
        <v>-1.1079011752800001</v>
      </c>
      <c r="AE1222">
        <v>-5.2645999999999704</v>
      </c>
      <c r="AF1222">
        <v>4.5430367987826097</v>
      </c>
      <c r="AG1222">
        <v>-1.1079011752800001</v>
      </c>
      <c r="AH1222">
        <v>12.727058464006101</v>
      </c>
      <c r="AI1222">
        <v>94.686866828855301</v>
      </c>
      <c r="AJ1222">
        <v>70.355524113514406</v>
      </c>
      <c r="AK1222">
        <v>13.558932314732999</v>
      </c>
      <c r="AL1222">
        <v>86.979345374834097</v>
      </c>
      <c r="AM1222">
        <v>83.354938241167105</v>
      </c>
      <c r="AN1222">
        <v>0.99999999983408105</v>
      </c>
    </row>
    <row r="1223" spans="1:40" x14ac:dyDescent="0.25">
      <c r="A1223" t="str">
        <f>"20190312154820021"</f>
        <v>20190312154820021</v>
      </c>
      <c r="B1223" t="str">
        <f>"1552376900016651"</f>
        <v>1552376900016651</v>
      </c>
      <c r="C1223" t="s">
        <v>40</v>
      </c>
      <c r="D1223">
        <v>4.833475</v>
      </c>
      <c r="E1223">
        <v>0.58907129999999996</v>
      </c>
      <c r="F1223" t="s">
        <v>45</v>
      </c>
      <c r="G1223">
        <v>-203.9588</v>
      </c>
      <c r="H1223" s="1">
        <v>-3.9502220000000001E-6</v>
      </c>
      <c r="I1223">
        <v>362.76440000000002</v>
      </c>
      <c r="J1223">
        <v>-216.9145</v>
      </c>
      <c r="K1223">
        <v>1.107912</v>
      </c>
      <c r="L1223">
        <v>368.25850000000003</v>
      </c>
      <c r="M1223">
        <v>0.99831040000000004</v>
      </c>
      <c r="N1223">
        <v>0</v>
      </c>
      <c r="O1223">
        <v>-5.6416399999999998E-2</v>
      </c>
      <c r="P1223">
        <v>0.98418859999999997</v>
      </c>
      <c r="Q1223">
        <v>4.1448409999999998E-2</v>
      </c>
      <c r="R1223">
        <v>-0.172206</v>
      </c>
      <c r="S1223">
        <v>2.8502200000000002</v>
      </c>
      <c r="T1223">
        <v>-0.2411287</v>
      </c>
      <c r="U1223">
        <v>-1.1978759999999999</v>
      </c>
      <c r="V1223">
        <v>0.1167078</v>
      </c>
      <c r="W1223">
        <v>5.4601040000000003E-2</v>
      </c>
      <c r="X1223">
        <v>0.99166430000000005</v>
      </c>
      <c r="Y1223">
        <v>0.33397779999999999</v>
      </c>
      <c r="Z1223">
        <v>-8.9743959999999904E-3</v>
      </c>
      <c r="AA1223">
        <v>0.94253819999999999</v>
      </c>
      <c r="AB1223">
        <v>24</v>
      </c>
      <c r="AC1223">
        <v>12.9557</v>
      </c>
      <c r="AD1223">
        <v>-1.107915950222</v>
      </c>
      <c r="AE1223">
        <v>-5.4941000000000004</v>
      </c>
      <c r="AF1223">
        <v>4.7250759727314797</v>
      </c>
      <c r="AG1223">
        <v>-1.107915950222</v>
      </c>
      <c r="AH1223">
        <v>13.1634583756949</v>
      </c>
      <c r="AI1223">
        <v>94.529348366538102</v>
      </c>
      <c r="AJ1223">
        <v>70.254196978328096</v>
      </c>
      <c r="AK1223">
        <v>14.029627832180401</v>
      </c>
      <c r="AL1223">
        <v>86.870034427880597</v>
      </c>
      <c r="AM1223">
        <v>83.287803204165598</v>
      </c>
      <c r="AN1223">
        <v>1.0000000340221999</v>
      </c>
    </row>
    <row r="1224" spans="1:40" x14ac:dyDescent="0.25">
      <c r="A1224" t="str">
        <f>"20190312154820033"</f>
        <v>20190312154820033</v>
      </c>
      <c r="B1224" t="str">
        <f>"1552376900027388"</f>
        <v>1552376900027388</v>
      </c>
      <c r="C1224" t="s">
        <v>40</v>
      </c>
      <c r="D1224">
        <v>4.8121650000000002</v>
      </c>
      <c r="E1224">
        <v>0.58907129999999996</v>
      </c>
      <c r="F1224" t="s">
        <v>45</v>
      </c>
      <c r="G1224">
        <v>-203.69470000000001</v>
      </c>
      <c r="H1224" s="1">
        <v>-3.8414199999999999E-6</v>
      </c>
      <c r="I1224">
        <v>362.65570000000002</v>
      </c>
      <c r="J1224">
        <v>-216.7852</v>
      </c>
      <c r="K1224">
        <v>1.1079209999999999</v>
      </c>
      <c r="L1224">
        <v>368.24919999999997</v>
      </c>
      <c r="M1224">
        <v>0.99820850000000005</v>
      </c>
      <c r="N1224">
        <v>0</v>
      </c>
      <c r="O1224">
        <v>-5.819034E-2</v>
      </c>
      <c r="P1224">
        <v>0.98358909999999999</v>
      </c>
      <c r="Q1224">
        <v>4.329003E-2</v>
      </c>
      <c r="R1224">
        <v>-0.1751539</v>
      </c>
      <c r="S1224">
        <v>2.8471220000000002</v>
      </c>
      <c r="T1224">
        <v>-0.23860980000000001</v>
      </c>
      <c r="U1224">
        <v>-1.2066650000000001</v>
      </c>
      <c r="V1224">
        <v>0.1179311</v>
      </c>
      <c r="W1224">
        <v>5.6434499999999999E-2</v>
      </c>
      <c r="X1224">
        <v>0.99141690000000005</v>
      </c>
      <c r="Y1224">
        <v>0.3351575</v>
      </c>
      <c r="Z1224">
        <v>-8.7908120000000003E-3</v>
      </c>
      <c r="AA1224">
        <v>0.94212110000000004</v>
      </c>
      <c r="AB1224">
        <v>24</v>
      </c>
      <c r="AC1224">
        <v>13.090499999999899</v>
      </c>
      <c r="AD1224">
        <v>-1.10792484142</v>
      </c>
      <c r="AE1224">
        <v>-5.5934999999999402</v>
      </c>
      <c r="AF1224">
        <v>4.79317202647103</v>
      </c>
      <c r="AG1224">
        <v>-1.10792484142</v>
      </c>
      <c r="AH1224">
        <v>13.313191450285601</v>
      </c>
      <c r="AI1224">
        <v>94.477120956844601</v>
      </c>
      <c r="AJ1224">
        <v>70.199511668324206</v>
      </c>
      <c r="AK1224">
        <v>14.193063873651001</v>
      </c>
      <c r="AL1224">
        <v>86.764822626320097</v>
      </c>
      <c r="AM1224">
        <v>83.216423112144398</v>
      </c>
      <c r="AN1224">
        <v>1.00000003337153</v>
      </c>
    </row>
    <row r="1225" spans="1:40" x14ac:dyDescent="0.25">
      <c r="A1225" t="str">
        <f>"20190312154820046"</f>
        <v>20190312154820046</v>
      </c>
      <c r="B1225" t="str">
        <f>"1552376900037148"</f>
        <v>1552376900037148</v>
      </c>
      <c r="C1225" t="s">
        <v>40</v>
      </c>
      <c r="D1225">
        <v>4.8584199999999997</v>
      </c>
      <c r="E1225">
        <v>0.58766940000000001</v>
      </c>
      <c r="F1225" t="s">
        <v>45</v>
      </c>
      <c r="G1225">
        <v>-203.29929999999999</v>
      </c>
      <c r="H1225" s="1">
        <v>-3.6796330000000002E-6</v>
      </c>
      <c r="I1225">
        <v>362.48790000000002</v>
      </c>
      <c r="J1225">
        <v>-216.643</v>
      </c>
      <c r="K1225">
        <v>1.107936</v>
      </c>
      <c r="L1225">
        <v>368.23880000000003</v>
      </c>
      <c r="M1225">
        <v>0.99809309999999996</v>
      </c>
      <c r="N1225">
        <v>0</v>
      </c>
      <c r="O1225">
        <v>-6.0138869999999997E-2</v>
      </c>
      <c r="P1225">
        <v>0.98296090000000003</v>
      </c>
      <c r="Q1225">
        <v>4.4781139999999997E-2</v>
      </c>
      <c r="R1225">
        <v>-0.17827760000000001</v>
      </c>
      <c r="S1225">
        <v>2.843979</v>
      </c>
      <c r="T1225">
        <v>-0.23364560000000001</v>
      </c>
      <c r="U1225">
        <v>-1.214966</v>
      </c>
      <c r="V1225">
        <v>0.11915679999999999</v>
      </c>
      <c r="W1225">
        <v>5.791789E-2</v>
      </c>
      <c r="X1225">
        <v>0.99118470000000003</v>
      </c>
      <c r="Y1225">
        <v>0.33605689999999999</v>
      </c>
      <c r="Z1225">
        <v>-8.4959019999999996E-3</v>
      </c>
      <c r="AA1225">
        <v>0.94180330000000001</v>
      </c>
      <c r="AB1225">
        <v>24</v>
      </c>
      <c r="AC1225">
        <v>13.3437</v>
      </c>
      <c r="AD1225">
        <v>-1.1079396796330001</v>
      </c>
      <c r="AE1225">
        <v>-5.7508999999999997</v>
      </c>
      <c r="AF1225">
        <v>4.9093922237734597</v>
      </c>
      <c r="AG1225">
        <v>-1.1079396796330001</v>
      </c>
      <c r="AH1225">
        <v>13.586435671901</v>
      </c>
      <c r="AI1225">
        <v>94.385661267413894</v>
      </c>
      <c r="AJ1225">
        <v>70.132925505206003</v>
      </c>
      <c r="AK1225">
        <v>14.4886471627704</v>
      </c>
      <c r="AL1225">
        <v>86.679691149135095</v>
      </c>
      <c r="AM1225">
        <v>83.144995917697102</v>
      </c>
      <c r="AN1225">
        <v>0.99999996724119</v>
      </c>
    </row>
    <row r="1226" spans="1:40" x14ac:dyDescent="0.25">
      <c r="A1226" t="str">
        <f>"20190312154820064"</f>
        <v>20190312154820064</v>
      </c>
      <c r="B1226" t="str">
        <f>"1552376900057645"</f>
        <v>1552376900057645</v>
      </c>
      <c r="C1226" t="s">
        <v>40</v>
      </c>
      <c r="D1226">
        <v>4.8449309999999999</v>
      </c>
      <c r="E1226">
        <v>0.58704179999999995</v>
      </c>
      <c r="F1226" t="s">
        <v>45</v>
      </c>
      <c r="G1226">
        <v>-206.709</v>
      </c>
      <c r="H1226" s="1">
        <v>-4.9926939999999999E-6</v>
      </c>
      <c r="I1226">
        <v>364.0163</v>
      </c>
      <c r="J1226">
        <v>-216.44550000000001</v>
      </c>
      <c r="K1226">
        <v>1.1079680000000001</v>
      </c>
      <c r="L1226">
        <v>368.22379999999998</v>
      </c>
      <c r="M1226">
        <v>0.9979268</v>
      </c>
      <c r="N1226">
        <v>0</v>
      </c>
      <c r="O1226">
        <v>-6.2838459999999999E-2</v>
      </c>
      <c r="P1226">
        <v>0.98182000000000003</v>
      </c>
      <c r="Q1226">
        <v>4.8259509999999999E-2</v>
      </c>
      <c r="R1226">
        <v>-0.18357660000000001</v>
      </c>
      <c r="S1226">
        <v>2.8469850000000001</v>
      </c>
      <c r="T1226">
        <v>-0.31752570000000002</v>
      </c>
      <c r="U1226">
        <v>-1.2101440000000001</v>
      </c>
      <c r="V1226">
        <v>0.12185070000000001</v>
      </c>
      <c r="W1226">
        <v>6.1378330000000002E-2</v>
      </c>
      <c r="X1226">
        <v>0.9906488</v>
      </c>
      <c r="Y1226">
        <v>0.33117809999999998</v>
      </c>
      <c r="Z1226">
        <v>-1.097822E-2</v>
      </c>
      <c r="AA1226">
        <v>0.94350440000000002</v>
      </c>
      <c r="AB1226">
        <v>24</v>
      </c>
      <c r="AC1226">
        <v>9.7364999999999995</v>
      </c>
      <c r="AD1226">
        <v>-1.1079729926940001</v>
      </c>
      <c r="AE1226">
        <v>-4.20749999999998</v>
      </c>
      <c r="AF1226">
        <v>3.5485759715960099</v>
      </c>
      <c r="AG1226">
        <v>-1.1079729926940001</v>
      </c>
      <c r="AH1226">
        <v>9.8739302239266404</v>
      </c>
      <c r="AI1226">
        <v>96.028058361236006</v>
      </c>
      <c r="AJ1226">
        <v>70.232151446511097</v>
      </c>
      <c r="AK1226">
        <v>10.550568403915401</v>
      </c>
      <c r="AL1226">
        <v>86.4810687863895</v>
      </c>
      <c r="AM1226">
        <v>82.987788756703196</v>
      </c>
      <c r="AN1226">
        <v>0.99999996871275898</v>
      </c>
    </row>
    <row r="1227" spans="1:40" x14ac:dyDescent="0.25">
      <c r="A1227" t="str">
        <f>"20190312154820079"</f>
        <v>20190312154820079</v>
      </c>
      <c r="B1227" t="str">
        <f>"1552376900067403"</f>
        <v>1552376900067403</v>
      </c>
      <c r="C1227" t="s">
        <v>40</v>
      </c>
      <c r="D1227">
        <v>4.8476460000000001</v>
      </c>
      <c r="E1227">
        <v>0.58691530000000003</v>
      </c>
      <c r="F1227" t="s">
        <v>45</v>
      </c>
      <c r="G1227">
        <v>-206.37950000000001</v>
      </c>
      <c r="H1227" s="1">
        <v>-4.8638370000000003E-6</v>
      </c>
      <c r="I1227">
        <v>363.90519999999998</v>
      </c>
      <c r="J1227">
        <v>-216.2893</v>
      </c>
      <c r="K1227">
        <v>1.107988</v>
      </c>
      <c r="L1227">
        <v>368.21159999999998</v>
      </c>
      <c r="M1227">
        <v>0.99779070000000003</v>
      </c>
      <c r="N1227">
        <v>0</v>
      </c>
      <c r="O1227">
        <v>-6.496412E-2</v>
      </c>
      <c r="P1227">
        <v>0.98103859999999998</v>
      </c>
      <c r="Q1227">
        <v>5.0379199999999999E-2</v>
      </c>
      <c r="R1227">
        <v>-0.18715019999999999</v>
      </c>
      <c r="S1227">
        <v>2.8428800000000001</v>
      </c>
      <c r="T1227">
        <v>-0.3129188</v>
      </c>
      <c r="U1227">
        <v>-1.2196959999999999</v>
      </c>
      <c r="V1227">
        <v>0.1233646</v>
      </c>
      <c r="W1227">
        <v>6.3488030000000001E-2</v>
      </c>
      <c r="X1227">
        <v>0.9903284</v>
      </c>
      <c r="Y1227">
        <v>0.3323836</v>
      </c>
      <c r="Z1227">
        <v>-1.0669120000000001E-2</v>
      </c>
      <c r="AA1227">
        <v>0.94308389999999997</v>
      </c>
      <c r="AB1227">
        <v>24</v>
      </c>
      <c r="AC1227">
        <v>9.90979999999999</v>
      </c>
      <c r="AD1227">
        <v>-1.107992863837</v>
      </c>
      <c r="AE1227">
        <v>-4.3063999999999902</v>
      </c>
      <c r="AF1227">
        <v>3.6154404175880499</v>
      </c>
      <c r="AG1227">
        <v>-1.107992863837</v>
      </c>
      <c r="AH1227">
        <v>10.062837691643701</v>
      </c>
      <c r="AI1227">
        <v>95.916001112744198</v>
      </c>
      <c r="AJ1227">
        <v>70.237328790381198</v>
      </c>
      <c r="AK1227">
        <v>10.749872557747301</v>
      </c>
      <c r="AL1227">
        <v>86.359955501078701</v>
      </c>
      <c r="AM1227">
        <v>82.899277768533494</v>
      </c>
      <c r="AN1227">
        <v>0.99999994716649898</v>
      </c>
    </row>
    <row r="1228" spans="1:40" x14ac:dyDescent="0.25">
      <c r="A1228" t="str">
        <f>"20190312154820098"</f>
        <v>20190312154820098</v>
      </c>
      <c r="B1228" t="str">
        <f>"1552376900086924"</f>
        <v>1552376900086924</v>
      </c>
      <c r="C1228" t="s">
        <v>40</v>
      </c>
      <c r="D1228">
        <v>4.8481230000000002</v>
      </c>
      <c r="E1228">
        <v>0.58657630000000005</v>
      </c>
      <c r="F1228" t="s">
        <v>45</v>
      </c>
      <c r="G1228">
        <v>-206.1207</v>
      </c>
      <c r="H1228" s="1">
        <v>-4.763839E-6</v>
      </c>
      <c r="I1228">
        <v>363.81240000000003</v>
      </c>
      <c r="J1228">
        <v>-216.07849999999999</v>
      </c>
      <c r="K1228">
        <v>1.108023</v>
      </c>
      <c r="L1228">
        <v>368.19450000000001</v>
      </c>
      <c r="M1228">
        <v>0.9976005</v>
      </c>
      <c r="N1228">
        <v>0</v>
      </c>
      <c r="O1228">
        <v>-6.7821290000000006E-2</v>
      </c>
      <c r="P1228">
        <v>0.97972729999999997</v>
      </c>
      <c r="Q1228">
        <v>5.4726150000000001E-2</v>
      </c>
      <c r="R1228">
        <v>-0.19271640000000001</v>
      </c>
      <c r="S1228">
        <v>2.839493</v>
      </c>
      <c r="T1228">
        <v>-0.30939630000000001</v>
      </c>
      <c r="U1228">
        <v>-1.228424</v>
      </c>
      <c r="V1228">
        <v>0.1261881</v>
      </c>
      <c r="W1228">
        <v>6.7815970000000003E-2</v>
      </c>
      <c r="X1228">
        <v>0.98968560000000005</v>
      </c>
      <c r="Y1228">
        <v>0.33257910000000002</v>
      </c>
      <c r="Z1228">
        <v>-1.0270659999999999E-2</v>
      </c>
      <c r="AA1228">
        <v>0.94301939999999995</v>
      </c>
      <c r="AB1228">
        <v>24</v>
      </c>
      <c r="AC1228">
        <v>9.95779999999999</v>
      </c>
      <c r="AD1228">
        <v>-1.1080277638389999</v>
      </c>
      <c r="AE1228">
        <v>-4.3820999999999799</v>
      </c>
      <c r="AF1228">
        <v>3.6586417982003101</v>
      </c>
      <c r="AG1228">
        <v>-1.1080277638389999</v>
      </c>
      <c r="AH1228">
        <v>10.1270505809557</v>
      </c>
      <c r="AI1228">
        <v>95.875237444737607</v>
      </c>
      <c r="AJ1228">
        <v>70.136521195404598</v>
      </c>
      <c r="AK1228">
        <v>10.824534114788101</v>
      </c>
      <c r="AL1228">
        <v>86.111446719364395</v>
      </c>
      <c r="AM1228">
        <v>82.733810056715797</v>
      </c>
      <c r="AN1228">
        <v>1.0000000146079999</v>
      </c>
    </row>
    <row r="1229" spans="1:40" x14ac:dyDescent="0.25">
      <c r="A1229" t="str">
        <f>"20190312154820111"</f>
        <v>20190312154820111</v>
      </c>
      <c r="B1229" t="str">
        <f>"1552376900107420"</f>
        <v>1552376900107420</v>
      </c>
      <c r="C1229" t="s">
        <v>40</v>
      </c>
      <c r="D1229">
        <v>4.8640040000000004</v>
      </c>
      <c r="E1229">
        <v>0.58322439999999998</v>
      </c>
      <c r="F1229" t="s">
        <v>45</v>
      </c>
      <c r="G1229">
        <v>-205.5907</v>
      </c>
      <c r="H1229" s="1">
        <v>-4.5638750000000004E-6</v>
      </c>
      <c r="I1229">
        <v>363.60079999999999</v>
      </c>
      <c r="J1229">
        <v>-215.93690000000001</v>
      </c>
      <c r="K1229">
        <v>1.1080429999999999</v>
      </c>
      <c r="L1229">
        <v>368.18279999999999</v>
      </c>
      <c r="M1229">
        <v>0.9974691</v>
      </c>
      <c r="N1229">
        <v>0</v>
      </c>
      <c r="O1229">
        <v>-6.9729979999999997E-2</v>
      </c>
      <c r="P1229">
        <v>0.97899320000000001</v>
      </c>
      <c r="Q1229">
        <v>5.64606E-2</v>
      </c>
      <c r="R1229">
        <v>-0.19592080000000001</v>
      </c>
      <c r="S1229">
        <v>2.8345950000000002</v>
      </c>
      <c r="T1229">
        <v>-0.29947259999999998</v>
      </c>
      <c r="U1229">
        <v>-1.2415769999999999</v>
      </c>
      <c r="V1229">
        <v>0.1275472</v>
      </c>
      <c r="W1229">
        <v>6.9542809999999997E-2</v>
      </c>
      <c r="X1229">
        <v>0.98939149999999998</v>
      </c>
      <c r="Y1229">
        <v>0.33512439999999999</v>
      </c>
      <c r="Z1229">
        <v>-9.8876580000000006E-3</v>
      </c>
      <c r="AA1229">
        <v>0.94212200000000001</v>
      </c>
      <c r="AB1229">
        <v>24</v>
      </c>
      <c r="AC1229">
        <v>10.3462</v>
      </c>
      <c r="AD1229">
        <v>-1.108047563875</v>
      </c>
      <c r="AE1229">
        <v>-4.5819999999999901</v>
      </c>
      <c r="AF1229">
        <v>3.8127739038152701</v>
      </c>
      <c r="AG1229">
        <v>-1.108047563875</v>
      </c>
      <c r="AH1229">
        <v>10.539481392629</v>
      </c>
      <c r="AI1229">
        <v>95.646070512433198</v>
      </c>
      <c r="AJ1229">
        <v>70.111849284804094</v>
      </c>
      <c r="AK1229">
        <v>11.2625788463831</v>
      </c>
      <c r="AL1229">
        <v>86.012271894515393</v>
      </c>
      <c r="AM1229">
        <v>82.654240795970907</v>
      </c>
      <c r="AN1229">
        <v>1.0000000154613899</v>
      </c>
    </row>
    <row r="1230" spans="1:40" x14ac:dyDescent="0.25">
      <c r="A1230" t="str">
        <f>"20190312154820123"</f>
        <v>20190312154820123</v>
      </c>
      <c r="B1230" t="str">
        <f>"1552376900117180"</f>
        <v>1552376900117180</v>
      </c>
      <c r="C1230" t="s">
        <v>40</v>
      </c>
      <c r="D1230">
        <v>4.8543139999999996</v>
      </c>
      <c r="E1230">
        <v>0.58330419999999905</v>
      </c>
      <c r="F1230" t="s">
        <v>45</v>
      </c>
      <c r="G1230">
        <v>-205.9228</v>
      </c>
      <c r="H1230" s="1">
        <v>-4.6604819999999996E-6</v>
      </c>
      <c r="I1230">
        <v>363.86279999999999</v>
      </c>
      <c r="J1230">
        <v>-215.804</v>
      </c>
      <c r="K1230">
        <v>1.108063</v>
      </c>
      <c r="L1230">
        <v>368.17160000000001</v>
      </c>
      <c r="M1230">
        <v>0.99734259999999997</v>
      </c>
      <c r="N1230">
        <v>0</v>
      </c>
      <c r="O1230">
        <v>-7.1514939999999999E-2</v>
      </c>
      <c r="P1230">
        <v>0.97833159999999997</v>
      </c>
      <c r="Q1230">
        <v>5.7754970000000003E-2</v>
      </c>
      <c r="R1230">
        <v>-0.1988259</v>
      </c>
      <c r="S1230">
        <v>2.837494</v>
      </c>
      <c r="T1230">
        <v>-0.31396479999999999</v>
      </c>
      <c r="U1230">
        <v>-1.2240599999999999</v>
      </c>
      <c r="V1230">
        <v>0.12872419999999901</v>
      </c>
      <c r="W1230">
        <v>7.0830900000000002E-2</v>
      </c>
      <c r="X1230">
        <v>0.98914769999999996</v>
      </c>
      <c r="Y1230">
        <v>0.32810539999999999</v>
      </c>
      <c r="Z1230">
        <v>-9.8080779999999996E-3</v>
      </c>
      <c r="AA1230">
        <v>0.94459020000000005</v>
      </c>
      <c r="AB1230">
        <v>24</v>
      </c>
      <c r="AC1230">
        <v>9.8811999999999998</v>
      </c>
      <c r="AD1230">
        <v>-1.1080676604819999</v>
      </c>
      <c r="AE1230">
        <v>-4.3088000000000104</v>
      </c>
      <c r="AF1230">
        <v>3.5534971848147698</v>
      </c>
      <c r="AG1230">
        <v>-1.1080676604819999</v>
      </c>
      <c r="AH1230">
        <v>10.0577969246902</v>
      </c>
      <c r="AI1230">
        <v>95.930461400867401</v>
      </c>
      <c r="AJ1230">
        <v>70.5412928137211</v>
      </c>
      <c r="AK1230">
        <v>10.724478316496301</v>
      </c>
      <c r="AL1230">
        <v>85.938287471385706</v>
      </c>
      <c r="AM1230">
        <v>82.585398227912094</v>
      </c>
      <c r="AN1230">
        <v>1.00000005423786</v>
      </c>
    </row>
    <row r="1231" spans="1:40" x14ac:dyDescent="0.25">
      <c r="A1231" t="str">
        <f>"20190312154820135"</f>
        <v>20190312154820135</v>
      </c>
      <c r="B1231" t="str">
        <f>"1552376900126939"</f>
        <v>1552376900126939</v>
      </c>
      <c r="C1231" t="s">
        <v>40</v>
      </c>
      <c r="D1231">
        <v>4.8552109999999997</v>
      </c>
      <c r="E1231">
        <v>0.58357429999999999</v>
      </c>
      <c r="F1231" t="s">
        <v>45</v>
      </c>
      <c r="G1231">
        <v>-205.786</v>
      </c>
      <c r="H1231" s="1">
        <v>-4.6075789999999998E-6</v>
      </c>
      <c r="I1231">
        <v>363.81400000000002</v>
      </c>
      <c r="J1231">
        <v>-215.67330000000001</v>
      </c>
      <c r="K1231">
        <v>1.108082</v>
      </c>
      <c r="L1231">
        <v>368.16019999999997</v>
      </c>
      <c r="M1231">
        <v>0.99721570000000004</v>
      </c>
      <c r="N1231">
        <v>0</v>
      </c>
      <c r="O1231">
        <v>-7.3263320000000007E-2</v>
      </c>
      <c r="P1231">
        <v>0.97773089999999996</v>
      </c>
      <c r="Q1231">
        <v>5.8390480000000002E-2</v>
      </c>
      <c r="R1231">
        <v>-0.20157520000000001</v>
      </c>
      <c r="S1231">
        <v>2.8343660000000002</v>
      </c>
      <c r="T1231">
        <v>-0.31350119999999998</v>
      </c>
      <c r="U1231">
        <v>-1.23288</v>
      </c>
      <c r="V1231">
        <v>0.12977529999999901</v>
      </c>
      <c r="W1231">
        <v>7.1461590000000005E-2</v>
      </c>
      <c r="X1231">
        <v>0.98896490000000004</v>
      </c>
      <c r="Y1231">
        <v>0.32930959999999998</v>
      </c>
      <c r="Z1231">
        <v>-9.6787469999999997E-3</v>
      </c>
      <c r="AA1231">
        <v>0.94417240000000002</v>
      </c>
      <c r="AB1231">
        <v>24</v>
      </c>
      <c r="AC1231">
        <v>9.88730000000003</v>
      </c>
      <c r="AD1231">
        <v>-1.1080866075789999</v>
      </c>
      <c r="AE1231">
        <v>-4.3461999999999499</v>
      </c>
      <c r="AF1231">
        <v>3.5724671193577899</v>
      </c>
      <c r="AG1231">
        <v>-1.1080866075789999</v>
      </c>
      <c r="AH1231">
        <v>10.073140484608899</v>
      </c>
      <c r="AI1231">
        <v>95.919105652987199</v>
      </c>
      <c r="AJ1231">
        <v>70.4728080716623</v>
      </c>
      <c r="AK1231">
        <v>10.7451633990114</v>
      </c>
      <c r="AL1231">
        <v>85.902059489657404</v>
      </c>
      <c r="AM1231">
        <v>82.524170044253594</v>
      </c>
      <c r="AN1231">
        <v>0.99999998038371296</v>
      </c>
    </row>
    <row r="1232" spans="1:40" x14ac:dyDescent="0.25">
      <c r="A1232" t="str">
        <f>"20190312154820148"</f>
        <v>20190312154820148</v>
      </c>
      <c r="B1232" t="str">
        <f>"1552376900136700"</f>
        <v>1552376900136700</v>
      </c>
      <c r="C1232" t="s">
        <v>40</v>
      </c>
      <c r="D1232">
        <v>4.899953</v>
      </c>
      <c r="E1232">
        <v>0.58340199999999998</v>
      </c>
      <c r="F1232" t="s">
        <v>45</v>
      </c>
      <c r="G1232">
        <v>-205.78989999999999</v>
      </c>
      <c r="H1232" s="1">
        <v>-4.6078379999999999E-6</v>
      </c>
      <c r="I1232">
        <v>363.82100000000003</v>
      </c>
      <c r="J1232">
        <v>-215.5359</v>
      </c>
      <c r="K1232">
        <v>1.1081000000000001</v>
      </c>
      <c r="L1232">
        <v>368.1481</v>
      </c>
      <c r="M1232">
        <v>0.99707959999999995</v>
      </c>
      <c r="N1232">
        <v>0</v>
      </c>
      <c r="O1232">
        <v>-7.5095129999999996E-2</v>
      </c>
      <c r="P1232">
        <v>0.97710750000000002</v>
      </c>
      <c r="Q1232">
        <v>5.8768920000000002E-2</v>
      </c>
      <c r="R1232">
        <v>-0.20446890000000001</v>
      </c>
      <c r="S1232">
        <v>2.8310240000000002</v>
      </c>
      <c r="T1232">
        <v>-0.31740259999999998</v>
      </c>
      <c r="U1232">
        <v>-1.24295</v>
      </c>
      <c r="V1232">
        <v>0.13088839999999999</v>
      </c>
      <c r="W1232">
        <v>7.1834460000000003E-2</v>
      </c>
      <c r="X1232">
        <v>0.98879119999999998</v>
      </c>
      <c r="Y1232">
        <v>0.3307717</v>
      </c>
      <c r="Z1232">
        <v>-9.6869439999999994E-3</v>
      </c>
      <c r="AA1232">
        <v>0.94366110000000003</v>
      </c>
      <c r="AB1232">
        <v>24</v>
      </c>
      <c r="AC1232">
        <v>9.7460000000000093</v>
      </c>
      <c r="AD1232">
        <v>-1.1081046078379999</v>
      </c>
      <c r="AE1232">
        <v>-4.3271000000000299</v>
      </c>
      <c r="AF1232">
        <v>3.5446542889148001</v>
      </c>
      <c r="AG1232">
        <v>-1.1081046078379999</v>
      </c>
      <c r="AH1232">
        <v>9.9361541083473206</v>
      </c>
      <c r="AI1232">
        <v>95.996285711200798</v>
      </c>
      <c r="AJ1232">
        <v>70.366492579316599</v>
      </c>
      <c r="AK1232">
        <v>10.607526965068701</v>
      </c>
      <c r="AL1232">
        <v>85.880640645832102</v>
      </c>
      <c r="AM1232">
        <v>82.459474196712705</v>
      </c>
      <c r="AN1232">
        <v>1.00000000004774</v>
      </c>
    </row>
    <row r="1233" spans="1:40" x14ac:dyDescent="0.25">
      <c r="A1233" t="str">
        <f>"20190312154820160"</f>
        <v>20190312154820160</v>
      </c>
      <c r="B1233" t="str">
        <f>"1552376900147436"</f>
        <v>1552376900147436</v>
      </c>
      <c r="C1233" t="s">
        <v>40</v>
      </c>
      <c r="D1233">
        <v>4.8987869999999996</v>
      </c>
      <c r="E1233">
        <v>0.58327910000000005</v>
      </c>
      <c r="F1233" t="s">
        <v>45</v>
      </c>
      <c r="G1233">
        <v>-205.75210000000001</v>
      </c>
      <c r="H1233" s="1">
        <v>-4.5895029999999997E-6</v>
      </c>
      <c r="I1233">
        <v>363.82440000000003</v>
      </c>
      <c r="J1233">
        <v>-215.40180000000001</v>
      </c>
      <c r="K1233">
        <v>1.108115</v>
      </c>
      <c r="L1233">
        <v>368.13600000000002</v>
      </c>
      <c r="M1233">
        <v>0.99694360000000004</v>
      </c>
      <c r="N1233">
        <v>0</v>
      </c>
      <c r="O1233">
        <v>-7.6878580000000002E-2</v>
      </c>
      <c r="P1233">
        <v>0.97650190000000003</v>
      </c>
      <c r="Q1233">
        <v>5.9025019999999997E-2</v>
      </c>
      <c r="R1233">
        <v>-0.20726820000000001</v>
      </c>
      <c r="S1233">
        <v>2.828033</v>
      </c>
      <c r="T1233">
        <v>-0.32030009999999998</v>
      </c>
      <c r="U1233">
        <v>-1.2497860000000001</v>
      </c>
      <c r="V1233">
        <v>0.1319545</v>
      </c>
      <c r="W1233">
        <v>7.2085560000000007E-2</v>
      </c>
      <c r="X1233">
        <v>0.98863120000000004</v>
      </c>
      <c r="Y1233">
        <v>0.331343</v>
      </c>
      <c r="Z1233">
        <v>-9.6202600000000003E-3</v>
      </c>
      <c r="AA1233">
        <v>0.94346140000000001</v>
      </c>
      <c r="AB1233">
        <v>24</v>
      </c>
      <c r="AC1233">
        <v>9.6496999999999904</v>
      </c>
      <c r="AD1233">
        <v>-1.1081195895029901</v>
      </c>
      <c r="AE1233">
        <v>-4.3115999999999399</v>
      </c>
      <c r="AF1233">
        <v>3.5182362752071601</v>
      </c>
      <c r="AG1233">
        <v>-1.1081195895029901</v>
      </c>
      <c r="AH1233">
        <v>9.84442321808476</v>
      </c>
      <c r="AI1233">
        <v>96.050609406664293</v>
      </c>
      <c r="AJ1233">
        <v>70.333939214174507</v>
      </c>
      <c r="AK1233">
        <v>10.5127819348443</v>
      </c>
      <c r="AL1233">
        <v>85.866216213461399</v>
      </c>
      <c r="AM1233">
        <v>82.397555292069399</v>
      </c>
      <c r="AN1233">
        <v>0.99999998382210098</v>
      </c>
    </row>
    <row r="1234" spans="1:40" x14ac:dyDescent="0.25">
      <c r="A1234" t="str">
        <f>"20190312154820172"</f>
        <v>20190312154820172</v>
      </c>
      <c r="B1234" t="str">
        <f>"1552376900166956"</f>
        <v>1552376900166956</v>
      </c>
      <c r="C1234" t="s">
        <v>40</v>
      </c>
      <c r="D1234">
        <v>5.0324749999999998</v>
      </c>
      <c r="E1234">
        <v>0.59830519999999998</v>
      </c>
      <c r="F1234" t="s">
        <v>45</v>
      </c>
      <c r="G1234">
        <v>-205.7636</v>
      </c>
      <c r="H1234" s="1">
        <v>-4.5894550000000001E-6</v>
      </c>
      <c r="I1234">
        <v>363.84870000000001</v>
      </c>
      <c r="J1234">
        <v>-215.2741</v>
      </c>
      <c r="K1234">
        <v>1.1081259999999999</v>
      </c>
      <c r="L1234">
        <v>368.12430000000001</v>
      </c>
      <c r="M1234">
        <v>0.99681140000000001</v>
      </c>
      <c r="N1234">
        <v>0</v>
      </c>
      <c r="O1234">
        <v>-7.8573039999999997E-2</v>
      </c>
      <c r="P1234">
        <v>0.97596280000000002</v>
      </c>
      <c r="Q1234">
        <v>5.9225680000000003E-2</v>
      </c>
      <c r="R1234">
        <v>-0.20973559999999999</v>
      </c>
      <c r="S1234">
        <v>2.8250890000000002</v>
      </c>
      <c r="T1234">
        <v>-0.32480389999999998</v>
      </c>
      <c r="U1234">
        <v>-1.256683</v>
      </c>
      <c r="V1234">
        <v>0.13277340000000001</v>
      </c>
      <c r="W1234">
        <v>7.2282470000000001E-2</v>
      </c>
      <c r="X1234">
        <v>0.98850720000000003</v>
      </c>
      <c r="Y1234">
        <v>0.33199489999999998</v>
      </c>
      <c r="Z1234">
        <v>-9.6117440000000002E-3</v>
      </c>
      <c r="AA1234">
        <v>0.94323219999999997</v>
      </c>
      <c r="AB1234">
        <v>24</v>
      </c>
      <c r="AC1234">
        <v>9.5105000000000004</v>
      </c>
      <c r="AD1234">
        <v>-1.108130589455</v>
      </c>
      <c r="AE1234">
        <v>-4.2755999999999901</v>
      </c>
      <c r="AF1234">
        <v>3.47578370008471</v>
      </c>
      <c r="AG1234">
        <v>-1.108130589455</v>
      </c>
      <c r="AH1234">
        <v>9.7074390359700296</v>
      </c>
      <c r="AI1234">
        <v>96.134111386439599</v>
      </c>
      <c r="AJ1234">
        <v>70.299909405827293</v>
      </c>
      <c r="AK1234">
        <v>10.370313320731199</v>
      </c>
      <c r="AL1234">
        <v>85.854904692753706</v>
      </c>
      <c r="AM1234">
        <v>82.349983823779993</v>
      </c>
      <c r="AN1234">
        <v>1.0000000078343501</v>
      </c>
    </row>
    <row r="1235" spans="1:40" x14ac:dyDescent="0.25">
      <c r="A1235" t="str">
        <f>"20190312154820186"</f>
        <v>20190312154820186</v>
      </c>
      <c r="B1235" t="str">
        <f>"1552376900177692"</f>
        <v>1552376900177692</v>
      </c>
      <c r="C1235" t="s">
        <v>40</v>
      </c>
      <c r="D1235">
        <v>5.0068429999999999</v>
      </c>
      <c r="E1235">
        <v>0.60000430000000005</v>
      </c>
      <c r="F1235" t="s">
        <v>45</v>
      </c>
      <c r="G1235">
        <v>-208.21940000000001</v>
      </c>
      <c r="H1235" s="1">
        <v>-5.4632410000000001E-6</v>
      </c>
      <c r="I1235">
        <v>364.65949999999998</v>
      </c>
      <c r="J1235">
        <v>-215.1258</v>
      </c>
      <c r="K1235">
        <v>1.1081379999999901</v>
      </c>
      <c r="L1235">
        <v>368.1105</v>
      </c>
      <c r="M1235">
        <v>0.99665479999999995</v>
      </c>
      <c r="N1235">
        <v>0</v>
      </c>
      <c r="O1235">
        <v>-8.0537730000000002E-2</v>
      </c>
      <c r="P1235">
        <v>0.97533440000000005</v>
      </c>
      <c r="Q1235">
        <v>5.9330979999999998E-2</v>
      </c>
      <c r="R1235">
        <v>-0.21261079999999999</v>
      </c>
      <c r="S1235">
        <v>2.8046259999999998</v>
      </c>
      <c r="T1235">
        <v>-0.44054379999999999</v>
      </c>
      <c r="U1235">
        <v>-1.3774409999999999</v>
      </c>
      <c r="V1235">
        <v>0.13373779999999999</v>
      </c>
      <c r="W1235">
        <v>7.2382829999999995E-2</v>
      </c>
      <c r="X1235">
        <v>0.98836979999999997</v>
      </c>
      <c r="Y1235">
        <v>0.3643246</v>
      </c>
      <c r="Z1235">
        <v>-1.508662E-2</v>
      </c>
      <c r="AA1235">
        <v>0.93114980000000003</v>
      </c>
      <c r="AB1235">
        <v>24</v>
      </c>
      <c r="AC1235">
        <v>6.9063999999999899</v>
      </c>
      <c r="AD1235">
        <v>-1.1081434632410001</v>
      </c>
      <c r="AE1235">
        <v>-3.4510000000000201</v>
      </c>
      <c r="AF1235">
        <v>2.8253038409139601</v>
      </c>
      <c r="AG1235">
        <v>-1.1081434632410001</v>
      </c>
      <c r="AH1235">
        <v>7.0173582753007704</v>
      </c>
      <c r="AI1235">
        <v>98.333842392626394</v>
      </c>
      <c r="AJ1235">
        <v>68.069473391834094</v>
      </c>
      <c r="AK1235">
        <v>7.6454980800821097</v>
      </c>
      <c r="AL1235">
        <v>85.849139218335097</v>
      </c>
      <c r="AM1235">
        <v>82.294024781332595</v>
      </c>
      <c r="AN1235">
        <v>0.99999996738984398</v>
      </c>
    </row>
    <row r="1236" spans="1:40" x14ac:dyDescent="0.25">
      <c r="A1236" t="str">
        <f>"20190312154820198"</f>
        <v>20190312154820198</v>
      </c>
      <c r="B1236" t="str">
        <f>"1552376900187452"</f>
        <v>1552376900187452</v>
      </c>
      <c r="C1236" t="s">
        <v>40</v>
      </c>
      <c r="D1236">
        <v>4.9728159999999999</v>
      </c>
      <c r="E1236">
        <v>0.60134390000000004</v>
      </c>
      <c r="F1236" t="s">
        <v>45</v>
      </c>
      <c r="G1236">
        <v>-208.53829999999999</v>
      </c>
      <c r="H1236" s="1">
        <v>-5.5448520000000004E-6</v>
      </c>
      <c r="I1236">
        <v>364.82049999999998</v>
      </c>
      <c r="J1236">
        <v>-214.99449999999999</v>
      </c>
      <c r="K1236">
        <v>1.1081449999999999</v>
      </c>
      <c r="L1236">
        <v>368.09789999999998</v>
      </c>
      <c r="M1236">
        <v>0.99651290000000003</v>
      </c>
      <c r="N1236">
        <v>0</v>
      </c>
      <c r="O1236">
        <v>-8.2275189999999998E-2</v>
      </c>
      <c r="P1236">
        <v>0.97436659999999997</v>
      </c>
      <c r="Q1236">
        <v>5.9704409999999999E-2</v>
      </c>
      <c r="R1236">
        <v>-0.21690019999999999</v>
      </c>
      <c r="S1236">
        <v>2.7997130000000001</v>
      </c>
      <c r="T1236">
        <v>-0.47096719999999997</v>
      </c>
      <c r="U1236">
        <v>-1.3982540000000001</v>
      </c>
      <c r="V1236">
        <v>0.13636819999999999</v>
      </c>
      <c r="W1236">
        <v>7.2738070000000002E-2</v>
      </c>
      <c r="X1236">
        <v>0.98798419999999998</v>
      </c>
      <c r="Y1236">
        <v>0.36848379999999997</v>
      </c>
      <c r="Z1236">
        <v>-1.617509E-2</v>
      </c>
      <c r="AA1236">
        <v>0.92949340000000003</v>
      </c>
      <c r="AB1236">
        <v>24</v>
      </c>
      <c r="AC1236">
        <v>6.4561999999999902</v>
      </c>
      <c r="AD1236">
        <v>-1.1081505448519999</v>
      </c>
      <c r="AE1236">
        <v>-3.2774000000000001</v>
      </c>
      <c r="AF1236">
        <v>2.6724494905646998</v>
      </c>
      <c r="AG1236">
        <v>-1.1081505448519999</v>
      </c>
      <c r="AH1236">
        <v>6.5505392538724898</v>
      </c>
      <c r="AI1236">
        <v>98.902214925438599</v>
      </c>
      <c r="AJ1236">
        <v>67.805819164329193</v>
      </c>
      <c r="AK1236">
        <v>7.1609739858625101</v>
      </c>
      <c r="AL1236">
        <v>85.828731582020595</v>
      </c>
      <c r="AM1236">
        <v>82.141307801126402</v>
      </c>
      <c r="AN1236">
        <v>0.99999994612410004</v>
      </c>
    </row>
    <row r="1237" spans="1:40" x14ac:dyDescent="0.25">
      <c r="A1237" t="str">
        <f>"20190312154820209"</f>
        <v>20190312154820209</v>
      </c>
      <c r="B1237" t="str">
        <f>"1552376900197211"</f>
        <v>1552376900197211</v>
      </c>
      <c r="C1237" t="s">
        <v>40</v>
      </c>
      <c r="D1237">
        <v>4.9620230000000003</v>
      </c>
      <c r="E1237">
        <v>0.60241069999999997</v>
      </c>
      <c r="F1237" t="s">
        <v>45</v>
      </c>
      <c r="G1237">
        <v>-208.5916</v>
      </c>
      <c r="H1237" s="1">
        <v>-5.5595709999999999E-6</v>
      </c>
      <c r="I1237">
        <v>364.84039999999999</v>
      </c>
      <c r="J1237">
        <v>-214.87200000000001</v>
      </c>
      <c r="K1237">
        <v>1.1081510000000001</v>
      </c>
      <c r="L1237">
        <v>368.08600000000001</v>
      </c>
      <c r="M1237">
        <v>0.99637770000000003</v>
      </c>
      <c r="N1237">
        <v>0</v>
      </c>
      <c r="O1237">
        <v>-8.3896120000000005E-2</v>
      </c>
      <c r="P1237">
        <v>0.97381810000000002</v>
      </c>
      <c r="Q1237">
        <v>5.9888240000000002E-2</v>
      </c>
      <c r="R1237">
        <v>-0.21929799999999999</v>
      </c>
      <c r="S1237">
        <v>2.792313</v>
      </c>
      <c r="T1237">
        <v>-0.48326609999999998</v>
      </c>
      <c r="U1237">
        <v>-1.420593</v>
      </c>
      <c r="V1237">
        <v>0.13719509999999999</v>
      </c>
      <c r="W1237">
        <v>7.2915939999999999E-2</v>
      </c>
      <c r="X1237">
        <v>0.98785659999999997</v>
      </c>
      <c r="Y1237">
        <v>0.37366830000000001</v>
      </c>
      <c r="Z1237">
        <v>-1.6765169999999999E-2</v>
      </c>
      <c r="AA1237">
        <v>0.92741079999999998</v>
      </c>
      <c r="AB1237">
        <v>24</v>
      </c>
      <c r="AC1237">
        <v>6.28040000000001</v>
      </c>
      <c r="AD1237">
        <v>-1.1081565595709999</v>
      </c>
      <c r="AE1237">
        <v>-3.24560000000002</v>
      </c>
      <c r="AF1237">
        <v>2.6422790486929202</v>
      </c>
      <c r="AG1237">
        <v>-1.1081565595709999</v>
      </c>
      <c r="AH1237">
        <v>6.3739569754127299</v>
      </c>
      <c r="AI1237">
        <v>99.124024603750499</v>
      </c>
      <c r="AJ1237">
        <v>67.483892244353996</v>
      </c>
      <c r="AK1237">
        <v>6.9883458025554601</v>
      </c>
      <c r="AL1237">
        <v>85.818513246606003</v>
      </c>
      <c r="AM1237">
        <v>82.093247311161505</v>
      </c>
      <c r="AN1237">
        <v>0.99999994596682495</v>
      </c>
    </row>
    <row r="1238" spans="1:40" x14ac:dyDescent="0.25">
      <c r="A1238" t="str">
        <f>"20190312154820220"</f>
        <v>20190312154820220</v>
      </c>
      <c r="B1238" t="str">
        <f>"1552376900216732"</f>
        <v>1552376900216732</v>
      </c>
      <c r="C1238" t="s">
        <v>40</v>
      </c>
      <c r="D1238">
        <v>4.9374409999999997</v>
      </c>
      <c r="E1238">
        <v>0.60323300000000002</v>
      </c>
      <c r="F1238" t="s">
        <v>45</v>
      </c>
      <c r="G1238">
        <v>-208.3194</v>
      </c>
      <c r="H1238" s="1">
        <v>-5.4889519999999998E-6</v>
      </c>
      <c r="I1238">
        <v>364.70920000000001</v>
      </c>
      <c r="J1238">
        <v>-214.7473</v>
      </c>
      <c r="K1238">
        <v>1.1081570000000001</v>
      </c>
      <c r="L1238">
        <v>368.07369999999997</v>
      </c>
      <c r="M1238">
        <v>0.9962375</v>
      </c>
      <c r="N1238">
        <v>0</v>
      </c>
      <c r="O1238">
        <v>-8.5546659999999997E-2</v>
      </c>
      <c r="P1238">
        <v>0.97318539999999998</v>
      </c>
      <c r="Q1238">
        <v>6.011292E-2</v>
      </c>
      <c r="R1238">
        <v>-0.22202910000000001</v>
      </c>
      <c r="S1238">
        <v>2.7862849999999999</v>
      </c>
      <c r="T1238">
        <v>-0.47121170000000001</v>
      </c>
      <c r="U1238">
        <v>-1.435883</v>
      </c>
      <c r="V1238">
        <v>0.1383325</v>
      </c>
      <c r="W1238">
        <v>7.3132310000000006E-2</v>
      </c>
      <c r="X1238">
        <v>0.98768199999999995</v>
      </c>
      <c r="Y1238">
        <v>0.37711620000000001</v>
      </c>
      <c r="Z1238">
        <v>-1.637984E-2</v>
      </c>
      <c r="AA1238">
        <v>0.92602110000000004</v>
      </c>
      <c r="AB1238">
        <v>24</v>
      </c>
      <c r="AC1238">
        <v>6.4278999999999904</v>
      </c>
      <c r="AD1238">
        <v>-1.1081624889520001</v>
      </c>
      <c r="AE1238">
        <v>-3.3644999999999601</v>
      </c>
      <c r="AF1238">
        <v>2.7383408560054598</v>
      </c>
      <c r="AG1238">
        <v>-1.1081624889520001</v>
      </c>
      <c r="AH1238">
        <v>6.53961394037277</v>
      </c>
      <c r="AI1238">
        <v>98.883684303265596</v>
      </c>
      <c r="AJ1238">
        <v>67.279414858217393</v>
      </c>
      <c r="AK1238">
        <v>7.1758682565043603</v>
      </c>
      <c r="AL1238">
        <v>85.8060830901467</v>
      </c>
      <c r="AM1238">
        <v>82.027145466809301</v>
      </c>
      <c r="AN1238">
        <v>0.99999997422309195</v>
      </c>
    </row>
    <row r="1239" spans="1:40" x14ac:dyDescent="0.25">
      <c r="A1239" t="str">
        <f>"20190312154820233"</f>
        <v>20190312154820233</v>
      </c>
      <c r="B1239" t="str">
        <f>"1552376900227468"</f>
        <v>1552376900227468</v>
      </c>
      <c r="C1239" t="s">
        <v>40</v>
      </c>
      <c r="D1239">
        <v>4.9584510000000002</v>
      </c>
      <c r="E1239">
        <v>0.60336290000000004</v>
      </c>
      <c r="F1239" t="s">
        <v>45</v>
      </c>
      <c r="G1239">
        <v>-208.16309999999999</v>
      </c>
      <c r="H1239" s="1">
        <v>-5.4475979999999997E-6</v>
      </c>
      <c r="I1239">
        <v>364.63909999999998</v>
      </c>
      <c r="J1239">
        <v>-214.62389999999999</v>
      </c>
      <c r="K1239">
        <v>1.108161</v>
      </c>
      <c r="L1239">
        <v>368.06119999999999</v>
      </c>
      <c r="M1239">
        <v>0.99609530000000002</v>
      </c>
      <c r="N1239">
        <v>0</v>
      </c>
      <c r="O1239">
        <v>-8.7185819999999997E-2</v>
      </c>
      <c r="P1239">
        <v>0.97261249999999999</v>
      </c>
      <c r="Q1239">
        <v>6.0568990000000003E-2</v>
      </c>
      <c r="R1239">
        <v>-0.22440299999999999</v>
      </c>
      <c r="S1239">
        <v>2.7806090000000001</v>
      </c>
      <c r="T1239">
        <v>-0.46799829999999998</v>
      </c>
      <c r="U1239">
        <v>-1.4504999999999999</v>
      </c>
      <c r="V1239">
        <v>0.13912279999999999</v>
      </c>
      <c r="W1239">
        <v>7.3581229999999997E-2</v>
      </c>
      <c r="X1239">
        <v>0.98753769999999996</v>
      </c>
      <c r="Y1239">
        <v>0.38022309999999998</v>
      </c>
      <c r="Z1239">
        <v>-1.6271029999999999E-2</v>
      </c>
      <c r="AA1239">
        <v>0.92475169999999995</v>
      </c>
      <c r="AB1239">
        <v>24</v>
      </c>
      <c r="AC1239">
        <v>6.4607999999999999</v>
      </c>
      <c r="AD1239">
        <v>-1.108166447598</v>
      </c>
      <c r="AE1239">
        <v>-3.4220999999999999</v>
      </c>
      <c r="AF1239">
        <v>2.7818120094265999</v>
      </c>
      <c r="AG1239">
        <v>-1.108166447598</v>
      </c>
      <c r="AH1239">
        <v>6.5833335181243902</v>
      </c>
      <c r="AI1239">
        <v>98.813791436268602</v>
      </c>
      <c r="AJ1239">
        <v>67.093330959035299</v>
      </c>
      <c r="AK1239">
        <v>7.2323434059945004</v>
      </c>
      <c r="AL1239">
        <v>85.780292617017196</v>
      </c>
      <c r="AM1239">
        <v>81.981030517413501</v>
      </c>
      <c r="AN1239">
        <v>1.00000002990472</v>
      </c>
    </row>
    <row r="1240" spans="1:40" x14ac:dyDescent="0.25">
      <c r="A1240" t="str">
        <f>"20190312154820246"</f>
        <v>20190312154820246</v>
      </c>
      <c r="B1240" t="str">
        <f>"1552376900237228"</f>
        <v>1552376900237228</v>
      </c>
      <c r="C1240" t="s">
        <v>40</v>
      </c>
      <c r="D1240">
        <v>4.9856889999999998</v>
      </c>
      <c r="E1240">
        <v>0.60336089999999998</v>
      </c>
      <c r="F1240" t="s">
        <v>45</v>
      </c>
      <c r="G1240">
        <v>-207.91200000000001</v>
      </c>
      <c r="H1240" s="1">
        <v>-5.3799489999999998E-6</v>
      </c>
      <c r="I1240">
        <v>364.53390000000002</v>
      </c>
      <c r="J1240">
        <v>-214.48949999999999</v>
      </c>
      <c r="K1240">
        <v>1.108163</v>
      </c>
      <c r="L1240">
        <v>368.04750000000001</v>
      </c>
      <c r="M1240">
        <v>0.99593719999999997</v>
      </c>
      <c r="N1240">
        <v>0</v>
      </c>
      <c r="O1240">
        <v>-8.8973559999999993E-2</v>
      </c>
      <c r="P1240">
        <v>0.9720162</v>
      </c>
      <c r="Q1240">
        <v>6.083123E-2</v>
      </c>
      <c r="R1240">
        <v>-0.22690199999999999</v>
      </c>
      <c r="S1240">
        <v>2.7763819999999999</v>
      </c>
      <c r="T1240">
        <v>-0.45839360000000001</v>
      </c>
      <c r="U1240">
        <v>-1.459076</v>
      </c>
      <c r="V1240">
        <v>0.13989209999999999</v>
      </c>
      <c r="W1240">
        <v>7.3835659999999997E-2</v>
      </c>
      <c r="X1240">
        <v>0.98741000000000001</v>
      </c>
      <c r="Y1240">
        <v>0.38151580000000002</v>
      </c>
      <c r="Z1240">
        <v>-1.577978E-2</v>
      </c>
      <c r="AA1240">
        <v>0.92422769999999999</v>
      </c>
      <c r="AB1240">
        <v>24</v>
      </c>
      <c r="AC1240">
        <v>6.5774999999999801</v>
      </c>
      <c r="AD1240">
        <v>-1.1081683799490001</v>
      </c>
      <c r="AE1240">
        <v>-3.5135999999999901</v>
      </c>
      <c r="AF1240">
        <v>2.85141322189983</v>
      </c>
      <c r="AG1240">
        <v>-1.1081683799490001</v>
      </c>
      <c r="AH1240">
        <v>6.7157491282322797</v>
      </c>
      <c r="AI1240">
        <v>98.636462419045998</v>
      </c>
      <c r="AJ1240">
        <v>66.994601247355206</v>
      </c>
      <c r="AK1240">
        <v>7.3796938197798196</v>
      </c>
      <c r="AL1240">
        <v>85.765674989625396</v>
      </c>
      <c r="AM1240">
        <v>81.936240924692498</v>
      </c>
      <c r="AN1240">
        <v>1.0000000062150201</v>
      </c>
    </row>
    <row r="1241" spans="1:40" x14ac:dyDescent="0.25">
      <c r="A1241" t="str">
        <f>"20190312154820260"</f>
        <v>20190312154820260</v>
      </c>
      <c r="B1241" t="str">
        <f>"1552376900246987"</f>
        <v>1552376900246987</v>
      </c>
      <c r="C1241" t="s">
        <v>40</v>
      </c>
      <c r="D1241">
        <v>5.0033519999999996</v>
      </c>
      <c r="E1241">
        <v>0.60333879999999995</v>
      </c>
      <c r="F1241" t="s">
        <v>45</v>
      </c>
      <c r="G1241">
        <v>-207.7304</v>
      </c>
      <c r="H1241" s="1">
        <v>-5.3286640000000002E-6</v>
      </c>
      <c r="I1241">
        <v>364.47309999999999</v>
      </c>
      <c r="J1241">
        <v>-214.32859999999999</v>
      </c>
      <c r="K1241">
        <v>1.1081570000000001</v>
      </c>
      <c r="L1241">
        <v>368.03070000000002</v>
      </c>
      <c r="M1241">
        <v>0.9957414</v>
      </c>
      <c r="N1241">
        <v>0</v>
      </c>
      <c r="O1241">
        <v>-9.1139510000000007E-2</v>
      </c>
      <c r="P1241">
        <v>0.97134290000000001</v>
      </c>
      <c r="Q1241">
        <v>6.0724460000000001E-2</v>
      </c>
      <c r="R1241">
        <v>-0.229795</v>
      </c>
      <c r="S1241">
        <v>2.7725680000000001</v>
      </c>
      <c r="T1241">
        <v>-0.45456560000000001</v>
      </c>
      <c r="U1241">
        <v>-1.4662170000000001</v>
      </c>
      <c r="V1241">
        <v>0.1406859</v>
      </c>
      <c r="W1241">
        <v>7.3718210000000006E-2</v>
      </c>
      <c r="X1241">
        <v>0.98730600000000002</v>
      </c>
      <c r="Y1241">
        <v>0.38196029999999997</v>
      </c>
      <c r="Z1241">
        <v>-1.5367240000000001E-2</v>
      </c>
      <c r="AA1241">
        <v>0.92405099999999996</v>
      </c>
      <c r="AB1241">
        <v>24</v>
      </c>
      <c r="AC1241">
        <v>6.5981999999999896</v>
      </c>
      <c r="AD1241">
        <v>-1.1081623286640001</v>
      </c>
      <c r="AE1241">
        <v>-3.5576000000000301</v>
      </c>
      <c r="AF1241">
        <v>2.8784707950178499</v>
      </c>
      <c r="AG1241">
        <v>-1.1081623286640001</v>
      </c>
      <c r="AH1241">
        <v>6.7475437553991</v>
      </c>
      <c r="AI1241">
        <v>98.590201543062506</v>
      </c>
      <c r="AJ1241">
        <v>66.897130039129905</v>
      </c>
      <c r="AK1241">
        <v>7.4190945940502804</v>
      </c>
      <c r="AL1241">
        <v>85.772422815056103</v>
      </c>
      <c r="AM1241">
        <v>81.890248218056797</v>
      </c>
      <c r="AN1241">
        <v>1.0000000172901999</v>
      </c>
    </row>
    <row r="1242" spans="1:40" x14ac:dyDescent="0.25">
      <c r="A1242" t="str">
        <f>"20190312154820273"</f>
        <v>20190312154820273</v>
      </c>
      <c r="B1242" t="str">
        <f>"1552376900267484"</f>
        <v>1552376900267484</v>
      </c>
      <c r="C1242" t="s">
        <v>40</v>
      </c>
      <c r="D1242">
        <v>4.9805469999999996</v>
      </c>
      <c r="E1242">
        <v>0.60333919999999996</v>
      </c>
      <c r="F1242" t="s">
        <v>45</v>
      </c>
      <c r="G1242">
        <v>-207.54689999999999</v>
      </c>
      <c r="H1242" s="1">
        <v>-5.2758789999999998E-6</v>
      </c>
      <c r="I1242">
        <v>364.41770000000002</v>
      </c>
      <c r="J1242">
        <v>-214.18809999999999</v>
      </c>
      <c r="K1242">
        <v>1.108141</v>
      </c>
      <c r="L1242">
        <v>368.01569999999998</v>
      </c>
      <c r="M1242">
        <v>0.99556469999999997</v>
      </c>
      <c r="N1242">
        <v>0</v>
      </c>
      <c r="O1242">
        <v>-9.3048779999999998E-2</v>
      </c>
      <c r="P1242">
        <v>0.97071589999999996</v>
      </c>
      <c r="Q1242">
        <v>6.0977620000000003E-2</v>
      </c>
      <c r="R1242">
        <v>-0.23236370000000001</v>
      </c>
      <c r="S1242">
        <v>2.7679290000000001</v>
      </c>
      <c r="T1242">
        <v>-0.45228960000000001</v>
      </c>
      <c r="U1242">
        <v>-1.47464</v>
      </c>
      <c r="V1242">
        <v>0.14141020000000001</v>
      </c>
      <c r="W1242">
        <v>7.3960239999999997E-2</v>
      </c>
      <c r="X1242">
        <v>0.98718439999999996</v>
      </c>
      <c r="Y1242">
        <v>0.38305820000000002</v>
      </c>
      <c r="Z1242">
        <v>-1.5100870000000001E-2</v>
      </c>
      <c r="AA1242">
        <v>0.92360070000000005</v>
      </c>
      <c r="AB1242">
        <v>24</v>
      </c>
      <c r="AC1242">
        <v>6.6411999999999898</v>
      </c>
      <c r="AD1242">
        <v>-1.1081462758789999</v>
      </c>
      <c r="AE1242">
        <v>-3.5979999999999501</v>
      </c>
      <c r="AF1242">
        <v>2.9019103842470901</v>
      </c>
      <c r="AG1242">
        <v>-1.1081462758789999</v>
      </c>
      <c r="AH1242">
        <v>6.8008205476163299</v>
      </c>
      <c r="AI1242">
        <v>98.5234603103208</v>
      </c>
      <c r="AJ1242">
        <v>66.8920556070142</v>
      </c>
      <c r="AK1242">
        <v>7.4766457832256696</v>
      </c>
      <c r="AL1242">
        <v>85.758517488036304</v>
      </c>
      <c r="AM1242">
        <v>81.848065501783907</v>
      </c>
      <c r="AN1242">
        <v>1.0000000006841201</v>
      </c>
    </row>
    <row r="1243" spans="1:40" x14ac:dyDescent="0.25">
      <c r="A1243" t="str">
        <f>"20190312154820288"</f>
        <v>20190312154820288</v>
      </c>
      <c r="B1243" t="str">
        <f>"1552376900277244"</f>
        <v>1552376900277244</v>
      </c>
      <c r="C1243" t="s">
        <v>40</v>
      </c>
      <c r="D1243">
        <v>4.9661269999999904</v>
      </c>
      <c r="E1243">
        <v>0.60327259999999905</v>
      </c>
      <c r="F1243" t="s">
        <v>45</v>
      </c>
      <c r="G1243">
        <v>-207.34690000000001</v>
      </c>
      <c r="H1243" s="1">
        <v>-5.2165239999999998E-6</v>
      </c>
      <c r="I1243">
        <v>364.34699999999998</v>
      </c>
      <c r="J1243">
        <v>-214.0215</v>
      </c>
      <c r="K1243">
        <v>1.108115</v>
      </c>
      <c r="L1243">
        <v>367.99770000000001</v>
      </c>
      <c r="M1243">
        <v>0.99534789999999995</v>
      </c>
      <c r="N1243">
        <v>0</v>
      </c>
      <c r="O1243">
        <v>-9.5340809999999998E-2</v>
      </c>
      <c r="P1243">
        <v>0.9697694</v>
      </c>
      <c r="Q1243">
        <v>6.0313579999999999E-2</v>
      </c>
      <c r="R1243">
        <v>-0.23645330000000001</v>
      </c>
      <c r="S1243">
        <v>2.7638240000000001</v>
      </c>
      <c r="T1243">
        <v>-0.44768809999999898</v>
      </c>
      <c r="U1243">
        <v>-1.482178</v>
      </c>
      <c r="V1243">
        <v>0.1432967</v>
      </c>
      <c r="W1243">
        <v>7.3274039999999999E-2</v>
      </c>
      <c r="X1243">
        <v>0.98696349999999999</v>
      </c>
      <c r="Y1243">
        <v>0.38353739999999997</v>
      </c>
      <c r="Z1243">
        <v>-1.465519E-2</v>
      </c>
      <c r="AA1243">
        <v>0.92340909999999998</v>
      </c>
      <c r="AB1243">
        <v>24</v>
      </c>
      <c r="AC1243">
        <v>6.6745999999999901</v>
      </c>
      <c r="AD1243">
        <v>-1.1081202165240001</v>
      </c>
      <c r="AE1243">
        <v>-3.65070000000002</v>
      </c>
      <c r="AF1243">
        <v>2.9353672317009201</v>
      </c>
      <c r="AG1243">
        <v>-1.1081202165240001</v>
      </c>
      <c r="AH1243">
        <v>6.8470179820690298</v>
      </c>
      <c r="AI1243">
        <v>98.460538117339098</v>
      </c>
      <c r="AJ1243">
        <v>66.794828425018594</v>
      </c>
      <c r="AK1243">
        <v>7.5316642547307797</v>
      </c>
      <c r="AL1243">
        <v>85.797940778861502</v>
      </c>
      <c r="AM1243">
        <v>81.738981194743701</v>
      </c>
      <c r="AN1243">
        <v>0.99999998975052995</v>
      </c>
    </row>
    <row r="1244" spans="1:40" x14ac:dyDescent="0.25">
      <c r="A1244" t="str">
        <f>"20190312154820303"</f>
        <v>20190312154820303</v>
      </c>
      <c r="B1244" t="str">
        <f>"1552376900296764"</f>
        <v>1552376900296764</v>
      </c>
      <c r="C1244" t="s">
        <v>40</v>
      </c>
      <c r="D1244">
        <v>4.9650840000000001</v>
      </c>
      <c r="E1244">
        <v>0.60316119999999995</v>
      </c>
      <c r="F1244" t="s">
        <v>45</v>
      </c>
      <c r="G1244">
        <v>-207.29949999999999</v>
      </c>
      <c r="H1244" s="1">
        <v>-5.1923259999999997E-6</v>
      </c>
      <c r="I1244">
        <v>364.35640000000001</v>
      </c>
      <c r="J1244">
        <v>-213.86109999999999</v>
      </c>
      <c r="K1244">
        <v>1.1080840000000001</v>
      </c>
      <c r="L1244">
        <v>367.97980000000001</v>
      </c>
      <c r="M1244">
        <v>0.99513010000000002</v>
      </c>
      <c r="N1244">
        <v>0</v>
      </c>
      <c r="O1244">
        <v>-9.7588129999999995E-2</v>
      </c>
      <c r="P1244">
        <v>0.96904840000000003</v>
      </c>
      <c r="Q1244">
        <v>6.0002569999999998E-2</v>
      </c>
      <c r="R1244">
        <v>-0.23946919999999999</v>
      </c>
      <c r="S1244">
        <v>2.757584</v>
      </c>
      <c r="T1244">
        <v>-0.45458710000000002</v>
      </c>
      <c r="U1244">
        <v>-1.4937739999999999</v>
      </c>
      <c r="V1244">
        <v>0.14414179999999999</v>
      </c>
      <c r="W1244">
        <v>7.2945430000000006E-2</v>
      </c>
      <c r="X1244">
        <v>0.98686479999999999</v>
      </c>
      <c r="Y1244">
        <v>0.38524439999999999</v>
      </c>
      <c r="Z1244">
        <v>-1.468645E-2</v>
      </c>
      <c r="AA1244">
        <v>0.92269769999999895</v>
      </c>
      <c r="AB1244">
        <v>24</v>
      </c>
      <c r="AC1244">
        <v>6.5615999999999897</v>
      </c>
      <c r="AD1244">
        <v>-1.1080891923259999</v>
      </c>
      <c r="AE1244">
        <v>-3.6234000000000002</v>
      </c>
      <c r="AF1244">
        <v>2.9022781360296999</v>
      </c>
      <c r="AG1244">
        <v>-1.1080891923259999</v>
      </c>
      <c r="AH1244">
        <v>6.7366831431140604</v>
      </c>
      <c r="AI1244">
        <v>98.590336761466205</v>
      </c>
      <c r="AJ1244">
        <v>66.6927972223545</v>
      </c>
      <c r="AK1244">
        <v>7.4184890515348796</v>
      </c>
      <c r="AL1244">
        <v>85.816819367002907</v>
      </c>
      <c r="AM1244">
        <v>81.690120240750502</v>
      </c>
      <c r="AN1244">
        <v>1.0000000138720799</v>
      </c>
    </row>
    <row r="1245" spans="1:40" x14ac:dyDescent="0.25">
      <c r="A1245" t="str">
        <f>"20190312154820316"</f>
        <v>20190312154820316</v>
      </c>
      <c r="B1245" t="str">
        <f>"1552376900307500"</f>
        <v>1552376900307500</v>
      </c>
      <c r="C1245" t="s">
        <v>40</v>
      </c>
      <c r="D1245">
        <v>4.8202199999999999</v>
      </c>
      <c r="E1245">
        <v>0.60330329999999999</v>
      </c>
      <c r="F1245" t="s">
        <v>45</v>
      </c>
      <c r="G1245">
        <v>-207.23859999999999</v>
      </c>
      <c r="H1245" s="1">
        <v>-5.1615480000000001E-6</v>
      </c>
      <c r="I1245">
        <v>364.36720000000003</v>
      </c>
      <c r="J1245">
        <v>-213.73070000000001</v>
      </c>
      <c r="K1245">
        <v>1.1080490000000001</v>
      </c>
      <c r="L1245">
        <v>367.96480000000003</v>
      </c>
      <c r="M1245">
        <v>0.99494450000000001</v>
      </c>
      <c r="N1245">
        <v>0</v>
      </c>
      <c r="O1245">
        <v>-9.9462170000000003E-2</v>
      </c>
      <c r="P1245">
        <v>0.96844010000000003</v>
      </c>
      <c r="Q1245">
        <v>5.9975189999999998E-2</v>
      </c>
      <c r="R1245">
        <v>-0.24192430000000001</v>
      </c>
      <c r="S1245">
        <v>2.7532040000000002</v>
      </c>
      <c r="T1245">
        <v>-0.46067089999999999</v>
      </c>
      <c r="U1245">
        <v>-1.501862</v>
      </c>
      <c r="V1245">
        <v>0.14479069999999999</v>
      </c>
      <c r="W1245">
        <v>7.2901199999999999E-2</v>
      </c>
      <c r="X1245">
        <v>0.98677309999999996</v>
      </c>
      <c r="Y1245">
        <v>0.38614270000000001</v>
      </c>
      <c r="Z1245">
        <v>-1.4675280000000001E-2</v>
      </c>
      <c r="AA1245">
        <v>0.92232230000000004</v>
      </c>
      <c r="AB1245">
        <v>24</v>
      </c>
      <c r="AC1245">
        <v>6.4921000000000202</v>
      </c>
      <c r="AD1245">
        <v>-1.108054161548</v>
      </c>
      <c r="AE1245">
        <v>-3.5975999999999999</v>
      </c>
      <c r="AF1245">
        <v>2.87001318209854</v>
      </c>
      <c r="AG1245">
        <v>-1.108054161548</v>
      </c>
      <c r="AH1245">
        <v>6.6691274950180004</v>
      </c>
      <c r="AI1245">
        <v>98.677236765688704</v>
      </c>
      <c r="AJ1245">
        <v>66.715705356373107</v>
      </c>
      <c r="AK1245">
        <v>7.3445232136026597</v>
      </c>
      <c r="AL1245">
        <v>85.819360439444097</v>
      </c>
      <c r="AM1245">
        <v>81.652471834029797</v>
      </c>
      <c r="AN1245">
        <v>1.0000000413257599</v>
      </c>
    </row>
    <row r="1246" spans="1:40" x14ac:dyDescent="0.25">
      <c r="A1246" t="str">
        <f>"20190312154820328"</f>
        <v>20190312154820328</v>
      </c>
      <c r="B1246" t="str">
        <f>"1552376900317260"</f>
        <v>1552376900317260</v>
      </c>
      <c r="C1246" t="s">
        <v>40</v>
      </c>
      <c r="D1246">
        <v>5.0387700000000004</v>
      </c>
      <c r="E1246">
        <v>0.60314860000000003</v>
      </c>
      <c r="F1246" t="s">
        <v>45</v>
      </c>
      <c r="G1246">
        <v>-207.03980000000001</v>
      </c>
      <c r="H1246" s="1">
        <v>-5.086856E-6</v>
      </c>
      <c r="I1246">
        <v>364.28660000000002</v>
      </c>
      <c r="J1246">
        <v>-213.5966</v>
      </c>
      <c r="K1246">
        <v>1.1080099999999999</v>
      </c>
      <c r="L1246">
        <v>367.94929999999999</v>
      </c>
      <c r="M1246">
        <v>0.99474720000000005</v>
      </c>
      <c r="N1246">
        <v>0</v>
      </c>
      <c r="O1246">
        <v>-0.10141509999999999</v>
      </c>
      <c r="P1246">
        <v>0.96790620000000005</v>
      </c>
      <c r="Q1246">
        <v>5.9730569999999997E-2</v>
      </c>
      <c r="R1246">
        <v>-0.24411079999999999</v>
      </c>
      <c r="S1246">
        <v>2.7485050000000002</v>
      </c>
      <c r="T1246">
        <v>-0.45517340000000001</v>
      </c>
      <c r="U1246">
        <v>-1.5109859999999999</v>
      </c>
      <c r="V1246">
        <v>0.14508699999999999</v>
      </c>
      <c r="W1246">
        <v>7.2641059999999993E-2</v>
      </c>
      <c r="X1246">
        <v>0.98674870000000003</v>
      </c>
      <c r="Y1246">
        <v>0.38742769999999999</v>
      </c>
      <c r="Z1246">
        <v>-1.431694E-2</v>
      </c>
      <c r="AA1246">
        <v>0.92178890000000002</v>
      </c>
      <c r="AB1246">
        <v>24</v>
      </c>
      <c r="AC1246">
        <v>6.5567999999999804</v>
      </c>
      <c r="AD1246">
        <v>-1.1080150868559999</v>
      </c>
      <c r="AE1246">
        <v>-3.6626999999999699</v>
      </c>
      <c r="AF1246">
        <v>2.9153372176900501</v>
      </c>
      <c r="AG1246">
        <v>-1.1080150868559999</v>
      </c>
      <c r="AH1246">
        <v>6.7476150886424504</v>
      </c>
      <c r="AI1246">
        <v>98.572259794517294</v>
      </c>
      <c r="AJ1246">
        <v>66.633025817786404</v>
      </c>
      <c r="AK1246">
        <v>7.4335185417152596</v>
      </c>
      <c r="AL1246">
        <v>85.834304726085406</v>
      </c>
      <c r="AM1246">
        <v>81.635426960670202</v>
      </c>
      <c r="AN1246">
        <v>0.99999997905930604</v>
      </c>
    </row>
    <row r="1247" spans="1:40" x14ac:dyDescent="0.25">
      <c r="A1247" t="str">
        <f>"20190312154820339"</f>
        <v>20190312154820339</v>
      </c>
      <c r="B1247" t="str">
        <f>"1552376900327020"</f>
        <v>1552376900327020</v>
      </c>
      <c r="C1247" t="s">
        <v>40</v>
      </c>
      <c r="D1247">
        <v>4.8483109999999998</v>
      </c>
      <c r="E1247">
        <v>0.60322549999999997</v>
      </c>
      <c r="F1247" t="s">
        <v>45</v>
      </c>
      <c r="G1247">
        <v>-206.89920000000001</v>
      </c>
      <c r="H1247" s="1">
        <v>-5.0298160000000001E-6</v>
      </c>
      <c r="I1247">
        <v>364.2484</v>
      </c>
      <c r="J1247">
        <v>-213.47329999999999</v>
      </c>
      <c r="K1247">
        <v>1.1079600000000001</v>
      </c>
      <c r="L1247">
        <v>367.9348</v>
      </c>
      <c r="M1247">
        <v>0.99455749999999998</v>
      </c>
      <c r="N1247">
        <v>0</v>
      </c>
      <c r="O1247">
        <v>-0.10325960000000001</v>
      </c>
      <c r="P1247">
        <v>0.96742799999999995</v>
      </c>
      <c r="Q1247">
        <v>5.9860770000000001E-2</v>
      </c>
      <c r="R1247">
        <v>-0.2459674</v>
      </c>
      <c r="S1247">
        <v>2.7449650000000001</v>
      </c>
      <c r="T1247">
        <v>-0.4541268</v>
      </c>
      <c r="U1247">
        <v>-1.5168759999999999</v>
      </c>
      <c r="V1247">
        <v>0.14516029999999999</v>
      </c>
      <c r="W1247">
        <v>7.2755669999999995E-2</v>
      </c>
      <c r="X1247">
        <v>0.98672950000000004</v>
      </c>
      <c r="Y1247">
        <v>0.38776539999999998</v>
      </c>
      <c r="Z1247">
        <v>-1.4041410000000001E-2</v>
      </c>
      <c r="AA1247">
        <v>0.92165109999999995</v>
      </c>
      <c r="AB1247">
        <v>24</v>
      </c>
      <c r="AC1247">
        <v>6.5740999999999801</v>
      </c>
      <c r="AD1247">
        <v>-1.107965029816</v>
      </c>
      <c r="AE1247">
        <v>-3.6863999999999901</v>
      </c>
      <c r="AF1247">
        <v>2.92458772163504</v>
      </c>
      <c r="AG1247">
        <v>-1.107965029816</v>
      </c>
      <c r="AH1247">
        <v>6.7732782742530402</v>
      </c>
      <c r="AI1247">
        <v>98.540711045779602</v>
      </c>
      <c r="AJ1247">
        <v>66.646124801055393</v>
      </c>
      <c r="AK1247">
        <v>7.4604355388477099</v>
      </c>
      <c r="AL1247">
        <v>85.827720735837104</v>
      </c>
      <c r="AM1247">
        <v>81.631100359016898</v>
      </c>
      <c r="AN1247">
        <v>1.00000000319174</v>
      </c>
    </row>
    <row r="1248" spans="1:40" x14ac:dyDescent="0.25">
      <c r="A1248" t="str">
        <f>"20190312154820351"</f>
        <v>20190312154820351</v>
      </c>
      <c r="B1248" t="str">
        <f>"1552376900347515"</f>
        <v>1552376900347515</v>
      </c>
      <c r="C1248" t="s">
        <v>40</v>
      </c>
      <c r="D1248">
        <v>5.0087320000000002</v>
      </c>
      <c r="E1248">
        <v>0.60329860000000002</v>
      </c>
      <c r="F1248" t="s">
        <v>45</v>
      </c>
      <c r="G1248">
        <v>-206.70760000000001</v>
      </c>
      <c r="H1248" s="1">
        <v>-4.9571670000000003E-6</v>
      </c>
      <c r="I1248">
        <v>364.17340000000002</v>
      </c>
      <c r="J1248">
        <v>-213.35380000000001</v>
      </c>
      <c r="K1248">
        <v>1.10791</v>
      </c>
      <c r="L1248">
        <v>367.9203</v>
      </c>
      <c r="M1248">
        <v>0.99436630000000004</v>
      </c>
      <c r="N1248">
        <v>0</v>
      </c>
      <c r="O1248">
        <v>-0.1050852</v>
      </c>
      <c r="P1248">
        <v>0.96701090000000001</v>
      </c>
      <c r="Q1248">
        <v>5.9359139999999998E-2</v>
      </c>
      <c r="R1248">
        <v>-0.2477231</v>
      </c>
      <c r="S1248">
        <v>2.7413020000000001</v>
      </c>
      <c r="T1248">
        <v>-0.44891979999999998</v>
      </c>
      <c r="U1248">
        <v>-1.524017</v>
      </c>
      <c r="V1248">
        <v>0.1451421</v>
      </c>
      <c r="W1248">
        <v>7.2239209999999998E-2</v>
      </c>
      <c r="X1248">
        <v>0.98677020000000004</v>
      </c>
      <c r="Y1248">
        <v>0.38850829999999997</v>
      </c>
      <c r="Z1248">
        <v>-1.3674540000000001E-2</v>
      </c>
      <c r="AA1248">
        <v>0.92134369999999999</v>
      </c>
      <c r="AB1248">
        <v>24</v>
      </c>
      <c r="AC1248">
        <v>6.6461999999999897</v>
      </c>
      <c r="AD1248">
        <v>-1.1079149571669999</v>
      </c>
      <c r="AE1248">
        <v>-3.7468999999999801</v>
      </c>
      <c r="AF1248">
        <v>2.96514098915085</v>
      </c>
      <c r="AG1248">
        <v>-1.1079149571669999</v>
      </c>
      <c r="AH1248">
        <v>6.8585526601382503</v>
      </c>
      <c r="AI1248">
        <v>98.4340360059809</v>
      </c>
      <c r="AJ1248">
        <v>66.619843721180601</v>
      </c>
      <c r="AK1248">
        <v>7.5537594103695298</v>
      </c>
      <c r="AL1248">
        <v>85.857390104834096</v>
      </c>
      <c r="AM1248">
        <v>81.632475033904996</v>
      </c>
      <c r="AN1248">
        <v>1.0000000801309299</v>
      </c>
    </row>
    <row r="1249" spans="1:40" x14ac:dyDescent="0.25">
      <c r="A1249" t="str">
        <f>"20190312154820367"</f>
        <v>20190312154820367</v>
      </c>
      <c r="B1249" t="str">
        <f>"1552376900357276"</f>
        <v>1552376900357276</v>
      </c>
      <c r="C1249" t="s">
        <v>40</v>
      </c>
      <c r="D1249">
        <v>4.8393920000000001</v>
      </c>
      <c r="E1249">
        <v>0.60343829999999998</v>
      </c>
      <c r="F1249" t="s">
        <v>45</v>
      </c>
      <c r="G1249">
        <v>-206.67169999999999</v>
      </c>
      <c r="H1249" s="1">
        <v>-4.9376500000000001E-6</v>
      </c>
      <c r="I1249">
        <v>364.18610000000001</v>
      </c>
      <c r="J1249">
        <v>-213.19030000000001</v>
      </c>
      <c r="K1249">
        <v>1.107834</v>
      </c>
      <c r="L1249">
        <v>367.90030000000002</v>
      </c>
      <c r="M1249">
        <v>0.99409349999999996</v>
      </c>
      <c r="N1249">
        <v>0</v>
      </c>
      <c r="O1249">
        <v>-0.1076343</v>
      </c>
      <c r="P1249">
        <v>0.96651730000000002</v>
      </c>
      <c r="Q1249">
        <v>5.8025720000000003E-2</v>
      </c>
      <c r="R1249">
        <v>-0.24995539999999999</v>
      </c>
      <c r="S1249">
        <v>2.7382200000000001</v>
      </c>
      <c r="T1249">
        <v>-0.45400689999999999</v>
      </c>
      <c r="U1249">
        <v>-1.530243</v>
      </c>
      <c r="V1249">
        <v>0.14488619999999999</v>
      </c>
      <c r="W1249">
        <v>7.0886539999999998E-2</v>
      </c>
      <c r="X1249">
        <v>0.98690580000000006</v>
      </c>
      <c r="Y1249">
        <v>0.38815139999999998</v>
      </c>
      <c r="Z1249">
        <v>-1.3422430000000001E-2</v>
      </c>
      <c r="AA1249">
        <v>0.92149789999999998</v>
      </c>
      <c r="AB1249">
        <v>24</v>
      </c>
      <c r="AC1249">
        <v>6.5186000000000197</v>
      </c>
      <c r="AD1249">
        <v>-1.10783893765</v>
      </c>
      <c r="AE1249">
        <v>-3.7141999999999999</v>
      </c>
      <c r="AF1249">
        <v>2.9271023503978699</v>
      </c>
      <c r="AG1249">
        <v>-1.10783893765</v>
      </c>
      <c r="AH1249">
        <v>6.7337133054573499</v>
      </c>
      <c r="AI1249">
        <v>98.580205657911407</v>
      </c>
      <c r="AJ1249">
        <v>66.505721555053</v>
      </c>
      <c r="AK1249">
        <v>7.4255053808863201</v>
      </c>
      <c r="AL1249">
        <v>85.935091220129607</v>
      </c>
      <c r="AM1249">
        <v>81.648150989144796</v>
      </c>
      <c r="AN1249">
        <v>0.99999998528862499</v>
      </c>
    </row>
    <row r="1250" spans="1:40" x14ac:dyDescent="0.25">
      <c r="A1250" t="str">
        <f>"20190312154820377"</f>
        <v>20190312154820377</v>
      </c>
      <c r="B1250" t="str">
        <f>"1552376900367037"</f>
        <v>1552376900367037</v>
      </c>
      <c r="C1250" t="s">
        <v>40</v>
      </c>
      <c r="D1250">
        <v>4.8448440000000002</v>
      </c>
      <c r="E1250">
        <v>0.60358900000000004</v>
      </c>
      <c r="F1250" t="s">
        <v>45</v>
      </c>
      <c r="G1250">
        <v>-206.56</v>
      </c>
      <c r="H1250" s="1">
        <v>-4.8894019999999998E-6</v>
      </c>
      <c r="I1250">
        <v>364.16910000000001</v>
      </c>
      <c r="J1250">
        <v>-213.0633</v>
      </c>
      <c r="K1250">
        <v>1.107772</v>
      </c>
      <c r="L1250">
        <v>367.88420000000002</v>
      </c>
      <c r="M1250">
        <v>0.993869</v>
      </c>
      <c r="N1250">
        <v>0</v>
      </c>
      <c r="O1250">
        <v>-0.10968749999999999</v>
      </c>
      <c r="P1250">
        <v>0.9660898</v>
      </c>
      <c r="Q1250">
        <v>5.7492380000000003E-2</v>
      </c>
      <c r="R1250">
        <v>-0.25172450000000002</v>
      </c>
      <c r="S1250">
        <v>2.733536</v>
      </c>
      <c r="T1250">
        <v>-0.45673989999999998</v>
      </c>
      <c r="U1250">
        <v>-1.5383</v>
      </c>
      <c r="V1250">
        <v>0.1446578</v>
      </c>
      <c r="W1250">
        <v>7.0337650000000002E-2</v>
      </c>
      <c r="X1250">
        <v>0.98697860000000004</v>
      </c>
      <c r="Y1250">
        <v>0.38896320000000001</v>
      </c>
      <c r="Z1250">
        <v>-1.3264949999999999E-2</v>
      </c>
      <c r="AA1250">
        <v>0.92115780000000003</v>
      </c>
      <c r="AB1250">
        <v>24</v>
      </c>
      <c r="AC1250">
        <v>6.5032999999999896</v>
      </c>
      <c r="AD1250">
        <v>-1.1077768894019999</v>
      </c>
      <c r="AE1250">
        <v>-3.7151000000000001</v>
      </c>
      <c r="AF1250">
        <v>2.9154981946761902</v>
      </c>
      <c r="AG1250">
        <v>-1.1077768894019999</v>
      </c>
      <c r="AH1250">
        <v>6.7244823182325204</v>
      </c>
      <c r="AI1250">
        <v>98.594825119736498</v>
      </c>
      <c r="AJ1250">
        <v>66.560147259646897</v>
      </c>
      <c r="AK1250">
        <v>7.4125543376136598</v>
      </c>
      <c r="AL1250">
        <v>85.966619101247801</v>
      </c>
      <c r="AM1250">
        <v>81.661738076755995</v>
      </c>
      <c r="AN1250">
        <v>1.0000000104831599</v>
      </c>
    </row>
    <row r="1251" spans="1:40" x14ac:dyDescent="0.25">
      <c r="A1251" t="str">
        <f>"20190312154820389"</f>
        <v>20190312154820389</v>
      </c>
      <c r="B1251" t="str">
        <f>"1552376900387532"</f>
        <v>1552376900387532</v>
      </c>
      <c r="C1251" t="s">
        <v>40</v>
      </c>
      <c r="D1251">
        <v>5.0231009999999996</v>
      </c>
      <c r="E1251">
        <v>0.60358009999999995</v>
      </c>
      <c r="F1251" t="s">
        <v>45</v>
      </c>
      <c r="G1251">
        <v>-206.4503</v>
      </c>
      <c r="H1251" s="1">
        <v>-4.843973E-6</v>
      </c>
      <c r="I1251">
        <v>364.14350000000002</v>
      </c>
      <c r="J1251">
        <v>-212.94479999999999</v>
      </c>
      <c r="K1251">
        <v>1.107712</v>
      </c>
      <c r="L1251">
        <v>367.8691</v>
      </c>
      <c r="M1251">
        <v>0.99365230000000004</v>
      </c>
      <c r="N1251">
        <v>0</v>
      </c>
      <c r="O1251">
        <v>-0.1116342</v>
      </c>
      <c r="P1251">
        <v>0.96571989999999996</v>
      </c>
      <c r="Q1251">
        <v>5.7042629999999997E-2</v>
      </c>
      <c r="R1251">
        <v>-0.25324229999999998</v>
      </c>
      <c r="S1251">
        <v>2.7300870000000002</v>
      </c>
      <c r="T1251">
        <v>-0.45732840000000002</v>
      </c>
      <c r="U1251">
        <v>-1.5443119999999999</v>
      </c>
      <c r="V1251">
        <v>0.1442785</v>
      </c>
      <c r="W1251">
        <v>6.9874820000000004E-2</v>
      </c>
      <c r="X1251">
        <v>0.98706700000000003</v>
      </c>
      <c r="Y1251">
        <v>0.38920480000000002</v>
      </c>
      <c r="Z1251">
        <v>-1.3012849999999999E-2</v>
      </c>
      <c r="AA1251">
        <v>0.92105930000000003</v>
      </c>
      <c r="AB1251">
        <v>24</v>
      </c>
      <c r="AC1251">
        <v>6.49449999999998</v>
      </c>
      <c r="AD1251">
        <v>-1.1077168439730001</v>
      </c>
      <c r="AE1251">
        <v>-3.72559999999998</v>
      </c>
      <c r="AF1251">
        <v>2.9134587764090298</v>
      </c>
      <c r="AG1251">
        <v>-1.1077168439730001</v>
      </c>
      <c r="AH1251">
        <v>6.7226925656317302</v>
      </c>
      <c r="AI1251">
        <v>98.597200829109596</v>
      </c>
      <c r="AJ1251">
        <v>66.569212031546002</v>
      </c>
      <c r="AK1251">
        <v>7.41011970080487</v>
      </c>
      <c r="AL1251">
        <v>85.993202750227695</v>
      </c>
      <c r="AM1251">
        <v>81.684029626660305</v>
      </c>
      <c r="AN1251">
        <v>1.00000001926064</v>
      </c>
    </row>
    <row r="1252" spans="1:40" x14ac:dyDescent="0.25">
      <c r="A1252" t="str">
        <f>"20190312154820401"</f>
        <v>20190312154820401</v>
      </c>
      <c r="B1252" t="str">
        <f>"1552376900397292"</f>
        <v>1552376900397292</v>
      </c>
      <c r="C1252" t="s">
        <v>40</v>
      </c>
      <c r="D1252">
        <v>4.8701919999999896</v>
      </c>
      <c r="E1252">
        <v>0.60366339999999996</v>
      </c>
      <c r="F1252" t="s">
        <v>45</v>
      </c>
      <c r="G1252">
        <v>-206.42590000000001</v>
      </c>
      <c r="H1252" s="1">
        <v>-4.8271239999999997E-6</v>
      </c>
      <c r="I1252">
        <v>364.16820000000001</v>
      </c>
      <c r="J1252">
        <v>-212.821</v>
      </c>
      <c r="K1252">
        <v>1.1076549999999901</v>
      </c>
      <c r="L1252">
        <v>367.85289999999998</v>
      </c>
      <c r="M1252">
        <v>0.99341639999999998</v>
      </c>
      <c r="N1252">
        <v>0</v>
      </c>
      <c r="O1252">
        <v>-0.11371290000000001</v>
      </c>
      <c r="P1252">
        <v>0.9652674</v>
      </c>
      <c r="Q1252">
        <v>5.6486910000000001E-2</v>
      </c>
      <c r="R1252">
        <v>-0.2550848</v>
      </c>
      <c r="S1252">
        <v>2.7277680000000002</v>
      </c>
      <c r="T1252">
        <v>-0.4635109</v>
      </c>
      <c r="U1252">
        <v>-1.5486150000000001</v>
      </c>
      <c r="V1252">
        <v>0.14409910000000001</v>
      </c>
      <c r="W1252">
        <v>6.9304489999999996E-2</v>
      </c>
      <c r="X1252">
        <v>0.98713340000000005</v>
      </c>
      <c r="Y1252">
        <v>0.38866400000000001</v>
      </c>
      <c r="Z1252">
        <v>-1.2829180000000001E-2</v>
      </c>
      <c r="AA1252">
        <v>0.92129019999999995</v>
      </c>
      <c r="AB1252">
        <v>24</v>
      </c>
      <c r="AC1252">
        <v>6.3950999999999798</v>
      </c>
      <c r="AD1252">
        <v>-1.1076598271239999</v>
      </c>
      <c r="AE1252">
        <v>-3.6846999999999599</v>
      </c>
      <c r="AF1252">
        <v>2.8689039364711202</v>
      </c>
      <c r="AG1252">
        <v>-1.1076598271239999</v>
      </c>
      <c r="AH1252">
        <v>6.6234708838004597</v>
      </c>
      <c r="AI1252">
        <v>98.724315768651806</v>
      </c>
      <c r="AJ1252">
        <v>66.580533611872994</v>
      </c>
      <c r="AK1252">
        <v>7.3025945141351203</v>
      </c>
      <c r="AL1252">
        <v>86.025959612434306</v>
      </c>
      <c r="AM1252">
        <v>81.694776496588304</v>
      </c>
      <c r="AN1252">
        <v>1.0000000061752601</v>
      </c>
    </row>
    <row r="1253" spans="1:40" x14ac:dyDescent="0.25">
      <c r="A1253" t="str">
        <f>"20190312154820412"</f>
        <v>20190312154820412</v>
      </c>
      <c r="B1253" t="str">
        <f>"1552376900407053"</f>
        <v>1552376900407053</v>
      </c>
      <c r="C1253" t="s">
        <v>40</v>
      </c>
      <c r="D1253">
        <v>4.8848849999999997</v>
      </c>
      <c r="E1253">
        <v>0.60372239999999999</v>
      </c>
      <c r="F1253" t="s">
        <v>45</v>
      </c>
      <c r="G1253">
        <v>-206.33430000000001</v>
      </c>
      <c r="H1253" s="1">
        <v>-4.7876989999999997E-6</v>
      </c>
      <c r="I1253">
        <v>364.15350000000001</v>
      </c>
      <c r="J1253">
        <v>-212.69759999999999</v>
      </c>
      <c r="K1253">
        <v>1.107599</v>
      </c>
      <c r="L1253">
        <v>367.8365</v>
      </c>
      <c r="M1253">
        <v>0.99317049999999996</v>
      </c>
      <c r="N1253">
        <v>0</v>
      </c>
      <c r="O1253">
        <v>-0.1158401</v>
      </c>
      <c r="P1253">
        <v>0.96475560000000005</v>
      </c>
      <c r="Q1253">
        <v>5.5739509999999999E-2</v>
      </c>
      <c r="R1253">
        <v>-0.25717630000000002</v>
      </c>
      <c r="S1253">
        <v>2.724548</v>
      </c>
      <c r="T1253">
        <v>-0.46524189999999999</v>
      </c>
      <c r="U1253">
        <v>-1.553833</v>
      </c>
      <c r="V1253">
        <v>0.14412420000000001</v>
      </c>
      <c r="W1253">
        <v>6.8540019999999993E-2</v>
      </c>
      <c r="X1253">
        <v>0.98718309999999998</v>
      </c>
      <c r="Y1253">
        <v>0.38849430000000001</v>
      </c>
      <c r="Z1253">
        <v>-1.2542029999999999E-2</v>
      </c>
      <c r="AA1253">
        <v>0.92136569999999995</v>
      </c>
      <c r="AB1253">
        <v>24</v>
      </c>
      <c r="AC1253">
        <v>6.3632999999999802</v>
      </c>
      <c r="AD1253">
        <v>-1.1076037876989999</v>
      </c>
      <c r="AE1253">
        <v>-3.6829999999999901</v>
      </c>
      <c r="AF1253">
        <v>2.8561839374493001</v>
      </c>
      <c r="AG1253">
        <v>-1.1076037876989999</v>
      </c>
      <c r="AH1253">
        <v>6.5974073614127802</v>
      </c>
      <c r="AI1253">
        <v>98.758494077586406</v>
      </c>
      <c r="AJ1253">
        <v>66.590997310407801</v>
      </c>
      <c r="AK1253">
        <v>7.2739505584992896</v>
      </c>
      <c r="AL1253">
        <v>86.069864883672395</v>
      </c>
      <c r="AM1253">
        <v>81.693762395513104</v>
      </c>
      <c r="AN1253">
        <v>0.99999999614642499</v>
      </c>
    </row>
    <row r="1254" spans="1:40" x14ac:dyDescent="0.25">
      <c r="A1254" t="str">
        <f>"20190312154820424"</f>
        <v>20190312154820424</v>
      </c>
      <c r="B1254" t="str">
        <f>"1552376900416701"</f>
        <v>1552376900416701</v>
      </c>
      <c r="C1254" t="s">
        <v>40</v>
      </c>
      <c r="D1254">
        <v>5.0045070000000003</v>
      </c>
      <c r="E1254">
        <v>0.60362539999999998</v>
      </c>
      <c r="F1254" t="s">
        <v>45</v>
      </c>
      <c r="G1254">
        <v>-206.2525</v>
      </c>
      <c r="H1254" s="1">
        <v>-4.7521800000000003E-6</v>
      </c>
      <c r="I1254">
        <v>364.14190000000002</v>
      </c>
      <c r="J1254">
        <v>-212.5692</v>
      </c>
      <c r="K1254">
        <v>1.1075379999999999</v>
      </c>
      <c r="L1254">
        <v>367.81909999999999</v>
      </c>
      <c r="M1254">
        <v>0.99290670000000003</v>
      </c>
      <c r="N1254">
        <v>0</v>
      </c>
      <c r="O1254">
        <v>-0.1180799</v>
      </c>
      <c r="P1254">
        <v>0.96421179999999995</v>
      </c>
      <c r="Q1254">
        <v>5.553313E-2</v>
      </c>
      <c r="R1254">
        <v>-0.25925219999999999</v>
      </c>
      <c r="S1254">
        <v>2.7208559999999999</v>
      </c>
      <c r="T1254">
        <v>-0.467586</v>
      </c>
      <c r="U1254">
        <v>-1.559723</v>
      </c>
      <c r="V1254">
        <v>0.1440293</v>
      </c>
      <c r="W1254">
        <v>6.8317390000000006E-2</v>
      </c>
      <c r="X1254">
        <v>0.98721239999999999</v>
      </c>
      <c r="Y1254">
        <v>0.38845239999999998</v>
      </c>
      <c r="Z1254">
        <v>-1.2261940000000001E-2</v>
      </c>
      <c r="AA1254">
        <v>0.92138719999999996</v>
      </c>
      <c r="AB1254">
        <v>24</v>
      </c>
      <c r="AC1254">
        <v>6.3166999999999902</v>
      </c>
      <c r="AD1254">
        <v>-1.1075427521800001</v>
      </c>
      <c r="AE1254">
        <v>-3.6771999999999601</v>
      </c>
      <c r="AF1254">
        <v>2.8403050766256399</v>
      </c>
      <c r="AG1254">
        <v>-1.1075427521800001</v>
      </c>
      <c r="AH1254">
        <v>6.5562066666737504</v>
      </c>
      <c r="AI1254">
        <v>98.811250480429507</v>
      </c>
      <c r="AJ1254">
        <v>66.576588761050601</v>
      </c>
      <c r="AK1254">
        <v>7.2303409139783401</v>
      </c>
      <c r="AL1254">
        <v>86.082650682330197</v>
      </c>
      <c r="AM1254">
        <v>81.699398416244406</v>
      </c>
      <c r="AN1254">
        <v>1.0000000138743299</v>
      </c>
    </row>
    <row r="1255" spans="1:40" x14ac:dyDescent="0.25">
      <c r="A1255" t="str">
        <f>"20190312154820437"</f>
        <v>20190312154820437</v>
      </c>
      <c r="B1255" t="str">
        <f>"1552376900427438"</f>
        <v>1552376900427438</v>
      </c>
      <c r="C1255" t="s">
        <v>40</v>
      </c>
      <c r="D1255">
        <v>5.0167780000000004</v>
      </c>
      <c r="E1255">
        <v>0.6035085</v>
      </c>
      <c r="F1255" t="s">
        <v>45</v>
      </c>
      <c r="G1255">
        <v>-206.1643</v>
      </c>
      <c r="H1255" s="1">
        <v>-4.713274E-6</v>
      </c>
      <c r="I1255">
        <v>364.13220000000001</v>
      </c>
      <c r="J1255">
        <v>-212.4417</v>
      </c>
      <c r="K1255">
        <v>1.1074839999999999</v>
      </c>
      <c r="L1255">
        <v>367.8014</v>
      </c>
      <c r="M1255">
        <v>0.99262870000000003</v>
      </c>
      <c r="N1255">
        <v>0</v>
      </c>
      <c r="O1255">
        <v>-0.1203946</v>
      </c>
      <c r="P1255">
        <v>0.96367700000000001</v>
      </c>
      <c r="Q1255">
        <v>5.5124510000000002E-2</v>
      </c>
      <c r="R1255">
        <v>-0.26132030000000001</v>
      </c>
      <c r="S1255">
        <v>2.7177730000000002</v>
      </c>
      <c r="T1255">
        <v>-0.4699622</v>
      </c>
      <c r="U1255">
        <v>-1.564484</v>
      </c>
      <c r="V1255">
        <v>0.14384949999999999</v>
      </c>
      <c r="W1255">
        <v>6.7893980000000007E-2</v>
      </c>
      <c r="X1255">
        <v>0.98726780000000003</v>
      </c>
      <c r="Y1255">
        <v>0.38796969999999997</v>
      </c>
      <c r="Z1255">
        <v>-1.19308E-2</v>
      </c>
      <c r="AA1255">
        <v>0.92159489999999999</v>
      </c>
      <c r="AB1255">
        <v>24</v>
      </c>
      <c r="AC1255">
        <v>6.2774000000000001</v>
      </c>
      <c r="AD1255">
        <v>-1.1074887132739999</v>
      </c>
      <c r="AE1255">
        <v>-3.66919999999998</v>
      </c>
      <c r="AF1255">
        <v>2.8212164074354402</v>
      </c>
      <c r="AG1255">
        <v>-1.1074887132739999</v>
      </c>
      <c r="AH1255">
        <v>6.5222123308537396</v>
      </c>
      <c r="AI1255">
        <v>98.858149084294595</v>
      </c>
      <c r="AJ1255">
        <v>66.608856623113994</v>
      </c>
      <c r="AK1255">
        <v>7.1920127194237402</v>
      </c>
      <c r="AL1255">
        <v>86.106966654437002</v>
      </c>
      <c r="AM1255">
        <v>81.710075161508996</v>
      </c>
      <c r="AN1255">
        <v>0.99999999004366502</v>
      </c>
    </row>
    <row r="1256" spans="1:40" x14ac:dyDescent="0.25">
      <c r="A1256" t="str">
        <f>"20190312154820450"</f>
        <v>20190312154820450</v>
      </c>
      <c r="B1256" t="str">
        <f>"1552376900446957"</f>
        <v>1552376900446957</v>
      </c>
      <c r="C1256" t="s">
        <v>40</v>
      </c>
      <c r="D1256">
        <v>5.0420089999999904</v>
      </c>
      <c r="E1256">
        <v>0.60334089999999996</v>
      </c>
      <c r="F1256" t="s">
        <v>45</v>
      </c>
      <c r="G1256">
        <v>-206.09690000000001</v>
      </c>
      <c r="H1256" s="1">
        <v>-4.6813899999999999E-6</v>
      </c>
      <c r="I1256">
        <v>364.1343</v>
      </c>
      <c r="J1256">
        <v>-212.3005</v>
      </c>
      <c r="K1256">
        <v>1.107418</v>
      </c>
      <c r="L1256">
        <v>367.78140000000002</v>
      </c>
      <c r="M1256">
        <v>0.99230929999999995</v>
      </c>
      <c r="N1256">
        <v>0</v>
      </c>
      <c r="O1256">
        <v>-0.12299880000000001</v>
      </c>
      <c r="P1256">
        <v>0.96282769999999995</v>
      </c>
      <c r="Q1256">
        <v>5.5770899999999998E-2</v>
      </c>
      <c r="R1256">
        <v>-0.26429589999999997</v>
      </c>
      <c r="S1256">
        <v>2.7147060000000001</v>
      </c>
      <c r="T1256">
        <v>-0.47385139999999998</v>
      </c>
      <c r="U1256">
        <v>-1.569</v>
      </c>
      <c r="V1256">
        <v>0.1443294</v>
      </c>
      <c r="W1256">
        <v>6.8516240000000006E-2</v>
      </c>
      <c r="X1256">
        <v>0.9871548</v>
      </c>
      <c r="Y1256">
        <v>0.3871426</v>
      </c>
      <c r="Z1256">
        <v>-1.155903E-2</v>
      </c>
      <c r="AA1256">
        <v>0.92194739999999997</v>
      </c>
      <c r="AB1256">
        <v>24</v>
      </c>
      <c r="AC1256">
        <v>6.20359999999999</v>
      </c>
      <c r="AD1256">
        <v>-1.1074226813899899</v>
      </c>
      <c r="AE1256">
        <v>-3.64710000000002</v>
      </c>
      <c r="AF1256">
        <v>2.79021503333666</v>
      </c>
      <c r="AG1256">
        <v>-1.1074226813899899</v>
      </c>
      <c r="AH1256">
        <v>6.4523157434146698</v>
      </c>
      <c r="AI1256">
        <v>98.952417860683298</v>
      </c>
      <c r="AJ1256">
        <v>66.614596096579405</v>
      </c>
      <c r="AK1256">
        <v>7.1164642470985404</v>
      </c>
      <c r="AL1256">
        <v>86.071230701391997</v>
      </c>
      <c r="AM1256">
        <v>81.681866433389601</v>
      </c>
      <c r="AN1256">
        <v>1.0000000250055601</v>
      </c>
    </row>
    <row r="1257" spans="1:40" x14ac:dyDescent="0.25">
      <c r="A1257" t="str">
        <f>"20190312154820463"</f>
        <v>20190312154820463</v>
      </c>
      <c r="B1257" t="str">
        <f>"1552376900456718"</f>
        <v>1552376900456718</v>
      </c>
      <c r="C1257" t="s">
        <v>40</v>
      </c>
      <c r="D1257">
        <v>4.877929</v>
      </c>
      <c r="E1257">
        <v>0.60341699999999998</v>
      </c>
      <c r="F1257" t="s">
        <v>45</v>
      </c>
      <c r="G1257">
        <v>-205.97380000000001</v>
      </c>
      <c r="H1257" s="1">
        <v>-4.6308870000000003E-6</v>
      </c>
      <c r="I1257">
        <v>364.1035</v>
      </c>
      <c r="J1257">
        <v>-212.16419999999999</v>
      </c>
      <c r="K1257">
        <v>1.107348</v>
      </c>
      <c r="L1257">
        <v>367.76170000000002</v>
      </c>
      <c r="M1257">
        <v>0.99198679999999995</v>
      </c>
      <c r="N1257">
        <v>0</v>
      </c>
      <c r="O1257">
        <v>-0.12557189999999999</v>
      </c>
      <c r="P1257">
        <v>0.96211579999999997</v>
      </c>
      <c r="Q1257">
        <v>5.6156049999999999E-2</v>
      </c>
      <c r="R1257">
        <v>-0.26679540000000002</v>
      </c>
      <c r="S1257">
        <v>2.7107239999999999</v>
      </c>
      <c r="T1257">
        <v>-0.4744834</v>
      </c>
      <c r="U1257">
        <v>-1.575836</v>
      </c>
      <c r="V1257">
        <v>0.14434910000000001</v>
      </c>
      <c r="W1257">
        <v>6.8882540000000006E-2</v>
      </c>
      <c r="X1257">
        <v>0.98712639999999996</v>
      </c>
      <c r="Y1257">
        <v>0.38710020000000001</v>
      </c>
      <c r="Z1257">
        <v>-1.1173509999999999E-2</v>
      </c>
      <c r="AA1257">
        <v>0.92196999999999996</v>
      </c>
      <c r="AB1257">
        <v>24</v>
      </c>
      <c r="AC1257">
        <v>6.1903999999999799</v>
      </c>
      <c r="AD1257">
        <v>-1.1073526308869901</v>
      </c>
      <c r="AE1257">
        <v>-3.6582000000000199</v>
      </c>
      <c r="AF1257">
        <v>2.7857537412003102</v>
      </c>
      <c r="AG1257">
        <v>-1.1073526308869901</v>
      </c>
      <c r="AH1257">
        <v>6.4478804551567599</v>
      </c>
      <c r="AI1257">
        <v>98.959184676099696</v>
      </c>
      <c r="AJ1257">
        <v>66.633638278965407</v>
      </c>
      <c r="AK1257">
        <v>7.1106832386020802</v>
      </c>
      <c r="AL1257">
        <v>86.050193449809896</v>
      </c>
      <c r="AM1257">
        <v>81.680510955097603</v>
      </c>
      <c r="AN1257">
        <v>0.99999999828231001</v>
      </c>
    </row>
    <row r="1258" spans="1:40" x14ac:dyDescent="0.25">
      <c r="A1258" t="str">
        <f>"20190312154820477"</f>
        <v>20190312154820477</v>
      </c>
      <c r="B1258" t="str">
        <f>"1552376900467453"</f>
        <v>1552376900467453</v>
      </c>
      <c r="C1258" t="s">
        <v>40</v>
      </c>
      <c r="D1258">
        <v>5.0274269999999897</v>
      </c>
      <c r="E1258">
        <v>0.60330719999999904</v>
      </c>
      <c r="F1258" t="s">
        <v>45</v>
      </c>
      <c r="G1258">
        <v>-205.8306</v>
      </c>
      <c r="H1258" s="1">
        <v>-4.5745869999999996E-6</v>
      </c>
      <c r="I1258">
        <v>364.05650000000003</v>
      </c>
      <c r="J1258">
        <v>-212.0222</v>
      </c>
      <c r="K1258">
        <v>1.107281</v>
      </c>
      <c r="L1258">
        <v>367.7407</v>
      </c>
      <c r="M1258">
        <v>0.99163369999999995</v>
      </c>
      <c r="N1258">
        <v>0</v>
      </c>
      <c r="O1258">
        <v>-0.12833019999999901</v>
      </c>
      <c r="P1258">
        <v>0.96122039999999997</v>
      </c>
      <c r="Q1258">
        <v>5.5767879999999999E-2</v>
      </c>
      <c r="R1258">
        <v>-0.2700842</v>
      </c>
      <c r="S1258">
        <v>2.7066499999999998</v>
      </c>
      <c r="T1258">
        <v>-0.47322229999999998</v>
      </c>
      <c r="U1258">
        <v>-1.5834349999999999</v>
      </c>
      <c r="V1258">
        <v>0.1449859</v>
      </c>
      <c r="W1258">
        <v>6.8470100000000006E-2</v>
      </c>
      <c r="X1258">
        <v>0.98706179999999999</v>
      </c>
      <c r="Y1258">
        <v>0.38711719999999999</v>
      </c>
      <c r="Z1258">
        <v>-1.071954E-2</v>
      </c>
      <c r="AA1258">
        <v>0.92196820000000002</v>
      </c>
      <c r="AB1258">
        <v>24</v>
      </c>
      <c r="AC1258">
        <v>6.1915999999999896</v>
      </c>
      <c r="AD1258">
        <v>-1.1072855745870001</v>
      </c>
      <c r="AE1258">
        <v>-3.6841999999999699</v>
      </c>
      <c r="AF1258">
        <v>2.7931123931093</v>
      </c>
      <c r="AG1258">
        <v>-1.1072855745870001</v>
      </c>
      <c r="AH1258">
        <v>6.4606363630023402</v>
      </c>
      <c r="AI1258">
        <v>98.940332935546493</v>
      </c>
      <c r="AJ1258">
        <v>66.619832023036295</v>
      </c>
      <c r="AK1258">
        <v>7.1251231848423098</v>
      </c>
      <c r="AL1258">
        <v>86.073880576707893</v>
      </c>
      <c r="AM1258">
        <v>81.643787219703995</v>
      </c>
      <c r="AN1258">
        <v>1.00000003140602</v>
      </c>
    </row>
    <row r="1259" spans="1:40" x14ac:dyDescent="0.25">
      <c r="A1259" t="str">
        <f>"20190312154820491"</f>
        <v>20190312154820491</v>
      </c>
      <c r="B1259" t="str">
        <f>"1552376900486973"</f>
        <v>1552376900486973</v>
      </c>
      <c r="C1259" t="s">
        <v>40</v>
      </c>
      <c r="D1259">
        <v>5.0257209999999999</v>
      </c>
      <c r="E1259">
        <v>0.60324500000000003</v>
      </c>
      <c r="F1259" t="s">
        <v>45</v>
      </c>
      <c r="G1259">
        <v>-205.76220000000001</v>
      </c>
      <c r="H1259" s="1">
        <v>-4.5433339999999999E-6</v>
      </c>
      <c r="I1259">
        <v>364.05369999999999</v>
      </c>
      <c r="J1259">
        <v>-211.87459999999999</v>
      </c>
      <c r="K1259">
        <v>1.1072040000000001</v>
      </c>
      <c r="L1259">
        <v>367.71839999999997</v>
      </c>
      <c r="M1259">
        <v>0.99125160000000001</v>
      </c>
      <c r="N1259">
        <v>0</v>
      </c>
      <c r="O1259">
        <v>-0.13124849999999999</v>
      </c>
      <c r="P1259">
        <v>0.96033290000000004</v>
      </c>
      <c r="Q1259">
        <v>5.3579219999999997E-2</v>
      </c>
      <c r="R1259">
        <v>-0.27366040000000003</v>
      </c>
      <c r="S1259">
        <v>2.7016450000000001</v>
      </c>
      <c r="T1259">
        <v>-0.47787479999999899</v>
      </c>
      <c r="U1259">
        <v>-1.5911869999999999</v>
      </c>
      <c r="V1259">
        <v>0.14573439999999999</v>
      </c>
      <c r="W1259">
        <v>6.6256889999999999E-2</v>
      </c>
      <c r="X1259">
        <v>0.98710260000000005</v>
      </c>
      <c r="Y1259">
        <v>0.38709110000000002</v>
      </c>
      <c r="Z1259">
        <v>-1.036873E-2</v>
      </c>
      <c r="AA1259">
        <v>0.9219832</v>
      </c>
      <c r="AB1259">
        <v>24</v>
      </c>
      <c r="AC1259">
        <v>6.1123999999999796</v>
      </c>
      <c r="AD1259">
        <v>-1.107208543334</v>
      </c>
      <c r="AE1259">
        <v>-3.6646999999999799</v>
      </c>
      <c r="AF1259">
        <v>2.7639597598290702</v>
      </c>
      <c r="AG1259">
        <v>-1.107208543334</v>
      </c>
      <c r="AH1259">
        <v>6.3864041706162498</v>
      </c>
      <c r="AI1259">
        <v>99.040433029663404</v>
      </c>
      <c r="AJ1259">
        <v>66.5976130258789</v>
      </c>
      <c r="AK1259">
        <v>7.0463850691578598</v>
      </c>
      <c r="AL1259">
        <v>86.200976835226697</v>
      </c>
      <c r="AM1259">
        <v>81.601603647638498</v>
      </c>
      <c r="AN1259">
        <v>1.0000000168712899</v>
      </c>
    </row>
    <row r="1260" spans="1:40" x14ac:dyDescent="0.25">
      <c r="A1260" t="str">
        <f>"20190312154820512"</f>
        <v>20190312154820512</v>
      </c>
      <c r="B1260" t="str">
        <f>"1552376900507470"</f>
        <v>1552376900507470</v>
      </c>
      <c r="C1260" t="s">
        <v>40</v>
      </c>
      <c r="D1260">
        <v>4.8760139999999996</v>
      </c>
      <c r="E1260">
        <v>0.60341069999999997</v>
      </c>
      <c r="F1260" t="s">
        <v>45</v>
      </c>
      <c r="G1260">
        <v>-205.7859</v>
      </c>
      <c r="H1260" s="1">
        <v>-4.5436050000000004E-6</v>
      </c>
      <c r="I1260">
        <v>364.10230000000001</v>
      </c>
      <c r="J1260">
        <v>-211.6525</v>
      </c>
      <c r="K1260">
        <v>1.1070990000000001</v>
      </c>
      <c r="L1260">
        <v>367.68389999999999</v>
      </c>
      <c r="M1260">
        <v>0.99064260000000004</v>
      </c>
      <c r="N1260">
        <v>0</v>
      </c>
      <c r="O1260">
        <v>-0.13576820000000001</v>
      </c>
      <c r="P1260">
        <v>0.95880279999999996</v>
      </c>
      <c r="Q1260">
        <v>5.2397630000000001E-2</v>
      </c>
      <c r="R1260">
        <v>-0.27919870000000002</v>
      </c>
      <c r="S1260">
        <v>2.6951290000000001</v>
      </c>
      <c r="T1260">
        <v>-0.4900987</v>
      </c>
      <c r="U1260">
        <v>-1.6006469999999999</v>
      </c>
      <c r="V1260">
        <v>0.1469289</v>
      </c>
      <c r="W1260">
        <v>6.5036449999999996E-2</v>
      </c>
      <c r="X1260">
        <v>0.98700670000000001</v>
      </c>
      <c r="Y1260">
        <v>0.38617230000000002</v>
      </c>
      <c r="Z1260">
        <v>-9.831823E-3</v>
      </c>
      <c r="AA1260">
        <v>0.92237429999999998</v>
      </c>
      <c r="AB1260">
        <v>24</v>
      </c>
      <c r="AC1260">
        <v>5.8666</v>
      </c>
      <c r="AD1260">
        <v>-1.1071035436049901</v>
      </c>
      <c r="AE1260">
        <v>-3.5815999999999799</v>
      </c>
      <c r="AF1260">
        <v>2.6822686991518299</v>
      </c>
      <c r="AG1260">
        <v>-1.1071035436049901</v>
      </c>
      <c r="AH1260">
        <v>6.1393102189127298</v>
      </c>
      <c r="AI1260">
        <v>99.383175925534402</v>
      </c>
      <c r="AJ1260">
        <v>66.399451303613205</v>
      </c>
      <c r="AK1260">
        <v>6.7905355896835404</v>
      </c>
      <c r="AL1260">
        <v>86.271054123734203</v>
      </c>
      <c r="AM1260">
        <v>81.5329498717429</v>
      </c>
      <c r="AN1260">
        <v>1.00000003366435</v>
      </c>
    </row>
    <row r="1261" spans="1:40" x14ac:dyDescent="0.25">
      <c r="A1261" t="str">
        <f>"20190312154820523"</f>
        <v>20190312154820523</v>
      </c>
      <c r="B1261" t="str">
        <f>"1552376900517229"</f>
        <v>1552376900517229</v>
      </c>
      <c r="C1261" t="s">
        <v>40</v>
      </c>
      <c r="D1261">
        <v>5.0473879999999998</v>
      </c>
      <c r="E1261">
        <v>0.60333510000000001</v>
      </c>
      <c r="F1261" t="s">
        <v>45</v>
      </c>
      <c r="G1261">
        <v>-205.61250000000001</v>
      </c>
      <c r="H1261" s="1">
        <v>-4.4755289999999999E-6</v>
      </c>
      <c r="I1261">
        <v>364.04500000000002</v>
      </c>
      <c r="J1261">
        <v>-211.5299</v>
      </c>
      <c r="K1261">
        <v>1.107043</v>
      </c>
      <c r="L1261">
        <v>367.6644</v>
      </c>
      <c r="M1261">
        <v>0.99029020000000001</v>
      </c>
      <c r="N1261">
        <v>0</v>
      </c>
      <c r="O1261">
        <v>-0.13831450000000001</v>
      </c>
      <c r="P1261">
        <v>0.95791139999999997</v>
      </c>
      <c r="Q1261">
        <v>5.2420979999999999E-2</v>
      </c>
      <c r="R1261">
        <v>-0.28223749999999997</v>
      </c>
      <c r="S1261">
        <v>2.6847989999999999</v>
      </c>
      <c r="T1261">
        <v>-0.49210759999999998</v>
      </c>
      <c r="U1261">
        <v>-1.617462</v>
      </c>
      <c r="V1261">
        <v>0.14753060000000001</v>
      </c>
      <c r="W1261">
        <v>6.5038349999999995E-2</v>
      </c>
      <c r="X1261">
        <v>0.98691680000000004</v>
      </c>
      <c r="Y1261">
        <v>0.3895671</v>
      </c>
      <c r="Z1261">
        <v>-9.7601730000000005E-3</v>
      </c>
      <c r="AA1261">
        <v>0.92094640000000005</v>
      </c>
      <c r="AB1261">
        <v>24</v>
      </c>
      <c r="AC1261">
        <v>5.9173999999999802</v>
      </c>
      <c r="AD1261">
        <v>-1.1070474755290001</v>
      </c>
      <c r="AE1261">
        <v>-3.6193999999999802</v>
      </c>
      <c r="AF1261">
        <v>2.6973586261229401</v>
      </c>
      <c r="AG1261">
        <v>-1.1070474755290001</v>
      </c>
      <c r="AH1261">
        <v>6.2031760745846798</v>
      </c>
      <c r="AI1261">
        <v>99.294706800613298</v>
      </c>
      <c r="AJ1261">
        <v>66.498905473262795</v>
      </c>
      <c r="AK1261">
        <v>6.8542462082489299</v>
      </c>
      <c r="AL1261">
        <v>86.270944970480002</v>
      </c>
      <c r="AM1261">
        <v>81.498018373023498</v>
      </c>
      <c r="AN1261">
        <v>1.0000000175146599</v>
      </c>
    </row>
    <row r="1262" spans="1:40" x14ac:dyDescent="0.25">
      <c r="A1262" t="str">
        <f>"20190312154820536"</f>
        <v>20190312154820536</v>
      </c>
      <c r="B1262" t="str">
        <f>"1552376900526990"</f>
        <v>1552376900526990</v>
      </c>
      <c r="C1262" t="s">
        <v>40</v>
      </c>
      <c r="D1262">
        <v>5.0319269999999996</v>
      </c>
      <c r="E1262">
        <v>0.6032478</v>
      </c>
      <c r="F1262" t="s">
        <v>45</v>
      </c>
      <c r="G1262">
        <v>-205.52780000000001</v>
      </c>
      <c r="H1262" s="1">
        <v>-4.4406520000000001E-6</v>
      </c>
      <c r="I1262">
        <v>364.02440000000001</v>
      </c>
      <c r="J1262">
        <v>-211.40610000000001</v>
      </c>
      <c r="K1262">
        <v>1.1069899999999999</v>
      </c>
      <c r="L1262">
        <v>367.64409999999998</v>
      </c>
      <c r="M1262">
        <v>0.98991859999999998</v>
      </c>
      <c r="N1262">
        <v>0</v>
      </c>
      <c r="O1262">
        <v>-0.1409484</v>
      </c>
      <c r="P1262">
        <v>0.95701780000000003</v>
      </c>
      <c r="Q1262">
        <v>5.1243660000000003E-2</v>
      </c>
      <c r="R1262">
        <v>-0.28546670000000002</v>
      </c>
      <c r="S1262">
        <v>2.6799930000000001</v>
      </c>
      <c r="T1262">
        <v>-0.49430200000000002</v>
      </c>
      <c r="U1262">
        <v>-1.625275</v>
      </c>
      <c r="V1262">
        <v>0.1482242</v>
      </c>
      <c r="W1262">
        <v>6.3841579999999995E-2</v>
      </c>
      <c r="X1262">
        <v>0.98689099999999996</v>
      </c>
      <c r="Y1262">
        <v>0.38981480000000002</v>
      </c>
      <c r="Z1262">
        <v>-9.4002129999999993E-3</v>
      </c>
      <c r="AA1262">
        <v>0.92084529999999998</v>
      </c>
      <c r="AB1262">
        <v>24</v>
      </c>
      <c r="AC1262">
        <v>5.8782999999999896</v>
      </c>
      <c r="AD1262">
        <v>-1.10699444065199</v>
      </c>
      <c r="AE1262">
        <v>-3.6196999999999599</v>
      </c>
      <c r="AF1262">
        <v>2.6858753486657201</v>
      </c>
      <c r="AG1262">
        <v>-1.10699444065199</v>
      </c>
      <c r="AH1262">
        <v>6.1711612664577098</v>
      </c>
      <c r="AI1262">
        <v>99.340312300965493</v>
      </c>
      <c r="AJ1262">
        <v>66.479873033173803</v>
      </c>
      <c r="AK1262">
        <v>6.8207473532474898</v>
      </c>
      <c r="AL1262">
        <v>86.339657604974306</v>
      </c>
      <c r="AM1262">
        <v>81.458415398688501</v>
      </c>
      <c r="AN1262">
        <v>1.00000000334176</v>
      </c>
    </row>
    <row r="1263" spans="1:40" x14ac:dyDescent="0.25">
      <c r="A1263" t="str">
        <f>"20190312154820548"</f>
        <v>20190312154820548</v>
      </c>
      <c r="B1263" t="str">
        <f>"1552376900536750"</f>
        <v>1552376900536750</v>
      </c>
      <c r="C1263" t="s">
        <v>40</v>
      </c>
      <c r="D1263">
        <v>5.3440190000000003</v>
      </c>
      <c r="E1263">
        <v>0.603182199999999</v>
      </c>
      <c r="F1263" t="s">
        <v>45</v>
      </c>
      <c r="G1263">
        <v>-205.45140000000001</v>
      </c>
      <c r="H1263" s="1">
        <v>-4.4093250000000003E-6</v>
      </c>
      <c r="I1263">
        <v>364.00510000000003</v>
      </c>
      <c r="J1263">
        <v>-211.26499999999999</v>
      </c>
      <c r="K1263">
        <v>1.1069279999999999</v>
      </c>
      <c r="L1263">
        <v>367.6207</v>
      </c>
      <c r="M1263">
        <v>0.98948119999999995</v>
      </c>
      <c r="N1263">
        <v>0</v>
      </c>
      <c r="O1263">
        <v>-0.1439867</v>
      </c>
      <c r="P1263">
        <v>0.95600810000000003</v>
      </c>
      <c r="Q1263">
        <v>4.999965E-2</v>
      </c>
      <c r="R1263">
        <v>-0.28904770000000002</v>
      </c>
      <c r="S1263">
        <v>2.6739350000000002</v>
      </c>
      <c r="T1263">
        <v>-0.4970869</v>
      </c>
      <c r="U1263">
        <v>-1.634064</v>
      </c>
      <c r="V1263">
        <v>0.1488794</v>
      </c>
      <c r="W1263">
        <v>6.2576229999999997E-2</v>
      </c>
      <c r="X1263">
        <v>0.98687340000000001</v>
      </c>
      <c r="Y1263">
        <v>0.39011849999999998</v>
      </c>
      <c r="Z1263">
        <v>-8.9878630000000004E-3</v>
      </c>
      <c r="AA1263">
        <v>0.92072080000000001</v>
      </c>
      <c r="AB1263">
        <v>24</v>
      </c>
      <c r="AC1263">
        <v>5.8135999999999797</v>
      </c>
      <c r="AD1263">
        <v>-1.1069324093249999</v>
      </c>
      <c r="AE1263">
        <v>-3.6155999999999699</v>
      </c>
      <c r="AF1263">
        <v>2.6709300365005899</v>
      </c>
      <c r="AG1263">
        <v>-1.1069324093249999</v>
      </c>
      <c r="AH1263">
        <v>6.11382818401015</v>
      </c>
      <c r="AI1263">
        <v>99.420268451869205</v>
      </c>
      <c r="AJ1263">
        <v>66.401068833486207</v>
      </c>
      <c r="AK1263">
        <v>6.76299206581613</v>
      </c>
      <c r="AL1263">
        <v>86.412302020532593</v>
      </c>
      <c r="AM1263">
        <v>81.421068616002898</v>
      </c>
      <c r="AN1263">
        <v>0.99999998396646606</v>
      </c>
    </row>
    <row r="1264" spans="1:40" x14ac:dyDescent="0.25">
      <c r="A1264" t="str">
        <f>"20190312154820560"</f>
        <v>20190312154820560</v>
      </c>
      <c r="B1264" t="str">
        <f>"1552376900547486"</f>
        <v>1552376900547486</v>
      </c>
      <c r="C1264" t="s">
        <v>40</v>
      </c>
      <c r="D1264">
        <v>5.0730789999999999</v>
      </c>
      <c r="E1264">
        <v>0.60309899999999905</v>
      </c>
      <c r="F1264" t="s">
        <v>45</v>
      </c>
      <c r="G1264">
        <v>-205.3732</v>
      </c>
      <c r="H1264" s="1">
        <v>-4.3763489999999998E-6</v>
      </c>
      <c r="I1264">
        <v>363.9896</v>
      </c>
      <c r="J1264">
        <v>-211.14269999999999</v>
      </c>
      <c r="K1264">
        <v>1.1068690000000001</v>
      </c>
      <c r="L1264">
        <v>367.6</v>
      </c>
      <c r="M1264">
        <v>0.98908640000000003</v>
      </c>
      <c r="N1264">
        <v>0</v>
      </c>
      <c r="O1264">
        <v>-0.14667450000000001</v>
      </c>
      <c r="P1264">
        <v>0.95502989999999999</v>
      </c>
      <c r="Q1264">
        <v>4.8927560000000002E-2</v>
      </c>
      <c r="R1264">
        <v>-0.29244490000000001</v>
      </c>
      <c r="S1264">
        <v>2.667252</v>
      </c>
      <c r="T1264">
        <v>-0.50111909999999904</v>
      </c>
      <c r="U1264">
        <v>-1.643829</v>
      </c>
      <c r="V1264">
        <v>0.14969830000000001</v>
      </c>
      <c r="W1264">
        <v>6.1483509999999998E-2</v>
      </c>
      <c r="X1264">
        <v>0.98681819999999998</v>
      </c>
      <c r="Y1264">
        <v>0.39106109999999999</v>
      </c>
      <c r="Z1264">
        <v>-8.7052290000000001E-3</v>
      </c>
      <c r="AA1264">
        <v>0.92032360000000002</v>
      </c>
      <c r="AB1264">
        <v>24</v>
      </c>
      <c r="AC1264">
        <v>5.7694999999999901</v>
      </c>
      <c r="AD1264">
        <v>-1.106873376349</v>
      </c>
      <c r="AE1264">
        <v>-3.6104000000000198</v>
      </c>
      <c r="AF1264">
        <v>2.65480756698964</v>
      </c>
      <c r="AG1264">
        <v>-1.106873376349</v>
      </c>
      <c r="AH1264">
        <v>6.0759914848053498</v>
      </c>
      <c r="AI1264">
        <v>99.477144638679306</v>
      </c>
      <c r="AJ1264">
        <v>66.397844962346596</v>
      </c>
      <c r="AK1264">
        <v>6.7224135853458797</v>
      </c>
      <c r="AL1264">
        <v>86.475031057704498</v>
      </c>
      <c r="AM1264">
        <v>81.374113440308903</v>
      </c>
      <c r="AN1264">
        <v>0.99999998143802404</v>
      </c>
    </row>
    <row r="1265" spans="1:40" x14ac:dyDescent="0.25">
      <c r="A1265" t="str">
        <f>"20190312154820571"</f>
        <v>20190312154820571</v>
      </c>
      <c r="B1265" t="str">
        <f>"1552376900567005"</f>
        <v>1552376900567005</v>
      </c>
      <c r="C1265" t="s">
        <v>40</v>
      </c>
      <c r="D1265">
        <v>4.9195830000000003</v>
      </c>
      <c r="E1265">
        <v>0.60306079999999995</v>
      </c>
      <c r="F1265" t="s">
        <v>45</v>
      </c>
      <c r="G1265">
        <v>-205.30090000000001</v>
      </c>
      <c r="H1265" s="1">
        <v>-4.3467560000000001E-6</v>
      </c>
      <c r="I1265">
        <v>363.97120000000001</v>
      </c>
      <c r="J1265">
        <v>-211.02940000000001</v>
      </c>
      <c r="K1265">
        <v>1.1068199999999999</v>
      </c>
      <c r="L1265">
        <v>367.5804</v>
      </c>
      <c r="M1265">
        <v>0.98870740000000001</v>
      </c>
      <c r="N1265">
        <v>0</v>
      </c>
      <c r="O1265">
        <v>-0.14920729999999999</v>
      </c>
      <c r="P1265">
        <v>0.95406449999999998</v>
      </c>
      <c r="Q1265">
        <v>4.7934190000000002E-2</v>
      </c>
      <c r="R1265">
        <v>-0.29574220000000001</v>
      </c>
      <c r="S1265">
        <v>2.6609340000000001</v>
      </c>
      <c r="T1265">
        <v>-0.50417520000000005</v>
      </c>
      <c r="U1265">
        <v>-1.6528929999999999</v>
      </c>
      <c r="V1265">
        <v>0.15057129999999999</v>
      </c>
      <c r="W1265">
        <v>6.0469729999999999E-2</v>
      </c>
      <c r="X1265">
        <v>0.98674799999999996</v>
      </c>
      <c r="Y1265">
        <v>0.39192709999999997</v>
      </c>
      <c r="Z1265">
        <v>-8.41923199999999E-3</v>
      </c>
      <c r="AA1265">
        <v>0.91995780000000005</v>
      </c>
      <c r="AB1265">
        <v>24</v>
      </c>
      <c r="AC1265">
        <v>5.7284999999999897</v>
      </c>
      <c r="AD1265">
        <v>-1.1068243467559999</v>
      </c>
      <c r="AE1265">
        <v>-3.60919999999998</v>
      </c>
      <c r="AF1265">
        <v>2.6433340009074699</v>
      </c>
      <c r="AG1265">
        <v>-1.1068243467559999</v>
      </c>
      <c r="AH1265">
        <v>6.0414840458966399</v>
      </c>
      <c r="AI1265">
        <v>99.527822918463201</v>
      </c>
      <c r="AJ1265">
        <v>66.369151807955205</v>
      </c>
      <c r="AK1265">
        <v>6.6866885864192103</v>
      </c>
      <c r="AL1265">
        <v>86.533224589462705</v>
      </c>
      <c r="AM1265">
        <v>81.323964975299702</v>
      </c>
      <c r="AN1265">
        <v>0.99999996006698</v>
      </c>
    </row>
    <row r="1266" spans="1:40" x14ac:dyDescent="0.25">
      <c r="A1266" t="str">
        <f>"20190312154820582"</f>
        <v>20190312154820582</v>
      </c>
      <c r="B1266" t="str">
        <f>"1552376900576765"</f>
        <v>1552376900576765</v>
      </c>
      <c r="C1266" t="s">
        <v>40</v>
      </c>
      <c r="D1266">
        <v>5.0957800000000004</v>
      </c>
      <c r="E1266">
        <v>0.60297309999999904</v>
      </c>
      <c r="F1266" t="s">
        <v>45</v>
      </c>
      <c r="G1266">
        <v>-205.2191</v>
      </c>
      <c r="H1266" s="1">
        <v>-4.3148219999999999E-6</v>
      </c>
      <c r="I1266">
        <v>363.9434</v>
      </c>
      <c r="J1266">
        <v>-210.90459999999999</v>
      </c>
      <c r="K1266">
        <v>1.1067640000000001</v>
      </c>
      <c r="L1266">
        <v>367.55849999999998</v>
      </c>
      <c r="M1266">
        <v>0.98827750000000003</v>
      </c>
      <c r="N1266">
        <v>0</v>
      </c>
      <c r="O1266">
        <v>-0.15202789999999999</v>
      </c>
      <c r="P1266">
        <v>0.95306380000000002</v>
      </c>
      <c r="Q1266">
        <v>4.7197860000000001E-2</v>
      </c>
      <c r="R1266">
        <v>-0.29906749999999999</v>
      </c>
      <c r="S1266">
        <v>2.6547390000000002</v>
      </c>
      <c r="T1266">
        <v>-0.5057142</v>
      </c>
      <c r="U1266">
        <v>-1.6617740000000001</v>
      </c>
      <c r="V1266">
        <v>0.15119289999999999</v>
      </c>
      <c r="W1266">
        <v>5.9713879999999997E-2</v>
      </c>
      <c r="X1266">
        <v>0.98669899999999999</v>
      </c>
      <c r="Y1266">
        <v>0.39248719999999998</v>
      </c>
      <c r="Z1266">
        <v>-8.0295060000000005E-3</v>
      </c>
      <c r="AA1266">
        <v>0.91972240000000005</v>
      </c>
      <c r="AB1266">
        <v>24</v>
      </c>
      <c r="AC1266">
        <v>5.6854999999999896</v>
      </c>
      <c r="AD1266">
        <v>-1.10676831482199</v>
      </c>
      <c r="AE1266">
        <v>-3.61509999999998</v>
      </c>
      <c r="AF1266">
        <v>2.6374607250381201</v>
      </c>
      <c r="AG1266">
        <v>-1.10676831482199</v>
      </c>
      <c r="AH1266">
        <v>6.0069542210299396</v>
      </c>
      <c r="AI1266">
        <v>99.575789490715493</v>
      </c>
      <c r="AJ1266">
        <v>66.295264405227897</v>
      </c>
      <c r="AK1266">
        <v>6.6531672301515101</v>
      </c>
      <c r="AL1266">
        <v>86.576610074263101</v>
      </c>
      <c r="AM1266">
        <v>81.288270257436594</v>
      </c>
      <c r="AN1266">
        <v>0.99999997853803202</v>
      </c>
    </row>
    <row r="1267" spans="1:40" x14ac:dyDescent="0.25">
      <c r="A1267" t="str">
        <f>"20190312154820593"</f>
        <v>20190312154820593</v>
      </c>
      <c r="B1267" t="str">
        <f>"1552376900587502"</f>
        <v>1552376900587502</v>
      </c>
      <c r="C1267" t="s">
        <v>40</v>
      </c>
      <c r="D1267">
        <v>5.1162519999999896</v>
      </c>
      <c r="E1267">
        <v>0.6028559</v>
      </c>
      <c r="F1267" t="s">
        <v>45</v>
      </c>
      <c r="G1267">
        <v>-205.136</v>
      </c>
      <c r="H1267" s="1">
        <v>-4.2807219999999997E-6</v>
      </c>
      <c r="I1267">
        <v>363.92259999999999</v>
      </c>
      <c r="J1267">
        <v>-210.79660000000001</v>
      </c>
      <c r="K1267">
        <v>1.106708</v>
      </c>
      <c r="L1267">
        <v>367.53910000000002</v>
      </c>
      <c r="M1267">
        <v>0.98788960000000003</v>
      </c>
      <c r="N1267">
        <v>0</v>
      </c>
      <c r="O1267">
        <v>-0.1545279</v>
      </c>
      <c r="P1267">
        <v>0.95203800000000005</v>
      </c>
      <c r="Q1267">
        <v>4.6453229999999998E-2</v>
      </c>
      <c r="R1267">
        <v>-0.30243360000000002</v>
      </c>
      <c r="S1267">
        <v>2.648987</v>
      </c>
      <c r="T1267">
        <v>-0.50823620000000003</v>
      </c>
      <c r="U1267">
        <v>-1.6696470000000001</v>
      </c>
      <c r="V1267">
        <v>0.15217820000000001</v>
      </c>
      <c r="W1267">
        <v>5.8947529999999998E-2</v>
      </c>
      <c r="X1267">
        <v>0.98659359999999996</v>
      </c>
      <c r="Y1267">
        <v>0.39301069999999999</v>
      </c>
      <c r="Z1267">
        <v>-7.7018529999999998E-3</v>
      </c>
      <c r="AA1267">
        <v>0.91950169999999998</v>
      </c>
      <c r="AB1267">
        <v>24</v>
      </c>
      <c r="AC1267">
        <v>5.6606000000000103</v>
      </c>
      <c r="AD1267">
        <v>-1.106712280722</v>
      </c>
      <c r="AE1267">
        <v>-3.61650000000003</v>
      </c>
      <c r="AF1267">
        <v>2.6269379161599802</v>
      </c>
      <c r="AG1267">
        <v>-1.106712280722</v>
      </c>
      <c r="AH1267">
        <v>5.9889304608748297</v>
      </c>
      <c r="AI1267">
        <v>99.605105800570399</v>
      </c>
      <c r="AJ1267">
        <v>66.316195031426204</v>
      </c>
      <c r="AK1267">
        <v>6.6327145990804004</v>
      </c>
      <c r="AL1267">
        <v>86.620596167294195</v>
      </c>
      <c r="AM1267">
        <v>81.231454544906001</v>
      </c>
      <c r="AN1267">
        <v>0.99999997370464999</v>
      </c>
    </row>
    <row r="1268" spans="1:40" x14ac:dyDescent="0.25">
      <c r="A1268" t="str">
        <f>"20190312154820607"</f>
        <v>20190312154820607</v>
      </c>
      <c r="B1268" t="str">
        <f>"1552376900597261"</f>
        <v>1552376900597261</v>
      </c>
      <c r="C1268" t="s">
        <v>40</v>
      </c>
      <c r="D1268">
        <v>5.0995080000000002</v>
      </c>
      <c r="E1268">
        <v>0.6027228</v>
      </c>
      <c r="F1268" t="s">
        <v>45</v>
      </c>
      <c r="G1268">
        <v>-205.07050000000001</v>
      </c>
      <c r="H1268" s="1">
        <v>-4.2545380000000003E-6</v>
      </c>
      <c r="I1268">
        <v>363.90309999999999</v>
      </c>
      <c r="J1268">
        <v>-210.65809999999999</v>
      </c>
      <c r="K1268">
        <v>1.106646</v>
      </c>
      <c r="L1268">
        <v>367.51389999999998</v>
      </c>
      <c r="M1268">
        <v>0.98737889999999995</v>
      </c>
      <c r="N1268">
        <v>0</v>
      </c>
      <c r="O1268">
        <v>-0.15775829999999999</v>
      </c>
      <c r="P1268">
        <v>0.95088519999999999</v>
      </c>
      <c r="Q1268">
        <v>4.6076369999999998E-2</v>
      </c>
      <c r="R1268">
        <v>-0.30609550000000002</v>
      </c>
      <c r="S1268">
        <v>2.642944</v>
      </c>
      <c r="T1268">
        <v>-0.51082240000000001</v>
      </c>
      <c r="U1268">
        <v>-1.67825299999999</v>
      </c>
      <c r="V1268">
        <v>0.15275139999999901</v>
      </c>
      <c r="W1268">
        <v>5.8549110000000001E-2</v>
      </c>
      <c r="X1268">
        <v>0.98652879999999998</v>
      </c>
      <c r="Y1268">
        <v>0.39309739999999999</v>
      </c>
      <c r="Z1268">
        <v>-7.208725E-3</v>
      </c>
      <c r="AA1268">
        <v>0.91946859999999997</v>
      </c>
      <c r="AB1268">
        <v>24</v>
      </c>
      <c r="AC1268">
        <v>5.5875999999999797</v>
      </c>
      <c r="AD1268">
        <v>-1.1066502545379999</v>
      </c>
      <c r="AE1268">
        <v>-3.6107999999999798</v>
      </c>
      <c r="AF1268">
        <v>2.6117314313837698</v>
      </c>
      <c r="AG1268">
        <v>-1.1066502545379999</v>
      </c>
      <c r="AH1268">
        <v>5.9234024713509799</v>
      </c>
      <c r="AI1268">
        <v>99.700800090691004</v>
      </c>
      <c r="AJ1268">
        <v>66.206481175861398</v>
      </c>
      <c r="AK1268">
        <v>6.5675347500530101</v>
      </c>
      <c r="AL1268">
        <v>86.643463640351399</v>
      </c>
      <c r="AM1268">
        <v>81.198373717142402</v>
      </c>
      <c r="AN1268">
        <v>1.0000000308565899</v>
      </c>
    </row>
    <row r="1269" spans="1:40" x14ac:dyDescent="0.25">
      <c r="A1269" t="str">
        <f>"20190312154820619"</f>
        <v>20190312154820619</v>
      </c>
      <c r="B1269" t="str">
        <f>"1552376900607022"</f>
        <v>1552376900607022</v>
      </c>
      <c r="C1269" t="s">
        <v>40</v>
      </c>
      <c r="D1269">
        <v>5.096101</v>
      </c>
      <c r="E1269">
        <v>0.60272460000000005</v>
      </c>
      <c r="F1269" t="s">
        <v>45</v>
      </c>
      <c r="G1269">
        <v>-204.95740000000001</v>
      </c>
      <c r="H1269" s="1">
        <v>-4.2084689999999998E-6</v>
      </c>
      <c r="I1269">
        <v>363.86610000000002</v>
      </c>
      <c r="J1269">
        <v>-210.5231</v>
      </c>
      <c r="K1269">
        <v>1.106581</v>
      </c>
      <c r="L1269">
        <v>367.48869999999999</v>
      </c>
      <c r="M1269">
        <v>0.98685699999999998</v>
      </c>
      <c r="N1269">
        <v>0</v>
      </c>
      <c r="O1269">
        <v>-0.16099040000000001</v>
      </c>
      <c r="P1269">
        <v>0.94967570000000001</v>
      </c>
      <c r="Q1269">
        <v>4.6213980000000002E-2</v>
      </c>
      <c r="R1269">
        <v>-0.30980780000000002</v>
      </c>
      <c r="S1269">
        <v>2.6366580000000002</v>
      </c>
      <c r="T1269">
        <v>-0.51184359999999995</v>
      </c>
      <c r="U1269">
        <v>-1.6871640000000001</v>
      </c>
      <c r="V1269">
        <v>0.15338650000000001</v>
      </c>
      <c r="W1269">
        <v>5.8663359999999998E-2</v>
      </c>
      <c r="X1269">
        <v>0.98642339999999995</v>
      </c>
      <c r="Y1269">
        <v>0.39331319999999997</v>
      </c>
      <c r="Z1269">
        <v>-6.7009979999999997E-3</v>
      </c>
      <c r="AA1269">
        <v>0.91938010000000003</v>
      </c>
      <c r="AB1269">
        <v>24</v>
      </c>
      <c r="AC1269">
        <v>5.5656999999999899</v>
      </c>
      <c r="AD1269">
        <v>-1.106585208469</v>
      </c>
      <c r="AE1269">
        <v>-3.6225999999999701</v>
      </c>
      <c r="AF1269">
        <v>2.6068414849606398</v>
      </c>
      <c r="AG1269">
        <v>-1.106585208469</v>
      </c>
      <c r="AH1269">
        <v>5.9121838623759304</v>
      </c>
      <c r="AI1269">
        <v>99.718262999297096</v>
      </c>
      <c r="AJ1269">
        <v>66.206022475353294</v>
      </c>
      <c r="AK1269">
        <v>6.5554611869686603</v>
      </c>
      <c r="AL1269">
        <v>86.636906108944601</v>
      </c>
      <c r="AM1269">
        <v>81.161425996311394</v>
      </c>
      <c r="AN1269">
        <v>0.99999996612814901</v>
      </c>
    </row>
    <row r="1270" spans="1:40" x14ac:dyDescent="0.25">
      <c r="A1270" t="str">
        <f>"20190312154820634"</f>
        <v>20190312154820634</v>
      </c>
      <c r="B1270" t="str">
        <f>"1552376900627050"</f>
        <v>1552376900627050</v>
      </c>
      <c r="C1270" t="s">
        <v>40</v>
      </c>
      <c r="D1270">
        <v>5.1399509999999999</v>
      </c>
      <c r="E1270">
        <v>0.60247869999999903</v>
      </c>
      <c r="F1270" t="s">
        <v>45</v>
      </c>
      <c r="G1270">
        <v>-204.8545</v>
      </c>
      <c r="H1270" s="1">
        <v>-4.1645749999999998E-6</v>
      </c>
      <c r="I1270">
        <v>363.8304</v>
      </c>
      <c r="J1270">
        <v>-210.36699999999999</v>
      </c>
      <c r="K1270">
        <v>1.1065130000000001</v>
      </c>
      <c r="L1270">
        <v>367.459</v>
      </c>
      <c r="M1270">
        <v>0.98622940000000003</v>
      </c>
      <c r="N1270">
        <v>0</v>
      </c>
      <c r="O1270">
        <v>-0.164789299999999</v>
      </c>
      <c r="P1270">
        <v>0.94798979999999999</v>
      </c>
      <c r="Q1270">
        <v>4.8039289999999998E-2</v>
      </c>
      <c r="R1270">
        <v>-0.3146544</v>
      </c>
      <c r="S1270">
        <v>2.6302189999999999</v>
      </c>
      <c r="T1270">
        <v>-0.51344849999999997</v>
      </c>
      <c r="U1270">
        <v>-1.6974180000000001</v>
      </c>
      <c r="V1270">
        <v>0.1546691</v>
      </c>
      <c r="W1270">
        <v>6.0454500000000001E-2</v>
      </c>
      <c r="X1270">
        <v>0.98611499999999996</v>
      </c>
      <c r="Y1270">
        <v>0.3933604</v>
      </c>
      <c r="Z1270">
        <v>-6.0854139999999999E-3</v>
      </c>
      <c r="AA1270">
        <v>0.91936419999999996</v>
      </c>
      <c r="AB1270">
        <v>24</v>
      </c>
      <c r="AC1270">
        <v>5.5125000000000099</v>
      </c>
      <c r="AD1270">
        <v>-1.1065171645749901</v>
      </c>
      <c r="AE1270">
        <v>-3.6286</v>
      </c>
      <c r="AF1270">
        <v>2.59747384347527</v>
      </c>
      <c r="AG1270">
        <v>-1.1065171645749901</v>
      </c>
      <c r="AH1270">
        <v>5.8701177327178504</v>
      </c>
      <c r="AI1270">
        <v>99.780427673798002</v>
      </c>
      <c r="AJ1270">
        <v>66.1310446081999</v>
      </c>
      <c r="AK1270">
        <v>6.5137955754694898</v>
      </c>
      <c r="AL1270">
        <v>86.534099064131695</v>
      </c>
      <c r="AM1270">
        <v>81.085958010892696</v>
      </c>
      <c r="AN1270">
        <v>1.00000003514502</v>
      </c>
    </row>
    <row r="1271" spans="1:40" x14ac:dyDescent="0.25">
      <c r="A1271" t="str">
        <f>"20190312154820647"</f>
        <v>20190312154820647</v>
      </c>
      <c r="B1271" t="str">
        <f>"1552376900636809"</f>
        <v>1552376900636809</v>
      </c>
      <c r="C1271" t="s">
        <v>40</v>
      </c>
      <c r="D1271">
        <v>5.1266920000000002</v>
      </c>
      <c r="E1271">
        <v>0.60237810000000003</v>
      </c>
      <c r="F1271" t="s">
        <v>45</v>
      </c>
      <c r="G1271">
        <v>-204.65360000000001</v>
      </c>
      <c r="H1271" s="1">
        <v>-4.0841639999999996E-6</v>
      </c>
      <c r="I1271">
        <v>363.73719999999997</v>
      </c>
      <c r="J1271">
        <v>-210.22919999999999</v>
      </c>
      <c r="K1271">
        <v>1.1064590000000001</v>
      </c>
      <c r="L1271">
        <v>367.4323</v>
      </c>
      <c r="M1271">
        <v>0.98565420000000004</v>
      </c>
      <c r="N1271">
        <v>0</v>
      </c>
      <c r="O1271">
        <v>-0.16819619999999999</v>
      </c>
      <c r="P1271">
        <v>0.94638250000000002</v>
      </c>
      <c r="Q1271">
        <v>4.9907239999999999E-2</v>
      </c>
      <c r="R1271">
        <v>-0.31917030000000002</v>
      </c>
      <c r="S1271">
        <v>2.6231689999999999</v>
      </c>
      <c r="T1271">
        <v>-0.5080287</v>
      </c>
      <c r="U1271">
        <v>-1.7087399999999999</v>
      </c>
      <c r="V1271">
        <v>0.1560059</v>
      </c>
      <c r="W1271">
        <v>6.2289259999999999E-2</v>
      </c>
      <c r="X1271">
        <v>0.9857901</v>
      </c>
      <c r="Y1271">
        <v>0.39419549999999998</v>
      </c>
      <c r="Z1271">
        <v>-5.5281260000000004E-3</v>
      </c>
      <c r="AA1271">
        <v>0.91900999999999999</v>
      </c>
      <c r="AB1271">
        <v>23</v>
      </c>
      <c r="AC1271">
        <v>5.5755999999999801</v>
      </c>
      <c r="AD1271">
        <v>-1.106463084164</v>
      </c>
      <c r="AE1271">
        <v>-3.69510000000002</v>
      </c>
      <c r="AF1271">
        <v>2.63252650550448</v>
      </c>
      <c r="AG1271">
        <v>-1.106463084164</v>
      </c>
      <c r="AH1271">
        <v>5.9547725744578104</v>
      </c>
      <c r="AI1271">
        <v>99.644967882298999</v>
      </c>
      <c r="AJ1271">
        <v>66.150409764703497</v>
      </c>
      <c r="AK1271">
        <v>6.6040724384516203</v>
      </c>
      <c r="AL1271">
        <v>86.428776232801695</v>
      </c>
      <c r="AM1271">
        <v>81.007252743637196</v>
      </c>
      <c r="AN1271">
        <v>0.999999957002082</v>
      </c>
    </row>
    <row r="1272" spans="1:40" x14ac:dyDescent="0.25">
      <c r="A1272" t="str">
        <f>"20190312154820661"</f>
        <v>20190312154820661</v>
      </c>
      <c r="B1272" t="str">
        <f>"1552376900647546"</f>
        <v>1552376900647546</v>
      </c>
      <c r="C1272" t="s">
        <v>40</v>
      </c>
      <c r="D1272">
        <v>5.1170309999999999</v>
      </c>
      <c r="E1272">
        <v>0.60226740000000001</v>
      </c>
      <c r="F1272" t="s">
        <v>45</v>
      </c>
      <c r="G1272">
        <v>-204.47489999999999</v>
      </c>
      <c r="H1272" s="1">
        <v>-4.0137789999999996E-6</v>
      </c>
      <c r="I1272">
        <v>363.649</v>
      </c>
      <c r="J1272">
        <v>-210.0943</v>
      </c>
      <c r="K1272">
        <v>1.106401</v>
      </c>
      <c r="L1272">
        <v>367.40539999999999</v>
      </c>
      <c r="M1272">
        <v>0.98506640000000001</v>
      </c>
      <c r="N1272">
        <v>0</v>
      </c>
      <c r="O1272">
        <v>-0.17160449999999999</v>
      </c>
      <c r="P1272">
        <v>0.94432729999999998</v>
      </c>
      <c r="Q1272">
        <v>5.3317999999999997E-2</v>
      </c>
      <c r="R1272">
        <v>-0.32465860000000002</v>
      </c>
      <c r="S1272">
        <v>2.6163479999999999</v>
      </c>
      <c r="T1272">
        <v>-0.50308079999999999</v>
      </c>
      <c r="U1272">
        <v>-1.720154</v>
      </c>
      <c r="V1272">
        <v>0.15839339999999999</v>
      </c>
      <c r="W1272">
        <v>6.5654050000000005E-2</v>
      </c>
      <c r="X1272">
        <v>0.98519089999999998</v>
      </c>
      <c r="Y1272">
        <v>0.39500560000000001</v>
      </c>
      <c r="Z1272">
        <v>-4.9825629999999997E-3</v>
      </c>
      <c r="AA1272">
        <v>0.91866519999999996</v>
      </c>
      <c r="AB1272">
        <v>23</v>
      </c>
      <c r="AC1272">
        <v>5.6194000000000104</v>
      </c>
      <c r="AD1272">
        <v>-1.106405013779</v>
      </c>
      <c r="AE1272">
        <v>-3.7563999999999802</v>
      </c>
      <c r="AF1272">
        <v>2.6648573767946302</v>
      </c>
      <c r="AG1272">
        <v>-1.106405013779</v>
      </c>
      <c r="AH1272">
        <v>6.0194237683829197</v>
      </c>
      <c r="AI1272">
        <v>99.540641964268502</v>
      </c>
      <c r="AJ1272">
        <v>66.1205624780048</v>
      </c>
      <c r="AK1272">
        <v>6.6752572532109502</v>
      </c>
      <c r="AL1272">
        <v>86.235592394335001</v>
      </c>
      <c r="AM1272">
        <v>80.866470276579406</v>
      </c>
      <c r="AN1272">
        <v>1.00000001644388</v>
      </c>
    </row>
    <row r="1273" spans="1:40" x14ac:dyDescent="0.25">
      <c r="A1273" t="str">
        <f>"20190312154820676"</f>
        <v>20190312154820676</v>
      </c>
      <c r="B1273" t="str">
        <f>"1552376900667066"</f>
        <v>1552376900667066</v>
      </c>
      <c r="C1273" t="s">
        <v>40</v>
      </c>
      <c r="D1273">
        <v>5.1866859999999999</v>
      </c>
      <c r="E1273">
        <v>0.60215560000000001</v>
      </c>
      <c r="F1273" t="s">
        <v>45</v>
      </c>
      <c r="G1273">
        <v>-204.26089999999999</v>
      </c>
      <c r="H1273" s="1">
        <v>-3.9321400000000003E-6</v>
      </c>
      <c r="I1273">
        <v>363.53149999999999</v>
      </c>
      <c r="J1273">
        <v>-209.94730000000001</v>
      </c>
      <c r="K1273">
        <v>1.106341</v>
      </c>
      <c r="L1273">
        <v>367.37549999999999</v>
      </c>
      <c r="M1273">
        <v>0.98439909999999997</v>
      </c>
      <c r="N1273">
        <v>0</v>
      </c>
      <c r="O1273">
        <v>-0.1753905</v>
      </c>
      <c r="P1273">
        <v>0.94181510000000002</v>
      </c>
      <c r="Q1273">
        <v>5.8870970000000002E-2</v>
      </c>
      <c r="R1273">
        <v>-0.33093620000000001</v>
      </c>
      <c r="S1273">
        <v>2.6091310000000001</v>
      </c>
      <c r="T1273">
        <v>-0.49486740000000001</v>
      </c>
      <c r="U1273">
        <v>-1.7326969999999999</v>
      </c>
      <c r="V1273">
        <v>0.16128529999999999</v>
      </c>
      <c r="W1273">
        <v>7.1150519999999995E-2</v>
      </c>
      <c r="X1273">
        <v>0.98433970000000004</v>
      </c>
      <c r="Y1273">
        <v>0.39583810000000003</v>
      </c>
      <c r="Z1273">
        <v>-4.3574140000000004E-3</v>
      </c>
      <c r="AA1273">
        <v>0.91830999999999996</v>
      </c>
      <c r="AB1273">
        <v>23</v>
      </c>
      <c r="AC1273">
        <v>5.6864000000000097</v>
      </c>
      <c r="AD1273">
        <v>-1.1063449321400001</v>
      </c>
      <c r="AE1273">
        <v>-3.8439999999999901</v>
      </c>
      <c r="AF1273">
        <v>2.71638928805175</v>
      </c>
      <c r="AG1273">
        <v>-1.1063449321400001</v>
      </c>
      <c r="AH1273">
        <v>6.1136660894016499</v>
      </c>
      <c r="AI1273">
        <v>99.390227992946706</v>
      </c>
      <c r="AJ1273">
        <v>66.043737928379201</v>
      </c>
      <c r="AK1273">
        <v>6.7808320231232502</v>
      </c>
      <c r="AL1273">
        <v>85.919928031426096</v>
      </c>
      <c r="AM1273">
        <v>80.694700259460504</v>
      </c>
      <c r="AN1273">
        <v>0.99999999474422496</v>
      </c>
    </row>
    <row r="1274" spans="1:40" x14ac:dyDescent="0.25">
      <c r="A1274" t="str">
        <f>"20190312154820691"</f>
        <v>20190312154820691</v>
      </c>
      <c r="B1274" t="str">
        <f>"1552376900686585"</f>
        <v>1552376900686585</v>
      </c>
      <c r="C1274" t="s">
        <v>40</v>
      </c>
      <c r="D1274">
        <v>5.2449399999999997</v>
      </c>
      <c r="E1274">
        <v>0.60194199999999998</v>
      </c>
      <c r="F1274" t="s">
        <v>45</v>
      </c>
      <c r="G1274">
        <v>-203.9914</v>
      </c>
      <c r="H1274" s="1">
        <v>-3.83102E-6</v>
      </c>
      <c r="I1274">
        <v>363.37610000000001</v>
      </c>
      <c r="J1274">
        <v>-209.78190000000001</v>
      </c>
      <c r="K1274">
        <v>1.1063339999999999</v>
      </c>
      <c r="L1274">
        <v>367.34109999999998</v>
      </c>
      <c r="M1274">
        <v>0.98361560000000003</v>
      </c>
      <c r="N1274">
        <v>0</v>
      </c>
      <c r="O1274">
        <v>-0.17973249999999999</v>
      </c>
      <c r="P1274">
        <v>0.93650650000000002</v>
      </c>
      <c r="Q1274">
        <v>7.5793189999999996E-2</v>
      </c>
      <c r="R1274">
        <v>-0.34236119999999998</v>
      </c>
      <c r="S1274">
        <v>2.6016849999999998</v>
      </c>
      <c r="T1274">
        <v>-0.48328500000000002</v>
      </c>
      <c r="U1274">
        <v>-1.7470699999999999</v>
      </c>
      <c r="V1274">
        <v>0.16930580000000001</v>
      </c>
      <c r="W1274">
        <v>8.7939310000000007E-2</v>
      </c>
      <c r="X1274">
        <v>0.98163239999999996</v>
      </c>
      <c r="Y1274">
        <v>0.39666839999999998</v>
      </c>
      <c r="Z1274">
        <v>-3.6344860000000001E-3</v>
      </c>
      <c r="AA1274">
        <v>0.91795470000000001</v>
      </c>
      <c r="AB1274">
        <v>23</v>
      </c>
      <c r="AC1274">
        <v>5.7904999999999998</v>
      </c>
      <c r="AD1274">
        <v>-1.1063378310199901</v>
      </c>
      <c r="AE1274">
        <v>-3.9649999999999701</v>
      </c>
      <c r="AF1274">
        <v>2.7902333170978402</v>
      </c>
      <c r="AG1274">
        <v>-1.1063378310199901</v>
      </c>
      <c r="AH1274">
        <v>6.2534845330647899</v>
      </c>
      <c r="AI1274">
        <v>99.177551243020403</v>
      </c>
      <c r="AJ1274">
        <v>65.954117533771395</v>
      </c>
      <c r="AK1274">
        <v>6.9365304126392697</v>
      </c>
      <c r="AL1274">
        <v>84.954931716729604</v>
      </c>
      <c r="AM1274">
        <v>80.214258094170106</v>
      </c>
      <c r="AN1274">
        <v>0.99999997244333705</v>
      </c>
    </row>
    <row r="1275" spans="1:40" x14ac:dyDescent="0.25">
      <c r="A1275" t="str">
        <f>"20190312154820706"</f>
        <v>20190312154820706</v>
      </c>
      <c r="B1275" t="str">
        <f>"1552376900697322"</f>
        <v>1552376900697322</v>
      </c>
      <c r="C1275" t="s">
        <v>40</v>
      </c>
      <c r="D1275">
        <v>5.2334379999999996</v>
      </c>
      <c r="E1275">
        <v>0.60184740000000003</v>
      </c>
      <c r="F1275" t="s">
        <v>45</v>
      </c>
      <c r="G1275">
        <v>-203.35910000000001</v>
      </c>
      <c r="H1275" s="1">
        <v>-3.6055399999999999E-6</v>
      </c>
      <c r="I1275">
        <v>362.95769999999999</v>
      </c>
      <c r="J1275">
        <v>-209.63630000000001</v>
      </c>
      <c r="K1275">
        <v>1.106312</v>
      </c>
      <c r="L1275">
        <v>367.31020000000001</v>
      </c>
      <c r="M1275">
        <v>0.98289669999999896</v>
      </c>
      <c r="N1275">
        <v>0</v>
      </c>
      <c r="O1275">
        <v>-0.18362239999999999</v>
      </c>
      <c r="P1275">
        <v>0.93289250000000001</v>
      </c>
      <c r="Q1275">
        <v>8.7173310000000004E-2</v>
      </c>
      <c r="R1275">
        <v>-0.34944609999999998</v>
      </c>
      <c r="S1275">
        <v>2.5927120000000001</v>
      </c>
      <c r="T1275">
        <v>-0.44659850000000001</v>
      </c>
      <c r="U1275">
        <v>-1.7694399999999999</v>
      </c>
      <c r="V1275">
        <v>0.17317080000000001</v>
      </c>
      <c r="W1275">
        <v>9.9238160000000006E-2</v>
      </c>
      <c r="X1275">
        <v>0.97987939999999996</v>
      </c>
      <c r="Y1275">
        <v>0.40029930000000002</v>
      </c>
      <c r="Z1275">
        <v>-3.0713469999999999E-3</v>
      </c>
      <c r="AA1275">
        <v>0.91637930000000001</v>
      </c>
      <c r="AB1275">
        <v>23</v>
      </c>
      <c r="AC1275">
        <v>6.2771999999999899</v>
      </c>
      <c r="AD1275">
        <v>-1.1063156055399901</v>
      </c>
      <c r="AE1275">
        <v>-4.3525000000000196</v>
      </c>
      <c r="AF1275">
        <v>3.0615108861687998</v>
      </c>
      <c r="AG1275">
        <v>-1.1063156055399901</v>
      </c>
      <c r="AH1275">
        <v>6.8265439055506203</v>
      </c>
      <c r="AI1275">
        <v>98.411443776157299</v>
      </c>
      <c r="AJ1275">
        <v>65.845121595856298</v>
      </c>
      <c r="AK1275">
        <v>7.5629679901214599</v>
      </c>
      <c r="AL1275">
        <v>84.304697891611198</v>
      </c>
      <c r="AM1275">
        <v>79.9777928691623</v>
      </c>
      <c r="AN1275">
        <v>0.99999998845859195</v>
      </c>
    </row>
    <row r="1276" spans="1:40" x14ac:dyDescent="0.25">
      <c r="A1276" t="str">
        <f>"20190312154820719"</f>
        <v>20190312154820719</v>
      </c>
      <c r="B1276" t="str">
        <f>"1552376900707082"</f>
        <v>1552376900707082</v>
      </c>
      <c r="C1276" t="s">
        <v>40</v>
      </c>
      <c r="D1276">
        <v>5.0720359999999998</v>
      </c>
      <c r="E1276">
        <v>0.60177819999999904</v>
      </c>
      <c r="F1276" t="s">
        <v>45</v>
      </c>
      <c r="G1276">
        <v>-202.7835</v>
      </c>
      <c r="H1276" s="1">
        <v>-3.4011489999999998E-6</v>
      </c>
      <c r="I1276">
        <v>362.57339999999999</v>
      </c>
      <c r="J1276">
        <v>-209.4915</v>
      </c>
      <c r="K1276">
        <v>1.1062920000000001</v>
      </c>
      <c r="L1276">
        <v>367.27859999999998</v>
      </c>
      <c r="M1276">
        <v>0.98214480000000004</v>
      </c>
      <c r="N1276">
        <v>0</v>
      </c>
      <c r="O1276">
        <v>-0.18760160000000001</v>
      </c>
      <c r="P1276">
        <v>0.92944400000000005</v>
      </c>
      <c r="Q1276">
        <v>9.8826499999999998E-2</v>
      </c>
      <c r="R1276">
        <v>-0.35548159999999901</v>
      </c>
      <c r="S1276">
        <v>2.5854189999999999</v>
      </c>
      <c r="T1276">
        <v>-0.41739090000000001</v>
      </c>
      <c r="U1276">
        <v>-1.7871090000000001</v>
      </c>
      <c r="V1276">
        <v>0.175904</v>
      </c>
      <c r="W1276">
        <v>0.1108219</v>
      </c>
      <c r="X1276">
        <v>0.97814939999999995</v>
      </c>
      <c r="Y1276">
        <v>0.40233049999999998</v>
      </c>
      <c r="Z1276">
        <v>-2.471825E-3</v>
      </c>
      <c r="AA1276">
        <v>0.91549119999999995</v>
      </c>
      <c r="AB1276">
        <v>23</v>
      </c>
      <c r="AC1276">
        <v>6.7079999999999904</v>
      </c>
      <c r="AD1276">
        <v>-1.1062954011489901</v>
      </c>
      <c r="AE1276">
        <v>-4.7051999999999898</v>
      </c>
      <c r="AF1276">
        <v>3.3028765522713899</v>
      </c>
      <c r="AG1276">
        <v>-1.1062954011489901</v>
      </c>
      <c r="AH1276">
        <v>7.3378976678344197</v>
      </c>
      <c r="AI1276">
        <v>97.827937069047906</v>
      </c>
      <c r="AJ1276">
        <v>65.7669135009493</v>
      </c>
      <c r="AK1276">
        <v>8.1226612152519007</v>
      </c>
      <c r="AL1276">
        <v>83.637303211550304</v>
      </c>
      <c r="AM1276">
        <v>79.8052686153829</v>
      </c>
      <c r="AN1276">
        <v>0.99999997972798405</v>
      </c>
    </row>
    <row r="1277" spans="1:40" x14ac:dyDescent="0.25">
      <c r="A1277" t="str">
        <f>"20190312154820731"</f>
        <v>20190312154820731</v>
      </c>
      <c r="B1277" t="str">
        <f>"1552376900727109"</f>
        <v>1552376900727109</v>
      </c>
      <c r="C1277" t="s">
        <v>40</v>
      </c>
      <c r="D1277">
        <v>5.2171289999999999</v>
      </c>
      <c r="E1277">
        <v>0.60188339999999996</v>
      </c>
      <c r="F1277" t="s">
        <v>45</v>
      </c>
      <c r="G1277">
        <v>-202.05179999999999</v>
      </c>
      <c r="H1277" s="1">
        <v>-3.1446969999999999E-6</v>
      </c>
      <c r="I1277">
        <v>362.06920000000002</v>
      </c>
      <c r="J1277">
        <v>-209.36770000000001</v>
      </c>
      <c r="K1277">
        <v>1.1062809999999901</v>
      </c>
      <c r="L1277">
        <v>367.25099999999998</v>
      </c>
      <c r="M1277">
        <v>0.98148009999999997</v>
      </c>
      <c r="N1277">
        <v>0</v>
      </c>
      <c r="O1277">
        <v>-0.19104760000000001</v>
      </c>
      <c r="P1277">
        <v>0.9264038</v>
      </c>
      <c r="Q1277">
        <v>0.10962180000000001</v>
      </c>
      <c r="R1277">
        <v>-0.3602207</v>
      </c>
      <c r="S1277">
        <v>2.5780940000000001</v>
      </c>
      <c r="T1277">
        <v>-0.38336609999999999</v>
      </c>
      <c r="U1277">
        <v>-1.8052060000000001</v>
      </c>
      <c r="V1277">
        <v>0.1778227</v>
      </c>
      <c r="W1277">
        <v>0.1215594</v>
      </c>
      <c r="X1277">
        <v>0.97652570000000005</v>
      </c>
      <c r="Y1277">
        <v>0.40495350000000002</v>
      </c>
      <c r="Z1277">
        <v>-2.0117870000000001E-3</v>
      </c>
      <c r="AA1277">
        <v>0.91433509999999996</v>
      </c>
      <c r="AB1277">
        <v>23</v>
      </c>
      <c r="AC1277">
        <v>7.3159000000000196</v>
      </c>
      <c r="AD1277">
        <v>-1.10628414469699</v>
      </c>
      <c r="AE1277">
        <v>-5.1817999999999502</v>
      </c>
      <c r="AF1277">
        <v>3.6331895409910402</v>
      </c>
      <c r="AG1277">
        <v>-1.10628414469699</v>
      </c>
      <c r="AH1277">
        <v>8.0486298769799696</v>
      </c>
      <c r="AI1277">
        <v>97.140680169120202</v>
      </c>
      <c r="AJ1277">
        <v>65.705358730206498</v>
      </c>
      <c r="AK1277">
        <v>8.8996839127122591</v>
      </c>
      <c r="AL1277">
        <v>83.017891620453099</v>
      </c>
      <c r="AM1277">
        <v>79.679673374031196</v>
      </c>
      <c r="AN1277">
        <v>1.0000000215620599</v>
      </c>
    </row>
    <row r="1278" spans="1:40" x14ac:dyDescent="0.25">
      <c r="A1278" t="str">
        <f>"20190312154820746"</f>
        <v>20190312154820746</v>
      </c>
      <c r="B1278" t="str">
        <f>"1552376900736869"</f>
        <v>1552376900736869</v>
      </c>
      <c r="C1278" t="s">
        <v>40</v>
      </c>
      <c r="D1278">
        <v>5.2636409999999998</v>
      </c>
      <c r="E1278">
        <v>0.60188339999999996</v>
      </c>
      <c r="F1278" t="s">
        <v>45</v>
      </c>
      <c r="G1278">
        <v>-201.32599999999999</v>
      </c>
      <c r="H1278" s="1">
        <v>-2.8935349999999998E-6</v>
      </c>
      <c r="I1278">
        <v>361.55470000000003</v>
      </c>
      <c r="J1278">
        <v>-209.21469999999999</v>
      </c>
      <c r="K1278">
        <v>1.10629</v>
      </c>
      <c r="L1278">
        <v>367.21640000000002</v>
      </c>
      <c r="M1278">
        <v>0.98062910000000003</v>
      </c>
      <c r="N1278">
        <v>0</v>
      </c>
      <c r="O1278">
        <v>-0.1953685</v>
      </c>
      <c r="P1278">
        <v>0.92138980000000004</v>
      </c>
      <c r="Q1278">
        <v>0.1294083</v>
      </c>
      <c r="R1278">
        <v>-0.36646200000000001</v>
      </c>
      <c r="S1278">
        <v>2.5718230000000002</v>
      </c>
      <c r="T1278">
        <v>-0.35380040000000001</v>
      </c>
      <c r="U1278">
        <v>-1.821747</v>
      </c>
      <c r="V1278">
        <v>0.180839</v>
      </c>
      <c r="W1278">
        <v>0.1412514</v>
      </c>
      <c r="X1278">
        <v>0.97331670000000003</v>
      </c>
      <c r="Y1278">
        <v>0.4061515</v>
      </c>
      <c r="Z1278">
        <v>-1.4263469999999999E-3</v>
      </c>
      <c r="AA1278">
        <v>0.91380470000000003</v>
      </c>
      <c r="AB1278">
        <v>23</v>
      </c>
      <c r="AC1278">
        <v>7.8887</v>
      </c>
      <c r="AD1278">
        <v>-1.106292893535</v>
      </c>
      <c r="AE1278">
        <v>-5.66169999999999</v>
      </c>
      <c r="AF1278">
        <v>3.9598204500365402</v>
      </c>
      <c r="AG1278">
        <v>-1.106292893535</v>
      </c>
      <c r="AH1278">
        <v>8.7295668163015705</v>
      </c>
      <c r="AI1278">
        <v>96.583427382121698</v>
      </c>
      <c r="AJ1278">
        <v>65.600471833764402</v>
      </c>
      <c r="AK1278">
        <v>9.6493211555573808</v>
      </c>
      <c r="AL1278">
        <v>81.879734574042104</v>
      </c>
      <c r="AM1278">
        <v>79.474652952794401</v>
      </c>
      <c r="AN1278">
        <v>1.0000000502109201</v>
      </c>
    </row>
    <row r="1279" spans="1:40" x14ac:dyDescent="0.25">
      <c r="A1279" t="str">
        <f>"20190312154820757"</f>
        <v>20190312154820757</v>
      </c>
      <c r="B1279" t="str">
        <f>"1552376900746629"</f>
        <v>1552376900746629</v>
      </c>
      <c r="C1279" t="s">
        <v>40</v>
      </c>
      <c r="D1279">
        <v>5.230823</v>
      </c>
      <c r="E1279">
        <v>0.63120600000000004</v>
      </c>
      <c r="F1279" t="s">
        <v>45</v>
      </c>
      <c r="G1279">
        <v>-199.44460000000001</v>
      </c>
      <c r="H1279" s="1">
        <v>-1.007475E-5</v>
      </c>
      <c r="I1279">
        <v>360.17930000000001</v>
      </c>
      <c r="J1279">
        <v>-209.0967</v>
      </c>
      <c r="K1279">
        <v>1.10626</v>
      </c>
      <c r="L1279">
        <v>367.18900000000002</v>
      </c>
      <c r="M1279">
        <v>0.97994179999999997</v>
      </c>
      <c r="N1279">
        <v>0</v>
      </c>
      <c r="O1279">
        <v>-0.1987863</v>
      </c>
      <c r="P1279">
        <v>0.9182034</v>
      </c>
      <c r="Q1279">
        <v>0.13768559999999999</v>
      </c>
      <c r="R1279">
        <v>-0.37141059999999998</v>
      </c>
      <c r="S1279">
        <v>2.5626069999999999</v>
      </c>
      <c r="T1279">
        <v>-0.29017100000000001</v>
      </c>
      <c r="U1279">
        <v>-1.845764</v>
      </c>
      <c r="V1279">
        <v>0.18302740000000001</v>
      </c>
      <c r="W1279">
        <v>0.14946679999999901</v>
      </c>
      <c r="X1279">
        <v>0.97167930000000002</v>
      </c>
      <c r="Y1279">
        <v>0.4105936</v>
      </c>
      <c r="Z1279">
        <v>-1.070395E-3</v>
      </c>
      <c r="AA1279">
        <v>0.91181780000000001</v>
      </c>
      <c r="AB1279">
        <v>23</v>
      </c>
      <c r="AC1279">
        <v>9.6520999999999901</v>
      </c>
      <c r="AD1279">
        <v>-1.1062700747499901</v>
      </c>
      <c r="AE1279">
        <v>-7.0096999999999996</v>
      </c>
      <c r="AF1279">
        <v>4.9086664439031296</v>
      </c>
      <c r="AG1279">
        <v>-1.1062700747499901</v>
      </c>
      <c r="AH1279">
        <v>10.760458798963599</v>
      </c>
      <c r="AI1279">
        <v>95.3436790107028</v>
      </c>
      <c r="AJ1279">
        <v>65.478651631261997</v>
      </c>
      <c r="AK1279">
        <v>11.8788178410135</v>
      </c>
      <c r="AL1279">
        <v>81.403971954977905</v>
      </c>
      <c r="AM1279">
        <v>79.332643788623599</v>
      </c>
      <c r="AN1279">
        <v>1.00000000775074</v>
      </c>
    </row>
    <row r="1280" spans="1:40" x14ac:dyDescent="0.25">
      <c r="A1280" t="str">
        <f>"20190312154820769"</f>
        <v>20190312154820769</v>
      </c>
      <c r="B1280" t="str">
        <f>"1552376900757365"</f>
        <v>1552376900757365</v>
      </c>
      <c r="C1280" t="s">
        <v>40</v>
      </c>
      <c r="D1280">
        <v>5.2605430000000002</v>
      </c>
      <c r="E1280">
        <v>0.636482199999999</v>
      </c>
      <c r="F1280" t="s">
        <v>45</v>
      </c>
      <c r="G1280">
        <v>-202.31979999999999</v>
      </c>
      <c r="H1280" s="1">
        <v>-3.3992789999999998E-6</v>
      </c>
      <c r="I1280">
        <v>361.52929999999998</v>
      </c>
      <c r="J1280">
        <v>-208.9828</v>
      </c>
      <c r="K1280">
        <v>1.1062240000000001</v>
      </c>
      <c r="L1280">
        <v>367.16210000000001</v>
      </c>
      <c r="M1280">
        <v>0.97926069999999998</v>
      </c>
      <c r="N1280">
        <v>0</v>
      </c>
      <c r="O1280">
        <v>-0.20211499999999999</v>
      </c>
      <c r="P1280">
        <v>0.91487180000000001</v>
      </c>
      <c r="Q1280">
        <v>0.1443779</v>
      </c>
      <c r="R1280">
        <v>-0.37704739999999998</v>
      </c>
      <c r="S1280">
        <v>2.487762</v>
      </c>
      <c r="T1280">
        <v>-0.40610049999999998</v>
      </c>
      <c r="U1280">
        <v>-2.0776059999999998</v>
      </c>
      <c r="V1280">
        <v>0.1860031</v>
      </c>
      <c r="W1280">
        <v>0.1560887</v>
      </c>
      <c r="X1280">
        <v>0.97007169999999998</v>
      </c>
      <c r="Y1280">
        <v>0.47058499999999998</v>
      </c>
      <c r="Z1280">
        <v>-5.3314850000000004E-3</v>
      </c>
      <c r="AA1280">
        <v>0.88233859999999997</v>
      </c>
      <c r="AB1280">
        <v>23</v>
      </c>
      <c r="AC1280">
        <v>6.66300000000001</v>
      </c>
      <c r="AD1280">
        <v>-1.1062273992789999</v>
      </c>
      <c r="AE1280">
        <v>-5.6328000000000298</v>
      </c>
      <c r="AF1280">
        <v>4.1037303360886304</v>
      </c>
      <c r="AG1280">
        <v>-1.1062273992789999</v>
      </c>
      <c r="AH1280">
        <v>7.54279132875436</v>
      </c>
      <c r="AI1280">
        <v>97.340856805482602</v>
      </c>
      <c r="AJ1280">
        <v>61.451160808637702</v>
      </c>
      <c r="AK1280">
        <v>8.6578312965419695</v>
      </c>
      <c r="AL1280">
        <v>81.020056989079904</v>
      </c>
      <c r="AM1280">
        <v>79.145754189305805</v>
      </c>
      <c r="AN1280">
        <v>0.99999996930909396</v>
      </c>
    </row>
    <row r="1281" spans="1:40" x14ac:dyDescent="0.25">
      <c r="A1281" t="str">
        <f>"20190312154820779"</f>
        <v>20190312154820779</v>
      </c>
      <c r="B1281" t="str">
        <f>"1552376900767124"</f>
        <v>1552376900767124</v>
      </c>
      <c r="C1281" t="s">
        <v>40</v>
      </c>
      <c r="D1281">
        <v>5.2678320000000003</v>
      </c>
      <c r="E1281">
        <v>0.63894229999999996</v>
      </c>
      <c r="F1281" t="s">
        <v>45</v>
      </c>
      <c r="G1281">
        <v>-201.876</v>
      </c>
      <c r="H1281" s="1">
        <v>-3.2933810000000002E-6</v>
      </c>
      <c r="I1281">
        <v>360.99979999999999</v>
      </c>
      <c r="J1281">
        <v>-208.8698</v>
      </c>
      <c r="K1281">
        <v>1.1061799999999999</v>
      </c>
      <c r="L1281">
        <v>367.13499999999999</v>
      </c>
      <c r="M1281">
        <v>0.97856120000000002</v>
      </c>
      <c r="N1281">
        <v>0</v>
      </c>
      <c r="O1281">
        <v>-0.20547380000000001</v>
      </c>
      <c r="P1281">
        <v>0.91168210000000005</v>
      </c>
      <c r="Q1281">
        <v>0.1489953</v>
      </c>
      <c r="R1281">
        <v>-0.38293090000000002</v>
      </c>
      <c r="S1281">
        <v>2.4603579999999998</v>
      </c>
      <c r="T1281">
        <v>-0.38297160000000002</v>
      </c>
      <c r="U1281">
        <v>-2.1333920000000002</v>
      </c>
      <c r="V1281">
        <v>0.1891505</v>
      </c>
      <c r="W1281">
        <v>0.1606368</v>
      </c>
      <c r="X1281">
        <v>0.96871969999999996</v>
      </c>
      <c r="Y1281">
        <v>0.48402620000000002</v>
      </c>
      <c r="Z1281">
        <v>-5.5263279999999996E-3</v>
      </c>
      <c r="AA1281">
        <v>0.87503609999999898</v>
      </c>
      <c r="AB1281">
        <v>23</v>
      </c>
      <c r="AC1281">
        <v>6.9938000000000198</v>
      </c>
      <c r="AD1281">
        <v>-1.1061832933810001</v>
      </c>
      <c r="AE1281">
        <v>-6.1351999999999904</v>
      </c>
      <c r="AF1281">
        <v>4.5034130601895503</v>
      </c>
      <c r="AG1281">
        <v>-1.1061832933810001</v>
      </c>
      <c r="AH1281">
        <v>7.9922988658227903</v>
      </c>
      <c r="AI1281">
        <v>96.875612839810699</v>
      </c>
      <c r="AJ1281">
        <v>60.6000865520868</v>
      </c>
      <c r="AK1281">
        <v>9.2401954432724693</v>
      </c>
      <c r="AL1281">
        <v>80.756139476795596</v>
      </c>
      <c r="AM1281">
        <v>78.951537846119194</v>
      </c>
      <c r="AN1281">
        <v>0.99999997516628902</v>
      </c>
    </row>
    <row r="1282" spans="1:40" x14ac:dyDescent="0.25">
      <c r="A1282" t="str">
        <f>"20190312154820791"</f>
        <v>20190312154820791</v>
      </c>
      <c r="B1282" t="str">
        <f>"1552376900776885"</f>
        <v>1552376900776885</v>
      </c>
      <c r="C1282" t="s">
        <v>40</v>
      </c>
      <c r="D1282">
        <v>5.2532430000000003</v>
      </c>
      <c r="E1282">
        <v>0.64021749999999999</v>
      </c>
      <c r="F1282" t="s">
        <v>45</v>
      </c>
      <c r="G1282">
        <v>-201.59780000000001</v>
      </c>
      <c r="H1282" s="1">
        <v>-3.2250029999999999E-6</v>
      </c>
      <c r="I1282">
        <v>360.67660000000001</v>
      </c>
      <c r="J1282">
        <v>-208.75739999999999</v>
      </c>
      <c r="K1282">
        <v>1.1061289999999999</v>
      </c>
      <c r="L1282">
        <v>367.10759999999999</v>
      </c>
      <c r="M1282">
        <v>0.97784309999999997</v>
      </c>
      <c r="N1282">
        <v>0</v>
      </c>
      <c r="O1282">
        <v>-0.20886389999999999</v>
      </c>
      <c r="P1282">
        <v>0.90866190000000002</v>
      </c>
      <c r="Q1282">
        <v>0.15160750000000001</v>
      </c>
      <c r="R1282">
        <v>-0.38903549999999998</v>
      </c>
      <c r="S1282">
        <v>2.4408259999999999</v>
      </c>
      <c r="T1282">
        <v>-0.37128329999999998</v>
      </c>
      <c r="U1282">
        <v>-2.1677249999999999</v>
      </c>
      <c r="V1282">
        <v>0.19243569999999999</v>
      </c>
      <c r="W1282">
        <v>0.16318099999999999</v>
      </c>
      <c r="X1282">
        <v>0.96764680000000003</v>
      </c>
      <c r="Y1282">
        <v>0.49144759999999998</v>
      </c>
      <c r="Z1282">
        <v>-5.4435789999999996E-3</v>
      </c>
      <c r="AA1282">
        <v>0.8708901</v>
      </c>
      <c r="AB1282">
        <v>23</v>
      </c>
      <c r="AC1282">
        <v>7.1595999999999798</v>
      </c>
      <c r="AD1282">
        <v>-1.1061322250029999</v>
      </c>
      <c r="AE1282">
        <v>-6.4309999999999796</v>
      </c>
      <c r="AF1282">
        <v>4.7311029669440803</v>
      </c>
      <c r="AG1282">
        <v>-1.1061322250029999</v>
      </c>
      <c r="AH1282">
        <v>8.2361939661660593</v>
      </c>
      <c r="AI1282">
        <v>96.642486721655104</v>
      </c>
      <c r="AJ1282">
        <v>60.125720885842</v>
      </c>
      <c r="AK1282">
        <v>9.5625182264572608</v>
      </c>
      <c r="AL1282">
        <v>80.6084180377118</v>
      </c>
      <c r="AM1282">
        <v>78.752347581399405</v>
      </c>
      <c r="AN1282">
        <v>0.99999993347286198</v>
      </c>
    </row>
    <row r="1283" spans="1:40" x14ac:dyDescent="0.25">
      <c r="A1283" t="str">
        <f>"20190312154820802"</f>
        <v>20190312154820802</v>
      </c>
      <c r="B1283" t="str">
        <f>"1552376900797381"</f>
        <v>1552376900797381</v>
      </c>
      <c r="C1283" t="s">
        <v>40</v>
      </c>
      <c r="D1283">
        <v>5.30992</v>
      </c>
      <c r="E1283">
        <v>0.64146479999999995</v>
      </c>
      <c r="F1283" t="s">
        <v>45</v>
      </c>
      <c r="G1283">
        <v>-201.63149999999999</v>
      </c>
      <c r="H1283" s="1">
        <v>-3.2450759999999998E-6</v>
      </c>
      <c r="I1283">
        <v>360.66269999999997</v>
      </c>
      <c r="J1283">
        <v>-208.63749999999999</v>
      </c>
      <c r="K1283">
        <v>1.1060620000000001</v>
      </c>
      <c r="L1283">
        <v>367.0779</v>
      </c>
      <c r="M1283">
        <v>0.97705450000000005</v>
      </c>
      <c r="N1283">
        <v>0</v>
      </c>
      <c r="O1283">
        <v>-0.21252209999999999</v>
      </c>
      <c r="P1283">
        <v>0.90584900000000002</v>
      </c>
      <c r="Q1283">
        <v>0.1520774</v>
      </c>
      <c r="R1283">
        <v>-0.39536130000000003</v>
      </c>
      <c r="S1283">
        <v>2.425262</v>
      </c>
      <c r="T1283">
        <v>-0.37646869999999999</v>
      </c>
      <c r="U1283">
        <v>-2.1934809999999998</v>
      </c>
      <c r="V1283">
        <v>0.19561310000000001</v>
      </c>
      <c r="W1283">
        <v>0.1635865</v>
      </c>
      <c r="X1283">
        <v>0.9669411</v>
      </c>
      <c r="Y1283">
        <v>0.49601040000000002</v>
      </c>
      <c r="Z1283">
        <v>-5.3808299999999996E-3</v>
      </c>
      <c r="AA1283">
        <v>0.86829999999999996</v>
      </c>
      <c r="AB1283">
        <v>23</v>
      </c>
      <c r="AC1283">
        <v>7.0060000000000002</v>
      </c>
      <c r="AD1283">
        <v>-1.106065245076</v>
      </c>
      <c r="AE1283">
        <v>-6.41520000000002</v>
      </c>
      <c r="AF1283">
        <v>4.7156152011090198</v>
      </c>
      <c r="AG1283">
        <v>-1.106065245076</v>
      </c>
      <c r="AH1283">
        <v>8.0996241802868791</v>
      </c>
      <c r="AI1283">
        <v>96.730553607710206</v>
      </c>
      <c r="AJ1283">
        <v>59.791961827133903</v>
      </c>
      <c r="AK1283">
        <v>9.4373894119710595</v>
      </c>
      <c r="AL1283">
        <v>80.584869344042303</v>
      </c>
      <c r="AM1283">
        <v>78.563359819919299</v>
      </c>
      <c r="AN1283">
        <v>1.0000000593715299</v>
      </c>
    </row>
    <row r="1284" spans="1:40" x14ac:dyDescent="0.25">
      <c r="A1284" t="str">
        <f>"20190312154820814"</f>
        <v>20190312154820814</v>
      </c>
      <c r="B1284" t="str">
        <f>"1552376900807141"</f>
        <v>1552376900807141</v>
      </c>
      <c r="C1284" t="s">
        <v>40</v>
      </c>
      <c r="D1284">
        <v>5.2179539999999998</v>
      </c>
      <c r="E1284">
        <v>0.64170439999999995</v>
      </c>
      <c r="F1284" t="s">
        <v>45</v>
      </c>
      <c r="G1284">
        <v>-202.3015</v>
      </c>
      <c r="H1284" s="1">
        <v>-3.4512129999999998E-6</v>
      </c>
      <c r="I1284">
        <v>361.25349999999997</v>
      </c>
      <c r="J1284">
        <v>-208.5231</v>
      </c>
      <c r="K1284">
        <v>1.1059950000000001</v>
      </c>
      <c r="L1284">
        <v>367.04899999999998</v>
      </c>
      <c r="M1284">
        <v>0.97627160000000002</v>
      </c>
      <c r="N1284">
        <v>0</v>
      </c>
      <c r="O1284">
        <v>-0.21609</v>
      </c>
      <c r="P1284">
        <v>0.90341510000000003</v>
      </c>
      <c r="Q1284">
        <v>0.15201039999999999</v>
      </c>
      <c r="R1284">
        <v>-0.40091749999999998</v>
      </c>
      <c r="S1284">
        <v>2.4140320000000002</v>
      </c>
      <c r="T1284">
        <v>-0.4214096</v>
      </c>
      <c r="U1284">
        <v>-2.2191160000000001</v>
      </c>
      <c r="V1284">
        <v>0.19804540000000001</v>
      </c>
      <c r="W1284">
        <v>0.1634661</v>
      </c>
      <c r="X1284">
        <v>0.96646609999999999</v>
      </c>
      <c r="Y1284">
        <v>0.49941849999999999</v>
      </c>
      <c r="Z1284">
        <v>-5.7819300000000002E-3</v>
      </c>
      <c r="AA1284">
        <v>0.86634159999999905</v>
      </c>
      <c r="AB1284">
        <v>23</v>
      </c>
      <c r="AC1284">
        <v>6.2215999999999898</v>
      </c>
      <c r="AD1284">
        <v>-1.1059984512129999</v>
      </c>
      <c r="AE1284">
        <v>-5.79550000000006</v>
      </c>
      <c r="AF1284">
        <v>4.2422083907919701</v>
      </c>
      <c r="AG1284">
        <v>-1.1059984512129999</v>
      </c>
      <c r="AH1284">
        <v>7.2051404084258097</v>
      </c>
      <c r="AI1284">
        <v>97.535157742396805</v>
      </c>
      <c r="AJ1284">
        <v>59.511476047966497</v>
      </c>
      <c r="AK1284">
        <v>8.4340745141433207</v>
      </c>
      <c r="AL1284">
        <v>80.591860695586803</v>
      </c>
      <c r="AM1284">
        <v>78.419433841784297</v>
      </c>
      <c r="AN1284">
        <v>0.99999993437978796</v>
      </c>
    </row>
    <row r="1285" spans="1:40" x14ac:dyDescent="0.25">
      <c r="A1285" t="str">
        <f>"20190312154820826"</f>
        <v>20190312154820826</v>
      </c>
      <c r="B1285" t="str">
        <f>"1552376900817407"</f>
        <v>1552376900817407</v>
      </c>
      <c r="C1285" t="s">
        <v>40</v>
      </c>
      <c r="D1285">
        <v>5.2548009999999996</v>
      </c>
      <c r="E1285">
        <v>0.64203299999999996</v>
      </c>
      <c r="F1285" t="s">
        <v>45</v>
      </c>
      <c r="G1285">
        <v>-202.57730000000001</v>
      </c>
      <c r="H1285" s="1">
        <v>-3.531272E-6</v>
      </c>
      <c r="I1285">
        <v>361.51839999999999</v>
      </c>
      <c r="J1285">
        <v>-208.4008</v>
      </c>
      <c r="K1285">
        <v>1.105917</v>
      </c>
      <c r="L1285">
        <v>367.01760000000002</v>
      </c>
      <c r="M1285">
        <v>0.97541330000000004</v>
      </c>
      <c r="N1285">
        <v>0</v>
      </c>
      <c r="O1285">
        <v>-0.21993099999999999</v>
      </c>
      <c r="P1285">
        <v>0.90112639999999999</v>
      </c>
      <c r="Q1285">
        <v>0.15075279999999999</v>
      </c>
      <c r="R1285">
        <v>-0.40650350000000002</v>
      </c>
      <c r="S1285">
        <v>2.4037480000000002</v>
      </c>
      <c r="T1285">
        <v>-0.44712590000000002</v>
      </c>
      <c r="U1285">
        <v>-2.2358699999999998</v>
      </c>
      <c r="V1285">
        <v>0.20019580000000001</v>
      </c>
      <c r="W1285">
        <v>0.1621591</v>
      </c>
      <c r="X1285">
        <v>0.96624330000000003</v>
      </c>
      <c r="Y1285">
        <v>0.50084459999999997</v>
      </c>
      <c r="Z1285">
        <v>-5.6894119999999996E-3</v>
      </c>
      <c r="AA1285">
        <v>0.86551849999999997</v>
      </c>
      <c r="AB1285">
        <v>23</v>
      </c>
      <c r="AC1285">
        <v>5.8234999999999904</v>
      </c>
      <c r="AD1285">
        <v>-1.105920531272</v>
      </c>
      <c r="AE1285">
        <v>-5.4992000000000196</v>
      </c>
      <c r="AF1285">
        <v>4.0072361894573501</v>
      </c>
      <c r="AG1285">
        <v>-1.105920531272</v>
      </c>
      <c r="AH1285">
        <v>6.7615460074559603</v>
      </c>
      <c r="AI1285">
        <v>98.009276906508703</v>
      </c>
      <c r="AJ1285">
        <v>59.346860459155202</v>
      </c>
      <c r="AK1285">
        <v>7.9372228462182699</v>
      </c>
      <c r="AL1285">
        <v>80.667759839029699</v>
      </c>
      <c r="AM1285">
        <v>78.294517077804301</v>
      </c>
      <c r="AN1285">
        <v>1.00000002342266</v>
      </c>
    </row>
    <row r="1286" spans="1:40" x14ac:dyDescent="0.25">
      <c r="A1286" t="str">
        <f>"20190312154820838"</f>
        <v>20190312154820838</v>
      </c>
      <c r="B1286" t="str">
        <f>"1552376900827167"</f>
        <v>1552376900827167</v>
      </c>
      <c r="C1286" t="s">
        <v>40</v>
      </c>
      <c r="D1286">
        <v>5.2978440000000004</v>
      </c>
      <c r="E1286">
        <v>0.64215449999999996</v>
      </c>
      <c r="F1286" t="s">
        <v>45</v>
      </c>
      <c r="G1286">
        <v>-202.64619999999999</v>
      </c>
      <c r="H1286" s="1">
        <v>-3.5503749999999999E-6</v>
      </c>
      <c r="I1286">
        <v>361.58870000000002</v>
      </c>
      <c r="J1286">
        <v>-208.27279999999999</v>
      </c>
      <c r="K1286">
        <v>1.1058319999999999</v>
      </c>
      <c r="L1286">
        <v>366.98390000000001</v>
      </c>
      <c r="M1286">
        <v>0.97447360000000005</v>
      </c>
      <c r="N1286">
        <v>0</v>
      </c>
      <c r="O1286">
        <v>-0.2240567</v>
      </c>
      <c r="P1286">
        <v>0.899053199999999</v>
      </c>
      <c r="Q1286">
        <v>0.14881759999999999</v>
      </c>
      <c r="R1286">
        <v>-0.4117729</v>
      </c>
      <c r="S1286">
        <v>2.389221</v>
      </c>
      <c r="T1286">
        <v>-0.45916180000000001</v>
      </c>
      <c r="U1286">
        <v>-2.2539980000000002</v>
      </c>
      <c r="V1286">
        <v>0.20170150000000001</v>
      </c>
      <c r="W1286">
        <v>0.16018309999999999</v>
      </c>
      <c r="X1286">
        <v>0.96625970000000005</v>
      </c>
      <c r="Y1286">
        <v>0.50316649999999996</v>
      </c>
      <c r="Z1286">
        <v>-5.4239309999999999E-3</v>
      </c>
      <c r="AA1286">
        <v>0.86417250000000001</v>
      </c>
      <c r="AB1286">
        <v>23</v>
      </c>
      <c r="AC1286">
        <v>5.6265999999999901</v>
      </c>
      <c r="AD1286">
        <v>-1.1058355503749999</v>
      </c>
      <c r="AE1286">
        <v>-5.3951999999999796</v>
      </c>
      <c r="AF1286">
        <v>3.9183489582426199</v>
      </c>
      <c r="AG1286">
        <v>-1.1058355503749999</v>
      </c>
      <c r="AH1286">
        <v>6.5604498728572196</v>
      </c>
      <c r="AI1286">
        <v>98.234332747210402</v>
      </c>
      <c r="AJ1286">
        <v>59.151465259735701</v>
      </c>
      <c r="AK1286">
        <v>7.7211290208949697</v>
      </c>
      <c r="AL1286">
        <v>80.782475511595294</v>
      </c>
      <c r="AM1286">
        <v>78.209128964033596</v>
      </c>
      <c r="AN1286">
        <v>0.99999996423597404</v>
      </c>
    </row>
    <row r="1287" spans="1:40" x14ac:dyDescent="0.25">
      <c r="A1287" t="str">
        <f>"20190312154820850"</f>
        <v>20190312154820850</v>
      </c>
      <c r="B1287" t="str">
        <f>"1552376900836927"</f>
        <v>1552376900836927</v>
      </c>
      <c r="C1287" t="s">
        <v>40</v>
      </c>
      <c r="D1287">
        <v>5.2903900000000004</v>
      </c>
      <c r="E1287">
        <v>0.64217469999999999</v>
      </c>
      <c r="F1287" t="s">
        <v>45</v>
      </c>
      <c r="G1287">
        <v>-202.69589999999999</v>
      </c>
      <c r="H1287" s="1">
        <v>-3.561006E-6</v>
      </c>
      <c r="I1287">
        <v>361.65359999999998</v>
      </c>
      <c r="J1287">
        <v>-208.15260000000001</v>
      </c>
      <c r="K1287">
        <v>1.105753</v>
      </c>
      <c r="L1287">
        <v>366.95190000000002</v>
      </c>
      <c r="M1287">
        <v>0.97356609999999999</v>
      </c>
      <c r="N1287">
        <v>0</v>
      </c>
      <c r="O1287">
        <v>-0.22796659999999999</v>
      </c>
      <c r="P1287">
        <v>0.89693940000000005</v>
      </c>
      <c r="Q1287">
        <v>0.14729529999999999</v>
      </c>
      <c r="R1287">
        <v>-0.41689809999999999</v>
      </c>
      <c r="S1287">
        <v>2.3750460000000002</v>
      </c>
      <c r="T1287">
        <v>-0.47095100000000001</v>
      </c>
      <c r="U1287">
        <v>-2.2700809999999998</v>
      </c>
      <c r="V1287">
        <v>0.20329220000000001</v>
      </c>
      <c r="W1287">
        <v>0.15862019999999999</v>
      </c>
      <c r="X1287">
        <v>0.96618419999999905</v>
      </c>
      <c r="Y1287">
        <v>0.5052141</v>
      </c>
      <c r="Z1287">
        <v>-5.1444100000000003E-3</v>
      </c>
      <c r="AA1287">
        <v>0.86297869999999999</v>
      </c>
      <c r="AB1287">
        <v>23</v>
      </c>
      <c r="AC1287">
        <v>5.4567000000000103</v>
      </c>
      <c r="AD1287">
        <v>-1.1057565610060001</v>
      </c>
      <c r="AE1287">
        <v>-5.2983000000000402</v>
      </c>
      <c r="AF1287">
        <v>3.8336615898455899</v>
      </c>
      <c r="AG1287">
        <v>-1.1057565610060001</v>
      </c>
      <c r="AH1287">
        <v>6.3859692751004999</v>
      </c>
      <c r="AI1287">
        <v>98.444286986051694</v>
      </c>
      <c r="AJ1287">
        <v>59.022523187188099</v>
      </c>
      <c r="AK1287">
        <v>7.52995765859231</v>
      </c>
      <c r="AL1287">
        <v>80.873183205413198</v>
      </c>
      <c r="AM1287">
        <v>78.117872315692694</v>
      </c>
      <c r="AN1287">
        <v>0.99999999737925904</v>
      </c>
    </row>
    <row r="1288" spans="1:40" x14ac:dyDescent="0.25">
      <c r="A1288" t="str">
        <f>"20190312154820863"</f>
        <v>20190312154820863</v>
      </c>
      <c r="B1288" t="str">
        <f>"1552376900846687"</f>
        <v>1552376900846687</v>
      </c>
      <c r="C1288" t="s">
        <v>40</v>
      </c>
      <c r="D1288">
        <v>5.3339439999999998</v>
      </c>
      <c r="E1288">
        <v>0.64201379999999997</v>
      </c>
      <c r="F1288" t="s">
        <v>45</v>
      </c>
      <c r="G1288">
        <v>-202.73830000000001</v>
      </c>
      <c r="H1288" s="1">
        <v>-3.568653E-6</v>
      </c>
      <c r="I1288">
        <v>361.71530000000001</v>
      </c>
      <c r="J1288">
        <v>-208.02590000000001</v>
      </c>
      <c r="K1288">
        <v>1.105674</v>
      </c>
      <c r="L1288">
        <v>366.91750000000002</v>
      </c>
      <c r="M1288">
        <v>0.97257819999999995</v>
      </c>
      <c r="N1288">
        <v>0</v>
      </c>
      <c r="O1288">
        <v>-0.23214419999999999</v>
      </c>
      <c r="P1288">
        <v>0.89460899999999999</v>
      </c>
      <c r="Q1288">
        <v>0.14635600000000001</v>
      </c>
      <c r="R1288">
        <v>-0.42220259999999998</v>
      </c>
      <c r="S1288">
        <v>2.3620760000000001</v>
      </c>
      <c r="T1288">
        <v>-0.48239989999999999</v>
      </c>
      <c r="U1288">
        <v>-2.2845460000000002</v>
      </c>
      <c r="V1288">
        <v>0.20484869999999999</v>
      </c>
      <c r="W1288">
        <v>0.1576381</v>
      </c>
      <c r="X1288">
        <v>0.96601619999999999</v>
      </c>
      <c r="Y1288">
        <v>0.50650470000000003</v>
      </c>
      <c r="Z1288">
        <v>-4.7317629999999999E-3</v>
      </c>
      <c r="AA1288">
        <v>0.8622242</v>
      </c>
      <c r="AB1288">
        <v>23</v>
      </c>
      <c r="AC1288">
        <v>5.2875999999999896</v>
      </c>
      <c r="AD1288">
        <v>-1.105677568653</v>
      </c>
      <c r="AE1288">
        <v>-5.2022000000000004</v>
      </c>
      <c r="AF1288">
        <v>3.7491431990628601</v>
      </c>
      <c r="AG1288">
        <v>-1.105677568653</v>
      </c>
      <c r="AH1288">
        <v>6.21285915103907</v>
      </c>
      <c r="AI1288">
        <v>98.663647148288007</v>
      </c>
      <c r="AJ1288">
        <v>58.891163750176503</v>
      </c>
      <c r="AK1288">
        <v>7.3401782296856801</v>
      </c>
      <c r="AL1288">
        <v>80.930170675158806</v>
      </c>
      <c r="AM1288">
        <v>78.0274902856723</v>
      </c>
      <c r="AN1288">
        <v>1.0000000295628599</v>
      </c>
    </row>
    <row r="1289" spans="1:40" x14ac:dyDescent="0.25">
      <c r="A1289" t="str">
        <f>"20190312154820876"</f>
        <v>20190312154820876</v>
      </c>
      <c r="B1289" t="str">
        <f>"1552376900867184"</f>
        <v>1552376900867184</v>
      </c>
      <c r="C1289" t="s">
        <v>40</v>
      </c>
      <c r="D1289">
        <v>5.3257199999999996</v>
      </c>
      <c r="E1289">
        <v>0.6416193</v>
      </c>
      <c r="F1289" t="s">
        <v>45</v>
      </c>
      <c r="G1289">
        <v>-202.73910000000001</v>
      </c>
      <c r="H1289" s="1">
        <v>-3.5627319999999998E-6</v>
      </c>
      <c r="I1289">
        <v>361.74380000000002</v>
      </c>
      <c r="J1289">
        <v>-207.89599999999999</v>
      </c>
      <c r="K1289">
        <v>1.1055999999999999</v>
      </c>
      <c r="L1289">
        <v>366.88130000000001</v>
      </c>
      <c r="M1289">
        <v>0.97152479999999997</v>
      </c>
      <c r="N1289">
        <v>0</v>
      </c>
      <c r="O1289">
        <v>-0.23651349999999999</v>
      </c>
      <c r="P1289">
        <v>0.89205210000000001</v>
      </c>
      <c r="Q1289">
        <v>0.14602039999999999</v>
      </c>
      <c r="R1289">
        <v>-0.42769309999999999</v>
      </c>
      <c r="S1289">
        <v>2.3489689999999999</v>
      </c>
      <c r="T1289">
        <v>-0.49125829999999998</v>
      </c>
      <c r="U1289">
        <v>-2.2987060000000001</v>
      </c>
      <c r="V1289">
        <v>0.20645530000000001</v>
      </c>
      <c r="W1289">
        <v>0.15725899999999901</v>
      </c>
      <c r="X1289">
        <v>0.96573589999999998</v>
      </c>
      <c r="Y1289">
        <v>0.50762019999999997</v>
      </c>
      <c r="Z1289">
        <v>-4.2249490000000004E-3</v>
      </c>
      <c r="AA1289">
        <v>0.86157070000000002</v>
      </c>
      <c r="AB1289">
        <v>23</v>
      </c>
      <c r="AC1289">
        <v>5.1568999999999701</v>
      </c>
      <c r="AD1289">
        <v>-1.105603562732</v>
      </c>
      <c r="AE1289">
        <v>-5.1374999999999797</v>
      </c>
      <c r="AF1289">
        <v>3.68685967727719</v>
      </c>
      <c r="AG1289">
        <v>-1.105603562732</v>
      </c>
      <c r="AH1289">
        <v>6.0853871880357602</v>
      </c>
      <c r="AI1289">
        <v>98.832440621421895</v>
      </c>
      <c r="AJ1289">
        <v>58.790231495965699</v>
      </c>
      <c r="AK1289">
        <v>7.2005021176420696</v>
      </c>
      <c r="AL1289">
        <v>80.952165633637406</v>
      </c>
      <c r="AM1289">
        <v>77.932933153407305</v>
      </c>
      <c r="AN1289">
        <v>1.00000000626394</v>
      </c>
    </row>
    <row r="1290" spans="1:40" x14ac:dyDescent="0.25">
      <c r="A1290" t="str">
        <f>"20190312154820892"</f>
        <v>20190312154820892</v>
      </c>
      <c r="B1290" t="str">
        <f>"1552376900876944"</f>
        <v>1552376900876944</v>
      </c>
      <c r="C1290" t="s">
        <v>40</v>
      </c>
      <c r="D1290">
        <v>5.3074110000000001</v>
      </c>
      <c r="E1290">
        <v>0.64141159999999997</v>
      </c>
      <c r="F1290" t="s">
        <v>45</v>
      </c>
      <c r="G1290">
        <v>-202.73500000000001</v>
      </c>
      <c r="H1290" s="1">
        <v>-3.553548E-6</v>
      </c>
      <c r="I1290">
        <v>361.77600000000001</v>
      </c>
      <c r="J1290">
        <v>-207.73320000000001</v>
      </c>
      <c r="K1290">
        <v>1.1055109999999999</v>
      </c>
      <c r="L1290">
        <v>366.83519999999999</v>
      </c>
      <c r="M1290">
        <v>0.97015850000000003</v>
      </c>
      <c r="N1290">
        <v>0</v>
      </c>
      <c r="O1290">
        <v>-0.24205650000000001</v>
      </c>
      <c r="P1290">
        <v>0.88903650000000001</v>
      </c>
      <c r="Q1290">
        <v>0.14482059999999999</v>
      </c>
      <c r="R1290">
        <v>-0.43432910000000002</v>
      </c>
      <c r="S1290">
        <v>2.3366850000000001</v>
      </c>
      <c r="T1290">
        <v>-0.50057580000000002</v>
      </c>
      <c r="U1290">
        <v>-2.3115230000000002</v>
      </c>
      <c r="V1290">
        <v>0.20810999999999999</v>
      </c>
      <c r="W1290">
        <v>0.15601139999999999</v>
      </c>
      <c r="X1290">
        <v>0.96558310000000003</v>
      </c>
      <c r="Y1290">
        <v>0.50731090000000001</v>
      </c>
      <c r="Z1290">
        <v>-3.379155E-3</v>
      </c>
      <c r="AA1290">
        <v>0.86175639999999998</v>
      </c>
      <c r="AB1290">
        <v>23</v>
      </c>
      <c r="AC1290">
        <v>4.99819999999999</v>
      </c>
      <c r="AD1290">
        <v>-1.105514553548</v>
      </c>
      <c r="AE1290">
        <v>-5.0591999999999704</v>
      </c>
      <c r="AF1290">
        <v>3.6114826741701198</v>
      </c>
      <c r="AG1290">
        <v>-1.105514553548</v>
      </c>
      <c r="AH1290">
        <v>5.9309529368875404</v>
      </c>
      <c r="AI1290">
        <v>99.045829924806398</v>
      </c>
      <c r="AJ1290">
        <v>58.661880939421799</v>
      </c>
      <c r="AK1290">
        <v>7.0314416923922796</v>
      </c>
      <c r="AL1290">
        <v>81.024541397701597</v>
      </c>
      <c r="AM1290">
        <v>77.837218440610997</v>
      </c>
      <c r="AN1290">
        <v>1.0000000260177799</v>
      </c>
    </row>
    <row r="1291" spans="1:40" x14ac:dyDescent="0.25">
      <c r="A1291" t="str">
        <f>"20190312154820906"</f>
        <v>20190312154820906</v>
      </c>
      <c r="B1291" t="str">
        <f>"1552376900897439"</f>
        <v>1552376900897439</v>
      </c>
      <c r="C1291" t="s">
        <v>40</v>
      </c>
      <c r="D1291">
        <v>5.3155099999999997</v>
      </c>
      <c r="E1291">
        <v>0.64070490000000002</v>
      </c>
      <c r="F1291" t="s">
        <v>45</v>
      </c>
      <c r="G1291">
        <v>-202.71379999999999</v>
      </c>
      <c r="H1291" s="1">
        <v>-3.5372289999999999E-6</v>
      </c>
      <c r="I1291">
        <v>361.80130000000003</v>
      </c>
      <c r="J1291">
        <v>-207.59719999999999</v>
      </c>
      <c r="K1291">
        <v>1.1054170000000001</v>
      </c>
      <c r="L1291">
        <v>366.79599999999999</v>
      </c>
      <c r="M1291">
        <v>0.96897480000000002</v>
      </c>
      <c r="N1291">
        <v>0</v>
      </c>
      <c r="O1291">
        <v>-0.24675069999999999</v>
      </c>
      <c r="P1291">
        <v>0.88622160000000005</v>
      </c>
      <c r="Q1291">
        <v>0.1400467</v>
      </c>
      <c r="R1291">
        <v>-0.44158639999999999</v>
      </c>
      <c r="S1291">
        <v>2.320694</v>
      </c>
      <c r="T1291">
        <v>-0.51112279999999999</v>
      </c>
      <c r="U1291">
        <v>-2.3273929999999998</v>
      </c>
      <c r="V1291">
        <v>0.21111440000000001</v>
      </c>
      <c r="W1291">
        <v>0.15118139999999999</v>
      </c>
      <c r="X1291">
        <v>0.96569919999999998</v>
      </c>
      <c r="Y1291">
        <v>0.50895310000000005</v>
      </c>
      <c r="Z1291">
        <v>-2.827212E-3</v>
      </c>
      <c r="AA1291">
        <v>0.86078960000000004</v>
      </c>
      <c r="AB1291">
        <v>23</v>
      </c>
      <c r="AC1291">
        <v>4.8833999999999902</v>
      </c>
      <c r="AD1291">
        <v>-1.105420537229</v>
      </c>
      <c r="AE1291">
        <v>-4.9946999999999599</v>
      </c>
      <c r="AF1291">
        <v>3.5463134429173402</v>
      </c>
      <c r="AG1291">
        <v>-1.105420537229</v>
      </c>
      <c r="AH1291">
        <v>5.8192101540108201</v>
      </c>
      <c r="AI1291">
        <v>99.213820693844198</v>
      </c>
      <c r="AJ1291">
        <v>58.641247252050299</v>
      </c>
      <c r="AK1291">
        <v>6.9037309055384402</v>
      </c>
      <c r="AL1291">
        <v>81.304603605210204</v>
      </c>
      <c r="AM1291">
        <v>77.668403953863404</v>
      </c>
      <c r="AN1291">
        <v>1.0000000252369701</v>
      </c>
    </row>
    <row r="1292" spans="1:40" x14ac:dyDescent="0.25">
      <c r="A1292" t="str">
        <f>"20190312154820919"</f>
        <v>20190312154820919</v>
      </c>
      <c r="B1292" t="str">
        <f>"1552376900907199"</f>
        <v>1552376900907199</v>
      </c>
      <c r="C1292" t="s">
        <v>40</v>
      </c>
      <c r="D1292">
        <v>5.3401269999999998</v>
      </c>
      <c r="E1292">
        <v>0.64029650000000005</v>
      </c>
      <c r="F1292" t="s">
        <v>45</v>
      </c>
      <c r="G1292">
        <v>-202.8295</v>
      </c>
      <c r="H1292" s="1">
        <v>-3.5616739999999998E-6</v>
      </c>
      <c r="I1292">
        <v>361.9538</v>
      </c>
      <c r="J1292">
        <v>-207.45779999999999</v>
      </c>
      <c r="K1292">
        <v>1.105342</v>
      </c>
      <c r="L1292">
        <v>366.75459999999998</v>
      </c>
      <c r="M1292">
        <v>0.96771260000000003</v>
      </c>
      <c r="N1292">
        <v>0</v>
      </c>
      <c r="O1292">
        <v>-0.25165470000000001</v>
      </c>
      <c r="P1292">
        <v>0.88383349999999905</v>
      </c>
      <c r="Q1292">
        <v>0.1363791</v>
      </c>
      <c r="R1292">
        <v>-0.44748070000000001</v>
      </c>
      <c r="S1292">
        <v>2.3037109999999998</v>
      </c>
      <c r="T1292">
        <v>-0.53413319999999997</v>
      </c>
      <c r="U1292">
        <v>-2.3397220000000001</v>
      </c>
      <c r="V1292">
        <v>0.2124916</v>
      </c>
      <c r="W1292">
        <v>0.147483</v>
      </c>
      <c r="X1292">
        <v>0.96596899999999997</v>
      </c>
      <c r="Y1292">
        <v>0.50979569999999996</v>
      </c>
      <c r="Z1292">
        <v>-2.1892600000000002E-3</v>
      </c>
      <c r="AA1292">
        <v>0.86029270000000002</v>
      </c>
      <c r="AB1292">
        <v>23</v>
      </c>
      <c r="AC1292">
        <v>4.6282999999999896</v>
      </c>
      <c r="AD1292">
        <v>-1.105345561674</v>
      </c>
      <c r="AE1292">
        <v>-4.8007999999999802</v>
      </c>
      <c r="AF1292">
        <v>3.38831863544593</v>
      </c>
      <c r="AG1292">
        <v>-1.105345561674</v>
      </c>
      <c r="AH1292">
        <v>5.5354946212203204</v>
      </c>
      <c r="AI1292">
        <v>99.665336680931404</v>
      </c>
      <c r="AJ1292">
        <v>58.528880489802702</v>
      </c>
      <c r="AK1292">
        <v>6.5836306615409201</v>
      </c>
      <c r="AL1292">
        <v>81.518909324600699</v>
      </c>
      <c r="AM1292">
        <v>77.593802388942194</v>
      </c>
      <c r="AN1292">
        <v>1.0000000121602799</v>
      </c>
    </row>
    <row r="1293" spans="1:40" x14ac:dyDescent="0.25">
      <c r="A1293" t="str">
        <f>"20190312154820933"</f>
        <v>20190312154820933</v>
      </c>
      <c r="B1293" t="str">
        <f>"1552376900927225"</f>
        <v>1552376900927225</v>
      </c>
      <c r="C1293" t="s">
        <v>40</v>
      </c>
      <c r="D1293">
        <v>5.2440569999999997</v>
      </c>
      <c r="E1293">
        <v>0.64012899999999995</v>
      </c>
      <c r="F1293" t="s">
        <v>45</v>
      </c>
      <c r="G1293">
        <v>-202.8432</v>
      </c>
      <c r="H1293" s="1">
        <v>-3.5547500000000001E-6</v>
      </c>
      <c r="I1293">
        <v>362.01609999999999</v>
      </c>
      <c r="J1293">
        <v>-207.32939999999999</v>
      </c>
      <c r="K1293">
        <v>1.1052789999999999</v>
      </c>
      <c r="L1293">
        <v>366.71589999999998</v>
      </c>
      <c r="M1293">
        <v>0.96651540000000002</v>
      </c>
      <c r="N1293">
        <v>0</v>
      </c>
      <c r="O1293">
        <v>-0.2562141</v>
      </c>
      <c r="P1293">
        <v>0.8815615</v>
      </c>
      <c r="Q1293">
        <v>0.13273689999999999</v>
      </c>
      <c r="R1293">
        <v>-0.45302360000000003</v>
      </c>
      <c r="S1293">
        <v>2.28891</v>
      </c>
      <c r="T1293">
        <v>-0.54827079999999995</v>
      </c>
      <c r="U1293">
        <v>-2.350403</v>
      </c>
      <c r="V1293">
        <v>0.21383740000000001</v>
      </c>
      <c r="W1293">
        <v>0.14381279999999999</v>
      </c>
      <c r="X1293">
        <v>0.96622540000000001</v>
      </c>
      <c r="Y1293">
        <v>0.51034409999999997</v>
      </c>
      <c r="Z1293">
        <v>-1.4915799999999999E-3</v>
      </c>
      <c r="AA1293">
        <v>0.85996899999999998</v>
      </c>
      <c r="AB1293">
        <v>23</v>
      </c>
      <c r="AC1293">
        <v>4.4861999999999904</v>
      </c>
      <c r="AD1293">
        <v>-1.10528255475</v>
      </c>
      <c r="AE1293">
        <v>-4.6997999999999802</v>
      </c>
      <c r="AF1293">
        <v>3.2979053782282199</v>
      </c>
      <c r="AG1293">
        <v>-1.10528255475</v>
      </c>
      <c r="AH1293">
        <v>5.3848624340812998</v>
      </c>
      <c r="AI1293">
        <v>99.928401374580801</v>
      </c>
      <c r="AJ1293">
        <v>58.515028825251903</v>
      </c>
      <c r="AK1293">
        <v>6.41050488211041</v>
      </c>
      <c r="AL1293">
        <v>81.731463214977396</v>
      </c>
      <c r="AM1293">
        <v>77.520892519430106</v>
      </c>
      <c r="AN1293">
        <v>1.0000000393438699</v>
      </c>
    </row>
    <row r="1294" spans="1:40" x14ac:dyDescent="0.25">
      <c r="A1294" t="str">
        <f>"20190312154820947"</f>
        <v>20190312154820947</v>
      </c>
      <c r="B1294" t="str">
        <f>"1552376900936985"</f>
        <v>1552376900936985</v>
      </c>
      <c r="C1294" t="s">
        <v>40</v>
      </c>
      <c r="D1294">
        <v>5.1542940000000002</v>
      </c>
      <c r="E1294">
        <v>0.641293</v>
      </c>
      <c r="F1294" t="s">
        <v>45</v>
      </c>
      <c r="G1294">
        <v>-202.87970000000001</v>
      </c>
      <c r="H1294" s="1">
        <v>-3.5560590000000001E-6</v>
      </c>
      <c r="I1294">
        <v>362.09300000000002</v>
      </c>
      <c r="J1294">
        <v>-207.1807</v>
      </c>
      <c r="K1294">
        <v>1.1052029999999999</v>
      </c>
      <c r="L1294">
        <v>366.6703</v>
      </c>
      <c r="M1294">
        <v>0.965086</v>
      </c>
      <c r="N1294">
        <v>0</v>
      </c>
      <c r="O1294">
        <v>-0.2615461</v>
      </c>
      <c r="P1294">
        <v>0.87855110000000003</v>
      </c>
      <c r="Q1294">
        <v>0.125616899999999</v>
      </c>
      <c r="R1294">
        <v>-0.46083479999999999</v>
      </c>
      <c r="S1294">
        <v>2.2740170000000002</v>
      </c>
      <c r="T1294">
        <v>-0.5648552</v>
      </c>
      <c r="U1294">
        <v>-2.3625180000000001</v>
      </c>
      <c r="V1294">
        <v>0.21674280000000001</v>
      </c>
      <c r="W1294">
        <v>0.13664499999999999</v>
      </c>
      <c r="X1294">
        <v>0.96661819999999998</v>
      </c>
      <c r="Y1294">
        <v>0.51047469999999995</v>
      </c>
      <c r="Z1294">
        <v>-5.7080390000000003E-4</v>
      </c>
      <c r="AA1294">
        <v>0.85989259999999901</v>
      </c>
      <c r="AB1294">
        <v>23</v>
      </c>
      <c r="AC1294">
        <v>4.3009999999999797</v>
      </c>
      <c r="AD1294">
        <v>-1.1052065560590001</v>
      </c>
      <c r="AE1294">
        <v>-4.5772999999999797</v>
      </c>
      <c r="AF1294">
        <v>3.1940170983846001</v>
      </c>
      <c r="AG1294">
        <v>-1.1052065560590001</v>
      </c>
      <c r="AH1294">
        <v>5.1879205210561601</v>
      </c>
      <c r="AI1294">
        <v>100.282208413577</v>
      </c>
      <c r="AJ1294">
        <v>58.380878968589698</v>
      </c>
      <c r="AK1294">
        <v>6.1917482255922298</v>
      </c>
      <c r="AL1294">
        <v>82.146247127364205</v>
      </c>
      <c r="AM1294">
        <v>77.361728152704401</v>
      </c>
      <c r="AN1294">
        <v>1.0000000209740301</v>
      </c>
    </row>
    <row r="1295" spans="1:40" x14ac:dyDescent="0.25">
      <c r="A1295" t="str">
        <f>"20190312154820959"</f>
        <v>20190312154820959</v>
      </c>
      <c r="B1295" t="str">
        <f>"1552376900946746"</f>
        <v>1552376900946746</v>
      </c>
      <c r="C1295" t="s">
        <v>40</v>
      </c>
      <c r="D1295">
        <v>5.2947040000000003</v>
      </c>
      <c r="E1295">
        <v>0.63693739999999999</v>
      </c>
      <c r="F1295" t="s">
        <v>45</v>
      </c>
      <c r="G1295">
        <v>-203.7552</v>
      </c>
      <c r="H1295" s="1">
        <v>-3.781747E-6</v>
      </c>
      <c r="I1295">
        <v>363.06220000000002</v>
      </c>
      <c r="J1295">
        <v>-207.06030000000001</v>
      </c>
      <c r="K1295">
        <v>1.1051610000000001</v>
      </c>
      <c r="L1295">
        <v>366.63249999999999</v>
      </c>
      <c r="M1295">
        <v>0.96388929999999995</v>
      </c>
      <c r="N1295">
        <v>0</v>
      </c>
      <c r="O1295">
        <v>-0.2659222</v>
      </c>
      <c r="P1295">
        <v>0.87596679999999905</v>
      </c>
      <c r="Q1295">
        <v>0.1235713</v>
      </c>
      <c r="R1295">
        <v>-0.46627540000000001</v>
      </c>
      <c r="S1295">
        <v>2.2668460000000001</v>
      </c>
      <c r="T1295">
        <v>-0.73138619999999899</v>
      </c>
      <c r="U1295">
        <v>-2.3877259999999998</v>
      </c>
      <c r="V1295">
        <v>0.21826470000000001</v>
      </c>
      <c r="W1295">
        <v>0.13456860000000001</v>
      </c>
      <c r="X1295">
        <v>0.96656699999999995</v>
      </c>
      <c r="Y1295">
        <v>0.51028629999999997</v>
      </c>
      <c r="Z1295">
        <v>3.2564250000000002E-4</v>
      </c>
      <c r="AA1295">
        <v>0.86000449999999995</v>
      </c>
      <c r="AB1295">
        <v>23</v>
      </c>
      <c r="AC1295">
        <v>3.3050999999999999</v>
      </c>
      <c r="AD1295">
        <v>-1.1051647817470001</v>
      </c>
      <c r="AE1295">
        <v>-3.5702999999999698</v>
      </c>
      <c r="AF1295">
        <v>2.4369879021035299</v>
      </c>
      <c r="AG1295">
        <v>-1.1051647817470001</v>
      </c>
      <c r="AH1295">
        <v>3.9326695638647999</v>
      </c>
      <c r="AI1295">
        <v>103.434792915305</v>
      </c>
      <c r="AJ1295">
        <v>58.214425179633302</v>
      </c>
      <c r="AK1295">
        <v>4.7566993943659597</v>
      </c>
      <c r="AL1295">
        <v>82.266324951769903</v>
      </c>
      <c r="AM1295">
        <v>77.275213660553504</v>
      </c>
      <c r="AN1295">
        <v>0.99999997643052396</v>
      </c>
    </row>
    <row r="1296" spans="1:40" x14ac:dyDescent="0.25">
      <c r="A1296" t="str">
        <f>"20190312154820971"</f>
        <v>20190312154820971</v>
      </c>
      <c r="B1296" t="str">
        <f>"1552376900967242"</f>
        <v>1552376900967242</v>
      </c>
      <c r="C1296" t="s">
        <v>40</v>
      </c>
      <c r="D1296">
        <v>5.3458860000000001</v>
      </c>
      <c r="E1296">
        <v>0.63365719999999903</v>
      </c>
      <c r="F1296" t="s">
        <v>45</v>
      </c>
      <c r="G1296">
        <v>-203.6679</v>
      </c>
      <c r="H1296" s="1">
        <v>-3.7314060000000001E-6</v>
      </c>
      <c r="I1296">
        <v>363.09100000000001</v>
      </c>
      <c r="J1296">
        <v>-206.95359999999999</v>
      </c>
      <c r="K1296">
        <v>1.105132</v>
      </c>
      <c r="L1296">
        <v>366.5985</v>
      </c>
      <c r="M1296">
        <v>0.96280310000000002</v>
      </c>
      <c r="N1296">
        <v>0</v>
      </c>
      <c r="O1296">
        <v>-0.26982780000000001</v>
      </c>
      <c r="P1296">
        <v>0.87328619999999901</v>
      </c>
      <c r="Q1296">
        <v>0.1227722</v>
      </c>
      <c r="R1296">
        <v>-0.4714856</v>
      </c>
      <c r="S1296">
        <v>2.268478</v>
      </c>
      <c r="T1296">
        <v>-0.73901079999999997</v>
      </c>
      <c r="U1296">
        <v>-2.3681640000000002</v>
      </c>
      <c r="V1296">
        <v>0.2200772</v>
      </c>
      <c r="W1296">
        <v>0.1337332</v>
      </c>
      <c r="X1296">
        <v>0.96627189999999996</v>
      </c>
      <c r="Y1296">
        <v>0.50306189999999995</v>
      </c>
      <c r="Z1296">
        <v>2.231766E-3</v>
      </c>
      <c r="AA1296">
        <v>0.86424749999999995</v>
      </c>
      <c r="AB1296">
        <v>23</v>
      </c>
      <c r="AC1296">
        <v>3.2856999999999901</v>
      </c>
      <c r="AD1296">
        <v>-1.105135731406</v>
      </c>
      <c r="AE1296">
        <v>-3.5074999999999901</v>
      </c>
      <c r="AF1296">
        <v>2.3656292253748199</v>
      </c>
      <c r="AG1296">
        <v>-1.105135731406</v>
      </c>
      <c r="AH1296">
        <v>3.90390217231776</v>
      </c>
      <c r="AI1296">
        <v>103.60965351048699</v>
      </c>
      <c r="AJ1296">
        <v>58.7855913878821</v>
      </c>
      <c r="AK1296">
        <v>4.6965922526663002</v>
      </c>
      <c r="AL1296">
        <v>82.314626351790395</v>
      </c>
      <c r="AM1296">
        <v>77.169239366867998</v>
      </c>
      <c r="AN1296">
        <v>0.99999996373584399</v>
      </c>
    </row>
    <row r="1297" spans="1:40" x14ac:dyDescent="0.25">
      <c r="A1297" t="str">
        <f>"20190312154820981"</f>
        <v>20190312154820981</v>
      </c>
      <c r="B1297" t="str">
        <f>"1552376900967242"</f>
        <v>1552376900967242</v>
      </c>
      <c r="C1297" t="s">
        <v>40</v>
      </c>
      <c r="D1297">
        <v>5.3458860000000001</v>
      </c>
      <c r="E1297">
        <v>0.63365719999999903</v>
      </c>
      <c r="F1297" t="s">
        <v>45</v>
      </c>
      <c r="G1297">
        <v>-203.55680000000001</v>
      </c>
      <c r="H1297" s="1">
        <v>-3.6804520000000001E-6</v>
      </c>
      <c r="I1297">
        <v>363.06880000000001</v>
      </c>
      <c r="J1297">
        <v>-206.8408</v>
      </c>
      <c r="K1297">
        <v>1.105105</v>
      </c>
      <c r="L1297">
        <v>366.56209999999999</v>
      </c>
      <c r="M1297">
        <v>0.96162729999999996</v>
      </c>
      <c r="N1297">
        <v>0</v>
      </c>
      <c r="O1297">
        <v>-0.27398840000000002</v>
      </c>
      <c r="P1297">
        <v>0.87037989999999998</v>
      </c>
      <c r="Q1297">
        <v>0.122157</v>
      </c>
      <c r="R1297">
        <v>-0.4769872</v>
      </c>
      <c r="S1297">
        <v>2.2670750000000002</v>
      </c>
      <c r="T1297">
        <v>-0.73759079999999999</v>
      </c>
      <c r="U1297">
        <v>-2.3558349999999999</v>
      </c>
      <c r="V1297">
        <v>0.22197900000000001</v>
      </c>
      <c r="W1297">
        <v>0.13307920000000001</v>
      </c>
      <c r="X1297">
        <v>0.96592710000000004</v>
      </c>
      <c r="Y1297">
        <v>0.497562</v>
      </c>
      <c r="Z1297">
        <v>3.9623269999999999E-3</v>
      </c>
      <c r="AA1297">
        <v>0.86741939999999995</v>
      </c>
      <c r="AB1297">
        <v>23</v>
      </c>
      <c r="AC1297">
        <v>3.28399999999999</v>
      </c>
      <c r="AD1297">
        <v>-1.1051086804520001</v>
      </c>
      <c r="AE1297">
        <v>-3.4932999999999699</v>
      </c>
      <c r="AF1297">
        <v>2.3356400117451899</v>
      </c>
      <c r="AG1297">
        <v>-1.1051086804520001</v>
      </c>
      <c r="AH1297">
        <v>3.90791176133648</v>
      </c>
      <c r="AI1297">
        <v>103.643946055326</v>
      </c>
      <c r="AJ1297">
        <v>59.134522930325097</v>
      </c>
      <c r="AK1297">
        <v>4.6848963483163004</v>
      </c>
      <c r="AL1297">
        <v>82.3524356972937</v>
      </c>
      <c r="AM1297">
        <v>77.057614992288293</v>
      </c>
      <c r="AN1297">
        <v>0.99999995621402404</v>
      </c>
    </row>
    <row r="1298" spans="1:40" x14ac:dyDescent="0.25">
      <c r="A1298" t="str">
        <f>"20190312154820996"</f>
        <v>20190312154820996</v>
      </c>
      <c r="B1298" t="str">
        <f>"1552376900986762"</f>
        <v>1552376900986762</v>
      </c>
      <c r="C1298" t="s">
        <v>40</v>
      </c>
      <c r="D1298">
        <v>5.3001399999999999</v>
      </c>
      <c r="E1298">
        <v>0.63136059999999905</v>
      </c>
      <c r="F1298" t="s">
        <v>45</v>
      </c>
      <c r="G1298">
        <v>-203.482</v>
      </c>
      <c r="H1298" s="1">
        <v>-3.651066E-6</v>
      </c>
      <c r="I1298">
        <v>363.03140000000002</v>
      </c>
      <c r="J1298">
        <v>-206.69890000000001</v>
      </c>
      <c r="K1298">
        <v>1.105067</v>
      </c>
      <c r="L1298">
        <v>366.51519999999999</v>
      </c>
      <c r="M1298">
        <v>0.96010359999999995</v>
      </c>
      <c r="N1298">
        <v>0</v>
      </c>
      <c r="O1298">
        <v>-0.27928019999999998</v>
      </c>
      <c r="P1298">
        <v>0.86692150000000001</v>
      </c>
      <c r="Q1298">
        <v>0.121792899999999</v>
      </c>
      <c r="R1298">
        <v>-0.4833364</v>
      </c>
      <c r="S1298">
        <v>2.2529599999999999</v>
      </c>
      <c r="T1298">
        <v>-0.74126700000000001</v>
      </c>
      <c r="U1298">
        <v>-2.3682249999999998</v>
      </c>
      <c r="V1298">
        <v>0.22371630000000001</v>
      </c>
      <c r="W1298">
        <v>0.13267699999999999</v>
      </c>
      <c r="X1298">
        <v>0.96558160000000004</v>
      </c>
      <c r="Y1298">
        <v>0.49782739999999998</v>
      </c>
      <c r="Z1298">
        <v>5.2239629999999999E-3</v>
      </c>
      <c r="AA1298">
        <v>0.86726039999999904</v>
      </c>
      <c r="AB1298">
        <v>23</v>
      </c>
      <c r="AC1298">
        <v>3.2168999999999999</v>
      </c>
      <c r="AD1298">
        <v>-1.105070651066</v>
      </c>
      <c r="AE1298">
        <v>-3.4837999999999698</v>
      </c>
      <c r="AF1298">
        <v>2.3206088962375699</v>
      </c>
      <c r="AG1298">
        <v>-1.105070651066</v>
      </c>
      <c r="AH1298">
        <v>3.8526871189191998</v>
      </c>
      <c r="AI1298">
        <v>103.80424873689201</v>
      </c>
      <c r="AJ1298">
        <v>58.937966446948899</v>
      </c>
      <c r="AK1298">
        <v>4.6313718085930304</v>
      </c>
      <c r="AL1298">
        <v>82.375686556242798</v>
      </c>
      <c r="AM1298">
        <v>76.955265211151499</v>
      </c>
      <c r="AN1298">
        <v>0.99999999773662496</v>
      </c>
    </row>
    <row r="1299" spans="1:40" x14ac:dyDescent="0.25">
      <c r="A1299" t="str">
        <f>"20190312154821009"</f>
        <v>20190312154821009</v>
      </c>
      <c r="B1299" t="str">
        <f>"1552376900997498"</f>
        <v>1552376900997498</v>
      </c>
      <c r="C1299" t="s">
        <v>40</v>
      </c>
      <c r="D1299">
        <v>5.3602449999999999</v>
      </c>
      <c r="E1299">
        <v>0.63038749999999999</v>
      </c>
      <c r="F1299" t="s">
        <v>45</v>
      </c>
      <c r="G1299">
        <v>-203.31479999999999</v>
      </c>
      <c r="H1299" s="1">
        <v>-3.5864819999999998E-6</v>
      </c>
      <c r="I1299">
        <v>362.94319999999999</v>
      </c>
      <c r="J1299">
        <v>-206.56899999999999</v>
      </c>
      <c r="K1299">
        <v>1.105037</v>
      </c>
      <c r="L1299">
        <v>366.4717</v>
      </c>
      <c r="M1299">
        <v>0.95867060000000004</v>
      </c>
      <c r="N1299">
        <v>0</v>
      </c>
      <c r="O1299">
        <v>-0.28415940000000001</v>
      </c>
      <c r="P1299">
        <v>0.86360740000000003</v>
      </c>
      <c r="Q1299">
        <v>0.12125710000000001</v>
      </c>
      <c r="R1299">
        <v>-0.48936610000000003</v>
      </c>
      <c r="S1299">
        <v>2.2433010000000002</v>
      </c>
      <c r="T1299">
        <v>-0.73254739999999996</v>
      </c>
      <c r="U1299">
        <v>-2.3678590000000002</v>
      </c>
      <c r="V1299">
        <v>0.22552150000000001</v>
      </c>
      <c r="W1299">
        <v>0.1321013</v>
      </c>
      <c r="X1299">
        <v>0.96524049999999995</v>
      </c>
      <c r="Y1299">
        <v>0.49548560000000003</v>
      </c>
      <c r="Z1299">
        <v>6.6493680000000001E-3</v>
      </c>
      <c r="AA1299">
        <v>0.86859069999999905</v>
      </c>
      <c r="AB1299">
        <v>23</v>
      </c>
      <c r="AC1299">
        <v>3.25420000000002</v>
      </c>
      <c r="AD1299">
        <v>-1.1050405864820001</v>
      </c>
      <c r="AE1299">
        <v>-3.5285000000000002</v>
      </c>
      <c r="AF1299">
        <v>2.3344822603401001</v>
      </c>
      <c r="AG1299">
        <v>-1.1050405864820001</v>
      </c>
      <c r="AH1299">
        <v>3.9152755602467901</v>
      </c>
      <c r="AI1299">
        <v>103.62662855975</v>
      </c>
      <c r="AJ1299">
        <v>59.194498111799703</v>
      </c>
      <c r="AK1299">
        <v>4.6904482551543998</v>
      </c>
      <c r="AL1299">
        <v>82.408964381310895</v>
      </c>
      <c r="AM1299">
        <v>76.849162839825695</v>
      </c>
      <c r="AN1299">
        <v>0.99999996163209404</v>
      </c>
    </row>
    <row r="1300" spans="1:40" x14ac:dyDescent="0.25">
      <c r="A1300" t="str">
        <f>"20190312154821019"</f>
        <v>20190312154821019</v>
      </c>
      <c r="B1300" t="str">
        <f>"1552376901007258"</f>
        <v>1552376901007258</v>
      </c>
      <c r="C1300" t="s">
        <v>40</v>
      </c>
      <c r="D1300">
        <v>5.28308</v>
      </c>
      <c r="E1300">
        <v>0.62960389999999999</v>
      </c>
      <c r="F1300" t="s">
        <v>45</v>
      </c>
      <c r="G1300">
        <v>-203.1986</v>
      </c>
      <c r="H1300" s="1">
        <v>-3.5421380000000001E-6</v>
      </c>
      <c r="I1300">
        <v>362.87959999999998</v>
      </c>
      <c r="J1300">
        <v>-206.4615</v>
      </c>
      <c r="K1300">
        <v>1.1050070000000001</v>
      </c>
      <c r="L1300">
        <v>366.43509999999998</v>
      </c>
      <c r="M1300">
        <v>0.95745139999999995</v>
      </c>
      <c r="N1300">
        <v>0</v>
      </c>
      <c r="O1300">
        <v>-0.28824060000000001</v>
      </c>
      <c r="P1300">
        <v>0.86047999999999902</v>
      </c>
      <c r="Q1300">
        <v>0.12164850000000001</v>
      </c>
      <c r="R1300">
        <v>-0.49474810000000002</v>
      </c>
      <c r="S1300">
        <v>2.229797</v>
      </c>
      <c r="T1300">
        <v>-0.73107650000000002</v>
      </c>
      <c r="U1300">
        <v>-2.3764949999999998</v>
      </c>
      <c r="V1300">
        <v>0.2274709</v>
      </c>
      <c r="W1300">
        <v>0.1324497</v>
      </c>
      <c r="X1300">
        <v>0.96473529999999996</v>
      </c>
      <c r="Y1300">
        <v>0.49607230000000002</v>
      </c>
      <c r="Z1300">
        <v>7.5417869999999899E-3</v>
      </c>
      <c r="AA1300">
        <v>0.86824849999999998</v>
      </c>
      <c r="AB1300">
        <v>23</v>
      </c>
      <c r="AC1300">
        <v>3.2629000000000001</v>
      </c>
      <c r="AD1300">
        <v>-1.1050105421379901</v>
      </c>
      <c r="AE1300">
        <v>-3.5554999999999901</v>
      </c>
      <c r="AF1300">
        <v>2.3412145060083098</v>
      </c>
      <c r="AG1300">
        <v>-1.1050105421379901</v>
      </c>
      <c r="AH1300">
        <v>3.94261110017489</v>
      </c>
      <c r="AI1300">
        <v>103.549191514135</v>
      </c>
      <c r="AJ1300">
        <v>59.297170593808502</v>
      </c>
      <c r="AK1300">
        <v>4.71662124286041</v>
      </c>
      <c r="AL1300">
        <v>82.388826371681901</v>
      </c>
      <c r="AM1300">
        <v>76.7327886566991</v>
      </c>
      <c r="AN1300">
        <v>1.0000000662214901</v>
      </c>
    </row>
    <row r="1301" spans="1:40" x14ac:dyDescent="0.25">
      <c r="A1301" t="str">
        <f>"20190312154821031"</f>
        <v>20190312154821031</v>
      </c>
      <c r="B1301" t="str">
        <f>"1552376901027287"</f>
        <v>1552376901027287</v>
      </c>
      <c r="C1301" t="s">
        <v>40</v>
      </c>
      <c r="D1301">
        <v>5.2621599999999997</v>
      </c>
      <c r="E1301">
        <v>0.62963780000000003</v>
      </c>
      <c r="F1301" t="s">
        <v>45</v>
      </c>
      <c r="G1301">
        <v>-203.08600000000001</v>
      </c>
      <c r="H1301" s="1">
        <v>-3.5024449999999999E-6</v>
      </c>
      <c r="I1301">
        <v>362.80290000000002</v>
      </c>
      <c r="J1301">
        <v>-206.35910000000001</v>
      </c>
      <c r="K1301">
        <v>1.104983</v>
      </c>
      <c r="L1301">
        <v>366.39960000000002</v>
      </c>
      <c r="M1301">
        <v>0.9562621</v>
      </c>
      <c r="N1301">
        <v>0</v>
      </c>
      <c r="O1301">
        <v>-0.29216160000000002</v>
      </c>
      <c r="P1301">
        <v>0.85747530000000005</v>
      </c>
      <c r="Q1301">
        <v>0.1224682</v>
      </c>
      <c r="R1301">
        <v>-0.49973770000000001</v>
      </c>
      <c r="S1301">
        <v>2.217285</v>
      </c>
      <c r="T1301">
        <v>-0.72583909999999996</v>
      </c>
      <c r="U1301">
        <v>-2.3858030000000001</v>
      </c>
      <c r="V1301">
        <v>0.2291792</v>
      </c>
      <c r="W1301">
        <v>0.1332294</v>
      </c>
      <c r="X1301">
        <v>0.96422339999999995</v>
      </c>
      <c r="Y1301">
        <v>0.49678119999999998</v>
      </c>
      <c r="Z1301">
        <v>8.3337499999999991E-3</v>
      </c>
      <c r="AA1301">
        <v>0.86783580000000005</v>
      </c>
      <c r="AB1301">
        <v>23</v>
      </c>
      <c r="AC1301">
        <v>3.2731000000000199</v>
      </c>
      <c r="AD1301">
        <v>-1.1049865024450001</v>
      </c>
      <c r="AE1301">
        <v>-3.59669999999999</v>
      </c>
      <c r="AF1301">
        <v>2.3614484935950202</v>
      </c>
      <c r="AG1301">
        <v>-1.1049865024450001</v>
      </c>
      <c r="AH1301">
        <v>3.9759142106729</v>
      </c>
      <c r="AI1301">
        <v>103.438897900646</v>
      </c>
      <c r="AJ1301">
        <v>59.292293246904201</v>
      </c>
      <c r="AK1301">
        <v>4.75450606994234</v>
      </c>
      <c r="AL1301">
        <v>82.343752671155102</v>
      </c>
      <c r="AM1301">
        <v>76.629874141047395</v>
      </c>
      <c r="AN1301">
        <v>0.99999997192227896</v>
      </c>
    </row>
    <row r="1302" spans="1:40" x14ac:dyDescent="0.25">
      <c r="A1302" t="str">
        <f>"20190312154821041"</f>
        <v>20190312154821041</v>
      </c>
      <c r="B1302" t="str">
        <f>"1552376901037046"</f>
        <v>1552376901037046</v>
      </c>
      <c r="C1302" t="s">
        <v>40</v>
      </c>
      <c r="D1302">
        <v>5.2218650000000002</v>
      </c>
      <c r="E1302">
        <v>0.64929869999999901</v>
      </c>
      <c r="F1302" t="s">
        <v>45</v>
      </c>
      <c r="G1302">
        <v>-202.94159999999999</v>
      </c>
      <c r="H1302" s="1">
        <v>-3.4581060000000001E-6</v>
      </c>
      <c r="I1302">
        <v>362.67509999999999</v>
      </c>
      <c r="J1302">
        <v>-206.24100000000001</v>
      </c>
      <c r="K1302">
        <v>1.104957</v>
      </c>
      <c r="L1302">
        <v>366.35820000000001</v>
      </c>
      <c r="M1302">
        <v>0.95485960000000003</v>
      </c>
      <c r="N1302">
        <v>0</v>
      </c>
      <c r="O1302">
        <v>-0.29671340000000002</v>
      </c>
      <c r="P1302">
        <v>0.85397829999999997</v>
      </c>
      <c r="Q1302">
        <v>0.1237335</v>
      </c>
      <c r="R1302">
        <v>-0.50538260000000002</v>
      </c>
      <c r="S1302">
        <v>2.2018740000000001</v>
      </c>
      <c r="T1302">
        <v>-0.71191859999999996</v>
      </c>
      <c r="U1302">
        <v>-2.399597</v>
      </c>
      <c r="V1302">
        <v>0.23103299999999999</v>
      </c>
      <c r="W1302">
        <v>0.1344486</v>
      </c>
      <c r="X1302">
        <v>0.96361160000000001</v>
      </c>
      <c r="Y1302">
        <v>0.49839840000000002</v>
      </c>
      <c r="Z1302">
        <v>9.0364109999999994E-3</v>
      </c>
      <c r="AA1302">
        <v>0.86690100000000003</v>
      </c>
      <c r="AB1302">
        <v>23</v>
      </c>
      <c r="AC1302">
        <v>3.2993999999999901</v>
      </c>
      <c r="AD1302">
        <v>-1.104960458106</v>
      </c>
      <c r="AE1302">
        <v>-3.68310000000002</v>
      </c>
      <c r="AF1302">
        <v>2.4174163933238799</v>
      </c>
      <c r="AG1302">
        <v>-1.104960458106</v>
      </c>
      <c r="AH1302">
        <v>4.0418963276308597</v>
      </c>
      <c r="AI1302">
        <v>103.203706145738</v>
      </c>
      <c r="AJ1302">
        <v>59.116792565483799</v>
      </c>
      <c r="AK1302">
        <v>4.8375371374289999</v>
      </c>
      <c r="AL1302">
        <v>82.273263639687002</v>
      </c>
      <c r="AM1302">
        <v>76.517411031209306</v>
      </c>
      <c r="AN1302">
        <v>0.99999999439275999</v>
      </c>
    </row>
    <row r="1303" spans="1:40" x14ac:dyDescent="0.25">
      <c r="A1303" t="str">
        <f>"20190312154821053"</f>
        <v>20190312154821053</v>
      </c>
      <c r="B1303" t="str">
        <f>"1552376901046806"</f>
        <v>1552376901046806</v>
      </c>
      <c r="C1303" t="s">
        <v>40</v>
      </c>
      <c r="D1303">
        <v>5.2245359999999996</v>
      </c>
      <c r="E1303">
        <v>0.65213180000000004</v>
      </c>
      <c r="F1303" t="s">
        <v>45</v>
      </c>
      <c r="G1303">
        <v>-202.55959999999999</v>
      </c>
      <c r="H1303" s="1">
        <v>-3.4423059999999998E-6</v>
      </c>
      <c r="I1303">
        <v>361.87939999999998</v>
      </c>
      <c r="J1303">
        <v>-206.13390000000001</v>
      </c>
      <c r="K1303">
        <v>1.104932</v>
      </c>
      <c r="L1303">
        <v>366.31979999999999</v>
      </c>
      <c r="M1303">
        <v>0.95354810000000001</v>
      </c>
      <c r="N1303">
        <v>0</v>
      </c>
      <c r="O1303">
        <v>-0.30090050000000002</v>
      </c>
      <c r="P1303">
        <v>0.85058829999999996</v>
      </c>
      <c r="Q1303">
        <v>0.12567629999999999</v>
      </c>
      <c r="R1303">
        <v>-0.51059309999999902</v>
      </c>
      <c r="S1303">
        <v>2.0954440000000001</v>
      </c>
      <c r="T1303">
        <v>-0.62893140000000003</v>
      </c>
      <c r="U1303">
        <v>-2.549255</v>
      </c>
      <c r="V1303">
        <v>0.2328228</v>
      </c>
      <c r="W1303">
        <v>0.1363441</v>
      </c>
      <c r="X1303">
        <v>0.96291420000000005</v>
      </c>
      <c r="Y1303">
        <v>0.54148680000000005</v>
      </c>
      <c r="Z1303">
        <v>3.854629E-3</v>
      </c>
      <c r="AA1303">
        <v>0.84070040000000001</v>
      </c>
      <c r="AB1303">
        <v>23</v>
      </c>
      <c r="AC1303">
        <v>3.57430000000002</v>
      </c>
      <c r="AD1303">
        <v>-1.104935442306</v>
      </c>
      <c r="AE1303">
        <v>-4.4404000000000101</v>
      </c>
      <c r="AF1303">
        <v>3.04455402394189</v>
      </c>
      <c r="AG1303">
        <v>-1.104935442306</v>
      </c>
      <c r="AH1303">
        <v>4.5730443042100797</v>
      </c>
      <c r="AI1303">
        <v>101.371809095854</v>
      </c>
      <c r="AJ1303">
        <v>56.345876504024901</v>
      </c>
      <c r="AK1303">
        <v>5.6038313451274497</v>
      </c>
      <c r="AL1303">
        <v>82.163649850861901</v>
      </c>
      <c r="AM1303">
        <v>76.407345045641904</v>
      </c>
      <c r="AN1303">
        <v>0.99999996318314399</v>
      </c>
    </row>
    <row r="1304" spans="1:40" x14ac:dyDescent="0.25">
      <c r="A1304" t="str">
        <f>"20190312154821065"</f>
        <v>20190312154821065</v>
      </c>
      <c r="B1304" t="str">
        <f>"1552376901057542"</f>
        <v>1552376901057542</v>
      </c>
      <c r="C1304" t="s">
        <v>40</v>
      </c>
      <c r="D1304">
        <v>5.1737419999999998</v>
      </c>
      <c r="E1304">
        <v>0.65338560000000001</v>
      </c>
      <c r="F1304" t="s">
        <v>45</v>
      </c>
      <c r="G1304">
        <v>-202.36019999999999</v>
      </c>
      <c r="H1304" s="1">
        <v>-3.4036139999999999E-6</v>
      </c>
      <c r="I1304">
        <v>361.60129999999998</v>
      </c>
      <c r="J1304">
        <v>-206.0231</v>
      </c>
      <c r="K1304">
        <v>1.104905</v>
      </c>
      <c r="L1304">
        <v>366.27980000000002</v>
      </c>
      <c r="M1304">
        <v>0.95216699999999999</v>
      </c>
      <c r="N1304">
        <v>0</v>
      </c>
      <c r="O1304">
        <v>-0.30524190000000001</v>
      </c>
      <c r="P1304">
        <v>0.84702129999999998</v>
      </c>
      <c r="Q1304">
        <v>0.12757550000000001</v>
      </c>
      <c r="R1304">
        <v>-0.51602300000000001</v>
      </c>
      <c r="S1304">
        <v>2.0658110000000001</v>
      </c>
      <c r="T1304">
        <v>-0.6048597</v>
      </c>
      <c r="U1304">
        <v>-2.5829469999999999</v>
      </c>
      <c r="V1304">
        <v>0.23472419999999999</v>
      </c>
      <c r="W1304">
        <v>0.138191799999999</v>
      </c>
      <c r="X1304">
        <v>0.96218899999999996</v>
      </c>
      <c r="Y1304">
        <v>0.54914719999999995</v>
      </c>
      <c r="Z1304">
        <v>3.7036840000000001E-3</v>
      </c>
      <c r="AA1304">
        <v>0.83571740000000005</v>
      </c>
      <c r="AB1304">
        <v>23</v>
      </c>
      <c r="AC1304">
        <v>3.6629</v>
      </c>
      <c r="AD1304">
        <v>-1.104908403614</v>
      </c>
      <c r="AE1304">
        <v>-4.6785000000000396</v>
      </c>
      <c r="AF1304">
        <v>3.2254521709820398</v>
      </c>
      <c r="AG1304">
        <v>-1.104908403614</v>
      </c>
      <c r="AH1304">
        <v>4.7519532810299197</v>
      </c>
      <c r="AI1304">
        <v>100.889784895598</v>
      </c>
      <c r="AJ1304">
        <v>55.832773133845301</v>
      </c>
      <c r="AK1304">
        <v>5.8485403540337</v>
      </c>
      <c r="AL1304">
        <v>82.056773390307399</v>
      </c>
      <c r="AM1304">
        <v>76.290568520144205</v>
      </c>
      <c r="AN1304">
        <v>1.00000004768693</v>
      </c>
    </row>
    <row r="1305" spans="1:40" x14ac:dyDescent="0.25">
      <c r="A1305" t="str">
        <f>"20190312154821078"</f>
        <v>20190312154821078</v>
      </c>
      <c r="B1305" t="str">
        <f>"1552376901067302"</f>
        <v>1552376901067302</v>
      </c>
      <c r="C1305" t="s">
        <v>40</v>
      </c>
      <c r="D1305">
        <v>5.1903259999999998</v>
      </c>
      <c r="E1305">
        <v>0.65438809999999903</v>
      </c>
      <c r="F1305" t="s">
        <v>45</v>
      </c>
      <c r="G1305">
        <v>-202.1875</v>
      </c>
      <c r="H1305" s="1">
        <v>-3.363705E-6</v>
      </c>
      <c r="I1305">
        <v>361.38959999999997</v>
      </c>
      <c r="J1305">
        <v>-205.8963</v>
      </c>
      <c r="K1305">
        <v>1.1048610000000001</v>
      </c>
      <c r="L1305">
        <v>366.23289999999997</v>
      </c>
      <c r="M1305">
        <v>0.95052669999999995</v>
      </c>
      <c r="N1305">
        <v>0</v>
      </c>
      <c r="O1305">
        <v>-0.31031170000000002</v>
      </c>
      <c r="P1305">
        <v>0.84333469999999999</v>
      </c>
      <c r="Q1305">
        <v>0.1306351</v>
      </c>
      <c r="R1305">
        <v>-0.52126899999999998</v>
      </c>
      <c r="S1305">
        <v>2.0433349999999999</v>
      </c>
      <c r="T1305">
        <v>-0.58862300000000001</v>
      </c>
      <c r="U1305">
        <v>-2.605194</v>
      </c>
      <c r="V1305">
        <v>0.23577629999999999</v>
      </c>
      <c r="W1305">
        <v>0.1412061</v>
      </c>
      <c r="X1305">
        <v>0.96149379999999995</v>
      </c>
      <c r="Y1305">
        <v>0.55284869999999997</v>
      </c>
      <c r="Z1305">
        <v>4.1777419999999999E-3</v>
      </c>
      <c r="AA1305">
        <v>0.83327119999999999</v>
      </c>
      <c r="AB1305">
        <v>23</v>
      </c>
      <c r="AC1305">
        <v>3.7087999999999899</v>
      </c>
      <c r="AD1305">
        <v>-1.104864363705</v>
      </c>
      <c r="AE1305">
        <v>-4.8432999999999904</v>
      </c>
      <c r="AF1305">
        <v>3.3434777315603501</v>
      </c>
      <c r="AG1305">
        <v>-1.104864363705</v>
      </c>
      <c r="AH1305">
        <v>4.8690394433362103</v>
      </c>
      <c r="AI1305">
        <v>100.595300102178</v>
      </c>
      <c r="AJ1305">
        <v>55.523346695427001</v>
      </c>
      <c r="AK1305">
        <v>6.00891951222422</v>
      </c>
      <c r="AL1305">
        <v>81.8823557515164</v>
      </c>
      <c r="AM1305">
        <v>76.221876616909995</v>
      </c>
      <c r="AN1305">
        <v>0.99999997687866904</v>
      </c>
    </row>
    <row r="1306" spans="1:40" x14ac:dyDescent="0.25">
      <c r="A1306" t="str">
        <f>"20190312154821093"</f>
        <v>20190312154821093</v>
      </c>
      <c r="B1306" t="str">
        <f>"1552376901086822"</f>
        <v>1552376901086822</v>
      </c>
      <c r="C1306" t="s">
        <v>40</v>
      </c>
      <c r="D1306">
        <v>5.2100499999999998</v>
      </c>
      <c r="E1306">
        <v>0.65490859999999995</v>
      </c>
      <c r="F1306" t="s">
        <v>45</v>
      </c>
      <c r="G1306">
        <v>-202.03290000000001</v>
      </c>
      <c r="H1306" s="1">
        <v>-3.3241769999999999E-6</v>
      </c>
      <c r="I1306">
        <v>361.21690000000001</v>
      </c>
      <c r="J1306">
        <v>-205.7492</v>
      </c>
      <c r="K1306">
        <v>1.104808</v>
      </c>
      <c r="L1306">
        <v>366.17759999999998</v>
      </c>
      <c r="M1306">
        <v>0.9485654</v>
      </c>
      <c r="N1306">
        <v>0</v>
      </c>
      <c r="O1306">
        <v>-0.31625550000000002</v>
      </c>
      <c r="P1306">
        <v>0.83858929999999998</v>
      </c>
      <c r="Q1306">
        <v>0.13482239999999901</v>
      </c>
      <c r="R1306">
        <v>-0.52781750000000005</v>
      </c>
      <c r="S1306">
        <v>2.023285</v>
      </c>
      <c r="T1306">
        <v>-0.57862009999999997</v>
      </c>
      <c r="U1306">
        <v>-2.626862</v>
      </c>
      <c r="V1306">
        <v>0.23753730000000001</v>
      </c>
      <c r="W1306">
        <v>0.14532829999999999</v>
      </c>
      <c r="X1306">
        <v>0.96044560000000001</v>
      </c>
      <c r="Y1306">
        <v>0.5551334</v>
      </c>
      <c r="Z1306">
        <v>4.9880999999999997E-3</v>
      </c>
      <c r="AA1306">
        <v>0.83174629999999905</v>
      </c>
      <c r="AB1306">
        <v>23</v>
      </c>
      <c r="AC1306">
        <v>3.71629999999998</v>
      </c>
      <c r="AD1306">
        <v>-1.1048113241769999</v>
      </c>
      <c r="AE1306">
        <v>-4.9606999999999699</v>
      </c>
      <c r="AF1306">
        <v>3.4218963117481902</v>
      </c>
      <c r="AG1306">
        <v>-1.1048113241769999</v>
      </c>
      <c r="AH1306">
        <v>4.9376551467169403</v>
      </c>
      <c r="AI1306">
        <v>100.420596762412</v>
      </c>
      <c r="AJ1306">
        <v>55.277246674746898</v>
      </c>
      <c r="AK1306">
        <v>6.1082256653046096</v>
      </c>
      <c r="AL1306">
        <v>81.643709372060499</v>
      </c>
      <c r="AM1306">
        <v>76.108373540488401</v>
      </c>
      <c r="AN1306">
        <v>1.0000000171157699</v>
      </c>
    </row>
    <row r="1307" spans="1:40" x14ac:dyDescent="0.25">
      <c r="A1307" t="str">
        <f>"20190312154821107"</f>
        <v>20190312154821107</v>
      </c>
      <c r="B1307" t="str">
        <f>"1552376901096582"</f>
        <v>1552376901096582</v>
      </c>
      <c r="C1307" t="s">
        <v>40</v>
      </c>
      <c r="D1307">
        <v>5.2064500000000002</v>
      </c>
      <c r="E1307">
        <v>0.65504929999999995</v>
      </c>
      <c r="F1307" t="s">
        <v>45</v>
      </c>
      <c r="G1307">
        <v>-201.84970000000001</v>
      </c>
      <c r="H1307" s="1">
        <v>-3.2756590000000002E-6</v>
      </c>
      <c r="I1307">
        <v>361.02</v>
      </c>
      <c r="J1307">
        <v>-205.6233</v>
      </c>
      <c r="K1307">
        <v>1.1047469999999999</v>
      </c>
      <c r="L1307">
        <v>366.12950000000001</v>
      </c>
      <c r="M1307">
        <v>0.94683490000000003</v>
      </c>
      <c r="N1307">
        <v>0</v>
      </c>
      <c r="O1307">
        <v>-0.32139909999999999</v>
      </c>
      <c r="P1307">
        <v>0.83512189999999997</v>
      </c>
      <c r="Q1307">
        <v>0.13655400000000001</v>
      </c>
      <c r="R1307">
        <v>-0.53284619999999905</v>
      </c>
      <c r="S1307">
        <v>2.0020289999999998</v>
      </c>
      <c r="T1307">
        <v>-0.56721219999999895</v>
      </c>
      <c r="U1307">
        <v>-2.6479189999999999</v>
      </c>
      <c r="V1307">
        <v>0.2382339</v>
      </c>
      <c r="W1307">
        <v>0.14702029999999999</v>
      </c>
      <c r="X1307">
        <v>0.96001539999999996</v>
      </c>
      <c r="Y1307">
        <v>0.5582165</v>
      </c>
      <c r="Z1307">
        <v>5.521644E-3</v>
      </c>
      <c r="AA1307">
        <v>0.829677</v>
      </c>
      <c r="AB1307">
        <v>23</v>
      </c>
      <c r="AC1307">
        <v>3.7735999999999801</v>
      </c>
      <c r="AD1307">
        <v>-1.104750275659</v>
      </c>
      <c r="AE1307">
        <v>-5.1095000000000201</v>
      </c>
      <c r="AF1307">
        <v>3.5189492071469002</v>
      </c>
      <c r="AG1307">
        <v>-1.104750275659</v>
      </c>
      <c r="AH1307">
        <v>5.0625634757987399</v>
      </c>
      <c r="AI1307">
        <v>100.15871269348899</v>
      </c>
      <c r="AJ1307">
        <v>55.197131271455198</v>
      </c>
      <c r="AK1307">
        <v>6.2636271952072597</v>
      </c>
      <c r="AL1307">
        <v>81.545711848554703</v>
      </c>
      <c r="AM1307">
        <v>76.063220205639297</v>
      </c>
      <c r="AN1307">
        <v>0.99999996397922897</v>
      </c>
    </row>
    <row r="1308" spans="1:40" x14ac:dyDescent="0.25">
      <c r="A1308" t="str">
        <f>"20190312154821119"</f>
        <v>20190312154821119</v>
      </c>
      <c r="B1308" t="str">
        <f>"1552376901107318"</f>
        <v>1552376901107318</v>
      </c>
      <c r="C1308" t="s">
        <v>40</v>
      </c>
      <c r="D1308">
        <v>5.168666</v>
      </c>
      <c r="E1308">
        <v>0.65501509999999996</v>
      </c>
      <c r="F1308" t="s">
        <v>45</v>
      </c>
      <c r="G1308">
        <v>-201.72329999999999</v>
      </c>
      <c r="H1308" s="1">
        <v>-3.2381989999999999E-6</v>
      </c>
      <c r="I1308">
        <v>360.90210000000002</v>
      </c>
      <c r="J1308">
        <v>-205.5016</v>
      </c>
      <c r="K1308">
        <v>1.1046849999999999</v>
      </c>
      <c r="L1308">
        <v>366.08190000000002</v>
      </c>
      <c r="M1308">
        <v>0.9450982</v>
      </c>
      <c r="N1308">
        <v>0</v>
      </c>
      <c r="O1308">
        <v>-0.32646969999999997</v>
      </c>
      <c r="P1308">
        <v>0.83183030000000002</v>
      </c>
      <c r="Q1308">
        <v>0.1377961</v>
      </c>
      <c r="R1308">
        <v>-0.53765319999999905</v>
      </c>
      <c r="S1308">
        <v>1.985916</v>
      </c>
      <c r="T1308">
        <v>-0.56254720000000002</v>
      </c>
      <c r="U1308">
        <v>-2.661835</v>
      </c>
      <c r="V1308">
        <v>0.23873459999999999</v>
      </c>
      <c r="W1308">
        <v>0.14822579999999999</v>
      </c>
      <c r="X1308">
        <v>0.95970569999999999</v>
      </c>
      <c r="Y1308">
        <v>0.55918400000000001</v>
      </c>
      <c r="Z1308">
        <v>6.3152829999999997E-3</v>
      </c>
      <c r="AA1308">
        <v>0.82901959999999997</v>
      </c>
      <c r="AB1308">
        <v>23</v>
      </c>
      <c r="AC1308">
        <v>3.7783000000000002</v>
      </c>
      <c r="AD1308">
        <v>-1.104688238199</v>
      </c>
      <c r="AE1308">
        <v>-5.1798000000000002</v>
      </c>
      <c r="AF1308">
        <v>3.55670789699878</v>
      </c>
      <c r="AG1308">
        <v>-1.104688238199</v>
      </c>
      <c r="AH1308">
        <v>5.1107312855398499</v>
      </c>
      <c r="AI1308">
        <v>100.060514162735</v>
      </c>
      <c r="AJ1308">
        <v>55.164810281401202</v>
      </c>
      <c r="AK1308">
        <v>6.3237711407976001</v>
      </c>
      <c r="AL1308">
        <v>81.475877500970199</v>
      </c>
      <c r="AM1308">
        <v>76.030744196113702</v>
      </c>
      <c r="AN1308">
        <v>1.0000000638176401</v>
      </c>
    </row>
    <row r="1309" spans="1:40" x14ac:dyDescent="0.25">
      <c r="A1309" t="str">
        <f>"20190312154821129"</f>
        <v>20190312154821129</v>
      </c>
      <c r="B1309" t="str">
        <f>"1552376901117078"</f>
        <v>1552376901117078</v>
      </c>
      <c r="C1309" t="s">
        <v>40</v>
      </c>
      <c r="D1309">
        <v>5.1526880000000004</v>
      </c>
      <c r="E1309">
        <v>0.65492490000000003</v>
      </c>
      <c r="F1309" t="s">
        <v>45</v>
      </c>
      <c r="G1309">
        <v>-201.63120000000001</v>
      </c>
      <c r="H1309" s="1">
        <v>-3.206664E-6</v>
      </c>
      <c r="I1309">
        <v>360.83519999999999</v>
      </c>
      <c r="J1309">
        <v>-205.40549999999999</v>
      </c>
      <c r="K1309">
        <v>1.10463</v>
      </c>
      <c r="L1309">
        <v>366.04379999999998</v>
      </c>
      <c r="M1309">
        <v>0.94369239999999999</v>
      </c>
      <c r="N1309">
        <v>0</v>
      </c>
      <c r="O1309">
        <v>-0.33051059999999999</v>
      </c>
      <c r="P1309">
        <v>0.82943739999999999</v>
      </c>
      <c r="Q1309">
        <v>0.13867929999999901</v>
      </c>
      <c r="R1309">
        <v>-0.54111129999999996</v>
      </c>
      <c r="S1309">
        <v>1.971954</v>
      </c>
      <c r="T1309">
        <v>-0.56282540000000003</v>
      </c>
      <c r="U1309">
        <v>-2.6731569999999998</v>
      </c>
      <c r="V1309">
        <v>0.23870479999999999</v>
      </c>
      <c r="W1309">
        <v>0.14908679999999999</v>
      </c>
      <c r="X1309">
        <v>0.95957969999999904</v>
      </c>
      <c r="Y1309">
        <v>0.56015479999999995</v>
      </c>
      <c r="Z1309">
        <v>6.967455E-3</v>
      </c>
      <c r="AA1309">
        <v>0.8283587</v>
      </c>
      <c r="AB1309">
        <v>23</v>
      </c>
      <c r="AC1309">
        <v>3.7742999999999798</v>
      </c>
      <c r="AD1309">
        <v>-1.1046332066639999</v>
      </c>
      <c r="AE1309">
        <v>-5.2085999999999899</v>
      </c>
      <c r="AF1309">
        <v>3.5631666707879002</v>
      </c>
      <c r="AG1309">
        <v>-1.1046332066639999</v>
      </c>
      <c r="AH1309">
        <v>5.1324587897882497</v>
      </c>
      <c r="AI1309">
        <v>100.026066455953</v>
      </c>
      <c r="AJ1309">
        <v>55.230008209607398</v>
      </c>
      <c r="AK1309">
        <v>6.3449589812663998</v>
      </c>
      <c r="AL1309">
        <v>81.425991240926507</v>
      </c>
      <c r="AM1309">
        <v>76.030657404174093</v>
      </c>
      <c r="AN1309">
        <v>1.0000000280646799</v>
      </c>
    </row>
    <row r="1310" spans="1:40" x14ac:dyDescent="0.25">
      <c r="A1310" t="str">
        <f>"20190312154821140"</f>
        <v>20190312154821140</v>
      </c>
      <c r="B1310" t="str">
        <f>"1552376901136598"</f>
        <v>1552376901136598</v>
      </c>
      <c r="C1310" t="s">
        <v>40</v>
      </c>
      <c r="D1310">
        <v>5.0276589999999999</v>
      </c>
      <c r="E1310">
        <v>0.65494589999999997</v>
      </c>
      <c r="F1310" t="s">
        <v>45</v>
      </c>
      <c r="G1310">
        <v>-201.542</v>
      </c>
      <c r="H1310" s="1">
        <v>-3.1781399999999999E-6</v>
      </c>
      <c r="I1310">
        <v>360.76139999999998</v>
      </c>
      <c r="J1310">
        <v>-205.29589999999999</v>
      </c>
      <c r="K1310">
        <v>1.104565</v>
      </c>
      <c r="L1310">
        <v>365.99970000000002</v>
      </c>
      <c r="M1310">
        <v>0.94204460000000001</v>
      </c>
      <c r="N1310">
        <v>0</v>
      </c>
      <c r="O1310">
        <v>-0.33517809999999998</v>
      </c>
      <c r="P1310">
        <v>0.826573</v>
      </c>
      <c r="Q1310">
        <v>0.13909260000000001</v>
      </c>
      <c r="R1310">
        <v>-0.54537219999999997</v>
      </c>
      <c r="S1310">
        <v>1.9612430000000001</v>
      </c>
      <c r="T1310">
        <v>-0.56073890000000004</v>
      </c>
      <c r="U1310">
        <v>-2.6815190000000002</v>
      </c>
      <c r="V1310">
        <v>0.2389454</v>
      </c>
      <c r="W1310">
        <v>0.1494711</v>
      </c>
      <c r="X1310">
        <v>0.95945999999999998</v>
      </c>
      <c r="Y1310">
        <v>0.55953369999999902</v>
      </c>
      <c r="Z1310">
        <v>7.8728349999999999E-3</v>
      </c>
      <c r="AA1310">
        <v>0.82877019999999901</v>
      </c>
      <c r="AB1310">
        <v>23</v>
      </c>
      <c r="AC1310">
        <v>3.7538999999999798</v>
      </c>
      <c r="AD1310">
        <v>-1.1045681781399901</v>
      </c>
      <c r="AE1310">
        <v>-5.2383000000000299</v>
      </c>
      <c r="AF1310">
        <v>3.5719362236034802</v>
      </c>
      <c r="AG1310">
        <v>-1.1045681781399901</v>
      </c>
      <c r="AH1310">
        <v>5.1416092419784603</v>
      </c>
      <c r="AI1310">
        <v>100.005847669278</v>
      </c>
      <c r="AJ1310">
        <v>55.211838342416499</v>
      </c>
      <c r="AK1310">
        <v>6.3572749541646001</v>
      </c>
      <c r="AL1310">
        <v>81.4037227408039</v>
      </c>
      <c r="AM1310">
        <v>76.015453326849098</v>
      </c>
      <c r="AN1310">
        <v>1.0000000027581799</v>
      </c>
    </row>
    <row r="1311" spans="1:40" x14ac:dyDescent="0.25">
      <c r="A1311" t="str">
        <f>"20190312154821152"</f>
        <v>20190312154821152</v>
      </c>
      <c r="B1311" t="str">
        <f>"1552376901147334"</f>
        <v>1552376901147334</v>
      </c>
      <c r="C1311" t="s">
        <v>40</v>
      </c>
      <c r="D1311">
        <v>5.1150830000000003</v>
      </c>
      <c r="E1311">
        <v>0.6548235</v>
      </c>
      <c r="F1311" t="s">
        <v>45</v>
      </c>
      <c r="G1311">
        <v>-201.3956</v>
      </c>
      <c r="H1311" s="1">
        <v>-3.1394599999999902E-6</v>
      </c>
      <c r="I1311">
        <v>360.6035</v>
      </c>
      <c r="J1311">
        <v>-205.19380000000001</v>
      </c>
      <c r="K1311">
        <v>1.1044940000000001</v>
      </c>
      <c r="L1311">
        <v>365.9579</v>
      </c>
      <c r="M1311">
        <v>0.94046289999999999</v>
      </c>
      <c r="N1311">
        <v>0</v>
      </c>
      <c r="O1311">
        <v>-0.33959020000000001</v>
      </c>
      <c r="P1311">
        <v>0.82396259999999999</v>
      </c>
      <c r="Q1311">
        <v>0.13860890000000001</v>
      </c>
      <c r="R1311">
        <v>-0.54943009999999903</v>
      </c>
      <c r="S1311">
        <v>1.945908</v>
      </c>
      <c r="T1311">
        <v>-0.55107299999999904</v>
      </c>
      <c r="U1311">
        <v>-2.6921689999999998</v>
      </c>
      <c r="V1311">
        <v>0.23915520000000001</v>
      </c>
      <c r="W1311">
        <v>0.14896139999999999</v>
      </c>
      <c r="X1311">
        <v>0.95948699999999998</v>
      </c>
      <c r="Y1311">
        <v>0.56044879999999997</v>
      </c>
      <c r="Z1311">
        <v>8.4529410000000003E-3</v>
      </c>
      <c r="AA1311">
        <v>0.82814599999999905</v>
      </c>
      <c r="AB1311">
        <v>23</v>
      </c>
      <c r="AC1311">
        <v>3.7982</v>
      </c>
      <c r="AD1311">
        <v>-1.1044971394600001</v>
      </c>
      <c r="AE1311">
        <v>-5.3543999999999903</v>
      </c>
      <c r="AF1311">
        <v>3.6430491388238999</v>
      </c>
      <c r="AG1311">
        <v>-1.1044971394600001</v>
      </c>
      <c r="AH1311">
        <v>5.2425287444038799</v>
      </c>
      <c r="AI1311">
        <v>99.8155348742971</v>
      </c>
      <c r="AJ1311">
        <v>55.204445820773699</v>
      </c>
      <c r="AK1311">
        <v>6.4788755656257102</v>
      </c>
      <c r="AL1311">
        <v>81.433257074688299</v>
      </c>
      <c r="AM1311">
        <v>76.004035408553094</v>
      </c>
      <c r="AN1311">
        <v>1.0000000057729901</v>
      </c>
    </row>
    <row r="1312" spans="1:40" x14ac:dyDescent="0.25">
      <c r="A1312" t="str">
        <f>"20190312154821161"</f>
        <v>20190312154821161</v>
      </c>
      <c r="B1312" t="str">
        <f>"1552376901157094"</f>
        <v>1552376901157094</v>
      </c>
      <c r="C1312" t="s">
        <v>40</v>
      </c>
      <c r="D1312">
        <v>5.1011600000000001</v>
      </c>
      <c r="E1312">
        <v>0.6548368</v>
      </c>
      <c r="F1312" t="s">
        <v>45</v>
      </c>
      <c r="G1312">
        <v>-201.29499999999999</v>
      </c>
      <c r="H1312" s="1">
        <v>-3.1097250000000001E-6</v>
      </c>
      <c r="I1312">
        <v>360.50940000000003</v>
      </c>
      <c r="J1312">
        <v>-205.0883</v>
      </c>
      <c r="K1312">
        <v>1.104425</v>
      </c>
      <c r="L1312">
        <v>365.91430000000003</v>
      </c>
      <c r="M1312">
        <v>0.93878879999999998</v>
      </c>
      <c r="N1312">
        <v>0</v>
      </c>
      <c r="O1312">
        <v>-0.34419070000000002</v>
      </c>
      <c r="P1312">
        <v>0.82115419999999995</v>
      </c>
      <c r="Q1312">
        <v>0.1389011</v>
      </c>
      <c r="R1312">
        <v>-0.55354550000000002</v>
      </c>
      <c r="S1312">
        <v>1.932358</v>
      </c>
      <c r="T1312">
        <v>-0.54741980000000001</v>
      </c>
      <c r="U1312">
        <v>-2.7004389999999998</v>
      </c>
      <c r="V1312">
        <v>0.23930380000000001</v>
      </c>
      <c r="W1312">
        <v>0.14922589999999999</v>
      </c>
      <c r="X1312">
        <v>0.95940879999999995</v>
      </c>
      <c r="Y1312">
        <v>0.56043259999999995</v>
      </c>
      <c r="Z1312">
        <v>9.2396100000000005E-3</v>
      </c>
      <c r="AA1312">
        <v>0.82814849999999995</v>
      </c>
      <c r="AB1312">
        <v>23</v>
      </c>
      <c r="AC1312">
        <v>3.7933000000000101</v>
      </c>
      <c r="AD1312">
        <v>-1.1044281097249999</v>
      </c>
      <c r="AE1312">
        <v>-5.4048999999999898</v>
      </c>
      <c r="AF1312">
        <v>3.6662702730472398</v>
      </c>
      <c r="AG1312">
        <v>-1.1044281097249999</v>
      </c>
      <c r="AH1312">
        <v>5.2744371360479096</v>
      </c>
      <c r="AI1312">
        <v>99.755810301447994</v>
      </c>
      <c r="AJ1312">
        <v>55.196770169062397</v>
      </c>
      <c r="AK1312">
        <v>6.51774395528866</v>
      </c>
      <c r="AL1312">
        <v>81.417930662313296</v>
      </c>
      <c r="AM1312">
        <v>75.994584565019593</v>
      </c>
      <c r="AN1312">
        <v>0.99999996172134398</v>
      </c>
    </row>
    <row r="1313" spans="1:40" x14ac:dyDescent="0.25">
      <c r="A1313" t="str">
        <f>"20190312154821173"</f>
        <v>20190312154821173</v>
      </c>
      <c r="B1313" t="str">
        <f>"1552376901166854"</f>
        <v>1552376901166854</v>
      </c>
      <c r="C1313" t="s">
        <v>40</v>
      </c>
      <c r="D1313">
        <v>5.1032159999999998</v>
      </c>
      <c r="E1313">
        <v>0.6548368</v>
      </c>
      <c r="F1313" t="s">
        <v>45</v>
      </c>
      <c r="G1313">
        <v>-201.1962</v>
      </c>
      <c r="H1313" s="1">
        <v>-3.0804059999999999E-6</v>
      </c>
      <c r="I1313">
        <v>360.41750000000002</v>
      </c>
      <c r="J1313">
        <v>-204.98560000000001</v>
      </c>
      <c r="K1313">
        <v>1.10436</v>
      </c>
      <c r="L1313">
        <v>365.87090000000001</v>
      </c>
      <c r="M1313">
        <v>0.93710210000000005</v>
      </c>
      <c r="N1313">
        <v>0</v>
      </c>
      <c r="O1313">
        <v>-0.34875590000000001</v>
      </c>
      <c r="P1313">
        <v>0.81824949999999996</v>
      </c>
      <c r="Q1313">
        <v>0.13902139999999999</v>
      </c>
      <c r="R1313">
        <v>-0.55780039999999997</v>
      </c>
      <c r="S1313">
        <v>1.9187620000000001</v>
      </c>
      <c r="T1313">
        <v>-0.54447559999999995</v>
      </c>
      <c r="U1313">
        <v>-2.7099000000000002</v>
      </c>
      <c r="V1313">
        <v>0.2396488</v>
      </c>
      <c r="W1313">
        <v>0.149315</v>
      </c>
      <c r="X1313">
        <v>0.95930890000000002</v>
      </c>
      <c r="Y1313">
        <v>0.56061329999999998</v>
      </c>
      <c r="Z1313">
        <v>1.000055E-2</v>
      </c>
      <c r="AA1313">
        <v>0.82801729999999996</v>
      </c>
      <c r="AB1313">
        <v>23</v>
      </c>
      <c r="AC1313">
        <v>3.7894000000000001</v>
      </c>
      <c r="AD1313">
        <v>-1.1043630804060001</v>
      </c>
      <c r="AE1313">
        <v>-5.4533999999999798</v>
      </c>
      <c r="AF1313">
        <v>3.6872376486512599</v>
      </c>
      <c r="AG1313">
        <v>-1.1043630804060001</v>
      </c>
      <c r="AH1313">
        <v>5.3067646029570303</v>
      </c>
      <c r="AI1313">
        <v>99.698215176321398</v>
      </c>
      <c r="AJ1313">
        <v>55.207716399523697</v>
      </c>
      <c r="AK1313">
        <v>6.5556914084017697</v>
      </c>
      <c r="AL1313">
        <v>81.412768451884901</v>
      </c>
      <c r="AM1313">
        <v>75.973786739802904</v>
      </c>
      <c r="AN1313">
        <v>1.00000004109282</v>
      </c>
    </row>
    <row r="1314" spans="1:40" x14ac:dyDescent="0.25">
      <c r="A1314" t="str">
        <f>"20190312154821185"</f>
        <v>20190312154821185</v>
      </c>
      <c r="B1314" t="str">
        <f>"1552376901176614"</f>
        <v>1552376901176614</v>
      </c>
      <c r="C1314" t="s">
        <v>40</v>
      </c>
      <c r="D1314">
        <v>5.0763499999999997</v>
      </c>
      <c r="E1314">
        <v>0.65392869999999903</v>
      </c>
      <c r="F1314" t="s">
        <v>45</v>
      </c>
      <c r="G1314">
        <v>-201.12260000000001</v>
      </c>
      <c r="H1314" s="1">
        <v>-3.0572309999999999E-6</v>
      </c>
      <c r="I1314">
        <v>360.35489999999999</v>
      </c>
      <c r="J1314">
        <v>-204.8751</v>
      </c>
      <c r="K1314">
        <v>1.1042879999999999</v>
      </c>
      <c r="L1314">
        <v>365.82389999999998</v>
      </c>
      <c r="M1314">
        <v>0.93525000000000003</v>
      </c>
      <c r="N1314">
        <v>0</v>
      </c>
      <c r="O1314">
        <v>-0.3536919</v>
      </c>
      <c r="P1314">
        <v>0.81527019999999994</v>
      </c>
      <c r="Q1314">
        <v>0.13957530000000001</v>
      </c>
      <c r="R1314">
        <v>-0.56200850000000002</v>
      </c>
      <c r="S1314">
        <v>1.9047700000000001</v>
      </c>
      <c r="T1314">
        <v>-0.54454040000000004</v>
      </c>
      <c r="U1314">
        <v>-2.7198180000000001</v>
      </c>
      <c r="V1314">
        <v>0.23960219999999999</v>
      </c>
      <c r="W1314">
        <v>0.14984120000000001</v>
      </c>
      <c r="X1314">
        <v>0.95923849999999999</v>
      </c>
      <c r="Y1314">
        <v>0.56058240000000004</v>
      </c>
      <c r="Z1314">
        <v>1.090115E-2</v>
      </c>
      <c r="AA1314">
        <v>0.82802690000000001</v>
      </c>
      <c r="AB1314">
        <v>23</v>
      </c>
      <c r="AC1314">
        <v>3.7524999999999902</v>
      </c>
      <c r="AD1314">
        <v>-1.1042910572310001</v>
      </c>
      <c r="AE1314">
        <v>-5.4689999999999896</v>
      </c>
      <c r="AF1314">
        <v>3.6858758335224202</v>
      </c>
      <c r="AG1314">
        <v>-1.1042910572310001</v>
      </c>
      <c r="AH1314">
        <v>5.2975851653228796</v>
      </c>
      <c r="AI1314">
        <v>99.709850200559501</v>
      </c>
      <c r="AJ1314">
        <v>55.1711439038938</v>
      </c>
      <c r="AK1314">
        <v>6.5474840956717104</v>
      </c>
      <c r="AL1314">
        <v>81.3822764495972</v>
      </c>
      <c r="AM1314">
        <v>75.975417921067802</v>
      </c>
      <c r="AN1314">
        <v>1.0000000496722601</v>
      </c>
    </row>
    <row r="1315" spans="1:40" x14ac:dyDescent="0.25">
      <c r="A1315" t="str">
        <f>"20190312154821195"</f>
        <v>20190312154821195</v>
      </c>
      <c r="B1315" t="str">
        <f>"1552376901187350"</f>
        <v>1552376901187350</v>
      </c>
      <c r="C1315" t="s">
        <v>40</v>
      </c>
      <c r="D1315">
        <v>5.0753810000000001</v>
      </c>
      <c r="E1315">
        <v>0.65353229999999995</v>
      </c>
      <c r="F1315" t="s">
        <v>45</v>
      </c>
      <c r="G1315">
        <v>-201.74539999999999</v>
      </c>
      <c r="H1315" s="1">
        <v>-3.1462620000000001E-6</v>
      </c>
      <c r="I1315">
        <v>361.36680000000001</v>
      </c>
      <c r="J1315">
        <v>-204.77850000000001</v>
      </c>
      <c r="K1315">
        <v>1.1042209999999999</v>
      </c>
      <c r="L1315">
        <v>365.7817</v>
      </c>
      <c r="M1315">
        <v>0.93356439999999996</v>
      </c>
      <c r="N1315">
        <v>0</v>
      </c>
      <c r="O1315">
        <v>-0.3581164</v>
      </c>
      <c r="P1315">
        <v>0.81245769999999995</v>
      </c>
      <c r="Q1315">
        <v>0.13996720000000001</v>
      </c>
      <c r="R1315">
        <v>-0.56596930000000001</v>
      </c>
      <c r="S1315">
        <v>1.915222</v>
      </c>
      <c r="T1315">
        <v>-0.67576429999999998</v>
      </c>
      <c r="U1315">
        <v>-2.727509</v>
      </c>
      <c r="V1315">
        <v>0.23978389999999999</v>
      </c>
      <c r="W1315">
        <v>0.15020600000000001</v>
      </c>
      <c r="X1315">
        <v>0.95913590000000004</v>
      </c>
      <c r="Y1315">
        <v>0.55443129999999996</v>
      </c>
      <c r="Z1315">
        <v>1.518195E-2</v>
      </c>
      <c r="AA1315">
        <v>0.83209109999999997</v>
      </c>
      <c r="AB1315">
        <v>23</v>
      </c>
      <c r="AC1315">
        <v>3.0331000000000099</v>
      </c>
      <c r="AD1315">
        <v>-1.1042241462619999</v>
      </c>
      <c r="AE1315">
        <v>-4.4148999999999798</v>
      </c>
      <c r="AF1315">
        <v>2.9119573320014802</v>
      </c>
      <c r="AG1315">
        <v>-1.1042241462619999</v>
      </c>
      <c r="AH1315">
        <v>4.2332034494403601</v>
      </c>
      <c r="AI1315">
        <v>102.12902467229399</v>
      </c>
      <c r="AJ1315">
        <v>55.4764991056662</v>
      </c>
      <c r="AK1315">
        <v>5.25536087371162</v>
      </c>
      <c r="AL1315">
        <v>81.361134540765207</v>
      </c>
      <c r="AM1315">
        <v>75.963760748794002</v>
      </c>
      <c r="AN1315">
        <v>0.99999991790200604</v>
      </c>
    </row>
    <row r="1316" spans="1:40" x14ac:dyDescent="0.25">
      <c r="A1316" t="str">
        <f>"20190312154821206"</f>
        <v>20190312154821206</v>
      </c>
      <c r="B1316" t="str">
        <f>"1552376901197109"</f>
        <v>1552376901197109</v>
      </c>
      <c r="C1316" t="s">
        <v>40</v>
      </c>
      <c r="D1316">
        <v>5.0723089999999997</v>
      </c>
      <c r="E1316">
        <v>0.65326949999999995</v>
      </c>
      <c r="F1316" t="s">
        <v>45</v>
      </c>
      <c r="G1316">
        <v>-201.6422</v>
      </c>
      <c r="H1316" s="1">
        <v>-3.114155E-6</v>
      </c>
      <c r="I1316">
        <v>361.2774</v>
      </c>
      <c r="J1316">
        <v>-204.6739</v>
      </c>
      <c r="K1316">
        <v>1.1041479999999999</v>
      </c>
      <c r="L1316">
        <v>365.73570000000001</v>
      </c>
      <c r="M1316">
        <v>0.93170739999999996</v>
      </c>
      <c r="N1316">
        <v>0</v>
      </c>
      <c r="O1316">
        <v>-0.36292029999999997</v>
      </c>
      <c r="P1316">
        <v>0.80929430000000002</v>
      </c>
      <c r="Q1316">
        <v>0.1405178</v>
      </c>
      <c r="R1316">
        <v>-0.57034890000000005</v>
      </c>
      <c r="S1316">
        <v>1.9035340000000001</v>
      </c>
      <c r="T1316">
        <v>-0.67018219999999995</v>
      </c>
      <c r="U1316">
        <v>-2.733765</v>
      </c>
      <c r="V1316">
        <v>0.2400938</v>
      </c>
      <c r="W1316">
        <v>0.1507241</v>
      </c>
      <c r="X1316">
        <v>0.95897719999999997</v>
      </c>
      <c r="Y1316">
        <v>0.55359190000000003</v>
      </c>
      <c r="Z1316">
        <v>1.6236009999999999E-2</v>
      </c>
      <c r="AA1316">
        <v>0.83262979999999998</v>
      </c>
      <c r="AB1316">
        <v>23</v>
      </c>
      <c r="AC1316">
        <v>3.0316999999999998</v>
      </c>
      <c r="AD1316">
        <v>-1.104151114155</v>
      </c>
      <c r="AE1316">
        <v>-4.4583000000000004</v>
      </c>
      <c r="AF1316">
        <v>2.9309569249997498</v>
      </c>
      <c r="AG1316">
        <v>-1.104151114155</v>
      </c>
      <c r="AH1316">
        <v>4.26428020064004</v>
      </c>
      <c r="AI1316">
        <v>102.045492150245</v>
      </c>
      <c r="AJ1316">
        <v>55.498190046963998</v>
      </c>
      <c r="AK1316">
        <v>5.2909114345889803</v>
      </c>
      <c r="AL1316">
        <v>81.331108716591601</v>
      </c>
      <c r="AM1316">
        <v>75.944105048873197</v>
      </c>
      <c r="AN1316">
        <v>1.0000000286195401</v>
      </c>
    </row>
    <row r="1317" spans="1:40" x14ac:dyDescent="0.25">
      <c r="A1317" t="str">
        <f>"20190312154821216"</f>
        <v>20190312154821216</v>
      </c>
      <c r="B1317" t="str">
        <f>"1552376901206871"</f>
        <v>1552376901206871</v>
      </c>
      <c r="C1317" t="s">
        <v>40</v>
      </c>
      <c r="D1317">
        <v>5.059361</v>
      </c>
      <c r="E1317">
        <v>0.6526265</v>
      </c>
      <c r="F1317" t="s">
        <v>45</v>
      </c>
      <c r="G1317">
        <v>-201.5497</v>
      </c>
      <c r="H1317" s="1">
        <v>-3.0840340000000001E-6</v>
      </c>
      <c r="I1317">
        <v>361.20339999999999</v>
      </c>
      <c r="J1317">
        <v>-204.57169999999999</v>
      </c>
      <c r="K1317">
        <v>1.104082</v>
      </c>
      <c r="L1317">
        <v>365.68979999999999</v>
      </c>
      <c r="M1317">
        <v>0.92982949999999998</v>
      </c>
      <c r="N1317">
        <v>0</v>
      </c>
      <c r="O1317">
        <v>-0.36770389999999997</v>
      </c>
      <c r="P1317">
        <v>0.80596630000000002</v>
      </c>
      <c r="Q1317">
        <v>0.14166770000000001</v>
      </c>
      <c r="R1317">
        <v>-0.57475969999999998</v>
      </c>
      <c r="S1317">
        <v>1.8903049999999999</v>
      </c>
      <c r="T1317">
        <v>-0.66807510000000003</v>
      </c>
      <c r="U1317">
        <v>-2.74234</v>
      </c>
      <c r="V1317">
        <v>0.2405196</v>
      </c>
      <c r="W1317">
        <v>0.1518417</v>
      </c>
      <c r="X1317">
        <v>0.95869409999999999</v>
      </c>
      <c r="Y1317">
        <v>0.55335999999999996</v>
      </c>
      <c r="Z1317">
        <v>1.7278089999999999E-2</v>
      </c>
      <c r="AA1317">
        <v>0.83276299999999903</v>
      </c>
      <c r="AB1317">
        <v>23</v>
      </c>
      <c r="AC1317">
        <v>3.02199999999999</v>
      </c>
      <c r="AD1317">
        <v>-1.104085084034</v>
      </c>
      <c r="AE1317">
        <v>-4.4863999999999997</v>
      </c>
      <c r="AF1317">
        <v>2.9382971427496498</v>
      </c>
      <c r="AG1317">
        <v>-1.104085084034</v>
      </c>
      <c r="AH1317">
        <v>4.2817031268150201</v>
      </c>
      <c r="AI1317">
        <v>102.003090047358</v>
      </c>
      <c r="AJ1317">
        <v>55.540335176222698</v>
      </c>
      <c r="AK1317">
        <v>5.3090089129756297</v>
      </c>
      <c r="AL1317">
        <v>81.266328934112593</v>
      </c>
      <c r="AM1317">
        <v>75.916175678552307</v>
      </c>
      <c r="AN1317">
        <v>0.99999997860892897</v>
      </c>
    </row>
    <row r="1318" spans="1:40" x14ac:dyDescent="0.25">
      <c r="A1318" t="str">
        <f>"20190312154821229"</f>
        <v>20190312154821229</v>
      </c>
      <c r="B1318" t="str">
        <f>"1552376901216631"</f>
        <v>1552376901216631</v>
      </c>
      <c r="C1318" t="s">
        <v>40</v>
      </c>
      <c r="D1318">
        <v>5.0355730000000003</v>
      </c>
      <c r="E1318">
        <v>0.65222230000000003</v>
      </c>
      <c r="F1318" t="s">
        <v>45</v>
      </c>
      <c r="G1318">
        <v>-201.4665</v>
      </c>
      <c r="H1318" s="1">
        <v>-3.0542100000000002E-6</v>
      </c>
      <c r="I1318">
        <v>361.149</v>
      </c>
      <c r="J1318">
        <v>-204.46019999999999</v>
      </c>
      <c r="K1318">
        <v>1.10402</v>
      </c>
      <c r="L1318">
        <v>365.63909999999998</v>
      </c>
      <c r="M1318">
        <v>0.92773539999999999</v>
      </c>
      <c r="N1318">
        <v>0</v>
      </c>
      <c r="O1318">
        <v>-0.37295509999999998</v>
      </c>
      <c r="P1318">
        <v>0.80223909999999998</v>
      </c>
      <c r="Q1318">
        <v>0.14456140000000001</v>
      </c>
      <c r="R1318">
        <v>-0.57923630000000004</v>
      </c>
      <c r="S1318">
        <v>1.8795930000000001</v>
      </c>
      <c r="T1318">
        <v>-0.66830659999999997</v>
      </c>
      <c r="U1318">
        <v>-2.7485659999999998</v>
      </c>
      <c r="V1318">
        <v>0.24069940000000001</v>
      </c>
      <c r="W1318">
        <v>0.15470329999999999</v>
      </c>
      <c r="X1318">
        <v>0.95819140000000003</v>
      </c>
      <c r="Y1318">
        <v>0.55185479999999998</v>
      </c>
      <c r="Z1318">
        <v>1.8638149999999999E-2</v>
      </c>
      <c r="AA1318">
        <v>0.83373189999999997</v>
      </c>
      <c r="AB1318">
        <v>23</v>
      </c>
      <c r="AC1318">
        <v>2.9936999999999898</v>
      </c>
      <c r="AD1318">
        <v>-1.10402305421</v>
      </c>
      <c r="AE1318">
        <v>-4.4900999999999804</v>
      </c>
      <c r="AF1318">
        <v>2.9269334286500501</v>
      </c>
      <c r="AG1318">
        <v>-1.10402305421</v>
      </c>
      <c r="AH1318">
        <v>4.27358003649762</v>
      </c>
      <c r="AI1318">
        <v>102.031963590096</v>
      </c>
      <c r="AJ1318">
        <v>55.593135608802797</v>
      </c>
      <c r="AK1318">
        <v>5.2961582801430103</v>
      </c>
      <c r="AL1318">
        <v>81.100411282383206</v>
      </c>
      <c r="AM1318">
        <v>75.898967536192501</v>
      </c>
      <c r="AN1318">
        <v>1.0000000356126</v>
      </c>
    </row>
    <row r="1319" spans="1:40" x14ac:dyDescent="0.25">
      <c r="A1319" t="str">
        <f>"20190312154821241"</f>
        <v>20190312154821241</v>
      </c>
      <c r="B1319" t="str">
        <f>"1552376901227367"</f>
        <v>1552376901227367</v>
      </c>
      <c r="C1319" t="s">
        <v>40</v>
      </c>
      <c r="D1319">
        <v>5.0250149999999998</v>
      </c>
      <c r="E1319">
        <v>0.6516594</v>
      </c>
      <c r="F1319" t="s">
        <v>45</v>
      </c>
      <c r="G1319">
        <v>-201.33529999999999</v>
      </c>
      <c r="H1319" s="1">
        <v>-3.0153679999999999E-6</v>
      </c>
      <c r="I1319">
        <v>361.0265</v>
      </c>
      <c r="J1319">
        <v>-204.35400000000001</v>
      </c>
      <c r="K1319">
        <v>1.1039760000000001</v>
      </c>
      <c r="L1319">
        <v>365.59010000000001</v>
      </c>
      <c r="M1319">
        <v>0.92568300000000003</v>
      </c>
      <c r="N1319">
        <v>0</v>
      </c>
      <c r="O1319">
        <v>-0.37802010000000003</v>
      </c>
      <c r="P1319">
        <v>0.79843809999999904</v>
      </c>
      <c r="Q1319">
        <v>0.1491411</v>
      </c>
      <c r="R1319">
        <v>-0.58331269999999902</v>
      </c>
      <c r="S1319">
        <v>1.8677980000000001</v>
      </c>
      <c r="T1319">
        <v>-0.65990070000000001</v>
      </c>
      <c r="U1319">
        <v>-2.7570800000000002</v>
      </c>
      <c r="V1319">
        <v>0.240755</v>
      </c>
      <c r="W1319">
        <v>0.1592529</v>
      </c>
      <c r="X1319">
        <v>0.9574317</v>
      </c>
      <c r="Y1319">
        <v>0.55112269999999997</v>
      </c>
      <c r="Z1319">
        <v>1.960686E-2</v>
      </c>
      <c r="AA1319">
        <v>0.83419390000000004</v>
      </c>
      <c r="AB1319">
        <v>22</v>
      </c>
      <c r="AC1319">
        <v>3.0187000000000199</v>
      </c>
      <c r="AD1319">
        <v>-1.103979015368</v>
      </c>
      <c r="AE1319">
        <v>-4.5636000000000001</v>
      </c>
      <c r="AF1319">
        <v>2.9630241385160199</v>
      </c>
      <c r="AG1319">
        <v>-1.103979015368</v>
      </c>
      <c r="AH1319">
        <v>4.34316692684295</v>
      </c>
      <c r="AI1319">
        <v>101.858505316704</v>
      </c>
      <c r="AJ1319">
        <v>55.697150380412701</v>
      </c>
      <c r="AK1319">
        <v>5.3722789080821096</v>
      </c>
      <c r="AL1319">
        <v>80.836465075683904</v>
      </c>
      <c r="AM1319">
        <v>75.885096113179102</v>
      </c>
      <c r="AN1319">
        <v>0.999999958174149</v>
      </c>
    </row>
    <row r="1320" spans="1:40" x14ac:dyDescent="0.25">
      <c r="A1320" t="str">
        <f>"20190312154821251"</f>
        <v>20190312154821251</v>
      </c>
      <c r="B1320" t="str">
        <f>"1552376901246885"</f>
        <v>1552376901246885</v>
      </c>
      <c r="C1320" t="s">
        <v>40</v>
      </c>
      <c r="D1320">
        <v>5.0583589999999896</v>
      </c>
      <c r="E1320">
        <v>0.65115199999999995</v>
      </c>
      <c r="F1320" t="s">
        <v>45</v>
      </c>
      <c r="G1320">
        <v>-201.17080000000001</v>
      </c>
      <c r="H1320" s="1">
        <v>-2.9713420000000001E-6</v>
      </c>
      <c r="I1320">
        <v>360.85160000000002</v>
      </c>
      <c r="J1320">
        <v>-204.25569999999999</v>
      </c>
      <c r="K1320">
        <v>1.1039460000000001</v>
      </c>
      <c r="L1320">
        <v>365.54390000000001</v>
      </c>
      <c r="M1320">
        <v>0.92373159999999999</v>
      </c>
      <c r="N1320">
        <v>0</v>
      </c>
      <c r="O1320">
        <v>-0.38276270000000001</v>
      </c>
      <c r="P1320">
        <v>0.7946725</v>
      </c>
      <c r="Q1320">
        <v>0.155357</v>
      </c>
      <c r="R1320">
        <v>-0.5868217</v>
      </c>
      <c r="S1320">
        <v>1.8575740000000001</v>
      </c>
      <c r="T1320">
        <v>-0.64422690000000005</v>
      </c>
      <c r="U1320">
        <v>-2.7651059999999998</v>
      </c>
      <c r="V1320">
        <v>0.24063480000000001</v>
      </c>
      <c r="W1320">
        <v>0.16544110000000001</v>
      </c>
      <c r="X1320">
        <v>0.95641209999999999</v>
      </c>
      <c r="Y1320">
        <v>0.55033399999999999</v>
      </c>
      <c r="Z1320">
        <v>2.0255570000000001E-2</v>
      </c>
      <c r="AA1320">
        <v>0.83469889999999902</v>
      </c>
      <c r="AB1320">
        <v>22</v>
      </c>
      <c r="AC1320">
        <v>3.08489999999997</v>
      </c>
      <c r="AD1320">
        <v>-1.1039489713420001</v>
      </c>
      <c r="AE1320">
        <v>-4.6922999999999799</v>
      </c>
      <c r="AF1320">
        <v>3.0366204409528801</v>
      </c>
      <c r="AG1320">
        <v>-1.1039489713420001</v>
      </c>
      <c r="AH1320">
        <v>4.4732727986945804</v>
      </c>
      <c r="AI1320">
        <v>101.540347507771</v>
      </c>
      <c r="AJ1320">
        <v>55.829911214495802</v>
      </c>
      <c r="AK1320">
        <v>5.5181461167026704</v>
      </c>
      <c r="AL1320">
        <v>80.477140038418398</v>
      </c>
      <c r="AM1320">
        <v>75.877422971989006</v>
      </c>
      <c r="AN1320">
        <v>0.99999998478332897</v>
      </c>
    </row>
    <row r="1321" spans="1:40" x14ac:dyDescent="0.25">
      <c r="A1321" t="str">
        <f>"20190312154821262"</f>
        <v>20190312154821262</v>
      </c>
      <c r="B1321" t="str">
        <f>"1552376901256647"</f>
        <v>1552376901256647</v>
      </c>
      <c r="C1321" t="s">
        <v>40</v>
      </c>
      <c r="D1321">
        <v>4.9925439999999996</v>
      </c>
      <c r="E1321">
        <v>0.65076350000000005</v>
      </c>
      <c r="F1321" t="s">
        <v>45</v>
      </c>
      <c r="G1321">
        <v>-200.98099999999999</v>
      </c>
      <c r="H1321" s="1">
        <v>-2.9246279999999998E-6</v>
      </c>
      <c r="I1321">
        <v>360.63159999999999</v>
      </c>
      <c r="J1321">
        <v>-204.15260000000001</v>
      </c>
      <c r="K1321">
        <v>1.1039129999999999</v>
      </c>
      <c r="L1321">
        <v>365.4948</v>
      </c>
      <c r="M1321">
        <v>0.92163879999999998</v>
      </c>
      <c r="N1321">
        <v>0</v>
      </c>
      <c r="O1321">
        <v>-0.38777450000000002</v>
      </c>
      <c r="P1321">
        <v>0.79104229999999998</v>
      </c>
      <c r="Q1321">
        <v>0.1608588</v>
      </c>
      <c r="R1321">
        <v>-0.59023429999999999</v>
      </c>
      <c r="S1321">
        <v>1.8489070000000001</v>
      </c>
      <c r="T1321">
        <v>-0.62328930000000005</v>
      </c>
      <c r="U1321">
        <v>-2.7734679999999998</v>
      </c>
      <c r="V1321">
        <v>0.24008889999999999</v>
      </c>
      <c r="W1321">
        <v>0.17092560000000001</v>
      </c>
      <c r="X1321">
        <v>0.95558449999999995</v>
      </c>
      <c r="Y1321">
        <v>0.54905959999999998</v>
      </c>
      <c r="Z1321">
        <v>2.078265E-2</v>
      </c>
      <c r="AA1321">
        <v>0.83552469999999901</v>
      </c>
      <c r="AB1321">
        <v>22</v>
      </c>
      <c r="AC1321">
        <v>3.17160000000001</v>
      </c>
      <c r="AD1321">
        <v>-1.1039159246279999</v>
      </c>
      <c r="AE1321">
        <v>-4.8632</v>
      </c>
      <c r="AF1321">
        <v>3.13911335468981</v>
      </c>
      <c r="AG1321">
        <v>-1.1039159246279999</v>
      </c>
      <c r="AH1321">
        <v>4.6416091852969501</v>
      </c>
      <c r="AI1321">
        <v>101.144932727697</v>
      </c>
      <c r="AJ1321">
        <v>55.929569485975897</v>
      </c>
      <c r="AK1321">
        <v>5.7111468945626198</v>
      </c>
      <c r="AL1321">
        <v>80.158360141161296</v>
      </c>
      <c r="AM1321">
        <v>75.896465778374207</v>
      </c>
      <c r="AN1321">
        <v>0.99999998863940898</v>
      </c>
    </row>
    <row r="1322" spans="1:40" x14ac:dyDescent="0.25">
      <c r="A1322" t="str">
        <f>"20190312154821275"</f>
        <v>20190312154821275</v>
      </c>
      <c r="B1322" t="str">
        <f>"1552376901267383"</f>
        <v>1552376901267383</v>
      </c>
      <c r="C1322" t="s">
        <v>40</v>
      </c>
      <c r="D1322">
        <v>4.9649460000000003</v>
      </c>
      <c r="E1322">
        <v>0.6503603</v>
      </c>
      <c r="F1322" t="s">
        <v>45</v>
      </c>
      <c r="G1322">
        <v>-200.80369999999999</v>
      </c>
      <c r="H1322" s="1">
        <v>-2.880324E-6</v>
      </c>
      <c r="I1322">
        <v>360.42899999999997</v>
      </c>
      <c r="J1322">
        <v>-204.0411</v>
      </c>
      <c r="K1322">
        <v>1.103874</v>
      </c>
      <c r="L1322">
        <v>365.44069999999999</v>
      </c>
      <c r="M1322">
        <v>0.91930719999999999</v>
      </c>
      <c r="N1322">
        <v>0</v>
      </c>
      <c r="O1322">
        <v>-0.39326919999999999</v>
      </c>
      <c r="P1322">
        <v>0.7875936</v>
      </c>
      <c r="Q1322">
        <v>0.16517399999999999</v>
      </c>
      <c r="R1322">
        <v>-0.59364459999999997</v>
      </c>
      <c r="S1322">
        <v>1.839523</v>
      </c>
      <c r="T1322">
        <v>-0.60638199999999998</v>
      </c>
      <c r="U1322">
        <v>-2.782654</v>
      </c>
      <c r="V1322">
        <v>0.238951</v>
      </c>
      <c r="W1322">
        <v>0.1752397</v>
      </c>
      <c r="X1322">
        <v>0.95508820000000005</v>
      </c>
      <c r="Y1322">
        <v>0.54755169999999997</v>
      </c>
      <c r="Z1322">
        <v>2.149131E-2</v>
      </c>
      <c r="AA1322">
        <v>0.83649580000000001</v>
      </c>
      <c r="AB1322">
        <v>22</v>
      </c>
      <c r="AC1322">
        <v>3.2374000000000001</v>
      </c>
      <c r="AD1322">
        <v>-1.103876880324</v>
      </c>
      <c r="AE1322">
        <v>-5.0116999999999603</v>
      </c>
      <c r="AF1322">
        <v>3.2241143531204099</v>
      </c>
      <c r="AG1322">
        <v>-1.103876880324</v>
      </c>
      <c r="AH1322">
        <v>4.7838846739284904</v>
      </c>
      <c r="AI1322">
        <v>100.83254128887501</v>
      </c>
      <c r="AJ1322">
        <v>56.021874030946897</v>
      </c>
      <c r="AK1322">
        <v>5.8735857959477196</v>
      </c>
      <c r="AL1322">
        <v>79.907392549590597</v>
      </c>
      <c r="AM1322">
        <v>75.953653243290205</v>
      </c>
      <c r="AN1322">
        <v>1.00000000131816</v>
      </c>
    </row>
    <row r="1323" spans="1:40" x14ac:dyDescent="0.25">
      <c r="A1323" t="str">
        <f>"20190312154821288"</f>
        <v>20190312154821288</v>
      </c>
      <c r="B1323" t="str">
        <f>"1552376901277142"</f>
        <v>1552376901277142</v>
      </c>
      <c r="C1323" t="s">
        <v>40</v>
      </c>
      <c r="D1323">
        <v>5.0108249999999996</v>
      </c>
      <c r="E1323">
        <v>0.65005849999999998</v>
      </c>
      <c r="F1323" t="s">
        <v>45</v>
      </c>
      <c r="G1323">
        <v>-200.64359999999999</v>
      </c>
      <c r="H1323" s="1">
        <v>-2.8372460000000001E-6</v>
      </c>
      <c r="I1323">
        <v>360.25990000000002</v>
      </c>
      <c r="J1323">
        <v>-203.9136</v>
      </c>
      <c r="K1323">
        <v>1.1038220000000001</v>
      </c>
      <c r="L1323">
        <v>365.37799999999999</v>
      </c>
      <c r="M1323">
        <v>0.91657270000000002</v>
      </c>
      <c r="N1323">
        <v>0</v>
      </c>
      <c r="O1323">
        <v>-0.39960050000000003</v>
      </c>
      <c r="P1323">
        <v>0.7836069</v>
      </c>
      <c r="Q1323">
        <v>0.16771910000000001</v>
      </c>
      <c r="R1323">
        <v>-0.59818979999999999</v>
      </c>
      <c r="S1323">
        <v>1.8302149999999999</v>
      </c>
      <c r="T1323">
        <v>-0.59465029999999997</v>
      </c>
      <c r="U1323">
        <v>-2.7908330000000001</v>
      </c>
      <c r="V1323">
        <v>0.2381674</v>
      </c>
      <c r="W1323">
        <v>0.1777793</v>
      </c>
      <c r="X1323">
        <v>0.95481459999999996</v>
      </c>
      <c r="Y1323">
        <v>0.54507289999999997</v>
      </c>
      <c r="Z1323">
        <v>2.259384E-2</v>
      </c>
      <c r="AA1323">
        <v>0.83808419999999895</v>
      </c>
      <c r="AB1323">
        <v>22</v>
      </c>
      <c r="AC1323">
        <v>3.2700000000000098</v>
      </c>
      <c r="AD1323">
        <v>-1.10382483724599</v>
      </c>
      <c r="AE1323">
        <v>-5.1181000000000196</v>
      </c>
      <c r="AF1323">
        <v>3.27655253417374</v>
      </c>
      <c r="AG1323">
        <v>-1.10382483724599</v>
      </c>
      <c r="AH1323">
        <v>4.8816823827295197</v>
      </c>
      <c r="AI1323">
        <v>100.633295027741</v>
      </c>
      <c r="AJ1323">
        <v>56.130752357070499</v>
      </c>
      <c r="AK1323">
        <v>5.9820605702695202</v>
      </c>
      <c r="AL1323">
        <v>79.759563620969999</v>
      </c>
      <c r="AM1323">
        <v>75.994046534075807</v>
      </c>
      <c r="AN1323">
        <v>1.0000000551521999</v>
      </c>
    </row>
    <row r="1324" spans="1:40" x14ac:dyDescent="0.25">
      <c r="A1324" t="str">
        <f>"20190312154821302"</f>
        <v>20190312154821302</v>
      </c>
      <c r="B1324" t="str">
        <f>"1552376901296662"</f>
        <v>1552376901296662</v>
      </c>
      <c r="C1324" t="s">
        <v>40</v>
      </c>
      <c r="D1324">
        <v>5.0025529999999998</v>
      </c>
      <c r="E1324">
        <v>0.64969250000000001</v>
      </c>
      <c r="F1324" t="s">
        <v>45</v>
      </c>
      <c r="G1324">
        <v>-200.50309999999999</v>
      </c>
      <c r="H1324" s="1">
        <v>-2.7983890000000001E-6</v>
      </c>
      <c r="I1324">
        <v>360.11630000000002</v>
      </c>
      <c r="J1324">
        <v>-203.7885</v>
      </c>
      <c r="K1324">
        <v>1.103772</v>
      </c>
      <c r="L1324">
        <v>365.3152</v>
      </c>
      <c r="M1324">
        <v>0.91380669999999997</v>
      </c>
      <c r="N1324">
        <v>0</v>
      </c>
      <c r="O1324">
        <v>-0.40588489999999999</v>
      </c>
      <c r="P1324">
        <v>0.78008409999999995</v>
      </c>
      <c r="Q1324">
        <v>0.16797290000000001</v>
      </c>
      <c r="R1324">
        <v>-0.60270570000000001</v>
      </c>
      <c r="S1324">
        <v>1.8157350000000001</v>
      </c>
      <c r="T1324">
        <v>-0.58767749999999996</v>
      </c>
      <c r="U1324">
        <v>-2.8013309999999998</v>
      </c>
      <c r="V1324">
        <v>0.2371722</v>
      </c>
      <c r="W1324">
        <v>0.17804159999999999</v>
      </c>
      <c r="X1324">
        <v>0.95501340000000001</v>
      </c>
      <c r="Y1324">
        <v>0.54395099999999996</v>
      </c>
      <c r="Z1324">
        <v>2.368255E-2</v>
      </c>
      <c r="AA1324">
        <v>0.83878269999999899</v>
      </c>
      <c r="AB1324">
        <v>22</v>
      </c>
      <c r="AC1324">
        <v>3.2854000000000001</v>
      </c>
      <c r="AD1324">
        <v>-1.1037747983890001</v>
      </c>
      <c r="AE1324">
        <v>-5.1988999999999796</v>
      </c>
      <c r="AF1324">
        <v>3.3110096441381098</v>
      </c>
      <c r="AG1324">
        <v>-1.1037747983890001</v>
      </c>
      <c r="AH1324">
        <v>4.9533688842470998</v>
      </c>
      <c r="AI1324">
        <v>100.49545379038901</v>
      </c>
      <c r="AJ1324">
        <v>56.2398103649167</v>
      </c>
      <c r="AK1324">
        <v>6.05945269579371</v>
      </c>
      <c r="AL1324">
        <v>79.744291023222999</v>
      </c>
      <c r="AM1324">
        <v>76.053071894700295</v>
      </c>
      <c r="AN1324">
        <v>1.0000000289814699</v>
      </c>
    </row>
    <row r="1325" spans="1:40" x14ac:dyDescent="0.25">
      <c r="A1325" t="str">
        <f>"20190312154821317"</f>
        <v>20190312154821317</v>
      </c>
      <c r="B1325" t="str">
        <f>"1552376901307398"</f>
        <v>1552376901307398</v>
      </c>
      <c r="C1325" t="s">
        <v>40</v>
      </c>
      <c r="D1325">
        <v>4.975892</v>
      </c>
      <c r="E1325">
        <v>0.6471249</v>
      </c>
      <c r="F1325" t="s">
        <v>45</v>
      </c>
      <c r="G1325">
        <v>-200.4126</v>
      </c>
      <c r="H1325" s="1">
        <v>-2.7669309999999999E-6</v>
      </c>
      <c r="I1325">
        <v>360.05259999999998</v>
      </c>
      <c r="J1325">
        <v>-203.6558</v>
      </c>
      <c r="K1325">
        <v>1.103715</v>
      </c>
      <c r="L1325">
        <v>365.24720000000002</v>
      </c>
      <c r="M1325">
        <v>0.91078230000000004</v>
      </c>
      <c r="N1325">
        <v>0</v>
      </c>
      <c r="O1325">
        <v>-0.41262569999999998</v>
      </c>
      <c r="P1325">
        <v>0.77651569999999903</v>
      </c>
      <c r="Q1325">
        <v>0.16547770000000001</v>
      </c>
      <c r="R1325">
        <v>-0.60798109999999905</v>
      </c>
      <c r="S1325">
        <v>1.8021389999999999</v>
      </c>
      <c r="T1325">
        <v>-0.5892172</v>
      </c>
      <c r="U1325">
        <v>-2.8092649999999999</v>
      </c>
      <c r="V1325">
        <v>0.23634759999999999</v>
      </c>
      <c r="W1325">
        <v>0.17556079999999999</v>
      </c>
      <c r="X1325">
        <v>0.95567690000000005</v>
      </c>
      <c r="Y1325">
        <v>0.54180459999999997</v>
      </c>
      <c r="Z1325">
        <v>2.5305149999999998E-2</v>
      </c>
      <c r="AA1325">
        <v>0.84012350000000002</v>
      </c>
      <c r="AB1325">
        <v>22</v>
      </c>
      <c r="AC1325">
        <v>3.2431999999999999</v>
      </c>
      <c r="AD1325">
        <v>-1.1037177669310001</v>
      </c>
      <c r="AE1325">
        <v>-5.1946000000000296</v>
      </c>
      <c r="AF1325">
        <v>3.2865308179444401</v>
      </c>
      <c r="AG1325">
        <v>-1.1037177669310001</v>
      </c>
      <c r="AH1325">
        <v>4.9374402925571701</v>
      </c>
      <c r="AI1325">
        <v>100.541343851826</v>
      </c>
      <c r="AJ1325">
        <v>56.350892473181602</v>
      </c>
      <c r="AK1325">
        <v>6.03305845893314</v>
      </c>
      <c r="AL1325">
        <v>79.888705766270306</v>
      </c>
      <c r="AM1325">
        <v>76.108955782941294</v>
      </c>
      <c r="AN1325">
        <v>1.0000000598579999</v>
      </c>
    </row>
    <row r="1326" spans="1:40" x14ac:dyDescent="0.25">
      <c r="A1326" t="str">
        <f>"20190312154821329"</f>
        <v>20190312154821329</v>
      </c>
      <c r="B1326" t="str">
        <f>"1552376901317158"</f>
        <v>1552376901317158</v>
      </c>
      <c r="C1326" t="s">
        <v>40</v>
      </c>
      <c r="D1326">
        <v>4.9827669999999999</v>
      </c>
      <c r="E1326">
        <v>0.64727489999999999</v>
      </c>
      <c r="F1326" t="s">
        <v>45</v>
      </c>
      <c r="G1326">
        <v>-200.67529999999999</v>
      </c>
      <c r="H1326" s="1">
        <v>-2.7728689999999999E-6</v>
      </c>
      <c r="I1326">
        <v>360.6223</v>
      </c>
      <c r="J1326">
        <v>-203.54239999999999</v>
      </c>
      <c r="K1326">
        <v>1.1036699999999999</v>
      </c>
      <c r="L1326">
        <v>365.18830000000003</v>
      </c>
      <c r="M1326">
        <v>0.90813569999999999</v>
      </c>
      <c r="N1326">
        <v>0</v>
      </c>
      <c r="O1326">
        <v>-0.41841830000000002</v>
      </c>
      <c r="P1326">
        <v>0.7727562</v>
      </c>
      <c r="Q1326">
        <v>0.16405239999999999</v>
      </c>
      <c r="R1326">
        <v>-0.61313509999999904</v>
      </c>
      <c r="S1326">
        <v>1.80867</v>
      </c>
      <c r="T1326">
        <v>-0.66978760000000004</v>
      </c>
      <c r="U1326">
        <v>-2.8066409999999999</v>
      </c>
      <c r="V1326">
        <v>0.2364869</v>
      </c>
      <c r="W1326">
        <v>0.17413020000000001</v>
      </c>
      <c r="X1326">
        <v>0.95590410000000003</v>
      </c>
      <c r="Y1326">
        <v>0.53432599999999997</v>
      </c>
      <c r="Z1326">
        <v>3.0854610000000001E-2</v>
      </c>
      <c r="AA1326">
        <v>0.8447152</v>
      </c>
      <c r="AB1326">
        <v>22</v>
      </c>
      <c r="AC1326">
        <v>2.86709999999999</v>
      </c>
      <c r="AD1326">
        <v>-1.1036727728689999</v>
      </c>
      <c r="AE1326">
        <v>-4.56600000000003</v>
      </c>
      <c r="AF1326">
        <v>2.82868491146432</v>
      </c>
      <c r="AG1326">
        <v>-1.1036727728689999</v>
      </c>
      <c r="AH1326">
        <v>4.3331251043269701</v>
      </c>
      <c r="AI1326">
        <v>102.03980679158801</v>
      </c>
      <c r="AJ1326">
        <v>56.863304408069297</v>
      </c>
      <c r="AK1326">
        <v>5.29107976576302</v>
      </c>
      <c r="AL1326">
        <v>79.971955039519003</v>
      </c>
      <c r="AM1326">
        <v>76.104261401788705</v>
      </c>
      <c r="AN1326">
        <v>1.0000000144102299</v>
      </c>
    </row>
    <row r="1327" spans="1:40" x14ac:dyDescent="0.25">
      <c r="A1327" t="str">
        <f>"20190312154821343"</f>
        <v>20190312154821343</v>
      </c>
      <c r="B1327" t="str">
        <f>"1552376901337654"</f>
        <v>1552376901337654</v>
      </c>
      <c r="C1327" t="s">
        <v>40</v>
      </c>
      <c r="D1327">
        <v>4.9654740000000004</v>
      </c>
      <c r="E1327">
        <v>0.64823350000000002</v>
      </c>
      <c r="F1327" t="s">
        <v>45</v>
      </c>
      <c r="G1327">
        <v>-200.61619999999999</v>
      </c>
      <c r="H1327" s="1">
        <v>-2.7528569999999998E-6</v>
      </c>
      <c r="I1327">
        <v>360.57839999999999</v>
      </c>
      <c r="J1327">
        <v>-203.4162</v>
      </c>
      <c r="K1327">
        <v>1.1036239999999999</v>
      </c>
      <c r="L1327">
        <v>365.12150000000003</v>
      </c>
      <c r="M1327">
        <v>0.90511079999999999</v>
      </c>
      <c r="N1327">
        <v>0</v>
      </c>
      <c r="O1327">
        <v>-0.42492150000000001</v>
      </c>
      <c r="P1327">
        <v>0.76825180000000004</v>
      </c>
      <c r="Q1327">
        <v>0.1626145</v>
      </c>
      <c r="R1327">
        <v>-0.61914939999999996</v>
      </c>
      <c r="S1327">
        <v>1.7891079999999999</v>
      </c>
      <c r="T1327">
        <v>-0.67479809999999996</v>
      </c>
      <c r="U1327">
        <v>-2.8185419999999999</v>
      </c>
      <c r="V1327">
        <v>0.23695720000000001</v>
      </c>
      <c r="W1327">
        <v>0.17268049999999999</v>
      </c>
      <c r="X1327">
        <v>0.95605059999999997</v>
      </c>
      <c r="Y1327">
        <v>0.53412630000000005</v>
      </c>
      <c r="Z1327">
        <v>3.2580989999999997E-2</v>
      </c>
      <c r="AA1327">
        <v>0.84477659999999999</v>
      </c>
      <c r="AB1327">
        <v>22</v>
      </c>
      <c r="AC1327">
        <v>2.80000000000001</v>
      </c>
      <c r="AD1327">
        <v>-1.1036267528569901</v>
      </c>
      <c r="AE1327">
        <v>-4.5431000000000301</v>
      </c>
      <c r="AF1327">
        <v>2.8026824157608399</v>
      </c>
      <c r="AG1327">
        <v>-1.1036267528569901</v>
      </c>
      <c r="AH1327">
        <v>4.2821205527146304</v>
      </c>
      <c r="AI1327">
        <v>102.169251062231</v>
      </c>
      <c r="AJ1327">
        <v>56.794929643007599</v>
      </c>
      <c r="AK1327">
        <v>5.2354156626974504</v>
      </c>
      <c r="AL1327">
        <v>80.056294387447707</v>
      </c>
      <c r="AM1327">
        <v>76.079751430777506</v>
      </c>
      <c r="AN1327">
        <v>1.0000000097362201</v>
      </c>
    </row>
    <row r="1328" spans="1:40" x14ac:dyDescent="0.25">
      <c r="A1328" t="str">
        <f>"20190312154821356"</f>
        <v>20190312154821356</v>
      </c>
      <c r="B1328" t="str">
        <f>"1552376901347414"</f>
        <v>1552376901347414</v>
      </c>
      <c r="C1328" t="s">
        <v>40</v>
      </c>
      <c r="D1328">
        <v>4.9438680000000002</v>
      </c>
      <c r="E1328">
        <v>0.64823350000000002</v>
      </c>
      <c r="F1328" t="s">
        <v>45</v>
      </c>
      <c r="G1328">
        <v>-200.5849</v>
      </c>
      <c r="H1328" s="1">
        <v>-2.7406430000000002E-6</v>
      </c>
      <c r="I1328">
        <v>360.56229999999999</v>
      </c>
      <c r="J1328">
        <v>-203.30520000000001</v>
      </c>
      <c r="K1328">
        <v>1.103585</v>
      </c>
      <c r="L1328">
        <v>365.06150000000002</v>
      </c>
      <c r="M1328">
        <v>0.9023755</v>
      </c>
      <c r="N1328">
        <v>0</v>
      </c>
      <c r="O1328">
        <v>-0.43069940000000001</v>
      </c>
      <c r="P1328">
        <v>0.7640361</v>
      </c>
      <c r="Q1328">
        <v>0.16152939999999999</v>
      </c>
      <c r="R1328">
        <v>-0.62462600000000001</v>
      </c>
      <c r="S1328">
        <v>1.762772</v>
      </c>
      <c r="T1328">
        <v>-0.68712269999999998</v>
      </c>
      <c r="U1328">
        <v>-2.838562</v>
      </c>
      <c r="V1328">
        <v>0.23757719999999999</v>
      </c>
      <c r="W1328">
        <v>0.17158180000000001</v>
      </c>
      <c r="X1328">
        <v>0.95609460000000002</v>
      </c>
      <c r="Y1328">
        <v>0.53701109999999996</v>
      </c>
      <c r="Z1328">
        <v>3.4128159999999998E-2</v>
      </c>
      <c r="AA1328">
        <v>0.84288449999999904</v>
      </c>
      <c r="AB1328">
        <v>22</v>
      </c>
      <c r="AC1328">
        <v>2.7202999999999999</v>
      </c>
      <c r="AD1328">
        <v>-1.1035877406429999</v>
      </c>
      <c r="AE1328">
        <v>-4.4992000000000303</v>
      </c>
      <c r="AF1328">
        <v>2.7667497038680202</v>
      </c>
      <c r="AG1328">
        <v>-1.1035877406429999</v>
      </c>
      <c r="AH1328">
        <v>4.2076279386845004</v>
      </c>
      <c r="AI1328">
        <v>102.360930007766</v>
      </c>
      <c r="AJ1328">
        <v>56.672852450256499</v>
      </c>
      <c r="AK1328">
        <v>5.1552829888910701</v>
      </c>
      <c r="AL1328">
        <v>80.120199624988402</v>
      </c>
      <c r="AM1328">
        <v>76.045367886199202</v>
      </c>
      <c r="AN1328">
        <v>1.0000000621001099</v>
      </c>
    </row>
    <row r="1329" spans="1:40" x14ac:dyDescent="0.25">
      <c r="A1329" t="str">
        <f>"20190312154821372"</f>
        <v>20190312154821372</v>
      </c>
      <c r="B1329" t="str">
        <f>"1552376901366934"</f>
        <v>1552376901366934</v>
      </c>
      <c r="C1329" t="s">
        <v>40</v>
      </c>
      <c r="D1329">
        <v>5.0673859999999999</v>
      </c>
      <c r="E1329">
        <v>0.68940869999999999</v>
      </c>
      <c r="F1329" t="s">
        <v>45</v>
      </c>
      <c r="G1329">
        <v>-200.5172</v>
      </c>
      <c r="H1329" s="1">
        <v>-2.7212950000000002E-6</v>
      </c>
      <c r="I1329">
        <v>360.49579999999997</v>
      </c>
      <c r="J1329">
        <v>-203.15469999999999</v>
      </c>
      <c r="K1329">
        <v>1.103532</v>
      </c>
      <c r="L1329">
        <v>364.9787</v>
      </c>
      <c r="M1329">
        <v>0.89857299999999996</v>
      </c>
      <c r="N1329">
        <v>0</v>
      </c>
      <c r="O1329">
        <v>-0.43857649999999998</v>
      </c>
      <c r="P1329">
        <v>0.75730399999999998</v>
      </c>
      <c r="Q1329">
        <v>0.15952249999999901</v>
      </c>
      <c r="R1329">
        <v>-0.6332797</v>
      </c>
      <c r="S1329">
        <v>1.7411799999999999</v>
      </c>
      <c r="T1329">
        <v>-0.68921290000000002</v>
      </c>
      <c r="U1329">
        <v>-2.851318</v>
      </c>
      <c r="V1329">
        <v>0.23989469999999999</v>
      </c>
      <c r="W1329">
        <v>0.16952719999999999</v>
      </c>
      <c r="X1329">
        <v>0.95588240000000002</v>
      </c>
      <c r="Y1329">
        <v>0.53608919999999904</v>
      </c>
      <c r="Z1329">
        <v>3.617103E-2</v>
      </c>
      <c r="AA1329">
        <v>0.84338609999999903</v>
      </c>
      <c r="AB1329">
        <v>22</v>
      </c>
      <c r="AC1329">
        <v>2.6374999999999802</v>
      </c>
      <c r="AD1329">
        <v>-1.103534721295</v>
      </c>
      <c r="AE1329">
        <v>-4.4829000000000203</v>
      </c>
      <c r="AF1329">
        <v>2.74807402165262</v>
      </c>
      <c r="AG1329">
        <v>-1.103534721295</v>
      </c>
      <c r="AH1329">
        <v>4.1497498077392496</v>
      </c>
      <c r="AI1329">
        <v>102.50131864337099</v>
      </c>
      <c r="AJ1329">
        <v>56.486421199640702</v>
      </c>
      <c r="AK1329">
        <v>5.0980509193629704</v>
      </c>
      <c r="AL1329">
        <v>80.239669886979996</v>
      </c>
      <c r="AM1329">
        <v>75.911635944771504</v>
      </c>
      <c r="AN1329">
        <v>1.00000005062884</v>
      </c>
    </row>
    <row r="1330" spans="1:40" x14ac:dyDescent="0.25">
      <c r="A1330" t="str">
        <f>"20190312154821384"</f>
        <v>20190312154821384</v>
      </c>
      <c r="B1330" t="str">
        <f>"1552376901377670"</f>
        <v>1552376901377670</v>
      </c>
      <c r="C1330" t="s">
        <v>40</v>
      </c>
      <c r="D1330">
        <v>5.0791440000000003</v>
      </c>
      <c r="E1330">
        <v>0.69523380000000001</v>
      </c>
      <c r="F1330" t="s">
        <v>45</v>
      </c>
      <c r="G1330">
        <v>-200.9785</v>
      </c>
      <c r="H1330" s="1">
        <v>-2.9617119999999999E-6</v>
      </c>
      <c r="I1330">
        <v>360.45870000000002</v>
      </c>
      <c r="J1330">
        <v>-203.05260000000001</v>
      </c>
      <c r="K1330">
        <v>1.1035010000000001</v>
      </c>
      <c r="L1330">
        <v>364.92189999999999</v>
      </c>
      <c r="M1330">
        <v>0.89593319999999999</v>
      </c>
      <c r="N1330">
        <v>0</v>
      </c>
      <c r="O1330">
        <v>-0.44394410000000001</v>
      </c>
      <c r="P1330">
        <v>0.7527549</v>
      </c>
      <c r="Q1330">
        <v>0.1576661</v>
      </c>
      <c r="R1330">
        <v>-0.63914190000000004</v>
      </c>
      <c r="S1330">
        <v>1.506195</v>
      </c>
      <c r="T1330">
        <v>-0.76380680000000001</v>
      </c>
      <c r="U1330">
        <v>-3.1285099999999999</v>
      </c>
      <c r="V1330">
        <v>0.2414077</v>
      </c>
      <c r="W1330">
        <v>0.1676406</v>
      </c>
      <c r="X1330">
        <v>0.95583419999999997</v>
      </c>
      <c r="Y1330">
        <v>0.61075740000000001</v>
      </c>
      <c r="Z1330">
        <v>3.010179E-2</v>
      </c>
      <c r="AA1330">
        <v>0.79124539999999999</v>
      </c>
      <c r="AB1330">
        <v>22</v>
      </c>
      <c r="AC1330">
        <v>2.0741000000000098</v>
      </c>
      <c r="AD1330">
        <v>-1.1035039617119999</v>
      </c>
      <c r="AE1330">
        <v>-4.4631999999999703</v>
      </c>
      <c r="AF1330">
        <v>2.93093166257357</v>
      </c>
      <c r="AG1330">
        <v>-1.1035039617119999</v>
      </c>
      <c r="AH1330">
        <v>3.6562710383354999</v>
      </c>
      <c r="AI1330">
        <v>103.251104727464</v>
      </c>
      <c r="AJ1330">
        <v>51.283718846296303</v>
      </c>
      <c r="AK1330">
        <v>4.81418729485687</v>
      </c>
      <c r="AL1330">
        <v>80.349333530943397</v>
      </c>
      <c r="AM1330">
        <v>75.825665996062398</v>
      </c>
      <c r="AN1330">
        <v>1.0000000331386401</v>
      </c>
    </row>
    <row r="1331" spans="1:40" x14ac:dyDescent="0.25">
      <c r="A1331" t="str">
        <f>"20190312154821396"</f>
        <v>20190312154821396</v>
      </c>
      <c r="B1331" t="str">
        <f>"1552376901387430"</f>
        <v>1552376901387430</v>
      </c>
      <c r="C1331" t="s">
        <v>40</v>
      </c>
      <c r="D1331">
        <v>5.0621960000000001</v>
      </c>
      <c r="E1331">
        <v>0.69818239999999998</v>
      </c>
      <c r="F1331" t="s">
        <v>45</v>
      </c>
      <c r="G1331">
        <v>-201.0607</v>
      </c>
      <c r="H1331" s="1">
        <v>-2.977274E-6</v>
      </c>
      <c r="I1331">
        <v>360.57490000000001</v>
      </c>
      <c r="J1331">
        <v>-202.95500000000001</v>
      </c>
      <c r="K1331">
        <v>1.1034679999999999</v>
      </c>
      <c r="L1331">
        <v>364.86619999999999</v>
      </c>
      <c r="M1331">
        <v>0.89334380000000002</v>
      </c>
      <c r="N1331">
        <v>0</v>
      </c>
      <c r="O1331">
        <v>-0.44913110000000001</v>
      </c>
      <c r="P1331">
        <v>0.74812290000000004</v>
      </c>
      <c r="Q1331">
        <v>0.1557151</v>
      </c>
      <c r="R1331">
        <v>-0.64503109999999997</v>
      </c>
      <c r="S1331">
        <v>1.456161</v>
      </c>
      <c r="T1331">
        <v>-0.80671179999999998</v>
      </c>
      <c r="U1331">
        <v>-3.177826</v>
      </c>
      <c r="V1331">
        <v>0.24316460000000001</v>
      </c>
      <c r="W1331">
        <v>0.16565650000000001</v>
      </c>
      <c r="X1331">
        <v>0.95573470000000005</v>
      </c>
      <c r="Y1331">
        <v>0.62062910000000004</v>
      </c>
      <c r="Z1331">
        <v>3.1498249999999998E-2</v>
      </c>
      <c r="AA1331">
        <v>0.78347129999999998</v>
      </c>
      <c r="AB1331">
        <v>22</v>
      </c>
      <c r="AC1331">
        <v>1.8943000000000101</v>
      </c>
      <c r="AD1331">
        <v>-1.1034709772739999</v>
      </c>
      <c r="AE1331">
        <v>-4.2912999999999704</v>
      </c>
      <c r="AF1331">
        <v>2.82671625897573</v>
      </c>
      <c r="AG1331">
        <v>-1.1034709772739999</v>
      </c>
      <c r="AH1331">
        <v>3.4301905846713501</v>
      </c>
      <c r="AI1331">
        <v>103.942337993705</v>
      </c>
      <c r="AJ1331">
        <v>50.5090976325477</v>
      </c>
      <c r="AK1331">
        <v>4.5797576850322299</v>
      </c>
      <c r="AL1331">
        <v>80.464625591202505</v>
      </c>
      <c r="AM1331">
        <v>75.725284735083406</v>
      </c>
      <c r="AN1331">
        <v>0.99999995773474903</v>
      </c>
    </row>
    <row r="1332" spans="1:40" x14ac:dyDescent="0.25">
      <c r="A1332" t="str">
        <f>"20190312154821405"</f>
        <v>20190312154821405</v>
      </c>
      <c r="B1332" t="str">
        <f>"1552376901397190"</f>
        <v>1552376901397190</v>
      </c>
      <c r="C1332" t="s">
        <v>40</v>
      </c>
      <c r="D1332">
        <v>5.0717049999999997</v>
      </c>
      <c r="E1332">
        <v>0.70009889999999997</v>
      </c>
      <c r="F1332" t="s">
        <v>45</v>
      </c>
      <c r="G1332">
        <v>-201.0591</v>
      </c>
      <c r="H1332" s="1">
        <v>-2.9773580000000002E-6</v>
      </c>
      <c r="I1332">
        <v>360.57100000000003</v>
      </c>
      <c r="J1332">
        <v>-202.86340000000001</v>
      </c>
      <c r="K1332">
        <v>1.1034360000000001</v>
      </c>
      <c r="L1332">
        <v>364.81369999999998</v>
      </c>
      <c r="M1332">
        <v>0.89088269999999903</v>
      </c>
      <c r="N1332">
        <v>0</v>
      </c>
      <c r="O1332">
        <v>-0.45399339999999999</v>
      </c>
      <c r="P1332">
        <v>0.74404049999999999</v>
      </c>
      <c r="Q1332">
        <v>0.1536931</v>
      </c>
      <c r="R1332">
        <v>-0.65021719999999905</v>
      </c>
      <c r="S1332">
        <v>1.4158630000000001</v>
      </c>
      <c r="T1332">
        <v>-0.82410569999999905</v>
      </c>
      <c r="U1332">
        <v>-3.2077330000000002</v>
      </c>
      <c r="V1332">
        <v>0.24438570000000001</v>
      </c>
      <c r="W1332">
        <v>0.16361239999999999</v>
      </c>
      <c r="X1332">
        <v>0.95577540000000005</v>
      </c>
      <c r="Y1332">
        <v>0.62707570000000001</v>
      </c>
      <c r="Z1332">
        <v>3.2431219999999997E-2</v>
      </c>
      <c r="AA1332">
        <v>0.7782829</v>
      </c>
      <c r="AB1332">
        <v>22</v>
      </c>
      <c r="AC1332">
        <v>1.80430000000001</v>
      </c>
      <c r="AD1332">
        <v>-1.103438977358</v>
      </c>
      <c r="AE1332">
        <v>-4.2427000000000099</v>
      </c>
      <c r="AF1332">
        <v>2.80051269050441</v>
      </c>
      <c r="AG1332">
        <v>-1.103438977358</v>
      </c>
      <c r="AH1332">
        <v>3.3424990314056902</v>
      </c>
      <c r="AI1332">
        <v>104.200342272439</v>
      </c>
      <c r="AJ1332">
        <v>50.042042878786802</v>
      </c>
      <c r="AK1332">
        <v>4.4980827784042798</v>
      </c>
      <c r="AL1332">
        <v>80.583364567049998</v>
      </c>
      <c r="AM1332">
        <v>75.657137690239097</v>
      </c>
      <c r="AN1332">
        <v>1.0000000015217001</v>
      </c>
    </row>
    <row r="1333" spans="1:40" x14ac:dyDescent="0.25">
      <c r="A1333" t="str">
        <f>"20190312154821416"</f>
        <v>20190312154821416</v>
      </c>
      <c r="B1333" t="str">
        <f>"1552376901406951"</f>
        <v>1552376901406951</v>
      </c>
      <c r="C1333" t="s">
        <v>40</v>
      </c>
      <c r="D1333">
        <v>5.0142889999999998</v>
      </c>
      <c r="E1333">
        <v>0.70077869999999998</v>
      </c>
      <c r="F1333" t="s">
        <v>45</v>
      </c>
      <c r="G1333">
        <v>-201.04320000000001</v>
      </c>
      <c r="H1333" s="1">
        <v>-2.9705070000000002E-6</v>
      </c>
      <c r="I1333">
        <v>360.56569999999999</v>
      </c>
      <c r="J1333">
        <v>-202.76400000000001</v>
      </c>
      <c r="K1333">
        <v>1.1034010000000001</v>
      </c>
      <c r="L1333">
        <v>364.75549999999998</v>
      </c>
      <c r="M1333">
        <v>0.88814680000000001</v>
      </c>
      <c r="N1333">
        <v>0</v>
      </c>
      <c r="O1333">
        <v>-0.45932210000000001</v>
      </c>
      <c r="P1333">
        <v>0.73940600000000001</v>
      </c>
      <c r="Q1333">
        <v>0.15147099999999999</v>
      </c>
      <c r="R1333">
        <v>-0.65599969999999996</v>
      </c>
      <c r="S1333">
        <v>1.383545</v>
      </c>
      <c r="T1333">
        <v>-0.83872599999999997</v>
      </c>
      <c r="U1333">
        <v>-3.2289430000000001</v>
      </c>
      <c r="V1333">
        <v>0.2458755</v>
      </c>
      <c r="W1333">
        <v>0.16136339999999999</v>
      </c>
      <c r="X1333">
        <v>0.95577570000000001</v>
      </c>
      <c r="Y1333">
        <v>0.63072039999999996</v>
      </c>
      <c r="Z1333">
        <v>3.385726E-2</v>
      </c>
      <c r="AA1333">
        <v>0.77527119999999905</v>
      </c>
      <c r="AB1333">
        <v>22</v>
      </c>
      <c r="AC1333">
        <v>1.7207999999999899</v>
      </c>
      <c r="AD1333">
        <v>-1.103403970507</v>
      </c>
      <c r="AE1333">
        <v>-4.1897999999999902</v>
      </c>
      <c r="AF1333">
        <v>2.7668754984566402</v>
      </c>
      <c r="AG1333">
        <v>-1.103403970507</v>
      </c>
      <c r="AH1333">
        <v>3.2597193846716501</v>
      </c>
      <c r="AI1333">
        <v>104.470353923709</v>
      </c>
      <c r="AJ1333">
        <v>49.675140449222603</v>
      </c>
      <c r="AK1333">
        <v>4.4157525760502603</v>
      </c>
      <c r="AL1333">
        <v>80.713958766595297</v>
      </c>
      <c r="AM1333">
        <v>75.573345163905003</v>
      </c>
      <c r="AN1333">
        <v>1.0000000485351399</v>
      </c>
    </row>
    <row r="1334" spans="1:40" x14ac:dyDescent="0.25">
      <c r="A1334" t="str">
        <f>"20190312154821429"</f>
        <v>20190312154821429</v>
      </c>
      <c r="B1334" t="str">
        <f>"1552376901417687"</f>
        <v>1552376901417687</v>
      </c>
      <c r="C1334" t="s">
        <v>40</v>
      </c>
      <c r="D1334">
        <v>5.0578110000000001</v>
      </c>
      <c r="E1334">
        <v>0.70076070000000001</v>
      </c>
      <c r="F1334" t="s">
        <v>45</v>
      </c>
      <c r="G1334">
        <v>-200.99170000000001</v>
      </c>
      <c r="H1334" s="1">
        <v>-2.957629E-6</v>
      </c>
      <c r="I1334">
        <v>360.50700000000001</v>
      </c>
      <c r="J1334">
        <v>-202.66079999999999</v>
      </c>
      <c r="K1334">
        <v>1.1033679999999999</v>
      </c>
      <c r="L1334">
        <v>364.69450000000001</v>
      </c>
      <c r="M1334">
        <v>0.8852582</v>
      </c>
      <c r="N1334">
        <v>0</v>
      </c>
      <c r="O1334">
        <v>-0.46486470000000002</v>
      </c>
      <c r="P1334">
        <v>0.73480159999999906</v>
      </c>
      <c r="Q1334">
        <v>0.14919070000000001</v>
      </c>
      <c r="R1334">
        <v>-0.66167129999999996</v>
      </c>
      <c r="S1334">
        <v>1.3527830000000001</v>
      </c>
      <c r="T1334">
        <v>-0.84221599999999996</v>
      </c>
      <c r="U1334">
        <v>-3.2428279999999998</v>
      </c>
      <c r="V1334">
        <v>0.24701110000000001</v>
      </c>
      <c r="W1334">
        <v>0.1590637</v>
      </c>
      <c r="X1334">
        <v>0.9558683</v>
      </c>
      <c r="Y1334">
        <v>0.63332409999999995</v>
      </c>
      <c r="Z1334">
        <v>3.5138589999999997E-2</v>
      </c>
      <c r="AA1334">
        <v>0.77308849999999996</v>
      </c>
      <c r="AB1334">
        <v>22</v>
      </c>
      <c r="AC1334">
        <v>1.66909999999998</v>
      </c>
      <c r="AD1334">
        <v>-1.1033709576289901</v>
      </c>
      <c r="AE1334">
        <v>-4.1875000000000497</v>
      </c>
      <c r="AF1334">
        <v>2.76573913565674</v>
      </c>
      <c r="AG1334">
        <v>-1.1033709576289901</v>
      </c>
      <c r="AH1334">
        <v>3.2310111308425098</v>
      </c>
      <c r="AI1334">
        <v>104.54352905716</v>
      </c>
      <c r="AJ1334">
        <v>49.436539905933401</v>
      </c>
      <c r="AK1334">
        <v>4.3938790793865303</v>
      </c>
      <c r="AL1334">
        <v>80.847445563571398</v>
      </c>
      <c r="AM1334">
        <v>75.510858007306197</v>
      </c>
      <c r="AN1334">
        <v>0.99999997556289399</v>
      </c>
    </row>
    <row r="1335" spans="1:40" x14ac:dyDescent="0.25">
      <c r="A1335" t="str">
        <f>"20190312154821440"</f>
        <v>20190312154821440</v>
      </c>
      <c r="B1335" t="str">
        <f>"1552376901437207"</f>
        <v>1552376901437207</v>
      </c>
      <c r="C1335" t="s">
        <v>40</v>
      </c>
      <c r="D1335">
        <v>5.0870249999999997</v>
      </c>
      <c r="E1335">
        <v>0.70035849999999999</v>
      </c>
      <c r="F1335" t="s">
        <v>45</v>
      </c>
      <c r="G1335">
        <v>-200.92420000000001</v>
      </c>
      <c r="H1335" s="1">
        <v>-2.9406159999999999E-6</v>
      </c>
      <c r="I1335">
        <v>360.43049999999999</v>
      </c>
      <c r="J1335">
        <v>-202.5668</v>
      </c>
      <c r="K1335">
        <v>1.1033389999999901</v>
      </c>
      <c r="L1335">
        <v>364.63799999999998</v>
      </c>
      <c r="M1335">
        <v>0.88257289999999899</v>
      </c>
      <c r="N1335">
        <v>0</v>
      </c>
      <c r="O1335">
        <v>-0.46994219999999998</v>
      </c>
      <c r="P1335">
        <v>0.73061540000000003</v>
      </c>
      <c r="Q1335">
        <v>0.1468245</v>
      </c>
      <c r="R1335">
        <v>-0.66681610000000002</v>
      </c>
      <c r="S1335">
        <v>1.3247530000000001</v>
      </c>
      <c r="T1335">
        <v>-0.84168290000000001</v>
      </c>
      <c r="U1335">
        <v>-3.2526250000000001</v>
      </c>
      <c r="V1335">
        <v>0.2479759</v>
      </c>
      <c r="W1335">
        <v>0.15668299999999999</v>
      </c>
      <c r="X1335">
        <v>0.95601170000000002</v>
      </c>
      <c r="Y1335">
        <v>0.63545450000000003</v>
      </c>
      <c r="Z1335">
        <v>3.6230760000000001E-2</v>
      </c>
      <c r="AA1335">
        <v>0.77128779999999997</v>
      </c>
      <c r="AB1335">
        <v>22</v>
      </c>
      <c r="AC1335">
        <v>1.6425999999999801</v>
      </c>
      <c r="AD1335">
        <v>-1.1033419406160001</v>
      </c>
      <c r="AE1335">
        <v>-4.2075000000000298</v>
      </c>
      <c r="AF1335">
        <v>2.7761641316251602</v>
      </c>
      <c r="AG1335">
        <v>-1.1033419406160001</v>
      </c>
      <c r="AH1335">
        <v>3.2343731539491101</v>
      </c>
      <c r="AI1335">
        <v>104.512651371198</v>
      </c>
      <c r="AJ1335">
        <v>49.359470664435101</v>
      </c>
      <c r="AK1335">
        <v>4.4029104490815101</v>
      </c>
      <c r="AL1335">
        <v>80.985582113967794</v>
      </c>
      <c r="AM1335">
        <v>75.458749245408001</v>
      </c>
      <c r="AN1335">
        <v>0.99999999000334905</v>
      </c>
    </row>
    <row r="1336" spans="1:40" x14ac:dyDescent="0.25">
      <c r="A1336" t="str">
        <f>"20190312154821451"</f>
        <v>20190312154821451</v>
      </c>
      <c r="B1336" t="str">
        <f>"1552376901446967"</f>
        <v>1552376901446967</v>
      </c>
      <c r="C1336" t="s">
        <v>40</v>
      </c>
      <c r="D1336">
        <v>5.1065559999999897</v>
      </c>
      <c r="E1336">
        <v>0.70053920000000003</v>
      </c>
      <c r="F1336" t="s">
        <v>45</v>
      </c>
      <c r="G1336">
        <v>-200.85550000000001</v>
      </c>
      <c r="H1336" s="1">
        <v>-2.9238389999999999E-6</v>
      </c>
      <c r="I1336">
        <v>360.3503</v>
      </c>
      <c r="J1336">
        <v>-202.4716</v>
      </c>
      <c r="K1336">
        <v>1.103316</v>
      </c>
      <c r="L1336">
        <v>364.58</v>
      </c>
      <c r="M1336">
        <v>0.879803</v>
      </c>
      <c r="N1336">
        <v>0</v>
      </c>
      <c r="O1336">
        <v>-0.47510740000000001</v>
      </c>
      <c r="P1336">
        <v>0.72634519999999902</v>
      </c>
      <c r="Q1336">
        <v>0.14398159999999999</v>
      </c>
      <c r="R1336">
        <v>-0.67208029999999996</v>
      </c>
      <c r="S1336">
        <v>1.3005979999999999</v>
      </c>
      <c r="T1336">
        <v>-0.83851399999999998</v>
      </c>
      <c r="U1336">
        <v>-3.258575</v>
      </c>
      <c r="V1336">
        <v>0.24897079999999999</v>
      </c>
      <c r="W1336">
        <v>0.15382560000000001</v>
      </c>
      <c r="X1336">
        <v>0.95621719999999999</v>
      </c>
      <c r="Y1336">
        <v>0.63644730000000005</v>
      </c>
      <c r="Z1336">
        <v>3.7428940000000001E-2</v>
      </c>
      <c r="AA1336">
        <v>0.77041159999999997</v>
      </c>
      <c r="AB1336">
        <v>22</v>
      </c>
      <c r="AC1336">
        <v>1.6160999999999801</v>
      </c>
      <c r="AD1336">
        <v>-1.103318923839</v>
      </c>
      <c r="AE1336">
        <v>-4.2296999999999798</v>
      </c>
      <c r="AF1336">
        <v>2.7882537865788199</v>
      </c>
      <c r="AG1336">
        <v>-1.103318923839</v>
      </c>
      <c r="AH1336">
        <v>3.2394464773303899</v>
      </c>
      <c r="AI1336">
        <v>104.474215759378</v>
      </c>
      <c r="AJ1336">
        <v>49.280789617337597</v>
      </c>
      <c r="AK1336">
        <v>4.4142593156225702</v>
      </c>
      <c r="AL1336">
        <v>81.151309219188406</v>
      </c>
      <c r="AM1336">
        <v>75.405898885027895</v>
      </c>
      <c r="AN1336">
        <v>1.0000000540219101</v>
      </c>
    </row>
    <row r="1337" spans="1:40" x14ac:dyDescent="0.25">
      <c r="A1337" t="str">
        <f>"20190312154821461"</f>
        <v>20190312154821461</v>
      </c>
      <c r="B1337" t="str">
        <f>"1552376901457702"</f>
        <v>1552376901457702</v>
      </c>
      <c r="C1337" t="s">
        <v>40</v>
      </c>
      <c r="D1337">
        <v>5.1206379999999996</v>
      </c>
      <c r="E1337">
        <v>0.70046540000000002</v>
      </c>
      <c r="F1337" t="s">
        <v>45</v>
      </c>
      <c r="G1337">
        <v>-200.8159</v>
      </c>
      <c r="H1337" s="1">
        <v>-2.9072939999999999E-6</v>
      </c>
      <c r="I1337">
        <v>360.33510000000001</v>
      </c>
      <c r="J1337">
        <v>-202.37370000000001</v>
      </c>
      <c r="K1337">
        <v>1.103294</v>
      </c>
      <c r="L1337">
        <v>364.51960000000003</v>
      </c>
      <c r="M1337">
        <v>0.87690630000000003</v>
      </c>
      <c r="N1337">
        <v>0</v>
      </c>
      <c r="O1337">
        <v>-0.48043259999999999</v>
      </c>
      <c r="P1337">
        <v>0.72189619999999999</v>
      </c>
      <c r="Q1337">
        <v>0.14169989999999999</v>
      </c>
      <c r="R1337">
        <v>-0.6773382</v>
      </c>
      <c r="S1337">
        <v>1.2747040000000001</v>
      </c>
      <c r="T1337">
        <v>-0.84945539999999997</v>
      </c>
      <c r="U1337">
        <v>-3.2681269999999998</v>
      </c>
      <c r="V1337">
        <v>0.2498687</v>
      </c>
      <c r="W1337">
        <v>0.15153159999999999</v>
      </c>
      <c r="X1337">
        <v>0.95634920000000001</v>
      </c>
      <c r="Y1337">
        <v>0.63778509999999999</v>
      </c>
      <c r="Z1337">
        <v>3.9217549999999997E-2</v>
      </c>
      <c r="AA1337">
        <v>0.76921519999999899</v>
      </c>
      <c r="AB1337">
        <v>22</v>
      </c>
      <c r="AC1337">
        <v>1.5578000000000101</v>
      </c>
      <c r="AD1337">
        <v>-1.103296907294</v>
      </c>
      <c r="AE1337">
        <v>-4.1845000000000097</v>
      </c>
      <c r="AF1337">
        <v>2.75321671644955</v>
      </c>
      <c r="AG1337">
        <v>-1.103296907294</v>
      </c>
      <c r="AH1337">
        <v>3.1824761781851598</v>
      </c>
      <c r="AI1337">
        <v>104.691269851093</v>
      </c>
      <c r="AJ1337">
        <v>49.136334808487497</v>
      </c>
      <c r="AK1337">
        <v>4.35035871832401</v>
      </c>
      <c r="AL1337">
        <v>81.284304479708695</v>
      </c>
      <c r="AM1337">
        <v>75.357459190140005</v>
      </c>
      <c r="AN1337">
        <v>0.99999999268944495</v>
      </c>
    </row>
    <row r="1338" spans="1:40" x14ac:dyDescent="0.25">
      <c r="A1338" t="str">
        <f>"20190312154821473"</f>
        <v>20190312154821473</v>
      </c>
      <c r="B1338" t="str">
        <f>"1552376901467462"</f>
        <v>1552376901467462</v>
      </c>
      <c r="C1338" t="s">
        <v>40</v>
      </c>
      <c r="D1338">
        <v>5.0943940000000003</v>
      </c>
      <c r="E1338">
        <v>0.7001387</v>
      </c>
      <c r="F1338" t="s">
        <v>45</v>
      </c>
      <c r="G1338">
        <v>-200.76900000000001</v>
      </c>
      <c r="H1338" s="1">
        <v>-2.887966E-6</v>
      </c>
      <c r="I1338">
        <v>360.31569999999999</v>
      </c>
      <c r="J1338">
        <v>-202.28290000000001</v>
      </c>
      <c r="K1338">
        <v>1.103278</v>
      </c>
      <c r="L1338">
        <v>364.46260000000001</v>
      </c>
      <c r="M1338">
        <v>0.87416510000000003</v>
      </c>
      <c r="N1338">
        <v>0</v>
      </c>
      <c r="O1338">
        <v>-0.4854021</v>
      </c>
      <c r="P1338">
        <v>0.71765829999999997</v>
      </c>
      <c r="Q1338">
        <v>0.1401181</v>
      </c>
      <c r="R1338">
        <v>-0.68215329999999996</v>
      </c>
      <c r="S1338">
        <v>1.2505649999999999</v>
      </c>
      <c r="T1338">
        <v>-0.85980630000000002</v>
      </c>
      <c r="U1338">
        <v>-3.276154</v>
      </c>
      <c r="V1338">
        <v>0.25066650000000001</v>
      </c>
      <c r="W1338">
        <v>0.149938299999999</v>
      </c>
      <c r="X1338">
        <v>0.95639160000000001</v>
      </c>
      <c r="Y1338">
        <v>0.63894490000000004</v>
      </c>
      <c r="Z1338">
        <v>4.0947089999999998E-2</v>
      </c>
      <c r="AA1338">
        <v>0.76816189999999995</v>
      </c>
      <c r="AB1338">
        <v>22</v>
      </c>
      <c r="AC1338">
        <v>1.5139</v>
      </c>
      <c r="AD1338">
        <v>-1.1032808879660001</v>
      </c>
      <c r="AE1338">
        <v>-4.1469000000000102</v>
      </c>
      <c r="AF1338">
        <v>2.7206181568794201</v>
      </c>
      <c r="AG1338">
        <v>-1.1032808879660001</v>
      </c>
      <c r="AH1338">
        <v>3.1405279370838799</v>
      </c>
      <c r="AI1338">
        <v>104.87037653859799</v>
      </c>
      <c r="AJ1338">
        <v>49.097837071787197</v>
      </c>
      <c r="AK1338">
        <v>4.2990589199146099</v>
      </c>
      <c r="AL1338">
        <v>81.376649378469097</v>
      </c>
      <c r="AM1338">
        <v>75.313348668231697</v>
      </c>
      <c r="AN1338">
        <v>1.0000000402898399</v>
      </c>
    </row>
    <row r="1339" spans="1:40" x14ac:dyDescent="0.25">
      <c r="A1339" t="str">
        <f>"20190312154821487"</f>
        <v>20190312154821487</v>
      </c>
      <c r="B1339" t="str">
        <f>"1552376901477222"</f>
        <v>1552376901477222</v>
      </c>
      <c r="C1339" t="s">
        <v>40</v>
      </c>
      <c r="D1339">
        <v>5.1046639999999996</v>
      </c>
      <c r="E1339">
        <v>0.69987500000000002</v>
      </c>
      <c r="F1339" t="s">
        <v>45</v>
      </c>
      <c r="G1339">
        <v>-200.71260000000001</v>
      </c>
      <c r="H1339" s="1">
        <v>-2.8693659999999999E-6</v>
      </c>
      <c r="I1339">
        <v>360.27159999999998</v>
      </c>
      <c r="J1339">
        <v>-202.16059999999999</v>
      </c>
      <c r="K1339">
        <v>1.103261</v>
      </c>
      <c r="L1339">
        <v>364.38510000000002</v>
      </c>
      <c r="M1339">
        <v>0.87041239999999998</v>
      </c>
      <c r="N1339">
        <v>0</v>
      </c>
      <c r="O1339">
        <v>-0.49209950000000002</v>
      </c>
      <c r="P1339">
        <v>0.71193390000000001</v>
      </c>
      <c r="Q1339">
        <v>0.1390787</v>
      </c>
      <c r="R1339">
        <v>-0.68833679999999997</v>
      </c>
      <c r="S1339">
        <v>1.229584</v>
      </c>
      <c r="T1339">
        <v>-0.86391200000000001</v>
      </c>
      <c r="U1339">
        <v>-3.2817080000000001</v>
      </c>
      <c r="V1339">
        <v>0.25148470000000001</v>
      </c>
      <c r="W1339">
        <v>0.14888779999999999</v>
      </c>
      <c r="X1339">
        <v>0.95634090000000005</v>
      </c>
      <c r="Y1339">
        <v>0.63788999999999996</v>
      </c>
      <c r="Z1339">
        <v>4.3270240000000001E-2</v>
      </c>
      <c r="AA1339">
        <v>0.76891089999999995</v>
      </c>
      <c r="AB1339">
        <v>22</v>
      </c>
      <c r="AC1339">
        <v>1.44799999999997</v>
      </c>
      <c r="AD1339">
        <v>-1.103263869366</v>
      </c>
      <c r="AE1339">
        <v>-4.1135000000000401</v>
      </c>
      <c r="AF1339">
        <v>2.6956654393171902</v>
      </c>
      <c r="AG1339">
        <v>-1.103263869366</v>
      </c>
      <c r="AH1339">
        <v>3.08736814847687</v>
      </c>
      <c r="AI1339">
        <v>105.06584031880099</v>
      </c>
      <c r="AJ1339">
        <v>48.874901451730103</v>
      </c>
      <c r="AK1339">
        <v>4.2444841159329396</v>
      </c>
      <c r="AL1339">
        <v>81.437521758343607</v>
      </c>
      <c r="AM1339">
        <v>75.266745030061799</v>
      </c>
      <c r="AN1339">
        <v>1.0000000241678699</v>
      </c>
    </row>
    <row r="1340" spans="1:40" x14ac:dyDescent="0.25">
      <c r="A1340" t="str">
        <f>"20190312154821500"</f>
        <v>20190312154821500</v>
      </c>
      <c r="B1340" t="str">
        <f>"1552376901497718"</f>
        <v>1552376901497718</v>
      </c>
      <c r="C1340" t="s">
        <v>40</v>
      </c>
      <c r="D1340">
        <v>5.031015</v>
      </c>
      <c r="E1340">
        <v>0.69957040000000004</v>
      </c>
      <c r="F1340" t="s">
        <v>45</v>
      </c>
      <c r="G1340">
        <v>-200.63059999999999</v>
      </c>
      <c r="H1340" s="1">
        <v>-2.844024E-6</v>
      </c>
      <c r="I1340">
        <v>360.19979999999998</v>
      </c>
      <c r="J1340">
        <v>-202.05160000000001</v>
      </c>
      <c r="K1340">
        <v>1.103253</v>
      </c>
      <c r="L1340">
        <v>364.31450000000001</v>
      </c>
      <c r="M1340">
        <v>0.86698790000000003</v>
      </c>
      <c r="N1340">
        <v>0</v>
      </c>
      <c r="O1340">
        <v>-0.49810759999999998</v>
      </c>
      <c r="P1340">
        <v>0.70669630000000005</v>
      </c>
      <c r="Q1340">
        <v>0.13805599999999901</v>
      </c>
      <c r="R1340">
        <v>-0.69391689999999995</v>
      </c>
      <c r="S1340">
        <v>1.2026209999999999</v>
      </c>
      <c r="T1340">
        <v>-0.86717089999999997</v>
      </c>
      <c r="U1340">
        <v>-3.2896730000000001</v>
      </c>
      <c r="V1340">
        <v>0.25228099999999998</v>
      </c>
      <c r="W1340">
        <v>0.1478546</v>
      </c>
      <c r="X1340">
        <v>0.95629140000000001</v>
      </c>
      <c r="Y1340">
        <v>0.63878449999999998</v>
      </c>
      <c r="Z1340">
        <v>4.506918E-2</v>
      </c>
      <c r="AA1340">
        <v>0.76806450000000004</v>
      </c>
      <c r="AB1340">
        <v>22</v>
      </c>
      <c r="AC1340">
        <v>1.42100000000002</v>
      </c>
      <c r="AD1340">
        <v>-1.1032558440239999</v>
      </c>
      <c r="AE1340">
        <v>-4.1147000000000196</v>
      </c>
      <c r="AF1340">
        <v>2.68729298687215</v>
      </c>
      <c r="AG1340">
        <v>-1.1032558440239999</v>
      </c>
      <c r="AH1340">
        <v>3.0838381052066901</v>
      </c>
      <c r="AI1340">
        <v>105.094433402974</v>
      </c>
      <c r="AJ1340">
        <v>48.930720956599203</v>
      </c>
      <c r="AK1340">
        <v>4.2365994044504802</v>
      </c>
      <c r="AL1340">
        <v>81.497381793418597</v>
      </c>
      <c r="AM1340">
        <v>75.221400860022499</v>
      </c>
      <c r="AN1340">
        <v>0.99999996370805899</v>
      </c>
    </row>
    <row r="1341" spans="1:40" x14ac:dyDescent="0.25">
      <c r="A1341" t="str">
        <f>"20190312154821513"</f>
        <v>20190312154821513</v>
      </c>
      <c r="B1341" t="str">
        <f>"1552376901507479"</f>
        <v>1552376901507479</v>
      </c>
      <c r="C1341" t="s">
        <v>40</v>
      </c>
      <c r="D1341">
        <v>6.0479909999999997</v>
      </c>
      <c r="E1341">
        <v>0.69953730000000003</v>
      </c>
      <c r="F1341" t="s">
        <v>45</v>
      </c>
      <c r="G1341">
        <v>-200.5564</v>
      </c>
      <c r="H1341" s="1">
        <v>-2.821484E-6</v>
      </c>
      <c r="I1341">
        <v>360.13319999999999</v>
      </c>
      <c r="J1341">
        <v>-201.9479</v>
      </c>
      <c r="K1341">
        <v>1.1032459999999999</v>
      </c>
      <c r="L1341">
        <v>364.24650000000003</v>
      </c>
      <c r="M1341">
        <v>0.86367099999999997</v>
      </c>
      <c r="N1341">
        <v>0</v>
      </c>
      <c r="O1341">
        <v>-0.50383659999999997</v>
      </c>
      <c r="P1341">
        <v>0.70157979999999998</v>
      </c>
      <c r="Q1341">
        <v>0.13765069999999999</v>
      </c>
      <c r="R1341">
        <v>-0.6991695</v>
      </c>
      <c r="S1341">
        <v>1.178558</v>
      </c>
      <c r="T1341">
        <v>-0.86965550000000003</v>
      </c>
      <c r="U1341">
        <v>-3.2960210000000001</v>
      </c>
      <c r="V1341">
        <v>0.2530384</v>
      </c>
      <c r="W1341">
        <v>0.1474396</v>
      </c>
      <c r="X1341">
        <v>0.95615539999999999</v>
      </c>
      <c r="Y1341">
        <v>0.63920669999999902</v>
      </c>
      <c r="Z1341">
        <v>4.6841510000000003E-2</v>
      </c>
      <c r="AA1341">
        <v>0.76760709999999999</v>
      </c>
      <c r="AB1341">
        <v>22</v>
      </c>
      <c r="AC1341">
        <v>1.3915</v>
      </c>
      <c r="AD1341">
        <v>-1.1032488214839999</v>
      </c>
      <c r="AE1341">
        <v>-4.1133000000000299</v>
      </c>
      <c r="AF1341">
        <v>2.6788404510373902</v>
      </c>
      <c r="AG1341">
        <v>-1.1032488214839999</v>
      </c>
      <c r="AH1341">
        <v>3.0760279918606099</v>
      </c>
      <c r="AI1341">
        <v>105.13473984434</v>
      </c>
      <c r="AJ1341">
        <v>48.948159510122501</v>
      </c>
      <c r="AK1341">
        <v>4.2255523107553801</v>
      </c>
      <c r="AL1341">
        <v>81.521423412697203</v>
      </c>
      <c r="AM1341">
        <v>75.176967333080498</v>
      </c>
      <c r="AN1341">
        <v>1.0000000082359399</v>
      </c>
    </row>
    <row r="1342" spans="1:40" x14ac:dyDescent="0.25">
      <c r="A1342" t="str">
        <f>"20190312154821530"</f>
        <v>20190312154821530</v>
      </c>
      <c r="B1342" t="str">
        <f>"1552376901526998"</f>
        <v>1552376901526998</v>
      </c>
      <c r="C1342" t="s">
        <v>40</v>
      </c>
      <c r="D1342">
        <v>5.038011</v>
      </c>
      <c r="E1342">
        <v>0.68827969999999905</v>
      </c>
      <c r="F1342" t="s">
        <v>45</v>
      </c>
      <c r="G1342">
        <v>-200.47190000000001</v>
      </c>
      <c r="H1342" s="1">
        <v>-2.8048140000000002E-6</v>
      </c>
      <c r="I1342">
        <v>360.01650000000001</v>
      </c>
      <c r="J1342">
        <v>-201.7989</v>
      </c>
      <c r="K1342">
        <v>1.1032500000000001</v>
      </c>
      <c r="L1342">
        <v>364.14699999999999</v>
      </c>
      <c r="M1342">
        <v>0.85880759999999901</v>
      </c>
      <c r="N1342">
        <v>0</v>
      </c>
      <c r="O1342">
        <v>-0.51208229999999999</v>
      </c>
      <c r="P1342">
        <v>0.69449759999999905</v>
      </c>
      <c r="Q1342">
        <v>0.13656070000000001</v>
      </c>
      <c r="R1342">
        <v>-0.70641669999999901</v>
      </c>
      <c r="S1342">
        <v>1.1527559999999999</v>
      </c>
      <c r="T1342">
        <v>-0.86167689999999997</v>
      </c>
      <c r="U1342">
        <v>-3.3037109999999998</v>
      </c>
      <c r="V1342">
        <v>0.25368350000000001</v>
      </c>
      <c r="W1342">
        <v>0.1463487</v>
      </c>
      <c r="X1342">
        <v>0.95615209999999995</v>
      </c>
      <c r="Y1342">
        <v>0.63801859999999999</v>
      </c>
      <c r="Z1342">
        <v>4.9035860000000001E-2</v>
      </c>
      <c r="AA1342">
        <v>0.76845799999999997</v>
      </c>
      <c r="AB1342">
        <v>22</v>
      </c>
      <c r="AC1342">
        <v>1.32699999999999</v>
      </c>
      <c r="AD1342">
        <v>-1.103252804814</v>
      </c>
      <c r="AE1342">
        <v>-4.1304999999999801</v>
      </c>
      <c r="AF1342">
        <v>2.6938825234708199</v>
      </c>
      <c r="AG1342">
        <v>-1.103252804814</v>
      </c>
      <c r="AH1342">
        <v>3.0574372543826698</v>
      </c>
      <c r="AI1342">
        <v>105.149223828271</v>
      </c>
      <c r="AJ1342">
        <v>48.616991300792698</v>
      </c>
      <c r="AK1342">
        <v>4.2216220065371299</v>
      </c>
      <c r="AL1342">
        <v>81.584613194322998</v>
      </c>
      <c r="AM1342">
        <v>75.140798076930807</v>
      </c>
      <c r="AN1342">
        <v>1.0000000492491701</v>
      </c>
    </row>
    <row r="1343" spans="1:40" x14ac:dyDescent="0.25">
      <c r="A1343" t="str">
        <f>"20190312154821541"</f>
        <v>20190312154821541</v>
      </c>
      <c r="B1343" t="str">
        <f>"1552376901537735"</f>
        <v>1552376901537735</v>
      </c>
      <c r="C1343" t="s">
        <v>40</v>
      </c>
      <c r="D1343">
        <v>5.046913</v>
      </c>
      <c r="E1343">
        <v>0.68722609999999995</v>
      </c>
      <c r="F1343" t="s">
        <v>45</v>
      </c>
      <c r="G1343">
        <v>-199.74600000000001</v>
      </c>
      <c r="H1343" s="1">
        <v>-6.3974230000000004E-6</v>
      </c>
      <c r="I1343">
        <v>358.36939999999998</v>
      </c>
      <c r="J1343">
        <v>-201.70650000000001</v>
      </c>
      <c r="K1343">
        <v>1.103254</v>
      </c>
      <c r="L1343">
        <v>364.08440000000002</v>
      </c>
      <c r="M1343">
        <v>0.8557283</v>
      </c>
      <c r="N1343">
        <v>0</v>
      </c>
      <c r="O1343">
        <v>-0.51721170000000005</v>
      </c>
      <c r="P1343">
        <v>0.68996000000000002</v>
      </c>
      <c r="Q1343">
        <v>0.1364032</v>
      </c>
      <c r="R1343">
        <v>-0.7108797</v>
      </c>
      <c r="S1343">
        <v>1.1498109999999999</v>
      </c>
      <c r="T1343">
        <v>-0.61789919999999998</v>
      </c>
      <c r="U1343">
        <v>-3.23584</v>
      </c>
      <c r="V1343">
        <v>0.25410709999999997</v>
      </c>
      <c r="W1343">
        <v>0.14619019999999999</v>
      </c>
      <c r="X1343">
        <v>0.95606380000000002</v>
      </c>
      <c r="Y1343">
        <v>0.63110169999999999</v>
      </c>
      <c r="Z1343">
        <v>3.7988649999999999E-2</v>
      </c>
      <c r="AA1343">
        <v>0.77476940000000005</v>
      </c>
      <c r="AB1343">
        <v>22</v>
      </c>
      <c r="AC1343">
        <v>1.9605000000000199</v>
      </c>
      <c r="AD1343">
        <v>-1.103260397423</v>
      </c>
      <c r="AE1343">
        <v>-5.7150000000000301</v>
      </c>
      <c r="AF1343">
        <v>3.7518248273871802</v>
      </c>
      <c r="AG1343">
        <v>-1.103260397423</v>
      </c>
      <c r="AH1343">
        <v>4.4845051936409401</v>
      </c>
      <c r="AI1343">
        <v>100.685478539455</v>
      </c>
      <c r="AJ1343">
        <v>50.083487705769599</v>
      </c>
      <c r="AK1343">
        <v>5.9501394833830101</v>
      </c>
      <c r="AL1343">
        <v>81.593792818010698</v>
      </c>
      <c r="AM1343">
        <v>75.115772948539501</v>
      </c>
      <c r="AN1343">
        <v>0.99999999125844496</v>
      </c>
    </row>
    <row r="1344" spans="1:40" x14ac:dyDescent="0.25">
      <c r="A1344" t="str">
        <f>"20190312154821552"</f>
        <v>20190312154821552</v>
      </c>
      <c r="B1344" t="str">
        <f>"1552376901547495"</f>
        <v>1552376901547495</v>
      </c>
      <c r="C1344" t="s">
        <v>40</v>
      </c>
      <c r="D1344">
        <v>4.9060750000000004</v>
      </c>
      <c r="E1344">
        <v>0.68620380000000003</v>
      </c>
      <c r="F1344" t="s">
        <v>45</v>
      </c>
      <c r="G1344">
        <v>-199.6276</v>
      </c>
      <c r="H1344" s="1">
        <v>-6.3031650000000002E-6</v>
      </c>
      <c r="I1344">
        <v>358.1431</v>
      </c>
      <c r="J1344">
        <v>-201.62090000000001</v>
      </c>
      <c r="K1344">
        <v>1.103264</v>
      </c>
      <c r="L1344">
        <v>364.02530000000002</v>
      </c>
      <c r="M1344">
        <v>0.85283319999999996</v>
      </c>
      <c r="N1344">
        <v>0</v>
      </c>
      <c r="O1344">
        <v>-0.52197150000000003</v>
      </c>
      <c r="P1344">
        <v>0.68583609999999995</v>
      </c>
      <c r="Q1344">
        <v>0.13631270000000001</v>
      </c>
      <c r="R1344">
        <v>-0.71487639999999997</v>
      </c>
      <c r="S1344">
        <v>1.1324459999999901</v>
      </c>
      <c r="T1344">
        <v>-0.60097119999999904</v>
      </c>
      <c r="U1344">
        <v>-3.2363279999999999</v>
      </c>
      <c r="V1344">
        <v>0.25432179999999999</v>
      </c>
      <c r="W1344">
        <v>0.14610339999999999</v>
      </c>
      <c r="X1344">
        <v>0.95601999999999998</v>
      </c>
      <c r="Y1344">
        <v>0.63067640000000003</v>
      </c>
      <c r="Z1344">
        <v>3.8071580000000001E-2</v>
      </c>
      <c r="AA1344">
        <v>0.77511160000000001</v>
      </c>
      <c r="AB1344">
        <v>22</v>
      </c>
      <c r="AC1344">
        <v>1.9933000000000001</v>
      </c>
      <c r="AD1344">
        <v>-1.103270303165</v>
      </c>
      <c r="AE1344">
        <v>-5.8822000000000099</v>
      </c>
      <c r="AF1344">
        <v>3.8548869141347102</v>
      </c>
      <c r="AG1344">
        <v>-1.103270303165</v>
      </c>
      <c r="AH1344">
        <v>4.6248808044201599</v>
      </c>
      <c r="AI1344">
        <v>100.38390816451999</v>
      </c>
      <c r="AJ1344">
        <v>50.188437253700698</v>
      </c>
      <c r="AK1344">
        <v>6.1210195995199097</v>
      </c>
      <c r="AL1344">
        <v>81.598820236156399</v>
      </c>
      <c r="AM1344">
        <v>75.103103725229502</v>
      </c>
      <c r="AN1344">
        <v>1.0000000109234</v>
      </c>
    </row>
    <row r="1345" spans="1:40" x14ac:dyDescent="0.25">
      <c r="A1345" t="str">
        <f>"20190312154821563"</f>
        <v>20190312154821563</v>
      </c>
      <c r="B1345" t="str">
        <f>"1552376901557254"</f>
        <v>1552376901557254</v>
      </c>
      <c r="C1345" t="s">
        <v>40</v>
      </c>
      <c r="D1345">
        <v>5.0486719999999998</v>
      </c>
      <c r="E1345">
        <v>0.68529510000000005</v>
      </c>
      <c r="F1345" t="s">
        <v>45</v>
      </c>
      <c r="G1345">
        <v>-199.5667</v>
      </c>
      <c r="H1345" s="1">
        <v>-6.2751030000000002E-6</v>
      </c>
      <c r="I1345">
        <v>358.08769999999998</v>
      </c>
      <c r="J1345">
        <v>-201.52860000000001</v>
      </c>
      <c r="K1345">
        <v>1.1032729999999999</v>
      </c>
      <c r="L1345">
        <v>363.96120000000002</v>
      </c>
      <c r="M1345">
        <v>0.84966949999999997</v>
      </c>
      <c r="N1345">
        <v>0</v>
      </c>
      <c r="O1345">
        <v>-0.52710559999999995</v>
      </c>
      <c r="P1345">
        <v>0.68151819999999996</v>
      </c>
      <c r="Q1345">
        <v>0.13660939999999999</v>
      </c>
      <c r="R1345">
        <v>-0.71893750000000001</v>
      </c>
      <c r="S1345">
        <v>1.1198729999999999</v>
      </c>
      <c r="T1345">
        <v>-0.60145289999999996</v>
      </c>
      <c r="U1345">
        <v>-3.2369379999999999</v>
      </c>
      <c r="V1345">
        <v>0.25426739999999998</v>
      </c>
      <c r="W1345">
        <v>0.14640999999999901</v>
      </c>
      <c r="X1345">
        <v>0.95598760000000005</v>
      </c>
      <c r="Y1345">
        <v>0.62879399999999996</v>
      </c>
      <c r="Z1345">
        <v>3.9428070000000003E-2</v>
      </c>
      <c r="AA1345">
        <v>0.77657169999999998</v>
      </c>
      <c r="AB1345">
        <v>22</v>
      </c>
      <c r="AC1345">
        <v>1.96190000000001</v>
      </c>
      <c r="AD1345">
        <v>-1.1032792751030001</v>
      </c>
      <c r="AE1345">
        <v>-5.8735000000000301</v>
      </c>
      <c r="AF1345">
        <v>3.8351081322846001</v>
      </c>
      <c r="AG1345">
        <v>-1.1032792751030001</v>
      </c>
      <c r="AH1345">
        <v>4.6168976151591004</v>
      </c>
      <c r="AI1345">
        <v>100.415784587272</v>
      </c>
      <c r="AJ1345">
        <v>50.2846796143426</v>
      </c>
      <c r="AK1345">
        <v>6.1025423500414302</v>
      </c>
      <c r="AL1345">
        <v>81.581062684013503</v>
      </c>
      <c r="AM1345">
        <v>75.1056662305934</v>
      </c>
      <c r="AN1345">
        <v>1.00000004507825</v>
      </c>
    </row>
    <row r="1346" spans="1:40" x14ac:dyDescent="0.25">
      <c r="A1346" t="str">
        <f>"20190312154821573"</f>
        <v>20190312154821573</v>
      </c>
      <c r="B1346" t="str">
        <f>"1552376901567015"</f>
        <v>1552376901567015</v>
      </c>
      <c r="C1346" t="s">
        <v>40</v>
      </c>
      <c r="D1346">
        <v>5.0580290000000003</v>
      </c>
      <c r="E1346">
        <v>0.68415019999999904</v>
      </c>
      <c r="F1346" t="s">
        <v>45</v>
      </c>
      <c r="G1346">
        <v>-199.48150000000001</v>
      </c>
      <c r="H1346" s="1">
        <v>-6.2214369999999998E-6</v>
      </c>
      <c r="I1346">
        <v>357.96710000000002</v>
      </c>
      <c r="J1346">
        <v>-201.44059999999999</v>
      </c>
      <c r="K1346">
        <v>1.103286</v>
      </c>
      <c r="L1346">
        <v>363.89890000000003</v>
      </c>
      <c r="M1346">
        <v>0.84660409999999997</v>
      </c>
      <c r="N1346">
        <v>0</v>
      </c>
      <c r="O1346">
        <v>-0.53201500000000002</v>
      </c>
      <c r="P1346">
        <v>0.67743069999999905</v>
      </c>
      <c r="Q1346">
        <v>0.13673299999999999</v>
      </c>
      <c r="R1346">
        <v>-0.72276689999999999</v>
      </c>
      <c r="S1346">
        <v>1.1057589999999999</v>
      </c>
      <c r="T1346">
        <v>-0.59595109999999996</v>
      </c>
      <c r="U1346">
        <v>-3.2377929999999999</v>
      </c>
      <c r="V1346">
        <v>0.25413210000000003</v>
      </c>
      <c r="W1346">
        <v>0.14654629999999999</v>
      </c>
      <c r="X1346">
        <v>0.95600269999999998</v>
      </c>
      <c r="Y1346">
        <v>0.62747810000000004</v>
      </c>
      <c r="Z1346">
        <v>4.0287139999999999E-2</v>
      </c>
      <c r="AA1346">
        <v>0.77759129999999999</v>
      </c>
      <c r="AB1346">
        <v>22</v>
      </c>
      <c r="AC1346">
        <v>1.9590999999999701</v>
      </c>
      <c r="AD1346">
        <v>-1.103292221437</v>
      </c>
      <c r="AE1346">
        <v>-5.9318000000000097</v>
      </c>
      <c r="AF1346">
        <v>3.8596651362012699</v>
      </c>
      <c r="AG1346">
        <v>-1.103292221437</v>
      </c>
      <c r="AH1346">
        <v>4.6692771116508203</v>
      </c>
      <c r="AI1346">
        <v>100.321697456046</v>
      </c>
      <c r="AJ1346">
        <v>50.422567918516599</v>
      </c>
      <c r="AK1346">
        <v>6.1576308297004303</v>
      </c>
      <c r="AL1346">
        <v>81.573168179817202</v>
      </c>
      <c r="AM1346">
        <v>75.113464460724103</v>
      </c>
      <c r="AN1346">
        <v>1.00000005235069</v>
      </c>
    </row>
    <row r="1347" spans="1:40" x14ac:dyDescent="0.25">
      <c r="A1347" t="str">
        <f>"20190312154821585"</f>
        <v>20190312154821585</v>
      </c>
      <c r="B1347" t="str">
        <f>"1552376901576774"</f>
        <v>1552376901576774</v>
      </c>
      <c r="C1347" t="s">
        <v>40</v>
      </c>
      <c r="D1347">
        <v>5.0472449999999904</v>
      </c>
      <c r="E1347">
        <v>0.68344059999999995</v>
      </c>
      <c r="F1347" t="s">
        <v>45</v>
      </c>
      <c r="G1347">
        <v>-199.3903</v>
      </c>
      <c r="H1347" s="1">
        <v>-6.160862E-6</v>
      </c>
      <c r="I1347">
        <v>357.82870000000003</v>
      </c>
      <c r="J1347">
        <v>-201.3441</v>
      </c>
      <c r="K1347">
        <v>1.1033040000000001</v>
      </c>
      <c r="L1347">
        <v>363.83019999999999</v>
      </c>
      <c r="M1347">
        <v>0.84320450000000002</v>
      </c>
      <c r="N1347">
        <v>0</v>
      </c>
      <c r="O1347">
        <v>-0.53738680000000005</v>
      </c>
      <c r="P1347">
        <v>0.67324879999999998</v>
      </c>
      <c r="Q1347">
        <v>0.1367708</v>
      </c>
      <c r="R1347">
        <v>-0.72665669999999905</v>
      </c>
      <c r="S1347">
        <v>1.0934299999999999</v>
      </c>
      <c r="T1347">
        <v>-0.58839200000000003</v>
      </c>
      <c r="U1347">
        <v>-3.237244</v>
      </c>
      <c r="V1347">
        <v>0.25355879999999997</v>
      </c>
      <c r="W1347">
        <v>0.14660719999999999</v>
      </c>
      <c r="X1347">
        <v>0.95614549999999998</v>
      </c>
      <c r="Y1347">
        <v>0.62525850000000005</v>
      </c>
      <c r="Z1347">
        <v>4.1185100000000002E-2</v>
      </c>
      <c r="AA1347">
        <v>0.77933030000000003</v>
      </c>
      <c r="AB1347">
        <v>22</v>
      </c>
      <c r="AC1347">
        <v>1.9538</v>
      </c>
      <c r="AD1347">
        <v>-1.103310160862</v>
      </c>
      <c r="AE1347">
        <v>-6.0014999999999601</v>
      </c>
      <c r="AF1347">
        <v>3.89205597199122</v>
      </c>
      <c r="AG1347">
        <v>-1.103310160862</v>
      </c>
      <c r="AH1347">
        <v>4.7286219653887898</v>
      </c>
      <c r="AI1347">
        <v>100.212334940335</v>
      </c>
      <c r="AJ1347">
        <v>50.542729489484898</v>
      </c>
      <c r="AK1347">
        <v>6.2229622119800201</v>
      </c>
      <c r="AL1347">
        <v>81.569640125775194</v>
      </c>
      <c r="AM1347">
        <v>75.1476813315371</v>
      </c>
      <c r="AN1347">
        <v>0.99999997665976403</v>
      </c>
    </row>
    <row r="1348" spans="1:40" x14ac:dyDescent="0.25">
      <c r="A1348" t="str">
        <f>"20190312154821596"</f>
        <v>20190312154821596</v>
      </c>
      <c r="B1348" t="str">
        <f>"1552376901587511"</f>
        <v>1552376901587511</v>
      </c>
      <c r="C1348" t="s">
        <v>40</v>
      </c>
      <c r="D1348">
        <v>4.9717739999999999</v>
      </c>
      <c r="E1348">
        <v>0.68262599999999996</v>
      </c>
      <c r="F1348" t="s">
        <v>45</v>
      </c>
      <c r="G1348">
        <v>-199.32060000000001</v>
      </c>
      <c r="H1348" s="1">
        <v>-6.1267599999999899E-6</v>
      </c>
      <c r="I1348">
        <v>357.7593</v>
      </c>
      <c r="J1348">
        <v>-201.2508</v>
      </c>
      <c r="K1348">
        <v>1.1033189999999999</v>
      </c>
      <c r="L1348">
        <v>363.76249999999999</v>
      </c>
      <c r="M1348">
        <v>0.83986249999999996</v>
      </c>
      <c r="N1348">
        <v>0</v>
      </c>
      <c r="O1348">
        <v>-0.5425951</v>
      </c>
      <c r="P1348">
        <v>0.66898970000000002</v>
      </c>
      <c r="Q1348">
        <v>0.1366792</v>
      </c>
      <c r="R1348">
        <v>-0.73059700000000005</v>
      </c>
      <c r="S1348">
        <v>1.07959</v>
      </c>
      <c r="T1348">
        <v>-0.58866039999999997</v>
      </c>
      <c r="U1348">
        <v>-3.2390439999999998</v>
      </c>
      <c r="V1348">
        <v>0.25323679999999998</v>
      </c>
      <c r="W1348">
        <v>0.14653360000000001</v>
      </c>
      <c r="X1348">
        <v>0.95624209999999998</v>
      </c>
      <c r="Y1348">
        <v>0.623615699999999</v>
      </c>
      <c r="Z1348">
        <v>4.2492509999999997E-2</v>
      </c>
      <c r="AA1348">
        <v>0.78057529999999997</v>
      </c>
      <c r="AB1348">
        <v>22</v>
      </c>
      <c r="AC1348">
        <v>1.9301999999999799</v>
      </c>
      <c r="AD1348">
        <v>-1.1033251267599999</v>
      </c>
      <c r="AE1348">
        <v>-6.0031999999999899</v>
      </c>
      <c r="AF1348">
        <v>3.87631949884923</v>
      </c>
      <c r="AG1348">
        <v>-1.1033251267599999</v>
      </c>
      <c r="AH1348">
        <v>4.7340239045565697</v>
      </c>
      <c r="AI1348">
        <v>100.221963451796</v>
      </c>
      <c r="AJ1348">
        <v>50.688653315340297</v>
      </c>
      <c r="AK1348">
        <v>6.2172471015242499</v>
      </c>
      <c r="AL1348">
        <v>81.573903021392795</v>
      </c>
      <c r="AM1348">
        <v>75.167142974263001</v>
      </c>
      <c r="AN1348">
        <v>0.99999996330780405</v>
      </c>
    </row>
    <row r="1349" spans="1:40" x14ac:dyDescent="0.25">
      <c r="A1349" t="str">
        <f>"20190312154821608"</f>
        <v>20190312154821608</v>
      </c>
      <c r="B1349" t="str">
        <f>"1552376901597271"</f>
        <v>1552376901597271</v>
      </c>
      <c r="C1349" t="s">
        <v>40</v>
      </c>
      <c r="D1349">
        <v>5.0665449999999996</v>
      </c>
      <c r="E1349">
        <v>0.68173439999999996</v>
      </c>
      <c r="F1349" t="s">
        <v>45</v>
      </c>
      <c r="G1349">
        <v>-199.22989999999999</v>
      </c>
      <c r="H1349" s="1">
        <v>-6.0630750000000004E-6</v>
      </c>
      <c r="I1349">
        <v>357.61149999999998</v>
      </c>
      <c r="J1349">
        <v>-201.15950000000001</v>
      </c>
      <c r="K1349">
        <v>1.1033329999999999</v>
      </c>
      <c r="L1349">
        <v>363.69560000000001</v>
      </c>
      <c r="M1349">
        <v>0.83655089999999999</v>
      </c>
      <c r="N1349">
        <v>0</v>
      </c>
      <c r="O1349">
        <v>-0.54768680000000003</v>
      </c>
      <c r="P1349">
        <v>0.66485190000000005</v>
      </c>
      <c r="Q1349">
        <v>0.13623270000000001</v>
      </c>
      <c r="R1349">
        <v>-0.73444719999999997</v>
      </c>
      <c r="S1349">
        <v>1.064575</v>
      </c>
      <c r="T1349">
        <v>-0.58119919999999903</v>
      </c>
      <c r="U1349">
        <v>-3.240173</v>
      </c>
      <c r="V1349">
        <v>0.25288450000000001</v>
      </c>
      <c r="W1349">
        <v>0.14610619999999999</v>
      </c>
      <c r="X1349">
        <v>0.95640080000000005</v>
      </c>
      <c r="Y1349">
        <v>0.62230739999999996</v>
      </c>
      <c r="Z1349">
        <v>4.3192939999999999E-2</v>
      </c>
      <c r="AA1349">
        <v>0.78158039999999995</v>
      </c>
      <c r="AB1349">
        <v>22</v>
      </c>
      <c r="AC1349">
        <v>1.92960000000002</v>
      </c>
      <c r="AD1349">
        <v>-1.103339063075</v>
      </c>
      <c r="AE1349">
        <v>-6.0841000000000296</v>
      </c>
      <c r="AF1349">
        <v>3.9162665962525298</v>
      </c>
      <c r="AG1349">
        <v>-1.103339063075</v>
      </c>
      <c r="AH1349">
        <v>4.80340593846398</v>
      </c>
      <c r="AI1349">
        <v>100.094480286712</v>
      </c>
      <c r="AJ1349">
        <v>50.8092826982449</v>
      </c>
      <c r="AK1349">
        <v>6.2950146743833404</v>
      </c>
      <c r="AL1349">
        <v>81.5986583233733</v>
      </c>
      <c r="AM1349">
        <v>75.189220319366399</v>
      </c>
      <c r="AN1349">
        <v>1.0000000411296599</v>
      </c>
    </row>
    <row r="1350" spans="1:40" x14ac:dyDescent="0.25">
      <c r="A1350" t="str">
        <f>"20190312154821620"</f>
        <v>20190312154821620</v>
      </c>
      <c r="B1350" t="str">
        <f>"1552376901617766"</f>
        <v>1552376901617766</v>
      </c>
      <c r="C1350" t="s">
        <v>40</v>
      </c>
      <c r="D1350">
        <v>5.077636</v>
      </c>
      <c r="E1350">
        <v>0.6803498</v>
      </c>
      <c r="F1350" t="s">
        <v>45</v>
      </c>
      <c r="G1350">
        <v>-199.16200000000001</v>
      </c>
      <c r="H1350" s="1">
        <v>-6.028026E-6</v>
      </c>
      <c r="I1350">
        <v>357.53840000000002</v>
      </c>
      <c r="J1350">
        <v>-201.05760000000001</v>
      </c>
      <c r="K1350">
        <v>1.103351</v>
      </c>
      <c r="L1350">
        <v>363.6198</v>
      </c>
      <c r="M1350">
        <v>0.83279740000000002</v>
      </c>
      <c r="N1350">
        <v>0</v>
      </c>
      <c r="O1350">
        <v>-0.55337740000000002</v>
      </c>
      <c r="P1350">
        <v>0.66025480000000003</v>
      </c>
      <c r="Q1350">
        <v>0.13535929999999999</v>
      </c>
      <c r="R1350">
        <v>-0.73874319999999905</v>
      </c>
      <c r="S1350">
        <v>1.051361</v>
      </c>
      <c r="T1350">
        <v>-0.58070900000000003</v>
      </c>
      <c r="U1350">
        <v>-3.240631</v>
      </c>
      <c r="V1350">
        <v>0.25244420000000001</v>
      </c>
      <c r="W1350">
        <v>0.14525560000000001</v>
      </c>
      <c r="X1350">
        <v>0.95664660000000001</v>
      </c>
      <c r="Y1350">
        <v>0.61995710000000004</v>
      </c>
      <c r="Z1350">
        <v>4.4618539999999998E-2</v>
      </c>
      <c r="AA1350">
        <v>0.78336600000000001</v>
      </c>
      <c r="AB1350">
        <v>22</v>
      </c>
      <c r="AC1350">
        <v>1.8956</v>
      </c>
      <c r="AD1350">
        <v>-1.1033570280260001</v>
      </c>
      <c r="AE1350">
        <v>-6.0813999999999702</v>
      </c>
      <c r="AF1350">
        <v>3.8990567717440801</v>
      </c>
      <c r="AG1350">
        <v>-1.1033570280260001</v>
      </c>
      <c r="AH1350">
        <v>4.8004830755744603</v>
      </c>
      <c r="AI1350">
        <v>100.115630184558</v>
      </c>
      <c r="AJ1350">
        <v>50.915745411685997</v>
      </c>
      <c r="AK1350">
        <v>6.2820918649327799</v>
      </c>
      <c r="AL1350">
        <v>81.647919224024704</v>
      </c>
      <c r="AM1350">
        <v>75.217509595285506</v>
      </c>
      <c r="AN1350">
        <v>0.99999999036827902</v>
      </c>
    </row>
    <row r="1351" spans="1:40" x14ac:dyDescent="0.25">
      <c r="A1351" t="str">
        <f>"20190312154821633"</f>
        <v>20190312154821633</v>
      </c>
      <c r="B1351" t="str">
        <f>"1552376901627526"</f>
        <v>1552376901627526</v>
      </c>
      <c r="C1351" t="s">
        <v>40</v>
      </c>
      <c r="D1351">
        <v>5.035355</v>
      </c>
      <c r="E1351">
        <v>0.67966930000000003</v>
      </c>
      <c r="F1351" t="s">
        <v>45</v>
      </c>
      <c r="G1351">
        <v>-199.05779999999999</v>
      </c>
      <c r="H1351" s="1">
        <v>-5.9586300000000004E-6</v>
      </c>
      <c r="I1351">
        <v>357.37970000000001</v>
      </c>
      <c r="J1351">
        <v>-200.96420000000001</v>
      </c>
      <c r="K1351">
        <v>1.1033660000000001</v>
      </c>
      <c r="L1351">
        <v>363.54930000000002</v>
      </c>
      <c r="M1351">
        <v>0.82930890000000002</v>
      </c>
      <c r="N1351">
        <v>0</v>
      </c>
      <c r="O1351">
        <v>-0.55859199999999998</v>
      </c>
      <c r="P1351">
        <v>0.65571669999999904</v>
      </c>
      <c r="Q1351">
        <v>0.13430259999999999</v>
      </c>
      <c r="R1351">
        <v>-0.74296619999999902</v>
      </c>
      <c r="S1351">
        <v>1.0378270000000001</v>
      </c>
      <c r="T1351">
        <v>-0.57260390000000005</v>
      </c>
      <c r="U1351">
        <v>-3.2383730000000002</v>
      </c>
      <c r="V1351">
        <v>0.25243680000000002</v>
      </c>
      <c r="W1351">
        <v>0.14421149999999999</v>
      </c>
      <c r="X1351">
        <v>0.9568065</v>
      </c>
      <c r="Y1351">
        <v>0.61793980000000004</v>
      </c>
      <c r="Z1351">
        <v>4.5355340000000001E-2</v>
      </c>
      <c r="AA1351">
        <v>0.78491610000000001</v>
      </c>
      <c r="AB1351">
        <v>22</v>
      </c>
      <c r="AC1351">
        <v>1.9064000000000101</v>
      </c>
      <c r="AD1351">
        <v>-1.1033719586299999</v>
      </c>
      <c r="AE1351">
        <v>-6.1696</v>
      </c>
      <c r="AF1351">
        <v>3.9371054107582899</v>
      </c>
      <c r="AG1351">
        <v>-1.1033719586299999</v>
      </c>
      <c r="AH1351">
        <v>4.8852118471436698</v>
      </c>
      <c r="AI1351">
        <v>99.973907191891996</v>
      </c>
      <c r="AJ1351">
        <v>51.133854335172202</v>
      </c>
      <c r="AK1351">
        <v>6.3705198756448498</v>
      </c>
      <c r="AL1351">
        <v>81.708378313622006</v>
      </c>
      <c r="AM1351">
        <v>75.220286157991893</v>
      </c>
      <c r="AN1351">
        <v>0.99999998658436995</v>
      </c>
    </row>
    <row r="1352" spans="1:40" x14ac:dyDescent="0.25">
      <c r="A1352" t="str">
        <f>"20190312154821646"</f>
        <v>20190312154821646</v>
      </c>
      <c r="B1352" t="str">
        <f>"1552376901637288"</f>
        <v>1552376901637288</v>
      </c>
      <c r="C1352" t="s">
        <v>40</v>
      </c>
      <c r="D1352">
        <v>5.0672100000000002</v>
      </c>
      <c r="E1352">
        <v>0.67966930000000003</v>
      </c>
      <c r="F1352" t="s">
        <v>45</v>
      </c>
      <c r="G1352">
        <v>-198.99359999999999</v>
      </c>
      <c r="H1352" s="1">
        <v>-5.9212119999999996E-6</v>
      </c>
      <c r="I1352">
        <v>357.29790000000003</v>
      </c>
      <c r="J1352">
        <v>-200.86259999999999</v>
      </c>
      <c r="K1352">
        <v>1.1033869999999999</v>
      </c>
      <c r="L1352">
        <v>363.47190000000001</v>
      </c>
      <c r="M1352">
        <v>0.82546160000000002</v>
      </c>
      <c r="N1352">
        <v>0</v>
      </c>
      <c r="O1352">
        <v>-0.56426180000000004</v>
      </c>
      <c r="P1352">
        <v>0.65071789999999996</v>
      </c>
      <c r="Q1352">
        <v>0.1328886</v>
      </c>
      <c r="R1352">
        <v>-0.7476005</v>
      </c>
      <c r="S1352">
        <v>1.021317</v>
      </c>
      <c r="T1352">
        <v>-0.57184669999999904</v>
      </c>
      <c r="U1352">
        <v>-3.2399290000000001</v>
      </c>
      <c r="V1352">
        <v>0.25247589999999998</v>
      </c>
      <c r="W1352">
        <v>0.1428104</v>
      </c>
      <c r="X1352">
        <v>0.95700629999999998</v>
      </c>
      <c r="Y1352">
        <v>0.61635949999999995</v>
      </c>
      <c r="Z1352">
        <v>4.666203E-2</v>
      </c>
      <c r="AA1352">
        <v>0.78608120000000004</v>
      </c>
      <c r="AB1352">
        <v>22</v>
      </c>
      <c r="AC1352">
        <v>1.869</v>
      </c>
      <c r="AD1352">
        <v>-1.1033929212119999</v>
      </c>
      <c r="AE1352">
        <v>-6.1739999999999702</v>
      </c>
      <c r="AF1352">
        <v>3.9273360570840201</v>
      </c>
      <c r="AG1352">
        <v>-1.1033929212119999</v>
      </c>
      <c r="AH1352">
        <v>4.8841947691614198</v>
      </c>
      <c r="AI1352">
        <v>99.984881576156994</v>
      </c>
      <c r="AJ1352">
        <v>51.197558792032197</v>
      </c>
      <c r="AK1352">
        <v>6.3637098446548297</v>
      </c>
      <c r="AL1352">
        <v>81.789494999076396</v>
      </c>
      <c r="AM1352">
        <v>75.221048172234504</v>
      </c>
      <c r="AN1352">
        <v>0.99999997433432897</v>
      </c>
    </row>
    <row r="1353" spans="1:40" x14ac:dyDescent="0.25">
      <c r="A1353" t="str">
        <f>"20190312154821657"</f>
        <v>20190312154821657</v>
      </c>
      <c r="B1353" t="str">
        <f>"1552376901647048"</f>
        <v>1552376901647048</v>
      </c>
      <c r="C1353" t="s">
        <v>40</v>
      </c>
      <c r="D1353">
        <v>5.0454179999999997</v>
      </c>
      <c r="E1353">
        <v>0.66990569999999905</v>
      </c>
      <c r="F1353" t="s">
        <v>45</v>
      </c>
      <c r="G1353">
        <v>-198.9495</v>
      </c>
      <c r="H1353" s="1">
        <v>-5.8989219999999997E-6</v>
      </c>
      <c r="I1353">
        <v>357.25189999999998</v>
      </c>
      <c r="J1353">
        <v>-200.7653</v>
      </c>
      <c r="K1353">
        <v>1.1033999999999999</v>
      </c>
      <c r="L1353">
        <v>363.39620000000002</v>
      </c>
      <c r="M1353">
        <v>0.82171519999999998</v>
      </c>
      <c r="N1353">
        <v>0</v>
      </c>
      <c r="O1353">
        <v>-0.56970379999999998</v>
      </c>
      <c r="P1353">
        <v>0.64617089999999999</v>
      </c>
      <c r="Q1353">
        <v>0.1321512</v>
      </c>
      <c r="R1353">
        <v>-0.75166429999999995</v>
      </c>
      <c r="S1353">
        <v>0.99841310000000005</v>
      </c>
      <c r="T1353">
        <v>-0.57585540000000002</v>
      </c>
      <c r="U1353">
        <v>-3.2461850000000001</v>
      </c>
      <c r="V1353">
        <v>0.25204490000000002</v>
      </c>
      <c r="W1353">
        <v>0.14209349999999901</v>
      </c>
      <c r="X1353">
        <v>0.95722660000000004</v>
      </c>
      <c r="Y1353">
        <v>0.61667139999999998</v>
      </c>
      <c r="Z1353">
        <v>4.8092500000000003E-2</v>
      </c>
      <c r="AA1353">
        <v>0.78575030000000001</v>
      </c>
      <c r="AB1353">
        <v>22</v>
      </c>
      <c r="AC1353">
        <v>1.8157999999999901</v>
      </c>
      <c r="AD1353">
        <v>-1.1034058989219999</v>
      </c>
      <c r="AE1353">
        <v>-6.1443000000000403</v>
      </c>
      <c r="AF1353">
        <v>3.8991939298469598</v>
      </c>
      <c r="AG1353">
        <v>-1.1034058989219999</v>
      </c>
      <c r="AH1353">
        <v>4.8492298669596297</v>
      </c>
      <c r="AI1353">
        <v>100.055555263903</v>
      </c>
      <c r="AJ1353">
        <v>51.197753768402301</v>
      </c>
      <c r="AK1353">
        <v>6.3195132868714401</v>
      </c>
      <c r="AL1353">
        <v>81.830993598248995</v>
      </c>
      <c r="AM1353">
        <v>75.248423279522399</v>
      </c>
      <c r="AN1353">
        <v>0.99999997905290905</v>
      </c>
    </row>
    <row r="1354" spans="1:40" x14ac:dyDescent="0.25">
      <c r="A1354" t="str">
        <f>"20190312154821677"</f>
        <v>20190312154821677</v>
      </c>
      <c r="B1354" t="str">
        <f>"1552376901667543"</f>
        <v>1552376901667543</v>
      </c>
      <c r="C1354" t="s">
        <v>40</v>
      </c>
      <c r="D1354">
        <v>5.063078</v>
      </c>
      <c r="E1354">
        <v>0.66871429999999998</v>
      </c>
      <c r="F1354" t="s">
        <v>45</v>
      </c>
      <c r="G1354">
        <v>-199.17490000000001</v>
      </c>
      <c r="H1354" s="1">
        <v>-6.3733740000000004E-6</v>
      </c>
      <c r="I1354">
        <v>358.5641</v>
      </c>
      <c r="J1354">
        <v>-200.61959999999999</v>
      </c>
      <c r="K1354">
        <v>1.1034250000000001</v>
      </c>
      <c r="L1354">
        <v>363.28140000000002</v>
      </c>
      <c r="M1354">
        <v>0.81601489999999999</v>
      </c>
      <c r="N1354">
        <v>0</v>
      </c>
      <c r="O1354">
        <v>-0.5778392</v>
      </c>
      <c r="P1354">
        <v>0.64015889999999998</v>
      </c>
      <c r="Q1354">
        <v>0.13023959999999901</v>
      </c>
      <c r="R1354">
        <v>-0.75712219999999997</v>
      </c>
      <c r="S1354">
        <v>1.056961</v>
      </c>
      <c r="T1354">
        <v>-0.73332330000000001</v>
      </c>
      <c r="U1354">
        <v>-3.2114560000000001</v>
      </c>
      <c r="V1354">
        <v>0.25038959999999999</v>
      </c>
      <c r="W1354">
        <v>0.14023450000000001</v>
      </c>
      <c r="X1354">
        <v>0.95793490000000003</v>
      </c>
      <c r="Y1354">
        <v>0.59288850000000004</v>
      </c>
      <c r="Z1354">
        <v>6.6215289999999996E-2</v>
      </c>
      <c r="AA1354">
        <v>0.80255759999999998</v>
      </c>
      <c r="AB1354">
        <v>22</v>
      </c>
      <c r="AC1354">
        <v>1.4446999999999799</v>
      </c>
      <c r="AD1354">
        <v>-1.103431373374</v>
      </c>
      <c r="AE1354">
        <v>-4.7173000000000203</v>
      </c>
      <c r="AF1354">
        <v>2.87128674397673</v>
      </c>
      <c r="AG1354">
        <v>-1.103431373374</v>
      </c>
      <c r="AH1354">
        <v>3.7191286571451498</v>
      </c>
      <c r="AI1354">
        <v>103.21618754905801</v>
      </c>
      <c r="AJ1354">
        <v>52.330706694920998</v>
      </c>
      <c r="AK1354">
        <v>4.8263616037633099</v>
      </c>
      <c r="AL1354">
        <v>81.938583780075604</v>
      </c>
      <c r="AM1354">
        <v>75.351490928536194</v>
      </c>
      <c r="AN1354">
        <v>0.99999996970820904</v>
      </c>
    </row>
    <row r="1355" spans="1:40" x14ac:dyDescent="0.25">
      <c r="A1355" t="str">
        <f>"20190312154821691"</f>
        <v>20190312154821691</v>
      </c>
      <c r="B1355" t="str">
        <f>"1552376901687062"</f>
        <v>1552376901687062</v>
      </c>
      <c r="C1355" t="s">
        <v>40</v>
      </c>
      <c r="D1355">
        <v>5.1201460000000001</v>
      </c>
      <c r="E1355">
        <v>0.66315789999999997</v>
      </c>
      <c r="F1355" t="s">
        <v>45</v>
      </c>
      <c r="G1355">
        <v>-199.05410000000001</v>
      </c>
      <c r="H1355" s="1">
        <v>-6.30275099999999E-6</v>
      </c>
      <c r="I1355">
        <v>358.40949999999998</v>
      </c>
      <c r="J1355">
        <v>-200.51339999999999</v>
      </c>
      <c r="K1355">
        <v>1.1034409999999999</v>
      </c>
      <c r="L1355">
        <v>363.19619999999998</v>
      </c>
      <c r="M1355">
        <v>0.81177779999999999</v>
      </c>
      <c r="N1355">
        <v>0</v>
      </c>
      <c r="O1355">
        <v>-0.58377690000000004</v>
      </c>
      <c r="P1355">
        <v>0.63502939999999997</v>
      </c>
      <c r="Q1355">
        <v>0.129181399999999</v>
      </c>
      <c r="R1355">
        <v>-0.76161040000000002</v>
      </c>
      <c r="S1355">
        <v>1.032883</v>
      </c>
      <c r="T1355">
        <v>-0.72799579999999997</v>
      </c>
      <c r="U1355">
        <v>-3.2142940000000002</v>
      </c>
      <c r="V1355">
        <v>0.24999399999999999</v>
      </c>
      <c r="W1355">
        <v>0.13919529999999999</v>
      </c>
      <c r="X1355">
        <v>0.95818979999999998</v>
      </c>
      <c r="Y1355">
        <v>0.59276240000000002</v>
      </c>
      <c r="Z1355">
        <v>6.7402180000000006E-2</v>
      </c>
      <c r="AA1355">
        <v>0.80255200000000004</v>
      </c>
      <c r="AB1355">
        <v>22</v>
      </c>
      <c r="AC1355">
        <v>1.4592999999999801</v>
      </c>
      <c r="AD1355">
        <v>-1.1034473027509999</v>
      </c>
      <c r="AE1355">
        <v>-4.78669999999999</v>
      </c>
      <c r="AF1355">
        <v>2.89348003793289</v>
      </c>
      <c r="AG1355">
        <v>-1.1034473027509999</v>
      </c>
      <c r="AH1355">
        <v>3.7949160531091901</v>
      </c>
      <c r="AI1355">
        <v>103.01943153655399</v>
      </c>
      <c r="AJ1355">
        <v>52.675849115279398</v>
      </c>
      <c r="AK1355">
        <v>4.8980823318938196</v>
      </c>
      <c r="AL1355">
        <v>81.998715685142301</v>
      </c>
      <c r="AM1355">
        <v>75.377365635471307</v>
      </c>
      <c r="AN1355">
        <v>1.0000000122010599</v>
      </c>
    </row>
    <row r="1356" spans="1:40" x14ac:dyDescent="0.25">
      <c r="A1356" t="str">
        <f>"20190312154821711"</f>
        <v>20190312154821711</v>
      </c>
      <c r="B1356" t="str">
        <f>"1552376901707559"</f>
        <v>1552376901707559</v>
      </c>
      <c r="C1356" t="s">
        <v>40</v>
      </c>
      <c r="D1356">
        <v>5.0718889999999996</v>
      </c>
      <c r="E1356">
        <v>0.66244700000000001</v>
      </c>
      <c r="F1356" t="s">
        <v>45</v>
      </c>
      <c r="G1356">
        <v>-198.316</v>
      </c>
      <c r="H1356" s="1">
        <v>-5.4873129999999997E-6</v>
      </c>
      <c r="I1356">
        <v>356.31779999999998</v>
      </c>
      <c r="J1356">
        <v>-200.35919999999999</v>
      </c>
      <c r="K1356">
        <v>1.103467</v>
      </c>
      <c r="L1356">
        <v>363.0702</v>
      </c>
      <c r="M1356">
        <v>0.80550940000000004</v>
      </c>
      <c r="N1356">
        <v>0</v>
      </c>
      <c r="O1356">
        <v>-0.59239609999999998</v>
      </c>
      <c r="P1356">
        <v>0.62804300000000002</v>
      </c>
      <c r="Q1356">
        <v>0.1283241</v>
      </c>
      <c r="R1356">
        <v>-0.76752509999999996</v>
      </c>
      <c r="S1356">
        <v>1.015503</v>
      </c>
      <c r="T1356">
        <v>-0.50995159999999995</v>
      </c>
      <c r="U1356">
        <v>-3.1788020000000001</v>
      </c>
      <c r="V1356">
        <v>0.24862670000000001</v>
      </c>
      <c r="W1356">
        <v>0.13838020000000001</v>
      </c>
      <c r="X1356">
        <v>0.9586635</v>
      </c>
      <c r="Y1356">
        <v>0.58641239999999994</v>
      </c>
      <c r="Z1356">
        <v>5.0265450000000003E-2</v>
      </c>
      <c r="AA1356">
        <v>0.80845149999999999</v>
      </c>
      <c r="AB1356">
        <v>22</v>
      </c>
      <c r="AC1356">
        <v>2.0432000000000099</v>
      </c>
      <c r="AD1356">
        <v>-1.103472487313</v>
      </c>
      <c r="AE1356">
        <v>-6.7524000000000202</v>
      </c>
      <c r="AF1356">
        <v>4.1282064993706999</v>
      </c>
      <c r="AG1356">
        <v>-1.103472487313</v>
      </c>
      <c r="AH1356">
        <v>5.5116897250665602</v>
      </c>
      <c r="AI1356">
        <v>99.1038094338479</v>
      </c>
      <c r="AJ1356">
        <v>53.1671162667011</v>
      </c>
      <c r="AK1356">
        <v>6.9741281933376902</v>
      </c>
      <c r="AL1356">
        <v>82.045873855776705</v>
      </c>
      <c r="AM1356">
        <v>75.460823420432604</v>
      </c>
      <c r="AN1356">
        <v>1.00000001096858</v>
      </c>
    </row>
    <row r="1357" spans="1:40" x14ac:dyDescent="0.25">
      <c r="A1357" t="str">
        <f>"20190312154821733"</f>
        <v>20190312154821733</v>
      </c>
      <c r="B1357" t="str">
        <f>"1552376901727078"</f>
        <v>1552376901727078</v>
      </c>
      <c r="C1357" t="s">
        <v>40</v>
      </c>
      <c r="D1357">
        <v>5.0112240000000003</v>
      </c>
      <c r="E1357">
        <v>0.65949669999999905</v>
      </c>
      <c r="F1357" t="s">
        <v>45</v>
      </c>
      <c r="G1357">
        <v>-198.17269999999999</v>
      </c>
      <c r="H1357" s="1">
        <v>-5.3640919999999998E-6</v>
      </c>
      <c r="I1357">
        <v>356.01659999999998</v>
      </c>
      <c r="J1357">
        <v>-200.19</v>
      </c>
      <c r="K1357">
        <v>1.10349599999999</v>
      </c>
      <c r="L1357">
        <v>362.92869999999999</v>
      </c>
      <c r="M1357">
        <v>0.79846039999999996</v>
      </c>
      <c r="N1357">
        <v>0</v>
      </c>
      <c r="O1357">
        <v>-0.6018637</v>
      </c>
      <c r="P1357">
        <v>0.62056309999999903</v>
      </c>
      <c r="Q1357">
        <v>0.12830929999999999</v>
      </c>
      <c r="R1357">
        <v>-0.77358839999999995</v>
      </c>
      <c r="S1357">
        <v>0.98707579999999995</v>
      </c>
      <c r="T1357">
        <v>-0.49814960000000003</v>
      </c>
      <c r="U1357">
        <v>-3.1842649999999999</v>
      </c>
      <c r="V1357">
        <v>0.2466044</v>
      </c>
      <c r="W1357">
        <v>0.13841989999999901</v>
      </c>
      <c r="X1357">
        <v>0.95918000000000003</v>
      </c>
      <c r="Y1357">
        <v>0.58392559999999905</v>
      </c>
      <c r="Z1357">
        <v>5.110634E-2</v>
      </c>
      <c r="AA1357">
        <v>0.81019699999999994</v>
      </c>
      <c r="AB1357">
        <v>22</v>
      </c>
      <c r="AC1357">
        <v>2.0173000000000001</v>
      </c>
      <c r="AD1357">
        <v>-1.10350136409199</v>
      </c>
      <c r="AE1357">
        <v>-6.9120999999999997</v>
      </c>
      <c r="AF1357">
        <v>4.2065751157056397</v>
      </c>
      <c r="AG1357">
        <v>-1.10350136409199</v>
      </c>
      <c r="AH1357">
        <v>5.63907011371459</v>
      </c>
      <c r="AI1357">
        <v>98.914423910895295</v>
      </c>
      <c r="AJ1357">
        <v>53.278178880420199</v>
      </c>
      <c r="AK1357">
        <v>7.1212429541489399</v>
      </c>
      <c r="AL1357">
        <v>82.04357730772</v>
      </c>
      <c r="AM1357">
        <v>75.581573725715799</v>
      </c>
      <c r="AN1357">
        <v>1.0000000356076799</v>
      </c>
    </row>
    <row r="1358" spans="1:40" x14ac:dyDescent="0.25">
      <c r="A1358" t="str">
        <f>"20190312154821746"</f>
        <v>20190312154821746</v>
      </c>
      <c r="B1358" t="str">
        <f>"1552376901736840"</f>
        <v>1552376901736840</v>
      </c>
      <c r="C1358" t="s">
        <v>40</v>
      </c>
      <c r="D1358">
        <v>5.0746140000000004</v>
      </c>
      <c r="E1358">
        <v>0.65555209999999997</v>
      </c>
      <c r="F1358" t="s">
        <v>45</v>
      </c>
      <c r="G1358">
        <v>-198.6474</v>
      </c>
      <c r="H1358" s="1">
        <v>-6.09899199999999E-6</v>
      </c>
      <c r="I1358">
        <v>357.9905</v>
      </c>
      <c r="J1358">
        <v>-200.09010000000001</v>
      </c>
      <c r="K1358">
        <v>1.103502</v>
      </c>
      <c r="L1358">
        <v>362.84379999999999</v>
      </c>
      <c r="M1358">
        <v>0.79421319999999995</v>
      </c>
      <c r="N1358">
        <v>0</v>
      </c>
      <c r="O1358">
        <v>-0.60745719999999903</v>
      </c>
      <c r="P1358">
        <v>0.61606340000000004</v>
      </c>
      <c r="Q1358">
        <v>0.1274293</v>
      </c>
      <c r="R1358">
        <v>-0.77732119999999905</v>
      </c>
      <c r="S1358">
        <v>0.99829100000000004</v>
      </c>
      <c r="T1358">
        <v>-0.71410560000000001</v>
      </c>
      <c r="U1358">
        <v>-3.1956479999999998</v>
      </c>
      <c r="V1358">
        <v>0.24552589999999999</v>
      </c>
      <c r="W1358">
        <v>0.13757069999999999</v>
      </c>
      <c r="X1358">
        <v>0.95957879999999995</v>
      </c>
      <c r="Y1358">
        <v>0.57599619999999996</v>
      </c>
      <c r="Z1358">
        <v>7.4749140000000006E-2</v>
      </c>
      <c r="AA1358">
        <v>0.81402759999999996</v>
      </c>
      <c r="AB1358">
        <v>22</v>
      </c>
      <c r="AC1358">
        <v>1.4427000000000001</v>
      </c>
      <c r="AD1358">
        <v>-1.1035080989920001</v>
      </c>
      <c r="AE1358">
        <v>-4.8532999999999902</v>
      </c>
      <c r="AF1358">
        <v>2.8434396566885898</v>
      </c>
      <c r="AG1358">
        <v>-1.1035080989920001</v>
      </c>
      <c r="AH1358">
        <v>3.9087660173824199</v>
      </c>
      <c r="AI1358">
        <v>102.860213241792</v>
      </c>
      <c r="AJ1358">
        <v>53.9659090271509</v>
      </c>
      <c r="AK1358">
        <v>4.9579563314347403</v>
      </c>
      <c r="AL1358">
        <v>82.092703141130002</v>
      </c>
      <c r="AM1358">
        <v>75.647739611772295</v>
      </c>
      <c r="AN1358">
        <v>1.00000006923936</v>
      </c>
    </row>
    <row r="1359" spans="1:40" x14ac:dyDescent="0.25">
      <c r="A1359" t="str">
        <f>"20190312154821765"</f>
        <v>20190312154821765</v>
      </c>
      <c r="B1359" t="str">
        <f>"1552376901757335"</f>
        <v>1552376901757335</v>
      </c>
      <c r="C1359" t="s">
        <v>40</v>
      </c>
      <c r="D1359">
        <v>5.096381</v>
      </c>
      <c r="E1359">
        <v>0.62369229999999998</v>
      </c>
      <c r="F1359" t="s">
        <v>45</v>
      </c>
      <c r="G1359">
        <v>-197.8734</v>
      </c>
      <c r="H1359" s="1">
        <v>-5.1928469999999999E-6</v>
      </c>
      <c r="I1359">
        <v>355.6499</v>
      </c>
      <c r="J1359">
        <v>-199.94749999999999</v>
      </c>
      <c r="K1359">
        <v>1.1035140000000001</v>
      </c>
      <c r="L1359">
        <v>362.72019999999998</v>
      </c>
      <c r="M1359">
        <v>0.78803690000000004</v>
      </c>
      <c r="N1359">
        <v>0</v>
      </c>
      <c r="O1359">
        <v>-0.61544840000000001</v>
      </c>
      <c r="P1359">
        <v>0.61022189999999998</v>
      </c>
      <c r="Q1359">
        <v>0.1238433</v>
      </c>
      <c r="R1359">
        <v>-0.78249089999999999</v>
      </c>
      <c r="S1359">
        <v>0.97552490000000003</v>
      </c>
      <c r="T1359">
        <v>-0.4856415</v>
      </c>
      <c r="U1359">
        <v>-3.165924</v>
      </c>
      <c r="V1359">
        <v>0.24340349999999999</v>
      </c>
      <c r="W1359">
        <v>0.1340441</v>
      </c>
      <c r="X1359">
        <v>0.96061799999999997</v>
      </c>
      <c r="Y1359">
        <v>0.571513099999999</v>
      </c>
      <c r="Z1359">
        <v>5.3570569999999998E-2</v>
      </c>
      <c r="AA1359">
        <v>0.81884250000000003</v>
      </c>
      <c r="AB1359">
        <v>22</v>
      </c>
      <c r="AC1359">
        <v>2.0740999999999801</v>
      </c>
      <c r="AD1359">
        <v>-1.1035191928469901</v>
      </c>
      <c r="AE1359">
        <v>-7.0702999999999703</v>
      </c>
      <c r="AF1359">
        <v>4.2013929346723602</v>
      </c>
      <c r="AG1359">
        <v>-1.1035191928469901</v>
      </c>
      <c r="AH1359">
        <v>5.8552011493986598</v>
      </c>
      <c r="AI1359">
        <v>98.705860772957294</v>
      </c>
      <c r="AJ1359">
        <v>54.338712213904799</v>
      </c>
      <c r="AK1359">
        <v>7.2905992689501202</v>
      </c>
      <c r="AL1359">
        <v>82.296651635944301</v>
      </c>
      <c r="AM1359">
        <v>75.781515678310498</v>
      </c>
      <c r="AN1359">
        <v>1.00000001324053</v>
      </c>
    </row>
    <row r="1360" spans="1:40" x14ac:dyDescent="0.25">
      <c r="A1360" t="str">
        <f>"20190312154821776"</f>
        <v>20190312154821776</v>
      </c>
      <c r="B1360" t="str">
        <f>"1552376901767096"</f>
        <v>1552376901767096</v>
      </c>
      <c r="C1360" t="s">
        <v>40</v>
      </c>
      <c r="D1360">
        <v>5.1248040000000001</v>
      </c>
      <c r="E1360">
        <v>0.62060380000000004</v>
      </c>
      <c r="F1360" t="s">
        <v>45</v>
      </c>
      <c r="G1360">
        <v>-197.00960000000001</v>
      </c>
      <c r="H1360" s="1">
        <v>-4.681663E-6</v>
      </c>
      <c r="I1360">
        <v>354.96370000000002</v>
      </c>
      <c r="J1360">
        <v>-199.8603</v>
      </c>
      <c r="K1360">
        <v>1.1035219999999999</v>
      </c>
      <c r="L1360">
        <v>362.64299999999997</v>
      </c>
      <c r="M1360">
        <v>0.78418559999999904</v>
      </c>
      <c r="N1360">
        <v>0</v>
      </c>
      <c r="O1360">
        <v>-0.62034809999999996</v>
      </c>
      <c r="P1360">
        <v>0.60631080000000004</v>
      </c>
      <c r="Q1360">
        <v>0.12302920000000001</v>
      </c>
      <c r="R1360">
        <v>-0.78565309999999999</v>
      </c>
      <c r="S1360">
        <v>1.1408389999999999</v>
      </c>
      <c r="T1360">
        <v>-0.42851840000000002</v>
      </c>
      <c r="U1360">
        <v>-3.0119929999999999</v>
      </c>
      <c r="V1360">
        <v>0.242288</v>
      </c>
      <c r="W1360">
        <v>0.13325970000000001</v>
      </c>
      <c r="X1360">
        <v>0.961009</v>
      </c>
      <c r="Y1360">
        <v>0.51375490000000001</v>
      </c>
      <c r="Z1360">
        <v>5.3362710000000001E-2</v>
      </c>
      <c r="AA1360">
        <v>0.85627589999999998</v>
      </c>
      <c r="AB1360">
        <v>22</v>
      </c>
      <c r="AC1360">
        <v>2.8506999999999798</v>
      </c>
      <c r="AD1360">
        <v>-1.1035266816629901</v>
      </c>
      <c r="AE1360">
        <v>-7.6793000000000102</v>
      </c>
      <c r="AF1360">
        <v>4.1782098614217498</v>
      </c>
      <c r="AG1360">
        <v>-1.1035266816629901</v>
      </c>
      <c r="AH1360">
        <v>6.8753105067142499</v>
      </c>
      <c r="AI1360">
        <v>97.810160936842095</v>
      </c>
      <c r="AJ1360">
        <v>58.712440744060103</v>
      </c>
      <c r="AK1360">
        <v>8.1206590463434392</v>
      </c>
      <c r="AL1360">
        <v>82.342000900303603</v>
      </c>
      <c r="AM1360">
        <v>75.849580829167294</v>
      </c>
      <c r="AN1360">
        <v>0.99999996033454397</v>
      </c>
    </row>
    <row r="1361" spans="1:40" x14ac:dyDescent="0.25">
      <c r="A1361" t="str">
        <f>"20190312154821788"</f>
        <v>20190312154821788</v>
      </c>
      <c r="B1361" t="str">
        <f>"1552376901776855"</f>
        <v>1552376901776855</v>
      </c>
      <c r="C1361" t="s">
        <v>40</v>
      </c>
      <c r="D1361">
        <v>5.137664</v>
      </c>
      <c r="E1361">
        <v>0.61880669999999904</v>
      </c>
      <c r="F1361" t="s">
        <v>45</v>
      </c>
      <c r="G1361">
        <v>-197.19300000000001</v>
      </c>
      <c r="H1361" s="1">
        <v>-5.050998E-6</v>
      </c>
      <c r="I1361">
        <v>355.66930000000002</v>
      </c>
      <c r="J1361">
        <v>-199.77600000000001</v>
      </c>
      <c r="K1361">
        <v>1.103531</v>
      </c>
      <c r="L1361">
        <v>362.56779999999998</v>
      </c>
      <c r="M1361">
        <v>0.78042</v>
      </c>
      <c r="N1361">
        <v>0</v>
      </c>
      <c r="O1361">
        <v>-0.62507889999999999</v>
      </c>
      <c r="P1361">
        <v>0.60302119999999904</v>
      </c>
      <c r="Q1361">
        <v>0.12285749999999999</v>
      </c>
      <c r="R1361">
        <v>-0.78820800000000002</v>
      </c>
      <c r="S1361">
        <v>1.149643</v>
      </c>
      <c r="T1361">
        <v>-0.47563280000000002</v>
      </c>
      <c r="U1361">
        <v>-3.0057369999999999</v>
      </c>
      <c r="V1361">
        <v>0.2405043</v>
      </c>
      <c r="W1361">
        <v>0.1331302</v>
      </c>
      <c r="X1361">
        <v>0.96147490000000002</v>
      </c>
      <c r="Y1361">
        <v>0.50586540000000002</v>
      </c>
      <c r="Z1361">
        <v>6.0603549999999999E-2</v>
      </c>
      <c r="AA1361">
        <v>0.86048089999999999</v>
      </c>
      <c r="AB1361">
        <v>22</v>
      </c>
      <c r="AC1361">
        <v>2.58299999999999</v>
      </c>
      <c r="AD1361">
        <v>-1.1035360509979999</v>
      </c>
      <c r="AE1361">
        <v>-6.8984999999999497</v>
      </c>
      <c r="AF1361">
        <v>3.68682125074301</v>
      </c>
      <c r="AG1361">
        <v>-1.1035360509979999</v>
      </c>
      <c r="AH1361">
        <v>6.18971432015109</v>
      </c>
      <c r="AI1361">
        <v>98.708457908751001</v>
      </c>
      <c r="AJ1361">
        <v>59.220418292751098</v>
      </c>
      <c r="AK1361">
        <v>7.2885530879500404</v>
      </c>
      <c r="AL1361">
        <v>82.349487529723206</v>
      </c>
      <c r="AM1361">
        <v>75.956152902621298</v>
      </c>
      <c r="AN1361">
        <v>0.99999997590026901</v>
      </c>
    </row>
    <row r="1362" spans="1:40" x14ac:dyDescent="0.25">
      <c r="A1362" t="str">
        <f>"20190312154821800"</f>
        <v>20190312154821800</v>
      </c>
      <c r="B1362" t="str">
        <f>"1552376901787591"</f>
        <v>1552376901787591</v>
      </c>
      <c r="C1362" t="s">
        <v>40</v>
      </c>
      <c r="D1362">
        <v>5.1176849999999998</v>
      </c>
      <c r="E1362">
        <v>0.61797919999999995</v>
      </c>
      <c r="F1362" t="s">
        <v>45</v>
      </c>
      <c r="G1362">
        <v>-197.25710000000001</v>
      </c>
      <c r="H1362" s="1">
        <v>-5.213156E-6</v>
      </c>
      <c r="I1362">
        <v>355.99290000000002</v>
      </c>
      <c r="J1362">
        <v>-199.6883</v>
      </c>
      <c r="K1362">
        <v>1.103545</v>
      </c>
      <c r="L1362">
        <v>362.48860000000002</v>
      </c>
      <c r="M1362">
        <v>0.77645090000000005</v>
      </c>
      <c r="N1362">
        <v>0</v>
      </c>
      <c r="O1362">
        <v>-0.63000239999999996</v>
      </c>
      <c r="P1362">
        <v>0.59923579999999999</v>
      </c>
      <c r="Q1362">
        <v>0.123629</v>
      </c>
      <c r="R1362">
        <v>-0.79096929999999999</v>
      </c>
      <c r="S1362">
        <v>1.150909</v>
      </c>
      <c r="T1362">
        <v>-0.50423200000000001</v>
      </c>
      <c r="U1362">
        <v>-3.0042420000000001</v>
      </c>
      <c r="V1362">
        <v>0.2389442</v>
      </c>
      <c r="W1362">
        <v>0.1339378</v>
      </c>
      <c r="X1362">
        <v>0.96175169999999999</v>
      </c>
      <c r="Y1362">
        <v>0.50003699999999995</v>
      </c>
      <c r="Z1362">
        <v>6.5571740000000003E-2</v>
      </c>
      <c r="AA1362">
        <v>0.86351800000000001</v>
      </c>
      <c r="AB1362">
        <v>22</v>
      </c>
      <c r="AC1362">
        <v>2.4311999999999898</v>
      </c>
      <c r="AD1362">
        <v>-1.103550213156</v>
      </c>
      <c r="AE1362">
        <v>-6.4956999999999896</v>
      </c>
      <c r="AF1362">
        <v>3.4255959341667799</v>
      </c>
      <c r="AG1362">
        <v>-1.103550213156</v>
      </c>
      <c r="AH1362">
        <v>5.8330063794355196</v>
      </c>
      <c r="AI1362">
        <v>99.265502452391999</v>
      </c>
      <c r="AJ1362">
        <v>59.575223885113701</v>
      </c>
      <c r="AK1362">
        <v>6.8539400347298098</v>
      </c>
      <c r="AL1362">
        <v>82.302797485637399</v>
      </c>
      <c r="AM1362">
        <v>76.047540284987605</v>
      </c>
      <c r="AN1362">
        <v>0.99999999871768497</v>
      </c>
    </row>
    <row r="1363" spans="1:40" x14ac:dyDescent="0.25">
      <c r="A1363" t="str">
        <f>"20190312154821811"</f>
        <v>20190312154821811</v>
      </c>
      <c r="B1363" t="str">
        <f>"1552376901807110"</f>
        <v>1552376901807110</v>
      </c>
      <c r="C1363" t="s">
        <v>40</v>
      </c>
      <c r="D1363">
        <v>5.1088490000000002</v>
      </c>
      <c r="E1363">
        <v>0.61708099999999999</v>
      </c>
      <c r="F1363" t="s">
        <v>45</v>
      </c>
      <c r="G1363">
        <v>-197.22130000000001</v>
      </c>
      <c r="H1363" s="1">
        <v>-5.2115650000000003E-6</v>
      </c>
      <c r="I1363">
        <v>356.00490000000002</v>
      </c>
      <c r="J1363">
        <v>-199.60239999999999</v>
      </c>
      <c r="K1363">
        <v>1.1035600000000001</v>
      </c>
      <c r="L1363">
        <v>362.40980000000002</v>
      </c>
      <c r="M1363">
        <v>0.77250750000000001</v>
      </c>
      <c r="N1363">
        <v>0</v>
      </c>
      <c r="O1363">
        <v>-0.634831699999999</v>
      </c>
      <c r="P1363">
        <v>0.59577389999999997</v>
      </c>
      <c r="Q1363">
        <v>0.1239545</v>
      </c>
      <c r="R1363">
        <v>-0.79352929999999999</v>
      </c>
      <c r="S1363">
        <v>1.143829</v>
      </c>
      <c r="T1363">
        <v>-0.51167079999999998</v>
      </c>
      <c r="U1363">
        <v>-3.0062259999999998</v>
      </c>
      <c r="V1363">
        <v>0.23710729999999999</v>
      </c>
      <c r="W1363">
        <v>0.13430639999999999</v>
      </c>
      <c r="X1363">
        <v>0.96215479999999998</v>
      </c>
      <c r="Y1363">
        <v>0.49666460000000001</v>
      </c>
      <c r="Z1363">
        <v>6.7714289999999996E-2</v>
      </c>
      <c r="AA1363">
        <v>0.86529709999999904</v>
      </c>
      <c r="AB1363">
        <v>22</v>
      </c>
      <c r="AC1363">
        <v>2.3810999999999698</v>
      </c>
      <c r="AD1363">
        <v>-1.1035652115649901</v>
      </c>
      <c r="AE1363">
        <v>-6.4048999999999898</v>
      </c>
      <c r="AF1363">
        <v>3.3492579051909601</v>
      </c>
      <c r="AG1363">
        <v>-1.1035652115649901</v>
      </c>
      <c r="AH1363">
        <v>5.7559730246587399</v>
      </c>
      <c r="AI1363">
        <v>99.409164831008695</v>
      </c>
      <c r="AJ1363">
        <v>59.805936773827803</v>
      </c>
      <c r="AK1363">
        <v>6.7503044488570803</v>
      </c>
      <c r="AL1363">
        <v>82.281485482075595</v>
      </c>
      <c r="AM1363">
        <v>76.156235395478902</v>
      </c>
      <c r="AN1363">
        <v>0.99999996997864404</v>
      </c>
    </row>
    <row r="1364" spans="1:40" x14ac:dyDescent="0.25">
      <c r="A1364" t="str">
        <f>"20190312154821823"</f>
        <v>20190312154821823</v>
      </c>
      <c r="B1364" t="str">
        <f>"1552376901816871"</f>
        <v>1552376901816871</v>
      </c>
      <c r="C1364" t="s">
        <v>40</v>
      </c>
      <c r="D1364">
        <v>5.1132759999999999</v>
      </c>
      <c r="E1364">
        <v>0.61693299999999995</v>
      </c>
      <c r="F1364" t="s">
        <v>45</v>
      </c>
      <c r="G1364">
        <v>-197.22730000000001</v>
      </c>
      <c r="H1364" s="1">
        <v>-5.2557289999999997E-6</v>
      </c>
      <c r="I1364">
        <v>356.13400000000001</v>
      </c>
      <c r="J1364">
        <v>-199.51589999999999</v>
      </c>
      <c r="K1364">
        <v>1.1035779999999999</v>
      </c>
      <c r="L1364">
        <v>362.33</v>
      </c>
      <c r="M1364">
        <v>0.76849780000000001</v>
      </c>
      <c r="N1364">
        <v>0</v>
      </c>
      <c r="O1364">
        <v>-0.63967980000000002</v>
      </c>
      <c r="P1364">
        <v>0.59220019999999995</v>
      </c>
      <c r="Q1364">
        <v>0.1246289</v>
      </c>
      <c r="R1364">
        <v>-0.79609449999999904</v>
      </c>
      <c r="S1364">
        <v>1.1385190000000001</v>
      </c>
      <c r="T1364">
        <v>-0.52901339999999997</v>
      </c>
      <c r="U1364">
        <v>-3.0084230000000001</v>
      </c>
      <c r="V1364">
        <v>0.23530039999999999</v>
      </c>
      <c r="W1364">
        <v>0.13502320000000001</v>
      </c>
      <c r="X1364">
        <v>0.96249799999999996</v>
      </c>
      <c r="Y1364">
        <v>0.49283169999999998</v>
      </c>
      <c r="Z1364">
        <v>7.1218160000000003E-2</v>
      </c>
      <c r="AA1364">
        <v>0.86720529999999996</v>
      </c>
      <c r="AB1364">
        <v>22</v>
      </c>
      <c r="AC1364">
        <v>2.28859999999997</v>
      </c>
      <c r="AD1364">
        <v>-1.103583255729</v>
      </c>
      <c r="AE1364">
        <v>-6.1959999999999598</v>
      </c>
      <c r="AF1364">
        <v>3.2084405393212898</v>
      </c>
      <c r="AG1364">
        <v>-1.103583255729</v>
      </c>
      <c r="AH1364">
        <v>5.5674544735262304</v>
      </c>
      <c r="AI1364">
        <v>99.745084255574398</v>
      </c>
      <c r="AJ1364">
        <v>60.045797393122101</v>
      </c>
      <c r="AK1364">
        <v>6.51985705452757</v>
      </c>
      <c r="AL1364">
        <v>82.240038342793497</v>
      </c>
      <c r="AM1364">
        <v>76.262433509556899</v>
      </c>
      <c r="AN1364">
        <v>0.99999997139119901</v>
      </c>
    </row>
    <row r="1365" spans="1:40" x14ac:dyDescent="0.25">
      <c r="A1365" t="str">
        <f>"20190312154821836"</f>
        <v>20190312154821836</v>
      </c>
      <c r="B1365" t="str">
        <f>"1552376901827606"</f>
        <v>1552376901827606</v>
      </c>
      <c r="C1365" t="s">
        <v>40</v>
      </c>
      <c r="D1365">
        <v>5.1543289999999997</v>
      </c>
      <c r="E1365">
        <v>0.6167106</v>
      </c>
      <c r="F1365" t="s">
        <v>45</v>
      </c>
      <c r="G1365">
        <v>-197.17660000000001</v>
      </c>
      <c r="H1365" s="1">
        <v>-5.2275140000000003E-6</v>
      </c>
      <c r="I1365">
        <v>356.07339999999999</v>
      </c>
      <c r="J1365">
        <v>-199.43530000000001</v>
      </c>
      <c r="K1365">
        <v>1.103599</v>
      </c>
      <c r="L1365">
        <v>362.25409999999999</v>
      </c>
      <c r="M1365">
        <v>0.76470329999999997</v>
      </c>
      <c r="N1365">
        <v>0</v>
      </c>
      <c r="O1365">
        <v>-0.64421130000000004</v>
      </c>
      <c r="P1365">
        <v>0.58878450000000004</v>
      </c>
      <c r="Q1365">
        <v>0.1255201</v>
      </c>
      <c r="R1365">
        <v>-0.79848469999999905</v>
      </c>
      <c r="S1365">
        <v>1.1267400000000001</v>
      </c>
      <c r="T1365">
        <v>-0.53153589999999995</v>
      </c>
      <c r="U1365">
        <v>-3.013458</v>
      </c>
      <c r="V1365">
        <v>0.2336329</v>
      </c>
      <c r="W1365">
        <v>0.135953399999999</v>
      </c>
      <c r="X1365">
        <v>0.96277330000000005</v>
      </c>
      <c r="Y1365">
        <v>0.49118650000000003</v>
      </c>
      <c r="Z1365">
        <v>7.2566809999999995E-2</v>
      </c>
      <c r="AA1365">
        <v>0.86802649999999903</v>
      </c>
      <c r="AB1365">
        <v>22</v>
      </c>
      <c r="AC1365">
        <v>2.2587000000000002</v>
      </c>
      <c r="AD1365">
        <v>-1.1036042275139999</v>
      </c>
      <c r="AE1365">
        <v>-6.1806999999999999</v>
      </c>
      <c r="AF1365">
        <v>3.18218000548526</v>
      </c>
      <c r="AG1365">
        <v>-1.1036042275139999</v>
      </c>
      <c r="AH1365">
        <v>5.5533475802236403</v>
      </c>
      <c r="AI1365">
        <v>99.783067364348199</v>
      </c>
      <c r="AJ1365">
        <v>60.186422499855198</v>
      </c>
      <c r="AK1365">
        <v>6.49491194898535</v>
      </c>
      <c r="AL1365">
        <v>82.186246344499395</v>
      </c>
      <c r="AM1365">
        <v>76.359891889386702</v>
      </c>
      <c r="AN1365">
        <v>1.0000000430634199</v>
      </c>
    </row>
    <row r="1366" spans="1:40" x14ac:dyDescent="0.25">
      <c r="A1366" t="str">
        <f>"20190312154821847"</f>
        <v>20190312154821847</v>
      </c>
      <c r="B1366" t="str">
        <f>"1552376901837367"</f>
        <v>1552376901837367</v>
      </c>
      <c r="C1366" t="s">
        <v>40</v>
      </c>
      <c r="D1366">
        <v>5.1322900000000002</v>
      </c>
      <c r="E1366">
        <v>0.61640850000000003</v>
      </c>
      <c r="F1366" t="s">
        <v>45</v>
      </c>
      <c r="G1366">
        <v>-197.13470000000001</v>
      </c>
      <c r="H1366" s="1">
        <v>-5.2087340000000003E-6</v>
      </c>
      <c r="I1366">
        <v>356.03680000000003</v>
      </c>
      <c r="J1366">
        <v>-199.35149999999999</v>
      </c>
      <c r="K1366">
        <v>1.1036220000000001</v>
      </c>
      <c r="L1366">
        <v>362.17469999999997</v>
      </c>
      <c r="M1366">
        <v>0.76072430000000002</v>
      </c>
      <c r="N1366">
        <v>0</v>
      </c>
      <c r="O1366">
        <v>-0.64890509999999901</v>
      </c>
      <c r="P1366">
        <v>0.58523359999999902</v>
      </c>
      <c r="Q1366">
        <v>0.126135199999999</v>
      </c>
      <c r="R1366">
        <v>-0.80099399999999998</v>
      </c>
      <c r="S1366">
        <v>1.11676</v>
      </c>
      <c r="T1366">
        <v>-0.5357075</v>
      </c>
      <c r="U1366">
        <v>-3.017944</v>
      </c>
      <c r="V1366">
        <v>0.23190849999999999</v>
      </c>
      <c r="W1366">
        <v>0.1366105</v>
      </c>
      <c r="X1366">
        <v>0.96309710000000004</v>
      </c>
      <c r="Y1366">
        <v>0.48882789999999998</v>
      </c>
      <c r="Z1366">
        <v>7.4232300000000001E-2</v>
      </c>
      <c r="AA1366">
        <v>0.86921619999999999</v>
      </c>
      <c r="AB1366">
        <v>21</v>
      </c>
      <c r="AC1366">
        <v>2.2167999999999699</v>
      </c>
      <c r="AD1366">
        <v>-1.10362720873399</v>
      </c>
      <c r="AE1366">
        <v>-6.1378999999999397</v>
      </c>
      <c r="AF1366">
        <v>3.1412747803665</v>
      </c>
      <c r="AG1366">
        <v>-1.10362720873399</v>
      </c>
      <c r="AH1366">
        <v>5.5122663120211799</v>
      </c>
      <c r="AI1366">
        <v>99.867873958710803</v>
      </c>
      <c r="AJ1366">
        <v>60.322485350175299</v>
      </c>
      <c r="AK1366">
        <v>6.4397733000679596</v>
      </c>
      <c r="AL1366">
        <v>82.148242398282704</v>
      </c>
      <c r="AM1366">
        <v>76.461231360329293</v>
      </c>
      <c r="AN1366">
        <v>1.0000000025554501</v>
      </c>
    </row>
    <row r="1367" spans="1:40" x14ac:dyDescent="0.25">
      <c r="A1367" t="str">
        <f>"20190312154821866"</f>
        <v>20190312154821866</v>
      </c>
      <c r="B1367" t="str">
        <f>"1552376901856887"</f>
        <v>1552376901856887</v>
      </c>
      <c r="C1367" t="s">
        <v>40</v>
      </c>
      <c r="D1367">
        <v>5.1399720000000002</v>
      </c>
      <c r="E1367">
        <v>0.61597250000000003</v>
      </c>
      <c r="F1367" t="s">
        <v>45</v>
      </c>
      <c r="G1367">
        <v>-197.08320000000001</v>
      </c>
      <c r="H1367" s="1">
        <v>-5.1722369999999998E-6</v>
      </c>
      <c r="I1367">
        <v>355.98180000000002</v>
      </c>
      <c r="J1367">
        <v>-199.2157</v>
      </c>
      <c r="K1367">
        <v>1.103675</v>
      </c>
      <c r="L1367">
        <v>362.0437</v>
      </c>
      <c r="M1367">
        <v>0.75417330000000005</v>
      </c>
      <c r="N1367">
        <v>0</v>
      </c>
      <c r="O1367">
        <v>-0.65650799999999998</v>
      </c>
      <c r="P1367">
        <v>0.57909619999999995</v>
      </c>
      <c r="Q1367">
        <v>0.12807689999999999</v>
      </c>
      <c r="R1367">
        <v>-0.80513610000000002</v>
      </c>
      <c r="S1367">
        <v>1.1067049999999901</v>
      </c>
      <c r="T1367">
        <v>-0.53845690000000002</v>
      </c>
      <c r="U1367">
        <v>-3.0214840000000001</v>
      </c>
      <c r="V1367">
        <v>0.22938259999999999</v>
      </c>
      <c r="W1367">
        <v>0.13861490000000001</v>
      </c>
      <c r="X1367">
        <v>0.96341560000000004</v>
      </c>
      <c r="Y1367">
        <v>0.48304390000000003</v>
      </c>
      <c r="Z1367">
        <v>7.6586500000000002E-2</v>
      </c>
      <c r="AA1367">
        <v>0.87224029999999997</v>
      </c>
      <c r="AB1367">
        <v>21</v>
      </c>
      <c r="AC1367">
        <v>2.1324999999999901</v>
      </c>
      <c r="AD1367">
        <v>-1.103680172237</v>
      </c>
      <c r="AE1367">
        <v>-6.0618999999999801</v>
      </c>
      <c r="AF1367">
        <v>3.0811789149318098</v>
      </c>
      <c r="AG1367">
        <v>-1.103680172237</v>
      </c>
      <c r="AH1367">
        <v>5.4284447482275997</v>
      </c>
      <c r="AI1367">
        <v>100.02723638811899</v>
      </c>
      <c r="AJ1367">
        <v>60.420806335774898</v>
      </c>
      <c r="AK1367">
        <v>6.3387527016731999</v>
      </c>
      <c r="AL1367">
        <v>82.0322959374368</v>
      </c>
      <c r="AM1367">
        <v>76.607618560324994</v>
      </c>
      <c r="AN1367">
        <v>1.0000000430040601</v>
      </c>
    </row>
    <row r="1368" spans="1:40" x14ac:dyDescent="0.25">
      <c r="A1368" t="str">
        <f>"20190312154821878"</f>
        <v>20190312154821878</v>
      </c>
      <c r="B1368" t="str">
        <f>"1552376901867622"</f>
        <v>1552376901867622</v>
      </c>
      <c r="C1368" t="s">
        <v>40</v>
      </c>
      <c r="D1368">
        <v>5.1843649999999997</v>
      </c>
      <c r="E1368">
        <v>0.61575819999999903</v>
      </c>
      <c r="F1368" t="s">
        <v>45</v>
      </c>
      <c r="G1368">
        <v>-197.00200000000001</v>
      </c>
      <c r="H1368" s="1">
        <v>-5.1147189999999998E-6</v>
      </c>
      <c r="I1368">
        <v>355.89699999999999</v>
      </c>
      <c r="J1368">
        <v>-199.1277</v>
      </c>
      <c r="K1368">
        <v>1.1037090000000001</v>
      </c>
      <c r="L1368">
        <v>361.9572</v>
      </c>
      <c r="M1368">
        <v>0.74986580000000003</v>
      </c>
      <c r="N1368">
        <v>0</v>
      </c>
      <c r="O1368">
        <v>-0.66142369999999995</v>
      </c>
      <c r="P1368">
        <v>0.57447809999999999</v>
      </c>
      <c r="Q1368">
        <v>0.12863840000000001</v>
      </c>
      <c r="R1368">
        <v>-0.80834849999999903</v>
      </c>
      <c r="S1368">
        <v>1.090576</v>
      </c>
      <c r="T1368">
        <v>-0.54373970000000005</v>
      </c>
      <c r="U1368">
        <v>-3.0282290000000001</v>
      </c>
      <c r="V1368">
        <v>0.22852890000000001</v>
      </c>
      <c r="W1368">
        <v>0.13920469999999999</v>
      </c>
      <c r="X1368">
        <v>0.96353339999999998</v>
      </c>
      <c r="Y1368">
        <v>0.48210639999999999</v>
      </c>
      <c r="Z1368">
        <v>7.8377589999999997E-2</v>
      </c>
      <c r="AA1368">
        <v>0.87259979999999904</v>
      </c>
      <c r="AB1368">
        <v>21</v>
      </c>
      <c r="AC1368">
        <v>2.1256999999999899</v>
      </c>
      <c r="AD1368">
        <v>-1.1037141147189999</v>
      </c>
      <c r="AE1368">
        <v>-6.0602</v>
      </c>
      <c r="AF1368">
        <v>3.0486498800675399</v>
      </c>
      <c r="AG1368">
        <v>-1.1037141147189999</v>
      </c>
      <c r="AH1368">
        <v>5.4422264774041702</v>
      </c>
      <c r="AI1368">
        <v>100.03379515251299</v>
      </c>
      <c r="AJ1368">
        <v>60.743135209710303</v>
      </c>
      <c r="AK1368">
        <v>6.33484648350887</v>
      </c>
      <c r="AL1368">
        <v>81.998171790279301</v>
      </c>
      <c r="AM1368">
        <v>76.657248365723405</v>
      </c>
      <c r="AN1368">
        <v>1.0000000097764199</v>
      </c>
    </row>
    <row r="1369" spans="1:40" x14ac:dyDescent="0.25">
      <c r="A1369" t="str">
        <f>"20190312154821892"</f>
        <v>20190312154821892</v>
      </c>
      <c r="B1369" t="str">
        <f>"1552376901887142"</f>
        <v>1552376901887142</v>
      </c>
      <c r="C1369" t="s">
        <v>40</v>
      </c>
      <c r="D1369">
        <v>5.4026899999999998</v>
      </c>
      <c r="E1369">
        <v>0.61557649999999997</v>
      </c>
      <c r="F1369" t="s">
        <v>45</v>
      </c>
      <c r="G1369">
        <v>-196.9546</v>
      </c>
      <c r="H1369" s="1">
        <v>-5.0726920000000004E-6</v>
      </c>
      <c r="I1369">
        <v>355.82929999999999</v>
      </c>
      <c r="J1369">
        <v>-199.0333</v>
      </c>
      <c r="K1369">
        <v>1.1037539999999999</v>
      </c>
      <c r="L1369">
        <v>361.86340000000001</v>
      </c>
      <c r="M1369">
        <v>0.74519480000000005</v>
      </c>
      <c r="N1369">
        <v>0</v>
      </c>
      <c r="O1369">
        <v>-0.66668190000000005</v>
      </c>
      <c r="P1369">
        <v>0.56928290000000004</v>
      </c>
      <c r="Q1369">
        <v>0.12886520000000001</v>
      </c>
      <c r="R1369">
        <v>-0.81197929999999996</v>
      </c>
      <c r="S1369">
        <v>1.075806</v>
      </c>
      <c r="T1369">
        <v>-0.54640630000000001</v>
      </c>
      <c r="U1369">
        <v>-3.0336609999999999</v>
      </c>
      <c r="V1369">
        <v>0.2278925</v>
      </c>
      <c r="W1369">
        <v>0.13945689999999999</v>
      </c>
      <c r="X1369">
        <v>0.9636477</v>
      </c>
      <c r="Y1369">
        <v>0.48026669999999999</v>
      </c>
      <c r="Z1369">
        <v>7.9970620000000006E-2</v>
      </c>
      <c r="AA1369">
        <v>0.8734693</v>
      </c>
      <c r="AB1369">
        <v>21</v>
      </c>
      <c r="AC1369">
        <v>2.0786999999999898</v>
      </c>
      <c r="AD1369">
        <v>-1.1037590726919999</v>
      </c>
      <c r="AE1369">
        <v>-6.03410000000002</v>
      </c>
      <c r="AF1369">
        <v>3.0207394443884099</v>
      </c>
      <c r="AG1369">
        <v>-1.1037590726919999</v>
      </c>
      <c r="AH1369">
        <v>5.4106410633766098</v>
      </c>
      <c r="AI1369">
        <v>100.09952507862801</v>
      </c>
      <c r="AJ1369">
        <v>60.8255501902239</v>
      </c>
      <c r="AK1369">
        <v>6.2942980226655196</v>
      </c>
      <c r="AL1369">
        <v>81.983579817401903</v>
      </c>
      <c r="AM1369">
        <v>76.6946035105112</v>
      </c>
      <c r="AN1369">
        <v>1.0000000541145699</v>
      </c>
    </row>
    <row r="1370" spans="1:40" x14ac:dyDescent="0.25">
      <c r="A1370" t="str">
        <f>"20190312154821912"</f>
        <v>20190312154821912</v>
      </c>
      <c r="B1370" t="str">
        <f>"1552376901907638"</f>
        <v>1552376901907638</v>
      </c>
      <c r="C1370" t="s">
        <v>40</v>
      </c>
      <c r="D1370">
        <v>5.3032659999999998</v>
      </c>
      <c r="E1370">
        <v>0.61550640000000001</v>
      </c>
      <c r="F1370" t="s">
        <v>45</v>
      </c>
      <c r="G1370">
        <v>-196.90950000000001</v>
      </c>
      <c r="H1370" s="1">
        <v>-5.0335399999999996E-6</v>
      </c>
      <c r="I1370">
        <v>355.76670000000001</v>
      </c>
      <c r="J1370">
        <v>-198.89699999999999</v>
      </c>
      <c r="K1370">
        <v>1.1038059999999901</v>
      </c>
      <c r="L1370">
        <v>361.72559999999999</v>
      </c>
      <c r="M1370">
        <v>0.73835850000000003</v>
      </c>
      <c r="N1370">
        <v>0</v>
      </c>
      <c r="O1370">
        <v>-0.67424569999999995</v>
      </c>
      <c r="P1370">
        <v>0.56132150000000003</v>
      </c>
      <c r="Q1370">
        <v>0.128444899999999</v>
      </c>
      <c r="R1370">
        <v>-0.81756989999999996</v>
      </c>
      <c r="S1370">
        <v>1.058853</v>
      </c>
      <c r="T1370">
        <v>-0.55030849999999998</v>
      </c>
      <c r="U1370">
        <v>-3.0396420000000002</v>
      </c>
      <c r="V1370">
        <v>0.2275037</v>
      </c>
      <c r="W1370">
        <v>0.13906640000000001</v>
      </c>
      <c r="X1370">
        <v>0.96379599999999999</v>
      </c>
      <c r="Y1370">
        <v>0.47628949999999998</v>
      </c>
      <c r="Z1370">
        <v>8.2398170000000007E-2</v>
      </c>
      <c r="AA1370">
        <v>0.87541930000000001</v>
      </c>
      <c r="AB1370">
        <v>21</v>
      </c>
      <c r="AC1370">
        <v>1.98750000000001</v>
      </c>
      <c r="AD1370">
        <v>-1.10381103353999</v>
      </c>
      <c r="AE1370">
        <v>-5.9588999999999697</v>
      </c>
      <c r="AF1370">
        <v>2.9684185086253101</v>
      </c>
      <c r="AG1370">
        <v>-1.10381103353999</v>
      </c>
      <c r="AH1370">
        <v>5.3215345842657698</v>
      </c>
      <c r="AI1370">
        <v>100.26761015769701</v>
      </c>
      <c r="AJ1370">
        <v>60.846675649932997</v>
      </c>
      <c r="AK1370">
        <v>6.1926276790753798</v>
      </c>
      <c r="AL1370">
        <v>82.0061740588352</v>
      </c>
      <c r="AM1370">
        <v>76.718469550562105</v>
      </c>
      <c r="AN1370">
        <v>1.00000006336932</v>
      </c>
    </row>
    <row r="1371" spans="1:40" x14ac:dyDescent="0.25">
      <c r="A1371" t="str">
        <f>"20190312154821928"</f>
        <v>20190312154821928</v>
      </c>
      <c r="B1371" t="str">
        <f>"1552376901917399"</f>
        <v>1552376901917399</v>
      </c>
      <c r="C1371" t="s">
        <v>40</v>
      </c>
      <c r="D1371">
        <v>5.1802330000000003</v>
      </c>
      <c r="E1371">
        <v>0.61533169999999904</v>
      </c>
      <c r="F1371" t="s">
        <v>45</v>
      </c>
      <c r="G1371">
        <v>-196.87190000000001</v>
      </c>
      <c r="H1371" s="1">
        <v>-5.01006999999999E-6</v>
      </c>
      <c r="I1371">
        <v>355.73430000000002</v>
      </c>
      <c r="J1371">
        <v>-198.79</v>
      </c>
      <c r="K1371">
        <v>1.1038589999999999</v>
      </c>
      <c r="L1371">
        <v>361.6157</v>
      </c>
      <c r="M1371">
        <v>0.73292230000000003</v>
      </c>
      <c r="N1371">
        <v>0</v>
      </c>
      <c r="O1371">
        <v>-0.68015119999999996</v>
      </c>
      <c r="P1371">
        <v>0.55477940000000003</v>
      </c>
      <c r="Q1371">
        <v>0.127528</v>
      </c>
      <c r="R1371">
        <v>-0.82216590000000001</v>
      </c>
      <c r="S1371">
        <v>1.030899</v>
      </c>
      <c r="T1371">
        <v>-0.56189919999999904</v>
      </c>
      <c r="U1371">
        <v>-3.0498959999999999</v>
      </c>
      <c r="V1371">
        <v>0.22752929999999999</v>
      </c>
      <c r="W1371">
        <v>0.13816909999999999</v>
      </c>
      <c r="X1371">
        <v>0.96391890000000002</v>
      </c>
      <c r="Y1371">
        <v>0.47739090000000001</v>
      </c>
      <c r="Z1371">
        <v>8.5246180000000005E-2</v>
      </c>
      <c r="AA1371">
        <v>0.87454619999999905</v>
      </c>
      <c r="AB1371">
        <v>21</v>
      </c>
      <c r="AC1371">
        <v>1.9180999999999799</v>
      </c>
      <c r="AD1371">
        <v>-1.1038640100699999</v>
      </c>
      <c r="AE1371">
        <v>-5.8813999999999798</v>
      </c>
      <c r="AF1371">
        <v>2.91357264525627</v>
      </c>
      <c r="AG1371">
        <v>-1.1038640100699999</v>
      </c>
      <c r="AH1371">
        <v>5.2398165305942301</v>
      </c>
      <c r="AI1371">
        <v>100.432409009314</v>
      </c>
      <c r="AJ1371">
        <v>60.923980692253998</v>
      </c>
      <c r="AK1371">
        <v>6.0961544096423603</v>
      </c>
      <c r="AL1371">
        <v>82.058085934384394</v>
      </c>
      <c r="AM1371">
        <v>76.718661573068204</v>
      </c>
      <c r="AN1371">
        <v>0.99999996416525405</v>
      </c>
    </row>
    <row r="1372" spans="1:40" x14ac:dyDescent="0.25">
      <c r="A1372" t="str">
        <f>"20190312154821947"</f>
        <v>20190312154821947</v>
      </c>
      <c r="B1372" t="str">
        <f>"1552376901936918"</f>
        <v>1552376901936918</v>
      </c>
      <c r="C1372" t="s">
        <v>40</v>
      </c>
      <c r="D1372">
        <v>5.2832359999999996</v>
      </c>
      <c r="E1372">
        <v>0.61472590000000005</v>
      </c>
      <c r="F1372" t="s">
        <v>45</v>
      </c>
      <c r="G1372">
        <v>-196.8295</v>
      </c>
      <c r="H1372" s="1">
        <v>-4.9690640000000003E-6</v>
      </c>
      <c r="I1372">
        <v>355.66640000000001</v>
      </c>
      <c r="J1372">
        <v>-198.65979999999999</v>
      </c>
      <c r="K1372">
        <v>1.1039139999999901</v>
      </c>
      <c r="L1372">
        <v>361.47949999999997</v>
      </c>
      <c r="M1372">
        <v>0.72622940000000002</v>
      </c>
      <c r="N1372">
        <v>0</v>
      </c>
      <c r="O1372">
        <v>-0.68729319999999905</v>
      </c>
      <c r="P1372">
        <v>0.54657319999999998</v>
      </c>
      <c r="Q1372">
        <v>0.12430720000000001</v>
      </c>
      <c r="R1372">
        <v>-0.82813389999999998</v>
      </c>
      <c r="S1372">
        <v>1.0074160000000001</v>
      </c>
      <c r="T1372">
        <v>-0.56723480000000004</v>
      </c>
      <c r="U1372">
        <v>-3.0570979999999999</v>
      </c>
      <c r="V1372">
        <v>0.22796269999999999</v>
      </c>
      <c r="W1372">
        <v>0.13497120000000001</v>
      </c>
      <c r="X1372">
        <v>0.96426959999999995</v>
      </c>
      <c r="Y1372">
        <v>0.47554020000000002</v>
      </c>
      <c r="Z1372">
        <v>8.7727410000000006E-2</v>
      </c>
      <c r="AA1372">
        <v>0.8753088</v>
      </c>
      <c r="AB1372">
        <v>21</v>
      </c>
      <c r="AC1372">
        <v>1.83029999999999</v>
      </c>
      <c r="AD1372">
        <v>-1.1039189690640001</v>
      </c>
      <c r="AE1372">
        <v>-5.8130999999999604</v>
      </c>
      <c r="AF1372">
        <v>2.86985557764041</v>
      </c>
      <c r="AG1372">
        <v>-1.1039189690640001</v>
      </c>
      <c r="AH1372">
        <v>5.1559378287262501</v>
      </c>
      <c r="AI1372">
        <v>100.596332899022</v>
      </c>
      <c r="AJ1372">
        <v>60.899173672917101</v>
      </c>
      <c r="AK1372">
        <v>6.0031993986926198</v>
      </c>
      <c r="AL1372">
        <v>82.243045779889599</v>
      </c>
      <c r="AM1372">
        <v>76.698929350950607</v>
      </c>
      <c r="AN1372">
        <v>1.00000003945244</v>
      </c>
    </row>
    <row r="1373" spans="1:40" x14ac:dyDescent="0.25">
      <c r="A1373" t="str">
        <f>"20190312154821967"</f>
        <v>20190312154821967</v>
      </c>
      <c r="B1373" t="str">
        <f>"1552376901957415"</f>
        <v>1552376901957415</v>
      </c>
      <c r="C1373" t="s">
        <v>40</v>
      </c>
      <c r="D1373">
        <v>5.1061860000000001</v>
      </c>
      <c r="E1373">
        <v>0.61473290000000003</v>
      </c>
      <c r="F1373" t="s">
        <v>45</v>
      </c>
      <c r="G1373">
        <v>-196.80179999999999</v>
      </c>
      <c r="H1373" s="1">
        <v>-4.9609549999999998E-6</v>
      </c>
      <c r="I1373">
        <v>355.66219999999998</v>
      </c>
      <c r="J1373">
        <v>-198.53059999999999</v>
      </c>
      <c r="K1373">
        <v>1.103961</v>
      </c>
      <c r="L1373">
        <v>361.3417</v>
      </c>
      <c r="M1373">
        <v>0.71950649999999905</v>
      </c>
      <c r="N1373">
        <v>0</v>
      </c>
      <c r="O1373">
        <v>-0.69432869999999902</v>
      </c>
      <c r="P1373">
        <v>0.53854809999999997</v>
      </c>
      <c r="Q1373">
        <v>0.120367</v>
      </c>
      <c r="R1373">
        <v>-0.83395350000000001</v>
      </c>
      <c r="S1373">
        <v>0.97863770000000005</v>
      </c>
      <c r="T1373">
        <v>-0.58144819999999997</v>
      </c>
      <c r="U1373">
        <v>-3.0640260000000001</v>
      </c>
      <c r="V1373">
        <v>0.22822139999999999</v>
      </c>
      <c r="W1373">
        <v>0.13105899999999901</v>
      </c>
      <c r="X1373">
        <v>0.96474789999999999</v>
      </c>
      <c r="Y1373">
        <v>0.47510390000000002</v>
      </c>
      <c r="Z1373">
        <v>9.1521430000000001E-2</v>
      </c>
      <c r="AA1373">
        <v>0.87515719999999997</v>
      </c>
      <c r="AB1373">
        <v>21</v>
      </c>
      <c r="AC1373">
        <v>1.7287999999999999</v>
      </c>
      <c r="AD1373">
        <v>-1.1039659609550001</v>
      </c>
      <c r="AE1373">
        <v>-5.6795000000000098</v>
      </c>
      <c r="AF1373">
        <v>2.78992458838316</v>
      </c>
      <c r="AG1373">
        <v>-1.1039659609550001</v>
      </c>
      <c r="AH1373">
        <v>5.0144938954440601</v>
      </c>
      <c r="AI1373">
        <v>100.88970877310101</v>
      </c>
      <c r="AJ1373">
        <v>60.909657056174197</v>
      </c>
      <c r="AK1373">
        <v>5.8435921383390497</v>
      </c>
      <c r="AL1373">
        <v>82.469207772520605</v>
      </c>
      <c r="AM1373">
        <v>76.690738816270894</v>
      </c>
      <c r="AN1373">
        <v>0.99999998972668502</v>
      </c>
    </row>
    <row r="1374" spans="1:40" x14ac:dyDescent="0.25">
      <c r="A1374" t="str">
        <f>"20190312154821978"</f>
        <v>20190312154821978</v>
      </c>
      <c r="B1374" t="str">
        <f>"1552376901967175"</f>
        <v>1552376901967175</v>
      </c>
      <c r="C1374" t="s">
        <v>40</v>
      </c>
      <c r="D1374">
        <v>5.1010229999999996</v>
      </c>
      <c r="E1374">
        <v>0.61465159999999996</v>
      </c>
      <c r="F1374" t="s">
        <v>45</v>
      </c>
      <c r="G1374">
        <v>-196.7647</v>
      </c>
      <c r="H1374" s="1">
        <v>-4.924691E-6</v>
      </c>
      <c r="I1374">
        <v>355.60199999999998</v>
      </c>
      <c r="J1374">
        <v>-198.44730000000001</v>
      </c>
      <c r="K1374">
        <v>1.104001</v>
      </c>
      <c r="L1374">
        <v>361.25130000000001</v>
      </c>
      <c r="M1374">
        <v>0.71512509999999996</v>
      </c>
      <c r="N1374">
        <v>0</v>
      </c>
      <c r="O1374">
        <v>-0.69884049999999998</v>
      </c>
      <c r="P1374">
        <v>0.53343549999999995</v>
      </c>
      <c r="Q1374">
        <v>0.1186354</v>
      </c>
      <c r="R1374">
        <v>-0.83747990000000005</v>
      </c>
      <c r="S1374">
        <v>0.94522090000000003</v>
      </c>
      <c r="T1374">
        <v>-0.59090200000000004</v>
      </c>
      <c r="U1374">
        <v>-3.0722049999999999</v>
      </c>
      <c r="V1374">
        <v>0.22818910000000001</v>
      </c>
      <c r="W1374">
        <v>0.12934709999999999</v>
      </c>
      <c r="X1374">
        <v>0.96498660000000003</v>
      </c>
      <c r="Y1374">
        <v>0.47894209999999898</v>
      </c>
      <c r="Z1374">
        <v>9.3746960000000004E-2</v>
      </c>
      <c r="AA1374">
        <v>0.87282649999999995</v>
      </c>
      <c r="AB1374">
        <v>21</v>
      </c>
      <c r="AC1374">
        <v>1.6826000000000001</v>
      </c>
      <c r="AD1374">
        <v>-1.1040059246909999</v>
      </c>
      <c r="AE1374">
        <v>-5.6493000000000304</v>
      </c>
      <c r="AF1374">
        <v>2.7673257979579602</v>
      </c>
      <c r="AG1374">
        <v>-1.1040059246909999</v>
      </c>
      <c r="AH1374">
        <v>4.9771980587012301</v>
      </c>
      <c r="AI1374">
        <v>100.97141288448201</v>
      </c>
      <c r="AJ1374">
        <v>60.925908292644301</v>
      </c>
      <c r="AK1374">
        <v>5.8008121560119399</v>
      </c>
      <c r="AL1374">
        <v>82.568134920502501</v>
      </c>
      <c r="AM1374">
        <v>76.695730121505804</v>
      </c>
      <c r="AN1374">
        <v>1.00000003790838</v>
      </c>
    </row>
    <row r="1375" spans="1:40" x14ac:dyDescent="0.25">
      <c r="A1375" t="str">
        <f>"20190312154821995"</f>
        <v>20190312154821995</v>
      </c>
      <c r="B1375" t="str">
        <f>"1552376901987671"</f>
        <v>1552376901987671</v>
      </c>
      <c r="C1375" t="s">
        <v>40</v>
      </c>
      <c r="D1375">
        <v>5.1186170000000004</v>
      </c>
      <c r="E1375">
        <v>0.61418779999999995</v>
      </c>
      <c r="F1375" t="s">
        <v>45</v>
      </c>
      <c r="G1375">
        <v>-196.7295</v>
      </c>
      <c r="H1375" s="1">
        <v>-4.8884240000000003E-6</v>
      </c>
      <c r="I1375">
        <v>355.54090000000002</v>
      </c>
      <c r="J1375">
        <v>-198.3467</v>
      </c>
      <c r="K1375">
        <v>1.1040449999999999</v>
      </c>
      <c r="L1375">
        <v>361.14089999999999</v>
      </c>
      <c r="M1375">
        <v>0.70979650000000005</v>
      </c>
      <c r="N1375">
        <v>0</v>
      </c>
      <c r="O1375">
        <v>-0.70425249999999995</v>
      </c>
      <c r="P1375">
        <v>0.52754979999999996</v>
      </c>
      <c r="Q1375">
        <v>0.1164613</v>
      </c>
      <c r="R1375">
        <v>-0.84150380000000002</v>
      </c>
      <c r="S1375">
        <v>0.92555240000000005</v>
      </c>
      <c r="T1375">
        <v>-0.59487139999999905</v>
      </c>
      <c r="U1375">
        <v>-3.0769350000000002</v>
      </c>
      <c r="V1375">
        <v>0.22778789999999999</v>
      </c>
      <c r="W1375">
        <v>0.12720300000000001</v>
      </c>
      <c r="X1375">
        <v>0.96536630000000001</v>
      </c>
      <c r="Y1375">
        <v>0.47781980000000002</v>
      </c>
      <c r="Z1375">
        <v>9.5713469999999995E-2</v>
      </c>
      <c r="AA1375">
        <v>0.87322809999999995</v>
      </c>
      <c r="AB1375">
        <v>21</v>
      </c>
      <c r="AC1375">
        <v>1.61719999999999</v>
      </c>
      <c r="AD1375">
        <v>-1.104049888424</v>
      </c>
      <c r="AE1375">
        <v>-5.5999999999999597</v>
      </c>
      <c r="AF1375">
        <v>2.7380201100861199</v>
      </c>
      <c r="AG1375">
        <v>-1.104049888424</v>
      </c>
      <c r="AH1375">
        <v>4.9158841495521504</v>
      </c>
      <c r="AI1375">
        <v>101.10082716533501</v>
      </c>
      <c r="AJ1375">
        <v>60.8833260608383</v>
      </c>
      <c r="AK1375">
        <v>5.73424774937246</v>
      </c>
      <c r="AL1375">
        <v>82.692005976659502</v>
      </c>
      <c r="AM1375">
        <v>76.723330821964197</v>
      </c>
      <c r="AN1375">
        <v>1.0000000118855401</v>
      </c>
    </row>
    <row r="1376" spans="1:40" x14ac:dyDescent="0.25">
      <c r="A1376" t="str">
        <f>"20190312154822012"</f>
        <v>20190312154822012</v>
      </c>
      <c r="B1376" t="str">
        <f>"1552376902007191"</f>
        <v>1552376902007191</v>
      </c>
      <c r="C1376" t="s">
        <v>40</v>
      </c>
      <c r="D1376">
        <v>5.1367139999999996</v>
      </c>
      <c r="E1376">
        <v>0.6136045</v>
      </c>
      <c r="F1376" t="s">
        <v>45</v>
      </c>
      <c r="G1376">
        <v>-196.6728</v>
      </c>
      <c r="H1376" s="1">
        <v>-4.8298489999999998E-6</v>
      </c>
      <c r="I1376">
        <v>355.44220000000001</v>
      </c>
      <c r="J1376">
        <v>-198.23849999999999</v>
      </c>
      <c r="K1376">
        <v>1.1040909999999999</v>
      </c>
      <c r="L1376">
        <v>361.0204</v>
      </c>
      <c r="M1376">
        <v>0.70400629999999997</v>
      </c>
      <c r="N1376">
        <v>0</v>
      </c>
      <c r="O1376">
        <v>-0.71004100000000003</v>
      </c>
      <c r="P1376">
        <v>0.52153989999999995</v>
      </c>
      <c r="Q1376">
        <v>0.1119</v>
      </c>
      <c r="R1376">
        <v>-0.84585730000000003</v>
      </c>
      <c r="S1376">
        <v>0.90484620000000004</v>
      </c>
      <c r="T1376">
        <v>-0.596786699999999</v>
      </c>
      <c r="U1376">
        <v>-3.0804140000000002</v>
      </c>
      <c r="V1376">
        <v>0.22710440000000001</v>
      </c>
      <c r="W1376">
        <v>0.1226816</v>
      </c>
      <c r="X1376">
        <v>0.96611230000000003</v>
      </c>
      <c r="Y1376">
        <v>0.47635329999999898</v>
      </c>
      <c r="Z1376">
        <v>9.7527210000000003E-2</v>
      </c>
      <c r="AA1376">
        <v>0.87382839999999995</v>
      </c>
      <c r="AB1376">
        <v>21</v>
      </c>
      <c r="AC1376">
        <v>1.5656999999999901</v>
      </c>
      <c r="AD1376">
        <v>-1.104095829849</v>
      </c>
      <c r="AE1376">
        <v>-5.5781999999999803</v>
      </c>
      <c r="AF1376">
        <v>2.71701257718719</v>
      </c>
      <c r="AG1376">
        <v>-1.104095829849</v>
      </c>
      <c r="AH1376">
        <v>4.8861208398262601</v>
      </c>
      <c r="AI1376">
        <v>101.171400211486</v>
      </c>
      <c r="AJ1376">
        <v>60.922990289217601</v>
      </c>
      <c r="AK1376">
        <v>5.6987158033602396</v>
      </c>
      <c r="AL1376">
        <v>82.953109830737603</v>
      </c>
      <c r="AM1376">
        <v>76.771626613823699</v>
      </c>
      <c r="AN1376">
        <v>1.0000000798446</v>
      </c>
    </row>
    <row r="1377" spans="1:40" x14ac:dyDescent="0.25">
      <c r="A1377" t="str">
        <f>"20190312154822023"</f>
        <v>20190312154822023</v>
      </c>
      <c r="B1377" t="str">
        <f>"1552376902016951"</f>
        <v>1552376902016951</v>
      </c>
      <c r="C1377" t="s">
        <v>40</v>
      </c>
      <c r="D1377">
        <v>5.1567489999999996</v>
      </c>
      <c r="E1377">
        <v>0.61338119999999996</v>
      </c>
      <c r="F1377" t="s">
        <v>45</v>
      </c>
      <c r="G1377">
        <v>-196.62860000000001</v>
      </c>
      <c r="H1377" s="1">
        <v>-4.7976249999999997E-6</v>
      </c>
      <c r="I1377">
        <v>355.39400000000001</v>
      </c>
      <c r="J1377">
        <v>-198.15719999999999</v>
      </c>
      <c r="K1377">
        <v>1.1041379999999901</v>
      </c>
      <c r="L1377">
        <v>360.92869999999999</v>
      </c>
      <c r="M1377">
        <v>0.69961640000000003</v>
      </c>
      <c r="N1377">
        <v>0</v>
      </c>
      <c r="O1377">
        <v>-0.71436709999999903</v>
      </c>
      <c r="P1377">
        <v>0.51671909999999999</v>
      </c>
      <c r="Q1377">
        <v>0.110129</v>
      </c>
      <c r="R1377">
        <v>-0.84904269999999904</v>
      </c>
      <c r="S1377">
        <v>0.88212590000000002</v>
      </c>
      <c r="T1377">
        <v>-0.6049776</v>
      </c>
      <c r="U1377">
        <v>-3.082916</v>
      </c>
      <c r="V1377">
        <v>0.226766</v>
      </c>
      <c r="W1377">
        <v>0.1209332</v>
      </c>
      <c r="X1377">
        <v>0.9664121</v>
      </c>
      <c r="Y1377">
        <v>0.47711959999999998</v>
      </c>
      <c r="Z1377">
        <v>9.9893460000000003E-2</v>
      </c>
      <c r="AA1377">
        <v>0.87314269999999905</v>
      </c>
      <c r="AB1377">
        <v>21</v>
      </c>
      <c r="AC1377">
        <v>1.52859999999998</v>
      </c>
      <c r="AD1377">
        <v>-1.10414279762499</v>
      </c>
      <c r="AE1377">
        <v>-5.5346999999999804</v>
      </c>
      <c r="AF1377">
        <v>2.6813371864222701</v>
      </c>
      <c r="AG1377">
        <v>-1.10414279762499</v>
      </c>
      <c r="AH1377">
        <v>4.8446422901120396</v>
      </c>
      <c r="AI1377">
        <v>101.277205047729</v>
      </c>
      <c r="AJ1377">
        <v>61.037032110968198</v>
      </c>
      <c r="AK1377">
        <v>5.6461720965606501</v>
      </c>
      <c r="AL1377">
        <v>83.054036766619205</v>
      </c>
      <c r="AM1377">
        <v>76.794600374803593</v>
      </c>
      <c r="AN1377">
        <v>1.0000000023223199</v>
      </c>
    </row>
    <row r="1378" spans="1:40" x14ac:dyDescent="0.25">
      <c r="A1378" t="str">
        <f>"20190312154822036"</f>
        <v>20190312154822036</v>
      </c>
      <c r="B1378" t="str">
        <f>"1552376902026710"</f>
        <v>1552376902026710</v>
      </c>
      <c r="C1378" t="s">
        <v>40</v>
      </c>
      <c r="D1378">
        <v>5.3838049999999997</v>
      </c>
      <c r="E1378">
        <v>0.6133111</v>
      </c>
      <c r="F1378" t="s">
        <v>45</v>
      </c>
      <c r="G1378">
        <v>-196.58609999999999</v>
      </c>
      <c r="H1378" s="1">
        <v>-4.7534390000000001E-6</v>
      </c>
      <c r="I1378">
        <v>355.31939999999997</v>
      </c>
      <c r="J1378">
        <v>-198.0823</v>
      </c>
      <c r="K1378">
        <v>1.1041780000000001</v>
      </c>
      <c r="L1378">
        <v>360.84300000000002</v>
      </c>
      <c r="M1378">
        <v>0.69554349999999998</v>
      </c>
      <c r="N1378">
        <v>0</v>
      </c>
      <c r="O1378">
        <v>-0.71833369999999996</v>
      </c>
      <c r="P1378">
        <v>0.51252500000000001</v>
      </c>
      <c r="Q1378">
        <v>0.10853939999999999</v>
      </c>
      <c r="R1378">
        <v>-0.85178489999999996</v>
      </c>
      <c r="S1378">
        <v>0.86437989999999998</v>
      </c>
      <c r="T1378">
        <v>-0.60747099999999998</v>
      </c>
      <c r="U1378">
        <v>-3.0861209999999999</v>
      </c>
      <c r="V1378">
        <v>0.2261425</v>
      </c>
      <c r="W1378">
        <v>0.11936819999999999</v>
      </c>
      <c r="X1378">
        <v>0.96675270000000002</v>
      </c>
      <c r="Y1378">
        <v>0.47704970000000002</v>
      </c>
      <c r="Z1378">
        <v>0.1012817</v>
      </c>
      <c r="AA1378">
        <v>0.87302089999999999</v>
      </c>
      <c r="AB1378">
        <v>21</v>
      </c>
      <c r="AC1378">
        <v>1.49620000000001</v>
      </c>
      <c r="AD1378">
        <v>-1.1041827534389901</v>
      </c>
      <c r="AE1378">
        <v>-5.52360000000004</v>
      </c>
      <c r="AF1378">
        <v>2.66810004087852</v>
      </c>
      <c r="AG1378">
        <v>-1.1041827534389901</v>
      </c>
      <c r="AH1378">
        <v>4.8292120223489201</v>
      </c>
      <c r="AI1378">
        <v>101.317249319925</v>
      </c>
      <c r="AJ1378">
        <v>61.079709625424996</v>
      </c>
      <c r="AK1378">
        <v>5.6266567460551098</v>
      </c>
      <c r="AL1378">
        <v>83.144358912187698</v>
      </c>
      <c r="AM1378">
        <v>76.834120272447905</v>
      </c>
      <c r="AN1378">
        <v>0.99999999021738994</v>
      </c>
    </row>
    <row r="1379" spans="1:40" x14ac:dyDescent="0.25">
      <c r="A1379" t="str">
        <f>"20190312154822048"</f>
        <v>20190312154822048</v>
      </c>
      <c r="B1379" t="str">
        <f>"1552376902037447"</f>
        <v>1552376902037447</v>
      </c>
      <c r="C1379" t="s">
        <v>40</v>
      </c>
      <c r="D1379">
        <v>5.1174249999999999</v>
      </c>
      <c r="E1379">
        <v>0.6133111</v>
      </c>
      <c r="F1379" t="s">
        <v>45</v>
      </c>
      <c r="G1379">
        <v>-196.55199999999999</v>
      </c>
      <c r="H1379" s="1">
        <v>-4.722719E-6</v>
      </c>
      <c r="I1379">
        <v>355.2697</v>
      </c>
      <c r="J1379">
        <v>-198.00299999999999</v>
      </c>
      <c r="K1379">
        <v>1.1042190000000001</v>
      </c>
      <c r="L1379">
        <v>360.75139999999999</v>
      </c>
      <c r="M1379">
        <v>0.69119710000000001</v>
      </c>
      <c r="N1379">
        <v>0</v>
      </c>
      <c r="O1379">
        <v>-0.72251690000000002</v>
      </c>
      <c r="P1379">
        <v>0.50769220000000004</v>
      </c>
      <c r="Q1379">
        <v>0.10861179999999999</v>
      </c>
      <c r="R1379">
        <v>-0.85466489999999995</v>
      </c>
      <c r="S1379">
        <v>0.84832759999999996</v>
      </c>
      <c r="T1379">
        <v>-0.61211040000000005</v>
      </c>
      <c r="U1379">
        <v>-3.0895999999999999</v>
      </c>
      <c r="V1379">
        <v>0.22576750000000001</v>
      </c>
      <c r="W1379">
        <v>0.1194586</v>
      </c>
      <c r="X1379">
        <v>0.96682920000000006</v>
      </c>
      <c r="Y1379">
        <v>0.476267</v>
      </c>
      <c r="Z1379">
        <v>0.1031141</v>
      </c>
      <c r="AA1379">
        <v>0.87323379999999995</v>
      </c>
      <c r="AB1379">
        <v>21</v>
      </c>
      <c r="AC1379">
        <v>1.4509999999999601</v>
      </c>
      <c r="AD1379">
        <v>-1.1042237227189999</v>
      </c>
      <c r="AE1379">
        <v>-5.4816999999999796</v>
      </c>
      <c r="AF1379">
        <v>2.6407217081305299</v>
      </c>
      <c r="AG1379">
        <v>-1.1042237227189999</v>
      </c>
      <c r="AH1379">
        <v>4.7827209460290003</v>
      </c>
      <c r="AI1379">
        <v>101.426459551089</v>
      </c>
      <c r="AJ1379">
        <v>61.095244989243</v>
      </c>
      <c r="AK1379">
        <v>5.5737905250548998</v>
      </c>
      <c r="AL1379">
        <v>83.139142192211693</v>
      </c>
      <c r="AM1379">
        <v>76.856197869724795</v>
      </c>
      <c r="AN1379">
        <v>1.00000001157142</v>
      </c>
    </row>
    <row r="1380" spans="1:40" x14ac:dyDescent="0.25">
      <c r="A1380" t="str">
        <f>"20190312154822066"</f>
        <v>20190312154822066</v>
      </c>
      <c r="B1380" t="str">
        <f>"1552376902056967"</f>
        <v>1552376902056967</v>
      </c>
      <c r="C1380" t="s">
        <v>40</v>
      </c>
      <c r="D1380">
        <v>5.2112920000000003</v>
      </c>
      <c r="E1380">
        <v>0.63385519999999995</v>
      </c>
      <c r="F1380" t="s">
        <v>45</v>
      </c>
      <c r="G1380">
        <v>-196.50309999999999</v>
      </c>
      <c r="H1380" s="1">
        <v>-4.6619019999999998E-6</v>
      </c>
      <c r="I1380">
        <v>355.16239999999999</v>
      </c>
      <c r="J1380">
        <v>-197.8886</v>
      </c>
      <c r="K1380">
        <v>1.1042890000000001</v>
      </c>
      <c r="L1380">
        <v>360.6173</v>
      </c>
      <c r="M1380">
        <v>0.68486329999999995</v>
      </c>
      <c r="N1380">
        <v>0</v>
      </c>
      <c r="O1380">
        <v>-0.72852359999999905</v>
      </c>
      <c r="P1380">
        <v>0.50120200000000004</v>
      </c>
      <c r="Q1380">
        <v>0.1108262</v>
      </c>
      <c r="R1380">
        <v>-0.85820409999999903</v>
      </c>
      <c r="S1380">
        <v>0.83049010000000001</v>
      </c>
      <c r="T1380">
        <v>-0.61140050000000001</v>
      </c>
      <c r="U1380">
        <v>-3.0946039999999999</v>
      </c>
      <c r="V1380">
        <v>0.22447329999999999</v>
      </c>
      <c r="W1380">
        <v>0.1217066</v>
      </c>
      <c r="X1380">
        <v>0.96685019999999999</v>
      </c>
      <c r="Y1380">
        <v>0.47369929999999899</v>
      </c>
      <c r="Z1380">
        <v>0.1046155</v>
      </c>
      <c r="AA1380">
        <v>0.87445099999999998</v>
      </c>
      <c r="AB1380">
        <v>21</v>
      </c>
      <c r="AC1380">
        <v>1.3855</v>
      </c>
      <c r="AD1380">
        <v>-1.1042936619019901</v>
      </c>
      <c r="AE1380">
        <v>-5.4549000000000003</v>
      </c>
      <c r="AF1380">
        <v>2.6256995747263399</v>
      </c>
      <c r="AG1380">
        <v>-1.1042936619019901</v>
      </c>
      <c r="AH1380">
        <v>4.7409137243586903</v>
      </c>
      <c r="AI1380">
        <v>101.517174026389</v>
      </c>
      <c r="AJ1380">
        <v>61.020636875283103</v>
      </c>
      <c r="AK1380">
        <v>5.5308250460711204</v>
      </c>
      <c r="AL1380">
        <v>83.009394680526</v>
      </c>
      <c r="AM1380">
        <v>76.929223948115606</v>
      </c>
      <c r="AN1380">
        <v>1.00000003406824</v>
      </c>
    </row>
    <row r="1381" spans="1:40" x14ac:dyDescent="0.25">
      <c r="A1381" t="str">
        <f>"20190312154822078"</f>
        <v>20190312154822078</v>
      </c>
      <c r="B1381" t="str">
        <f>"1552376902066727"</f>
        <v>1552376902066727</v>
      </c>
      <c r="C1381" t="s">
        <v>40</v>
      </c>
      <c r="D1381">
        <v>5.2038089999999997</v>
      </c>
      <c r="E1381">
        <v>0.63589560000000001</v>
      </c>
      <c r="F1381" t="s">
        <v>45</v>
      </c>
      <c r="G1381">
        <v>-196.57329999999999</v>
      </c>
      <c r="H1381" s="1">
        <v>-4.2584520000000003E-6</v>
      </c>
      <c r="I1381">
        <v>354.28789999999998</v>
      </c>
      <c r="J1381">
        <v>-197.8135</v>
      </c>
      <c r="K1381">
        <v>1.1043270000000001</v>
      </c>
      <c r="L1381">
        <v>360.52780000000001</v>
      </c>
      <c r="M1381">
        <v>0.68065489999999995</v>
      </c>
      <c r="N1381">
        <v>0</v>
      </c>
      <c r="O1381">
        <v>-0.73245749999999998</v>
      </c>
      <c r="P1381">
        <v>0.49653190000000003</v>
      </c>
      <c r="Q1381">
        <v>0.1124853</v>
      </c>
      <c r="R1381">
        <v>-0.86069910000000005</v>
      </c>
      <c r="S1381">
        <v>0.66108699999999998</v>
      </c>
      <c r="T1381">
        <v>-0.55504100000000001</v>
      </c>
      <c r="U1381">
        <v>-3.181305</v>
      </c>
      <c r="V1381">
        <v>0.22402359999999999</v>
      </c>
      <c r="W1381">
        <v>0.12337720000000001</v>
      </c>
      <c r="X1381">
        <v>0.96674280000000001</v>
      </c>
      <c r="Y1381">
        <v>0.51773100000000005</v>
      </c>
      <c r="Z1381">
        <v>9.163164E-2</v>
      </c>
      <c r="AA1381">
        <v>0.85062229999999905</v>
      </c>
      <c r="AB1381">
        <v>21</v>
      </c>
      <c r="AC1381">
        <v>1.24020000000001</v>
      </c>
      <c r="AD1381">
        <v>-1.104331258452</v>
      </c>
      <c r="AE1381">
        <v>-6.2399000000000298</v>
      </c>
      <c r="AF1381">
        <v>3.2415125916014702</v>
      </c>
      <c r="AG1381">
        <v>-1.104331258452</v>
      </c>
      <c r="AH1381">
        <v>5.25679758500159</v>
      </c>
      <c r="AI1381">
        <v>100.13813901324301</v>
      </c>
      <c r="AJ1381">
        <v>58.340664392946998</v>
      </c>
      <c r="AK1381">
        <v>6.2738243727078897</v>
      </c>
      <c r="AL1381">
        <v>82.912949753185003</v>
      </c>
      <c r="AM1381">
        <v>76.953113161969199</v>
      </c>
      <c r="AN1381">
        <v>1.00000007409431</v>
      </c>
    </row>
    <row r="1382" spans="1:40" x14ac:dyDescent="0.25">
      <c r="A1382" t="str">
        <f>"20190312154822091"</f>
        <v>20190312154822091</v>
      </c>
      <c r="B1382" t="str">
        <f>"1552376902087223"</f>
        <v>1552376902087223</v>
      </c>
      <c r="C1382" t="s">
        <v>40</v>
      </c>
      <c r="D1382">
        <v>5.4578540000000002</v>
      </c>
      <c r="E1382">
        <v>0.63385089999999999</v>
      </c>
      <c r="F1382" t="s">
        <v>45</v>
      </c>
      <c r="G1382">
        <v>-196.5506</v>
      </c>
      <c r="H1382" s="1">
        <v>-4.1708940000000004E-6</v>
      </c>
      <c r="I1382">
        <v>354.12389999999999</v>
      </c>
      <c r="J1382">
        <v>-197.74189999999999</v>
      </c>
      <c r="K1382">
        <v>1.1043609999999999</v>
      </c>
      <c r="L1382">
        <v>360.44170000000003</v>
      </c>
      <c r="M1382">
        <v>0.67661150000000003</v>
      </c>
      <c r="N1382">
        <v>0</v>
      </c>
      <c r="O1382">
        <v>-0.73619440000000003</v>
      </c>
      <c r="P1382">
        <v>0.49202079999999998</v>
      </c>
      <c r="Q1382">
        <v>0.1138932</v>
      </c>
      <c r="R1382">
        <v>-0.86310140000000002</v>
      </c>
      <c r="S1382">
        <v>0.62989810000000002</v>
      </c>
      <c r="T1382">
        <v>-0.55082609999999999</v>
      </c>
      <c r="U1382">
        <v>-3.194153</v>
      </c>
      <c r="V1382">
        <v>0.2236467</v>
      </c>
      <c r="W1382">
        <v>0.1247943</v>
      </c>
      <c r="X1382">
        <v>0.96664810000000001</v>
      </c>
      <c r="Y1382">
        <v>0.5216691</v>
      </c>
      <c r="Z1382">
        <v>9.1304789999999997E-2</v>
      </c>
      <c r="AA1382">
        <v>0.84824809999999995</v>
      </c>
      <c r="AB1382">
        <v>21</v>
      </c>
      <c r="AC1382">
        <v>1.19129999999998</v>
      </c>
      <c r="AD1382">
        <v>-1.1043651708939899</v>
      </c>
      <c r="AE1382">
        <v>-6.3178000000000303</v>
      </c>
      <c r="AF1382">
        <v>3.3006415858207498</v>
      </c>
      <c r="AG1382">
        <v>-1.1043651708939899</v>
      </c>
      <c r="AH1382">
        <v>5.3013373444511096</v>
      </c>
      <c r="AI1382">
        <v>100.02870252289701</v>
      </c>
      <c r="AJ1382">
        <v>58.093381450413197</v>
      </c>
      <c r="AK1382">
        <v>6.3417690708827497</v>
      </c>
      <c r="AL1382">
        <v>82.831123021427402</v>
      </c>
      <c r="AM1382">
        <v>76.973081697538902</v>
      </c>
      <c r="AN1382">
        <v>1.00000000648349</v>
      </c>
    </row>
    <row r="1383" spans="1:40" x14ac:dyDescent="0.25">
      <c r="A1383" t="str">
        <f>"20190312154822105"</f>
        <v>20190312154822105</v>
      </c>
      <c r="B1383" t="str">
        <f>"1552376902096983"</f>
        <v>1552376902096983</v>
      </c>
      <c r="C1383" t="s">
        <v>40</v>
      </c>
      <c r="D1383">
        <v>5.4221219999999999</v>
      </c>
      <c r="E1383">
        <v>0.63315509999999997</v>
      </c>
      <c r="F1383" t="s">
        <v>45</v>
      </c>
      <c r="G1383">
        <v>-196.4794</v>
      </c>
      <c r="H1383" s="1">
        <v>-4.1068619999999998E-6</v>
      </c>
      <c r="I1383">
        <v>354.02800000000002</v>
      </c>
      <c r="J1383">
        <v>-197.65260000000001</v>
      </c>
      <c r="K1383">
        <v>1.1044</v>
      </c>
      <c r="L1383">
        <v>360.33330000000001</v>
      </c>
      <c r="M1383">
        <v>0.67152119999999904</v>
      </c>
      <c r="N1383">
        <v>0</v>
      </c>
      <c r="O1383">
        <v>-0.74084069999999902</v>
      </c>
      <c r="P1383">
        <v>0.48651420000000001</v>
      </c>
      <c r="Q1383">
        <v>0.1148927</v>
      </c>
      <c r="R1383">
        <v>-0.86608549999999995</v>
      </c>
      <c r="S1383">
        <v>0.62799069999999901</v>
      </c>
      <c r="T1383">
        <v>-0.54934229999999995</v>
      </c>
      <c r="U1383">
        <v>-3.1903380000000001</v>
      </c>
      <c r="V1383">
        <v>0.22305559999999999</v>
      </c>
      <c r="W1383">
        <v>0.12580810000000001</v>
      </c>
      <c r="X1383">
        <v>0.96665330000000005</v>
      </c>
      <c r="Y1383">
        <v>0.51612840000000004</v>
      </c>
      <c r="Z1383">
        <v>9.2579090000000003E-2</v>
      </c>
      <c r="AA1383">
        <v>0.85149319999999895</v>
      </c>
      <c r="AB1383">
        <v>21</v>
      </c>
      <c r="AC1383">
        <v>1.1732</v>
      </c>
      <c r="AD1383">
        <v>-1.1044041068619901</v>
      </c>
      <c r="AE1383">
        <v>-6.3052999999999804</v>
      </c>
      <c r="AF1383">
        <v>3.2684313490155299</v>
      </c>
      <c r="AG1383">
        <v>-1.1044041068619901</v>
      </c>
      <c r="AH1383">
        <v>5.3024062852320704</v>
      </c>
      <c r="AI1383">
        <v>100.054371319925</v>
      </c>
      <c r="AJ1383">
        <v>58.350099491304597</v>
      </c>
      <c r="AK1383">
        <v>6.3259674618314099</v>
      </c>
      <c r="AL1383">
        <v>82.772575374749707</v>
      </c>
      <c r="AM1383">
        <v>77.006409589059501</v>
      </c>
      <c r="AN1383">
        <v>1.00000004055892</v>
      </c>
    </row>
    <row r="1384" spans="1:40" x14ac:dyDescent="0.25">
      <c r="A1384" t="str">
        <f>"20190312154822125"</f>
        <v>20190312154822125</v>
      </c>
      <c r="B1384" t="str">
        <f>"1552376902117479"</f>
        <v>1552376902117479</v>
      </c>
      <c r="C1384" t="s">
        <v>40</v>
      </c>
      <c r="D1384">
        <v>5.3639530000000004</v>
      </c>
      <c r="E1384">
        <v>0.63198319999999997</v>
      </c>
      <c r="F1384" t="s">
        <v>45</v>
      </c>
      <c r="G1384">
        <v>-196.4196</v>
      </c>
      <c r="H1384" s="1">
        <v>-4.0359060000000004E-6</v>
      </c>
      <c r="I1384">
        <v>353.91340000000002</v>
      </c>
      <c r="J1384">
        <v>-197.53370000000001</v>
      </c>
      <c r="K1384">
        <v>1.104447</v>
      </c>
      <c r="L1384">
        <v>360.18599999999998</v>
      </c>
      <c r="M1384">
        <v>0.66463159999999999</v>
      </c>
      <c r="N1384">
        <v>0</v>
      </c>
      <c r="O1384">
        <v>-0.74702819999999903</v>
      </c>
      <c r="P1384">
        <v>0.47929329999999998</v>
      </c>
      <c r="Q1384">
        <v>0.11677659999999999</v>
      </c>
      <c r="R1384">
        <v>-0.86985140000000005</v>
      </c>
      <c r="S1384">
        <v>0.61314389999999996</v>
      </c>
      <c r="T1384">
        <v>-0.54916540000000003</v>
      </c>
      <c r="U1384">
        <v>-3.192291</v>
      </c>
      <c r="V1384">
        <v>0.22199289999999999</v>
      </c>
      <c r="W1384">
        <v>0.1277104</v>
      </c>
      <c r="X1384">
        <v>0.96664850000000002</v>
      </c>
      <c r="Y1384">
        <v>0.51215859999999902</v>
      </c>
      <c r="Z1384">
        <v>9.4198290000000004E-2</v>
      </c>
      <c r="AA1384">
        <v>0.85370959999999996</v>
      </c>
      <c r="AB1384">
        <v>21</v>
      </c>
      <c r="AC1384">
        <v>1.1141000000000001</v>
      </c>
      <c r="AD1384">
        <v>-1.104451035906</v>
      </c>
      <c r="AE1384">
        <v>-6.27259999999995</v>
      </c>
      <c r="AF1384">
        <v>3.2396934238692698</v>
      </c>
      <c r="AG1384">
        <v>-1.104451035906</v>
      </c>
      <c r="AH1384">
        <v>5.2685127691904903</v>
      </c>
      <c r="AI1384">
        <v>100.12473216398</v>
      </c>
      <c r="AJ1384">
        <v>58.411971551574297</v>
      </c>
      <c r="AK1384">
        <v>6.2827265076954397</v>
      </c>
      <c r="AL1384">
        <v>82.662695384104595</v>
      </c>
      <c r="AM1384">
        <v>77.066166273340897</v>
      </c>
      <c r="AN1384">
        <v>1.0000000582354001</v>
      </c>
    </row>
    <row r="1385" spans="1:40" x14ac:dyDescent="0.25">
      <c r="A1385" t="str">
        <f>"20190312154822147"</f>
        <v>20190312154822147</v>
      </c>
      <c r="B1385" t="str">
        <f>"1552376902136999"</f>
        <v>1552376902136999</v>
      </c>
      <c r="C1385" t="s">
        <v>40</v>
      </c>
      <c r="D1385">
        <v>5.3770790000000002</v>
      </c>
      <c r="E1385">
        <v>0.63106899999999999</v>
      </c>
      <c r="F1385" t="s">
        <v>45</v>
      </c>
      <c r="G1385">
        <v>-196.32419999999999</v>
      </c>
      <c r="H1385" s="1">
        <v>-3.9090600000000001E-6</v>
      </c>
      <c r="I1385">
        <v>353.70339999999999</v>
      </c>
      <c r="J1385">
        <v>-197.40180000000001</v>
      </c>
      <c r="K1385">
        <v>1.104481</v>
      </c>
      <c r="L1385">
        <v>360.01940000000002</v>
      </c>
      <c r="M1385">
        <v>0.65684160000000003</v>
      </c>
      <c r="N1385">
        <v>0</v>
      </c>
      <c r="O1385">
        <v>-0.75388699999999997</v>
      </c>
      <c r="P1385">
        <v>0.47080830000000001</v>
      </c>
      <c r="Q1385">
        <v>0.1167953</v>
      </c>
      <c r="R1385">
        <v>-0.87447050000000004</v>
      </c>
      <c r="S1385">
        <v>0.5958405</v>
      </c>
      <c r="T1385">
        <v>-0.54408350000000005</v>
      </c>
      <c r="U1385">
        <v>-3.1935419999999999</v>
      </c>
      <c r="V1385">
        <v>0.22135150000000001</v>
      </c>
      <c r="W1385">
        <v>0.1277412</v>
      </c>
      <c r="X1385">
        <v>0.96679150000000003</v>
      </c>
      <c r="Y1385">
        <v>0.50781599999999905</v>
      </c>
      <c r="Z1385">
        <v>9.5180500000000001E-2</v>
      </c>
      <c r="AA1385">
        <v>0.85619129999999999</v>
      </c>
      <c r="AB1385">
        <v>21</v>
      </c>
      <c r="AC1385">
        <v>1.0776000000000101</v>
      </c>
      <c r="AD1385">
        <v>-1.10448490906</v>
      </c>
      <c r="AE1385">
        <v>-6.31600000000003</v>
      </c>
      <c r="AF1385">
        <v>3.2402941951061899</v>
      </c>
      <c r="AG1385">
        <v>-1.10448490906</v>
      </c>
      <c r="AH1385">
        <v>5.3120984379652896</v>
      </c>
      <c r="AI1385">
        <v>100.065295415199</v>
      </c>
      <c r="AJ1385">
        <v>58.617483820531902</v>
      </c>
      <c r="AK1385">
        <v>6.3196347362654999</v>
      </c>
      <c r="AL1385">
        <v>82.660916059434598</v>
      </c>
      <c r="AM1385">
        <v>77.104128294981507</v>
      </c>
      <c r="AN1385">
        <v>1.00000005260096</v>
      </c>
    </row>
    <row r="1386" spans="1:40" x14ac:dyDescent="0.25">
      <c r="A1386" t="str">
        <f>"20190312154822168"</f>
        <v>20190312154822168</v>
      </c>
      <c r="B1386" t="str">
        <f>"1552376902157495"</f>
        <v>1552376902157495</v>
      </c>
      <c r="C1386" t="s">
        <v>40</v>
      </c>
      <c r="D1386">
        <v>5.3678910000000002</v>
      </c>
      <c r="E1386">
        <v>0.62988109999999997</v>
      </c>
      <c r="F1386" t="s">
        <v>45</v>
      </c>
      <c r="G1386">
        <v>-196.2422</v>
      </c>
      <c r="H1386" s="1">
        <v>-3.8014429999999998E-6</v>
      </c>
      <c r="I1386">
        <v>353.52569999999997</v>
      </c>
      <c r="J1386">
        <v>-197.2774</v>
      </c>
      <c r="K1386">
        <v>1.1045069999999999</v>
      </c>
      <c r="L1386">
        <v>359.85890000000001</v>
      </c>
      <c r="M1386">
        <v>0.64934269999999905</v>
      </c>
      <c r="N1386">
        <v>0</v>
      </c>
      <c r="O1386">
        <v>-0.76035600000000003</v>
      </c>
      <c r="P1386">
        <v>0.46245180000000002</v>
      </c>
      <c r="Q1386">
        <v>0.11658789999999999</v>
      </c>
      <c r="R1386">
        <v>-0.87894619999999901</v>
      </c>
      <c r="S1386">
        <v>0.57073969999999996</v>
      </c>
      <c r="T1386">
        <v>-0.54358719999999905</v>
      </c>
      <c r="U1386">
        <v>-3.1959840000000002</v>
      </c>
      <c r="V1386">
        <v>0.22099869999999999</v>
      </c>
      <c r="W1386">
        <v>0.12753879999999901</v>
      </c>
      <c r="X1386">
        <v>0.96689890000000001</v>
      </c>
      <c r="Y1386">
        <v>0.50594779999999995</v>
      </c>
      <c r="Z1386">
        <v>9.6683110000000003E-2</v>
      </c>
      <c r="AA1386">
        <v>0.85712840000000001</v>
      </c>
      <c r="AB1386">
        <v>21</v>
      </c>
      <c r="AC1386">
        <v>1.0351999999999999</v>
      </c>
      <c r="AD1386">
        <v>-1.1045108014429901</v>
      </c>
      <c r="AE1386">
        <v>-6.3332000000000299</v>
      </c>
      <c r="AF1386">
        <v>3.2299663074445899</v>
      </c>
      <c r="AG1386">
        <v>-1.1045108014429901</v>
      </c>
      <c r="AH1386">
        <v>5.3303639662154296</v>
      </c>
      <c r="AI1386">
        <v>100.049323097398</v>
      </c>
      <c r="AJ1386">
        <v>58.785978653765902</v>
      </c>
      <c r="AK1386">
        <v>6.3297240437525799</v>
      </c>
      <c r="AL1386">
        <v>82.672608171427896</v>
      </c>
      <c r="AM1386">
        <v>77.125379291835401</v>
      </c>
      <c r="AN1386">
        <v>1.00000002686416</v>
      </c>
    </row>
    <row r="1387" spans="1:40" x14ac:dyDescent="0.25">
      <c r="A1387" t="str">
        <f>"20190312154822180"</f>
        <v>20190312154822180</v>
      </c>
      <c r="B1387" t="str">
        <f>"1552376902177015"</f>
        <v>1552376902177015</v>
      </c>
      <c r="C1387" t="s">
        <v>40</v>
      </c>
      <c r="D1387">
        <v>5.3923540000000001</v>
      </c>
      <c r="E1387">
        <v>0.62898969999999998</v>
      </c>
      <c r="F1387" t="s">
        <v>45</v>
      </c>
      <c r="G1387">
        <v>-196.1797</v>
      </c>
      <c r="H1387" s="1">
        <v>-3.7595390000000002E-6</v>
      </c>
      <c r="I1387">
        <v>353.4699</v>
      </c>
      <c r="J1387">
        <v>-197.19829999999999</v>
      </c>
      <c r="K1387">
        <v>1.104522</v>
      </c>
      <c r="L1387">
        <v>359.7552</v>
      </c>
      <c r="M1387">
        <v>0.64449820000000002</v>
      </c>
      <c r="N1387">
        <v>0</v>
      </c>
      <c r="O1387">
        <v>-0.76446650000000005</v>
      </c>
      <c r="P1387">
        <v>0.4567773</v>
      </c>
      <c r="Q1387">
        <v>0.11707339999999999</v>
      </c>
      <c r="R1387">
        <v>-0.88184359999999995</v>
      </c>
      <c r="S1387">
        <v>0.54934689999999997</v>
      </c>
      <c r="T1387">
        <v>-0.55277559999999903</v>
      </c>
      <c r="U1387">
        <v>-3.197479</v>
      </c>
      <c r="V1387">
        <v>0.22104840000000001</v>
      </c>
      <c r="W1387">
        <v>0.12802160000000001</v>
      </c>
      <c r="X1387">
        <v>0.96682369999999995</v>
      </c>
      <c r="Y1387">
        <v>0.50612979999999996</v>
      </c>
      <c r="Z1387">
        <v>9.9241839999999998E-2</v>
      </c>
      <c r="AA1387">
        <v>0.8567285</v>
      </c>
      <c r="AB1387">
        <v>21</v>
      </c>
      <c r="AC1387">
        <v>1.01859999999999</v>
      </c>
      <c r="AD1387">
        <v>-1.1045257595389999</v>
      </c>
      <c r="AE1387">
        <v>-6.2853000000000003</v>
      </c>
      <c r="AF1387">
        <v>3.1769296750881799</v>
      </c>
      <c r="AG1387">
        <v>-1.1045257595389999</v>
      </c>
      <c r="AH1387">
        <v>5.3024125962873097</v>
      </c>
      <c r="AI1387">
        <v>100.131159838066</v>
      </c>
      <c r="AJ1387">
        <v>59.0721528871088</v>
      </c>
      <c r="AK1387">
        <v>6.2792068492133204</v>
      </c>
      <c r="AL1387">
        <v>82.644716905128604</v>
      </c>
      <c r="AM1387">
        <v>77.121612238110501</v>
      </c>
      <c r="AN1387">
        <v>0.99999999604540402</v>
      </c>
    </row>
    <row r="1388" spans="1:40" x14ac:dyDescent="0.25">
      <c r="A1388" t="str">
        <f>"20190312154822202"</f>
        <v>20190312154822202</v>
      </c>
      <c r="B1388" t="str">
        <f>"1552376902197511"</f>
        <v>1552376902197511</v>
      </c>
      <c r="C1388" t="s">
        <v>40</v>
      </c>
      <c r="D1388">
        <v>5.3635659999999996</v>
      </c>
      <c r="E1388">
        <v>0.62788959999999905</v>
      </c>
      <c r="F1388" t="s">
        <v>45</v>
      </c>
      <c r="G1388">
        <v>-196.12819999999999</v>
      </c>
      <c r="H1388" s="1">
        <v>-3.692094E-6</v>
      </c>
      <c r="I1388">
        <v>353.35860000000002</v>
      </c>
      <c r="J1388">
        <v>-197.08420000000001</v>
      </c>
      <c r="K1388">
        <v>1.10454599999999</v>
      </c>
      <c r="L1388">
        <v>359.60300000000001</v>
      </c>
      <c r="M1388">
        <v>0.63738470000000003</v>
      </c>
      <c r="N1388">
        <v>0</v>
      </c>
      <c r="O1388">
        <v>-0.77040790000000003</v>
      </c>
      <c r="P1388">
        <v>0.44777699999999998</v>
      </c>
      <c r="Q1388">
        <v>0.1174361</v>
      </c>
      <c r="R1388">
        <v>-0.88639990000000002</v>
      </c>
      <c r="S1388">
        <v>0.53501889999999996</v>
      </c>
      <c r="T1388">
        <v>-0.55222340000000003</v>
      </c>
      <c r="U1388">
        <v>-3.1980900000000001</v>
      </c>
      <c r="V1388">
        <v>0.22189929999999999</v>
      </c>
      <c r="W1388">
        <v>0.1283668</v>
      </c>
      <c r="X1388">
        <v>0.96658299999999997</v>
      </c>
      <c r="Y1388">
        <v>0.50193639999999995</v>
      </c>
      <c r="Z1388">
        <v>0.10079589999999999</v>
      </c>
      <c r="AA1388">
        <v>0.85901109999999903</v>
      </c>
      <c r="AB1388">
        <v>21</v>
      </c>
      <c r="AC1388">
        <v>0.95600000000001695</v>
      </c>
      <c r="AD1388">
        <v>-1.1045496920939999</v>
      </c>
      <c r="AE1388">
        <v>-6.2443999999999802</v>
      </c>
      <c r="AF1388">
        <v>3.1476877506058698</v>
      </c>
      <c r="AG1388">
        <v>-1.1045496920939999</v>
      </c>
      <c r="AH1388">
        <v>5.2598453550516098</v>
      </c>
      <c r="AI1388">
        <v>100.214779732392</v>
      </c>
      <c r="AJ1388">
        <v>59.102123451962903</v>
      </c>
      <c r="AK1388">
        <v>6.2284782536890404</v>
      </c>
      <c r="AL1388">
        <v>82.624773996118407</v>
      </c>
      <c r="AM1388">
        <v>77.070589704139906</v>
      </c>
      <c r="AN1388">
        <v>1.0000000152858599</v>
      </c>
    </row>
    <row r="1389" spans="1:40" x14ac:dyDescent="0.25">
      <c r="A1389" t="str">
        <f>"20190312154822215"</f>
        <v>20190312154822215</v>
      </c>
      <c r="B1389" t="str">
        <f>"1552376902207272"</f>
        <v>1552376902207272</v>
      </c>
      <c r="C1389" t="s">
        <v>40</v>
      </c>
      <c r="D1389">
        <v>5.4806119999999998</v>
      </c>
      <c r="E1389">
        <v>0.62740790000000002</v>
      </c>
      <c r="F1389" t="s">
        <v>45</v>
      </c>
      <c r="G1389">
        <v>-196.05969999999999</v>
      </c>
      <c r="H1389" s="1">
        <v>-3.5881349999999999E-6</v>
      </c>
      <c r="I1389">
        <v>353.18220000000002</v>
      </c>
      <c r="J1389">
        <v>-197.0102</v>
      </c>
      <c r="K1389">
        <v>1.1045560000000001</v>
      </c>
      <c r="L1389">
        <v>359.5027</v>
      </c>
      <c r="M1389">
        <v>0.63269379999999997</v>
      </c>
      <c r="N1389">
        <v>0</v>
      </c>
      <c r="O1389">
        <v>-0.77426490000000003</v>
      </c>
      <c r="P1389">
        <v>0.44196180000000002</v>
      </c>
      <c r="Q1389">
        <v>0.1177188</v>
      </c>
      <c r="R1389">
        <v>-0.88927619999999896</v>
      </c>
      <c r="S1389">
        <v>0.51049800000000001</v>
      </c>
      <c r="T1389">
        <v>-0.55040059999999902</v>
      </c>
      <c r="U1389">
        <v>-3.1995239999999998</v>
      </c>
      <c r="V1389">
        <v>0.22233729999999999</v>
      </c>
      <c r="W1389">
        <v>0.1286407</v>
      </c>
      <c r="X1389">
        <v>0.96644589999999997</v>
      </c>
      <c r="Y1389">
        <v>0.5031679</v>
      </c>
      <c r="Z1389">
        <v>0.1013212</v>
      </c>
      <c r="AA1389">
        <v>0.8582284</v>
      </c>
      <c r="AB1389">
        <v>21</v>
      </c>
      <c r="AC1389">
        <v>0.95050000000000501</v>
      </c>
      <c r="AD1389">
        <v>-1.1045595881350001</v>
      </c>
      <c r="AE1389">
        <v>-6.3204999999999796</v>
      </c>
      <c r="AF1389">
        <v>3.1687151750360898</v>
      </c>
      <c r="AG1389">
        <v>-1.1045595881350001</v>
      </c>
      <c r="AH1389">
        <v>5.3363307328909801</v>
      </c>
      <c r="AI1389">
        <v>100.091617377162</v>
      </c>
      <c r="AJ1389">
        <v>59.298143649794604</v>
      </c>
      <c r="AK1389">
        <v>6.30374757069489</v>
      </c>
      <c r="AL1389">
        <v>82.608949302209396</v>
      </c>
      <c r="AM1389">
        <v>77.044153142109593</v>
      </c>
      <c r="AN1389">
        <v>0.99999999114729499</v>
      </c>
    </row>
    <row r="1390" spans="1:40" x14ac:dyDescent="0.25">
      <c r="A1390" t="str">
        <f>"20190312154822226"</f>
        <v>20190312154822226</v>
      </c>
      <c r="B1390" t="str">
        <f>"1552376902217032"</f>
        <v>1552376902217032</v>
      </c>
      <c r="C1390" t="s">
        <v>40</v>
      </c>
      <c r="D1390">
        <v>5.3661560000000001</v>
      </c>
      <c r="E1390">
        <v>0.62690939999999995</v>
      </c>
      <c r="F1390" t="s">
        <v>45</v>
      </c>
      <c r="G1390">
        <v>-196.02010000000001</v>
      </c>
      <c r="H1390" s="1">
        <v>-3.5234940000000001E-6</v>
      </c>
      <c r="I1390">
        <v>353.07119999999998</v>
      </c>
      <c r="J1390">
        <v>-196.94309999999999</v>
      </c>
      <c r="K1390">
        <v>1.1045659999999999</v>
      </c>
      <c r="L1390">
        <v>359.411</v>
      </c>
      <c r="M1390">
        <v>0.6283976</v>
      </c>
      <c r="N1390">
        <v>0</v>
      </c>
      <c r="O1390">
        <v>-0.77775569999999905</v>
      </c>
      <c r="P1390">
        <v>0.43604929999999997</v>
      </c>
      <c r="Q1390">
        <v>0.117118</v>
      </c>
      <c r="R1390">
        <v>-0.89226899999999998</v>
      </c>
      <c r="S1390">
        <v>0.4928284</v>
      </c>
      <c r="T1390">
        <v>-0.54981519999999995</v>
      </c>
      <c r="U1390">
        <v>-3.2013850000000001</v>
      </c>
      <c r="V1390">
        <v>0.22344169999999999</v>
      </c>
      <c r="W1390">
        <v>0.12802069999999999</v>
      </c>
      <c r="X1390">
        <v>0.96627350000000001</v>
      </c>
      <c r="Y1390">
        <v>0.5031002</v>
      </c>
      <c r="Z1390">
        <v>0.1020233</v>
      </c>
      <c r="AA1390">
        <v>0.85818499999999998</v>
      </c>
      <c r="AB1390">
        <v>21</v>
      </c>
      <c r="AC1390">
        <v>0.92299999999997295</v>
      </c>
      <c r="AD1390">
        <v>-1.1045695234939901</v>
      </c>
      <c r="AE1390">
        <v>-6.3398000000000199</v>
      </c>
      <c r="AF1390">
        <v>3.17210209408716</v>
      </c>
      <c r="AG1390">
        <v>-1.1045695234939901</v>
      </c>
      <c r="AH1390">
        <v>5.3523132656912997</v>
      </c>
      <c r="AI1390">
        <v>100.067121451482</v>
      </c>
      <c r="AJ1390">
        <v>59.346472833518803</v>
      </c>
      <c r="AK1390">
        <v>6.31898431883155</v>
      </c>
      <c r="AL1390">
        <v>82.644768816475903</v>
      </c>
      <c r="AM1390">
        <v>76.979741904660997</v>
      </c>
      <c r="AN1390">
        <v>0.99999998486481401</v>
      </c>
    </row>
    <row r="1391" spans="1:40" x14ac:dyDescent="0.25">
      <c r="A1391" t="str">
        <f>"20190312154822247"</f>
        <v>20190312154822247</v>
      </c>
      <c r="B1391" t="str">
        <f>"1552376902237527"</f>
        <v>1552376902237527</v>
      </c>
      <c r="C1391" t="s">
        <v>40</v>
      </c>
      <c r="D1391">
        <v>5.4013999999999998</v>
      </c>
      <c r="E1391">
        <v>0.62572260000000002</v>
      </c>
      <c r="F1391" t="s">
        <v>45</v>
      </c>
      <c r="G1391">
        <v>-195.99440000000001</v>
      </c>
      <c r="H1391" s="1">
        <v>-3.4872700000000001E-6</v>
      </c>
      <c r="I1391">
        <v>353.01049999999998</v>
      </c>
      <c r="J1391">
        <v>-196.8321</v>
      </c>
      <c r="K1391">
        <v>1.104573</v>
      </c>
      <c r="L1391">
        <v>359.25639999999999</v>
      </c>
      <c r="M1391">
        <v>0.62115989999999999</v>
      </c>
      <c r="N1391">
        <v>0</v>
      </c>
      <c r="O1391">
        <v>-0.78354869999999899</v>
      </c>
      <c r="P1391">
        <v>0.4258073</v>
      </c>
      <c r="Q1391">
        <v>0.11442140000000001</v>
      </c>
      <c r="R1391">
        <v>-0.89755019999999996</v>
      </c>
      <c r="S1391">
        <v>0.47473140000000003</v>
      </c>
      <c r="T1391">
        <v>-0.55272250000000001</v>
      </c>
      <c r="U1391">
        <v>-3.2027589999999999</v>
      </c>
      <c r="V1391">
        <v>0.2257197</v>
      </c>
      <c r="W1391">
        <v>0.12528819999999999</v>
      </c>
      <c r="X1391">
        <v>0.96610220000000002</v>
      </c>
      <c r="Y1391">
        <v>0.49992379999999997</v>
      </c>
      <c r="Z1391">
        <v>0.10409690000000001</v>
      </c>
      <c r="AA1391">
        <v>0.85979069999999902</v>
      </c>
      <c r="AB1391">
        <v>21</v>
      </c>
      <c r="AC1391">
        <v>0.83769999999998301</v>
      </c>
      <c r="AD1391">
        <v>-1.1045764872699999</v>
      </c>
      <c r="AE1391">
        <v>-6.2458999999999998</v>
      </c>
      <c r="AF1391">
        <v>3.1275777923522998</v>
      </c>
      <c r="AG1391">
        <v>-1.1045764872699999</v>
      </c>
      <c r="AH1391">
        <v>5.2534849485029502</v>
      </c>
      <c r="AI1391">
        <v>100.240810759365</v>
      </c>
      <c r="AJ1391">
        <v>59.233226610583202</v>
      </c>
      <c r="AK1391">
        <v>6.2129651670995303</v>
      </c>
      <c r="AL1391">
        <v>82.802600649662494</v>
      </c>
      <c r="AM1391">
        <v>76.849338859798806</v>
      </c>
      <c r="AN1391">
        <v>0.99999998843608495</v>
      </c>
    </row>
    <row r="1392" spans="1:40" x14ac:dyDescent="0.25">
      <c r="A1392" t="str">
        <f>"20190312154822258"</f>
        <v>20190312154822258</v>
      </c>
      <c r="B1392" t="str">
        <f>"1552376902247287"</f>
        <v>1552376902247287</v>
      </c>
      <c r="C1392" t="s">
        <v>40</v>
      </c>
      <c r="D1392">
        <v>5.409535</v>
      </c>
      <c r="E1392">
        <v>0.62512800000000002</v>
      </c>
      <c r="F1392" t="s">
        <v>45</v>
      </c>
      <c r="G1392">
        <v>-195.95599999999999</v>
      </c>
      <c r="H1392" s="1">
        <v>-3.4496890000000001E-6</v>
      </c>
      <c r="I1392">
        <v>352.95280000000002</v>
      </c>
      <c r="J1392">
        <v>-196.76410000000001</v>
      </c>
      <c r="K1392">
        <v>1.1045720000000001</v>
      </c>
      <c r="L1392">
        <v>359.1601</v>
      </c>
      <c r="M1392">
        <v>0.61664419999999898</v>
      </c>
      <c r="N1392">
        <v>0</v>
      </c>
      <c r="O1392">
        <v>-0.78710740000000001</v>
      </c>
      <c r="P1392">
        <v>0.41954269999999999</v>
      </c>
      <c r="Q1392">
        <v>0.11307689999999999</v>
      </c>
      <c r="R1392">
        <v>-0.90066520000000005</v>
      </c>
      <c r="S1392">
        <v>0.44511410000000001</v>
      </c>
      <c r="T1392">
        <v>-0.56121589999999999</v>
      </c>
      <c r="U1392">
        <v>-3.2027890000000001</v>
      </c>
      <c r="V1392">
        <v>0.22698109999999999</v>
      </c>
      <c r="W1392">
        <v>0.1239237</v>
      </c>
      <c r="X1392">
        <v>0.96598269999999997</v>
      </c>
      <c r="Y1392">
        <v>0.50274339999999995</v>
      </c>
      <c r="Z1392">
        <v>0.1064182</v>
      </c>
      <c r="AA1392">
        <v>0.85786030000000002</v>
      </c>
      <c r="AB1392">
        <v>21</v>
      </c>
      <c r="AC1392">
        <v>0.80810000000002402</v>
      </c>
      <c r="AD1392">
        <v>-1.1045754496889999</v>
      </c>
      <c r="AE1392">
        <v>-6.2072999999999698</v>
      </c>
      <c r="AF1392">
        <v>3.0955829005261699</v>
      </c>
      <c r="AG1392">
        <v>-1.1045754496889999</v>
      </c>
      <c r="AH1392">
        <v>5.2220886050275404</v>
      </c>
      <c r="AI1392">
        <v>100.312339140272</v>
      </c>
      <c r="AJ1392">
        <v>59.3411160550584</v>
      </c>
      <c r="AK1392">
        <v>6.1703265567427001</v>
      </c>
      <c r="AL1392">
        <v>82.881395214419499</v>
      </c>
      <c r="AM1392">
        <v>76.7768447457523</v>
      </c>
      <c r="AN1392">
        <v>1.00000003993909</v>
      </c>
    </row>
    <row r="1393" spans="1:40" x14ac:dyDescent="0.25">
      <c r="A1393" t="str">
        <f>"20190312154822272"</f>
        <v>20190312154822272</v>
      </c>
      <c r="B1393" t="str">
        <f>"1552376902266806"</f>
        <v>1552376902266806</v>
      </c>
      <c r="C1393" t="s">
        <v>40</v>
      </c>
      <c r="D1393">
        <v>5.3768440000000002</v>
      </c>
      <c r="E1393">
        <v>0.62413609999999997</v>
      </c>
      <c r="F1393" t="s">
        <v>45</v>
      </c>
      <c r="G1393">
        <v>-195.92949999999999</v>
      </c>
      <c r="H1393" s="1">
        <v>-3.4142700000000001E-6</v>
      </c>
      <c r="I1393">
        <v>352.89400000000001</v>
      </c>
      <c r="J1393">
        <v>-196.69120000000001</v>
      </c>
      <c r="K1393">
        <v>1.1045739999999999</v>
      </c>
      <c r="L1393">
        <v>359.0557</v>
      </c>
      <c r="M1393">
        <v>0.6117494</v>
      </c>
      <c r="N1393">
        <v>0</v>
      </c>
      <c r="O1393">
        <v>-0.7909178</v>
      </c>
      <c r="P1393">
        <v>0.41265619999999997</v>
      </c>
      <c r="Q1393">
        <v>0.1112033</v>
      </c>
      <c r="R1393">
        <v>-0.90407340000000003</v>
      </c>
      <c r="S1393">
        <v>0.42660520000000002</v>
      </c>
      <c r="T1393">
        <v>-0.56462670000000004</v>
      </c>
      <c r="U1393">
        <v>-3.2030029999999998</v>
      </c>
      <c r="V1393">
        <v>0.22847619999999999</v>
      </c>
      <c r="W1393">
        <v>0.1220266</v>
      </c>
      <c r="X1393">
        <v>0.9658717</v>
      </c>
      <c r="Y1393">
        <v>0.50227759999999999</v>
      </c>
      <c r="Z1393">
        <v>0.1080327</v>
      </c>
      <c r="AA1393">
        <v>0.85793140000000001</v>
      </c>
      <c r="AB1393">
        <v>21</v>
      </c>
      <c r="AC1393">
        <v>0.76170000000001803</v>
      </c>
      <c r="AD1393">
        <v>-1.10457741427</v>
      </c>
      <c r="AE1393">
        <v>-6.16169999999999</v>
      </c>
      <c r="AF1393">
        <v>3.0701328309375402</v>
      </c>
      <c r="AG1393">
        <v>-1.10457741427</v>
      </c>
      <c r="AH1393">
        <v>5.1760978052767799</v>
      </c>
      <c r="AI1393">
        <v>100.40042997385601</v>
      </c>
      <c r="AJ1393">
        <v>59.326270901685803</v>
      </c>
      <c r="AK1393">
        <v>6.1186432608468904</v>
      </c>
      <c r="AL1393">
        <v>82.990922128807</v>
      </c>
      <c r="AM1393">
        <v>76.691359393278702</v>
      </c>
      <c r="AN1393">
        <v>1.0000000029674401</v>
      </c>
    </row>
    <row r="1394" spans="1:40" x14ac:dyDescent="0.25">
      <c r="A1394" t="str">
        <f>"20190312154822291"</f>
        <v>20190312154822291</v>
      </c>
      <c r="B1394" t="str">
        <f>"1552376902287303"</f>
        <v>1552376902287303</v>
      </c>
      <c r="C1394" t="s">
        <v>40</v>
      </c>
      <c r="D1394">
        <v>5.3445679999999998</v>
      </c>
      <c r="E1394">
        <v>0.6230772</v>
      </c>
      <c r="F1394" t="s">
        <v>45</v>
      </c>
      <c r="G1394">
        <v>-195.90119999999999</v>
      </c>
      <c r="H1394" s="1">
        <v>-3.391406E-6</v>
      </c>
      <c r="I1394">
        <v>352.86110000000002</v>
      </c>
      <c r="J1394">
        <v>-196.5899</v>
      </c>
      <c r="K1394">
        <v>1.104571</v>
      </c>
      <c r="L1394">
        <v>358.90820000000002</v>
      </c>
      <c r="M1394">
        <v>0.6048289</v>
      </c>
      <c r="N1394">
        <v>0</v>
      </c>
      <c r="O1394">
        <v>-0.79622280000000001</v>
      </c>
      <c r="P1394">
        <v>0.40242840000000002</v>
      </c>
      <c r="Q1394">
        <v>0.1081694</v>
      </c>
      <c r="R1394">
        <v>-0.90903869999999998</v>
      </c>
      <c r="S1394">
        <v>0.40838619999999998</v>
      </c>
      <c r="T1394">
        <v>-0.57098769999999999</v>
      </c>
      <c r="U1394">
        <v>-3.2021480000000002</v>
      </c>
      <c r="V1394">
        <v>0.23113020000000001</v>
      </c>
      <c r="W1394">
        <v>0.11895020000000001</v>
      </c>
      <c r="X1394">
        <v>0.96562400000000004</v>
      </c>
      <c r="Y1394">
        <v>0.49954490000000001</v>
      </c>
      <c r="Z1394">
        <v>0.1107466</v>
      </c>
      <c r="AA1394">
        <v>0.8591799</v>
      </c>
      <c r="AB1394">
        <v>21</v>
      </c>
      <c r="AC1394">
        <v>0.68870000000001097</v>
      </c>
      <c r="AD1394">
        <v>-1.104574391406</v>
      </c>
      <c r="AE1394">
        <v>-6.0471000000000004</v>
      </c>
      <c r="AF1394">
        <v>3.01027778480133</v>
      </c>
      <c r="AG1394">
        <v>-1.104574391406</v>
      </c>
      <c r="AH1394">
        <v>5.0651023059162501</v>
      </c>
      <c r="AI1394">
        <v>100.617800888628</v>
      </c>
      <c r="AJ1394">
        <v>59.276252858740399</v>
      </c>
      <c r="AK1394">
        <v>5.9947575678434699</v>
      </c>
      <c r="AL1394">
        <v>83.168480576258801</v>
      </c>
      <c r="AM1394">
        <v>76.539031515993003</v>
      </c>
      <c r="AN1394">
        <v>1.00000001440404</v>
      </c>
    </row>
    <row r="1395" spans="1:40" x14ac:dyDescent="0.25">
      <c r="A1395" t="str">
        <f>"20190312154822305"</f>
        <v>20190312154822305</v>
      </c>
      <c r="B1395" t="str">
        <f>"1552376902297064"</f>
        <v>1552376902297064</v>
      </c>
      <c r="C1395" t="s">
        <v>40</v>
      </c>
      <c r="D1395">
        <v>5.3338330000000003</v>
      </c>
      <c r="E1395">
        <v>0.6225136</v>
      </c>
      <c r="F1395" t="s">
        <v>45</v>
      </c>
      <c r="G1395">
        <v>-195.8674</v>
      </c>
      <c r="H1395" s="1">
        <v>-3.3579300000000001E-6</v>
      </c>
      <c r="I1395">
        <v>352.80950000000001</v>
      </c>
      <c r="J1395">
        <v>-196.51150000000001</v>
      </c>
      <c r="K1395">
        <v>1.104576</v>
      </c>
      <c r="L1395">
        <v>358.79259999999999</v>
      </c>
      <c r="M1395">
        <v>0.5993927</v>
      </c>
      <c r="N1395">
        <v>0</v>
      </c>
      <c r="O1395">
        <v>-0.80032309999999995</v>
      </c>
      <c r="P1395">
        <v>0.3950188</v>
      </c>
      <c r="Q1395">
        <v>0.10678509999999999</v>
      </c>
      <c r="R1395">
        <v>-0.91244599999999998</v>
      </c>
      <c r="S1395">
        <v>0.37924190000000002</v>
      </c>
      <c r="T1395">
        <v>-0.57980310000000002</v>
      </c>
      <c r="U1395">
        <v>-3.2012939999999999</v>
      </c>
      <c r="V1395">
        <v>0.23248869999999999</v>
      </c>
      <c r="W1395">
        <v>0.11754389999999899</v>
      </c>
      <c r="X1395">
        <v>0.9654701</v>
      </c>
      <c r="Y1395">
        <v>0.50133689999999997</v>
      </c>
      <c r="Z1395">
        <v>0.1134216</v>
      </c>
      <c r="AA1395">
        <v>0.85778600000000005</v>
      </c>
      <c r="AB1395">
        <v>21</v>
      </c>
      <c r="AC1395">
        <v>0.644100000000008</v>
      </c>
      <c r="AD1395">
        <v>-1.1045793579300001</v>
      </c>
      <c r="AE1395">
        <v>-5.9830999999999701</v>
      </c>
      <c r="AF1395">
        <v>2.97096280864299</v>
      </c>
      <c r="AG1395">
        <v>-1.1045793579300001</v>
      </c>
      <c r="AH1395">
        <v>5.00635082971207</v>
      </c>
      <c r="AI1395">
        <v>100.743616612496</v>
      </c>
      <c r="AJ1395">
        <v>59.313462364363197</v>
      </c>
      <c r="AK1395">
        <v>5.92539148060815</v>
      </c>
      <c r="AL1395">
        <v>83.249625095789796</v>
      </c>
      <c r="AM1395">
        <v>76.460738048656907</v>
      </c>
      <c r="AN1395">
        <v>1.0000000390244499</v>
      </c>
    </row>
    <row r="1396" spans="1:40" x14ac:dyDescent="0.25">
      <c r="A1396" t="str">
        <f>"20190312154822326"</f>
        <v>20190312154822326</v>
      </c>
      <c r="B1396" t="str">
        <f>"1552376902317559"</f>
        <v>1552376902317559</v>
      </c>
      <c r="C1396" t="s">
        <v>40</v>
      </c>
      <c r="D1396">
        <v>5.4518380000000004</v>
      </c>
      <c r="E1396">
        <v>0.62264600000000003</v>
      </c>
      <c r="F1396" t="s">
        <v>45</v>
      </c>
      <c r="G1396">
        <v>-195.83580000000001</v>
      </c>
      <c r="H1396" s="1">
        <v>-3.310343E-6</v>
      </c>
      <c r="I1396">
        <v>352.72879999999998</v>
      </c>
      <c r="J1396">
        <v>-196.40629999999999</v>
      </c>
      <c r="K1396">
        <v>1.104576</v>
      </c>
      <c r="L1396">
        <v>358.63400000000001</v>
      </c>
      <c r="M1396">
        <v>0.59194239999999998</v>
      </c>
      <c r="N1396">
        <v>0</v>
      </c>
      <c r="O1396">
        <v>-0.8058495</v>
      </c>
      <c r="P1396">
        <v>0.38583489999999998</v>
      </c>
      <c r="Q1396">
        <v>0.1046873</v>
      </c>
      <c r="R1396">
        <v>-0.91660929999999996</v>
      </c>
      <c r="S1396">
        <v>0.35679630000000001</v>
      </c>
      <c r="T1396">
        <v>-0.58321290000000003</v>
      </c>
      <c r="U1396">
        <v>-3.2016300000000002</v>
      </c>
      <c r="V1396">
        <v>0.23333979999999999</v>
      </c>
      <c r="W1396">
        <v>0.1154341</v>
      </c>
      <c r="X1396">
        <v>0.96551929999999997</v>
      </c>
      <c r="Y1396">
        <v>0.4992895</v>
      </c>
      <c r="Z1396">
        <v>0.1156165</v>
      </c>
      <c r="AA1396">
        <v>0.85868670000000002</v>
      </c>
      <c r="AB1396">
        <v>21</v>
      </c>
      <c r="AC1396">
        <v>0.57049999999998102</v>
      </c>
      <c r="AD1396">
        <v>-1.1045793103429999</v>
      </c>
      <c r="AE1396">
        <v>-5.90520000000003</v>
      </c>
      <c r="AF1396">
        <v>2.93440042195222</v>
      </c>
      <c r="AG1396">
        <v>-1.1045793103429999</v>
      </c>
      <c r="AH1396">
        <v>4.9261773639672599</v>
      </c>
      <c r="AI1396">
        <v>100.903842773623</v>
      </c>
      <c r="AJ1396">
        <v>59.2188025883409</v>
      </c>
      <c r="AK1396">
        <v>5.8393513946717297</v>
      </c>
      <c r="AL1396">
        <v>83.371336144174293</v>
      </c>
      <c r="AM1396">
        <v>76.413674116708805</v>
      </c>
      <c r="AN1396">
        <v>1.0000000061896599</v>
      </c>
    </row>
    <row r="1397" spans="1:40" x14ac:dyDescent="0.25">
      <c r="A1397" t="str">
        <f>"20190312154822348"</f>
        <v>20190312154822348</v>
      </c>
      <c r="B1397" t="str">
        <f>"1552376902337079"</f>
        <v>1552376902337079</v>
      </c>
      <c r="C1397" t="s">
        <v>40</v>
      </c>
      <c r="D1397">
        <v>5.3781999999999996</v>
      </c>
      <c r="E1397">
        <v>0.64099819999999996</v>
      </c>
      <c r="F1397" t="s">
        <v>45</v>
      </c>
      <c r="G1397">
        <v>-195.8004</v>
      </c>
      <c r="H1397" s="1">
        <v>-3.247506E-6</v>
      </c>
      <c r="I1397">
        <v>352.61950000000002</v>
      </c>
      <c r="J1397">
        <v>-196.28970000000001</v>
      </c>
      <c r="K1397">
        <v>1.104579</v>
      </c>
      <c r="L1397">
        <v>358.4545</v>
      </c>
      <c r="M1397">
        <v>0.58349869999999904</v>
      </c>
      <c r="N1397">
        <v>0</v>
      </c>
      <c r="O1397">
        <v>-0.81198409999999999</v>
      </c>
      <c r="P1397">
        <v>0.3760906</v>
      </c>
      <c r="Q1397">
        <v>0.1021263</v>
      </c>
      <c r="R1397">
        <v>-0.92093760000000002</v>
      </c>
      <c r="S1397">
        <v>0.32276919999999998</v>
      </c>
      <c r="T1397">
        <v>-0.58846969999999899</v>
      </c>
      <c r="U1397">
        <v>-3.2042540000000002</v>
      </c>
      <c r="V1397">
        <v>0.23363129999999999</v>
      </c>
      <c r="W1397">
        <v>0.11287270000000001</v>
      </c>
      <c r="X1397">
        <v>0.96575160000000004</v>
      </c>
      <c r="Y1397">
        <v>0.49936750000000002</v>
      </c>
      <c r="Z1397">
        <v>0.1181606</v>
      </c>
      <c r="AA1397">
        <v>0.85829489999999997</v>
      </c>
      <c r="AB1397">
        <v>21</v>
      </c>
      <c r="AC1397">
        <v>0.489300000000014</v>
      </c>
      <c r="AD1397">
        <v>-1.1045822475060001</v>
      </c>
      <c r="AE1397">
        <v>-5.8349999999999804</v>
      </c>
      <c r="AF1397">
        <v>2.90437535649933</v>
      </c>
      <c r="AG1397">
        <v>-1.1045822475060001</v>
      </c>
      <c r="AH1397">
        <v>4.8513272550695801</v>
      </c>
      <c r="AI1397">
        <v>101.053727227823</v>
      </c>
      <c r="AJ1397">
        <v>59.092036391457</v>
      </c>
      <c r="AK1397">
        <v>5.7611521667741998</v>
      </c>
      <c r="AL1397">
        <v>83.519059147545505</v>
      </c>
      <c r="AM1397">
        <v>76.400482064305606</v>
      </c>
      <c r="AN1397">
        <v>0.99999999182376997</v>
      </c>
    </row>
    <row r="1398" spans="1:40" x14ac:dyDescent="0.25">
      <c r="A1398" t="str">
        <f>"20190312154822368"</f>
        <v>20190312154822368</v>
      </c>
      <c r="B1398" t="str">
        <f>"1552376902357575"</f>
        <v>1552376902357575</v>
      </c>
      <c r="C1398" t="s">
        <v>40</v>
      </c>
      <c r="D1398">
        <v>5.3750359999999997</v>
      </c>
      <c r="E1398">
        <v>0.64077209999999996</v>
      </c>
      <c r="F1398" t="s">
        <v>45</v>
      </c>
      <c r="G1398">
        <v>-196.01320000000001</v>
      </c>
      <c r="H1398" s="1">
        <v>-3.2566209999999998E-6</v>
      </c>
      <c r="I1398">
        <v>352.54390000000001</v>
      </c>
      <c r="J1398">
        <v>-196.18729999999999</v>
      </c>
      <c r="K1398">
        <v>1.1045720000000001</v>
      </c>
      <c r="L1398">
        <v>358.29340000000002</v>
      </c>
      <c r="M1398">
        <v>0.5759128</v>
      </c>
      <c r="N1398">
        <v>0</v>
      </c>
      <c r="O1398">
        <v>-0.81738219999999995</v>
      </c>
      <c r="P1398">
        <v>0.36815399999999998</v>
      </c>
      <c r="Q1398">
        <v>9.7669919999999993E-2</v>
      </c>
      <c r="R1398">
        <v>-0.92462069999999996</v>
      </c>
      <c r="S1398">
        <v>0.15261839999999999</v>
      </c>
      <c r="T1398">
        <v>-0.60976339999999996</v>
      </c>
      <c r="U1398">
        <v>-3.262848</v>
      </c>
      <c r="V1398">
        <v>0.23315720000000001</v>
      </c>
      <c r="W1398">
        <v>0.1084321</v>
      </c>
      <c r="X1398">
        <v>0.96637479999999998</v>
      </c>
      <c r="Y1398">
        <v>0.53669599999999995</v>
      </c>
      <c r="Z1398">
        <v>0.1194997</v>
      </c>
      <c r="AA1398">
        <v>0.83527079999999998</v>
      </c>
      <c r="AB1398">
        <v>21</v>
      </c>
      <c r="AC1398">
        <v>0.17409999999998099</v>
      </c>
      <c r="AD1398">
        <v>-1.1045752566210001</v>
      </c>
      <c r="AE1398">
        <v>-5.74950000000001</v>
      </c>
      <c r="AF1398">
        <v>3.0565288313925998</v>
      </c>
      <c r="AG1398">
        <v>-1.1045752566210001</v>
      </c>
      <c r="AH1398">
        <v>4.6295948559037496</v>
      </c>
      <c r="AI1398">
        <v>101.260880989726</v>
      </c>
      <c r="AJ1398">
        <v>56.566601424794897</v>
      </c>
      <c r="AK1398">
        <v>5.6564656389378003</v>
      </c>
      <c r="AL1398">
        <v>83.775059280810098</v>
      </c>
      <c r="AM1398">
        <v>76.435486654877096</v>
      </c>
      <c r="AN1398">
        <v>1.00000002714864</v>
      </c>
    </row>
    <row r="1399" spans="1:40" x14ac:dyDescent="0.25">
      <c r="A1399" t="str">
        <f>"20190312154822392"</f>
        <v>20190312154822392</v>
      </c>
      <c r="B1399" t="str">
        <f>"1552376902386855"</f>
        <v>1552376902386855</v>
      </c>
      <c r="C1399" t="s">
        <v>40</v>
      </c>
      <c r="D1399">
        <v>5.3789249999999997</v>
      </c>
      <c r="E1399">
        <v>0.63973449999999998</v>
      </c>
      <c r="F1399" t="s">
        <v>45</v>
      </c>
      <c r="G1399">
        <v>-195.96420000000001</v>
      </c>
      <c r="H1399" s="1">
        <v>-3.1920399999999999E-6</v>
      </c>
      <c r="I1399">
        <v>352.43709999999999</v>
      </c>
      <c r="J1399">
        <v>-196.07159999999999</v>
      </c>
      <c r="K1399">
        <v>1.1045689999999999</v>
      </c>
      <c r="L1399">
        <v>358.10719999999998</v>
      </c>
      <c r="M1399">
        <v>0.56713740000000001</v>
      </c>
      <c r="N1399">
        <v>0</v>
      </c>
      <c r="O1399">
        <v>-0.82349550000000005</v>
      </c>
      <c r="P1399">
        <v>0.35901959999999999</v>
      </c>
      <c r="Q1399">
        <v>9.2945319999999998E-2</v>
      </c>
      <c r="R1399">
        <v>-0.92869080000000004</v>
      </c>
      <c r="S1399">
        <v>0.1241913</v>
      </c>
      <c r="T1399">
        <v>-0.61489469999999902</v>
      </c>
      <c r="U1399">
        <v>-3.26004</v>
      </c>
      <c r="V1399">
        <v>0.2325525</v>
      </c>
      <c r="W1399">
        <v>0.10372720000000001</v>
      </c>
      <c r="X1399">
        <v>0.96703669999999997</v>
      </c>
      <c r="Y1399">
        <v>0.53492709999999999</v>
      </c>
      <c r="Z1399">
        <v>0.1223356</v>
      </c>
      <c r="AA1399">
        <v>0.83599460000000003</v>
      </c>
      <c r="AB1399">
        <v>21</v>
      </c>
      <c r="AC1399">
        <v>0.10739999999998399</v>
      </c>
      <c r="AD1399">
        <v>-1.10457219204</v>
      </c>
      <c r="AE1399">
        <v>-5.6700999999999899</v>
      </c>
      <c r="AF1399">
        <v>3.0132989258866298</v>
      </c>
      <c r="AG1399">
        <v>-1.10457219204</v>
      </c>
      <c r="AH1399">
        <v>4.5578052442174402</v>
      </c>
      <c r="AI1399">
        <v>101.42890282163999</v>
      </c>
      <c r="AJ1399">
        <v>56.530138145490298</v>
      </c>
      <c r="AK1399">
        <v>5.57437339872327</v>
      </c>
      <c r="AL1399">
        <v>84.046159863363897</v>
      </c>
      <c r="AM1399">
        <v>76.478292616495196</v>
      </c>
      <c r="AN1399">
        <v>0.99999998821148905</v>
      </c>
    </row>
    <row r="1400" spans="1:40" x14ac:dyDescent="0.25">
      <c r="A1400" t="str">
        <f>"20190312154822414"</f>
        <v>20190312154822414</v>
      </c>
      <c r="B1400" t="str">
        <f>"1552376902407351"</f>
        <v>1552376902407351</v>
      </c>
      <c r="C1400" t="s">
        <v>40</v>
      </c>
      <c r="D1400">
        <v>5.4293329999999997</v>
      </c>
      <c r="E1400">
        <v>0.63820250000000001</v>
      </c>
      <c r="F1400" t="s">
        <v>45</v>
      </c>
      <c r="G1400">
        <v>-195.90039999999999</v>
      </c>
      <c r="H1400" s="1">
        <v>-3.2924079999999998E-6</v>
      </c>
      <c r="I1400">
        <v>352.66469999999998</v>
      </c>
      <c r="J1400">
        <v>-195.9641</v>
      </c>
      <c r="K1400">
        <v>1.104571</v>
      </c>
      <c r="L1400">
        <v>357.93009999999998</v>
      </c>
      <c r="M1400">
        <v>0.55878219999999901</v>
      </c>
      <c r="N1400">
        <v>0</v>
      </c>
      <c r="O1400">
        <v>-0.82918780000000003</v>
      </c>
      <c r="P1400">
        <v>0.35176360000000001</v>
      </c>
      <c r="Q1400">
        <v>8.9465950000000002E-2</v>
      </c>
      <c r="R1400">
        <v>-0.93180390000000002</v>
      </c>
      <c r="S1400">
        <v>0.1024475</v>
      </c>
      <c r="T1400">
        <v>-0.66101209999999999</v>
      </c>
      <c r="U1400">
        <v>-3.256958</v>
      </c>
      <c r="V1400">
        <v>0.23045299999999999</v>
      </c>
      <c r="W1400">
        <v>0.1002919</v>
      </c>
      <c r="X1400">
        <v>0.96790129999999996</v>
      </c>
      <c r="Y1400">
        <v>0.53187510000000005</v>
      </c>
      <c r="Z1400">
        <v>0.13317290000000001</v>
      </c>
      <c r="AA1400">
        <v>0.83628570000000002</v>
      </c>
      <c r="AB1400">
        <v>21</v>
      </c>
      <c r="AC1400">
        <v>6.37000000000114E-2</v>
      </c>
      <c r="AD1400">
        <v>-1.104574292408</v>
      </c>
      <c r="AE1400">
        <v>-5.2653999999999996</v>
      </c>
      <c r="AF1400">
        <v>2.7679051518536699</v>
      </c>
      <c r="AG1400">
        <v>-1.104574292408</v>
      </c>
      <c r="AH1400">
        <v>4.2165302265183904</v>
      </c>
      <c r="AI1400">
        <v>102.35244281381</v>
      </c>
      <c r="AJ1400">
        <v>56.717446033796101</v>
      </c>
      <c r="AK1400">
        <v>5.1633816872520697</v>
      </c>
      <c r="AL1400">
        <v>84.244020314460798</v>
      </c>
      <c r="AM1400">
        <v>76.607484906681293</v>
      </c>
      <c r="AN1400">
        <v>0.99999998847814997</v>
      </c>
    </row>
    <row r="1401" spans="1:40" x14ac:dyDescent="0.25">
      <c r="A1401" t="str">
        <f>"20190312154822428"</f>
        <v>20190312154822428</v>
      </c>
      <c r="B1401" t="str">
        <f>"1552376902417111"</f>
        <v>1552376902417111</v>
      </c>
      <c r="C1401" t="s">
        <v>40</v>
      </c>
      <c r="D1401">
        <v>5.404166</v>
      </c>
      <c r="E1401">
        <v>0.63724139999999996</v>
      </c>
      <c r="F1401" t="s">
        <v>45</v>
      </c>
      <c r="G1401">
        <v>-195.8185</v>
      </c>
      <c r="H1401" s="1">
        <v>-3.2139540000000001E-6</v>
      </c>
      <c r="I1401">
        <v>352.54489999999998</v>
      </c>
      <c r="J1401">
        <v>-195.8931</v>
      </c>
      <c r="K1401">
        <v>1.104584</v>
      </c>
      <c r="L1401">
        <v>357.81130000000002</v>
      </c>
      <c r="M1401">
        <v>0.55316869999999996</v>
      </c>
      <c r="N1401">
        <v>0</v>
      </c>
      <c r="O1401">
        <v>-0.83294310000000005</v>
      </c>
      <c r="P1401">
        <v>0.34669670000000002</v>
      </c>
      <c r="Q1401">
        <v>8.8012370000000006E-2</v>
      </c>
      <c r="R1401">
        <v>-0.93383910000000003</v>
      </c>
      <c r="S1401">
        <v>8.7875369999999994E-2</v>
      </c>
      <c r="T1401">
        <v>-0.66669119999999904</v>
      </c>
      <c r="U1401">
        <v>-3.2503660000000001</v>
      </c>
      <c r="V1401">
        <v>0.2292247</v>
      </c>
      <c r="W1401">
        <v>9.8863800000000002E-2</v>
      </c>
      <c r="X1401">
        <v>0.96833979999999997</v>
      </c>
      <c r="Y1401">
        <v>0.52985760000000004</v>
      </c>
      <c r="Z1401">
        <v>0.1357717</v>
      </c>
      <c r="AA1401">
        <v>0.83714809999999995</v>
      </c>
      <c r="AB1401">
        <v>21</v>
      </c>
      <c r="AC1401">
        <v>7.4600000000003705E-2</v>
      </c>
      <c r="AD1401">
        <v>-1.1045872139540001</v>
      </c>
      <c r="AE1401">
        <v>-5.2664000000000302</v>
      </c>
      <c r="AF1401">
        <v>2.7312414629344999</v>
      </c>
      <c r="AG1401">
        <v>-1.1045872139540001</v>
      </c>
      <c r="AH1401">
        <v>4.2417770942411597</v>
      </c>
      <c r="AI1401">
        <v>102.349777211679</v>
      </c>
      <c r="AJ1401">
        <v>57.222885437879299</v>
      </c>
      <c r="AK1401">
        <v>5.16453925915103</v>
      </c>
      <c r="AL1401">
        <v>84.326253156297994</v>
      </c>
      <c r="AM1401">
        <v>76.682132516777799</v>
      </c>
      <c r="AN1401">
        <v>0.999999991152284</v>
      </c>
    </row>
    <row r="1402" spans="1:40" x14ac:dyDescent="0.25">
      <c r="A1402" t="str">
        <f>"20190312154822448"</f>
        <v>20190312154822448</v>
      </c>
      <c r="B1402" t="str">
        <f>"1552376902437610"</f>
        <v>1552376902437610</v>
      </c>
      <c r="C1402" t="s">
        <v>40</v>
      </c>
      <c r="D1402">
        <v>5.4313549999999999</v>
      </c>
      <c r="E1402">
        <v>0.63638419999999996</v>
      </c>
      <c r="F1402" t="s">
        <v>45</v>
      </c>
      <c r="G1402">
        <v>-195.76609999999999</v>
      </c>
      <c r="H1402" s="1">
        <v>-3.1217780000000001E-6</v>
      </c>
      <c r="I1402">
        <v>352.38479999999998</v>
      </c>
      <c r="J1402">
        <v>-195.80119999999999</v>
      </c>
      <c r="K1402">
        <v>1.1045910000000001</v>
      </c>
      <c r="L1402">
        <v>357.6542</v>
      </c>
      <c r="M1402">
        <v>0.54574719999999999</v>
      </c>
      <c r="N1402">
        <v>0</v>
      </c>
      <c r="O1402">
        <v>-0.83782459999999903</v>
      </c>
      <c r="P1402">
        <v>0.33978629999999999</v>
      </c>
      <c r="Q1402">
        <v>8.5960110000000006E-2</v>
      </c>
      <c r="R1402">
        <v>-0.93656660000000003</v>
      </c>
      <c r="S1402">
        <v>7.6034550000000006E-2</v>
      </c>
      <c r="T1402">
        <v>-0.66087419999999997</v>
      </c>
      <c r="U1402">
        <v>-3.2466430000000002</v>
      </c>
      <c r="V1402">
        <v>0.22784779999999999</v>
      </c>
      <c r="W1402">
        <v>9.6840800000000005E-2</v>
      </c>
      <c r="X1402">
        <v>0.96886899999999998</v>
      </c>
      <c r="Y1402">
        <v>0.52539119999999995</v>
      </c>
      <c r="Z1402">
        <v>0.13648929999999901</v>
      </c>
      <c r="AA1402">
        <v>0.83984210000000004</v>
      </c>
      <c r="AB1402">
        <v>21</v>
      </c>
      <c r="AC1402">
        <v>3.5099999999999902E-2</v>
      </c>
      <c r="AD1402">
        <v>-1.104594121778</v>
      </c>
      <c r="AE1402">
        <v>-5.2694000000000099</v>
      </c>
      <c r="AF1402">
        <v>2.7268333651379901</v>
      </c>
      <c r="AG1402">
        <v>-1.104594121778</v>
      </c>
      <c r="AH1402">
        <v>4.2478040264504697</v>
      </c>
      <c r="AI1402">
        <v>102.343482598139</v>
      </c>
      <c r="AJ1402">
        <v>57.301990154731499</v>
      </c>
      <c r="AK1402">
        <v>5.1671643502239304</v>
      </c>
      <c r="AL1402">
        <v>84.442721246990899</v>
      </c>
      <c r="AM1402">
        <v>76.766281545754694</v>
      </c>
      <c r="AN1402">
        <v>0.99999994983523799</v>
      </c>
    </row>
    <row r="1403" spans="1:40" x14ac:dyDescent="0.25">
      <c r="A1403" t="str">
        <f>"20190312154822469"</f>
        <v>20190312154822469</v>
      </c>
      <c r="B1403" t="str">
        <f>"1552376902457128"</f>
        <v>1552376902457128</v>
      </c>
      <c r="C1403" t="s">
        <v>40</v>
      </c>
      <c r="D1403">
        <v>5.4484539999999999</v>
      </c>
      <c r="E1403">
        <v>0.62451719999999999</v>
      </c>
      <c r="F1403" t="s">
        <v>45</v>
      </c>
      <c r="G1403">
        <v>-195.7064</v>
      </c>
      <c r="H1403" s="1">
        <v>-3.022205E-6</v>
      </c>
      <c r="I1403">
        <v>352.2133</v>
      </c>
      <c r="J1403">
        <v>-195.69980000000001</v>
      </c>
      <c r="K1403">
        <v>1.1046129999999901</v>
      </c>
      <c r="L1403">
        <v>357.47710000000001</v>
      </c>
      <c r="M1403">
        <v>0.53737190000000001</v>
      </c>
      <c r="N1403">
        <v>0</v>
      </c>
      <c r="O1403">
        <v>-0.84322090000000005</v>
      </c>
      <c r="P1403">
        <v>0.33150089999999999</v>
      </c>
      <c r="Q1403">
        <v>8.5326719999999995E-2</v>
      </c>
      <c r="R1403">
        <v>-0.93958850000000005</v>
      </c>
      <c r="S1403">
        <v>5.6533809999999997E-2</v>
      </c>
      <c r="T1403">
        <v>-0.65839490000000001</v>
      </c>
      <c r="U1403">
        <v>-3.2431030000000001</v>
      </c>
      <c r="V1403">
        <v>0.22676779999999999</v>
      </c>
      <c r="W1403">
        <v>9.623139E-2</v>
      </c>
      <c r="X1403">
        <v>0.96918309999999996</v>
      </c>
      <c r="Y1403">
        <v>0.52197380000000004</v>
      </c>
      <c r="Z1403">
        <v>0.1379233</v>
      </c>
      <c r="AA1403">
        <v>0.84173659999999995</v>
      </c>
      <c r="AB1403">
        <v>21</v>
      </c>
      <c r="AC1403">
        <v>-6.5999999999917201E-3</v>
      </c>
      <c r="AD1403">
        <v>-1.1046160222050001</v>
      </c>
      <c r="AE1403">
        <v>-5.2637999999999998</v>
      </c>
      <c r="AF1403">
        <v>2.7149224795201299</v>
      </c>
      <c r="AG1403">
        <v>-1.1046160222050001</v>
      </c>
      <c r="AH1403">
        <v>4.24837701527857</v>
      </c>
      <c r="AI1403">
        <v>102.357819900029</v>
      </c>
      <c r="AJ1403">
        <v>57.419415390793702</v>
      </c>
      <c r="AK1403">
        <v>5.1613649251203899</v>
      </c>
      <c r="AL1403">
        <v>84.477801983379194</v>
      </c>
      <c r="AM1403">
        <v>76.830937673008407</v>
      </c>
      <c r="AN1403">
        <v>0.99999999843189002</v>
      </c>
    </row>
    <row r="1404" spans="1:40" x14ac:dyDescent="0.25">
      <c r="A1404" t="str">
        <f>"20190312154822483"</f>
        <v>20190312154822483</v>
      </c>
      <c r="B1404" t="str">
        <f>"1552376902477624"</f>
        <v>1552376902477624</v>
      </c>
      <c r="C1404" t="s">
        <v>40</v>
      </c>
      <c r="D1404">
        <v>5.4505140000000001</v>
      </c>
      <c r="E1404">
        <v>0.62403580000000003</v>
      </c>
      <c r="F1404" t="s">
        <v>45</v>
      </c>
      <c r="G1404">
        <v>-195.48269999999999</v>
      </c>
      <c r="H1404" s="1">
        <v>-2.3571700000000001E-6</v>
      </c>
      <c r="I1404">
        <v>351.12040000000002</v>
      </c>
      <c r="J1404">
        <v>-195.63509999999999</v>
      </c>
      <c r="K1404">
        <v>1.104627</v>
      </c>
      <c r="L1404">
        <v>357.36200000000002</v>
      </c>
      <c r="M1404">
        <v>0.53192289999999998</v>
      </c>
      <c r="N1404">
        <v>0</v>
      </c>
      <c r="O1404">
        <v>-0.8466688</v>
      </c>
      <c r="P1404">
        <v>0.32582230000000001</v>
      </c>
      <c r="Q1404">
        <v>8.5684830000000003E-2</v>
      </c>
      <c r="R1404">
        <v>-0.9415403</v>
      </c>
      <c r="S1404">
        <v>0.1094818</v>
      </c>
      <c r="T1404">
        <v>-0.55691369999999996</v>
      </c>
      <c r="U1404">
        <v>-3.2048649999999999</v>
      </c>
      <c r="V1404">
        <v>0.22635350000000001</v>
      </c>
      <c r="W1404">
        <v>9.6598749999999997E-2</v>
      </c>
      <c r="X1404">
        <v>0.96924339999999998</v>
      </c>
      <c r="Y1404">
        <v>0.50246709999999895</v>
      </c>
      <c r="Z1404">
        <v>0.1205372</v>
      </c>
      <c r="AA1404">
        <v>0.85615280000000005</v>
      </c>
      <c r="AB1404">
        <v>21</v>
      </c>
      <c r="AC1404">
        <v>0.15240000000000001</v>
      </c>
      <c r="AD1404">
        <v>-1.1046293571700001</v>
      </c>
      <c r="AE1404">
        <v>-6.2415999999999396</v>
      </c>
      <c r="AF1404">
        <v>3.0944867742517701</v>
      </c>
      <c r="AG1404">
        <v>-1.1046293571700001</v>
      </c>
      <c r="AH1404">
        <v>5.20331827874422</v>
      </c>
      <c r="AI1404">
        <v>100.34066588025701</v>
      </c>
      <c r="AJ1404">
        <v>59.259453651564897</v>
      </c>
      <c r="AK1404">
        <v>6.1539073378346103</v>
      </c>
      <c r="AL1404">
        <v>84.456655279532896</v>
      </c>
      <c r="AM1404">
        <v>76.854950483556394</v>
      </c>
      <c r="AN1404">
        <v>0.99999999695368602</v>
      </c>
    </row>
    <row r="1405" spans="1:40" x14ac:dyDescent="0.25">
      <c r="A1405" t="str">
        <f>"20190312154822503"</f>
        <v>20190312154822503</v>
      </c>
      <c r="B1405" t="str">
        <f>"1552376902497144"</f>
        <v>1552376902497144</v>
      </c>
      <c r="C1405" t="s">
        <v>40</v>
      </c>
      <c r="D1405">
        <v>5.3752420000000001</v>
      </c>
      <c r="E1405">
        <v>0.62312119999999904</v>
      </c>
      <c r="F1405" t="s">
        <v>45</v>
      </c>
      <c r="G1405">
        <v>-195.4485</v>
      </c>
      <c r="H1405" s="1">
        <v>-2.239412E-6</v>
      </c>
      <c r="I1405">
        <v>350.93680000000001</v>
      </c>
      <c r="J1405">
        <v>-195.5436</v>
      </c>
      <c r="K1405">
        <v>1.104646</v>
      </c>
      <c r="L1405">
        <v>357.19619999999998</v>
      </c>
      <c r="M1405">
        <v>0.52407320000000002</v>
      </c>
      <c r="N1405">
        <v>0</v>
      </c>
      <c r="O1405">
        <v>-0.85155020000000003</v>
      </c>
      <c r="P1405">
        <v>0.31743070000000001</v>
      </c>
      <c r="Q1405">
        <v>8.5927749999999997E-2</v>
      </c>
      <c r="R1405">
        <v>-0.94438029999999995</v>
      </c>
      <c r="S1405">
        <v>9.3017580000000002E-2</v>
      </c>
      <c r="T1405">
        <v>-0.55086369999999996</v>
      </c>
      <c r="U1405">
        <v>-3.2041629999999999</v>
      </c>
      <c r="V1405">
        <v>0.22600629999999999</v>
      </c>
      <c r="W1405">
        <v>9.6850759999999994E-2</v>
      </c>
      <c r="X1405">
        <v>0.96929929999999997</v>
      </c>
      <c r="Y1405">
        <v>0.49888909999999997</v>
      </c>
      <c r="Z1405">
        <v>0.120682399999999</v>
      </c>
      <c r="AA1405">
        <v>0.85822219999999905</v>
      </c>
      <c r="AB1405">
        <v>21</v>
      </c>
      <c r="AC1405">
        <v>9.51000000000021E-2</v>
      </c>
      <c r="AD1405">
        <v>-1.1046482394120001</v>
      </c>
      <c r="AE1405">
        <v>-6.2593999999999701</v>
      </c>
      <c r="AF1405">
        <v>3.1031137182411301</v>
      </c>
      <c r="AG1405">
        <v>-1.1046482394120001</v>
      </c>
      <c r="AH1405">
        <v>5.2181178052127901</v>
      </c>
      <c r="AI1405">
        <v>100.31228875881</v>
      </c>
      <c r="AJ1405">
        <v>59.260869446567803</v>
      </c>
      <c r="AK1405">
        <v>6.1707629925521399</v>
      </c>
      <c r="AL1405">
        <v>84.442148305853905</v>
      </c>
      <c r="AM1405">
        <v>76.875145646693596</v>
      </c>
      <c r="AN1405">
        <v>1.0000000251663701</v>
      </c>
    </row>
    <row r="1406" spans="1:40" x14ac:dyDescent="0.25">
      <c r="A1406" t="str">
        <f>"20190312154822519"</f>
        <v>20190312154822519</v>
      </c>
      <c r="B1406" t="str">
        <f>"1552376902506903"</f>
        <v>1552376902506903</v>
      </c>
      <c r="C1406" t="s">
        <v>40</v>
      </c>
      <c r="D1406">
        <v>5.3849320000000001</v>
      </c>
      <c r="E1406">
        <v>0.62239219999999995</v>
      </c>
      <c r="F1406" t="s">
        <v>45</v>
      </c>
      <c r="G1406">
        <v>-195.40199999999999</v>
      </c>
      <c r="H1406" s="1">
        <v>-2.079112E-6</v>
      </c>
      <c r="I1406">
        <v>350.68689999999998</v>
      </c>
      <c r="J1406">
        <v>-195.47659999999999</v>
      </c>
      <c r="K1406">
        <v>1.1046609999999999</v>
      </c>
      <c r="L1406">
        <v>357.07199999999898</v>
      </c>
      <c r="M1406">
        <v>0.51818660000000005</v>
      </c>
      <c r="N1406">
        <v>0</v>
      </c>
      <c r="O1406">
        <v>-0.85514519999999905</v>
      </c>
      <c r="P1406">
        <v>0.3106894</v>
      </c>
      <c r="Q1406">
        <v>8.6287290000000003E-2</v>
      </c>
      <c r="R1406">
        <v>-0.94658719999999996</v>
      </c>
      <c r="S1406">
        <v>6.9671629999999998E-2</v>
      </c>
      <c r="T1406">
        <v>-0.54349349999999996</v>
      </c>
      <c r="U1406">
        <v>-3.2026370000000002</v>
      </c>
      <c r="V1406">
        <v>0.22621640000000001</v>
      </c>
      <c r="W1406">
        <v>9.7208600000000006E-2</v>
      </c>
      <c r="X1406">
        <v>0.96921440000000003</v>
      </c>
      <c r="Y1406">
        <v>0.4991681</v>
      </c>
      <c r="Z1406">
        <v>0.12003080000000001</v>
      </c>
      <c r="AA1406">
        <v>0.85815140000000001</v>
      </c>
      <c r="AB1406">
        <v>21</v>
      </c>
      <c r="AC1406">
        <v>7.4599999999975297E-2</v>
      </c>
      <c r="AD1406">
        <v>-1.104663079112</v>
      </c>
      <c r="AE1406">
        <v>-6.3850999999999596</v>
      </c>
      <c r="AF1406">
        <v>3.1509211049614101</v>
      </c>
      <c r="AG1406">
        <v>-1.104663079112</v>
      </c>
      <c r="AH1406">
        <v>5.3396204881609801</v>
      </c>
      <c r="AI1406">
        <v>100.102481231157</v>
      </c>
      <c r="AJ1406">
        <v>59.4550572383123</v>
      </c>
      <c r="AK1406">
        <v>6.2976290209596302</v>
      </c>
      <c r="AL1406">
        <v>84.421548032047596</v>
      </c>
      <c r="AM1406">
        <v>76.8622566383536</v>
      </c>
      <c r="AN1406">
        <v>0.99999996235513899</v>
      </c>
    </row>
    <row r="1407" spans="1:40" x14ac:dyDescent="0.25">
      <c r="A1407" t="str">
        <f>"20190312154822539"</f>
        <v>20190312154822539</v>
      </c>
      <c r="B1407" t="str">
        <f>"1552376902527134"</f>
        <v>1552376902527134</v>
      </c>
      <c r="C1407" t="s">
        <v>40</v>
      </c>
      <c r="D1407">
        <v>5.4170800000000003</v>
      </c>
      <c r="E1407">
        <v>0.62111839999999996</v>
      </c>
      <c r="F1407" t="s">
        <v>45</v>
      </c>
      <c r="G1407">
        <v>-195.3706</v>
      </c>
      <c r="H1407" s="1">
        <v>-1.968076E-6</v>
      </c>
      <c r="I1407">
        <v>350.51339999999999</v>
      </c>
      <c r="J1407">
        <v>-195.38900000000001</v>
      </c>
      <c r="K1407">
        <v>1.104671</v>
      </c>
      <c r="L1407">
        <v>356.90690000000001</v>
      </c>
      <c r="M1407">
        <v>0.51035649999999999</v>
      </c>
      <c r="N1407">
        <v>0</v>
      </c>
      <c r="O1407">
        <v>-0.85984110000000002</v>
      </c>
      <c r="P1407">
        <v>0.30227619999999999</v>
      </c>
      <c r="Q1407">
        <v>8.6696399999999896E-2</v>
      </c>
      <c r="R1407">
        <v>-0.94926980000000005</v>
      </c>
      <c r="S1407">
        <v>5.1742549999999998E-2</v>
      </c>
      <c r="T1407">
        <v>-0.53922219999999998</v>
      </c>
      <c r="U1407">
        <v>-3.2014469999999999</v>
      </c>
      <c r="V1407">
        <v>0.2259507</v>
      </c>
      <c r="W1407">
        <v>9.762622E-2</v>
      </c>
      <c r="X1407">
        <v>0.96923440000000005</v>
      </c>
      <c r="Y1407">
        <v>0.49607499999999999</v>
      </c>
      <c r="Z1407">
        <v>0.12045119999999999</v>
      </c>
      <c r="AA1407">
        <v>0.85988430000000005</v>
      </c>
      <c r="AB1407">
        <v>20</v>
      </c>
      <c r="AC1407">
        <v>1.8400000000013898E-2</v>
      </c>
      <c r="AD1407">
        <v>-1.1046729680759999</v>
      </c>
      <c r="AE1407">
        <v>-6.3935000000000102</v>
      </c>
      <c r="AF1407">
        <v>3.1533468923416899</v>
      </c>
      <c r="AG1407">
        <v>-1.1046729680759999</v>
      </c>
      <c r="AH1407">
        <v>5.3477167784647301</v>
      </c>
      <c r="AI1407">
        <v>100.08949086134101</v>
      </c>
      <c r="AJ1407">
        <v>59.473750564540502</v>
      </c>
      <c r="AK1407">
        <v>6.3057096137161297</v>
      </c>
      <c r="AL1407">
        <v>84.397505799625307</v>
      </c>
      <c r="AM1407">
        <v>76.877414540457195</v>
      </c>
      <c r="AN1407">
        <v>0.99999995990266799</v>
      </c>
    </row>
    <row r="1408" spans="1:40" x14ac:dyDescent="0.25">
      <c r="A1408" t="str">
        <f>"20190312154822561"</f>
        <v>20190312154822561</v>
      </c>
      <c r="B1408" t="str">
        <f>"1552376902557390"</f>
        <v>1552376902557390</v>
      </c>
      <c r="C1408" t="s">
        <v>40</v>
      </c>
      <c r="D1408">
        <v>5.3286709999999999</v>
      </c>
      <c r="E1408">
        <v>0.61267340000000003</v>
      </c>
      <c r="F1408" t="s">
        <v>45</v>
      </c>
      <c r="G1408">
        <v>-195.321</v>
      </c>
      <c r="H1408" s="1">
        <v>-1.800832E-6</v>
      </c>
      <c r="I1408">
        <v>350.25319999999999</v>
      </c>
      <c r="J1408">
        <v>-195.29320000000001</v>
      </c>
      <c r="K1408">
        <v>1.1046910000000001</v>
      </c>
      <c r="L1408">
        <v>356.72210000000001</v>
      </c>
      <c r="M1408">
        <v>0.50158670000000005</v>
      </c>
      <c r="N1408">
        <v>0</v>
      </c>
      <c r="O1408">
        <v>-0.86498649999999999</v>
      </c>
      <c r="P1408">
        <v>0.29302499999999998</v>
      </c>
      <c r="Q1408">
        <v>8.6070149999999998E-2</v>
      </c>
      <c r="R1408">
        <v>-0.95222309999999999</v>
      </c>
      <c r="S1408">
        <v>3.2684329999999998E-2</v>
      </c>
      <c r="T1408">
        <v>-0.53100919999999996</v>
      </c>
      <c r="U1408">
        <v>-3.1983950000000001</v>
      </c>
      <c r="V1408">
        <v>0.2255413</v>
      </c>
      <c r="W1408">
        <v>9.7011639999999996E-2</v>
      </c>
      <c r="X1408">
        <v>0.96939149999999996</v>
      </c>
      <c r="Y1408">
        <v>0.49238290000000001</v>
      </c>
      <c r="Z1408">
        <v>0.1201866</v>
      </c>
      <c r="AA1408">
        <v>0.86204069999999899</v>
      </c>
      <c r="AB1408">
        <v>20</v>
      </c>
      <c r="AC1408">
        <v>-2.7799999999984899E-2</v>
      </c>
      <c r="AD1408">
        <v>-1.1046928008319901</v>
      </c>
      <c r="AE1408">
        <v>-6.4689000000000103</v>
      </c>
      <c r="AF1408">
        <v>3.1764711137965298</v>
      </c>
      <c r="AG1408">
        <v>-1.1046928008319901</v>
      </c>
      <c r="AH1408">
        <v>5.4239779126220098</v>
      </c>
      <c r="AI1408">
        <v>99.967831544789703</v>
      </c>
      <c r="AJ1408">
        <v>59.645268536096701</v>
      </c>
      <c r="AK1408">
        <v>6.3819943056700703</v>
      </c>
      <c r="AL1408">
        <v>84.432886855858399</v>
      </c>
      <c r="AM1408">
        <v>76.902420421243505</v>
      </c>
      <c r="AN1408">
        <v>1.00000000828671</v>
      </c>
    </row>
    <row r="1409" spans="1:40" x14ac:dyDescent="0.25">
      <c r="A1409" t="str">
        <f>"20190312154822585"</f>
        <v>20190312154822585</v>
      </c>
      <c r="B1409" t="str">
        <f>"1552376902576910"</f>
        <v>1552376902576910</v>
      </c>
      <c r="C1409" t="s">
        <v>40</v>
      </c>
      <c r="D1409">
        <v>5.34476</v>
      </c>
      <c r="E1409">
        <v>0.61133999999999999</v>
      </c>
      <c r="F1409" t="s">
        <v>42</v>
      </c>
      <c r="G1409">
        <v>-195.1497</v>
      </c>
      <c r="H1409" s="1">
        <v>-5.174142E-6</v>
      </c>
      <c r="I1409">
        <v>349.50699999999898</v>
      </c>
      <c r="J1409">
        <v>-195.19390000000001</v>
      </c>
      <c r="K1409">
        <v>1.1047039999999999</v>
      </c>
      <c r="L1409">
        <v>356.5258</v>
      </c>
      <c r="M1409">
        <v>0.49225600000000003</v>
      </c>
      <c r="N1409">
        <v>0</v>
      </c>
      <c r="O1409">
        <v>-0.8703303</v>
      </c>
      <c r="P1409">
        <v>0.28346700000000002</v>
      </c>
      <c r="Q1409">
        <v>8.4712560000000006E-2</v>
      </c>
      <c r="R1409">
        <v>-0.9552332</v>
      </c>
      <c r="S1409">
        <v>6.3125609999999999E-2</v>
      </c>
      <c r="T1409">
        <v>-0.48612880000000003</v>
      </c>
      <c r="U1409">
        <v>-3.1750790000000002</v>
      </c>
      <c r="V1409">
        <v>0.22486819999999999</v>
      </c>
      <c r="W1409">
        <v>9.5671800000000001E-2</v>
      </c>
      <c r="X1409">
        <v>0.96968100000000002</v>
      </c>
      <c r="Y1409">
        <v>0.47468700000000003</v>
      </c>
      <c r="Z1409">
        <v>0.113006</v>
      </c>
      <c r="AA1409">
        <v>0.87286989999999998</v>
      </c>
      <c r="AB1409">
        <v>20</v>
      </c>
      <c r="AC1409">
        <v>4.4200000000017697E-2</v>
      </c>
      <c r="AD1409">
        <v>-1.1047091741419901</v>
      </c>
      <c r="AE1409">
        <v>-7.0188000000000503</v>
      </c>
      <c r="AF1409">
        <v>3.3343385499239999</v>
      </c>
      <c r="AG1409">
        <v>-1.1047091741419901</v>
      </c>
      <c r="AH1409">
        <v>5.9828685145424698</v>
      </c>
      <c r="AI1409">
        <v>99.162248040242105</v>
      </c>
      <c r="AJ1409">
        <v>60.868448234077697</v>
      </c>
      <c r="AK1409">
        <v>6.9377886669490296</v>
      </c>
      <c r="AL1409">
        <v>84.510012875068895</v>
      </c>
      <c r="AM1409">
        <v>76.943932174035396</v>
      </c>
      <c r="AN1409">
        <v>1.0000000212237301</v>
      </c>
    </row>
    <row r="1410" spans="1:40" x14ac:dyDescent="0.25">
      <c r="A1410" t="str">
        <f>"20190312154822605"</f>
        <v>20190312154822605</v>
      </c>
      <c r="B1410" t="str">
        <f>"1552376902597406"</f>
        <v>1552376902597406</v>
      </c>
      <c r="C1410" t="s">
        <v>40</v>
      </c>
      <c r="D1410">
        <v>5.2974180000000004</v>
      </c>
      <c r="E1410">
        <v>0.61026829999999999</v>
      </c>
      <c r="F1410" t="s">
        <v>42</v>
      </c>
      <c r="G1410">
        <v>-195.10319999999999</v>
      </c>
      <c r="H1410" s="1">
        <v>-5.1235189999999996E-6</v>
      </c>
      <c r="I1410">
        <v>349.38240000000002</v>
      </c>
      <c r="J1410">
        <v>-195.113</v>
      </c>
      <c r="K1410">
        <v>1.104714</v>
      </c>
      <c r="L1410">
        <v>356.36160000000001</v>
      </c>
      <c r="M1410">
        <v>0.4844502</v>
      </c>
      <c r="N1410">
        <v>0</v>
      </c>
      <c r="O1410">
        <v>-0.87469940000000002</v>
      </c>
      <c r="P1410">
        <v>0.27545520000000001</v>
      </c>
      <c r="Q1410">
        <v>8.303278E-2</v>
      </c>
      <c r="R1410">
        <v>-0.95772139999999994</v>
      </c>
      <c r="S1410">
        <v>4.0252690000000001E-2</v>
      </c>
      <c r="T1410">
        <v>-0.49056939999999999</v>
      </c>
      <c r="U1410">
        <v>-3.1721499999999998</v>
      </c>
      <c r="V1410">
        <v>0.22436</v>
      </c>
      <c r="W1410">
        <v>9.4006580000000006E-2</v>
      </c>
      <c r="X1410">
        <v>0.96996150000000003</v>
      </c>
      <c r="Y1410">
        <v>0.47309370000000001</v>
      </c>
      <c r="Z1410">
        <v>0.1151684</v>
      </c>
      <c r="AA1410">
        <v>0.87345209999999995</v>
      </c>
      <c r="AB1410">
        <v>20</v>
      </c>
      <c r="AC1410">
        <v>9.8000000000126805E-3</v>
      </c>
      <c r="AD1410">
        <v>-1.1047191235189999</v>
      </c>
      <c r="AE1410">
        <v>-6.9791999999999899</v>
      </c>
      <c r="AF1410">
        <v>3.2904144017378898</v>
      </c>
      <c r="AG1410">
        <v>-1.1047191235189999</v>
      </c>
      <c r="AH1410">
        <v>5.9607426483170203</v>
      </c>
      <c r="AI1410">
        <v>99.216101161614901</v>
      </c>
      <c r="AJ1410">
        <v>61.100680158971997</v>
      </c>
      <c r="AK1410">
        <v>6.8976578776058597</v>
      </c>
      <c r="AL1410">
        <v>84.605854732492205</v>
      </c>
      <c r="AM1410">
        <v>76.9760701190324</v>
      </c>
      <c r="AN1410">
        <v>0.99999997908277205</v>
      </c>
    </row>
    <row r="1411" spans="1:40" x14ac:dyDescent="0.25">
      <c r="A1411" t="str">
        <f>"20190312154822630"</f>
        <v>20190312154822630</v>
      </c>
      <c r="B1411" t="str">
        <f>"1552376902616926"</f>
        <v>1552376902616926</v>
      </c>
      <c r="C1411" t="s">
        <v>40</v>
      </c>
      <c r="D1411">
        <v>5.1783159999999997</v>
      </c>
      <c r="E1411">
        <v>0.60924460000000003</v>
      </c>
      <c r="F1411" t="s">
        <v>42</v>
      </c>
      <c r="G1411">
        <v>-195.06659999999999</v>
      </c>
      <c r="H1411" s="1">
        <v>-5.0833749999999901E-6</v>
      </c>
      <c r="I1411">
        <v>349.28359999999998</v>
      </c>
      <c r="J1411">
        <v>-195.01560000000001</v>
      </c>
      <c r="K1411">
        <v>1.104732</v>
      </c>
      <c r="L1411">
        <v>356.1585</v>
      </c>
      <c r="M1411">
        <v>0.47478599999999999</v>
      </c>
      <c r="N1411">
        <v>0</v>
      </c>
      <c r="O1411">
        <v>-0.87998259999999995</v>
      </c>
      <c r="P1411">
        <v>0.26532430000000001</v>
      </c>
      <c r="Q1411">
        <v>8.1205589999999994E-2</v>
      </c>
      <c r="R1411">
        <v>-0.96073370000000002</v>
      </c>
      <c r="S1411">
        <v>2.0782470000000001E-2</v>
      </c>
      <c r="T1411">
        <v>-0.49466450000000001</v>
      </c>
      <c r="U1411">
        <v>-3.1693419999999999</v>
      </c>
      <c r="V1411">
        <v>0.2239651</v>
      </c>
      <c r="W1411">
        <v>9.2192990000000002E-2</v>
      </c>
      <c r="X1411">
        <v>0.97022679999999994</v>
      </c>
      <c r="Y1411">
        <v>0.46875070000000002</v>
      </c>
      <c r="Z1411">
        <v>0.1175925</v>
      </c>
      <c r="AA1411">
        <v>0.87546829999999998</v>
      </c>
      <c r="AB1411">
        <v>20</v>
      </c>
      <c r="AC1411">
        <v>-5.0999999999987701E-2</v>
      </c>
      <c r="AD1411">
        <v>-1.1047370833750001</v>
      </c>
      <c r="AE1411">
        <v>-6.8749000000000198</v>
      </c>
      <c r="AF1411">
        <v>3.2260338795746599</v>
      </c>
      <c r="AG1411">
        <v>-1.1047370833750001</v>
      </c>
      <c r="AH1411">
        <v>5.8745257092851801</v>
      </c>
      <c r="AI1411">
        <v>99.360233517890094</v>
      </c>
      <c r="AJ1411">
        <v>61.226324998424801</v>
      </c>
      <c r="AK1411">
        <v>6.7924804692100498</v>
      </c>
      <c r="AL1411">
        <v>84.710219075713198</v>
      </c>
      <c r="AM1411">
        <v>77.001648695541903</v>
      </c>
      <c r="AN1411">
        <v>0.99999997843069399</v>
      </c>
    </row>
    <row r="1412" spans="1:40" x14ac:dyDescent="0.25">
      <c r="A1412" t="str">
        <f>"20190312154822650"</f>
        <v>20190312154822650</v>
      </c>
      <c r="B1412" t="str">
        <f>"1552376902636954"</f>
        <v>1552376902636954</v>
      </c>
      <c r="C1412" t="s">
        <v>40</v>
      </c>
      <c r="D1412">
        <v>5.1522329999999998</v>
      </c>
      <c r="E1412">
        <v>0.60822339999999997</v>
      </c>
      <c r="F1412" t="s">
        <v>42</v>
      </c>
      <c r="G1412">
        <v>-195.02879999999999</v>
      </c>
      <c r="H1412" s="1">
        <v>-4.9690430000000003E-6</v>
      </c>
      <c r="I1412">
        <v>348.96730000000002</v>
      </c>
      <c r="J1412">
        <v>-194.93199999999999</v>
      </c>
      <c r="K1412">
        <v>1.1047450000000001</v>
      </c>
      <c r="L1412">
        <v>355.97969999999998</v>
      </c>
      <c r="M1412">
        <v>0.4662732</v>
      </c>
      <c r="N1412">
        <v>0</v>
      </c>
      <c r="O1412">
        <v>-0.88452280000000005</v>
      </c>
      <c r="P1412">
        <v>0.25646469999999999</v>
      </c>
      <c r="Q1412">
        <v>7.9741670000000001E-2</v>
      </c>
      <c r="R1412">
        <v>-0.96325890000000003</v>
      </c>
      <c r="S1412">
        <v>-5.813599E-3</v>
      </c>
      <c r="T1412">
        <v>-0.4862688</v>
      </c>
      <c r="U1412">
        <v>-3.165314</v>
      </c>
      <c r="V1412">
        <v>0.2235723</v>
      </c>
      <c r="W1412">
        <v>9.07414E-2</v>
      </c>
      <c r="X1412">
        <v>0.97045420000000004</v>
      </c>
      <c r="Y1412">
        <v>0.46759650000000003</v>
      </c>
      <c r="Z1412">
        <v>0.1168418</v>
      </c>
      <c r="AA1412">
        <v>0.87618580000000001</v>
      </c>
      <c r="AB1412">
        <v>20</v>
      </c>
      <c r="AC1412">
        <v>-9.6799999999973296E-2</v>
      </c>
      <c r="AD1412">
        <v>-1.104749969043</v>
      </c>
      <c r="AE1412">
        <v>-7.0123999999999498</v>
      </c>
      <c r="AF1412">
        <v>3.2744121202058998</v>
      </c>
      <c r="AG1412">
        <v>-1.104749969043</v>
      </c>
      <c r="AH1412">
        <v>6.0090220704654396</v>
      </c>
      <c r="AI1412">
        <v>99.170502064120996</v>
      </c>
      <c r="AJ1412">
        <v>61.413327856078297</v>
      </c>
      <c r="AK1412">
        <v>6.9318535378636401</v>
      </c>
      <c r="AL1412">
        <v>84.793739102440099</v>
      </c>
      <c r="AM1412">
        <v>77.026611322461804</v>
      </c>
      <c r="AN1412">
        <v>0.99999996464944396</v>
      </c>
    </row>
    <row r="1413" spans="1:40" x14ac:dyDescent="0.25">
      <c r="A1413" t="str">
        <f>"20190312154822674"</f>
        <v>20190312154822674</v>
      </c>
      <c r="B1413" t="str">
        <f>"1552376902667209"</f>
        <v>1552376902667209</v>
      </c>
      <c r="C1413" t="s">
        <v>40</v>
      </c>
      <c r="D1413">
        <v>5.1758810000000004</v>
      </c>
      <c r="E1413">
        <v>0.60689369999999998</v>
      </c>
      <c r="F1413" t="s">
        <v>42</v>
      </c>
      <c r="G1413">
        <v>-194.99709999999999</v>
      </c>
      <c r="H1413" s="1">
        <v>-4.8531670000000001E-6</v>
      </c>
      <c r="I1413">
        <v>348.64330000000001</v>
      </c>
      <c r="J1413">
        <v>-194.84100000000001</v>
      </c>
      <c r="K1413">
        <v>1.10476</v>
      </c>
      <c r="L1413">
        <v>355.77980000000002</v>
      </c>
      <c r="M1413">
        <v>0.45674360000000003</v>
      </c>
      <c r="N1413">
        <v>0</v>
      </c>
      <c r="O1413">
        <v>-0.88948099999999997</v>
      </c>
      <c r="P1413">
        <v>0.2462481</v>
      </c>
      <c r="Q1413">
        <v>7.9011570000000003E-2</v>
      </c>
      <c r="R1413">
        <v>-0.96598079999999997</v>
      </c>
      <c r="S1413">
        <v>-2.80304E-2</v>
      </c>
      <c r="T1413">
        <v>-0.47605750000000002</v>
      </c>
      <c r="U1413">
        <v>-3.1613769999999999</v>
      </c>
      <c r="V1413">
        <v>0.22343789999999999</v>
      </c>
      <c r="W1413">
        <v>9.0019580000000002E-2</v>
      </c>
      <c r="X1413">
        <v>0.97055239999999998</v>
      </c>
      <c r="Y1413">
        <v>0.46428390000000003</v>
      </c>
      <c r="Z1413">
        <v>0.115796</v>
      </c>
      <c r="AA1413">
        <v>0.87808419999999898</v>
      </c>
      <c r="AB1413">
        <v>20</v>
      </c>
      <c r="AC1413">
        <v>-0.15610000000000901</v>
      </c>
      <c r="AD1413">
        <v>-1.104764853167</v>
      </c>
      <c r="AE1413">
        <v>-7.1365000000000096</v>
      </c>
      <c r="AF1413">
        <v>3.3192473842715899</v>
      </c>
      <c r="AG1413">
        <v>-1.104764853167</v>
      </c>
      <c r="AH1413">
        <v>6.13029938603011</v>
      </c>
      <c r="AI1413">
        <v>99.0050617963972</v>
      </c>
      <c r="AJ1413">
        <v>61.566693511052598</v>
      </c>
      <c r="AK1413">
        <v>7.0582206781275998</v>
      </c>
      <c r="AL1413">
        <v>84.835266436525799</v>
      </c>
      <c r="AM1413">
        <v>77.035414182535803</v>
      </c>
      <c r="AN1413">
        <v>0.999999990542773</v>
      </c>
    </row>
    <row r="1414" spans="1:40" x14ac:dyDescent="0.25">
      <c r="A1414" t="str">
        <f>"20190312154822694"</f>
        <v>20190312154822694</v>
      </c>
      <c r="B1414" t="str">
        <f>"1552376902687705"</f>
        <v>1552376902687705</v>
      </c>
      <c r="C1414" t="s">
        <v>40</v>
      </c>
      <c r="D1414">
        <v>5.1725700000000003</v>
      </c>
      <c r="E1414">
        <v>0.59735269999999996</v>
      </c>
      <c r="F1414" t="s">
        <v>42</v>
      </c>
      <c r="G1414">
        <v>-194.96510000000001</v>
      </c>
      <c r="H1414" s="1">
        <v>-4.718087E-6</v>
      </c>
      <c r="I1414">
        <v>348.26310000000001</v>
      </c>
      <c r="J1414">
        <v>-194.76499999999999</v>
      </c>
      <c r="K1414">
        <v>1.104768</v>
      </c>
      <c r="L1414">
        <v>355.60809999999998</v>
      </c>
      <c r="M1414">
        <v>0.44855519999999999</v>
      </c>
      <c r="N1414">
        <v>0</v>
      </c>
      <c r="O1414">
        <v>-0.89363859999999995</v>
      </c>
      <c r="P1414">
        <v>0.2380997</v>
      </c>
      <c r="Q1414">
        <v>7.8134099999999998E-2</v>
      </c>
      <c r="R1414">
        <v>-0.96809319999999999</v>
      </c>
      <c r="S1414">
        <v>-5.2093510000000003E-2</v>
      </c>
      <c r="T1414">
        <v>-0.46397969999999999</v>
      </c>
      <c r="U1414">
        <v>-3.15686</v>
      </c>
      <c r="V1414">
        <v>0.222718</v>
      </c>
      <c r="W1414">
        <v>8.915903E-2</v>
      </c>
      <c r="X1414">
        <v>0.97079720000000003</v>
      </c>
      <c r="Y1414">
        <v>0.46287990000000001</v>
      </c>
      <c r="Z1414">
        <v>0.1140133</v>
      </c>
      <c r="AA1414">
        <v>0.87905809999999995</v>
      </c>
      <c r="AB1414">
        <v>20</v>
      </c>
      <c r="AC1414">
        <v>-0.20010000000002001</v>
      </c>
      <c r="AD1414">
        <v>-1.1047727180869999</v>
      </c>
      <c r="AE1414">
        <v>-7.3449999999999704</v>
      </c>
      <c r="AF1414">
        <v>3.3970208735351699</v>
      </c>
      <c r="AG1414">
        <v>-1.1047727180869999</v>
      </c>
      <c r="AH1414">
        <v>6.3315573725430498</v>
      </c>
      <c r="AI1414">
        <v>98.7410500775717</v>
      </c>
      <c r="AJ1414">
        <v>61.785455801823801</v>
      </c>
      <c r="AK1414">
        <v>7.2697243644905303</v>
      </c>
      <c r="AL1414">
        <v>84.884771038928406</v>
      </c>
      <c r="AM1414">
        <v>77.078930008505793</v>
      </c>
      <c r="AN1414">
        <v>0.99999992184118702</v>
      </c>
    </row>
    <row r="1415" spans="1:40" x14ac:dyDescent="0.25">
      <c r="A1415" t="str">
        <f>"20190312154822717"</f>
        <v>20190312154822717</v>
      </c>
      <c r="B1415" t="str">
        <f>"1552376902707225"</f>
        <v>1552376902707225</v>
      </c>
      <c r="C1415" t="s">
        <v>40</v>
      </c>
      <c r="D1415">
        <v>5.215713</v>
      </c>
      <c r="E1415">
        <v>0.59628749999999997</v>
      </c>
      <c r="F1415" t="s">
        <v>42</v>
      </c>
      <c r="G1415">
        <v>-194.78739999999999</v>
      </c>
      <c r="H1415" s="1">
        <v>-4.3118620000000004E-6</v>
      </c>
      <c r="I1415">
        <v>347.16199999999998</v>
      </c>
      <c r="J1415">
        <v>-194.67910000000001</v>
      </c>
      <c r="K1415">
        <v>1.1047819999999999</v>
      </c>
      <c r="L1415">
        <v>355.40899999999999</v>
      </c>
      <c r="M1415">
        <v>0.43905270000000002</v>
      </c>
      <c r="N1415">
        <v>0</v>
      </c>
      <c r="O1415">
        <v>-0.89834539999999996</v>
      </c>
      <c r="P1415">
        <v>0.22903519999999999</v>
      </c>
      <c r="Q1415">
        <v>7.7246609999999993E-2</v>
      </c>
      <c r="R1415">
        <v>-0.97034860000000001</v>
      </c>
      <c r="S1415">
        <v>-8.3160400000000002E-3</v>
      </c>
      <c r="T1415">
        <v>-0.40993930000000001</v>
      </c>
      <c r="U1415">
        <v>-3.1340330000000001</v>
      </c>
      <c r="V1415">
        <v>0.2215155</v>
      </c>
      <c r="W1415">
        <v>8.8296959999999994E-2</v>
      </c>
      <c r="X1415">
        <v>0.97115110000000004</v>
      </c>
      <c r="Y1415">
        <v>0.44126369999999998</v>
      </c>
      <c r="Z1415">
        <v>0.10333249999999999</v>
      </c>
      <c r="AA1415">
        <v>0.89140830000000004</v>
      </c>
      <c r="AB1415">
        <v>20</v>
      </c>
      <c r="AC1415">
        <v>-0.10829999999998501</v>
      </c>
      <c r="AD1415">
        <v>-1.1047863118619901</v>
      </c>
      <c r="AE1415">
        <v>-8.2470000000000105</v>
      </c>
      <c r="AF1415">
        <v>3.6530006908911998</v>
      </c>
      <c r="AG1415">
        <v>-1.1047863118619901</v>
      </c>
      <c r="AH1415">
        <v>7.2321076659401902</v>
      </c>
      <c r="AI1415">
        <v>97.764629788775807</v>
      </c>
      <c r="AJ1415">
        <v>63.201260900434399</v>
      </c>
      <c r="AK1415">
        <v>8.1773068998466805</v>
      </c>
      <c r="AL1415">
        <v>84.934359816056499</v>
      </c>
      <c r="AM1415">
        <v>77.150898837829899</v>
      </c>
      <c r="AN1415">
        <v>0.99999996445835004</v>
      </c>
    </row>
    <row r="1416" spans="1:40" x14ac:dyDescent="0.25">
      <c r="A1416" t="str">
        <f>"20190312154822741"</f>
        <v>20190312154822741</v>
      </c>
      <c r="B1416" t="str">
        <f>"1552376902737014"</f>
        <v>1552376902737014</v>
      </c>
      <c r="C1416" t="s">
        <v>40</v>
      </c>
      <c r="D1416">
        <v>5.2310610000000004</v>
      </c>
      <c r="E1416">
        <v>0.59423700000000002</v>
      </c>
      <c r="F1416" t="s">
        <v>42</v>
      </c>
      <c r="G1416">
        <v>-194.75749999999999</v>
      </c>
      <c r="H1416" s="1">
        <v>-4.3152749999999999E-6</v>
      </c>
      <c r="I1416">
        <v>347.18759999999997</v>
      </c>
      <c r="J1416">
        <v>-194.5968</v>
      </c>
      <c r="K1416">
        <v>1.104789</v>
      </c>
      <c r="L1416">
        <v>355.21289999999999</v>
      </c>
      <c r="M1416">
        <v>0.42968220000000001</v>
      </c>
      <c r="N1416">
        <v>0</v>
      </c>
      <c r="O1416">
        <v>-0.90286500000000003</v>
      </c>
      <c r="P1416">
        <v>0.2218803</v>
      </c>
      <c r="Q1416">
        <v>7.5668379999999993E-2</v>
      </c>
      <c r="R1416">
        <v>-0.9721339</v>
      </c>
      <c r="S1416">
        <v>-2.989197E-2</v>
      </c>
      <c r="T1416">
        <v>-0.42090440000000001</v>
      </c>
      <c r="U1416">
        <v>-3.1322329999999998</v>
      </c>
      <c r="V1416">
        <v>0.2185898</v>
      </c>
      <c r="W1416">
        <v>8.6773630000000004E-2</v>
      </c>
      <c r="X1416">
        <v>0.97195109999999996</v>
      </c>
      <c r="Y1416">
        <v>0.43805939999999999</v>
      </c>
      <c r="Z1416">
        <v>0.1071033</v>
      </c>
      <c r="AA1416">
        <v>0.89254290000000003</v>
      </c>
      <c r="AB1416">
        <v>20</v>
      </c>
      <c r="AC1416">
        <v>-0.16069999999999099</v>
      </c>
      <c r="AD1416">
        <v>-1.104793315275</v>
      </c>
      <c r="AE1416">
        <v>-8.0253000000000103</v>
      </c>
      <c r="AF1416">
        <v>3.5269786177075799</v>
      </c>
      <c r="AG1416">
        <v>-1.104793315275</v>
      </c>
      <c r="AH1416">
        <v>7.0440190726968401</v>
      </c>
      <c r="AI1416">
        <v>97.983296319850893</v>
      </c>
      <c r="AJ1416">
        <v>63.402623294816202</v>
      </c>
      <c r="AK1416">
        <v>7.9547690812341996</v>
      </c>
      <c r="AL1416">
        <v>85.021976969253402</v>
      </c>
      <c r="AM1416">
        <v>77.325182476168393</v>
      </c>
      <c r="AN1416">
        <v>1.00000005215931</v>
      </c>
    </row>
    <row r="1417" spans="1:40" x14ac:dyDescent="0.25">
      <c r="A1417" t="str">
        <f>"20190312154822764"</f>
        <v>20190312154822764</v>
      </c>
      <c r="B1417" t="str">
        <f>"1552376902757510"</f>
        <v>1552376902757510</v>
      </c>
      <c r="C1417" t="s">
        <v>40</v>
      </c>
      <c r="D1417">
        <v>5.1941240000000004</v>
      </c>
      <c r="E1417">
        <v>0.59281669999999997</v>
      </c>
      <c r="F1417" t="s">
        <v>42</v>
      </c>
      <c r="G1417">
        <v>-194.69370000000001</v>
      </c>
      <c r="H1417" s="1">
        <v>-4.3288360000000001E-6</v>
      </c>
      <c r="I1417">
        <v>347.26069999999999</v>
      </c>
      <c r="J1417">
        <v>-194.5181</v>
      </c>
      <c r="K1417">
        <v>1.1048100000000001</v>
      </c>
      <c r="L1417">
        <v>355.01949999999999</v>
      </c>
      <c r="M1417">
        <v>0.42043170000000002</v>
      </c>
      <c r="N1417">
        <v>0</v>
      </c>
      <c r="O1417">
        <v>-0.90720959999999995</v>
      </c>
      <c r="P1417">
        <v>0.21430579999999999</v>
      </c>
      <c r="Q1417">
        <v>7.5718419999999995E-2</v>
      </c>
      <c r="R1417">
        <v>-0.97382760000000002</v>
      </c>
      <c r="S1417">
        <v>-3.8116459999999998E-2</v>
      </c>
      <c r="T1417">
        <v>-0.43464350000000002</v>
      </c>
      <c r="U1417">
        <v>-3.1285400000000001</v>
      </c>
      <c r="V1417">
        <v>0.21621380000000001</v>
      </c>
      <c r="W1417">
        <v>8.6867689999999997E-2</v>
      </c>
      <c r="X1417">
        <v>0.97247399999999995</v>
      </c>
      <c r="Y1417">
        <v>0.43120770000000003</v>
      </c>
      <c r="Z1417">
        <v>0.11178339999999901</v>
      </c>
      <c r="AA1417">
        <v>0.89530129999999997</v>
      </c>
      <c r="AB1417">
        <v>20</v>
      </c>
      <c r="AC1417">
        <v>-0.175600000000002</v>
      </c>
      <c r="AD1417">
        <v>-1.1048143288359999</v>
      </c>
      <c r="AE1417">
        <v>-7.7587999999999999</v>
      </c>
      <c r="AF1417">
        <v>3.3537404764042602</v>
      </c>
      <c r="AG1417">
        <v>-1.1048143288359999</v>
      </c>
      <c r="AH1417">
        <v>6.8273906659802304</v>
      </c>
      <c r="AI1417">
        <v>98.264055321828593</v>
      </c>
      <c r="AJ1417">
        <v>63.838876145050399</v>
      </c>
      <c r="AK1417">
        <v>7.6864460702061503</v>
      </c>
      <c r="AL1417">
        <v>85.016567249502003</v>
      </c>
      <c r="AM1417">
        <v>77.4651025787485</v>
      </c>
      <c r="AN1417">
        <v>1.0000000417761801</v>
      </c>
    </row>
    <row r="1418" spans="1:40" x14ac:dyDescent="0.25">
      <c r="A1418" t="str">
        <f>"20190312154822784"</f>
        <v>20190312154822784</v>
      </c>
      <c r="B1418" t="str">
        <f>"1552376902777031"</f>
        <v>1552376902777031</v>
      </c>
      <c r="C1418" t="s">
        <v>40</v>
      </c>
      <c r="D1418">
        <v>5.2948969999999997</v>
      </c>
      <c r="E1418">
        <v>0.59214350000000004</v>
      </c>
      <c r="F1418" t="s">
        <v>42</v>
      </c>
      <c r="G1418">
        <v>-194.65350000000001</v>
      </c>
      <c r="H1418" s="1">
        <v>-4.1815130000000003E-6</v>
      </c>
      <c r="I1418">
        <v>346.84879999999998</v>
      </c>
      <c r="J1418">
        <v>-194.44800000000001</v>
      </c>
      <c r="K1418">
        <v>1.1048260000000001</v>
      </c>
      <c r="L1418">
        <v>354.8424</v>
      </c>
      <c r="M1418">
        <v>0.41195880000000001</v>
      </c>
      <c r="N1418">
        <v>0</v>
      </c>
      <c r="O1418">
        <v>-0.91108849999999997</v>
      </c>
      <c r="P1418">
        <v>0.2082444</v>
      </c>
      <c r="Q1418">
        <v>7.5729560000000001E-2</v>
      </c>
      <c r="R1418">
        <v>-0.97514089999999998</v>
      </c>
      <c r="S1418">
        <v>-5.178833E-2</v>
      </c>
      <c r="T1418">
        <v>-0.42253649999999998</v>
      </c>
      <c r="U1418">
        <v>-3.124908</v>
      </c>
      <c r="V1418">
        <v>0.21319179999999999</v>
      </c>
      <c r="W1418">
        <v>8.6932300000000004E-2</v>
      </c>
      <c r="X1418">
        <v>0.97313519999999998</v>
      </c>
      <c r="Y1418">
        <v>0.4267476</v>
      </c>
      <c r="Z1418">
        <v>0.10975849999999999</v>
      </c>
      <c r="AA1418">
        <v>0.89768559999999997</v>
      </c>
      <c r="AB1418">
        <v>20</v>
      </c>
      <c r="AC1418">
        <v>-0.20550000000002899</v>
      </c>
      <c r="AD1418">
        <v>-1.1048301815129999</v>
      </c>
      <c r="AE1418">
        <v>-7.9936000000000096</v>
      </c>
      <c r="AF1418">
        <v>3.4154216121387502</v>
      </c>
      <c r="AG1418">
        <v>-1.1048301815129999</v>
      </c>
      <c r="AH1418">
        <v>7.0641091278771198</v>
      </c>
      <c r="AI1418">
        <v>98.014921357382804</v>
      </c>
      <c r="AJ1418">
        <v>64.196727128137297</v>
      </c>
      <c r="AK1418">
        <v>7.9238495877447903</v>
      </c>
      <c r="AL1418">
        <v>85.012851317843101</v>
      </c>
      <c r="AM1418">
        <v>77.643019219637793</v>
      </c>
      <c r="AN1418">
        <v>1.00000004292478</v>
      </c>
    </row>
    <row r="1419" spans="1:40" x14ac:dyDescent="0.25">
      <c r="A1419" t="str">
        <f>"20190312154822806"</f>
        <v>20190312154822806</v>
      </c>
      <c r="B1419" t="str">
        <f>"1552376902797526"</f>
        <v>1552376902797526</v>
      </c>
      <c r="C1419" t="s">
        <v>40</v>
      </c>
      <c r="D1419">
        <v>5.1233810000000002</v>
      </c>
      <c r="E1419">
        <v>0.58601519999999996</v>
      </c>
      <c r="F1419" t="s">
        <v>42</v>
      </c>
      <c r="G1419">
        <v>-194.62389999999999</v>
      </c>
      <c r="H1419" s="1">
        <v>-4.0873910000000004E-6</v>
      </c>
      <c r="I1419">
        <v>346.58760000000001</v>
      </c>
      <c r="J1419">
        <v>-194.3767</v>
      </c>
      <c r="K1419">
        <v>1.104841</v>
      </c>
      <c r="L1419">
        <v>354.65690000000001</v>
      </c>
      <c r="M1419">
        <v>0.40307870000000001</v>
      </c>
      <c r="N1419">
        <v>0</v>
      </c>
      <c r="O1419">
        <v>-0.91505170000000002</v>
      </c>
      <c r="P1419">
        <v>0.20187260000000001</v>
      </c>
      <c r="Q1419">
        <v>7.4714760000000005E-2</v>
      </c>
      <c r="R1419">
        <v>-0.97655769999999997</v>
      </c>
      <c r="S1419">
        <v>-6.6558839999999994E-2</v>
      </c>
      <c r="T1419">
        <v>-0.41800379999999998</v>
      </c>
      <c r="U1419">
        <v>-3.123138</v>
      </c>
      <c r="V1419">
        <v>0.2100919</v>
      </c>
      <c r="W1419">
        <v>8.5973640000000004E-2</v>
      </c>
      <c r="X1419">
        <v>0.97389420000000004</v>
      </c>
      <c r="Y1419">
        <v>0.42221360000000002</v>
      </c>
      <c r="Z1419">
        <v>0.1095795</v>
      </c>
      <c r="AA1419">
        <v>0.89984889999999995</v>
      </c>
      <c r="AB1419">
        <v>20</v>
      </c>
      <c r="AC1419">
        <v>-0.24719999999999201</v>
      </c>
      <c r="AD1419">
        <v>-1.1048450873909901</v>
      </c>
      <c r="AE1419">
        <v>-8.0692999999999895</v>
      </c>
      <c r="AF1419">
        <v>3.4151615928507701</v>
      </c>
      <c r="AG1419">
        <v>-1.1048450873909901</v>
      </c>
      <c r="AH1419">
        <v>7.15100906345402</v>
      </c>
      <c r="AI1419">
        <v>97.936935535308606</v>
      </c>
      <c r="AJ1419">
        <v>64.471905125882003</v>
      </c>
      <c r="AK1419">
        <v>8.0013087678214596</v>
      </c>
      <c r="AL1419">
        <v>85.067984666695494</v>
      </c>
      <c r="AM1419">
        <v>77.8265018128767</v>
      </c>
      <c r="AN1419">
        <v>0.999999993007049</v>
      </c>
    </row>
    <row r="1420" spans="1:40" x14ac:dyDescent="0.25">
      <c r="A1420" t="str">
        <f>"20190312154822829"</f>
        <v>20190312154822829</v>
      </c>
      <c r="B1420" t="str">
        <f>"1552376902817046"</f>
        <v>1552376902817046</v>
      </c>
      <c r="C1420" t="s">
        <v>40</v>
      </c>
      <c r="D1420">
        <v>5.1488559999999897</v>
      </c>
      <c r="E1420">
        <v>0.58412209999999998</v>
      </c>
      <c r="F1420" t="s">
        <v>42</v>
      </c>
      <c r="G1420">
        <v>-194.57409999999999</v>
      </c>
      <c r="H1420" s="1">
        <v>-2.0281850000000001E-6</v>
      </c>
      <c r="I1420">
        <v>341.47989999999999</v>
      </c>
      <c r="J1420">
        <v>-194.3032</v>
      </c>
      <c r="K1420">
        <v>1.1048579999999999</v>
      </c>
      <c r="L1420">
        <v>354.45960000000002</v>
      </c>
      <c r="M1420">
        <v>0.39362780000000003</v>
      </c>
      <c r="N1420">
        <v>0</v>
      </c>
      <c r="O1420">
        <v>-0.91915709999999995</v>
      </c>
      <c r="P1420">
        <v>0.19372049999999999</v>
      </c>
      <c r="Q1420">
        <v>7.2750830000000002E-2</v>
      </c>
      <c r="R1420">
        <v>-0.9783558</v>
      </c>
      <c r="S1420">
        <v>-4.6447750000000003E-2</v>
      </c>
      <c r="T1420">
        <v>-0.26004739999999998</v>
      </c>
      <c r="U1420">
        <v>-3.1014710000000001</v>
      </c>
      <c r="V1420">
        <v>0.2082048</v>
      </c>
      <c r="W1420">
        <v>8.4047070000000001E-2</v>
      </c>
      <c r="X1420">
        <v>0.97446750000000004</v>
      </c>
      <c r="Y1420">
        <v>0.40728789999999998</v>
      </c>
      <c r="Z1420">
        <v>6.9807859999999999E-2</v>
      </c>
      <c r="AA1420">
        <v>0.91062799999999999</v>
      </c>
      <c r="AB1420">
        <v>20</v>
      </c>
      <c r="AC1420">
        <v>-0.27089999999998299</v>
      </c>
      <c r="AD1420">
        <v>-1.1048600281849901</v>
      </c>
      <c r="AE1420">
        <v>-12.979699999999999</v>
      </c>
      <c r="AF1420">
        <v>5.3201939144544603</v>
      </c>
      <c r="AG1420">
        <v>-1.1048600281849901</v>
      </c>
      <c r="AH1420">
        <v>11.7399477842319</v>
      </c>
      <c r="AI1420">
        <v>94.899417162551899</v>
      </c>
      <c r="AJ1420">
        <v>65.621385119962198</v>
      </c>
      <c r="AK1420">
        <v>12.9364428242763</v>
      </c>
      <c r="AL1420">
        <v>85.178770222745996</v>
      </c>
      <c r="AM1420">
        <v>77.939520006100594</v>
      </c>
      <c r="AN1420">
        <v>1.00000002863743</v>
      </c>
    </row>
    <row r="1421" spans="1:40" x14ac:dyDescent="0.25">
      <c r="A1421" t="str">
        <f>"20190312154822851"</f>
        <v>20190312154822851</v>
      </c>
      <c r="B1421" t="str">
        <f>"1552376902846833"</f>
        <v>1552376902846833</v>
      </c>
      <c r="C1421" t="s">
        <v>40</v>
      </c>
      <c r="D1421">
        <v>5.1322890000000001</v>
      </c>
      <c r="E1421">
        <v>0.5818004</v>
      </c>
      <c r="F1421" t="s">
        <v>42</v>
      </c>
      <c r="G1421">
        <v>-194.54650000000001</v>
      </c>
      <c r="H1421" s="1">
        <v>-2.0230080000000002E-6</v>
      </c>
      <c r="I1421">
        <v>341.48500000000001</v>
      </c>
      <c r="J1421">
        <v>-194.23609999999999</v>
      </c>
      <c r="K1421">
        <v>1.1048690000000001</v>
      </c>
      <c r="L1421">
        <v>354.274</v>
      </c>
      <c r="M1421">
        <v>0.38472410000000001</v>
      </c>
      <c r="N1421">
        <v>0</v>
      </c>
      <c r="O1421">
        <v>-0.92291920000000005</v>
      </c>
      <c r="P1421">
        <v>0.1859246</v>
      </c>
      <c r="Q1421">
        <v>7.1576570000000006E-2</v>
      </c>
      <c r="R1421">
        <v>-0.97995350000000003</v>
      </c>
      <c r="S1421">
        <v>-5.807495E-2</v>
      </c>
      <c r="T1421">
        <v>-0.26376300000000003</v>
      </c>
      <c r="U1421">
        <v>-3.0974430000000002</v>
      </c>
      <c r="V1421">
        <v>0.20655589999999999</v>
      </c>
      <c r="W1421">
        <v>8.2904270000000002E-2</v>
      </c>
      <c r="X1421">
        <v>0.97491620000000001</v>
      </c>
      <c r="Y1421">
        <v>0.40188669999999999</v>
      </c>
      <c r="Z1421">
        <v>7.1465520000000005E-2</v>
      </c>
      <c r="AA1421">
        <v>0.91289640000000005</v>
      </c>
      <c r="AB1421">
        <v>20</v>
      </c>
      <c r="AC1421">
        <v>-0.310400000000015</v>
      </c>
      <c r="AD1421">
        <v>-1.1048710230079899</v>
      </c>
      <c r="AE1421">
        <v>-12.7889999999999</v>
      </c>
      <c r="AF1421">
        <v>5.1686964428950501</v>
      </c>
      <c r="AG1421">
        <v>-1.1048710230079899</v>
      </c>
      <c r="AH1421">
        <v>11.598491904725799</v>
      </c>
      <c r="AI1421">
        <v>94.972843675261402</v>
      </c>
      <c r="AJ1421">
        <v>65.9805638399706</v>
      </c>
      <c r="AK1421">
        <v>12.7460259438097</v>
      </c>
      <c r="AL1421">
        <v>85.2444771648927</v>
      </c>
      <c r="AM1421">
        <v>78.037619138756796</v>
      </c>
      <c r="AN1421">
        <v>1.0000000274157399</v>
      </c>
    </row>
    <row r="1422" spans="1:40" x14ac:dyDescent="0.25">
      <c r="A1422" t="str">
        <f>"20190312154822874"</f>
        <v>20190312154822874</v>
      </c>
      <c r="B1422" t="str">
        <f>"1552376902867329"</f>
        <v>1552376902867329</v>
      </c>
      <c r="C1422" t="s">
        <v>40</v>
      </c>
      <c r="D1422">
        <v>5.2965929999999997</v>
      </c>
      <c r="E1422">
        <v>0.58161219999999902</v>
      </c>
      <c r="F1422" t="s">
        <v>42</v>
      </c>
      <c r="G1422">
        <v>-194.51079999999999</v>
      </c>
      <c r="H1422" s="1">
        <v>-1.892128E-6</v>
      </c>
      <c r="I1422">
        <v>341.202</v>
      </c>
      <c r="J1422">
        <v>-194.16560000000001</v>
      </c>
      <c r="K1422">
        <v>1.104894</v>
      </c>
      <c r="L1422">
        <v>354.07249999999999</v>
      </c>
      <c r="M1422">
        <v>0.3750619</v>
      </c>
      <c r="N1422">
        <v>0</v>
      </c>
      <c r="O1422">
        <v>-0.92688800000000005</v>
      </c>
      <c r="P1422">
        <v>0.17670069999999999</v>
      </c>
      <c r="Q1422">
        <v>7.1425989999999995E-2</v>
      </c>
      <c r="R1422">
        <v>-0.98166969999999998</v>
      </c>
      <c r="S1422">
        <v>-6.4987180000000005E-2</v>
      </c>
      <c r="T1422">
        <v>-0.26141049999999999</v>
      </c>
      <c r="U1422">
        <v>-3.0928040000000001</v>
      </c>
      <c r="V1422">
        <v>0.205537</v>
      </c>
      <c r="W1422">
        <v>8.2774070000000005E-2</v>
      </c>
      <c r="X1422">
        <v>0.97514250000000002</v>
      </c>
      <c r="Y1422">
        <v>0.3943777</v>
      </c>
      <c r="Z1422">
        <v>7.1573979999999995E-2</v>
      </c>
      <c r="AA1422">
        <v>0.91615679999999999</v>
      </c>
      <c r="AB1422">
        <v>20</v>
      </c>
      <c r="AC1422">
        <v>-0.34519999999997703</v>
      </c>
      <c r="AD1422">
        <v>-1.1048958921279901</v>
      </c>
      <c r="AE1422">
        <v>-12.8704999999999</v>
      </c>
      <c r="AF1422">
        <v>5.1100962867595596</v>
      </c>
      <c r="AG1422">
        <v>-1.1048958921279901</v>
      </c>
      <c r="AH1422">
        <v>11.7149890459368</v>
      </c>
      <c r="AI1422">
        <v>94.940838411132603</v>
      </c>
      <c r="AJ1422">
        <v>66.433096023860301</v>
      </c>
      <c r="AK1422">
        <v>12.8286728596069</v>
      </c>
      <c r="AL1422">
        <v>85.251962436247197</v>
      </c>
      <c r="AM1422">
        <v>78.097623442349402</v>
      </c>
      <c r="AN1422">
        <v>0.99999995016980603</v>
      </c>
    </row>
    <row r="1423" spans="1:40" x14ac:dyDescent="0.25">
      <c r="A1423" t="str">
        <f>"20190312154822896"</f>
        <v>20190312154822896</v>
      </c>
      <c r="B1423" t="str">
        <f>"1552376902886849"</f>
        <v>1552376902886849</v>
      </c>
      <c r="C1423" t="s">
        <v>40</v>
      </c>
      <c r="D1423">
        <v>5.1019189999999996</v>
      </c>
      <c r="E1423">
        <v>0.58094969999999901</v>
      </c>
      <c r="F1423" t="s">
        <v>42</v>
      </c>
      <c r="G1423">
        <v>-194.54769999999999</v>
      </c>
      <c r="H1423" s="1">
        <v>-1.9228390000000001E-6</v>
      </c>
      <c r="I1423">
        <v>341.25069999999999</v>
      </c>
      <c r="J1423">
        <v>-194.09960000000001</v>
      </c>
      <c r="K1423">
        <v>1.1049089999999999</v>
      </c>
      <c r="L1423">
        <v>353.8777</v>
      </c>
      <c r="M1423">
        <v>0.36570150000000001</v>
      </c>
      <c r="N1423">
        <v>0</v>
      </c>
      <c r="O1423">
        <v>-0.93062080000000003</v>
      </c>
      <c r="P1423">
        <v>0.16759969999999999</v>
      </c>
      <c r="Q1423">
        <v>7.2897980000000001E-2</v>
      </c>
      <c r="R1423">
        <v>-0.98315609999999998</v>
      </c>
      <c r="S1423">
        <v>-9.2132569999999997E-2</v>
      </c>
      <c r="T1423">
        <v>-0.26644519999999999</v>
      </c>
      <c r="U1423">
        <v>-3.09198</v>
      </c>
      <c r="V1423">
        <v>0.20471780000000001</v>
      </c>
      <c r="W1423">
        <v>8.4261349999999999E-2</v>
      </c>
      <c r="X1423">
        <v>0.97518749999999998</v>
      </c>
      <c r="Y1423">
        <v>0.39315519999999998</v>
      </c>
      <c r="Z1423">
        <v>7.3452459999999997E-2</v>
      </c>
      <c r="AA1423">
        <v>0.9165335</v>
      </c>
      <c r="AB1423">
        <v>20</v>
      </c>
      <c r="AC1423">
        <v>-0.44809999999998201</v>
      </c>
      <c r="AD1423">
        <v>-1.1049109228389999</v>
      </c>
      <c r="AE1423">
        <v>-12.627000000000001</v>
      </c>
      <c r="AF1423">
        <v>4.9970322935036302</v>
      </c>
      <c r="AG1423">
        <v>-1.1049109228389999</v>
      </c>
      <c r="AH1423">
        <v>11.500333029043899</v>
      </c>
      <c r="AI1423">
        <v>95.035755952790197</v>
      </c>
      <c r="AJ1423">
        <v>66.514477093511999</v>
      </c>
      <c r="AK1423">
        <v>12.587645517277901</v>
      </c>
      <c r="AL1423">
        <v>85.166449070020604</v>
      </c>
      <c r="AM1423">
        <v>78.144248607458294</v>
      </c>
      <c r="AN1423">
        <v>1.00000000644845</v>
      </c>
    </row>
    <row r="1424" spans="1:40" x14ac:dyDescent="0.25">
      <c r="A1424" t="str">
        <f>"20190312154822918"</f>
        <v>20190312154822918</v>
      </c>
      <c r="B1424" t="str">
        <f>"1552376902907345"</f>
        <v>1552376902907345</v>
      </c>
      <c r="C1424" t="s">
        <v>40</v>
      </c>
      <c r="D1424">
        <v>5.0018029999999998</v>
      </c>
      <c r="E1424">
        <v>0.58202480000000001</v>
      </c>
      <c r="F1424" t="s">
        <v>42</v>
      </c>
      <c r="G1424">
        <v>-194.5917</v>
      </c>
      <c r="H1424" s="1">
        <v>-1.7271120000000001E-6</v>
      </c>
      <c r="I1424">
        <v>340.7672</v>
      </c>
      <c r="J1424">
        <v>-194.03970000000001</v>
      </c>
      <c r="K1424">
        <v>1.104924</v>
      </c>
      <c r="L1424">
        <v>353.69470000000001</v>
      </c>
      <c r="M1424">
        <v>0.35691309999999998</v>
      </c>
      <c r="N1424">
        <v>0</v>
      </c>
      <c r="O1424">
        <v>-0.93402669999999999</v>
      </c>
      <c r="P1424">
        <v>0.159155399999999</v>
      </c>
      <c r="Q1424">
        <v>7.3827909999999997E-2</v>
      </c>
      <c r="R1424">
        <v>-0.98448950000000002</v>
      </c>
      <c r="S1424">
        <v>-0.1159973</v>
      </c>
      <c r="T1424">
        <v>-0.26045629999999997</v>
      </c>
      <c r="U1424">
        <v>-3.0904850000000001</v>
      </c>
      <c r="V1424">
        <v>0.20387859999999999</v>
      </c>
      <c r="W1424">
        <v>8.5207329999999998E-2</v>
      </c>
      <c r="X1424">
        <v>0.97528110000000001</v>
      </c>
      <c r="Y1424">
        <v>0.3915786</v>
      </c>
      <c r="Z1424">
        <v>7.2291809999999998E-2</v>
      </c>
      <c r="AA1424">
        <v>0.91730049999999996</v>
      </c>
      <c r="AB1424">
        <v>20</v>
      </c>
      <c r="AC1424">
        <v>-0.55199999999999205</v>
      </c>
      <c r="AD1424">
        <v>-1.1049257271119901</v>
      </c>
      <c r="AE1424">
        <v>-12.9275</v>
      </c>
      <c r="AF1424">
        <v>5.0929703691193398</v>
      </c>
      <c r="AG1424">
        <v>-1.1049257271119901</v>
      </c>
      <c r="AH1424">
        <v>11.792851289342799</v>
      </c>
      <c r="AI1424">
        <v>94.916242982005201</v>
      </c>
      <c r="AJ1424">
        <v>66.641966888774903</v>
      </c>
      <c r="AK1424">
        <v>12.8930426810632</v>
      </c>
      <c r="AL1424">
        <v>85.112052734967804</v>
      </c>
      <c r="AM1424">
        <v>78.192583107385502</v>
      </c>
      <c r="AN1424">
        <v>0.99999999832044895</v>
      </c>
    </row>
    <row r="1425" spans="1:40" x14ac:dyDescent="0.25">
      <c r="A1425" t="str">
        <f>"20190312154823119"</f>
        <v>20190312154823119</v>
      </c>
      <c r="B1425" t="str">
        <f>"1552376903116717"</f>
        <v>1552376903116717</v>
      </c>
      <c r="C1425" t="s">
        <v>40</v>
      </c>
      <c r="D1425">
        <v>5.0175210000000003</v>
      </c>
      <c r="E1425">
        <v>0.55824319999999905</v>
      </c>
      <c r="F1425" t="s">
        <v>42</v>
      </c>
      <c r="G1425">
        <v>-194.67869999999999</v>
      </c>
      <c r="H1425" s="1">
        <v>-1.673884E-6</v>
      </c>
      <c r="I1425">
        <v>340.58909999999997</v>
      </c>
      <c r="J1425">
        <v>-193.55889999999999</v>
      </c>
      <c r="K1425">
        <v>1.1050949999999999</v>
      </c>
      <c r="L1425">
        <v>351.94310000000002</v>
      </c>
      <c r="M1425">
        <v>0.27298420000000001</v>
      </c>
      <c r="N1425">
        <v>0</v>
      </c>
      <c r="O1425">
        <v>-0.96191450000000001</v>
      </c>
      <c r="P1425">
        <v>8.4992040000000005E-2</v>
      </c>
      <c r="Q1425">
        <v>5.5939599999999999E-2</v>
      </c>
      <c r="R1425">
        <v>-0.99481019999999998</v>
      </c>
      <c r="S1425">
        <v>-0.15072629999999901</v>
      </c>
      <c r="T1425">
        <v>-0.26061630000000002</v>
      </c>
      <c r="U1425">
        <v>-3.0911870000000001</v>
      </c>
      <c r="V1425">
        <v>0.190687</v>
      </c>
      <c r="W1425">
        <v>6.7436339999999997E-2</v>
      </c>
      <c r="X1425">
        <v>0.97933179999999997</v>
      </c>
      <c r="Y1425">
        <v>0.31936369999999997</v>
      </c>
      <c r="Z1425">
        <v>7.6972780000000005E-2</v>
      </c>
      <c r="AA1425">
        <v>0.94450089999999998</v>
      </c>
      <c r="AB1425">
        <v>20</v>
      </c>
      <c r="AC1425">
        <v>-1.1197999999999899</v>
      </c>
      <c r="AD1425">
        <v>-1.105096673884</v>
      </c>
      <c r="AE1425">
        <v>-11.353999999999999</v>
      </c>
      <c r="AF1425">
        <v>4.1382074814315803</v>
      </c>
      <c r="AG1425">
        <v>-1.105096673884</v>
      </c>
      <c r="AH1425">
        <v>10.5182687647116</v>
      </c>
      <c r="AI1425">
        <v>95.584052537156694</v>
      </c>
      <c r="AJ1425">
        <v>68.523811724710995</v>
      </c>
      <c r="AK1425">
        <v>11.356935221472099</v>
      </c>
      <c r="AL1425">
        <v>86.133247702937695</v>
      </c>
      <c r="AM1425">
        <v>78.981725401610106</v>
      </c>
      <c r="AN1425">
        <v>0.99999998320641703</v>
      </c>
    </row>
    <row r="1426" spans="1:40" x14ac:dyDescent="0.25">
      <c r="A1426" t="str">
        <f>"20190312154823143"</f>
        <v>20190312154823143</v>
      </c>
      <c r="B1426" t="str">
        <f>"1552376903136743"</f>
        <v>1552376903136743</v>
      </c>
      <c r="C1426" t="s">
        <v>40</v>
      </c>
      <c r="D1426">
        <v>5.103294</v>
      </c>
      <c r="E1426">
        <v>0.55433880000000002</v>
      </c>
      <c r="F1426" t="s">
        <v>41</v>
      </c>
      <c r="G1426">
        <v>-193.59989999999999</v>
      </c>
      <c r="H1426">
        <v>0.85840450000000001</v>
      </c>
      <c r="I1426">
        <v>351.1961</v>
      </c>
      <c r="J1426">
        <v>-193.51140000000001</v>
      </c>
      <c r="K1426">
        <v>1.105151</v>
      </c>
      <c r="L1426">
        <v>351.73070000000001</v>
      </c>
      <c r="M1426">
        <v>0.26300469999999998</v>
      </c>
      <c r="N1426">
        <v>0</v>
      </c>
      <c r="O1426">
        <v>-0.96469179999999999</v>
      </c>
      <c r="P1426">
        <v>7.6487520000000003E-2</v>
      </c>
      <c r="Q1426">
        <v>5.5950090000000001E-2</v>
      </c>
      <c r="R1426">
        <v>-0.99549980000000005</v>
      </c>
      <c r="S1426">
        <v>-0.16871639999999999</v>
      </c>
      <c r="T1426">
        <v>-1.019118</v>
      </c>
      <c r="U1426">
        <v>-3.087402</v>
      </c>
      <c r="V1426">
        <v>0.1888967</v>
      </c>
      <c r="W1426">
        <v>6.7431099999999994E-2</v>
      </c>
      <c r="X1426">
        <v>0.97967899999999997</v>
      </c>
      <c r="Y1426">
        <v>0.31251630000000002</v>
      </c>
      <c r="Z1426">
        <v>0.28904269999999999</v>
      </c>
      <c r="AA1426">
        <v>0.90486900000000003</v>
      </c>
      <c r="AB1426">
        <v>20</v>
      </c>
      <c r="AC1426">
        <v>-8.8499999999981996E-2</v>
      </c>
      <c r="AD1426">
        <v>-0.24674650000000001</v>
      </c>
      <c r="AE1426">
        <v>-0.53460000000001096</v>
      </c>
      <c r="AF1426">
        <v>0.18718688314586501</v>
      </c>
      <c r="AG1426">
        <v>-0.24674650000000001</v>
      </c>
      <c r="AH1426">
        <v>0.40791605860201702</v>
      </c>
      <c r="AI1426">
        <v>118.800847973922</v>
      </c>
      <c r="AJ1426">
        <v>65.350282286022505</v>
      </c>
      <c r="AK1426">
        <v>0.51217016249437897</v>
      </c>
      <c r="AL1426">
        <v>86.133548410896495</v>
      </c>
      <c r="AM1426">
        <v>79.086451605140795</v>
      </c>
      <c r="AN1426">
        <v>0.99999992977954699</v>
      </c>
    </row>
    <row r="1427" spans="1:40" x14ac:dyDescent="0.25">
      <c r="A1427" t="str">
        <f>"20190312154823167"</f>
        <v>20190312154823167</v>
      </c>
      <c r="B1427" t="str">
        <f>"1552376903157241"</f>
        <v>1552376903157241</v>
      </c>
      <c r="C1427" t="s">
        <v>40</v>
      </c>
      <c r="D1427">
        <v>5.094652</v>
      </c>
      <c r="E1427">
        <v>0.55413059999999903</v>
      </c>
      <c r="F1427" t="s">
        <v>41</v>
      </c>
      <c r="G1427">
        <v>-193.55099999999999</v>
      </c>
      <c r="H1427">
        <v>0.90067169999999896</v>
      </c>
      <c r="I1427">
        <v>351.01069999999999</v>
      </c>
      <c r="J1427">
        <v>-193.46860000000001</v>
      </c>
      <c r="K1427">
        <v>1.1052139999999999</v>
      </c>
      <c r="L1427">
        <v>351.5301</v>
      </c>
      <c r="M1427">
        <v>0.25366129999999998</v>
      </c>
      <c r="N1427">
        <v>0</v>
      </c>
      <c r="O1427">
        <v>-0.96719180000000005</v>
      </c>
      <c r="P1427">
        <v>6.8288680000000004E-2</v>
      </c>
      <c r="Q1427">
        <v>5.565755E-2</v>
      </c>
      <c r="R1427">
        <v>-0.99611179999999999</v>
      </c>
      <c r="S1427">
        <v>-0.1687012</v>
      </c>
      <c r="T1427">
        <v>-0.87311489999999903</v>
      </c>
      <c r="U1427">
        <v>-3.075653</v>
      </c>
      <c r="V1427">
        <v>0.18747330000000001</v>
      </c>
      <c r="W1427">
        <v>6.7119470000000001E-2</v>
      </c>
      <c r="X1427">
        <v>0.97997389999999995</v>
      </c>
      <c r="Y1427">
        <v>0.30419839999999998</v>
      </c>
      <c r="Z1427">
        <v>0.25314750000000003</v>
      </c>
      <c r="AA1427">
        <v>0.91835710000000004</v>
      </c>
      <c r="AB1427">
        <v>20</v>
      </c>
      <c r="AC1427">
        <v>-8.2399999999978393E-2</v>
      </c>
      <c r="AD1427">
        <v>-0.20454230000000001</v>
      </c>
      <c r="AE1427">
        <v>-0.51940000000001796</v>
      </c>
      <c r="AF1427">
        <v>0.18368243607454901</v>
      </c>
      <c r="AG1427">
        <v>-0.20454230000000001</v>
      </c>
      <c r="AH1427">
        <v>0.418236209800529</v>
      </c>
      <c r="AI1427">
        <v>114.12178451179901</v>
      </c>
      <c r="AJ1427">
        <v>66.289712071527106</v>
      </c>
      <c r="AK1427">
        <v>0.50049806892722704</v>
      </c>
      <c r="AL1427">
        <v>86.151444514629603</v>
      </c>
      <c r="AM1427">
        <v>79.169918641905198</v>
      </c>
      <c r="AN1427">
        <v>1.00000005307358</v>
      </c>
    </row>
    <row r="1428" spans="1:40" x14ac:dyDescent="0.25">
      <c r="A1428" t="str">
        <f>"20190312154823186"</f>
        <v>20190312154823186</v>
      </c>
      <c r="B1428" t="str">
        <f>"1552376903177735"</f>
        <v>1552376903177735</v>
      </c>
      <c r="C1428" t="s">
        <v>40</v>
      </c>
      <c r="D1428">
        <v>5.1639210000000002</v>
      </c>
      <c r="E1428">
        <v>0.55413059999999903</v>
      </c>
      <c r="F1428" t="s">
        <v>42</v>
      </c>
      <c r="G1428">
        <v>-193.7561</v>
      </c>
      <c r="H1428" s="1">
        <v>-4.0932949999999999E-6</v>
      </c>
      <c r="I1428">
        <v>347.0573</v>
      </c>
      <c r="J1428">
        <v>-193.43279999999999</v>
      </c>
      <c r="K1428">
        <v>1.1052679999999999</v>
      </c>
      <c r="L1428">
        <v>351.35489999999999</v>
      </c>
      <c r="M1428">
        <v>0.2455889</v>
      </c>
      <c r="N1428">
        <v>0</v>
      </c>
      <c r="O1428">
        <v>-0.96927390000000002</v>
      </c>
      <c r="P1428">
        <v>6.0390590000000001E-2</v>
      </c>
      <c r="Q1428">
        <v>5.5756609999999998E-2</v>
      </c>
      <c r="R1428">
        <v>-0.99661619999999995</v>
      </c>
      <c r="S1428">
        <v>-0.1971588</v>
      </c>
      <c r="T1428">
        <v>-0.75798750000000004</v>
      </c>
      <c r="U1428">
        <v>-3.0675659999999998</v>
      </c>
      <c r="V1428">
        <v>0.1870589</v>
      </c>
      <c r="W1428">
        <v>6.7189410000000005E-2</v>
      </c>
      <c r="X1428">
        <v>0.98004820000000004</v>
      </c>
      <c r="Y1428">
        <v>0.30543880000000001</v>
      </c>
      <c r="Z1428">
        <v>0.22296450000000001</v>
      </c>
      <c r="AA1428">
        <v>0.92573970000000005</v>
      </c>
      <c r="AB1428">
        <v>20</v>
      </c>
      <c r="AC1428">
        <v>-0.32330000000001702</v>
      </c>
      <c r="AD1428">
        <v>-1.105272093295</v>
      </c>
      <c r="AE1428">
        <v>-4.2975999999999797</v>
      </c>
      <c r="AF1428">
        <v>1.2844615018880701</v>
      </c>
      <c r="AG1428">
        <v>-1.105272093295</v>
      </c>
      <c r="AH1428">
        <v>3.8343591522220999</v>
      </c>
      <c r="AI1428">
        <v>105.28707059301099</v>
      </c>
      <c r="AJ1428">
        <v>71.479806341836493</v>
      </c>
      <c r="AK1428">
        <v>4.1921089988547102</v>
      </c>
      <c r="AL1428">
        <v>86.147427828599305</v>
      </c>
      <c r="AM1428">
        <v>79.1940936367955</v>
      </c>
      <c r="AN1428">
        <v>0.99999996160429805</v>
      </c>
    </row>
    <row r="1429" spans="1:40" x14ac:dyDescent="0.25">
      <c r="A1429" t="str">
        <f>"20190312154823209"</f>
        <v>20190312154823209</v>
      </c>
      <c r="B1429" t="str">
        <f>"1552376903207016"</f>
        <v>1552376903207016</v>
      </c>
      <c r="C1429" t="s">
        <v>40</v>
      </c>
      <c r="D1429">
        <v>5.0655989999999997</v>
      </c>
      <c r="E1429">
        <v>0.5468324</v>
      </c>
      <c r="F1429" t="s">
        <v>42</v>
      </c>
      <c r="G1429">
        <v>-193.75309999999999</v>
      </c>
      <c r="H1429" s="1">
        <v>-4.0346579999999998E-6</v>
      </c>
      <c r="I1429">
        <v>346.88659999999999</v>
      </c>
      <c r="J1429">
        <v>-193.39269999999999</v>
      </c>
      <c r="K1429">
        <v>1.105329</v>
      </c>
      <c r="L1429">
        <v>351.14940000000001</v>
      </c>
      <c r="M1429">
        <v>0.23620530000000001</v>
      </c>
      <c r="N1429">
        <v>0</v>
      </c>
      <c r="O1429">
        <v>-0.97160429999999998</v>
      </c>
      <c r="P1429">
        <v>5.1046000000000001E-2</v>
      </c>
      <c r="Q1429">
        <v>5.6583660000000001E-2</v>
      </c>
      <c r="R1429">
        <v>-0.99709210000000004</v>
      </c>
      <c r="S1429">
        <v>-0.2197113</v>
      </c>
      <c r="T1429">
        <v>-0.75836169999999903</v>
      </c>
      <c r="U1429">
        <v>-3.065887</v>
      </c>
      <c r="V1429">
        <v>0.18675459999999999</v>
      </c>
      <c r="W1429">
        <v>6.7979620000000004E-2</v>
      </c>
      <c r="X1429">
        <v>0.98005180000000003</v>
      </c>
      <c r="Y1429">
        <v>0.30304209999999998</v>
      </c>
      <c r="Z1429">
        <v>0.224051</v>
      </c>
      <c r="AA1429">
        <v>0.92626489999999995</v>
      </c>
      <c r="AB1429">
        <v>20</v>
      </c>
      <c r="AC1429">
        <v>-0.360399999999998</v>
      </c>
      <c r="AD1429">
        <v>-1.1053330346579999</v>
      </c>
      <c r="AE1429">
        <v>-4.2628000000000199</v>
      </c>
      <c r="AF1429">
        <v>1.27225909918002</v>
      </c>
      <c r="AG1429">
        <v>-1.1053330346579999</v>
      </c>
      <c r="AH1429">
        <v>3.8031271471336598</v>
      </c>
      <c r="AI1429">
        <v>105.409499286714</v>
      </c>
      <c r="AJ1429">
        <v>71.5033796840669</v>
      </c>
      <c r="AK1429">
        <v>4.1598293751327899</v>
      </c>
      <c r="AL1429">
        <v>86.102048598038706</v>
      </c>
      <c r="AM1429">
        <v>79.211298051743697</v>
      </c>
      <c r="AN1429">
        <v>1.00000002001987</v>
      </c>
    </row>
    <row r="1430" spans="1:40" x14ac:dyDescent="0.25">
      <c r="A1430" t="str">
        <f>"20190312154823232"</f>
        <v>20190312154823232</v>
      </c>
      <c r="B1430" t="str">
        <f>"1552376903227511"</f>
        <v>1552376903227511</v>
      </c>
      <c r="C1430" t="s">
        <v>40</v>
      </c>
      <c r="D1430">
        <v>4.9388430000000003</v>
      </c>
      <c r="E1430">
        <v>0.54601409999999995</v>
      </c>
      <c r="F1430" t="s">
        <v>49</v>
      </c>
      <c r="G1430">
        <v>-202.16120000000001</v>
      </c>
      <c r="H1430">
        <v>7.9999150000000005E-2</v>
      </c>
      <c r="I1430">
        <v>226.87029999999999</v>
      </c>
      <c r="J1430">
        <v>-193.35669999999999</v>
      </c>
      <c r="K1430">
        <v>1.105383</v>
      </c>
      <c r="L1430">
        <v>350.95620000000002</v>
      </c>
      <c r="M1430">
        <v>0.2274834</v>
      </c>
      <c r="N1430">
        <v>0</v>
      </c>
      <c r="O1430">
        <v>-0.97368429999999995</v>
      </c>
      <c r="P1430">
        <v>4.3227660000000001E-2</v>
      </c>
      <c r="Q1430">
        <v>5.7029629999999998E-2</v>
      </c>
      <c r="R1430">
        <v>-0.99743630000000005</v>
      </c>
      <c r="S1430">
        <v>-0.21315000000000001</v>
      </c>
      <c r="T1430">
        <v>-2.4924399999999999E-2</v>
      </c>
      <c r="U1430">
        <v>-3.0210569999999999</v>
      </c>
      <c r="V1430">
        <v>0.18563589999999999</v>
      </c>
      <c r="W1430">
        <v>6.8405889999999997E-2</v>
      </c>
      <c r="X1430">
        <v>0.98023459999999996</v>
      </c>
      <c r="Y1430">
        <v>0.29547279999999998</v>
      </c>
      <c r="Z1430">
        <v>7.730771E-3</v>
      </c>
      <c r="AA1430">
        <v>0.9553199</v>
      </c>
      <c r="AB1430">
        <v>20</v>
      </c>
      <c r="AC1430">
        <v>-8.8045000000000098</v>
      </c>
      <c r="AD1430">
        <v>-1.0253838500000001</v>
      </c>
      <c r="AE1430">
        <v>-124.0859</v>
      </c>
      <c r="AF1430">
        <v>36.801285401101403</v>
      </c>
      <c r="AG1430">
        <v>-1.0253838500000001</v>
      </c>
      <c r="AH1430">
        <v>118.820842372443</v>
      </c>
      <c r="AI1430">
        <v>90.472297704036606</v>
      </c>
      <c r="AJ1430">
        <v>72.791159835900302</v>
      </c>
      <c r="AK1430">
        <v>124.39364373355301</v>
      </c>
      <c r="AL1430">
        <v>86.077567912376594</v>
      </c>
      <c r="AM1430">
        <v>79.276374872176504</v>
      </c>
      <c r="AN1430">
        <v>0.99999996209633002</v>
      </c>
    </row>
    <row r="1431" spans="1:40" x14ac:dyDescent="0.25">
      <c r="A1431" t="str">
        <f>"20190312154823254"</f>
        <v>20190312154823254</v>
      </c>
      <c r="B1431" t="str">
        <f>"1552376903247032"</f>
        <v>1552376903247032</v>
      </c>
      <c r="C1431" t="s">
        <v>40</v>
      </c>
      <c r="D1431">
        <v>5.0683939999999996</v>
      </c>
      <c r="E1431">
        <v>0.54359199999999996</v>
      </c>
      <c r="F1431" t="s">
        <v>49</v>
      </c>
      <c r="G1431">
        <v>-197.53039999999999</v>
      </c>
      <c r="H1431" s="1">
        <v>6.6438710000000005E-7</v>
      </c>
      <c r="I1431">
        <v>295.84390000000002</v>
      </c>
      <c r="J1431">
        <v>-193.3211</v>
      </c>
      <c r="K1431">
        <v>1.1054469999999901</v>
      </c>
      <c r="L1431">
        <v>350.75580000000002</v>
      </c>
      <c r="M1431">
        <v>0.2185425</v>
      </c>
      <c r="N1431">
        <v>0</v>
      </c>
      <c r="O1431">
        <v>-0.97573109999999996</v>
      </c>
      <c r="P1431">
        <v>3.5550599999999898E-2</v>
      </c>
      <c r="Q1431">
        <v>5.4963919999999999E-2</v>
      </c>
      <c r="R1431">
        <v>-0.99785550000000001</v>
      </c>
      <c r="S1431">
        <v>-0.2287903</v>
      </c>
      <c r="T1431">
        <v>-6.0593609999999999E-2</v>
      </c>
      <c r="U1431">
        <v>-3.0210880000000002</v>
      </c>
      <c r="V1431">
        <v>0.18417520000000001</v>
      </c>
      <c r="W1431">
        <v>6.6322069999999997E-2</v>
      </c>
      <c r="X1431">
        <v>0.98065329999999995</v>
      </c>
      <c r="Y1431">
        <v>0.29161330000000002</v>
      </c>
      <c r="Z1431">
        <v>1.886084E-2</v>
      </c>
      <c r="AA1431">
        <v>0.95635029999999999</v>
      </c>
      <c r="AB1431">
        <v>20</v>
      </c>
      <c r="AC1431">
        <v>-4.2092999999999803</v>
      </c>
      <c r="AD1431">
        <v>-1.1054463356128901</v>
      </c>
      <c r="AE1431">
        <v>-54.911900000000003</v>
      </c>
      <c r="AF1431">
        <v>16.1027553245512</v>
      </c>
      <c r="AG1431">
        <v>-1.1054463356128901</v>
      </c>
      <c r="AH1431">
        <v>52.643078292500498</v>
      </c>
      <c r="AI1431">
        <v>91.150371643195797</v>
      </c>
      <c r="AJ1431">
        <v>72.991887164155003</v>
      </c>
      <c r="AK1431">
        <v>55.061914539485599</v>
      </c>
      <c r="AL1431">
        <v>86.197234030244502</v>
      </c>
      <c r="AM1431">
        <v>79.3632603792217</v>
      </c>
      <c r="AN1431">
        <v>1.0000000080325</v>
      </c>
    </row>
    <row r="1432" spans="1:40" x14ac:dyDescent="0.25">
      <c r="A1432" t="str">
        <f>"20190312154823276"</f>
        <v>20190312154823276</v>
      </c>
      <c r="B1432" t="str">
        <f>"1552376903267527"</f>
        <v>1552376903267527</v>
      </c>
      <c r="C1432" t="s">
        <v>40</v>
      </c>
      <c r="D1432">
        <v>4.9575129999999996</v>
      </c>
      <c r="E1432">
        <v>0.54212269999999996</v>
      </c>
      <c r="F1432" t="s">
        <v>42</v>
      </c>
      <c r="G1432">
        <v>-195.80279999999999</v>
      </c>
      <c r="H1432" s="1">
        <v>-5.3026449999999996E-6</v>
      </c>
      <c r="I1432">
        <v>318.41410000000002</v>
      </c>
      <c r="J1432">
        <v>-193.28919999999999</v>
      </c>
      <c r="K1432">
        <v>1.1054999999999999</v>
      </c>
      <c r="L1432">
        <v>350.56709999999998</v>
      </c>
      <c r="M1432">
        <v>0.21024209999999999</v>
      </c>
      <c r="N1432">
        <v>0</v>
      </c>
      <c r="O1432">
        <v>-0.97755440000000005</v>
      </c>
      <c r="P1432">
        <v>2.9553200000000002E-2</v>
      </c>
      <c r="Q1432">
        <v>5.1218689999999997E-2</v>
      </c>
      <c r="R1432">
        <v>-0.99825030000000003</v>
      </c>
      <c r="S1432">
        <v>-0.23176569999999999</v>
      </c>
      <c r="T1432">
        <v>-0.1032381</v>
      </c>
      <c r="U1432">
        <v>-3.0203859999999998</v>
      </c>
      <c r="V1432">
        <v>0.1817182</v>
      </c>
      <c r="W1432">
        <v>6.2568600000000002E-2</v>
      </c>
      <c r="X1432">
        <v>0.98135810000000001</v>
      </c>
      <c r="Y1432">
        <v>0.2844006</v>
      </c>
      <c r="Z1432">
        <v>3.2259360000000001E-2</v>
      </c>
      <c r="AA1432">
        <v>0.95816259999999998</v>
      </c>
      <c r="AB1432">
        <v>20</v>
      </c>
      <c r="AC1432">
        <v>-2.5135999999999901</v>
      </c>
      <c r="AD1432">
        <v>-1.1055053026449999</v>
      </c>
      <c r="AE1432">
        <v>-32.152999999999899</v>
      </c>
      <c r="AF1432">
        <v>9.2071324496802909</v>
      </c>
      <c r="AG1432">
        <v>-1.1055053026449999</v>
      </c>
      <c r="AH1432">
        <v>30.869439958056599</v>
      </c>
      <c r="AI1432">
        <v>91.965524589547499</v>
      </c>
      <c r="AJ1432">
        <v>73.392239849939699</v>
      </c>
      <c r="AK1432">
        <v>32.232216077151698</v>
      </c>
      <c r="AL1432">
        <v>86.412740200887995</v>
      </c>
      <c r="AM1432">
        <v>79.509357380257697</v>
      </c>
      <c r="AN1432">
        <v>1.0000000271764</v>
      </c>
    </row>
    <row r="1433" spans="1:40" x14ac:dyDescent="0.25">
      <c r="A1433" t="str">
        <f>"20190312154823300"</f>
        <v>20190312154823300</v>
      </c>
      <c r="B1433" t="str">
        <f>"1552376903296808"</f>
        <v>1552376903296808</v>
      </c>
      <c r="C1433" t="s">
        <v>40</v>
      </c>
      <c r="D1433">
        <v>4.975784</v>
      </c>
      <c r="E1433">
        <v>0.54095819999999994</v>
      </c>
      <c r="F1433" t="s">
        <v>42</v>
      </c>
      <c r="G1433">
        <v>-195.2841</v>
      </c>
      <c r="H1433" s="1">
        <v>-3.7534220000000001E-6</v>
      </c>
      <c r="I1433">
        <v>325.26209999999998</v>
      </c>
      <c r="J1433">
        <v>-193.25399999999999</v>
      </c>
      <c r="K1433">
        <v>1.1055680000000001</v>
      </c>
      <c r="L1433">
        <v>350.34820000000002</v>
      </c>
      <c r="M1433">
        <v>0.2007652</v>
      </c>
      <c r="N1433">
        <v>0</v>
      </c>
      <c r="O1433">
        <v>-0.97954620000000003</v>
      </c>
      <c r="P1433">
        <v>2.2156680000000002E-2</v>
      </c>
      <c r="Q1433">
        <v>4.7218860000000001E-2</v>
      </c>
      <c r="R1433">
        <v>-0.99863900000000005</v>
      </c>
      <c r="S1433">
        <v>-0.23800660000000001</v>
      </c>
      <c r="T1433">
        <v>-0.1318945</v>
      </c>
      <c r="U1433">
        <v>-3.0190730000000001</v>
      </c>
      <c r="V1433">
        <v>0.17946139999999999</v>
      </c>
      <c r="W1433">
        <v>5.8530550000000001E-2</v>
      </c>
      <c r="X1433">
        <v>0.98202230000000001</v>
      </c>
      <c r="Y1433">
        <v>0.2770801</v>
      </c>
      <c r="Z1433">
        <v>4.1390400000000001E-2</v>
      </c>
      <c r="AA1433">
        <v>0.95995490000000006</v>
      </c>
      <c r="AB1433">
        <v>20</v>
      </c>
      <c r="AC1433">
        <v>-2.0300999999999698</v>
      </c>
      <c r="AD1433">
        <v>-1.105571753422</v>
      </c>
      <c r="AE1433">
        <v>-25.086099999999998</v>
      </c>
      <c r="AF1433">
        <v>7.0121032888315202</v>
      </c>
      <c r="AG1433">
        <v>-1.105571753422</v>
      </c>
      <c r="AH1433">
        <v>24.121082197863501</v>
      </c>
      <c r="AI1433">
        <v>92.520089758761699</v>
      </c>
      <c r="AJ1433">
        <v>73.790622903284103</v>
      </c>
      <c r="AK1433">
        <v>25.143955294091999</v>
      </c>
      <c r="AL1433">
        <v>86.644528801804</v>
      </c>
      <c r="AM1433">
        <v>79.643660502434798</v>
      </c>
      <c r="AN1433">
        <v>1.00000000853527</v>
      </c>
    </row>
    <row r="1434" spans="1:40" x14ac:dyDescent="0.25">
      <c r="A1434" t="str">
        <f>"20190312154823321"</f>
        <v>20190312154823321</v>
      </c>
      <c r="B1434" t="str">
        <f>"1552376903317303"</f>
        <v>1552376903317303</v>
      </c>
      <c r="C1434" t="s">
        <v>40</v>
      </c>
      <c r="D1434">
        <v>4.9509569999999998</v>
      </c>
      <c r="E1434">
        <v>0.53917999999999999</v>
      </c>
      <c r="F1434" t="s">
        <v>42</v>
      </c>
      <c r="G1434">
        <v>-195.03639999999999</v>
      </c>
      <c r="H1434" s="1">
        <v>-4.9527099999999999E-6</v>
      </c>
      <c r="I1434">
        <v>328.9153</v>
      </c>
      <c r="J1434">
        <v>-193.22630000000001</v>
      </c>
      <c r="K1434">
        <v>1.1056250000000001</v>
      </c>
      <c r="L1434">
        <v>350.1669</v>
      </c>
      <c r="M1434">
        <v>0.19305420000000001</v>
      </c>
      <c r="N1434">
        <v>0</v>
      </c>
      <c r="O1434">
        <v>-0.98109659999999999</v>
      </c>
      <c r="P1434">
        <v>1.6387539999999999E-2</v>
      </c>
      <c r="Q1434">
        <v>4.4737880000000001E-2</v>
      </c>
      <c r="R1434">
        <v>-0.99886470000000005</v>
      </c>
      <c r="S1434">
        <v>-0.25091550000000001</v>
      </c>
      <c r="T1434">
        <v>-0.15562879999999901</v>
      </c>
      <c r="U1434">
        <v>-3.0170590000000002</v>
      </c>
      <c r="V1434">
        <v>0.17738870000000001</v>
      </c>
      <c r="W1434">
        <v>5.5993170000000002E-2</v>
      </c>
      <c r="X1434">
        <v>0.9825467</v>
      </c>
      <c r="Y1434">
        <v>0.27362110000000001</v>
      </c>
      <c r="Z1434">
        <v>4.8989709999999999E-2</v>
      </c>
      <c r="AA1434">
        <v>0.96058920000000003</v>
      </c>
      <c r="AB1434">
        <v>20</v>
      </c>
      <c r="AC1434">
        <v>-1.8100999999999701</v>
      </c>
      <c r="AD1434">
        <v>-1.10562995271</v>
      </c>
      <c r="AE1434">
        <v>-21.2516</v>
      </c>
      <c r="AF1434">
        <v>5.8633654496196002</v>
      </c>
      <c r="AG1434">
        <v>-1.10562995271</v>
      </c>
      <c r="AH1434">
        <v>20.447319980223501</v>
      </c>
      <c r="AI1434">
        <v>92.975404067184897</v>
      </c>
      <c r="AJ1434">
        <v>73.999505992538005</v>
      </c>
      <c r="AK1434">
        <v>21.3001024965086</v>
      </c>
      <c r="AL1434">
        <v>86.790148917999701</v>
      </c>
      <c r="AM1434">
        <v>79.766076249497701</v>
      </c>
      <c r="AN1434">
        <v>1.0000000018276101</v>
      </c>
    </row>
    <row r="1435" spans="1:40" x14ac:dyDescent="0.25">
      <c r="A1435" t="str">
        <f>"20190312154823347"</f>
        <v>20190312154823347</v>
      </c>
      <c r="B1435" t="str">
        <f>"1552376903336823"</f>
        <v>1552376903336823</v>
      </c>
      <c r="C1435" t="s">
        <v>40</v>
      </c>
      <c r="D1435">
        <v>4.9807480000000002</v>
      </c>
      <c r="E1435">
        <v>0.53786750000000005</v>
      </c>
      <c r="F1435" t="s">
        <v>42</v>
      </c>
      <c r="G1435">
        <v>-194.88300000000001</v>
      </c>
      <c r="H1435" s="1">
        <v>-1.69780999999999E-6</v>
      </c>
      <c r="I1435">
        <v>330.51819999999998</v>
      </c>
      <c r="J1435">
        <v>-193.19409999999999</v>
      </c>
      <c r="K1435">
        <v>1.1057049999999999</v>
      </c>
      <c r="L1435">
        <v>349.94529999999997</v>
      </c>
      <c r="M1435">
        <v>0.18380379999999999</v>
      </c>
      <c r="N1435">
        <v>0</v>
      </c>
      <c r="O1435">
        <v>-0.98287429999999998</v>
      </c>
      <c r="P1435">
        <v>9.0337679999999993E-3</v>
      </c>
      <c r="Q1435">
        <v>4.3404110000000003E-2</v>
      </c>
      <c r="R1435">
        <v>-0.99901689999999999</v>
      </c>
      <c r="S1435">
        <v>-0.25422670000000003</v>
      </c>
      <c r="T1435">
        <v>-0.1696626</v>
      </c>
      <c r="U1435">
        <v>-3.0151669999999999</v>
      </c>
      <c r="V1435">
        <v>0.1753432</v>
      </c>
      <c r="W1435">
        <v>5.4547720000000001E-2</v>
      </c>
      <c r="X1435">
        <v>0.98299510000000001</v>
      </c>
      <c r="Y1435">
        <v>0.26562780000000003</v>
      </c>
      <c r="Z1435">
        <v>5.3637530000000003E-2</v>
      </c>
      <c r="AA1435">
        <v>0.96258239999999995</v>
      </c>
      <c r="AB1435">
        <v>20</v>
      </c>
      <c r="AC1435">
        <v>-1.6888999999999801</v>
      </c>
      <c r="AD1435">
        <v>-1.1057066978100001</v>
      </c>
      <c r="AE1435">
        <v>-19.427099999999999</v>
      </c>
      <c r="AF1435">
        <v>5.2144421249137203</v>
      </c>
      <c r="AG1435">
        <v>-1.1057066978100001</v>
      </c>
      <c r="AH1435">
        <v>18.725404086483501</v>
      </c>
      <c r="AI1435">
        <v>93.255711466936603</v>
      </c>
      <c r="AJ1435">
        <v>74.439135303812705</v>
      </c>
      <c r="AK1435">
        <v>19.469302816941099</v>
      </c>
      <c r="AL1435">
        <v>86.873093982936197</v>
      </c>
      <c r="AM1435">
        <v>79.886153596502695</v>
      </c>
      <c r="AN1435">
        <v>1.0000000290837201</v>
      </c>
    </row>
    <row r="1436" spans="1:40" x14ac:dyDescent="0.25">
      <c r="A1436" t="str">
        <f>"20190312154823369"</f>
        <v>20190312154823369</v>
      </c>
      <c r="B1436" t="str">
        <f>"1552376903357320"</f>
        <v>1552376903357320</v>
      </c>
      <c r="C1436" t="s">
        <v>40</v>
      </c>
      <c r="D1436">
        <v>5.0122549999999997</v>
      </c>
      <c r="E1436">
        <v>0.53667690000000001</v>
      </c>
      <c r="F1436" t="s">
        <v>42</v>
      </c>
      <c r="G1436">
        <v>-194.83170000000001</v>
      </c>
      <c r="H1436" s="1">
        <v>-2.045457E-6</v>
      </c>
      <c r="I1436">
        <v>331.36040000000003</v>
      </c>
      <c r="J1436">
        <v>-193.16720000000001</v>
      </c>
      <c r="K1436">
        <v>1.1057760000000001</v>
      </c>
      <c r="L1436">
        <v>349.74849999999998</v>
      </c>
      <c r="M1436">
        <v>0.1757648</v>
      </c>
      <c r="N1436">
        <v>0</v>
      </c>
      <c r="O1436">
        <v>-0.98434639999999995</v>
      </c>
      <c r="P1436">
        <v>2.8528519999999999E-3</v>
      </c>
      <c r="Q1436">
        <v>4.2327299999999998E-2</v>
      </c>
      <c r="R1436">
        <v>-0.99909999999999999</v>
      </c>
      <c r="S1436">
        <v>-0.26550289999999999</v>
      </c>
      <c r="T1436">
        <v>-0.17926839999999999</v>
      </c>
      <c r="U1436">
        <v>-3.0131839999999999</v>
      </c>
      <c r="V1436">
        <v>0.17337089999999999</v>
      </c>
      <c r="W1436">
        <v>5.3344969999999999E-2</v>
      </c>
      <c r="X1436">
        <v>0.98341080000000003</v>
      </c>
      <c r="Y1436">
        <v>0.2613587</v>
      </c>
      <c r="Z1436">
        <v>5.685747E-2</v>
      </c>
      <c r="AA1436">
        <v>0.96356569999999997</v>
      </c>
      <c r="AB1436">
        <v>20</v>
      </c>
      <c r="AC1436">
        <v>-1.6645000000000001</v>
      </c>
      <c r="AD1436">
        <v>-1.1057780454570001</v>
      </c>
      <c r="AE1436">
        <v>-18.388099999999898</v>
      </c>
      <c r="AF1436">
        <v>4.8534279462689103</v>
      </c>
      <c r="AG1436">
        <v>-1.1057780454570001</v>
      </c>
      <c r="AH1436">
        <v>17.7455522250402</v>
      </c>
      <c r="AI1436">
        <v>93.439651968976094</v>
      </c>
      <c r="AJ1436">
        <v>74.7036221817513</v>
      </c>
      <c r="AK1436">
        <v>18.430494613196501</v>
      </c>
      <c r="AL1436">
        <v>86.942106822371201</v>
      </c>
      <c r="AM1436">
        <v>80.001749258640601</v>
      </c>
      <c r="AN1436">
        <v>0.99999997817387498</v>
      </c>
    </row>
    <row r="1437" spans="1:40" x14ac:dyDescent="0.25">
      <c r="A1437" t="str">
        <f>"20190312154823389"</f>
        <v>20190312154823389</v>
      </c>
      <c r="B1437" t="str">
        <f>"1552376903387576"</f>
        <v>1552376903387576</v>
      </c>
      <c r="C1437" t="s">
        <v>40</v>
      </c>
      <c r="D1437">
        <v>5.0088839999999903</v>
      </c>
      <c r="E1437">
        <v>0.53482929999999995</v>
      </c>
      <c r="F1437" t="s">
        <v>42</v>
      </c>
      <c r="G1437">
        <v>-194.8021</v>
      </c>
      <c r="H1437" s="1">
        <v>-2.242197E-6</v>
      </c>
      <c r="I1437">
        <v>331.8374</v>
      </c>
      <c r="J1437">
        <v>-193.1429</v>
      </c>
      <c r="K1437">
        <v>1.1058319999999999</v>
      </c>
      <c r="L1437">
        <v>349.5607</v>
      </c>
      <c r="M1437">
        <v>0.16821179999999999</v>
      </c>
      <c r="N1437">
        <v>0</v>
      </c>
      <c r="O1437">
        <v>-0.98566750000000003</v>
      </c>
      <c r="P1437">
        <v>-3.0099049999999998E-3</v>
      </c>
      <c r="Q1437">
        <v>4.2291160000000001E-2</v>
      </c>
      <c r="R1437">
        <v>-0.99910069999999995</v>
      </c>
      <c r="S1437">
        <v>-0.27485660000000001</v>
      </c>
      <c r="T1437">
        <v>-0.1859094</v>
      </c>
      <c r="U1437">
        <v>-3.0113219999999998</v>
      </c>
      <c r="V1437">
        <v>0.17158699999999999</v>
      </c>
      <c r="W1437">
        <v>5.3176889999999997E-2</v>
      </c>
      <c r="X1437">
        <v>0.98373279999999996</v>
      </c>
      <c r="Y1437">
        <v>0.25696360000000001</v>
      </c>
      <c r="Z1437">
        <v>5.9142210000000001E-2</v>
      </c>
      <c r="AA1437">
        <v>0.96460970000000001</v>
      </c>
      <c r="AB1437">
        <v>20</v>
      </c>
      <c r="AC1437">
        <v>-1.65919999999999</v>
      </c>
      <c r="AD1437">
        <v>-1.105834242197</v>
      </c>
      <c r="AE1437">
        <v>-17.723299999999899</v>
      </c>
      <c r="AF1437">
        <v>4.5993173317065201</v>
      </c>
      <c r="AG1437">
        <v>-1.105834242197</v>
      </c>
      <c r="AH1437">
        <v>17.1255053761796</v>
      </c>
      <c r="AI1437">
        <v>93.568486247543305</v>
      </c>
      <c r="AJ1437">
        <v>74.967066758669802</v>
      </c>
      <c r="AK1437">
        <v>17.766809608888899</v>
      </c>
      <c r="AL1437">
        <v>86.951751007766404</v>
      </c>
      <c r="AM1437">
        <v>80.105757277060505</v>
      </c>
      <c r="AN1437">
        <v>1.00000005099745</v>
      </c>
    </row>
    <row r="1438" spans="1:40" x14ac:dyDescent="0.25">
      <c r="A1438" t="str">
        <f>"20190312154823411"</f>
        <v>20190312154823411</v>
      </c>
      <c r="B1438" t="str">
        <f>"1552376903407096"</f>
        <v>1552376903407096</v>
      </c>
      <c r="C1438" t="s">
        <v>40</v>
      </c>
      <c r="D1438">
        <v>5.0222059999999997</v>
      </c>
      <c r="E1438">
        <v>0.53349049999999998</v>
      </c>
      <c r="F1438" t="s">
        <v>42</v>
      </c>
      <c r="G1438">
        <v>-194.74369999999999</v>
      </c>
      <c r="H1438" s="1">
        <v>-2.388498E-6</v>
      </c>
      <c r="I1438">
        <v>332.21460000000002</v>
      </c>
      <c r="J1438">
        <v>-193.11859999999999</v>
      </c>
      <c r="K1438">
        <v>1.1058749999999999</v>
      </c>
      <c r="L1438">
        <v>349.36270000000002</v>
      </c>
      <c r="M1438">
        <v>0.16037599999999999</v>
      </c>
      <c r="N1438">
        <v>0</v>
      </c>
      <c r="O1438">
        <v>-0.98697539999999995</v>
      </c>
      <c r="P1438">
        <v>-8.7706079999999992E-3</v>
      </c>
      <c r="Q1438">
        <v>4.2578739999999997E-2</v>
      </c>
      <c r="R1438">
        <v>-0.99905469999999996</v>
      </c>
      <c r="S1438">
        <v>-0.27778629999999999</v>
      </c>
      <c r="T1438">
        <v>-0.191888</v>
      </c>
      <c r="U1438">
        <v>-3.0099490000000002</v>
      </c>
      <c r="V1438">
        <v>0.16943239999999901</v>
      </c>
      <c r="W1438">
        <v>5.3307350000000003E-2</v>
      </c>
      <c r="X1438">
        <v>0.9840991</v>
      </c>
      <c r="Y1438">
        <v>0.2502393</v>
      </c>
      <c r="Z1438">
        <v>6.1242190000000002E-2</v>
      </c>
      <c r="AA1438">
        <v>0.96624520000000003</v>
      </c>
      <c r="AB1438">
        <v>20</v>
      </c>
      <c r="AC1438">
        <v>-1.6251</v>
      </c>
      <c r="AD1438">
        <v>-1.105877388498</v>
      </c>
      <c r="AE1438">
        <v>-17.148099999999999</v>
      </c>
      <c r="AF1438">
        <v>4.3365489312943497</v>
      </c>
      <c r="AG1438">
        <v>-1.105877388498</v>
      </c>
      <c r="AH1438">
        <v>16.597040024333499</v>
      </c>
      <c r="AI1438">
        <v>93.688569596632405</v>
      </c>
      <c r="AJ1438">
        <v>75.356870265823702</v>
      </c>
      <c r="AK1438">
        <v>17.189833012604598</v>
      </c>
      <c r="AL1438">
        <v>86.944265504690904</v>
      </c>
      <c r="AM1438">
        <v>80.231155318236304</v>
      </c>
      <c r="AN1438">
        <v>1.00000002517729</v>
      </c>
    </row>
    <row r="1439" spans="1:40" x14ac:dyDescent="0.25">
      <c r="A1439" t="str">
        <f>"20190312154823434"</f>
        <v>20190312154823434</v>
      </c>
      <c r="B1439" t="str">
        <f>"1552376903427591"</f>
        <v>1552376903427591</v>
      </c>
      <c r="C1439" t="s">
        <v>40</v>
      </c>
      <c r="D1439">
        <v>5.0787329999999997</v>
      </c>
      <c r="E1439">
        <v>0.5328138</v>
      </c>
      <c r="F1439" t="s">
        <v>42</v>
      </c>
      <c r="G1439">
        <v>-194.73310000000001</v>
      </c>
      <c r="H1439" s="1">
        <v>-2.4102860000000001E-6</v>
      </c>
      <c r="I1439">
        <v>332.27199999999999</v>
      </c>
      <c r="J1439">
        <v>-193.096</v>
      </c>
      <c r="K1439">
        <v>1.1058939999999999</v>
      </c>
      <c r="L1439">
        <v>349.1669</v>
      </c>
      <c r="M1439">
        <v>0.15275339999999901</v>
      </c>
      <c r="N1439">
        <v>0</v>
      </c>
      <c r="O1439">
        <v>-0.98818709999999998</v>
      </c>
      <c r="P1439">
        <v>-1.3933030000000001E-2</v>
      </c>
      <c r="Q1439">
        <v>4.2548559999999999E-2</v>
      </c>
      <c r="R1439">
        <v>-0.99899740000000004</v>
      </c>
      <c r="S1439">
        <v>-0.28421020000000002</v>
      </c>
      <c r="T1439">
        <v>-0.19467760000000001</v>
      </c>
      <c r="U1439">
        <v>-3.0086360000000001</v>
      </c>
      <c r="V1439">
        <v>0.16691020000000001</v>
      </c>
      <c r="W1439">
        <v>5.3088320000000001E-2</v>
      </c>
      <c r="X1439">
        <v>0.98454180000000002</v>
      </c>
      <c r="Y1439">
        <v>0.24484049999999999</v>
      </c>
      <c r="Z1439">
        <v>6.2311140000000001E-2</v>
      </c>
      <c r="AA1439">
        <v>0.96755899999999995</v>
      </c>
      <c r="AB1439">
        <v>20</v>
      </c>
      <c r="AC1439">
        <v>-1.63710000000003</v>
      </c>
      <c r="AD1439">
        <v>-1.1058964102860001</v>
      </c>
      <c r="AE1439">
        <v>-16.8949</v>
      </c>
      <c r="AF1439">
        <v>4.1810870698948204</v>
      </c>
      <c r="AG1439">
        <v>-1.1058964102860001</v>
      </c>
      <c r="AH1439">
        <v>16.376987703181399</v>
      </c>
      <c r="AI1439">
        <v>93.743459133720094</v>
      </c>
      <c r="AJ1439">
        <v>75.678171728746904</v>
      </c>
      <c r="AK1439">
        <v>16.938424430462199</v>
      </c>
      <c r="AL1439">
        <v>86.956832627098805</v>
      </c>
      <c r="AM1439">
        <v>80.378082466013097</v>
      </c>
      <c r="AN1439">
        <v>0.99999997026584997</v>
      </c>
    </row>
    <row r="1440" spans="1:40" x14ac:dyDescent="0.25">
      <c r="A1440" t="str">
        <f>"20190312154823455"</f>
        <v>20190312154823455</v>
      </c>
      <c r="B1440" t="str">
        <f>"1552376903447112"</f>
        <v>1552376903447112</v>
      </c>
      <c r="C1440" t="s">
        <v>40</v>
      </c>
      <c r="D1440">
        <v>5.1747779999999999</v>
      </c>
      <c r="E1440">
        <v>0.51080420000000004</v>
      </c>
      <c r="F1440" t="s">
        <v>42</v>
      </c>
      <c r="G1440">
        <v>-194.75219999999999</v>
      </c>
      <c r="H1440" s="1">
        <v>-2.3902290000000002E-6</v>
      </c>
      <c r="I1440">
        <v>332.21339999999998</v>
      </c>
      <c r="J1440">
        <v>-193.07499999999999</v>
      </c>
      <c r="K1440">
        <v>1.105904</v>
      </c>
      <c r="L1440">
        <v>348.97340000000003</v>
      </c>
      <c r="M1440">
        <v>0.1453631</v>
      </c>
      <c r="N1440">
        <v>0</v>
      </c>
      <c r="O1440">
        <v>-0.98930450000000003</v>
      </c>
      <c r="P1440">
        <v>-1.7720920000000001E-2</v>
      </c>
      <c r="Q1440">
        <v>4.1688169999999997E-2</v>
      </c>
      <c r="R1440">
        <v>-0.99897380000000002</v>
      </c>
      <c r="S1440">
        <v>-0.29377750000000002</v>
      </c>
      <c r="T1440">
        <v>-0.19616729999999999</v>
      </c>
      <c r="U1440">
        <v>-3.007263</v>
      </c>
      <c r="V1440">
        <v>0.16326860000000001</v>
      </c>
      <c r="W1440">
        <v>5.2026919999999997E-2</v>
      </c>
      <c r="X1440">
        <v>0.98520890000000005</v>
      </c>
      <c r="Y1440">
        <v>0.24067930000000001</v>
      </c>
      <c r="Z1440">
        <v>6.2947489999999995E-2</v>
      </c>
      <c r="AA1440">
        <v>0.96856140000000002</v>
      </c>
      <c r="AB1440">
        <v>20</v>
      </c>
      <c r="AC1440">
        <v>-1.67719999999999</v>
      </c>
      <c r="AD1440">
        <v>-1.1059063902290001</v>
      </c>
      <c r="AE1440">
        <v>-16.760000000000002</v>
      </c>
      <c r="AF1440">
        <v>4.0782657090515002</v>
      </c>
      <c r="AG1440">
        <v>-1.1059063902290001</v>
      </c>
      <c r="AH1440">
        <v>16.268005936621201</v>
      </c>
      <c r="AI1440">
        <v>93.772620323117394</v>
      </c>
      <c r="AJ1440">
        <v>75.926423791471294</v>
      </c>
      <c r="AK1440">
        <v>16.807834402192299</v>
      </c>
      <c r="AL1440">
        <v>87.017730647437801</v>
      </c>
      <c r="AM1440">
        <v>80.590472328878604</v>
      </c>
      <c r="AN1440">
        <v>1.0000000063949199</v>
      </c>
    </row>
    <row r="1441" spans="1:40" x14ac:dyDescent="0.25">
      <c r="A1441" t="str">
        <f>"20190312154823478"</f>
        <v>20190312154823478</v>
      </c>
      <c r="B1441" t="str">
        <f>"1552376903467608"</f>
        <v>1552376903467608</v>
      </c>
      <c r="C1441" t="s">
        <v>40</v>
      </c>
      <c r="D1441">
        <v>5.0651349999999997</v>
      </c>
      <c r="E1441">
        <v>0.5106058</v>
      </c>
      <c r="F1441" t="s">
        <v>42</v>
      </c>
      <c r="G1441">
        <v>-193.67920000000001</v>
      </c>
      <c r="H1441" s="1">
        <v>-3.2174389999999999E-6</v>
      </c>
      <c r="I1441">
        <v>334.80709999999999</v>
      </c>
      <c r="J1441">
        <v>-193.05410000000001</v>
      </c>
      <c r="K1441">
        <v>1.105925</v>
      </c>
      <c r="L1441">
        <v>348.76870000000002</v>
      </c>
      <c r="M1441">
        <v>0.13770350000000001</v>
      </c>
      <c r="N1441">
        <v>0</v>
      </c>
      <c r="O1441">
        <v>-0.99040329999999999</v>
      </c>
      <c r="P1441">
        <v>-2.0380120000000002E-2</v>
      </c>
      <c r="Q1441">
        <v>4.0800240000000002E-2</v>
      </c>
      <c r="R1441">
        <v>-0.99895929999999999</v>
      </c>
      <c r="S1441">
        <v>-0.12840270000000001</v>
      </c>
      <c r="T1441">
        <v>-0.23502960000000001</v>
      </c>
      <c r="U1441">
        <v>-3.0106510000000002</v>
      </c>
      <c r="V1441">
        <v>0.1582472</v>
      </c>
      <c r="W1441">
        <v>5.0932119999999997E-2</v>
      </c>
      <c r="X1441">
        <v>0.98608510000000005</v>
      </c>
      <c r="Y1441">
        <v>0.17966480000000001</v>
      </c>
      <c r="Z1441">
        <v>7.6049050000000007E-2</v>
      </c>
      <c r="AA1441">
        <v>0.98078390000000004</v>
      </c>
      <c r="AB1441">
        <v>20</v>
      </c>
      <c r="AC1441">
        <v>-0.62510000000000299</v>
      </c>
      <c r="AD1441">
        <v>-1.1059282174389999</v>
      </c>
      <c r="AE1441">
        <v>-13.961600000000001</v>
      </c>
      <c r="AF1441">
        <v>2.52602104537891</v>
      </c>
      <c r="AG1441">
        <v>-1.1059282174389999</v>
      </c>
      <c r="AH1441">
        <v>13.656971634297999</v>
      </c>
      <c r="AI1441">
        <v>94.552764678939099</v>
      </c>
      <c r="AJ1441">
        <v>79.520886013272005</v>
      </c>
      <c r="AK1441">
        <v>13.9325781449035</v>
      </c>
      <c r="AL1441">
        <v>87.080541453968195</v>
      </c>
      <c r="AM1441">
        <v>80.882894685212705</v>
      </c>
      <c r="AN1441">
        <v>1.0000000407987699</v>
      </c>
    </row>
    <row r="1442" spans="1:40" x14ac:dyDescent="0.25">
      <c r="A1442" t="str">
        <f>"20190312154823499"</f>
        <v>20190312154823499</v>
      </c>
      <c r="B1442" t="str">
        <f>"1552376903496888"</f>
        <v>1552376903496888</v>
      </c>
      <c r="C1442" t="s">
        <v>40</v>
      </c>
      <c r="D1442">
        <v>5.0925379999999896</v>
      </c>
      <c r="E1442">
        <v>0.5101116</v>
      </c>
      <c r="F1442" t="s">
        <v>42</v>
      </c>
      <c r="G1442">
        <v>-193.67179999999999</v>
      </c>
      <c r="H1442" s="1">
        <v>-3.301588E-6</v>
      </c>
      <c r="I1442">
        <v>335.00779999999997</v>
      </c>
      <c r="J1442">
        <v>-193.036</v>
      </c>
      <c r="K1442">
        <v>1.1059559999999999</v>
      </c>
      <c r="L1442">
        <v>348.57929999999999</v>
      </c>
      <c r="M1442">
        <v>0.1307817</v>
      </c>
      <c r="N1442">
        <v>0</v>
      </c>
      <c r="O1442">
        <v>-0.99134449999999996</v>
      </c>
      <c r="P1442">
        <v>-2.2651149999999998E-2</v>
      </c>
      <c r="Q1442">
        <v>3.89375E-2</v>
      </c>
      <c r="R1442">
        <v>-0.99898520000000002</v>
      </c>
      <c r="S1442">
        <v>-0.1351318</v>
      </c>
      <c r="T1442">
        <v>-0.24193129999999999</v>
      </c>
      <c r="U1442">
        <v>-3.0103149999999999</v>
      </c>
      <c r="V1442">
        <v>0.1535755</v>
      </c>
      <c r="W1442">
        <v>4.8884270000000001E-2</v>
      </c>
      <c r="X1442">
        <v>0.986927</v>
      </c>
      <c r="Y1442">
        <v>0.1749754</v>
      </c>
      <c r="Z1442">
        <v>7.8419500000000003E-2</v>
      </c>
      <c r="AA1442">
        <v>0.98144480000000001</v>
      </c>
      <c r="AB1442">
        <v>20</v>
      </c>
      <c r="AC1442">
        <v>-0.63580000000001702</v>
      </c>
      <c r="AD1442">
        <v>-1.105959301588</v>
      </c>
      <c r="AE1442">
        <v>-13.5715</v>
      </c>
      <c r="AF1442">
        <v>2.3895260160795999</v>
      </c>
      <c r="AG1442">
        <v>-1.105959301588</v>
      </c>
      <c r="AH1442">
        <v>13.283743036484401</v>
      </c>
      <c r="AI1442">
        <v>94.684432030183999</v>
      </c>
      <c r="AJ1442">
        <v>79.802492615180995</v>
      </c>
      <c r="AK1442">
        <v>13.5421862938611</v>
      </c>
      <c r="AL1442">
        <v>87.198020932631394</v>
      </c>
      <c r="AM1442">
        <v>81.155151657343097</v>
      </c>
      <c r="AN1442">
        <v>1.00000000469134</v>
      </c>
    </row>
    <row r="1443" spans="1:40" x14ac:dyDescent="0.25">
      <c r="A1443" t="str">
        <f>"20190312154823523"</f>
        <v>20190312154823523</v>
      </c>
      <c r="B1443" t="str">
        <f>"1552376903517384"</f>
        <v>1552376903517384</v>
      </c>
      <c r="C1443" t="s">
        <v>40</v>
      </c>
      <c r="D1443">
        <v>5.1099370000000004</v>
      </c>
      <c r="E1443">
        <v>0.50972879999999998</v>
      </c>
      <c r="F1443" t="s">
        <v>42</v>
      </c>
      <c r="G1443">
        <v>-193.6729</v>
      </c>
      <c r="H1443" s="1">
        <v>-3.1918070000000001E-6</v>
      </c>
      <c r="I1443">
        <v>334.75130000000001</v>
      </c>
      <c r="J1443">
        <v>-193.017</v>
      </c>
      <c r="K1443">
        <v>1.106023</v>
      </c>
      <c r="L1443">
        <v>348.36680000000001</v>
      </c>
      <c r="M1443">
        <v>0.1232384</v>
      </c>
      <c r="N1443">
        <v>0</v>
      </c>
      <c r="O1443">
        <v>-0.99231380000000002</v>
      </c>
      <c r="P1443">
        <v>-2.6727290000000001E-2</v>
      </c>
      <c r="Q1443">
        <v>3.748456E-2</v>
      </c>
      <c r="R1443">
        <v>-0.99893989999999999</v>
      </c>
      <c r="S1443">
        <v>-0.13859560000000001</v>
      </c>
      <c r="T1443">
        <v>-0.24068609999999999</v>
      </c>
      <c r="U1443">
        <v>-3.0093380000000001</v>
      </c>
      <c r="V1443">
        <v>0.15007000000000001</v>
      </c>
      <c r="W1443">
        <v>4.7219179999999999E-2</v>
      </c>
      <c r="X1443">
        <v>0.98754710000000001</v>
      </c>
      <c r="Y1443">
        <v>0.16862650000000001</v>
      </c>
      <c r="Z1443">
        <v>7.8201160000000006E-2</v>
      </c>
      <c r="AA1443">
        <v>0.98257300000000003</v>
      </c>
      <c r="AB1443">
        <v>20</v>
      </c>
      <c r="AC1443">
        <v>-0.65590000000000204</v>
      </c>
      <c r="AD1443">
        <v>-1.106026191807</v>
      </c>
      <c r="AE1443">
        <v>-13.6154999999999</v>
      </c>
      <c r="AF1443">
        <v>2.3137249296837901</v>
      </c>
      <c r="AG1443">
        <v>-1.106026191807</v>
      </c>
      <c r="AH1443">
        <v>13.3430163178566</v>
      </c>
      <c r="AI1443">
        <v>94.669152411148303</v>
      </c>
      <c r="AJ1443">
        <v>80.162536427804696</v>
      </c>
      <c r="AK1443">
        <v>13.587225671408801</v>
      </c>
      <c r="AL1443">
        <v>87.293533798031703</v>
      </c>
      <c r="AM1443">
        <v>81.359304659089901</v>
      </c>
      <c r="AN1443">
        <v>0.99999996528914004</v>
      </c>
    </row>
    <row r="1444" spans="1:40" x14ac:dyDescent="0.25">
      <c r="A1444" t="str">
        <f>"20190312154823549"</f>
        <v>20190312154823549</v>
      </c>
      <c r="B1444" t="str">
        <f>"1552376903536904"</f>
        <v>1552376903536904</v>
      </c>
      <c r="C1444" t="s">
        <v>40</v>
      </c>
      <c r="D1444">
        <v>5.0839480000000004</v>
      </c>
      <c r="E1444">
        <v>0.50930549999999997</v>
      </c>
      <c r="F1444" t="s">
        <v>42</v>
      </c>
      <c r="G1444">
        <v>-193.69880000000001</v>
      </c>
      <c r="H1444" s="1">
        <v>-3.0677139999999998E-6</v>
      </c>
      <c r="I1444">
        <v>334.44600000000003</v>
      </c>
      <c r="J1444">
        <v>-192.99789999999999</v>
      </c>
      <c r="K1444">
        <v>1.10615</v>
      </c>
      <c r="L1444">
        <v>348.13709999999998</v>
      </c>
      <c r="M1444">
        <v>0.1154352</v>
      </c>
      <c r="N1444">
        <v>0</v>
      </c>
      <c r="O1444">
        <v>-0.993255</v>
      </c>
      <c r="P1444">
        <v>-3.122662E-2</v>
      </c>
      <c r="Q1444">
        <v>3.6157370000000001E-2</v>
      </c>
      <c r="R1444">
        <v>-0.99885820000000003</v>
      </c>
      <c r="S1444">
        <v>-0.1473236</v>
      </c>
      <c r="T1444">
        <v>-0.2390053</v>
      </c>
      <c r="U1444">
        <v>-3.0082089999999999</v>
      </c>
      <c r="V1444">
        <v>0.14672579999999999</v>
      </c>
      <c r="W1444">
        <v>4.5689239999999999E-2</v>
      </c>
      <c r="X1444">
        <v>0.98812140000000004</v>
      </c>
      <c r="Y1444">
        <v>0.16374029999999901</v>
      </c>
      <c r="Z1444">
        <v>7.7826080000000006E-2</v>
      </c>
      <c r="AA1444">
        <v>0.98342879999999999</v>
      </c>
      <c r="AB1444">
        <v>20</v>
      </c>
      <c r="AC1444">
        <v>-0.70090000000001795</v>
      </c>
      <c r="AD1444">
        <v>-1.1061530677139999</v>
      </c>
      <c r="AE1444">
        <v>-13.6911</v>
      </c>
      <c r="AF1444">
        <v>2.26201606879608</v>
      </c>
      <c r="AG1444">
        <v>-1.1061530677139999</v>
      </c>
      <c r="AH1444">
        <v>13.431206450754701</v>
      </c>
      <c r="AI1444">
        <v>94.642986240654594</v>
      </c>
      <c r="AJ1444">
        <v>80.440243090356503</v>
      </c>
      <c r="AK1444">
        <v>13.665196596737999</v>
      </c>
      <c r="AL1444">
        <v>87.381287570115006</v>
      </c>
      <c r="AM1444">
        <v>81.553885582700403</v>
      </c>
      <c r="AN1444">
        <v>0.99999993408768595</v>
      </c>
    </row>
    <row r="1445" spans="1:40" x14ac:dyDescent="0.25">
      <c r="A1445" t="str">
        <f>"20190312154823569"</f>
        <v>20190312154823569</v>
      </c>
      <c r="B1445" t="str">
        <f>"1552376903557400"</f>
        <v>1552376903557400</v>
      </c>
      <c r="C1445" t="s">
        <v>40</v>
      </c>
      <c r="D1445">
        <v>5.2125029999999999</v>
      </c>
      <c r="E1445">
        <v>0.50845249999999997</v>
      </c>
      <c r="F1445" t="s">
        <v>41</v>
      </c>
      <c r="G1445">
        <v>-193.0445</v>
      </c>
      <c r="H1445">
        <v>1.0355319999999999</v>
      </c>
      <c r="I1445">
        <v>347.2448</v>
      </c>
      <c r="J1445">
        <v>-192.98320000000001</v>
      </c>
      <c r="K1445">
        <v>1.106282</v>
      </c>
      <c r="L1445">
        <v>347.94900000000001</v>
      </c>
      <c r="M1445">
        <v>0.1093478</v>
      </c>
      <c r="N1445">
        <v>0</v>
      </c>
      <c r="O1445">
        <v>-0.9939462</v>
      </c>
      <c r="P1445">
        <v>-3.3793379999999998E-2</v>
      </c>
      <c r="Q1445">
        <v>3.4278639999999999E-2</v>
      </c>
      <c r="R1445">
        <v>-0.99884099999999998</v>
      </c>
      <c r="S1445">
        <v>-0.15701289999999901</v>
      </c>
      <c r="T1445">
        <v>-0.23796610000000001</v>
      </c>
      <c r="U1445">
        <v>-3.0071720000000002</v>
      </c>
      <c r="V1445">
        <v>0.14318049999999999</v>
      </c>
      <c r="W1445">
        <v>4.3678990000000001E-2</v>
      </c>
      <c r="X1445">
        <v>0.98873230000000001</v>
      </c>
      <c r="Y1445">
        <v>0.16087389999999999</v>
      </c>
      <c r="Z1445">
        <v>7.761005E-2</v>
      </c>
      <c r="AA1445">
        <v>0.98391879999999998</v>
      </c>
      <c r="AB1445">
        <v>20</v>
      </c>
      <c r="AC1445">
        <v>-6.1299999999988503E-2</v>
      </c>
      <c r="AD1445">
        <v>-7.0749999999999993E-2</v>
      </c>
      <c r="AE1445">
        <v>-0.70420000000001404</v>
      </c>
      <c r="AF1445">
        <v>0.13657131069331299</v>
      </c>
      <c r="AG1445">
        <v>-7.0749999999999993E-2</v>
      </c>
      <c r="AH1445">
        <v>0.68639706813652801</v>
      </c>
      <c r="AI1445">
        <v>95.772580404998095</v>
      </c>
      <c r="AJ1445">
        <v>78.7469130523789</v>
      </c>
      <c r="AK1445">
        <v>0.70341895094666795</v>
      </c>
      <c r="AL1445">
        <v>87.496581851422903</v>
      </c>
      <c r="AM1445">
        <v>81.760151601750707</v>
      </c>
      <c r="AN1445">
        <v>1.0000000354054699</v>
      </c>
    </row>
    <row r="1446" spans="1:40" x14ac:dyDescent="0.25">
      <c r="A1446" t="str">
        <f>"20190312154823590"</f>
        <v>20190312154823590</v>
      </c>
      <c r="B1446" t="str">
        <f>"1552376903586679"</f>
        <v>1552376903586679</v>
      </c>
      <c r="C1446" t="s">
        <v>40</v>
      </c>
      <c r="D1446">
        <v>5.0973560000000004</v>
      </c>
      <c r="E1446">
        <v>0.50786229999999999</v>
      </c>
      <c r="F1446" t="s">
        <v>41</v>
      </c>
      <c r="G1446">
        <v>-193.02969999999999</v>
      </c>
      <c r="H1446">
        <v>1.0351250000000001</v>
      </c>
      <c r="I1446">
        <v>347.06509999999997</v>
      </c>
      <c r="J1446">
        <v>-192.96940000000001</v>
      </c>
      <c r="K1446">
        <v>1.1064160000000001</v>
      </c>
      <c r="L1446">
        <v>347.76089999999999</v>
      </c>
      <c r="M1446">
        <v>0.103519</v>
      </c>
      <c r="N1446">
        <v>0</v>
      </c>
      <c r="O1446">
        <v>-0.99457229999999996</v>
      </c>
      <c r="P1446">
        <v>-3.6820800000000001E-2</v>
      </c>
      <c r="Q1446">
        <v>3.214678E-2</v>
      </c>
      <c r="R1446">
        <v>-0.99880460000000004</v>
      </c>
      <c r="S1446">
        <v>-0.1579285</v>
      </c>
      <c r="T1446">
        <v>-0.2421305</v>
      </c>
      <c r="U1446">
        <v>-3.0064389999999999</v>
      </c>
      <c r="V1446">
        <v>0.14035159999999999</v>
      </c>
      <c r="W1446">
        <v>4.142274E-2</v>
      </c>
      <c r="X1446">
        <v>0.98923490000000003</v>
      </c>
      <c r="Y1446">
        <v>0.1553909</v>
      </c>
      <c r="Z1446">
        <v>7.9088399999999906E-2</v>
      </c>
      <c r="AA1446">
        <v>0.98468199999999995</v>
      </c>
      <c r="AB1446">
        <v>20</v>
      </c>
      <c r="AC1446">
        <v>-6.0299999999983797E-2</v>
      </c>
      <c r="AD1446">
        <v>-7.1290999999999993E-2</v>
      </c>
      <c r="AE1446">
        <v>-0.69580000000001896</v>
      </c>
      <c r="AF1446">
        <v>0.130647183233915</v>
      </c>
      <c r="AG1446">
        <v>-7.1290999999999993E-2</v>
      </c>
      <c r="AH1446">
        <v>0.67874658106999997</v>
      </c>
      <c r="AI1446">
        <v>95.888666530372703</v>
      </c>
      <c r="AJ1446">
        <v>79.104786673275498</v>
      </c>
      <c r="AK1446">
        <v>0.69487266062363595</v>
      </c>
      <c r="AL1446">
        <v>87.625972703517306</v>
      </c>
      <c r="AM1446">
        <v>81.924831053911205</v>
      </c>
      <c r="AN1446">
        <v>1.0000000511948299</v>
      </c>
    </row>
    <row r="1447" spans="1:40" x14ac:dyDescent="0.25">
      <c r="A1447" t="str">
        <f>"20190312154823613"</f>
        <v>20190312154823613</v>
      </c>
      <c r="B1447" t="str">
        <f>"1552376903607176"</f>
        <v>1552376903607176</v>
      </c>
      <c r="C1447" t="s">
        <v>40</v>
      </c>
      <c r="D1447">
        <v>5.0850150000000003</v>
      </c>
      <c r="E1447">
        <v>0.50743930000000004</v>
      </c>
      <c r="F1447" t="s">
        <v>41</v>
      </c>
      <c r="G1447">
        <v>-193.017</v>
      </c>
      <c r="H1447">
        <v>1.035614</v>
      </c>
      <c r="I1447">
        <v>346.88350000000003</v>
      </c>
      <c r="J1447">
        <v>-192.9546</v>
      </c>
      <c r="K1447">
        <v>1.1065739999999999</v>
      </c>
      <c r="L1447">
        <v>347.54610000000002</v>
      </c>
      <c r="M1447">
        <v>9.7226080000000006E-2</v>
      </c>
      <c r="N1447">
        <v>0</v>
      </c>
      <c r="O1447">
        <v>-0.99520929999999996</v>
      </c>
      <c r="P1447">
        <v>-4.0451880000000003E-2</v>
      </c>
      <c r="Q1447">
        <v>3.0335580000000001E-2</v>
      </c>
      <c r="R1447">
        <v>-0.99872079999999996</v>
      </c>
      <c r="S1447">
        <v>-0.16226199999999999</v>
      </c>
      <c r="T1447">
        <v>-0.24250340000000001</v>
      </c>
      <c r="U1447">
        <v>-3.0053709999999998</v>
      </c>
      <c r="V1447">
        <v>0.13766139999999999</v>
      </c>
      <c r="W1447">
        <v>3.94855E-2</v>
      </c>
      <c r="X1447">
        <v>0.98969200000000002</v>
      </c>
      <c r="Y1447">
        <v>0.15057390000000001</v>
      </c>
      <c r="Z1447">
        <v>7.9340850000000004E-2</v>
      </c>
      <c r="AA1447">
        <v>0.9854098</v>
      </c>
      <c r="AB1447">
        <v>20</v>
      </c>
      <c r="AC1447">
        <v>-6.2399999999996597E-2</v>
      </c>
      <c r="AD1447">
        <v>-7.0959999999999898E-2</v>
      </c>
      <c r="AE1447">
        <v>-0.66259999999999697</v>
      </c>
      <c r="AF1447">
        <v>0.12510749767559201</v>
      </c>
      <c r="AG1447">
        <v>-7.0959999999999898E-2</v>
      </c>
      <c r="AH1447">
        <v>0.64604887677065503</v>
      </c>
      <c r="AI1447">
        <v>96.154628039275494</v>
      </c>
      <c r="AJ1447">
        <v>79.040314352456093</v>
      </c>
      <c r="AK1447">
        <v>0.66186581627341501</v>
      </c>
      <c r="AL1447">
        <v>87.737059234476405</v>
      </c>
      <c r="AM1447">
        <v>82.081240955042304</v>
      </c>
      <c r="AN1447">
        <v>1.0000000103121001</v>
      </c>
    </row>
    <row r="1448" spans="1:40" x14ac:dyDescent="0.25">
      <c r="A1448" t="str">
        <f>"20190312154823636"</f>
        <v>20190312154823636</v>
      </c>
      <c r="B1448" t="str">
        <f>"1552376903627671"</f>
        <v>1552376903627671</v>
      </c>
      <c r="C1448" t="s">
        <v>40</v>
      </c>
      <c r="D1448">
        <v>5.0773669999999997</v>
      </c>
      <c r="E1448">
        <v>0.50693390000000005</v>
      </c>
      <c r="F1448" t="s">
        <v>41</v>
      </c>
      <c r="G1448">
        <v>-193.00229999999999</v>
      </c>
      <c r="H1448">
        <v>1.0380199999999999</v>
      </c>
      <c r="I1448">
        <v>346.7004</v>
      </c>
      <c r="J1448">
        <v>-192.94110000000001</v>
      </c>
      <c r="K1448">
        <v>1.1067480000000001</v>
      </c>
      <c r="L1448">
        <v>347.33819999999997</v>
      </c>
      <c r="M1448">
        <v>9.1544169999999994E-2</v>
      </c>
      <c r="N1448">
        <v>0</v>
      </c>
      <c r="O1448">
        <v>-0.99575009999999997</v>
      </c>
      <c r="P1448">
        <v>-4.3960440000000003E-2</v>
      </c>
      <c r="Q1448">
        <v>2.773465E-2</v>
      </c>
      <c r="R1448">
        <v>-0.99864819999999999</v>
      </c>
      <c r="S1448">
        <v>-0.16929629999999901</v>
      </c>
      <c r="T1448">
        <v>-0.24357190000000001</v>
      </c>
      <c r="U1448">
        <v>-3.0043950000000001</v>
      </c>
      <c r="V1448">
        <v>0.13545750000000001</v>
      </c>
      <c r="W1448">
        <v>3.6783330000000003E-2</v>
      </c>
      <c r="X1448">
        <v>0.99010010000000004</v>
      </c>
      <c r="Y1448">
        <v>0.14724599999999999</v>
      </c>
      <c r="Z1448">
        <v>7.9794229999999994E-2</v>
      </c>
      <c r="AA1448">
        <v>0.98587599999999997</v>
      </c>
      <c r="AB1448">
        <v>20</v>
      </c>
      <c r="AC1448">
        <v>-6.1199999999985197E-2</v>
      </c>
      <c r="AD1448">
        <v>-6.87279999999999E-2</v>
      </c>
      <c r="AE1448">
        <v>-0.63779999999996995</v>
      </c>
      <c r="AF1448">
        <v>0.117975423008361</v>
      </c>
      <c r="AG1448">
        <v>-6.87279999999999E-2</v>
      </c>
      <c r="AH1448">
        <v>0.622358082202777</v>
      </c>
      <c r="AI1448">
        <v>96.192335204359097</v>
      </c>
      <c r="AJ1448">
        <v>79.266257780019899</v>
      </c>
      <c r="AK1448">
        <v>0.63715878782381996</v>
      </c>
      <c r="AL1448">
        <v>87.891994845635793</v>
      </c>
      <c r="AM1448">
        <v>82.209619380381994</v>
      </c>
      <c r="AN1448">
        <v>0.99999997784607397</v>
      </c>
    </row>
    <row r="1449" spans="1:40" x14ac:dyDescent="0.25">
      <c r="A1449" t="str">
        <f>"20190312154823657"</f>
        <v>20190312154823657</v>
      </c>
      <c r="B1449" t="str">
        <f>"1552376903647192"</f>
        <v>1552376903647192</v>
      </c>
      <c r="C1449" t="s">
        <v>40</v>
      </c>
      <c r="D1449">
        <v>5.0804429999999998</v>
      </c>
      <c r="E1449">
        <v>0.50639609999999902</v>
      </c>
      <c r="F1449" t="s">
        <v>41</v>
      </c>
      <c r="G1449">
        <v>-192.98929999999999</v>
      </c>
      <c r="H1449">
        <v>1.038918</v>
      </c>
      <c r="I1449">
        <v>346.51769999999999</v>
      </c>
      <c r="J1449">
        <v>-192.929</v>
      </c>
      <c r="K1449">
        <v>1.106943</v>
      </c>
      <c r="L1449">
        <v>347.1404</v>
      </c>
      <c r="M1449">
        <v>8.6553060000000001E-2</v>
      </c>
      <c r="N1449">
        <v>0</v>
      </c>
      <c r="O1449">
        <v>-0.99619780000000002</v>
      </c>
      <c r="P1449">
        <v>-4.590052E-2</v>
      </c>
      <c r="Q1449">
        <v>2.617916E-2</v>
      </c>
      <c r="R1449">
        <v>-0.99860280000000001</v>
      </c>
      <c r="S1449">
        <v>-0.17567439999999901</v>
      </c>
      <c r="T1449">
        <v>-0.24824679999999999</v>
      </c>
      <c r="U1449">
        <v>-3.0032350000000001</v>
      </c>
      <c r="V1449">
        <v>0.13239129999999999</v>
      </c>
      <c r="W1449">
        <v>3.5171229999999998E-2</v>
      </c>
      <c r="X1449">
        <v>0.99057329999999999</v>
      </c>
      <c r="Y1449">
        <v>0.14438960000000001</v>
      </c>
      <c r="Z1449">
        <v>8.1414109999999998E-2</v>
      </c>
      <c r="AA1449">
        <v>0.98616599999999999</v>
      </c>
      <c r="AB1449">
        <v>20</v>
      </c>
      <c r="AC1449">
        <v>-6.0299999999983797E-2</v>
      </c>
      <c r="AD1449">
        <v>-6.8025000000000002E-2</v>
      </c>
      <c r="AE1449">
        <v>-0.62270000000000802</v>
      </c>
      <c r="AF1449">
        <v>0.11264118071721101</v>
      </c>
      <c r="AG1449">
        <v>-6.8025000000000002E-2</v>
      </c>
      <c r="AH1449">
        <v>0.60795569092012003</v>
      </c>
      <c r="AI1449">
        <v>96.278370574288004</v>
      </c>
      <c r="AJ1449">
        <v>79.503348130943095</v>
      </c>
      <c r="AK1449">
        <v>0.62203340612906699</v>
      </c>
      <c r="AL1449">
        <v>87.984421198519001</v>
      </c>
      <c r="AM1449">
        <v>82.387463661008397</v>
      </c>
      <c r="AN1449">
        <v>0.99999996720414597</v>
      </c>
    </row>
    <row r="1450" spans="1:40" x14ac:dyDescent="0.25">
      <c r="A1450" t="str">
        <f>"20190312154823681"</f>
        <v>20190312154823681</v>
      </c>
      <c r="B1450" t="str">
        <f>"1552376903677448"</f>
        <v>1552376903677448</v>
      </c>
      <c r="C1450" t="s">
        <v>40</v>
      </c>
      <c r="D1450">
        <v>5.0338240000000001</v>
      </c>
      <c r="E1450">
        <v>0.50584779999999996</v>
      </c>
      <c r="F1450" t="s">
        <v>41</v>
      </c>
      <c r="G1450">
        <v>-192.97669999999999</v>
      </c>
      <c r="H1450">
        <v>1.039857</v>
      </c>
      <c r="I1450">
        <v>346.33449999999999</v>
      </c>
      <c r="J1450">
        <v>-192.916</v>
      </c>
      <c r="K1450">
        <v>1.107219</v>
      </c>
      <c r="L1450">
        <v>346.9194</v>
      </c>
      <c r="M1450">
        <v>8.149468E-2</v>
      </c>
      <c r="N1450">
        <v>0</v>
      </c>
      <c r="O1450">
        <v>-0.99662569999999995</v>
      </c>
      <c r="P1450">
        <v>-4.7642289999999997E-2</v>
      </c>
      <c r="Q1450">
        <v>2.5445780000000001E-2</v>
      </c>
      <c r="R1450">
        <v>-0.99854039999999999</v>
      </c>
      <c r="S1450">
        <v>-0.177291899999999</v>
      </c>
      <c r="T1450">
        <v>-0.250031</v>
      </c>
      <c r="U1450">
        <v>-3.0025629999999999</v>
      </c>
      <c r="V1450">
        <v>0.1290606</v>
      </c>
      <c r="W1450">
        <v>3.441781E-2</v>
      </c>
      <c r="X1450">
        <v>0.99103920000000001</v>
      </c>
      <c r="Y1450">
        <v>0.139904</v>
      </c>
      <c r="Z1450">
        <v>8.2091929999999994E-2</v>
      </c>
      <c r="AA1450">
        <v>0.98675619999999997</v>
      </c>
      <c r="AB1450">
        <v>20</v>
      </c>
      <c r="AC1450">
        <v>-6.0699999999996999E-2</v>
      </c>
      <c r="AD1450">
        <v>-6.7361999999999894E-2</v>
      </c>
      <c r="AE1450">
        <v>-0.58490000000000397</v>
      </c>
      <c r="AF1450">
        <v>0.106765577142307</v>
      </c>
      <c r="AG1450">
        <v>-6.7361999999999894E-2</v>
      </c>
      <c r="AH1450">
        <v>0.57052072094355599</v>
      </c>
      <c r="AI1450">
        <v>96.619926836964595</v>
      </c>
      <c r="AJ1450">
        <v>79.400434075529105</v>
      </c>
      <c r="AK1450">
        <v>0.58432047759126504</v>
      </c>
      <c r="AL1450">
        <v>88.027615127479905</v>
      </c>
      <c r="AM1450">
        <v>82.580267660843802</v>
      </c>
      <c r="AN1450">
        <v>0.99999996002709701</v>
      </c>
    </row>
    <row r="1451" spans="1:40" x14ac:dyDescent="0.25">
      <c r="A1451" t="str">
        <f>"20190312154823701"</f>
        <v>20190312154823701</v>
      </c>
      <c r="B1451" t="str">
        <f>"1552376903696968"</f>
        <v>1552376903696968</v>
      </c>
      <c r="C1451" t="s">
        <v>40</v>
      </c>
      <c r="D1451">
        <v>5.0785</v>
      </c>
      <c r="E1451">
        <v>0.50534630000000003</v>
      </c>
      <c r="F1451" t="s">
        <v>41</v>
      </c>
      <c r="G1451">
        <v>-192.96190000000001</v>
      </c>
      <c r="H1451">
        <v>1.0436259999999999</v>
      </c>
      <c r="I1451">
        <v>346.14879999999999</v>
      </c>
      <c r="J1451">
        <v>-192.90559999999999</v>
      </c>
      <c r="K1451">
        <v>1.107494</v>
      </c>
      <c r="L1451">
        <v>346.73669999999998</v>
      </c>
      <c r="M1451">
        <v>7.7773880000000004E-2</v>
      </c>
      <c r="N1451">
        <v>0</v>
      </c>
      <c r="O1451">
        <v>-0.99692389999999997</v>
      </c>
      <c r="P1451">
        <v>-4.8185659999999998E-2</v>
      </c>
      <c r="Q1451">
        <v>2.4384969999999999E-2</v>
      </c>
      <c r="R1451">
        <v>-0.99854089999999995</v>
      </c>
      <c r="S1451">
        <v>-0.17790220000000001</v>
      </c>
      <c r="T1451">
        <v>-0.2478728</v>
      </c>
      <c r="U1451">
        <v>-3.002167</v>
      </c>
      <c r="V1451">
        <v>0.1258724</v>
      </c>
      <c r="W1451">
        <v>3.3386529999999998E-2</v>
      </c>
      <c r="X1451">
        <v>0.99148449999999999</v>
      </c>
      <c r="Y1451">
        <v>0.13641789999999901</v>
      </c>
      <c r="Z1451">
        <v>8.1455E-2</v>
      </c>
      <c r="AA1451">
        <v>0.98729690000000003</v>
      </c>
      <c r="AB1451">
        <v>20</v>
      </c>
      <c r="AC1451">
        <v>-5.63000000000215E-2</v>
      </c>
      <c r="AD1451">
        <v>-6.3867999999999994E-2</v>
      </c>
      <c r="AE1451">
        <v>-0.58789999999998999</v>
      </c>
      <c r="AF1451">
        <v>0.10067745622006601</v>
      </c>
      <c r="AG1451">
        <v>-6.3867999999999994E-2</v>
      </c>
      <c r="AH1451">
        <v>0.57501549699805399</v>
      </c>
      <c r="AI1451">
        <v>96.2437538057018</v>
      </c>
      <c r="AJ1451">
        <v>80.068945226480494</v>
      </c>
      <c r="AK1451">
        <v>0.58724602459519704</v>
      </c>
      <c r="AL1451">
        <v>88.086737220075804</v>
      </c>
      <c r="AM1451">
        <v>82.764806492854305</v>
      </c>
      <c r="AN1451">
        <v>1.00000001760372</v>
      </c>
    </row>
    <row r="1452" spans="1:40" x14ac:dyDescent="0.25">
      <c r="A1452" t="str">
        <f>"20190312154823724"</f>
        <v>20190312154823724</v>
      </c>
      <c r="B1452" t="str">
        <f>"1552376903717465"</f>
        <v>1552376903717465</v>
      </c>
      <c r="C1452" t="s">
        <v>40</v>
      </c>
      <c r="D1452">
        <v>5.068047</v>
      </c>
      <c r="E1452">
        <v>0.50509009999999999</v>
      </c>
      <c r="F1452" t="s">
        <v>41</v>
      </c>
      <c r="G1452">
        <v>-192.95070000000001</v>
      </c>
      <c r="H1452">
        <v>1.0439320000000001</v>
      </c>
      <c r="I1452">
        <v>345.96530000000001</v>
      </c>
      <c r="J1452">
        <v>-192.89359999999999</v>
      </c>
      <c r="K1452">
        <v>1.1078600000000001</v>
      </c>
      <c r="L1452">
        <v>346.52159999999998</v>
      </c>
      <c r="M1452">
        <v>7.3909899999999903E-2</v>
      </c>
      <c r="N1452">
        <v>0</v>
      </c>
      <c r="O1452">
        <v>-0.9972181</v>
      </c>
      <c r="P1452">
        <v>-4.8723820000000001E-2</v>
      </c>
      <c r="Q1452">
        <v>2.2930969999999998E-2</v>
      </c>
      <c r="R1452">
        <v>-0.99854909999999997</v>
      </c>
      <c r="S1452">
        <v>-0.1749878</v>
      </c>
      <c r="T1452">
        <v>-0.2474604</v>
      </c>
      <c r="U1452">
        <v>-3.0019840000000002</v>
      </c>
      <c r="V1452">
        <v>0.1225309</v>
      </c>
      <c r="W1452">
        <v>3.2044000000000003E-2</v>
      </c>
      <c r="X1452">
        <v>0.99194720000000003</v>
      </c>
      <c r="Y1452">
        <v>0.1316262</v>
      </c>
      <c r="Z1452">
        <v>8.1390400000000002E-2</v>
      </c>
      <c r="AA1452">
        <v>0.98795250000000001</v>
      </c>
      <c r="AB1452">
        <v>20</v>
      </c>
      <c r="AC1452">
        <v>-5.71000000000196E-2</v>
      </c>
      <c r="AD1452">
        <v>-6.3928000000000207E-2</v>
      </c>
      <c r="AE1452">
        <v>-0.55629999999996405</v>
      </c>
      <c r="AF1452">
        <v>9.6796858545474401E-2</v>
      </c>
      <c r="AG1452">
        <v>-6.3928000000000207E-2</v>
      </c>
      <c r="AH1452">
        <v>0.54345594371765604</v>
      </c>
      <c r="AI1452">
        <v>96.605978755545095</v>
      </c>
      <c r="AJ1452">
        <v>79.900755064555995</v>
      </c>
      <c r="AK1452">
        <v>0.55569846479032203</v>
      </c>
      <c r="AL1452">
        <v>88.163699588318806</v>
      </c>
      <c r="AM1452">
        <v>82.958174408485704</v>
      </c>
      <c r="AN1452">
        <v>0.99999994348932297</v>
      </c>
    </row>
    <row r="1453" spans="1:40" x14ac:dyDescent="0.25">
      <c r="A1453" t="str">
        <f>"20190312154823749"</f>
        <v>20190312154823749</v>
      </c>
      <c r="B1453" t="str">
        <f>"1552376903736984"</f>
        <v>1552376903736984</v>
      </c>
      <c r="C1453" t="s">
        <v>40</v>
      </c>
      <c r="D1453">
        <v>5.0717100000000004</v>
      </c>
      <c r="E1453">
        <v>0.49803249999999999</v>
      </c>
      <c r="F1453" t="s">
        <v>41</v>
      </c>
      <c r="G1453">
        <v>-192.93690000000001</v>
      </c>
      <c r="H1453">
        <v>1.0460910000000001</v>
      </c>
      <c r="I1453">
        <v>345.78030000000001</v>
      </c>
      <c r="J1453">
        <v>-192.8811</v>
      </c>
      <c r="K1453">
        <v>1.1083080000000001</v>
      </c>
      <c r="L1453">
        <v>346.29390000000001</v>
      </c>
      <c r="M1453">
        <v>7.0547799999999994E-2</v>
      </c>
      <c r="N1453">
        <v>0</v>
      </c>
      <c r="O1453">
        <v>-0.99745969999999995</v>
      </c>
      <c r="P1453">
        <v>-4.9378030000000003E-2</v>
      </c>
      <c r="Q1453">
        <v>2.2272920000000002E-2</v>
      </c>
      <c r="R1453">
        <v>-0.99853199999999998</v>
      </c>
      <c r="S1453">
        <v>-0.17414859999999999</v>
      </c>
      <c r="T1453">
        <v>-0.25025459999999999</v>
      </c>
      <c r="U1453">
        <v>-3.0016479999999999</v>
      </c>
      <c r="V1453">
        <v>0.1198055</v>
      </c>
      <c r="W1453">
        <v>3.1699890000000001E-2</v>
      </c>
      <c r="X1453">
        <v>0.99229120000000004</v>
      </c>
      <c r="Y1453">
        <v>0.1280104</v>
      </c>
      <c r="Z1453">
        <v>8.2362909999999998E-2</v>
      </c>
      <c r="AA1453">
        <v>0.98834690000000003</v>
      </c>
      <c r="AB1453">
        <v>20</v>
      </c>
      <c r="AC1453">
        <v>-5.5800000000004901E-2</v>
      </c>
      <c r="AD1453">
        <v>-6.2217000000000099E-2</v>
      </c>
      <c r="AE1453">
        <v>-0.51359999999999595</v>
      </c>
      <c r="AF1453">
        <v>9.0582307987777999E-2</v>
      </c>
      <c r="AG1453">
        <v>-6.2217000000000099E-2</v>
      </c>
      <c r="AH1453">
        <v>0.50111551873689597</v>
      </c>
      <c r="AI1453">
        <v>96.965703774313695</v>
      </c>
      <c r="AJ1453">
        <v>79.753779826274197</v>
      </c>
      <c r="AK1453">
        <v>0.51302326723876901</v>
      </c>
      <c r="AL1453">
        <v>88.183425824913897</v>
      </c>
      <c r="AM1453">
        <v>83.115646072272796</v>
      </c>
      <c r="AN1453">
        <v>1.0000000332268499</v>
      </c>
    </row>
    <row r="1454" spans="1:40" x14ac:dyDescent="0.25">
      <c r="A1454" t="str">
        <f>"20190312154823771"</f>
        <v>20190312154823771</v>
      </c>
      <c r="B1454" t="str">
        <f>"1552376903767241"</f>
        <v>1552376903767241</v>
      </c>
      <c r="C1454" t="s">
        <v>40</v>
      </c>
      <c r="D1454">
        <v>5.0508670000000002</v>
      </c>
      <c r="E1454">
        <v>0.4886741</v>
      </c>
      <c r="F1454" t="s">
        <v>41</v>
      </c>
      <c r="G1454">
        <v>-192.917</v>
      </c>
      <c r="H1454">
        <v>1.0491060000000001</v>
      </c>
      <c r="I1454">
        <v>345.41140000000001</v>
      </c>
      <c r="J1454">
        <v>-192.87049999999999</v>
      </c>
      <c r="K1454">
        <v>1.1086910000000001</v>
      </c>
      <c r="L1454">
        <v>346.10129999999998</v>
      </c>
      <c r="M1454">
        <v>6.8202570000000004E-2</v>
      </c>
      <c r="N1454">
        <v>0</v>
      </c>
      <c r="O1454">
        <v>-0.99761960000000005</v>
      </c>
      <c r="P1454">
        <v>-4.82589E-2</v>
      </c>
      <c r="Q1454">
        <v>2.0456519999999999E-2</v>
      </c>
      <c r="R1454">
        <v>-0.9986256</v>
      </c>
      <c r="S1454">
        <v>-0.12127690000000001</v>
      </c>
      <c r="T1454">
        <v>-0.20160500000000001</v>
      </c>
      <c r="U1454">
        <v>-3.0028990000000002</v>
      </c>
      <c r="V1454">
        <v>0.1163343</v>
      </c>
      <c r="W1454">
        <v>3.027579E-2</v>
      </c>
      <c r="X1454">
        <v>0.99274859999999998</v>
      </c>
      <c r="Y1454">
        <v>0.10832020000000001</v>
      </c>
      <c r="Z1454">
        <v>6.6527890000000006E-2</v>
      </c>
      <c r="AA1454">
        <v>0.99188750000000003</v>
      </c>
      <c r="AB1454">
        <v>20</v>
      </c>
      <c r="AC1454">
        <v>-4.6500000000008798E-2</v>
      </c>
      <c r="AD1454">
        <v>-5.95850000000002E-2</v>
      </c>
      <c r="AE1454">
        <v>-0.68989999999996598</v>
      </c>
      <c r="AF1454">
        <v>9.2758313868322007E-2</v>
      </c>
      <c r="AG1454">
        <v>-5.95850000000002E-2</v>
      </c>
      <c r="AH1454">
        <v>0.68007185363662404</v>
      </c>
      <c r="AI1454">
        <v>94.961519848657701</v>
      </c>
      <c r="AJ1454">
        <v>82.2330769537962</v>
      </c>
      <c r="AK1454">
        <v>0.68895007302811695</v>
      </c>
      <c r="AL1454">
        <v>88.265059960524098</v>
      </c>
      <c r="AM1454">
        <v>83.316330974610395</v>
      </c>
      <c r="AN1454">
        <v>1.0000000378092799</v>
      </c>
    </row>
    <row r="1455" spans="1:40" x14ac:dyDescent="0.25">
      <c r="A1455" t="str">
        <f>"20190312154823801"</f>
        <v>20190312154823801</v>
      </c>
      <c r="B1455" t="str">
        <f>"1552376903797496"</f>
        <v>1552376903797496</v>
      </c>
      <c r="C1455" t="s">
        <v>40</v>
      </c>
      <c r="D1455">
        <v>5.0512370000000004</v>
      </c>
      <c r="E1455">
        <v>0.48739949999999999</v>
      </c>
      <c r="F1455" t="s">
        <v>41</v>
      </c>
      <c r="G1455">
        <v>-192.88300000000001</v>
      </c>
      <c r="H1455">
        <v>1.0507489999999999</v>
      </c>
      <c r="I1455">
        <v>345.22969999999998</v>
      </c>
      <c r="J1455">
        <v>-192.85480000000001</v>
      </c>
      <c r="K1455">
        <v>1.109143</v>
      </c>
      <c r="L1455">
        <v>345.81889999999999</v>
      </c>
      <c r="M1455">
        <v>6.5493469999999998E-2</v>
      </c>
      <c r="N1455">
        <v>0</v>
      </c>
      <c r="O1455">
        <v>-0.99779649999999998</v>
      </c>
      <c r="P1455">
        <v>-4.7441509999999999E-2</v>
      </c>
      <c r="Q1455">
        <v>1.747083E-2</v>
      </c>
      <c r="R1455">
        <v>-0.99872169999999905</v>
      </c>
      <c r="S1455">
        <v>-4.3258669999999999E-2</v>
      </c>
      <c r="T1455">
        <v>-0.19995160000000001</v>
      </c>
      <c r="U1455">
        <v>-3.0061040000000001</v>
      </c>
      <c r="V1455">
        <v>0.11279839999999999</v>
      </c>
      <c r="W1455">
        <v>2.7861150000000001E-2</v>
      </c>
      <c r="X1455">
        <v>0.99322719999999998</v>
      </c>
      <c r="Y1455">
        <v>7.9816570000000003E-2</v>
      </c>
      <c r="Z1455">
        <v>6.6045629999999994E-2</v>
      </c>
      <c r="AA1455">
        <v>0.99461920000000004</v>
      </c>
      <c r="AB1455">
        <v>20</v>
      </c>
      <c r="AC1455">
        <v>-2.8199999999969801E-2</v>
      </c>
      <c r="AD1455">
        <v>-5.8394000000000001E-2</v>
      </c>
      <c r="AE1455">
        <v>-0.58920000000000505</v>
      </c>
      <c r="AF1455">
        <v>6.6082777772093704E-2</v>
      </c>
      <c r="AG1455">
        <v>-5.8394000000000001E-2</v>
      </c>
      <c r="AH1455">
        <v>0.58040001879577596</v>
      </c>
      <c r="AI1455">
        <v>95.708554650022606</v>
      </c>
      <c r="AJ1455">
        <v>83.504429402337905</v>
      </c>
      <c r="AK1455">
        <v>0.58706130393018896</v>
      </c>
      <c r="AL1455">
        <v>88.403467092254104</v>
      </c>
      <c r="AM1455">
        <v>83.520817647518498</v>
      </c>
      <c r="AN1455">
        <v>0.99999999677086104</v>
      </c>
    </row>
    <row r="1456" spans="1:40" x14ac:dyDescent="0.25">
      <c r="A1456" t="str">
        <f>"20190312154823824"</f>
        <v>20190312154823824</v>
      </c>
      <c r="B1456" t="str">
        <f>"1552376903817015"</f>
        <v>1552376903817015</v>
      </c>
      <c r="C1456" t="s">
        <v>40</v>
      </c>
      <c r="D1456">
        <v>5.0668439999999997</v>
      </c>
      <c r="E1456">
        <v>0.48710170000000003</v>
      </c>
      <c r="F1456" t="s">
        <v>41</v>
      </c>
      <c r="G1456">
        <v>-192.86340000000001</v>
      </c>
      <c r="H1456">
        <v>1.055631</v>
      </c>
      <c r="I1456">
        <v>345.03269999999998</v>
      </c>
      <c r="J1456">
        <v>-192.84299999999999</v>
      </c>
      <c r="K1456">
        <v>1.109386</v>
      </c>
      <c r="L1456">
        <v>345.60579999999999</v>
      </c>
      <c r="M1456">
        <v>6.4003550000000006E-2</v>
      </c>
      <c r="N1456">
        <v>0</v>
      </c>
      <c r="O1456">
        <v>-0.99788980000000005</v>
      </c>
      <c r="P1456">
        <v>-4.6893310000000001E-2</v>
      </c>
      <c r="Q1456">
        <v>1.5897629999999999E-2</v>
      </c>
      <c r="R1456">
        <v>-0.99877349999999998</v>
      </c>
      <c r="S1456">
        <v>-3.1494139999999997E-2</v>
      </c>
      <c r="T1456">
        <v>-0.20495759999999999</v>
      </c>
      <c r="U1456">
        <v>-3.0059809999999998</v>
      </c>
      <c r="V1456">
        <v>0.1107557</v>
      </c>
      <c r="W1456">
        <v>2.6649490000000001E-2</v>
      </c>
      <c r="X1456">
        <v>0.99349030000000005</v>
      </c>
      <c r="Y1456">
        <v>7.443466E-2</v>
      </c>
      <c r="Z1456">
        <v>6.7719989999999994E-2</v>
      </c>
      <c r="AA1456">
        <v>0.99492380000000002</v>
      </c>
      <c r="AB1456">
        <v>20</v>
      </c>
      <c r="AC1456">
        <v>-2.04000000000235E-2</v>
      </c>
      <c r="AD1456">
        <v>-5.3754999999999997E-2</v>
      </c>
      <c r="AE1456">
        <v>-0.57310000000001005</v>
      </c>
      <c r="AF1456">
        <v>5.6543958350099503E-2</v>
      </c>
      <c r="AG1456">
        <v>-5.3754999999999997E-2</v>
      </c>
      <c r="AH1456">
        <v>0.56564886492668198</v>
      </c>
      <c r="AI1456">
        <v>95.401893409896999</v>
      </c>
      <c r="AJ1456">
        <v>84.291505737693299</v>
      </c>
      <c r="AK1456">
        <v>0.57100390335245699</v>
      </c>
      <c r="AL1456">
        <v>88.472915903175306</v>
      </c>
      <c r="AM1456">
        <v>83.638851251400197</v>
      </c>
      <c r="AN1456">
        <v>0.99999999829691999</v>
      </c>
    </row>
    <row r="1457" spans="1:40" x14ac:dyDescent="0.25">
      <c r="A1457" t="str">
        <f>"20190312154823847"</f>
        <v>20190312154823847</v>
      </c>
      <c r="B1457" t="str">
        <f>"1552376903837512"</f>
        <v>1552376903837512</v>
      </c>
      <c r="C1457" t="s">
        <v>40</v>
      </c>
      <c r="D1457">
        <v>5.0507790000000004</v>
      </c>
      <c r="E1457">
        <v>0.48667719999999998</v>
      </c>
      <c r="F1457" t="s">
        <v>42</v>
      </c>
      <c r="G1457">
        <v>-192.99010000000001</v>
      </c>
      <c r="H1457" s="1">
        <v>-8.1521599999999996E-7</v>
      </c>
      <c r="I1457">
        <v>329.63479999999998</v>
      </c>
      <c r="J1457">
        <v>-192.83160000000001</v>
      </c>
      <c r="K1457">
        <v>1.1096159999999999</v>
      </c>
      <c r="L1457">
        <v>345.4049</v>
      </c>
      <c r="M1457">
        <v>6.307691E-2</v>
      </c>
      <c r="N1457">
        <v>0</v>
      </c>
      <c r="O1457">
        <v>-0.99794579999999999</v>
      </c>
      <c r="P1457">
        <v>-4.616841E-2</v>
      </c>
      <c r="Q1457">
        <v>1.394256E-2</v>
      </c>
      <c r="R1457">
        <v>-0.99883650000000002</v>
      </c>
      <c r="S1457">
        <v>-2.7694699999999999E-2</v>
      </c>
      <c r="T1457">
        <v>-0.2087871</v>
      </c>
      <c r="U1457">
        <v>-3.0057369999999999</v>
      </c>
      <c r="V1457">
        <v>0.10909919999999999</v>
      </c>
      <c r="W1457">
        <v>2.5017339999999999E-2</v>
      </c>
      <c r="X1457">
        <v>0.99371600000000004</v>
      </c>
      <c r="Y1457">
        <v>7.2251199999999904E-2</v>
      </c>
      <c r="Z1457">
        <v>6.8996970000000005E-2</v>
      </c>
      <c r="AA1457">
        <v>0.99499709999999997</v>
      </c>
      <c r="AB1457">
        <v>20</v>
      </c>
      <c r="AC1457">
        <v>-0.158500000000003</v>
      </c>
      <c r="AD1457">
        <v>-1.109616815216</v>
      </c>
      <c r="AE1457">
        <v>-15.770099999999999</v>
      </c>
      <c r="AF1457">
        <v>1.1472964449663301</v>
      </c>
      <c r="AG1457">
        <v>-1.109616815216</v>
      </c>
      <c r="AH1457">
        <v>15.6512157183986</v>
      </c>
      <c r="AI1457">
        <v>94.044470681434007</v>
      </c>
      <c r="AJ1457">
        <v>85.807489892040493</v>
      </c>
      <c r="AK1457">
        <v>15.7323899034155</v>
      </c>
      <c r="AL1457">
        <v>88.566462436616604</v>
      </c>
      <c r="AM1457">
        <v>83.734640161565295</v>
      </c>
      <c r="AN1457">
        <v>0.99999999569865705</v>
      </c>
    </row>
    <row r="1458" spans="1:40" x14ac:dyDescent="0.25">
      <c r="A1458" t="str">
        <f>"20190312154823869"</f>
        <v>20190312154823869</v>
      </c>
      <c r="B1458" t="str">
        <f>"1552376903857032"</f>
        <v>1552376903857032</v>
      </c>
      <c r="C1458" t="s">
        <v>40</v>
      </c>
      <c r="D1458">
        <v>5.0315649999999996</v>
      </c>
      <c r="E1458">
        <v>0.48639209999999999</v>
      </c>
      <c r="F1458" t="s">
        <v>41</v>
      </c>
      <c r="G1458">
        <v>-192.8383</v>
      </c>
      <c r="H1458">
        <v>1.045776</v>
      </c>
      <c r="I1458">
        <v>344.50639999999999</v>
      </c>
      <c r="J1458">
        <v>-192.81970000000001</v>
      </c>
      <c r="K1458">
        <v>1.1098779999999999</v>
      </c>
      <c r="L1458">
        <v>345.19909999999999</v>
      </c>
      <c r="M1458">
        <v>6.2523159999999994E-2</v>
      </c>
      <c r="N1458">
        <v>0</v>
      </c>
      <c r="O1458">
        <v>-0.99797760000000002</v>
      </c>
      <c r="P1458">
        <v>-4.5720650000000002E-2</v>
      </c>
      <c r="Q1458">
        <v>1.1928970000000001E-2</v>
      </c>
      <c r="R1458">
        <v>-0.99888339999999998</v>
      </c>
      <c r="S1458">
        <v>-2.2232060000000001E-2</v>
      </c>
      <c r="T1458">
        <v>-0.2135677</v>
      </c>
      <c r="U1458">
        <v>-3.005493</v>
      </c>
      <c r="V1458">
        <v>0.10808959999999999</v>
      </c>
      <c r="W1458">
        <v>2.3340320000000001E-2</v>
      </c>
      <c r="X1458">
        <v>0.99386719999999895</v>
      </c>
      <c r="Y1458">
        <v>6.9889359999999998E-2</v>
      </c>
      <c r="Z1458">
        <v>7.0584889999999997E-2</v>
      </c>
      <c r="AA1458">
        <v>0.99505440000000001</v>
      </c>
      <c r="AB1458">
        <v>20</v>
      </c>
      <c r="AC1458">
        <v>-1.8599999999992099E-2</v>
      </c>
      <c r="AD1458">
        <v>-6.4102000000000103E-2</v>
      </c>
      <c r="AE1458">
        <v>-0.69270000000000198</v>
      </c>
      <c r="AF1458">
        <v>6.1351242153471298E-2</v>
      </c>
      <c r="AG1458">
        <v>-6.4102000000000103E-2</v>
      </c>
      <c r="AH1458">
        <v>0.68432553634519899</v>
      </c>
      <c r="AI1458">
        <v>95.330129382693499</v>
      </c>
      <c r="AJ1458">
        <v>84.877007373218007</v>
      </c>
      <c r="AK1458">
        <v>0.69005396963709897</v>
      </c>
      <c r="AL1458">
        <v>88.662576817212098</v>
      </c>
      <c r="AM1458">
        <v>83.793101842073696</v>
      </c>
      <c r="AN1458">
        <v>1.0000000717008399</v>
      </c>
    </row>
    <row r="1459" spans="1:40" x14ac:dyDescent="0.25">
      <c r="A1459" t="str">
        <f>"20190312154823891"</f>
        <v>20190312154823891</v>
      </c>
      <c r="B1459" t="str">
        <f>"1552376903887288"</f>
        <v>1552376903887288</v>
      </c>
      <c r="C1459" t="s">
        <v>40</v>
      </c>
      <c r="D1459">
        <v>5.0645860000000003</v>
      </c>
      <c r="E1459">
        <v>0.48621110000000001</v>
      </c>
      <c r="F1459" t="s">
        <v>41</v>
      </c>
      <c r="G1459">
        <v>-192.8253</v>
      </c>
      <c r="H1459">
        <v>1.0465500000000001</v>
      </c>
      <c r="I1459">
        <v>344.32490000000001</v>
      </c>
      <c r="J1459">
        <v>-192.8081</v>
      </c>
      <c r="K1459">
        <v>1.1100950000000001</v>
      </c>
      <c r="L1459">
        <v>345.00380000000001</v>
      </c>
      <c r="M1459">
        <v>6.2261190000000001E-2</v>
      </c>
      <c r="N1459">
        <v>0</v>
      </c>
      <c r="O1459">
        <v>-0.99799110000000002</v>
      </c>
      <c r="P1459">
        <v>-4.5843259999999997E-2</v>
      </c>
      <c r="Q1459">
        <v>1.0786270000000001E-2</v>
      </c>
      <c r="R1459">
        <v>-0.99889070000000002</v>
      </c>
      <c r="S1459">
        <v>-1.8875119999999999E-2</v>
      </c>
      <c r="T1459">
        <v>-0.21781529999999999</v>
      </c>
      <c r="U1459">
        <v>-3.005096</v>
      </c>
      <c r="V1459">
        <v>0.1079402</v>
      </c>
      <c r="W1459">
        <v>2.2499870000000002E-2</v>
      </c>
      <c r="X1459">
        <v>0.99390270000000003</v>
      </c>
      <c r="Y1459">
        <v>6.8516439999999998E-2</v>
      </c>
      <c r="Z1459">
        <v>7.1996409999999997E-2</v>
      </c>
      <c r="AA1459">
        <v>0.99504879999999996</v>
      </c>
      <c r="AB1459">
        <v>20</v>
      </c>
      <c r="AC1459">
        <v>-1.7200000000002501E-2</v>
      </c>
      <c r="AD1459">
        <v>-6.3544999999999893E-2</v>
      </c>
      <c r="AE1459">
        <v>-0.67889999999999795</v>
      </c>
      <c r="AF1459">
        <v>5.8922761493342399E-2</v>
      </c>
      <c r="AG1459">
        <v>-6.3544999999999893E-2</v>
      </c>
      <c r="AH1459">
        <v>0.67064003801976002</v>
      </c>
      <c r="AI1459">
        <v>95.392124512689605</v>
      </c>
      <c r="AJ1459">
        <v>84.978858497258102</v>
      </c>
      <c r="AK1459">
        <v>0.67621588227588003</v>
      </c>
      <c r="AL1459">
        <v>88.710743554729305</v>
      </c>
      <c r="AM1459">
        <v>83.8018337776019</v>
      </c>
      <c r="AN1459">
        <v>0.99999995399667196</v>
      </c>
    </row>
    <row r="1460" spans="1:40" x14ac:dyDescent="0.25">
      <c r="A1460" t="str">
        <f>"20190312154823914"</f>
        <v>20190312154823914</v>
      </c>
      <c r="B1460" t="str">
        <f>"1552376903907785"</f>
        <v>1552376903907785</v>
      </c>
      <c r="C1460" t="s">
        <v>40</v>
      </c>
      <c r="D1460">
        <v>5.0586120000000001</v>
      </c>
      <c r="E1460">
        <v>0.48594619999999999</v>
      </c>
      <c r="F1460" t="s">
        <v>41</v>
      </c>
      <c r="G1460">
        <v>-192.8133</v>
      </c>
      <c r="H1460">
        <v>1.0476620000000001</v>
      </c>
      <c r="I1460">
        <v>344.14319999999998</v>
      </c>
      <c r="J1460">
        <v>-192.7953</v>
      </c>
      <c r="K1460">
        <v>1.1102829999999999</v>
      </c>
      <c r="L1460">
        <v>344.7962</v>
      </c>
      <c r="M1460">
        <v>6.2240789999999997E-2</v>
      </c>
      <c r="N1460">
        <v>0</v>
      </c>
      <c r="O1460">
        <v>-0.99798949999999997</v>
      </c>
      <c r="P1460">
        <v>-4.6053629999999998E-2</v>
      </c>
      <c r="Q1460">
        <v>1.002017E-2</v>
      </c>
      <c r="R1460">
        <v>-0.99888900000000003</v>
      </c>
      <c r="S1460">
        <v>-1.8341059999999999E-2</v>
      </c>
      <c r="T1460">
        <v>-0.21799170000000001</v>
      </c>
      <c r="U1460">
        <v>-3.004883</v>
      </c>
      <c r="V1460">
        <v>0.1081207</v>
      </c>
      <c r="W1460">
        <v>2.2012670000000002E-2</v>
      </c>
      <c r="X1460">
        <v>0.99389400000000006</v>
      </c>
      <c r="Y1460">
        <v>6.83198E-2</v>
      </c>
      <c r="Z1460">
        <v>7.2060159999999998E-2</v>
      </c>
      <c r="AA1460">
        <v>0.99505759999999999</v>
      </c>
      <c r="AB1460">
        <v>20</v>
      </c>
      <c r="AC1460">
        <v>-1.8000000000000599E-2</v>
      </c>
      <c r="AD1460">
        <v>-6.2620999999999802E-2</v>
      </c>
      <c r="AE1460">
        <v>-0.65300000000002001</v>
      </c>
      <c r="AF1460">
        <v>5.8077545321030502E-2</v>
      </c>
      <c r="AG1460">
        <v>-6.2620999999999802E-2</v>
      </c>
      <c r="AH1460">
        <v>0.64468908379101397</v>
      </c>
      <c r="AI1460">
        <v>95.525706030088202</v>
      </c>
      <c r="AJ1460">
        <v>84.852340183166902</v>
      </c>
      <c r="AK1460">
        <v>0.65032177087255305</v>
      </c>
      <c r="AL1460">
        <v>88.738664988011195</v>
      </c>
      <c r="AM1460">
        <v>83.791496019443002</v>
      </c>
      <c r="AN1460">
        <v>0.99999996332250796</v>
      </c>
    </row>
    <row r="1461" spans="1:40" x14ac:dyDescent="0.25">
      <c r="A1461" t="str">
        <f>"20190312154823937"</f>
        <v>20190312154823937</v>
      </c>
      <c r="B1461" t="str">
        <f>"1552376903927304"</f>
        <v>1552376903927304</v>
      </c>
      <c r="C1461" t="s">
        <v>40</v>
      </c>
      <c r="D1461">
        <v>5.0223769999999996</v>
      </c>
      <c r="E1461">
        <v>0.4856221</v>
      </c>
      <c r="F1461" t="s">
        <v>41</v>
      </c>
      <c r="G1461">
        <v>-192.8004</v>
      </c>
      <c r="H1461">
        <v>1.0495950000000001</v>
      </c>
      <c r="I1461">
        <v>343.96120000000002</v>
      </c>
      <c r="J1461">
        <v>-192.7824</v>
      </c>
      <c r="K1461">
        <v>1.11042</v>
      </c>
      <c r="L1461">
        <v>344.59140000000002</v>
      </c>
      <c r="M1461">
        <v>6.2476259999999999E-2</v>
      </c>
      <c r="N1461">
        <v>0</v>
      </c>
      <c r="O1461">
        <v>-0.99797259999999999</v>
      </c>
      <c r="P1461">
        <v>-4.5581150000000001E-2</v>
      </c>
      <c r="Q1461">
        <v>9.3255290000000008E-3</v>
      </c>
      <c r="R1461">
        <v>-0.99891750000000001</v>
      </c>
      <c r="S1461">
        <v>-1.7440799999999999E-2</v>
      </c>
      <c r="T1461">
        <v>-0.21864459999999999</v>
      </c>
      <c r="U1461">
        <v>-3.0047299999999999</v>
      </c>
      <c r="V1461">
        <v>0.10787960000000001</v>
      </c>
      <c r="W1461">
        <v>2.1548339999999999E-2</v>
      </c>
      <c r="X1461">
        <v>0.99393039999999999</v>
      </c>
      <c r="Y1461">
        <v>6.8257419999999999E-2</v>
      </c>
      <c r="Z1461">
        <v>7.2277140000000004E-2</v>
      </c>
      <c r="AA1461">
        <v>0.99504619999999999</v>
      </c>
      <c r="AB1461">
        <v>20</v>
      </c>
      <c r="AC1461">
        <v>-1.8000000000000599E-2</v>
      </c>
      <c r="AD1461">
        <v>-6.08249999999999E-2</v>
      </c>
      <c r="AE1461">
        <v>-0.63020000000000198</v>
      </c>
      <c r="AF1461">
        <v>5.6811474734773798E-2</v>
      </c>
      <c r="AG1461">
        <v>-6.08249999999999E-2</v>
      </c>
      <c r="AH1461">
        <v>0.62205399834793895</v>
      </c>
      <c r="AI1461">
        <v>95.561678817619693</v>
      </c>
      <c r="AJ1461">
        <v>84.781718850309304</v>
      </c>
      <c r="AK1461">
        <v>0.62759732404400603</v>
      </c>
      <c r="AL1461">
        <v>88.765275483537906</v>
      </c>
      <c r="AM1461">
        <v>83.805457801304499</v>
      </c>
      <c r="AN1461">
        <v>0.99999998954853697</v>
      </c>
    </row>
    <row r="1462" spans="1:40" x14ac:dyDescent="0.25">
      <c r="A1462" t="str">
        <f>"20190312154823959"</f>
        <v>20190312154823959</v>
      </c>
      <c r="B1462" t="str">
        <f>"1552376903957560"</f>
        <v>1552376903957560</v>
      </c>
      <c r="C1462" t="s">
        <v>40</v>
      </c>
      <c r="D1462">
        <v>4.9991159999999999</v>
      </c>
      <c r="E1462">
        <v>0.4851972</v>
      </c>
      <c r="F1462" t="s">
        <v>41</v>
      </c>
      <c r="G1462">
        <v>-192.78620000000001</v>
      </c>
      <c r="H1462">
        <v>1.051269</v>
      </c>
      <c r="I1462">
        <v>343.77969999999999</v>
      </c>
      <c r="J1462">
        <v>-192.76900000000001</v>
      </c>
      <c r="K1462">
        <v>1.110506</v>
      </c>
      <c r="L1462">
        <v>344.38369999999998</v>
      </c>
      <c r="M1462">
        <v>6.2956880000000007E-2</v>
      </c>
      <c r="N1462">
        <v>0</v>
      </c>
      <c r="O1462">
        <v>-0.9979401</v>
      </c>
      <c r="P1462">
        <v>-4.4883659999999999E-2</v>
      </c>
      <c r="Q1462">
        <v>8.2146849999999993E-3</v>
      </c>
      <c r="R1462">
        <v>-0.99895860000000003</v>
      </c>
      <c r="S1462">
        <v>-1.394653E-2</v>
      </c>
      <c r="T1462">
        <v>-0.21906129999999999</v>
      </c>
      <c r="U1462">
        <v>-3.0046689999999998</v>
      </c>
      <c r="V1462">
        <v>0.10766199999999999</v>
      </c>
      <c r="W1462">
        <v>2.063682E-2</v>
      </c>
      <c r="X1462">
        <v>0.99397340000000001</v>
      </c>
      <c r="Y1462">
        <v>6.7580950000000001E-2</v>
      </c>
      <c r="Z1462">
        <v>7.2414210000000007E-2</v>
      </c>
      <c r="AA1462">
        <v>0.99508240000000003</v>
      </c>
      <c r="AB1462">
        <v>20</v>
      </c>
      <c r="AC1462">
        <v>-1.7200000000002501E-2</v>
      </c>
      <c r="AD1462">
        <v>-5.9236999999999901E-2</v>
      </c>
      <c r="AE1462">
        <v>-0.60399999999998499</v>
      </c>
      <c r="AF1462">
        <v>5.4669303335288001E-2</v>
      </c>
      <c r="AG1462">
        <v>-5.9236999999999901E-2</v>
      </c>
      <c r="AH1462">
        <v>0.59599073443636297</v>
      </c>
      <c r="AI1462">
        <v>95.652551512055297</v>
      </c>
      <c r="AJ1462">
        <v>84.759013807130302</v>
      </c>
      <c r="AK1462">
        <v>0.60141725152356695</v>
      </c>
      <c r="AL1462">
        <v>88.8175134305135</v>
      </c>
      <c r="AM1462">
        <v>83.818121110857007</v>
      </c>
      <c r="AN1462">
        <v>1.00000005224563</v>
      </c>
    </row>
    <row r="1463" spans="1:40" x14ac:dyDescent="0.25">
      <c r="A1463" t="str">
        <f>"20190312154823981"</f>
        <v>20190312154823981</v>
      </c>
      <c r="B1463" t="str">
        <f>"1552376903977081"</f>
        <v>1552376903977081</v>
      </c>
      <c r="C1463" t="s">
        <v>40</v>
      </c>
      <c r="D1463">
        <v>4.9996619999999998</v>
      </c>
      <c r="E1463">
        <v>0.48504570000000002</v>
      </c>
      <c r="F1463" t="s">
        <v>41</v>
      </c>
      <c r="G1463">
        <v>-192.77160000000001</v>
      </c>
      <c r="H1463">
        <v>1.0531680000000001</v>
      </c>
      <c r="I1463">
        <v>343.59829999999999</v>
      </c>
      <c r="J1463">
        <v>-192.75620000000001</v>
      </c>
      <c r="K1463">
        <v>1.11056</v>
      </c>
      <c r="L1463">
        <v>344.19099999999997</v>
      </c>
      <c r="M1463">
        <v>6.357003E-2</v>
      </c>
      <c r="N1463">
        <v>0</v>
      </c>
      <c r="O1463">
        <v>-0.99789939999999999</v>
      </c>
      <c r="P1463">
        <v>-4.3693679999999999E-2</v>
      </c>
      <c r="Q1463">
        <v>6.5716269999999896E-3</v>
      </c>
      <c r="R1463">
        <v>-0.99902369999999996</v>
      </c>
      <c r="S1463">
        <v>-9.1247559999999995E-3</v>
      </c>
      <c r="T1463">
        <v>-0.21978449999999999</v>
      </c>
      <c r="U1463">
        <v>-3.004578</v>
      </c>
      <c r="V1463">
        <v>0.10708910000000001</v>
      </c>
      <c r="W1463">
        <v>1.915559E-2</v>
      </c>
      <c r="X1463">
        <v>0.99406490000000003</v>
      </c>
      <c r="Y1463">
        <v>6.6597249999999997E-2</v>
      </c>
      <c r="Z1463">
        <v>7.2652620000000001E-2</v>
      </c>
      <c r="AA1463">
        <v>0.9951314</v>
      </c>
      <c r="AB1463">
        <v>20</v>
      </c>
      <c r="AC1463">
        <v>-1.53999999999996E-2</v>
      </c>
      <c r="AD1463">
        <v>-5.7391999999999797E-2</v>
      </c>
      <c r="AE1463">
        <v>-0.59269999999997902</v>
      </c>
      <c r="AF1463">
        <v>5.2557274139201603E-2</v>
      </c>
      <c r="AG1463">
        <v>-5.7391999999999797E-2</v>
      </c>
      <c r="AH1463">
        <v>0.58504012355959201</v>
      </c>
      <c r="AI1463">
        <v>95.580416432241094</v>
      </c>
      <c r="AJ1463">
        <v>84.866594513920802</v>
      </c>
      <c r="AK1463">
        <v>0.59019323522348699</v>
      </c>
      <c r="AL1463">
        <v>88.902398427415207</v>
      </c>
      <c r="AM1463">
        <v>83.851325628231805</v>
      </c>
      <c r="AN1463">
        <v>1.0000000186895299</v>
      </c>
    </row>
    <row r="1464" spans="1:40" x14ac:dyDescent="0.25">
      <c r="A1464" t="str">
        <f>"20190312154824003"</f>
        <v>20190312154824003</v>
      </c>
      <c r="B1464" t="str">
        <f>"1552376903997576"</f>
        <v>1552376903997576</v>
      </c>
      <c r="C1464" t="s">
        <v>40</v>
      </c>
      <c r="D1464">
        <v>4.9975449999999997</v>
      </c>
      <c r="E1464">
        <v>0.48214699999999999</v>
      </c>
      <c r="F1464" t="s">
        <v>41</v>
      </c>
      <c r="G1464">
        <v>-192.7576</v>
      </c>
      <c r="H1464">
        <v>1.0531060000000001</v>
      </c>
      <c r="I1464">
        <v>343.41899999999998</v>
      </c>
      <c r="J1464">
        <v>-192.74299999999999</v>
      </c>
      <c r="K1464">
        <v>1.110608</v>
      </c>
      <c r="L1464">
        <v>343.99509999999998</v>
      </c>
      <c r="M1464">
        <v>6.4287510000000006E-2</v>
      </c>
      <c r="N1464">
        <v>0</v>
      </c>
      <c r="O1464">
        <v>-0.9978515</v>
      </c>
      <c r="P1464">
        <v>-4.1897789999999997E-2</v>
      </c>
      <c r="Q1464">
        <v>5.8974989999999996E-3</v>
      </c>
      <c r="R1464">
        <v>-0.99910460000000001</v>
      </c>
      <c r="S1464">
        <v>-4.9591059999999996E-3</v>
      </c>
      <c r="T1464">
        <v>-0.2238493</v>
      </c>
      <c r="U1464">
        <v>-3.0041500000000001</v>
      </c>
      <c r="V1464">
        <v>0.1060162</v>
      </c>
      <c r="W1464">
        <v>1.862401E-2</v>
      </c>
      <c r="X1464">
        <v>0.99419000000000002</v>
      </c>
      <c r="Y1464">
        <v>6.5935160000000007E-2</v>
      </c>
      <c r="Z1464">
        <v>7.3996039999999999E-2</v>
      </c>
      <c r="AA1464">
        <v>0.99507650000000003</v>
      </c>
      <c r="AB1464">
        <v>20</v>
      </c>
      <c r="AC1464">
        <v>-1.4600000000001501E-2</v>
      </c>
      <c r="AD1464">
        <v>-5.7502000000000102E-2</v>
      </c>
      <c r="AE1464">
        <v>-0.57609999999993899</v>
      </c>
      <c r="AF1464">
        <v>5.1100023022913298E-2</v>
      </c>
      <c r="AG1464">
        <v>-5.7502000000000102E-2</v>
      </c>
      <c r="AH1464">
        <v>0.56831123704339404</v>
      </c>
      <c r="AI1464">
        <v>95.7544933395302</v>
      </c>
      <c r="AJ1464">
        <v>84.862034671544095</v>
      </c>
      <c r="AK1464">
        <v>0.57349398820452802</v>
      </c>
      <c r="AL1464">
        <v>88.932861156893196</v>
      </c>
      <c r="AM1464">
        <v>83.913223106969596</v>
      </c>
      <c r="AN1464">
        <v>1.0000000222554599</v>
      </c>
    </row>
    <row r="1465" spans="1:40" x14ac:dyDescent="0.25">
      <c r="A1465" t="str">
        <f>"20190312154824024"</f>
        <v>20190312154824024</v>
      </c>
      <c r="B1465" t="str">
        <f>"1552376904017097"</f>
        <v>1552376904017097</v>
      </c>
      <c r="C1465" t="s">
        <v>40</v>
      </c>
      <c r="D1465">
        <v>4.9744710000000003</v>
      </c>
      <c r="E1465">
        <v>0.4823036</v>
      </c>
      <c r="F1465" t="s">
        <v>42</v>
      </c>
      <c r="G1465">
        <v>-192.61689999999999</v>
      </c>
      <c r="H1465" s="1">
        <v>-3.867207E-6</v>
      </c>
      <c r="I1465">
        <v>326.98669999999998</v>
      </c>
      <c r="J1465">
        <v>-192.72980000000001</v>
      </c>
      <c r="K1465">
        <v>1.1106339999999999</v>
      </c>
      <c r="L1465">
        <v>343.80450000000002</v>
      </c>
      <c r="M1465">
        <v>6.5028970000000005E-2</v>
      </c>
      <c r="N1465">
        <v>0</v>
      </c>
      <c r="O1465">
        <v>-0.99780219999999997</v>
      </c>
      <c r="P1465">
        <v>-3.9261829999999998E-2</v>
      </c>
      <c r="Q1465">
        <v>6.1892569999999897E-3</v>
      </c>
      <c r="R1465">
        <v>-0.99921000000000004</v>
      </c>
      <c r="S1465">
        <v>2.2277829999999998E-2</v>
      </c>
      <c r="T1465">
        <v>-0.19620650000000001</v>
      </c>
      <c r="U1465">
        <v>-3.004791</v>
      </c>
      <c r="V1465">
        <v>0.1041303</v>
      </c>
      <c r="W1465">
        <v>1.9031630000000001E-2</v>
      </c>
      <c r="X1465">
        <v>0.99438150000000003</v>
      </c>
      <c r="Y1465">
        <v>5.7649789999999999E-2</v>
      </c>
      <c r="Z1465">
        <v>6.489731E-2</v>
      </c>
      <c r="AA1465">
        <v>0.99622529999999998</v>
      </c>
      <c r="AB1465">
        <v>20</v>
      </c>
      <c r="AC1465">
        <v>0.112900000000024</v>
      </c>
      <c r="AD1465">
        <v>-1.1106378672069901</v>
      </c>
      <c r="AE1465">
        <v>-16.817799999999998</v>
      </c>
      <c r="AF1465">
        <v>0.97681192873803402</v>
      </c>
      <c r="AG1465">
        <v>-1.1106378672069901</v>
      </c>
      <c r="AH1465">
        <v>16.716638225523798</v>
      </c>
      <c r="AI1465">
        <v>93.794638038452703</v>
      </c>
      <c r="AJ1465">
        <v>86.655808974569595</v>
      </c>
      <c r="AK1465">
        <v>16.781944809206198</v>
      </c>
      <c r="AL1465">
        <v>88.909502026669401</v>
      </c>
      <c r="AM1465">
        <v>84.021851228317999</v>
      </c>
      <c r="AN1465">
        <v>0.99999994493039601</v>
      </c>
    </row>
    <row r="1466" spans="1:40" x14ac:dyDescent="0.25">
      <c r="A1466" t="str">
        <f>"20190312154824047"</f>
        <v>20190312154824047</v>
      </c>
      <c r="B1466" t="str">
        <f>"1552376904037645"</f>
        <v>1552376904037645</v>
      </c>
      <c r="C1466" t="s">
        <v>40</v>
      </c>
      <c r="D1466">
        <v>4.9638439999999999</v>
      </c>
      <c r="E1466">
        <v>0.48241079999999997</v>
      </c>
      <c r="F1466" t="s">
        <v>42</v>
      </c>
      <c r="G1466">
        <v>-192.56899999999999</v>
      </c>
      <c r="H1466" s="1">
        <v>-3.7168799999999998E-6</v>
      </c>
      <c r="I1466">
        <v>326.65989999999999</v>
      </c>
      <c r="J1466">
        <v>-192.71559999999999</v>
      </c>
      <c r="K1466">
        <v>1.1106229999999999</v>
      </c>
      <c r="L1466">
        <v>343.60309999999998</v>
      </c>
      <c r="M1466">
        <v>6.5829460000000006E-2</v>
      </c>
      <c r="N1466">
        <v>0</v>
      </c>
      <c r="O1466">
        <v>-0.99774850000000004</v>
      </c>
      <c r="P1466">
        <v>-3.4939270000000001E-2</v>
      </c>
      <c r="Q1466">
        <v>8.0924680000000002E-3</v>
      </c>
      <c r="R1466">
        <v>-0.99935700000000005</v>
      </c>
      <c r="S1466">
        <v>2.818298E-2</v>
      </c>
      <c r="T1466">
        <v>-0.1946464</v>
      </c>
      <c r="U1466">
        <v>-3.0047000000000001</v>
      </c>
      <c r="V1466">
        <v>0.1006225</v>
      </c>
      <c r="W1466">
        <v>2.1030610000000002E-2</v>
      </c>
      <c r="X1466">
        <v>0.99470239999999999</v>
      </c>
      <c r="Y1466">
        <v>5.6492500000000001E-2</v>
      </c>
      <c r="Z1466">
        <v>6.4381939999999999E-2</v>
      </c>
      <c r="AA1466">
        <v>0.99632500000000002</v>
      </c>
      <c r="AB1466">
        <v>20</v>
      </c>
      <c r="AC1466">
        <v>0.146599999999978</v>
      </c>
      <c r="AD1466">
        <v>-1.1106267168799999</v>
      </c>
      <c r="AE1466">
        <v>-16.943199999999901</v>
      </c>
      <c r="AF1466">
        <v>0.96502523987646205</v>
      </c>
      <c r="AG1466">
        <v>-1.1106267168799999</v>
      </c>
      <c r="AH1466">
        <v>16.843724917724899</v>
      </c>
      <c r="AI1466">
        <v>93.766299354268597</v>
      </c>
      <c r="AJ1466">
        <v>86.720945367131506</v>
      </c>
      <c r="AK1466">
        <v>16.907863097441702</v>
      </c>
      <c r="AL1466">
        <v>88.794945988691893</v>
      </c>
      <c r="AM1466">
        <v>84.223700325193207</v>
      </c>
      <c r="AN1466">
        <v>1.00000001931449</v>
      </c>
    </row>
    <row r="1467" spans="1:40" x14ac:dyDescent="0.25">
      <c r="A1467" t="str">
        <f>"20190312154824069"</f>
        <v>20190312154824069</v>
      </c>
      <c r="B1467" t="str">
        <f>"1552376904057165"</f>
        <v>1552376904057165</v>
      </c>
      <c r="C1467" t="s">
        <v>40</v>
      </c>
      <c r="D1467">
        <v>4.9715410000000002</v>
      </c>
      <c r="E1467">
        <v>0.4825084</v>
      </c>
      <c r="F1467" t="s">
        <v>41</v>
      </c>
      <c r="G1467">
        <v>-192.7037</v>
      </c>
      <c r="H1467">
        <v>1.053679</v>
      </c>
      <c r="I1467">
        <v>342.69549999999998</v>
      </c>
      <c r="J1467">
        <v>-192.70160000000001</v>
      </c>
      <c r="K1467">
        <v>1.1105700000000001</v>
      </c>
      <c r="L1467">
        <v>343.40519999999998</v>
      </c>
      <c r="M1467">
        <v>6.660257E-2</v>
      </c>
      <c r="N1467">
        <v>0</v>
      </c>
      <c r="O1467">
        <v>-0.99769600000000003</v>
      </c>
      <c r="P1467">
        <v>-2.9204870000000001E-2</v>
      </c>
      <c r="Q1467">
        <v>8.6654499999999999E-3</v>
      </c>
      <c r="R1467">
        <v>-0.99953590000000003</v>
      </c>
      <c r="S1467">
        <v>3.9520260000000001E-2</v>
      </c>
      <c r="T1467">
        <v>-0.1885009</v>
      </c>
      <c r="U1467">
        <v>-3.0048520000000001</v>
      </c>
      <c r="V1467">
        <v>9.5685539999999999E-2</v>
      </c>
      <c r="W1467">
        <v>2.1676569999999999E-2</v>
      </c>
      <c r="X1467">
        <v>0.99517549999999999</v>
      </c>
      <c r="Y1467">
        <v>5.3506119999999997E-2</v>
      </c>
      <c r="Z1467">
        <v>6.2353190000000003E-2</v>
      </c>
      <c r="AA1467">
        <v>0.99661889999999997</v>
      </c>
      <c r="AB1467">
        <v>20</v>
      </c>
      <c r="AC1467">
        <v>-2.0999999999844398E-3</v>
      </c>
      <c r="AD1467">
        <v>-5.6890999999999997E-2</v>
      </c>
      <c r="AE1467">
        <v>-0.709699999999997</v>
      </c>
      <c r="AF1467">
        <v>4.9051920094626E-2</v>
      </c>
      <c r="AG1467">
        <v>-5.6890999999999997E-2</v>
      </c>
      <c r="AH1467">
        <v>0.70346364579054099</v>
      </c>
      <c r="AI1467">
        <v>94.612450369769206</v>
      </c>
      <c r="AJ1467">
        <v>86.011270402664906</v>
      </c>
      <c r="AK1467">
        <v>0.70746291612697898</v>
      </c>
      <c r="AL1467">
        <v>88.757926662664502</v>
      </c>
      <c r="AM1467">
        <v>84.507927126070499</v>
      </c>
      <c r="AN1467">
        <v>0.999999936026151</v>
      </c>
    </row>
    <row r="1468" spans="1:40" x14ac:dyDescent="0.25">
      <c r="A1468" t="str">
        <f>"20190312154824092"</f>
        <v>20190312154824092</v>
      </c>
      <c r="B1468" t="str">
        <f>"1552376904087421"</f>
        <v>1552376904087421</v>
      </c>
      <c r="C1468" t="s">
        <v>40</v>
      </c>
      <c r="D1468">
        <v>4.9716519999999997</v>
      </c>
      <c r="E1468">
        <v>0.48278799999999999</v>
      </c>
      <c r="F1468" t="s">
        <v>42</v>
      </c>
      <c r="G1468">
        <v>-192.36959999999999</v>
      </c>
      <c r="H1468" s="1">
        <v>-3.154201E-6</v>
      </c>
      <c r="I1468">
        <v>325.47199999999998</v>
      </c>
      <c r="J1468">
        <v>-192.68729999999999</v>
      </c>
      <c r="K1468">
        <v>1.110492</v>
      </c>
      <c r="L1468">
        <v>343.20650000000001</v>
      </c>
      <c r="M1468">
        <v>6.734192E-2</v>
      </c>
      <c r="N1468">
        <v>0</v>
      </c>
      <c r="O1468">
        <v>-0.99764529999999996</v>
      </c>
      <c r="P1468">
        <v>-2.3676889999999999E-2</v>
      </c>
      <c r="Q1468">
        <v>7.9630459999999997E-3</v>
      </c>
      <c r="R1468">
        <v>-0.99968820000000003</v>
      </c>
      <c r="S1468">
        <v>5.5618290000000001E-2</v>
      </c>
      <c r="T1468">
        <v>-0.1860723</v>
      </c>
      <c r="U1468">
        <v>-3.0046390000000001</v>
      </c>
      <c r="V1468">
        <v>9.0922760000000005E-2</v>
      </c>
      <c r="W1468">
        <v>2.1033949999999999E-2</v>
      </c>
      <c r="X1468">
        <v>0.99563579999999996</v>
      </c>
      <c r="Y1468">
        <v>4.8905570000000002E-2</v>
      </c>
      <c r="Z1468">
        <v>6.1557430000000003E-2</v>
      </c>
      <c r="AA1468">
        <v>0.99690469999999998</v>
      </c>
      <c r="AB1468">
        <v>20</v>
      </c>
      <c r="AC1468">
        <v>0.31770000000000198</v>
      </c>
      <c r="AD1468">
        <v>-1.110495154201</v>
      </c>
      <c r="AE1468">
        <v>-17.734500000000001</v>
      </c>
      <c r="AF1468">
        <v>0.87397174433098701</v>
      </c>
      <c r="AG1468">
        <v>-1.110495154201</v>
      </c>
      <c r="AH1468">
        <v>17.646462080561701</v>
      </c>
      <c r="AI1468">
        <v>93.596489077494198</v>
      </c>
      <c r="AJ1468">
        <v>87.164643574477296</v>
      </c>
      <c r="AK1468">
        <v>17.702955969501101</v>
      </c>
      <c r="AL1468">
        <v>88.794754568176103</v>
      </c>
      <c r="AM1468">
        <v>84.782147459700099</v>
      </c>
      <c r="AN1468">
        <v>1.0000000107901299</v>
      </c>
    </row>
    <row r="1469" spans="1:40" x14ac:dyDescent="0.25">
      <c r="A1469" t="str">
        <f>"20190312154824114"</f>
        <v>20190312154824114</v>
      </c>
      <c r="B1469" t="str">
        <f>"1552376904106942"</f>
        <v>1552376904106942</v>
      </c>
      <c r="C1469" t="s">
        <v>40</v>
      </c>
      <c r="D1469">
        <v>5.0033379999999896</v>
      </c>
      <c r="E1469">
        <v>0.48326619999999998</v>
      </c>
      <c r="F1469" t="s">
        <v>42</v>
      </c>
      <c r="G1469">
        <v>-192.27760000000001</v>
      </c>
      <c r="H1469" s="1">
        <v>-3.198562E-6</v>
      </c>
      <c r="I1469">
        <v>325.63240000000002</v>
      </c>
      <c r="J1469">
        <v>-192.67269999999999</v>
      </c>
      <c r="K1469">
        <v>1.110403</v>
      </c>
      <c r="L1469">
        <v>343.0027</v>
      </c>
      <c r="M1469">
        <v>6.8025530000000001E-2</v>
      </c>
      <c r="N1469">
        <v>0</v>
      </c>
      <c r="O1469">
        <v>-0.99759810000000004</v>
      </c>
      <c r="P1469">
        <v>-1.8754030000000001E-2</v>
      </c>
      <c r="Q1469">
        <v>6.4675219999999999E-3</v>
      </c>
      <c r="R1469">
        <v>-0.99980349999999996</v>
      </c>
      <c r="S1469">
        <v>7.0037840000000004E-2</v>
      </c>
      <c r="T1469">
        <v>-0.18983079999999999</v>
      </c>
      <c r="U1469">
        <v>-3.0041500000000001</v>
      </c>
      <c r="V1469">
        <v>8.6707480000000003E-2</v>
      </c>
      <c r="W1469">
        <v>1.9587520000000001E-2</v>
      </c>
      <c r="X1469">
        <v>0.99604119999999996</v>
      </c>
      <c r="Y1469">
        <v>4.480555E-2</v>
      </c>
      <c r="Z1469">
        <v>6.2804659999999998E-2</v>
      </c>
      <c r="AA1469">
        <v>0.99701960000000001</v>
      </c>
      <c r="AB1469">
        <v>20</v>
      </c>
      <c r="AC1469">
        <v>0.39509999999998502</v>
      </c>
      <c r="AD1469">
        <v>-1.110406198562</v>
      </c>
      <c r="AE1469">
        <v>-17.370299999999901</v>
      </c>
      <c r="AF1469">
        <v>0.78433650189020898</v>
      </c>
      <c r="AG1469">
        <v>-1.110406198562</v>
      </c>
      <c r="AH1469">
        <v>17.2863317314544</v>
      </c>
      <c r="AI1469">
        <v>93.671639454038498</v>
      </c>
      <c r="AJ1469">
        <v>87.4020879142479</v>
      </c>
      <c r="AK1469">
        <v>17.339707333282401</v>
      </c>
      <c r="AL1469">
        <v>88.877645956748793</v>
      </c>
      <c r="AM1469">
        <v>85.024824077379094</v>
      </c>
      <c r="AN1469">
        <v>0.99999996506256905</v>
      </c>
    </row>
    <row r="1470" spans="1:40" x14ac:dyDescent="0.25">
      <c r="A1470" t="str">
        <f>"20190312154824137"</f>
        <v>20190312154824137</v>
      </c>
      <c r="B1470" t="str">
        <f>"1552376904127437"</f>
        <v>1552376904127437</v>
      </c>
      <c r="C1470" t="s">
        <v>40</v>
      </c>
      <c r="D1470">
        <v>4.9821669999999996</v>
      </c>
      <c r="E1470">
        <v>0.48373820000000001</v>
      </c>
      <c r="F1470" t="s">
        <v>42</v>
      </c>
      <c r="G1470">
        <v>-192.21119999999999</v>
      </c>
      <c r="H1470" s="1">
        <v>-3.32049E-6</v>
      </c>
      <c r="I1470">
        <v>325.95780000000002</v>
      </c>
      <c r="J1470">
        <v>-192.6584</v>
      </c>
      <c r="K1470">
        <v>1.1103149999999999</v>
      </c>
      <c r="L1470">
        <v>342.8048</v>
      </c>
      <c r="M1470">
        <v>6.8584580000000006E-2</v>
      </c>
      <c r="N1470">
        <v>0</v>
      </c>
      <c r="O1470">
        <v>-0.99755910000000003</v>
      </c>
      <c r="P1470">
        <v>-1.50385E-2</v>
      </c>
      <c r="Q1470">
        <v>5.4045050000000004E-3</v>
      </c>
      <c r="R1470">
        <v>-0.99987269999999995</v>
      </c>
      <c r="S1470">
        <v>8.1314090000000006E-2</v>
      </c>
      <c r="T1470">
        <v>-0.19565869999999999</v>
      </c>
      <c r="U1470">
        <v>-3.003387</v>
      </c>
      <c r="V1470">
        <v>8.3568859999999995E-2</v>
      </c>
      <c r="W1470">
        <v>1.856298E-2</v>
      </c>
      <c r="X1470">
        <v>0.99632909999999997</v>
      </c>
      <c r="Y1470">
        <v>4.1621730000000003E-2</v>
      </c>
      <c r="Z1470">
        <v>6.4738870000000004E-2</v>
      </c>
      <c r="AA1470">
        <v>0.99703379999999997</v>
      </c>
      <c r="AB1470">
        <v>20</v>
      </c>
      <c r="AC1470">
        <v>0.44720000000000898</v>
      </c>
      <c r="AD1470">
        <v>-1.11031832049</v>
      </c>
      <c r="AE1470">
        <v>-16.846999999999898</v>
      </c>
      <c r="AF1470">
        <v>0.70633113967551397</v>
      </c>
      <c r="AG1470">
        <v>-1.11031832049</v>
      </c>
      <c r="AH1470">
        <v>16.7652271192336</v>
      </c>
      <c r="AI1470">
        <v>93.785671954320605</v>
      </c>
      <c r="AJ1470">
        <v>87.587514095404501</v>
      </c>
      <c r="AK1470">
        <v>16.8167937137606</v>
      </c>
      <c r="AL1470">
        <v>88.9363585066654</v>
      </c>
      <c r="AM1470">
        <v>85.205438197141802</v>
      </c>
      <c r="AN1470">
        <v>1.0000000070474899</v>
      </c>
    </row>
    <row r="1471" spans="1:40" x14ac:dyDescent="0.25">
      <c r="A1471" t="str">
        <f>"20190312154824160"</f>
        <v>20190312154824160</v>
      </c>
      <c r="B1471" t="str">
        <f>"1552376904146957"</f>
        <v>1552376904146957</v>
      </c>
      <c r="C1471" t="s">
        <v>40</v>
      </c>
      <c r="D1471">
        <v>4.9512140000000002</v>
      </c>
      <c r="E1471">
        <v>0.4841278</v>
      </c>
      <c r="F1471" t="s">
        <v>42</v>
      </c>
      <c r="G1471">
        <v>-192.16720000000001</v>
      </c>
      <c r="H1471" s="1">
        <v>-3.4265999999999999E-6</v>
      </c>
      <c r="I1471">
        <v>326.23239999999998</v>
      </c>
      <c r="J1471">
        <v>-192.64359999999999</v>
      </c>
      <c r="K1471">
        <v>1.1102299999999901</v>
      </c>
      <c r="L1471">
        <v>342.59930000000003</v>
      </c>
      <c r="M1471">
        <v>6.9033559999999994E-2</v>
      </c>
      <c r="N1471">
        <v>0</v>
      </c>
      <c r="O1471">
        <v>-0.9975271</v>
      </c>
      <c r="P1471">
        <v>-1.229443E-2</v>
      </c>
      <c r="Q1471">
        <v>5.9104479999999996E-3</v>
      </c>
      <c r="R1471">
        <v>-0.9999072</v>
      </c>
      <c r="S1471">
        <v>8.8989260000000001E-2</v>
      </c>
      <c r="T1471">
        <v>-0.20118079999999999</v>
      </c>
      <c r="U1471">
        <v>-3.002777</v>
      </c>
      <c r="V1471">
        <v>8.1286330000000004E-2</v>
      </c>
      <c r="W1471">
        <v>1.9100280000000001E-2</v>
      </c>
      <c r="X1471">
        <v>0.99650780000000005</v>
      </c>
      <c r="Y1471">
        <v>3.9523099999999999E-2</v>
      </c>
      <c r="Z1471">
        <v>6.6568810000000006E-2</v>
      </c>
      <c r="AA1471">
        <v>0.99699870000000002</v>
      </c>
      <c r="AB1471">
        <v>20</v>
      </c>
      <c r="AC1471">
        <v>0.476399999999984</v>
      </c>
      <c r="AD1471">
        <v>-1.11023342659999</v>
      </c>
      <c r="AE1471">
        <v>-16.366900000000001</v>
      </c>
      <c r="AF1471">
        <v>0.65170418848409595</v>
      </c>
      <c r="AG1471">
        <v>-1.11023342659999</v>
      </c>
      <c r="AH1471">
        <v>16.285862433566201</v>
      </c>
      <c r="AI1471">
        <v>93.896802282135994</v>
      </c>
      <c r="AJ1471">
        <v>87.708442665188997</v>
      </c>
      <c r="AK1471">
        <v>16.336665872076502</v>
      </c>
      <c r="AL1471">
        <v>88.905568062116103</v>
      </c>
      <c r="AM1471">
        <v>85.336639741770696</v>
      </c>
      <c r="AN1471">
        <v>1.0000000418008901</v>
      </c>
    </row>
    <row r="1472" spans="1:40" x14ac:dyDescent="0.25">
      <c r="A1472" t="str">
        <f>"20190312154824184"</f>
        <v>20190312154824184</v>
      </c>
      <c r="B1472" t="str">
        <f>"1552376904177214"</f>
        <v>1552376904177214</v>
      </c>
      <c r="C1472" t="s">
        <v>40</v>
      </c>
      <c r="D1472">
        <v>4.9941709999999997</v>
      </c>
      <c r="E1472">
        <v>0.48479070000000002</v>
      </c>
      <c r="F1472" t="s">
        <v>42</v>
      </c>
      <c r="G1472">
        <v>-192.1198</v>
      </c>
      <c r="H1472" s="1">
        <v>-3.2631609999999999E-6</v>
      </c>
      <c r="I1472">
        <v>325.8809</v>
      </c>
      <c r="J1472">
        <v>-192.62880000000001</v>
      </c>
      <c r="K1472">
        <v>1.1101319999999999</v>
      </c>
      <c r="L1472">
        <v>342.39319999999998</v>
      </c>
      <c r="M1472">
        <v>6.9340540000000006E-2</v>
      </c>
      <c r="N1472">
        <v>0</v>
      </c>
      <c r="O1472">
        <v>-0.99750550000000004</v>
      </c>
      <c r="P1472">
        <v>-1.0533819999999999E-2</v>
      </c>
      <c r="Q1472">
        <v>6.577884E-3</v>
      </c>
      <c r="R1472">
        <v>-0.99992300000000001</v>
      </c>
      <c r="S1472">
        <v>9.4070429999999997E-2</v>
      </c>
      <c r="T1472">
        <v>-0.1993991</v>
      </c>
      <c r="U1472">
        <v>-3.0026549999999999</v>
      </c>
      <c r="V1472">
        <v>7.9842339999999998E-2</v>
      </c>
      <c r="W1472">
        <v>1.9791570000000001E-2</v>
      </c>
      <c r="X1472">
        <v>0.99661100000000002</v>
      </c>
      <c r="Y1472">
        <v>3.814261E-2</v>
      </c>
      <c r="Z1472">
        <v>6.5982509999999994E-2</v>
      </c>
      <c r="AA1472">
        <v>0.99709150000000002</v>
      </c>
      <c r="AB1472">
        <v>20</v>
      </c>
      <c r="AC1472">
        <v>0.509000000000014</v>
      </c>
      <c r="AD1472">
        <v>-1.110135263161</v>
      </c>
      <c r="AE1472">
        <v>-16.5122999999999</v>
      </c>
      <c r="AF1472">
        <v>0.63443225915763501</v>
      </c>
      <c r="AG1472">
        <v>-1.110135263161</v>
      </c>
      <c r="AH1472">
        <v>16.4336369331788</v>
      </c>
      <c r="AI1472">
        <v>93.861740754555498</v>
      </c>
      <c r="AJ1472">
        <v>87.789153534343399</v>
      </c>
      <c r="AK1472">
        <v>16.483304506242401</v>
      </c>
      <c r="AL1472">
        <v>88.865952520058997</v>
      </c>
      <c r="AM1472">
        <v>85.419597394566793</v>
      </c>
      <c r="AN1472">
        <v>0.99999999541036999</v>
      </c>
    </row>
    <row r="1473" spans="1:40" x14ac:dyDescent="0.25">
      <c r="A1473" t="str">
        <f>"20190312154824203"</f>
        <v>20190312154824203</v>
      </c>
      <c r="B1473" t="str">
        <f>"1552376904197708"</f>
        <v>1552376904197708</v>
      </c>
      <c r="C1473" t="s">
        <v>40</v>
      </c>
      <c r="D1473">
        <v>5.0028629999999996</v>
      </c>
      <c r="E1473">
        <v>0.48514689999999999</v>
      </c>
      <c r="F1473" t="s">
        <v>42</v>
      </c>
      <c r="G1473">
        <v>-192.10409999999999</v>
      </c>
      <c r="H1473" s="1">
        <v>-3.1246920000000001E-6</v>
      </c>
      <c r="I1473">
        <v>325.56779999999998</v>
      </c>
      <c r="J1473">
        <v>-192.61609999999999</v>
      </c>
      <c r="K1473">
        <v>1.1100399999999999</v>
      </c>
      <c r="L1473">
        <v>342.21499999999997</v>
      </c>
      <c r="M1473">
        <v>6.9480479999999997E-2</v>
      </c>
      <c r="N1473">
        <v>0</v>
      </c>
      <c r="O1473">
        <v>-0.99749509999999997</v>
      </c>
      <c r="P1473">
        <v>-9.320844E-3</v>
      </c>
      <c r="Q1473">
        <v>6.0795700000000003E-3</v>
      </c>
      <c r="R1473">
        <v>-0.99993790000000005</v>
      </c>
      <c r="S1473">
        <v>9.3627929999999998E-2</v>
      </c>
      <c r="T1473">
        <v>-0.19810710000000001</v>
      </c>
      <c r="U1473">
        <v>-3.0025330000000001</v>
      </c>
      <c r="V1473">
        <v>7.8777760000000002E-2</v>
      </c>
      <c r="W1473">
        <v>1.9307669999999999E-2</v>
      </c>
      <c r="X1473">
        <v>0.99670519999999996</v>
      </c>
      <c r="Y1473">
        <v>3.8427490000000002E-2</v>
      </c>
      <c r="Z1473">
        <v>6.5558290000000005E-2</v>
      </c>
      <c r="AA1473">
        <v>0.99710849999999995</v>
      </c>
      <c r="AB1473">
        <v>20</v>
      </c>
      <c r="AC1473">
        <v>0.51200000000000001</v>
      </c>
      <c r="AD1473">
        <v>-1.1100431246919999</v>
      </c>
      <c r="AE1473">
        <v>-16.647199999999899</v>
      </c>
      <c r="AF1473">
        <v>0.643137929533529</v>
      </c>
      <c r="AG1473">
        <v>-1.1100431246919999</v>
      </c>
      <c r="AH1473">
        <v>16.5689383424595</v>
      </c>
      <c r="AI1473">
        <v>93.829952181588396</v>
      </c>
      <c r="AJ1473">
        <v>87.777129804345293</v>
      </c>
      <c r="AK1473">
        <v>16.618530017161699</v>
      </c>
      <c r="AL1473">
        <v>88.893683240359906</v>
      </c>
      <c r="AM1473">
        <v>85.480840973099802</v>
      </c>
      <c r="AN1473">
        <v>0.999999988649243</v>
      </c>
    </row>
    <row r="1474" spans="1:40" x14ac:dyDescent="0.25">
      <c r="A1474" t="str">
        <f>"20190312154824226"</f>
        <v>20190312154824226</v>
      </c>
      <c r="B1474" t="str">
        <f>"1552376904217229"</f>
        <v>1552376904217229</v>
      </c>
      <c r="C1474" t="s">
        <v>40</v>
      </c>
      <c r="D1474">
        <v>5.0041399999999996</v>
      </c>
      <c r="E1474">
        <v>0.48565510000000001</v>
      </c>
      <c r="F1474" t="s">
        <v>42</v>
      </c>
      <c r="G1474">
        <v>-192.08850000000001</v>
      </c>
      <c r="H1474" s="1">
        <v>-3.0596610000000001E-6</v>
      </c>
      <c r="I1474">
        <v>325.42590000000001</v>
      </c>
      <c r="J1474">
        <v>-192.6018</v>
      </c>
      <c r="K1474">
        <v>1.1099380000000001</v>
      </c>
      <c r="L1474">
        <v>342.01249999999999</v>
      </c>
      <c r="M1474">
        <v>6.9522500000000001E-2</v>
      </c>
      <c r="N1474">
        <v>0</v>
      </c>
      <c r="O1474">
        <v>-0.99749189999999999</v>
      </c>
      <c r="P1474">
        <v>-7.563078E-3</v>
      </c>
      <c r="Q1474">
        <v>4.5871339999999997E-3</v>
      </c>
      <c r="R1474">
        <v>-0.99996099999999999</v>
      </c>
      <c r="S1474">
        <v>9.4345090000000006E-2</v>
      </c>
      <c r="T1474">
        <v>-0.1984986</v>
      </c>
      <c r="U1474">
        <v>-3.0022280000000001</v>
      </c>
      <c r="V1474">
        <v>7.7072280000000007E-2</v>
      </c>
      <c r="W1474">
        <v>1.7830209999999999E-2</v>
      </c>
      <c r="X1474">
        <v>0.99686600000000003</v>
      </c>
      <c r="Y1474">
        <v>3.8228789999999999E-2</v>
      </c>
      <c r="Z1474">
        <v>6.5693650000000006E-2</v>
      </c>
      <c r="AA1474">
        <v>0.99710730000000003</v>
      </c>
      <c r="AB1474">
        <v>20</v>
      </c>
      <c r="AC1474">
        <v>0.51329999999998599</v>
      </c>
      <c r="AD1474">
        <v>-1.10994105966099</v>
      </c>
      <c r="AE1474">
        <v>-16.586599999999901</v>
      </c>
      <c r="AF1474">
        <v>0.63833018917937501</v>
      </c>
      <c r="AG1474">
        <v>-1.10994105966099</v>
      </c>
      <c r="AH1474">
        <v>16.508295160480898</v>
      </c>
      <c r="AI1474">
        <v>93.843649050364107</v>
      </c>
      <c r="AJ1474">
        <v>87.785633585767897</v>
      </c>
      <c r="AK1474">
        <v>16.557875579068</v>
      </c>
      <c r="AL1474">
        <v>88.978350017063505</v>
      </c>
      <c r="AM1474">
        <v>85.5789955671315</v>
      </c>
      <c r="AN1474">
        <v>0.99999993734451897</v>
      </c>
    </row>
    <row r="1475" spans="1:40" x14ac:dyDescent="0.25">
      <c r="A1475" t="str">
        <f>"20190312154824249"</f>
        <v>20190312154824249</v>
      </c>
      <c r="B1475" t="str">
        <f>"1552376904237725"</f>
        <v>1552376904237725</v>
      </c>
      <c r="C1475" t="s">
        <v>40</v>
      </c>
      <c r="D1475">
        <v>5.0170779999999997</v>
      </c>
      <c r="E1475">
        <v>0.48614790000000002</v>
      </c>
      <c r="F1475" t="s">
        <v>41</v>
      </c>
      <c r="G1475">
        <v>-192.57339999999999</v>
      </c>
      <c r="H1475">
        <v>1.048845</v>
      </c>
      <c r="I1475">
        <v>341.11250000000001</v>
      </c>
      <c r="J1475">
        <v>-192.58770000000001</v>
      </c>
      <c r="K1475">
        <v>1.1098509999999999</v>
      </c>
      <c r="L1475">
        <v>341.81049999999999</v>
      </c>
      <c r="M1475">
        <v>6.9451410000000005E-2</v>
      </c>
      <c r="N1475">
        <v>0</v>
      </c>
      <c r="O1475">
        <v>-0.99749650000000001</v>
      </c>
      <c r="P1475">
        <v>-5.6831989999999999E-3</v>
      </c>
      <c r="Q1475">
        <v>2.99118E-3</v>
      </c>
      <c r="R1475">
        <v>-0.99997959999999997</v>
      </c>
      <c r="S1475">
        <v>9.5336909999999997E-2</v>
      </c>
      <c r="T1475">
        <v>-0.2039822</v>
      </c>
      <c r="U1475">
        <v>-3.0018009999999999</v>
      </c>
      <c r="V1475">
        <v>7.5130189999999999E-2</v>
      </c>
      <c r="W1475">
        <v>1.6248289999999999E-2</v>
      </c>
      <c r="X1475">
        <v>0.99704130000000002</v>
      </c>
      <c r="Y1475">
        <v>3.782787E-2</v>
      </c>
      <c r="Z1475">
        <v>6.7510500000000001E-2</v>
      </c>
      <c r="AA1475">
        <v>0.99700120000000003</v>
      </c>
      <c r="AB1475">
        <v>20</v>
      </c>
      <c r="AC1475">
        <v>1.4300000000019899E-2</v>
      </c>
      <c r="AD1475">
        <v>-6.1005999999999803E-2</v>
      </c>
      <c r="AE1475">
        <v>-0.69799999999997897</v>
      </c>
      <c r="AF1475">
        <v>3.3956631940995498E-2</v>
      </c>
      <c r="AG1475">
        <v>-6.1005999999999803E-2</v>
      </c>
      <c r="AH1475">
        <v>0.69202338689731702</v>
      </c>
      <c r="AI1475">
        <v>95.031918822770606</v>
      </c>
      <c r="AJ1475">
        <v>87.190828351540802</v>
      </c>
      <c r="AK1475">
        <v>0.69553659350289398</v>
      </c>
      <c r="AL1475">
        <v>89.069000546952594</v>
      </c>
      <c r="AM1475">
        <v>85.690727099029701</v>
      </c>
      <c r="AN1475">
        <v>0.99999995314152401</v>
      </c>
    </row>
    <row r="1476" spans="1:40" x14ac:dyDescent="0.25">
      <c r="A1476" t="str">
        <f>"20190312154824269"</f>
        <v>20190312154824269</v>
      </c>
      <c r="B1476" t="str">
        <f>"1552376904267005"</f>
        <v>1552376904267005</v>
      </c>
      <c r="C1476" t="s">
        <v>40</v>
      </c>
      <c r="D1476">
        <v>5.0230480000000002</v>
      </c>
      <c r="E1476">
        <v>0.49310939999999998</v>
      </c>
      <c r="F1476" t="s">
        <v>41</v>
      </c>
      <c r="G1476">
        <v>-192.55950000000001</v>
      </c>
      <c r="H1476">
        <v>1.048802</v>
      </c>
      <c r="I1476">
        <v>340.93610000000001</v>
      </c>
      <c r="J1476">
        <v>-192.57480000000001</v>
      </c>
      <c r="K1476">
        <v>1.1097950000000001</v>
      </c>
      <c r="L1476">
        <v>341.62520000000001</v>
      </c>
      <c r="M1476">
        <v>6.9313550000000002E-2</v>
      </c>
      <c r="N1476">
        <v>0</v>
      </c>
      <c r="O1476">
        <v>-0.99750570000000005</v>
      </c>
      <c r="P1476">
        <v>-4.2919550000000001E-3</v>
      </c>
      <c r="Q1476">
        <v>1.946801E-3</v>
      </c>
      <c r="R1476">
        <v>-0.99998889999999996</v>
      </c>
      <c r="S1476">
        <v>9.6786499999999998E-2</v>
      </c>
      <c r="T1476">
        <v>-0.20960390000000001</v>
      </c>
      <c r="U1476">
        <v>-3.0012509999999999</v>
      </c>
      <c r="V1476">
        <v>7.3606829999999998E-2</v>
      </c>
      <c r="W1476">
        <v>1.52175E-2</v>
      </c>
      <c r="X1476">
        <v>0.99717120000000004</v>
      </c>
      <c r="Y1476">
        <v>3.7207079999999997E-2</v>
      </c>
      <c r="Z1476">
        <v>6.9376080000000007E-2</v>
      </c>
      <c r="AA1476">
        <v>0.99689649999999996</v>
      </c>
      <c r="AB1476">
        <v>20</v>
      </c>
      <c r="AC1476">
        <v>1.5299999999996299E-2</v>
      </c>
      <c r="AD1476">
        <v>-6.0992999999999999E-2</v>
      </c>
      <c r="AE1476">
        <v>-0.68909999999999605</v>
      </c>
      <c r="AF1476">
        <v>3.22524750096254E-2</v>
      </c>
      <c r="AG1476">
        <v>-6.0992999999999999E-2</v>
      </c>
      <c r="AH1476">
        <v>0.68315362284215897</v>
      </c>
      <c r="AI1476">
        <v>95.096280919279096</v>
      </c>
      <c r="AJ1476">
        <v>87.297006820505402</v>
      </c>
      <c r="AK1476">
        <v>0.68662889583501596</v>
      </c>
      <c r="AL1476">
        <v>89.128067794263302</v>
      </c>
      <c r="AM1476">
        <v>85.778331877695095</v>
      </c>
      <c r="AN1476">
        <v>0.99999996991916895</v>
      </c>
    </row>
    <row r="1477" spans="1:40" x14ac:dyDescent="0.25">
      <c r="A1477" t="str">
        <f>"20190312154824295"</f>
        <v>20190312154824295</v>
      </c>
      <c r="B1477" t="str">
        <f>"1552376904287502"</f>
        <v>1552376904287502</v>
      </c>
      <c r="C1477" t="s">
        <v>40</v>
      </c>
      <c r="D1477">
        <v>5.0366589999999896</v>
      </c>
      <c r="E1477">
        <v>0.49319229999999997</v>
      </c>
      <c r="F1477" t="s">
        <v>41</v>
      </c>
      <c r="G1477">
        <v>-192.56190000000001</v>
      </c>
      <c r="H1477">
        <v>1.0469869999999999</v>
      </c>
      <c r="I1477">
        <v>340.76159999999999</v>
      </c>
      <c r="J1477">
        <v>-192.56049999999999</v>
      </c>
      <c r="K1477">
        <v>1.109769</v>
      </c>
      <c r="L1477">
        <v>341.41579999999999</v>
      </c>
      <c r="M1477">
        <v>6.9080649999999993E-2</v>
      </c>
      <c r="N1477">
        <v>0</v>
      </c>
      <c r="O1477">
        <v>-0.99752189999999996</v>
      </c>
      <c r="P1477">
        <v>-4.1767410000000003E-3</v>
      </c>
      <c r="Q1477">
        <v>1.13313E-3</v>
      </c>
      <c r="R1477">
        <v>-0.99999099999999996</v>
      </c>
      <c r="S1477">
        <v>4.5516969999999997E-2</v>
      </c>
      <c r="T1477">
        <v>-0.2184739</v>
      </c>
      <c r="U1477">
        <v>-3.00061</v>
      </c>
      <c r="V1477">
        <v>7.3260259999999994E-2</v>
      </c>
      <c r="W1477">
        <v>1.4416969999999999E-2</v>
      </c>
      <c r="X1477">
        <v>0.99720869999999995</v>
      </c>
      <c r="Y1477">
        <v>5.3987260000000002E-2</v>
      </c>
      <c r="Z1477">
        <v>7.230056E-2</v>
      </c>
      <c r="AA1477">
        <v>0.99592069999999999</v>
      </c>
      <c r="AB1477">
        <v>20</v>
      </c>
      <c r="AC1477">
        <v>-1.40000000001805E-3</v>
      </c>
      <c r="AD1477">
        <v>-6.2781999999999893E-2</v>
      </c>
      <c r="AE1477">
        <v>-0.654200000000002</v>
      </c>
      <c r="AF1477">
        <v>4.6168041557429998E-2</v>
      </c>
      <c r="AG1477">
        <v>-6.2781999999999893E-2</v>
      </c>
      <c r="AH1477">
        <v>0.64658528715211305</v>
      </c>
      <c r="AI1477">
        <v>95.5319118107207</v>
      </c>
      <c r="AJ1477">
        <v>85.915848652398793</v>
      </c>
      <c r="AK1477">
        <v>0.65126461683929204</v>
      </c>
      <c r="AL1477">
        <v>89.173939891797005</v>
      </c>
      <c r="AM1477">
        <v>85.798295241661407</v>
      </c>
      <c r="AN1477">
        <v>1.00000005303746</v>
      </c>
    </row>
    <row r="1478" spans="1:40" x14ac:dyDescent="0.25">
      <c r="A1478" t="str">
        <f>"20190312154824315"</f>
        <v>20190312154824315</v>
      </c>
      <c r="B1478" t="str">
        <f>"1552376904307021"</f>
        <v>1552376904307021</v>
      </c>
      <c r="C1478" t="s">
        <v>40</v>
      </c>
      <c r="D1478">
        <v>5.0155979999999998</v>
      </c>
      <c r="E1478">
        <v>0.49348950000000003</v>
      </c>
      <c r="F1478" t="s">
        <v>41</v>
      </c>
      <c r="G1478">
        <v>-192.548</v>
      </c>
      <c r="H1478">
        <v>1.04852099999999</v>
      </c>
      <c r="I1478">
        <v>340.58440000000002</v>
      </c>
      <c r="J1478">
        <v>-192.54750000000001</v>
      </c>
      <c r="K1478">
        <v>1.10975</v>
      </c>
      <c r="L1478">
        <v>341.22559999999999</v>
      </c>
      <c r="M1478">
        <v>6.8810570000000001E-2</v>
      </c>
      <c r="N1478">
        <v>0</v>
      </c>
      <c r="O1478">
        <v>-0.99754010000000004</v>
      </c>
      <c r="P1478">
        <v>-3.4477520000000001E-3</v>
      </c>
      <c r="Q1478">
        <v>1.6302350000000001E-3</v>
      </c>
      <c r="R1478">
        <v>-0.99999249999999995</v>
      </c>
      <c r="S1478">
        <v>4.5150759999999998E-2</v>
      </c>
      <c r="T1478">
        <v>-0.22116420000000001</v>
      </c>
      <c r="U1478">
        <v>-3.000397</v>
      </c>
      <c r="V1478">
        <v>7.2264460000000003E-2</v>
      </c>
      <c r="W1478">
        <v>1.4925229999999999E-2</v>
      </c>
      <c r="X1478">
        <v>0.99727379999999999</v>
      </c>
      <c r="Y1478">
        <v>5.3838379999999998E-2</v>
      </c>
      <c r="Z1478">
        <v>7.3193720000000004E-2</v>
      </c>
      <c r="AA1478">
        <v>0.99586350000000001</v>
      </c>
      <c r="AB1478">
        <v>20</v>
      </c>
      <c r="AC1478">
        <v>-4.9999999998817603E-4</v>
      </c>
      <c r="AD1478">
        <v>-6.12290000000002E-2</v>
      </c>
      <c r="AE1478">
        <v>-0.64119999999996902</v>
      </c>
      <c r="AF1478">
        <v>4.4220866965140999E-2</v>
      </c>
      <c r="AG1478">
        <v>-6.12290000000002E-2</v>
      </c>
      <c r="AH1478">
        <v>0.63386555954546697</v>
      </c>
      <c r="AI1478">
        <v>95.504140352973906</v>
      </c>
      <c r="AJ1478">
        <v>86.009294838170604</v>
      </c>
      <c r="AK1478">
        <v>0.63834945217649897</v>
      </c>
      <c r="AL1478">
        <v>89.144815537496896</v>
      </c>
      <c r="AM1478">
        <v>85.855476697862898</v>
      </c>
      <c r="AN1478">
        <v>0.99999997341804103</v>
      </c>
    </row>
    <row r="1479" spans="1:40" x14ac:dyDescent="0.25">
      <c r="A1479" t="str">
        <f>"20190312154824340"</f>
        <v>20190312154824340</v>
      </c>
      <c r="B1479" t="str">
        <f>"1552376904327518"</f>
        <v>1552376904327518</v>
      </c>
      <c r="C1479" t="s">
        <v>40</v>
      </c>
      <c r="D1479">
        <v>5.0135759999999996</v>
      </c>
      <c r="E1479">
        <v>0.49385030000000002</v>
      </c>
      <c r="F1479" t="s">
        <v>41</v>
      </c>
      <c r="G1479">
        <v>-192.53550000000001</v>
      </c>
      <c r="H1479">
        <v>1.049866</v>
      </c>
      <c r="I1479">
        <v>340.40769999999998</v>
      </c>
      <c r="J1479">
        <v>-192.5335</v>
      </c>
      <c r="K1479">
        <v>1.1097379999999999</v>
      </c>
      <c r="L1479">
        <v>341.017</v>
      </c>
      <c r="M1479">
        <v>6.8468009999999996E-2</v>
      </c>
      <c r="N1479">
        <v>0</v>
      </c>
      <c r="O1479">
        <v>-0.99756369999999905</v>
      </c>
      <c r="P1479">
        <v>-3.3891559999999999E-3</v>
      </c>
      <c r="Q1479">
        <v>2.2610310000000002E-3</v>
      </c>
      <c r="R1479">
        <v>-0.99999210000000005</v>
      </c>
      <c r="S1479">
        <v>4.4723510000000001E-2</v>
      </c>
      <c r="T1479">
        <v>-0.21982180000000001</v>
      </c>
      <c r="U1479">
        <v>-3.0005489999999999</v>
      </c>
      <c r="V1479">
        <v>7.1864730000000002E-2</v>
      </c>
      <c r="W1479">
        <v>1.55665E-2</v>
      </c>
      <c r="X1479">
        <v>0.99729290000000004</v>
      </c>
      <c r="Y1479">
        <v>5.3637509999999999E-2</v>
      </c>
      <c r="Z1479">
        <v>7.2751189999999993E-2</v>
      </c>
      <c r="AA1479">
        <v>0.99590679999999998</v>
      </c>
      <c r="AB1479">
        <v>20</v>
      </c>
      <c r="AC1479">
        <v>-2.0000000000095402E-3</v>
      </c>
      <c r="AD1479">
        <v>-5.9871999999999898E-2</v>
      </c>
      <c r="AE1479">
        <v>-0.60930000000001805</v>
      </c>
      <c r="AF1479">
        <v>4.3298519872297103E-2</v>
      </c>
      <c r="AG1479">
        <v>-5.9871999999999898E-2</v>
      </c>
      <c r="AH1479">
        <v>0.60192103375018902</v>
      </c>
      <c r="AI1479">
        <v>95.665878708638402</v>
      </c>
      <c r="AJ1479">
        <v>85.885578750579</v>
      </c>
      <c r="AK1479">
        <v>0.60643907284906096</v>
      </c>
      <c r="AL1479">
        <v>89.108069216975295</v>
      </c>
      <c r="AM1479">
        <v>85.878401516975302</v>
      </c>
      <c r="AN1479">
        <v>0.99999999186531596</v>
      </c>
    </row>
    <row r="1480" spans="1:40" x14ac:dyDescent="0.25">
      <c r="A1480" t="str">
        <f>"20190312154824361"</f>
        <v>20190312154824361</v>
      </c>
      <c r="B1480" t="str">
        <f>"1552376904356797"</f>
        <v>1552376904356797</v>
      </c>
      <c r="C1480" t="s">
        <v>40</v>
      </c>
      <c r="D1480">
        <v>5.046163</v>
      </c>
      <c r="E1480">
        <v>0.49441210000000002</v>
      </c>
      <c r="F1480" t="s">
        <v>41</v>
      </c>
      <c r="G1480">
        <v>-192.52250000000001</v>
      </c>
      <c r="H1480">
        <v>1.0523579999999999</v>
      </c>
      <c r="I1480">
        <v>340.22190000000001</v>
      </c>
      <c r="J1480">
        <v>-192.52090000000001</v>
      </c>
      <c r="K1480">
        <v>1.1097300000000001</v>
      </c>
      <c r="L1480">
        <v>340.82729999999998</v>
      </c>
      <c r="M1480">
        <v>6.8131709999999998E-2</v>
      </c>
      <c r="N1480">
        <v>0</v>
      </c>
      <c r="O1480">
        <v>-0.99758670000000005</v>
      </c>
      <c r="P1480">
        <v>-4.4025239999999997E-3</v>
      </c>
      <c r="Q1480">
        <v>2.3210840000000002E-3</v>
      </c>
      <c r="R1480">
        <v>-0.99998770000000003</v>
      </c>
      <c r="S1480">
        <v>4.2175289999999997E-2</v>
      </c>
      <c r="T1480">
        <v>-0.21669859999999999</v>
      </c>
      <c r="U1480">
        <v>-3.0006710000000001</v>
      </c>
      <c r="V1480">
        <v>7.2539899999999893E-2</v>
      </c>
      <c r="W1480">
        <v>1.5633250000000001E-2</v>
      </c>
      <c r="X1480">
        <v>0.99724299999999999</v>
      </c>
      <c r="Y1480">
        <v>5.4145989999999998E-2</v>
      </c>
      <c r="Z1480">
        <v>7.1721999999999994E-2</v>
      </c>
      <c r="AA1480">
        <v>0.99595389999999995</v>
      </c>
      <c r="AB1480">
        <v>20</v>
      </c>
      <c r="AC1480">
        <v>-1.59999999999627E-3</v>
      </c>
      <c r="AD1480">
        <v>-5.7371999999999902E-2</v>
      </c>
      <c r="AE1480">
        <v>-0.60539999999997396</v>
      </c>
      <c r="AF1480">
        <v>4.2465535700178698E-2</v>
      </c>
      <c r="AG1480">
        <v>-5.7371999999999902E-2</v>
      </c>
      <c r="AH1480">
        <v>0.59850892805922395</v>
      </c>
      <c r="AI1480">
        <v>95.461893500935801</v>
      </c>
      <c r="AJ1480">
        <v>85.941538657639995</v>
      </c>
      <c r="AK1480">
        <v>0.60275020122178702</v>
      </c>
      <c r="AL1480">
        <v>89.104244281920899</v>
      </c>
      <c r="AM1480">
        <v>85.839606938997207</v>
      </c>
      <c r="AN1480">
        <v>1.00000001832328</v>
      </c>
    </row>
    <row r="1481" spans="1:40" x14ac:dyDescent="0.25">
      <c r="A1481" t="str">
        <f>"20190312154824384"</f>
        <v>20190312154824384</v>
      </c>
      <c r="B1481" t="str">
        <f>"1552376904377293"</f>
        <v>1552376904377293</v>
      </c>
      <c r="C1481" t="s">
        <v>40</v>
      </c>
      <c r="D1481">
        <v>5.0466939999999996</v>
      </c>
      <c r="E1481">
        <v>0.49458210000000002</v>
      </c>
      <c r="F1481" t="s">
        <v>42</v>
      </c>
      <c r="G1481">
        <v>-192.34229999999999</v>
      </c>
      <c r="H1481" s="1">
        <v>-3.1371020000000001E-6</v>
      </c>
      <c r="I1481">
        <v>325.44900000000001</v>
      </c>
      <c r="J1481">
        <v>-192.5078</v>
      </c>
      <c r="K1481">
        <v>1.1097269999999999</v>
      </c>
      <c r="L1481">
        <v>340.6293</v>
      </c>
      <c r="M1481">
        <v>6.7766939999999998E-2</v>
      </c>
      <c r="N1481">
        <v>0</v>
      </c>
      <c r="O1481">
        <v>-0.99761149999999998</v>
      </c>
      <c r="P1481">
        <v>-5.4518149999999996E-3</v>
      </c>
      <c r="Q1481">
        <v>4.6210979999999997E-3</v>
      </c>
      <c r="R1481">
        <v>-0.99997480000000005</v>
      </c>
      <c r="S1481">
        <v>3.4851069999999998E-2</v>
      </c>
      <c r="T1481">
        <v>-0.21653639999999999</v>
      </c>
      <c r="U1481">
        <v>-3.0006710000000001</v>
      </c>
      <c r="V1481">
        <v>7.3223060000000006E-2</v>
      </c>
      <c r="W1481">
        <v>1.7920789999999999E-2</v>
      </c>
      <c r="X1481">
        <v>0.9971546</v>
      </c>
      <c r="Y1481">
        <v>5.6211299999999999E-2</v>
      </c>
      <c r="Z1481">
        <v>7.1668239999999994E-2</v>
      </c>
      <c r="AA1481">
        <v>0.99584340000000005</v>
      </c>
      <c r="AB1481">
        <v>20</v>
      </c>
      <c r="AC1481">
        <v>0.165500000000008</v>
      </c>
      <c r="AD1481">
        <v>-1.1097301371019901</v>
      </c>
      <c r="AE1481">
        <v>-15.1802999999999</v>
      </c>
      <c r="AF1481">
        <v>0.85910446396301898</v>
      </c>
      <c r="AG1481">
        <v>-1.1097301371019901</v>
      </c>
      <c r="AH1481">
        <v>15.076055107750699</v>
      </c>
      <c r="AI1481">
        <v>94.203086193328005</v>
      </c>
      <c r="AJ1481">
        <v>86.738544453125698</v>
      </c>
      <c r="AK1481">
        <v>15.141235057587901</v>
      </c>
      <c r="AL1481">
        <v>88.973159434683296</v>
      </c>
      <c r="AM1481">
        <v>85.800194112417202</v>
      </c>
      <c r="AN1481">
        <v>1.0000000337655699</v>
      </c>
    </row>
    <row r="1482" spans="1:40" x14ac:dyDescent="0.25">
      <c r="A1482" t="str">
        <f>"20190312154824405"</f>
        <v>20190312154824405</v>
      </c>
      <c r="B1482" t="str">
        <f>"1552376904397789"</f>
        <v>1552376904397789</v>
      </c>
      <c r="C1482" t="s">
        <v>40</v>
      </c>
      <c r="D1482">
        <v>5.033004</v>
      </c>
      <c r="E1482">
        <v>0.49474649999999998</v>
      </c>
      <c r="F1482" t="s">
        <v>42</v>
      </c>
      <c r="G1482">
        <v>-192.34620000000001</v>
      </c>
      <c r="H1482" s="1">
        <v>-2.838392E-6</v>
      </c>
      <c r="I1482">
        <v>324.75029999999998</v>
      </c>
      <c r="J1482">
        <v>-192.49549999999999</v>
      </c>
      <c r="K1482">
        <v>1.1097159999999999</v>
      </c>
      <c r="L1482">
        <v>340.44240000000002</v>
      </c>
      <c r="M1482">
        <v>6.7408029999999994E-2</v>
      </c>
      <c r="N1482">
        <v>0</v>
      </c>
      <c r="O1482">
        <v>-0.997637</v>
      </c>
      <c r="P1482">
        <v>-7.2123059999999999E-3</v>
      </c>
      <c r="Q1482">
        <v>4.6418259999999999E-3</v>
      </c>
      <c r="R1482">
        <v>-0.99996370000000001</v>
      </c>
      <c r="S1482">
        <v>3.0548100000000002E-2</v>
      </c>
      <c r="T1482">
        <v>-0.2097493</v>
      </c>
      <c r="U1482">
        <v>-3.0012819999999998</v>
      </c>
      <c r="V1482">
        <v>7.4619840000000007E-2</v>
      </c>
      <c r="W1482">
        <v>1.7869779999999998E-2</v>
      </c>
      <c r="X1482">
        <v>0.99705200000000005</v>
      </c>
      <c r="Y1482">
        <v>5.7280299999999999E-2</v>
      </c>
      <c r="Z1482">
        <v>6.9419889999999998E-2</v>
      </c>
      <c r="AA1482">
        <v>0.99594170000000004</v>
      </c>
      <c r="AB1482">
        <v>20</v>
      </c>
      <c r="AC1482">
        <v>0.149299999999982</v>
      </c>
      <c r="AD1482">
        <v>-1.109718838392</v>
      </c>
      <c r="AE1482">
        <v>-15.6921</v>
      </c>
      <c r="AF1482">
        <v>0.904384103844601</v>
      </c>
      <c r="AG1482">
        <v>-1.109718838392</v>
      </c>
      <c r="AH1482">
        <v>15.588514442831499</v>
      </c>
      <c r="AI1482">
        <v>94.065103646408801</v>
      </c>
      <c r="AJ1482">
        <v>86.679646878158096</v>
      </c>
      <c r="AK1482">
        <v>15.6541102922502</v>
      </c>
      <c r="AL1482">
        <v>88.976082597627595</v>
      </c>
      <c r="AM1482">
        <v>85.719936064644301</v>
      </c>
      <c r="AN1482">
        <v>1.00000007013143</v>
      </c>
    </row>
    <row r="1483" spans="1:40" x14ac:dyDescent="0.25">
      <c r="A1483" t="str">
        <f>"20190312154824428"</f>
        <v>20190312154824428</v>
      </c>
      <c r="B1483" t="str">
        <f>"1552376904417309"</f>
        <v>1552376904417309</v>
      </c>
      <c r="C1483" t="s">
        <v>40</v>
      </c>
      <c r="D1483">
        <v>5.0551409999999999</v>
      </c>
      <c r="E1483">
        <v>0.4947472</v>
      </c>
      <c r="F1483" t="s">
        <v>41</v>
      </c>
      <c r="G1483">
        <v>-192.48830000000001</v>
      </c>
      <c r="H1483">
        <v>1.046089</v>
      </c>
      <c r="I1483">
        <v>339.53489999999999</v>
      </c>
      <c r="J1483">
        <v>-192.48240000000001</v>
      </c>
      <c r="K1483">
        <v>1.10968</v>
      </c>
      <c r="L1483">
        <v>340.24110000000002</v>
      </c>
      <c r="M1483">
        <v>6.7029469999999994E-2</v>
      </c>
      <c r="N1483">
        <v>0</v>
      </c>
      <c r="O1483">
        <v>-0.99766460000000001</v>
      </c>
      <c r="P1483">
        <v>-8.6744950000000008E-3</v>
      </c>
      <c r="Q1483">
        <v>4.3926690000000001E-3</v>
      </c>
      <c r="R1483">
        <v>-0.99995290000000003</v>
      </c>
      <c r="S1483">
        <v>2.4078370000000002E-2</v>
      </c>
      <c r="T1483">
        <v>-0.21048890000000001</v>
      </c>
      <c r="U1483">
        <v>-3.0012210000000001</v>
      </c>
      <c r="V1483">
        <v>7.5698680000000004E-2</v>
      </c>
      <c r="W1483">
        <v>1.744832E-2</v>
      </c>
      <c r="X1483">
        <v>0.99697800000000003</v>
      </c>
      <c r="Y1483">
        <v>5.9047929999999998E-2</v>
      </c>
      <c r="Z1483">
        <v>6.9664610000000002E-2</v>
      </c>
      <c r="AA1483">
        <v>0.99582139999999997</v>
      </c>
      <c r="AB1483">
        <v>20</v>
      </c>
      <c r="AC1483">
        <v>-5.8999999999968999E-3</v>
      </c>
      <c r="AD1483">
        <v>-6.3590999999999898E-2</v>
      </c>
      <c r="AE1483">
        <v>-0.70620000000002303</v>
      </c>
      <c r="AF1483">
        <v>5.2798935400756503E-2</v>
      </c>
      <c r="AG1483">
        <v>-6.3590999999999898E-2</v>
      </c>
      <c r="AH1483">
        <v>0.69855221646459398</v>
      </c>
      <c r="AI1483">
        <v>95.186732014727994</v>
      </c>
      <c r="AJ1483">
        <v>85.677610055838201</v>
      </c>
      <c r="AK1483">
        <v>0.70342500807694597</v>
      </c>
      <c r="AL1483">
        <v>89.000234104529696</v>
      </c>
      <c r="AM1483">
        <v>85.657969592423697</v>
      </c>
      <c r="AN1483">
        <v>0.99999993325428005</v>
      </c>
    </row>
    <row r="1484" spans="1:40" x14ac:dyDescent="0.25">
      <c r="A1484" t="str">
        <f>"20190312154824450"</f>
        <v>20190312154824450</v>
      </c>
      <c r="B1484" t="str">
        <f>"1552376904447566"</f>
        <v>1552376904447566</v>
      </c>
      <c r="C1484" t="s">
        <v>40</v>
      </c>
      <c r="D1484">
        <v>5.0735839999999897</v>
      </c>
      <c r="E1484">
        <v>0.49487160000000002</v>
      </c>
      <c r="F1484" t="s">
        <v>41</v>
      </c>
      <c r="G1484">
        <v>-192.4769</v>
      </c>
      <c r="H1484">
        <v>1.04697</v>
      </c>
      <c r="I1484">
        <v>339.35879999999997</v>
      </c>
      <c r="J1484">
        <v>-192.4699</v>
      </c>
      <c r="K1484">
        <v>1.109661</v>
      </c>
      <c r="L1484">
        <v>340.04829999999998</v>
      </c>
      <c r="M1484">
        <v>6.6669919999999994E-2</v>
      </c>
      <c r="N1484">
        <v>0</v>
      </c>
      <c r="O1484">
        <v>-0.9976912</v>
      </c>
      <c r="P1484">
        <v>-9.7273389999999998E-3</v>
      </c>
      <c r="Q1484">
        <v>3.32235E-3</v>
      </c>
      <c r="R1484">
        <v>-0.99994720000000004</v>
      </c>
      <c r="S1484">
        <v>1.9424440000000001E-2</v>
      </c>
      <c r="T1484">
        <v>-0.21360409999999999</v>
      </c>
      <c r="U1484">
        <v>-3.0012210000000001</v>
      </c>
      <c r="V1484">
        <v>7.6387609999999995E-2</v>
      </c>
      <c r="W1484">
        <v>1.6176300000000001E-2</v>
      </c>
      <c r="X1484">
        <v>0.99694700000000003</v>
      </c>
      <c r="Y1484">
        <v>6.0232540000000001E-2</v>
      </c>
      <c r="Z1484">
        <v>7.0690909999999996E-2</v>
      </c>
      <c r="AA1484">
        <v>0.99567810000000001</v>
      </c>
      <c r="AB1484">
        <v>20</v>
      </c>
      <c r="AC1484">
        <v>-7.0000000000049996E-3</v>
      </c>
      <c r="AD1484">
        <v>-6.2690999999999802E-2</v>
      </c>
      <c r="AE1484">
        <v>-0.68950000000000899</v>
      </c>
      <c r="AF1484">
        <v>5.2523023702425502E-2</v>
      </c>
      <c r="AG1484">
        <v>-6.2690999999999802E-2</v>
      </c>
      <c r="AH1484">
        <v>0.68186263747475595</v>
      </c>
      <c r="AI1484">
        <v>95.237622909474098</v>
      </c>
      <c r="AJ1484">
        <v>85.5952759328501</v>
      </c>
      <c r="AK1484">
        <v>0.68674994421832702</v>
      </c>
      <c r="AL1484">
        <v>89.073125883942893</v>
      </c>
      <c r="AM1484">
        <v>85.618470458991794</v>
      </c>
      <c r="AN1484">
        <v>1.0000000302261001</v>
      </c>
    </row>
    <row r="1485" spans="1:40" x14ac:dyDescent="0.25">
      <c r="A1485" t="str">
        <f>"20190312154824472"</f>
        <v>20190312154824472</v>
      </c>
      <c r="B1485" t="str">
        <f>"1552376904467085"</f>
        <v>1552376904467085</v>
      </c>
      <c r="C1485" t="s">
        <v>40</v>
      </c>
      <c r="D1485">
        <v>5.0820509999999999</v>
      </c>
      <c r="E1485">
        <v>0.49479649999999997</v>
      </c>
      <c r="F1485" t="s">
        <v>41</v>
      </c>
      <c r="G1485">
        <v>-192.4657</v>
      </c>
      <c r="H1485">
        <v>1.046699</v>
      </c>
      <c r="I1485">
        <v>339.18360000000001</v>
      </c>
      <c r="J1485">
        <v>-192.4573</v>
      </c>
      <c r="K1485">
        <v>1.1096429999999999</v>
      </c>
      <c r="L1485">
        <v>339.85289999999998</v>
      </c>
      <c r="M1485">
        <v>6.6311690000000006E-2</v>
      </c>
      <c r="N1485">
        <v>0</v>
      </c>
      <c r="O1485">
        <v>-0.99771799999999999</v>
      </c>
      <c r="P1485">
        <v>-9.9373659999999996E-3</v>
      </c>
      <c r="Q1485">
        <v>2.8609799999999999E-3</v>
      </c>
      <c r="R1485">
        <v>-0.99994689999999997</v>
      </c>
      <c r="S1485">
        <v>1.5182499999999899E-2</v>
      </c>
      <c r="T1485">
        <v>-0.21873970000000001</v>
      </c>
      <c r="U1485">
        <v>-3.0010680000000001</v>
      </c>
      <c r="V1485">
        <v>7.6237659999999999E-2</v>
      </c>
      <c r="W1485">
        <v>1.549212E-2</v>
      </c>
      <c r="X1485">
        <v>0.99696929999999995</v>
      </c>
      <c r="Y1485">
        <v>6.1281519999999999E-2</v>
      </c>
      <c r="Z1485">
        <v>7.238588E-2</v>
      </c>
      <c r="AA1485">
        <v>0.9954923</v>
      </c>
      <c r="AB1485">
        <v>20</v>
      </c>
      <c r="AC1485">
        <v>-8.3999999999946305E-3</v>
      </c>
      <c r="AD1485">
        <v>-6.2943999999999806E-2</v>
      </c>
      <c r="AE1485">
        <v>-0.66929999999996403</v>
      </c>
      <c r="AF1485">
        <v>5.2304976006319698E-2</v>
      </c>
      <c r="AG1485">
        <v>-6.2943999999999806E-2</v>
      </c>
      <c r="AH1485">
        <v>0.66142061182816603</v>
      </c>
      <c r="AI1485">
        <v>95.419356002629002</v>
      </c>
      <c r="AJ1485">
        <v>85.478473749634205</v>
      </c>
      <c r="AK1485">
        <v>0.66646454024363999</v>
      </c>
      <c r="AL1485">
        <v>89.112331385725795</v>
      </c>
      <c r="AM1485">
        <v>85.627135504836104</v>
      </c>
      <c r="AN1485">
        <v>0.99999998586342898</v>
      </c>
    </row>
    <row r="1486" spans="1:40" x14ac:dyDescent="0.25">
      <c r="A1486" t="str">
        <f>"20190312154824494"</f>
        <v>20190312154824494</v>
      </c>
      <c r="B1486" t="str">
        <f>"1552376904487582"</f>
        <v>1552376904487582</v>
      </c>
      <c r="C1486" t="s">
        <v>40</v>
      </c>
      <c r="D1486">
        <v>5.1198240000000004</v>
      </c>
      <c r="E1486">
        <v>0.494722</v>
      </c>
      <c r="F1486" t="s">
        <v>41</v>
      </c>
      <c r="G1486">
        <v>-192.45320000000001</v>
      </c>
      <c r="H1486">
        <v>1.0472189999999999</v>
      </c>
      <c r="I1486">
        <v>339.00749999999999</v>
      </c>
      <c r="J1486">
        <v>-192.4451</v>
      </c>
      <c r="K1486">
        <v>1.10961</v>
      </c>
      <c r="L1486">
        <v>339.66359999999997</v>
      </c>
      <c r="M1486">
        <v>6.597459E-2</v>
      </c>
      <c r="N1486">
        <v>0</v>
      </c>
      <c r="O1486">
        <v>-0.99774370000000001</v>
      </c>
      <c r="P1486">
        <v>-9.8212990000000003E-3</v>
      </c>
      <c r="Q1486">
        <v>2.2861629999999999E-3</v>
      </c>
      <c r="R1486">
        <v>-0.99994919999999998</v>
      </c>
      <c r="S1486">
        <v>1.5136719999999999E-2</v>
      </c>
      <c r="T1486">
        <v>-0.22187170000000001</v>
      </c>
      <c r="U1486">
        <v>-3.0009459999999999</v>
      </c>
      <c r="V1486">
        <v>7.578385E-2</v>
      </c>
      <c r="W1486">
        <v>1.465632E-2</v>
      </c>
      <c r="X1486">
        <v>0.99701649999999997</v>
      </c>
      <c r="Y1486">
        <v>6.095942E-2</v>
      </c>
      <c r="Z1486">
        <v>7.3422920000000003E-2</v>
      </c>
      <c r="AA1486">
        <v>0.99543610000000005</v>
      </c>
      <c r="AB1486">
        <v>20</v>
      </c>
      <c r="AC1486">
        <v>-8.1000000000130898E-3</v>
      </c>
      <c r="AD1486">
        <v>-6.2390999999999801E-2</v>
      </c>
      <c r="AE1486">
        <v>-0.65609999999998003</v>
      </c>
      <c r="AF1486">
        <v>5.0911318734966203E-2</v>
      </c>
      <c r="AG1486">
        <v>-6.2390999999999801E-2</v>
      </c>
      <c r="AH1486">
        <v>0.64827456403327499</v>
      </c>
      <c r="AI1486">
        <v>95.480536546671701</v>
      </c>
      <c r="AJ1486">
        <v>85.509574100795007</v>
      </c>
      <c r="AK1486">
        <v>0.65325684813009499</v>
      </c>
      <c r="AL1486">
        <v>89.160224612329401</v>
      </c>
      <c r="AM1486">
        <v>85.653270220022605</v>
      </c>
      <c r="AN1486">
        <v>0.99999995045450596</v>
      </c>
    </row>
    <row r="1487" spans="1:40" x14ac:dyDescent="0.25">
      <c r="A1487" t="str">
        <f>"20190312154824516"</f>
        <v>20190312154824516</v>
      </c>
      <c r="B1487" t="str">
        <f>"1552376904507101"</f>
        <v>1552376904507101</v>
      </c>
      <c r="C1487" t="s">
        <v>40</v>
      </c>
      <c r="D1487">
        <v>5.0956060000000001</v>
      </c>
      <c r="E1487">
        <v>0.49467250000000001</v>
      </c>
      <c r="F1487" t="s">
        <v>41</v>
      </c>
      <c r="G1487">
        <v>-192.4408</v>
      </c>
      <c r="H1487">
        <v>1.0473330000000001</v>
      </c>
      <c r="I1487">
        <v>338.83139999999997</v>
      </c>
      <c r="J1487">
        <v>-192.4325</v>
      </c>
      <c r="K1487">
        <v>1.109553</v>
      </c>
      <c r="L1487">
        <v>339.4674</v>
      </c>
      <c r="M1487">
        <v>6.5638050000000003E-2</v>
      </c>
      <c r="N1487">
        <v>0</v>
      </c>
      <c r="O1487">
        <v>-0.99777009999999999</v>
      </c>
      <c r="P1487">
        <v>-9.4716769999999995E-3</v>
      </c>
      <c r="Q1487">
        <v>8.0025229999999999E-4</v>
      </c>
      <c r="R1487">
        <v>-0.99995489999999998</v>
      </c>
      <c r="S1487">
        <v>1.5731809999999999E-2</v>
      </c>
      <c r="T1487">
        <v>-0.22468969999999999</v>
      </c>
      <c r="U1487">
        <v>-3.0008240000000002</v>
      </c>
      <c r="V1487">
        <v>7.5097460000000005E-2</v>
      </c>
      <c r="W1487">
        <v>1.2833550000000001E-2</v>
      </c>
      <c r="X1487">
        <v>0.99709360000000002</v>
      </c>
      <c r="Y1487">
        <v>6.042521E-2</v>
      </c>
      <c r="Z1487">
        <v>7.4356969999999994E-2</v>
      </c>
      <c r="AA1487">
        <v>0.99539940000000005</v>
      </c>
      <c r="AB1487">
        <v>20</v>
      </c>
      <c r="AC1487">
        <v>-8.2999999999913109E-3</v>
      </c>
      <c r="AD1487">
        <v>-6.22199999999999E-2</v>
      </c>
      <c r="AE1487">
        <v>-0.63600000000002399</v>
      </c>
      <c r="AF1487">
        <v>4.9556741665504903E-2</v>
      </c>
      <c r="AG1487">
        <v>-6.22199999999999E-2</v>
      </c>
      <c r="AH1487">
        <v>0.62807332130687599</v>
      </c>
      <c r="AI1487">
        <v>95.640123615369205</v>
      </c>
      <c r="AJ1487">
        <v>85.488549496696095</v>
      </c>
      <c r="AK1487">
        <v>0.63309027474914803</v>
      </c>
      <c r="AL1487">
        <v>89.264671554174001</v>
      </c>
      <c r="AM1487">
        <v>85.692822423555398</v>
      </c>
      <c r="AN1487">
        <v>0.99999998783250699</v>
      </c>
    </row>
    <row r="1488" spans="1:40" x14ac:dyDescent="0.25">
      <c r="A1488" t="str">
        <f>"20190312154824539"</f>
        <v>20190312154824539</v>
      </c>
      <c r="B1488" t="str">
        <f>"1552376904527601"</f>
        <v>1552376904527601</v>
      </c>
      <c r="C1488" t="s">
        <v>40</v>
      </c>
      <c r="D1488">
        <v>5.1278689999999996</v>
      </c>
      <c r="E1488">
        <v>0.4946584</v>
      </c>
      <c r="F1488" t="s">
        <v>41</v>
      </c>
      <c r="G1488">
        <v>-192.4281</v>
      </c>
      <c r="H1488">
        <v>1.047417</v>
      </c>
      <c r="I1488">
        <v>338.65469999999999</v>
      </c>
      <c r="J1488">
        <v>-192.4194</v>
      </c>
      <c r="K1488">
        <v>1.109475</v>
      </c>
      <c r="L1488">
        <v>339.26209999999998</v>
      </c>
      <c r="M1488">
        <v>6.5297010000000003E-2</v>
      </c>
      <c r="N1488">
        <v>0</v>
      </c>
      <c r="O1488">
        <v>-0.9977975</v>
      </c>
      <c r="P1488">
        <v>-9.3673309999999996E-3</v>
      </c>
      <c r="Q1488" s="1">
        <v>-4.4000169999999997E-5</v>
      </c>
      <c r="R1488">
        <v>-0.99995610000000001</v>
      </c>
      <c r="S1488">
        <v>1.7181399999999999E-2</v>
      </c>
      <c r="T1488">
        <v>-0.2297071</v>
      </c>
      <c r="U1488">
        <v>-3.0004879999999998</v>
      </c>
      <c r="V1488">
        <v>7.4651490000000001E-2</v>
      </c>
      <c r="W1488">
        <v>1.156716E-2</v>
      </c>
      <c r="X1488">
        <v>0.99714259999999999</v>
      </c>
      <c r="Y1488">
        <v>5.9602960000000003E-2</v>
      </c>
      <c r="Z1488">
        <v>7.602064E-2</v>
      </c>
      <c r="AA1488">
        <v>0.99532319999999996</v>
      </c>
      <c r="AB1488">
        <v>20</v>
      </c>
      <c r="AC1488">
        <v>-8.7000000000045895E-3</v>
      </c>
      <c r="AD1488">
        <v>-6.2057999999999898E-2</v>
      </c>
      <c r="AE1488">
        <v>-0.60739999999998395</v>
      </c>
      <c r="AF1488">
        <v>4.7846191512419298E-2</v>
      </c>
      <c r="AG1488">
        <v>-6.2057999999999898E-2</v>
      </c>
      <c r="AH1488">
        <v>0.59928100628548797</v>
      </c>
      <c r="AI1488">
        <v>95.893518514376595</v>
      </c>
      <c r="AJ1488">
        <v>85.4352262664124</v>
      </c>
      <c r="AK1488">
        <v>0.60438247650042798</v>
      </c>
      <c r="AL1488">
        <v>89.337235773878504</v>
      </c>
      <c r="AM1488">
        <v>85.7185150287157</v>
      </c>
      <c r="AN1488">
        <v>1.0000000044422199</v>
      </c>
    </row>
    <row r="1489" spans="1:40" x14ac:dyDescent="0.25">
      <c r="A1489" t="str">
        <f>"20190312154824563"</f>
        <v>20190312154824563</v>
      </c>
      <c r="B1489" t="str">
        <f>"1552376904556877"</f>
        <v>1552376904556877</v>
      </c>
      <c r="C1489" t="s">
        <v>40</v>
      </c>
      <c r="D1489">
        <v>5.111415</v>
      </c>
      <c r="E1489">
        <v>0.49462070000000002</v>
      </c>
      <c r="F1489" t="s">
        <v>41</v>
      </c>
      <c r="G1489">
        <v>-192.41480000000001</v>
      </c>
      <c r="H1489">
        <v>1.048502</v>
      </c>
      <c r="I1489">
        <v>338.47640000000001</v>
      </c>
      <c r="J1489">
        <v>-192.40620000000001</v>
      </c>
      <c r="K1489">
        <v>1.109397</v>
      </c>
      <c r="L1489">
        <v>339.05349999999999</v>
      </c>
      <c r="M1489">
        <v>6.495629E-2</v>
      </c>
      <c r="N1489">
        <v>0</v>
      </c>
      <c r="O1489">
        <v>-0.99782539999999997</v>
      </c>
      <c r="P1489">
        <v>-1.011739E-2</v>
      </c>
      <c r="Q1489">
        <v>2.2755830000000001E-4</v>
      </c>
      <c r="R1489">
        <v>-0.99994890000000003</v>
      </c>
      <c r="S1489">
        <v>1.7852779999999999E-2</v>
      </c>
      <c r="T1489">
        <v>-0.233014</v>
      </c>
      <c r="U1489">
        <v>-3.000305</v>
      </c>
      <c r="V1489">
        <v>7.50585E-2</v>
      </c>
      <c r="W1489">
        <v>1.135546E-2</v>
      </c>
      <c r="X1489">
        <v>0.99711450000000001</v>
      </c>
      <c r="Y1489">
        <v>5.9039139999999997E-2</v>
      </c>
      <c r="Z1489">
        <v>7.7117030000000003E-2</v>
      </c>
      <c r="AA1489">
        <v>0.9952725</v>
      </c>
      <c r="AB1489">
        <v>20</v>
      </c>
      <c r="AC1489">
        <v>-8.6000000000012698E-3</v>
      </c>
      <c r="AD1489">
        <v>-6.0894999999999901E-2</v>
      </c>
      <c r="AE1489">
        <v>-0.57709999999997297</v>
      </c>
      <c r="AF1489">
        <v>4.5563256154782697E-2</v>
      </c>
      <c r="AG1489">
        <v>-6.0894999999999901E-2</v>
      </c>
      <c r="AH1489">
        <v>0.56898856007955001</v>
      </c>
      <c r="AI1489">
        <v>96.089382273782405</v>
      </c>
      <c r="AJ1489">
        <v>85.421659104674504</v>
      </c>
      <c r="AK1489">
        <v>0.57404894637811699</v>
      </c>
      <c r="AL1489">
        <v>89.349366100828107</v>
      </c>
      <c r="AM1489">
        <v>85.695138447189606</v>
      </c>
      <c r="AN1489">
        <v>1.0000000255021499</v>
      </c>
    </row>
    <row r="1490" spans="1:40" x14ac:dyDescent="0.25">
      <c r="A1490" t="str">
        <f>"20190312154824588"</f>
        <v>20190312154824588</v>
      </c>
      <c r="B1490" t="str">
        <f>"1552376904577373"</f>
        <v>1552376904577373</v>
      </c>
      <c r="C1490" t="s">
        <v>40</v>
      </c>
      <c r="D1490">
        <v>5.1463989999999997</v>
      </c>
      <c r="E1490">
        <v>0.49459690000000001</v>
      </c>
      <c r="F1490" t="s">
        <v>41</v>
      </c>
      <c r="G1490">
        <v>-192.4024</v>
      </c>
      <c r="H1490">
        <v>1.0507139999999999</v>
      </c>
      <c r="I1490">
        <v>338.29640000000001</v>
      </c>
      <c r="J1490">
        <v>-192.39279999999999</v>
      </c>
      <c r="K1490">
        <v>1.1093189999999999</v>
      </c>
      <c r="L1490">
        <v>338.84050000000002</v>
      </c>
      <c r="M1490">
        <v>6.4607499999999998E-2</v>
      </c>
      <c r="N1490">
        <v>0</v>
      </c>
      <c r="O1490">
        <v>-0.99785400000000002</v>
      </c>
      <c r="P1490">
        <v>-1.071328E-2</v>
      </c>
      <c r="Q1490">
        <v>1.6319289999999901E-3</v>
      </c>
      <c r="R1490">
        <v>-0.99994150000000004</v>
      </c>
      <c r="S1490">
        <v>1.6189579999999999E-2</v>
      </c>
      <c r="T1490">
        <v>-0.23290040000000001</v>
      </c>
      <c r="U1490">
        <v>-3.0003660000000001</v>
      </c>
      <c r="V1490">
        <v>7.5304129999999997E-2</v>
      </c>
      <c r="W1490">
        <v>1.222706E-2</v>
      </c>
      <c r="X1490">
        <v>0.99708560000000002</v>
      </c>
      <c r="Y1490">
        <v>5.9241620000000002E-2</v>
      </c>
      <c r="Z1490">
        <v>7.7080380000000004E-2</v>
      </c>
      <c r="AA1490">
        <v>0.99526329999999996</v>
      </c>
      <c r="AB1490">
        <v>20</v>
      </c>
      <c r="AC1490">
        <v>-9.6000000000060395E-3</v>
      </c>
      <c r="AD1490">
        <v>-5.8604999999999997E-2</v>
      </c>
      <c r="AE1490">
        <v>-0.54410000000001402</v>
      </c>
      <c r="AF1490">
        <v>4.4221993551324203E-2</v>
      </c>
      <c r="AG1490">
        <v>-5.8604999999999997E-2</v>
      </c>
      <c r="AH1490">
        <v>0.53612495891864398</v>
      </c>
      <c r="AI1490">
        <v>96.217410204218893</v>
      </c>
      <c r="AJ1490">
        <v>85.284661444528894</v>
      </c>
      <c r="AK1490">
        <v>0.54112854509272601</v>
      </c>
      <c r="AL1490">
        <v>89.299423576585497</v>
      </c>
      <c r="AM1490">
        <v>85.680979236920393</v>
      </c>
      <c r="AN1490">
        <v>0.99999995335932901</v>
      </c>
    </row>
    <row r="1491" spans="1:40" x14ac:dyDescent="0.25">
      <c r="A1491" t="str">
        <f>"20190312154824606"</f>
        <v>20190312154824606</v>
      </c>
      <c r="B1491" t="str">
        <f>"1552376904596894"</f>
        <v>1552376904596894</v>
      </c>
      <c r="C1491" t="s">
        <v>40</v>
      </c>
      <c r="D1491">
        <v>5.1655499999999996</v>
      </c>
      <c r="E1491">
        <v>0.49458950000000002</v>
      </c>
      <c r="F1491" t="s">
        <v>41</v>
      </c>
      <c r="G1491">
        <v>-192.38849999999999</v>
      </c>
      <c r="H1491">
        <v>1.040926</v>
      </c>
      <c r="I1491">
        <v>337.94409999999999</v>
      </c>
      <c r="J1491">
        <v>-192.3819</v>
      </c>
      <c r="K1491">
        <v>1.109267</v>
      </c>
      <c r="L1491">
        <v>338.66680000000002</v>
      </c>
      <c r="M1491">
        <v>6.4319929999999997E-2</v>
      </c>
      <c r="N1491">
        <v>0</v>
      </c>
      <c r="O1491">
        <v>-0.99787749999999997</v>
      </c>
      <c r="P1491">
        <v>-9.7804020000000005E-3</v>
      </c>
      <c r="Q1491">
        <v>5.1937800000000003E-3</v>
      </c>
      <c r="R1491">
        <v>-0.99993909999999997</v>
      </c>
      <c r="S1491">
        <v>1.4877319999999999E-2</v>
      </c>
      <c r="T1491">
        <v>-0.2291899</v>
      </c>
      <c r="U1491">
        <v>-3.000702</v>
      </c>
      <c r="V1491">
        <v>7.4086840000000001E-2</v>
      </c>
      <c r="W1491">
        <v>1.5320479999999999E-2</v>
      </c>
      <c r="X1491">
        <v>0.99713410000000002</v>
      </c>
      <c r="Y1491">
        <v>5.9388990000000003E-2</v>
      </c>
      <c r="Z1491">
        <v>7.5852950000000002E-2</v>
      </c>
      <c r="AA1491">
        <v>0.99534880000000003</v>
      </c>
      <c r="AB1491">
        <v>20</v>
      </c>
      <c r="AC1491">
        <v>-6.5999999999917201E-3</v>
      </c>
      <c r="AD1491">
        <v>-6.8340999999999902E-2</v>
      </c>
      <c r="AE1491">
        <v>-0.72270000000003098</v>
      </c>
      <c r="AF1491">
        <v>5.2602405592438298E-2</v>
      </c>
      <c r="AG1491">
        <v>-6.8340999999999902E-2</v>
      </c>
      <c r="AH1491">
        <v>0.71439111056574001</v>
      </c>
      <c r="AI1491">
        <v>95.449809043398503</v>
      </c>
      <c r="AJ1491">
        <v>85.788768113118905</v>
      </c>
      <c r="AK1491">
        <v>0.71957776800736595</v>
      </c>
      <c r="AL1491">
        <v>89.122166808955001</v>
      </c>
      <c r="AM1491">
        <v>85.750744231751895</v>
      </c>
      <c r="AN1491">
        <v>0.99999999517571203</v>
      </c>
    </row>
    <row r="1492" spans="1:40" x14ac:dyDescent="0.25">
      <c r="A1492" t="str">
        <f>"20190312154824629"</f>
        <v>20190312154824629</v>
      </c>
      <c r="B1492" t="str">
        <f>"1552376904617389"</f>
        <v>1552376904617389</v>
      </c>
      <c r="C1492" t="s">
        <v>40</v>
      </c>
      <c r="D1492">
        <v>5.3313610000000002</v>
      </c>
      <c r="E1492">
        <v>0.49457649999999997</v>
      </c>
      <c r="F1492" t="s">
        <v>41</v>
      </c>
      <c r="G1492">
        <v>-192.37639999999999</v>
      </c>
      <c r="H1492">
        <v>1.043229</v>
      </c>
      <c r="I1492">
        <v>337.76179999999999</v>
      </c>
      <c r="J1492">
        <v>-192.36869999999999</v>
      </c>
      <c r="K1492">
        <v>1.109191</v>
      </c>
      <c r="L1492">
        <v>338.45639999999997</v>
      </c>
      <c r="M1492">
        <v>6.3967540000000003E-2</v>
      </c>
      <c r="N1492">
        <v>0</v>
      </c>
      <c r="O1492">
        <v>-0.99790590000000001</v>
      </c>
      <c r="P1492">
        <v>-9.6951720000000002E-3</v>
      </c>
      <c r="Q1492">
        <v>8.7294569999999995E-3</v>
      </c>
      <c r="R1492">
        <v>-0.9999152</v>
      </c>
      <c r="S1492">
        <v>1.8341059999999999E-2</v>
      </c>
      <c r="T1492">
        <v>-0.21906819999999999</v>
      </c>
      <c r="U1492">
        <v>-3.0014949999999998</v>
      </c>
      <c r="V1492">
        <v>7.3649220000000001E-2</v>
      </c>
      <c r="W1492">
        <v>1.8269299999999999E-2</v>
      </c>
      <c r="X1492">
        <v>0.99711689999999997</v>
      </c>
      <c r="Y1492">
        <v>5.7887250000000001E-2</v>
      </c>
      <c r="Z1492">
        <v>7.2507600000000005E-2</v>
      </c>
      <c r="AA1492">
        <v>0.99568650000000003</v>
      </c>
      <c r="AB1492">
        <v>20</v>
      </c>
      <c r="AC1492">
        <v>-7.6999999999998103E-3</v>
      </c>
      <c r="AD1492">
        <v>-6.5961999999999799E-2</v>
      </c>
      <c r="AE1492">
        <v>-0.69459999999997901</v>
      </c>
      <c r="AF1492">
        <v>5.1652373108454601E-2</v>
      </c>
      <c r="AG1492">
        <v>-6.5961999999999799E-2</v>
      </c>
      <c r="AH1492">
        <v>0.68649458220564297</v>
      </c>
      <c r="AI1492">
        <v>95.473054215916704</v>
      </c>
      <c r="AJ1492">
        <v>85.6971296284635</v>
      </c>
      <c r="AK1492">
        <v>0.69158785739010398</v>
      </c>
      <c r="AL1492">
        <v>88.9531880235362</v>
      </c>
      <c r="AM1492">
        <v>85.775680227904701</v>
      </c>
      <c r="AN1492">
        <v>1.00000004359735</v>
      </c>
    </row>
    <row r="1493" spans="1:40" x14ac:dyDescent="0.25">
      <c r="A1493" t="str">
        <f>"20190312154824652"</f>
        <v>20190312154824652</v>
      </c>
      <c r="B1493" t="str">
        <f>"1552376904647647"</f>
        <v>1552376904647647</v>
      </c>
      <c r="C1493" t="s">
        <v>40</v>
      </c>
      <c r="D1493">
        <v>5.2676689999999997</v>
      </c>
      <c r="E1493">
        <v>0.49321609999999999</v>
      </c>
      <c r="F1493" t="s">
        <v>41</v>
      </c>
      <c r="G1493">
        <v>-192.36340000000001</v>
      </c>
      <c r="H1493">
        <v>1.0481149999999999</v>
      </c>
      <c r="I1493">
        <v>337.5763</v>
      </c>
      <c r="J1493">
        <v>-192.35570000000001</v>
      </c>
      <c r="K1493">
        <v>1.10911</v>
      </c>
      <c r="L1493">
        <v>338.24700000000001</v>
      </c>
      <c r="M1493">
        <v>6.3614050000000005E-2</v>
      </c>
      <c r="N1493">
        <v>0</v>
      </c>
      <c r="O1493">
        <v>-0.99793419999999999</v>
      </c>
      <c r="P1493">
        <v>-1.084942E-2</v>
      </c>
      <c r="Q1493">
        <v>1.1467700000000001E-2</v>
      </c>
      <c r="R1493">
        <v>-0.99987579999999998</v>
      </c>
      <c r="S1493">
        <v>1.9042969999999999E-2</v>
      </c>
      <c r="T1493">
        <v>-0.2086596</v>
      </c>
      <c r="U1493">
        <v>-3.0022579999999999</v>
      </c>
      <c r="V1493">
        <v>7.4446070000000003E-2</v>
      </c>
      <c r="W1493">
        <v>2.0395590000000002E-2</v>
      </c>
      <c r="X1493">
        <v>0.99701640000000002</v>
      </c>
      <c r="Y1493">
        <v>5.7300490000000003E-2</v>
      </c>
      <c r="Z1493">
        <v>6.9065550000000003E-2</v>
      </c>
      <c r="AA1493">
        <v>0.99596519999999999</v>
      </c>
      <c r="AB1493">
        <v>20</v>
      </c>
      <c r="AC1493">
        <v>-7.6999999999998103E-3</v>
      </c>
      <c r="AD1493">
        <v>-6.0995000000000098E-2</v>
      </c>
      <c r="AE1493">
        <v>-0.670699999999953</v>
      </c>
      <c r="AF1493">
        <v>4.9939098556843899E-2</v>
      </c>
      <c r="AG1493">
        <v>-6.0995000000000098E-2</v>
      </c>
      <c r="AH1493">
        <v>0.663365943853512</v>
      </c>
      <c r="AI1493">
        <v>95.2387050200917</v>
      </c>
      <c r="AJ1493">
        <v>85.694815741514802</v>
      </c>
      <c r="AK1493">
        <v>0.66803344156885602</v>
      </c>
      <c r="AL1493">
        <v>88.8313376805459</v>
      </c>
      <c r="AM1493">
        <v>85.7297143917189</v>
      </c>
      <c r="AN1493">
        <v>0.99999994964942496</v>
      </c>
    </row>
    <row r="1494" spans="1:40" x14ac:dyDescent="0.25">
      <c r="A1494" t="str">
        <f>"20190312154824674"</f>
        <v>20190312154824674</v>
      </c>
      <c r="B1494" t="str">
        <f>"1552376904667165"</f>
        <v>1552376904667165</v>
      </c>
      <c r="C1494" t="s">
        <v>40</v>
      </c>
      <c r="D1494">
        <v>5.1948040000000004</v>
      </c>
      <c r="E1494">
        <v>0.4949229</v>
      </c>
      <c r="F1494" t="s">
        <v>42</v>
      </c>
      <c r="G1494">
        <v>-192.1833</v>
      </c>
      <c r="H1494" s="1">
        <v>-4.6413669999999999E-6</v>
      </c>
      <c r="I1494">
        <v>318.36399999999998</v>
      </c>
      <c r="J1494">
        <v>-192.34309999999999</v>
      </c>
      <c r="K1494">
        <v>1.109029</v>
      </c>
      <c r="L1494">
        <v>338.04270000000002</v>
      </c>
      <c r="M1494">
        <v>6.3267509999999999E-2</v>
      </c>
      <c r="N1494">
        <v>0</v>
      </c>
      <c r="O1494">
        <v>-0.99796180000000001</v>
      </c>
      <c r="P1494">
        <v>-1.257429E-2</v>
      </c>
      <c r="Q1494">
        <v>1.1759769999999999E-2</v>
      </c>
      <c r="R1494">
        <v>-0.99985230000000003</v>
      </c>
      <c r="S1494">
        <v>2.6031490000000001E-2</v>
      </c>
      <c r="T1494">
        <v>-0.1674911</v>
      </c>
      <c r="U1494">
        <v>-3.0025940000000002</v>
      </c>
      <c r="V1494">
        <v>7.5819310000000001E-2</v>
      </c>
      <c r="W1494">
        <v>2.0067120000000001E-2</v>
      </c>
      <c r="X1494">
        <v>0.99691960000000002</v>
      </c>
      <c r="Y1494">
        <v>5.4628660000000002E-2</v>
      </c>
      <c r="Z1494">
        <v>5.5485649999999997E-2</v>
      </c>
      <c r="AA1494">
        <v>0.99696390000000001</v>
      </c>
      <c r="AB1494">
        <v>20</v>
      </c>
      <c r="AC1494">
        <v>0.15979999999998901</v>
      </c>
      <c r="AD1494">
        <v>-1.1090336413669999</v>
      </c>
      <c r="AE1494">
        <v>-19.6786999999999</v>
      </c>
      <c r="AF1494">
        <v>1.08214895458889</v>
      </c>
      <c r="AG1494">
        <v>-1.1090336413669999</v>
      </c>
      <c r="AH1494">
        <v>19.5871764526566</v>
      </c>
      <c r="AI1494">
        <v>93.235725546476004</v>
      </c>
      <c r="AJ1494">
        <v>86.837747421728594</v>
      </c>
      <c r="AK1494">
        <v>19.648371010470701</v>
      </c>
      <c r="AL1494">
        <v>88.850161505849997</v>
      </c>
      <c r="AM1494">
        <v>85.650823068547297</v>
      </c>
      <c r="AN1494">
        <v>0.99999997296906395</v>
      </c>
    </row>
    <row r="1495" spans="1:40" x14ac:dyDescent="0.25">
      <c r="A1495" t="str">
        <f>"20190312154824695"</f>
        <v>20190312154824695</v>
      </c>
      <c r="B1495" t="str">
        <f>"1552376904687662"</f>
        <v>1552376904687662</v>
      </c>
      <c r="C1495" t="s">
        <v>40</v>
      </c>
      <c r="D1495">
        <v>5.1947760000000001</v>
      </c>
      <c r="E1495">
        <v>0.49744919999999998</v>
      </c>
      <c r="F1495" t="s">
        <v>41</v>
      </c>
      <c r="G1495">
        <v>-192.34100000000001</v>
      </c>
      <c r="H1495">
        <v>1.0510090000000001</v>
      </c>
      <c r="I1495">
        <v>337.20519999999999</v>
      </c>
      <c r="J1495">
        <v>-192.33090000000001</v>
      </c>
      <c r="K1495">
        <v>1.10894</v>
      </c>
      <c r="L1495">
        <v>337.84429999999998</v>
      </c>
      <c r="M1495">
        <v>6.2930420000000001E-2</v>
      </c>
      <c r="N1495">
        <v>0</v>
      </c>
      <c r="O1495">
        <v>-0.99798799999999999</v>
      </c>
      <c r="P1495">
        <v>-1.4847259999999999E-2</v>
      </c>
      <c r="Q1495">
        <v>1.1735509999999999E-2</v>
      </c>
      <c r="R1495">
        <v>-0.99982110000000002</v>
      </c>
      <c r="S1495">
        <v>8.4381100000000004E-3</v>
      </c>
      <c r="T1495">
        <v>-0.20830850000000001</v>
      </c>
      <c r="U1495">
        <v>-3.0029910000000002</v>
      </c>
      <c r="V1495">
        <v>7.7748540000000005E-2</v>
      </c>
      <c r="W1495">
        <v>1.9435439999999998E-2</v>
      </c>
      <c r="X1495">
        <v>0.99678359999999999</v>
      </c>
      <c r="Y1495">
        <v>6.013429E-2</v>
      </c>
      <c r="Z1495">
        <v>6.8932380000000001E-2</v>
      </c>
      <c r="AA1495">
        <v>0.99580729999999995</v>
      </c>
      <c r="AB1495">
        <v>21</v>
      </c>
      <c r="AC1495">
        <v>-1.00999999999658E-2</v>
      </c>
      <c r="AD1495">
        <v>-5.7930999999999899E-2</v>
      </c>
      <c r="AE1495">
        <v>-0.63909999999998401</v>
      </c>
      <c r="AF1495">
        <v>4.9890193934630803E-2</v>
      </c>
      <c r="AG1495">
        <v>-5.7930999999999899E-2</v>
      </c>
      <c r="AH1495">
        <v>0.63200600713437605</v>
      </c>
      <c r="AI1495">
        <v>95.221064876242096</v>
      </c>
      <c r="AJ1495">
        <v>85.486463565263193</v>
      </c>
      <c r="AK1495">
        <v>0.63661340330358496</v>
      </c>
      <c r="AL1495">
        <v>88.886361262382096</v>
      </c>
      <c r="AM1495">
        <v>85.539992714968307</v>
      </c>
      <c r="AN1495">
        <v>1.0000000585145401</v>
      </c>
    </row>
    <row r="1496" spans="1:40" x14ac:dyDescent="0.25">
      <c r="A1496" t="str">
        <f>"20190312154824718"</f>
        <v>20190312154824718</v>
      </c>
      <c r="B1496" t="str">
        <f>"1552376904708157"</f>
        <v>1552376904708157</v>
      </c>
      <c r="C1496" t="s">
        <v>40</v>
      </c>
      <c r="D1496">
        <v>5.1860200000000001</v>
      </c>
      <c r="E1496">
        <v>0.49890790000000002</v>
      </c>
      <c r="F1496" t="s">
        <v>41</v>
      </c>
      <c r="G1496">
        <v>-192.33600000000001</v>
      </c>
      <c r="H1496">
        <v>1.0454969999999999</v>
      </c>
      <c r="I1496">
        <v>337.02280000000002</v>
      </c>
      <c r="J1496">
        <v>-192.3176</v>
      </c>
      <c r="K1496">
        <v>1.1088469999999999</v>
      </c>
      <c r="L1496">
        <v>337.62549999999999</v>
      </c>
      <c r="M1496">
        <v>6.2559050000000005E-2</v>
      </c>
      <c r="N1496">
        <v>0</v>
      </c>
      <c r="O1496">
        <v>-0.99801589999999996</v>
      </c>
      <c r="P1496">
        <v>-1.7751010000000001E-2</v>
      </c>
      <c r="Q1496">
        <v>1.03797E-2</v>
      </c>
      <c r="R1496">
        <v>-0.99978880000000003</v>
      </c>
      <c r="S1496">
        <v>-1.7959590000000001E-2</v>
      </c>
      <c r="T1496">
        <v>-0.2320229</v>
      </c>
      <c r="U1496">
        <v>-3.0029910000000002</v>
      </c>
      <c r="V1496">
        <v>8.027244E-2</v>
      </c>
      <c r="W1496">
        <v>1.7432590000000001E-2</v>
      </c>
      <c r="X1496">
        <v>0.99662050000000002</v>
      </c>
      <c r="Y1496">
        <v>6.8510379999999996E-2</v>
      </c>
      <c r="Z1496">
        <v>7.6716999999999994E-2</v>
      </c>
      <c r="AA1496">
        <v>0.99469640000000004</v>
      </c>
      <c r="AB1496">
        <v>21</v>
      </c>
      <c r="AC1496">
        <v>-1.8399999999985501E-2</v>
      </c>
      <c r="AD1496">
        <v>-6.3350000000000004E-2</v>
      </c>
      <c r="AE1496">
        <v>-0.60269999999997004</v>
      </c>
      <c r="AF1496">
        <v>5.54571214734665E-2</v>
      </c>
      <c r="AG1496">
        <v>-6.3350000000000004E-2</v>
      </c>
      <c r="AH1496">
        <v>0.59381383959269596</v>
      </c>
      <c r="AI1496">
        <v>96.063281917697296</v>
      </c>
      <c r="AJ1496">
        <v>84.664541395089898</v>
      </c>
      <c r="AK1496">
        <v>0.59975294156339398</v>
      </c>
      <c r="AL1496">
        <v>89.001135561406798</v>
      </c>
      <c r="AM1496">
        <v>85.395072922864202</v>
      </c>
      <c r="AN1496">
        <v>0.99999999041895504</v>
      </c>
    </row>
    <row r="1497" spans="1:40" x14ac:dyDescent="0.25">
      <c r="A1497" t="str">
        <f>"20190312154824740"</f>
        <v>20190312154824740</v>
      </c>
      <c r="B1497" t="str">
        <f>"1552376904736969"</f>
        <v>1552376904736969</v>
      </c>
      <c r="C1497" t="s">
        <v>40</v>
      </c>
      <c r="D1497">
        <v>5.1309889999999996</v>
      </c>
      <c r="E1497">
        <v>0.50005359999999999</v>
      </c>
      <c r="F1497" t="s">
        <v>41</v>
      </c>
      <c r="G1497">
        <v>-192.32769999999999</v>
      </c>
      <c r="H1497">
        <v>1.042629</v>
      </c>
      <c r="I1497">
        <v>336.83589999999998</v>
      </c>
      <c r="J1497">
        <v>-192.3049</v>
      </c>
      <c r="K1497">
        <v>1.1087750000000001</v>
      </c>
      <c r="L1497">
        <v>337.41640000000001</v>
      </c>
      <c r="M1497">
        <v>6.2205469999999999E-2</v>
      </c>
      <c r="N1497">
        <v>0</v>
      </c>
      <c r="O1497">
        <v>-0.99804210000000004</v>
      </c>
      <c r="P1497">
        <v>-2.0782780000000001E-2</v>
      </c>
      <c r="Q1497">
        <v>9.4149560000000004E-3</v>
      </c>
      <c r="R1497">
        <v>-0.99973990000000001</v>
      </c>
      <c r="S1497">
        <v>-3.7643429999999999E-2</v>
      </c>
      <c r="T1497">
        <v>-0.25219520000000001</v>
      </c>
      <c r="U1497">
        <v>-3.0025629999999999</v>
      </c>
      <c r="V1497">
        <v>8.2941299999999996E-2</v>
      </c>
      <c r="W1497">
        <v>1.5884510000000001E-2</v>
      </c>
      <c r="X1497">
        <v>0.99642779999999997</v>
      </c>
      <c r="Y1497">
        <v>7.4669730000000004E-2</v>
      </c>
      <c r="Z1497">
        <v>8.3335560000000003E-2</v>
      </c>
      <c r="AA1497">
        <v>0.9937201</v>
      </c>
      <c r="AB1497">
        <v>21</v>
      </c>
      <c r="AC1497">
        <v>-2.2799999999989402E-2</v>
      </c>
      <c r="AD1497">
        <v>-6.6145999999999996E-2</v>
      </c>
      <c r="AE1497">
        <v>-0.58050000000002899</v>
      </c>
      <c r="AF1497">
        <v>5.8113510968969398E-2</v>
      </c>
      <c r="AG1497">
        <v>-6.6145999999999996E-2</v>
      </c>
      <c r="AH1497">
        <v>0.57056076848891102</v>
      </c>
      <c r="AI1497">
        <v>96.579131094291995</v>
      </c>
      <c r="AJ1497">
        <v>84.184289973325804</v>
      </c>
      <c r="AK1497">
        <v>0.57731452780247805</v>
      </c>
      <c r="AL1497">
        <v>89.089846311552805</v>
      </c>
      <c r="AM1497">
        <v>85.241746172880298</v>
      </c>
      <c r="AN1497">
        <v>0.99999996875823405</v>
      </c>
    </row>
    <row r="1498" spans="1:40" x14ac:dyDescent="0.25">
      <c r="A1498" t="str">
        <f>"20190312154824763"</f>
        <v>20190312154824763</v>
      </c>
      <c r="B1498" t="str">
        <f>"1552376904757465"</f>
        <v>1552376904757465</v>
      </c>
      <c r="C1498" t="s">
        <v>40</v>
      </c>
      <c r="D1498">
        <v>5.1749780000000003</v>
      </c>
      <c r="E1498">
        <v>0.50038470000000002</v>
      </c>
      <c r="F1498" t="s">
        <v>41</v>
      </c>
      <c r="G1498">
        <v>-192.31899999999999</v>
      </c>
      <c r="H1498">
        <v>1.0389740000000001</v>
      </c>
      <c r="I1498">
        <v>336.64800000000002</v>
      </c>
      <c r="J1498">
        <v>-192.2919</v>
      </c>
      <c r="K1498">
        <v>1.1087100000000001</v>
      </c>
      <c r="L1498">
        <v>337.20269999999999</v>
      </c>
      <c r="M1498">
        <v>6.1845799999999999E-2</v>
      </c>
      <c r="N1498">
        <v>0</v>
      </c>
      <c r="O1498">
        <v>-0.99806810000000001</v>
      </c>
      <c r="P1498">
        <v>-2.3045759999999998E-2</v>
      </c>
      <c r="Q1498">
        <v>9.9386479999999996E-3</v>
      </c>
      <c r="R1498">
        <v>-0.99968520000000005</v>
      </c>
      <c r="S1498">
        <v>-5.4931639999999997E-2</v>
      </c>
      <c r="T1498">
        <v>-0.2729512</v>
      </c>
      <c r="U1498">
        <v>-3.0021969999999998</v>
      </c>
      <c r="V1498">
        <v>8.4837350000000006E-2</v>
      </c>
      <c r="W1498">
        <v>1.585495E-2</v>
      </c>
      <c r="X1498">
        <v>0.99626870000000001</v>
      </c>
      <c r="Y1498">
        <v>8.0020610000000006E-2</v>
      </c>
      <c r="Z1498">
        <v>9.0131279999999994E-2</v>
      </c>
      <c r="AA1498">
        <v>0.99270990000000003</v>
      </c>
      <c r="AB1498">
        <v>21</v>
      </c>
      <c r="AC1498">
        <v>-2.7100000000018502E-2</v>
      </c>
      <c r="AD1498">
        <v>-6.9736000000000006E-2</v>
      </c>
      <c r="AE1498">
        <v>-0.554699999999968</v>
      </c>
      <c r="AF1498">
        <v>6.0402198876340199E-2</v>
      </c>
      <c r="AG1498">
        <v>-6.9736000000000006E-2</v>
      </c>
      <c r="AH1498">
        <v>0.54339410135627797</v>
      </c>
      <c r="AI1498">
        <v>97.2687451550117</v>
      </c>
      <c r="AJ1498">
        <v>83.657196431589099</v>
      </c>
      <c r="AK1498">
        <v>0.551170286494015</v>
      </c>
      <c r="AL1498">
        <v>89.091540251976198</v>
      </c>
      <c r="AM1498">
        <v>85.132714981297099</v>
      </c>
      <c r="AN1498">
        <v>1.0000000389971</v>
      </c>
    </row>
    <row r="1499" spans="1:40" x14ac:dyDescent="0.25">
      <c r="A1499" t="str">
        <f>"20190312154824787"</f>
        <v>20190312154824787</v>
      </c>
      <c r="B1499" t="str">
        <f>"1552376904776984"</f>
        <v>1552376904776984</v>
      </c>
      <c r="C1499" t="s">
        <v>40</v>
      </c>
      <c r="D1499">
        <v>5.3527399999999998</v>
      </c>
      <c r="E1499">
        <v>0.50095440000000002</v>
      </c>
      <c r="F1499" t="s">
        <v>41</v>
      </c>
      <c r="G1499">
        <v>-192.3081</v>
      </c>
      <c r="H1499">
        <v>1.040157</v>
      </c>
      <c r="I1499">
        <v>336.45639999999997</v>
      </c>
      <c r="J1499">
        <v>-192.27850000000001</v>
      </c>
      <c r="K1499">
        <v>1.1086640000000001</v>
      </c>
      <c r="L1499">
        <v>336.97829999999999</v>
      </c>
      <c r="M1499">
        <v>6.1469820000000001E-2</v>
      </c>
      <c r="N1499">
        <v>0</v>
      </c>
      <c r="O1499">
        <v>-0.99809429999999999</v>
      </c>
      <c r="P1499">
        <v>-2.4413830000000001E-2</v>
      </c>
      <c r="Q1499">
        <v>1.118857E-2</v>
      </c>
      <c r="R1499">
        <v>-0.99963970000000002</v>
      </c>
      <c r="S1499">
        <v>-6.3888550000000002E-2</v>
      </c>
      <c r="T1499">
        <v>-0.27619250000000001</v>
      </c>
      <c r="U1499">
        <v>-3.0022579999999999</v>
      </c>
      <c r="V1499">
        <v>8.5825009999999993E-2</v>
      </c>
      <c r="W1499">
        <v>1.6583460000000001E-2</v>
      </c>
      <c r="X1499">
        <v>0.99617219999999995</v>
      </c>
      <c r="Y1499">
        <v>8.2602679999999998E-2</v>
      </c>
      <c r="Z1499">
        <v>9.1181670000000006E-2</v>
      </c>
      <c r="AA1499">
        <v>0.99240249999999997</v>
      </c>
      <c r="AB1499">
        <v>21</v>
      </c>
      <c r="AC1499">
        <v>-2.9599999999987799E-2</v>
      </c>
      <c r="AD1499">
        <v>-6.8506999999999804E-2</v>
      </c>
      <c r="AE1499">
        <v>-0.52190000000001602</v>
      </c>
      <c r="AF1499">
        <v>6.0585033896620497E-2</v>
      </c>
      <c r="AG1499">
        <v>-6.8506999999999804E-2</v>
      </c>
      <c r="AH1499">
        <v>0.51032852561408504</v>
      </c>
      <c r="AI1499">
        <v>97.593041112695204</v>
      </c>
      <c r="AJ1499">
        <v>83.229664396579906</v>
      </c>
      <c r="AK1499">
        <v>0.518458252356639</v>
      </c>
      <c r="AL1499">
        <v>89.049794173897297</v>
      </c>
      <c r="AM1499">
        <v>85.075853339010493</v>
      </c>
      <c r="AN1499">
        <v>0.99999999776995496</v>
      </c>
    </row>
    <row r="1500" spans="1:40" x14ac:dyDescent="0.25">
      <c r="A1500" t="str">
        <f>"20190312154824807"</f>
        <v>20190312154824807</v>
      </c>
      <c r="B1500" t="str">
        <f>"1552376904797481"</f>
        <v>1552376904797481</v>
      </c>
      <c r="C1500" t="s">
        <v>40</v>
      </c>
      <c r="D1500">
        <v>5.1995649999999998</v>
      </c>
      <c r="E1500">
        <v>0.50103500000000001</v>
      </c>
      <c r="F1500" t="s">
        <v>41</v>
      </c>
      <c r="G1500">
        <v>-192.30029999999999</v>
      </c>
      <c r="H1500">
        <v>1.0260830000000001</v>
      </c>
      <c r="I1500">
        <v>336.07560000000001</v>
      </c>
      <c r="J1500">
        <v>-192.26679999999999</v>
      </c>
      <c r="K1500">
        <v>1.108643</v>
      </c>
      <c r="L1500">
        <v>336.78339999999997</v>
      </c>
      <c r="M1500">
        <v>6.1144589999999999E-2</v>
      </c>
      <c r="N1500">
        <v>0</v>
      </c>
      <c r="O1500">
        <v>-0.998116</v>
      </c>
      <c r="P1500">
        <v>-2.6383810000000001E-2</v>
      </c>
      <c r="Q1500">
        <v>1.211839E-2</v>
      </c>
      <c r="R1500">
        <v>-0.99957830000000003</v>
      </c>
      <c r="S1500">
        <v>-7.2067259999999994E-2</v>
      </c>
      <c r="T1500">
        <v>-0.27490150000000002</v>
      </c>
      <c r="U1500">
        <v>-3.0023499999999999</v>
      </c>
      <c r="V1500">
        <v>8.7463299999999994E-2</v>
      </c>
      <c r="W1500">
        <v>1.7117919999999998E-2</v>
      </c>
      <c r="X1500">
        <v>0.99602069999999998</v>
      </c>
      <c r="Y1500">
        <v>8.4979910000000006E-2</v>
      </c>
      <c r="Z1500">
        <v>9.0747060000000004E-2</v>
      </c>
      <c r="AA1500">
        <v>0.99224159999999995</v>
      </c>
      <c r="AB1500">
        <v>22</v>
      </c>
      <c r="AC1500">
        <v>-3.3500000000003603E-2</v>
      </c>
      <c r="AD1500">
        <v>-8.2559999999999897E-2</v>
      </c>
      <c r="AE1500">
        <v>-0.70779999999996301</v>
      </c>
      <c r="AF1500">
        <v>7.5688528572531596E-2</v>
      </c>
      <c r="AG1500">
        <v>-8.2559999999999897E-2</v>
      </c>
      <c r="AH1500">
        <v>0.69499257617562404</v>
      </c>
      <c r="AI1500">
        <v>96.735114998039904</v>
      </c>
      <c r="AJ1500">
        <v>83.784668179285205</v>
      </c>
      <c r="AK1500">
        <v>0.70395993344558006</v>
      </c>
      <c r="AL1500">
        <v>89.019167567472493</v>
      </c>
      <c r="AM1500">
        <v>84.981573737465396</v>
      </c>
      <c r="AN1500">
        <v>1.0000000434302501</v>
      </c>
    </row>
    <row r="1501" spans="1:40" x14ac:dyDescent="0.25">
      <c r="A1501" t="str">
        <f>"20190312154824839"</f>
        <v>20190312154824839</v>
      </c>
      <c r="B1501" t="str">
        <f>"1552376904827737"</f>
        <v>1552376904827737</v>
      </c>
      <c r="C1501" t="s">
        <v>40</v>
      </c>
      <c r="D1501">
        <v>5.2005850000000002</v>
      </c>
      <c r="E1501">
        <v>0.50112409999999996</v>
      </c>
      <c r="F1501" t="s">
        <v>41</v>
      </c>
      <c r="G1501">
        <v>-192.2903</v>
      </c>
      <c r="H1501">
        <v>1.0257160000000001</v>
      </c>
      <c r="I1501">
        <v>335.88010000000003</v>
      </c>
      <c r="J1501">
        <v>-192.2475</v>
      </c>
      <c r="K1501">
        <v>1.108608</v>
      </c>
      <c r="L1501">
        <v>336.45659999999998</v>
      </c>
      <c r="M1501">
        <v>6.0600599999999998E-2</v>
      </c>
      <c r="N1501">
        <v>0</v>
      </c>
      <c r="O1501">
        <v>-0.99815200000000004</v>
      </c>
      <c r="P1501">
        <v>-2.848908E-2</v>
      </c>
      <c r="Q1501">
        <v>1.197544E-2</v>
      </c>
      <c r="R1501">
        <v>-0.99952240000000003</v>
      </c>
      <c r="S1501">
        <v>-7.7926640000000005E-2</v>
      </c>
      <c r="T1501">
        <v>-0.27565719999999999</v>
      </c>
      <c r="U1501">
        <v>-3.0025330000000001</v>
      </c>
      <c r="V1501">
        <v>8.9018100000000003E-2</v>
      </c>
      <c r="W1501">
        <v>1.6433280000000001E-2</v>
      </c>
      <c r="X1501">
        <v>0.99589439999999996</v>
      </c>
      <c r="Y1501">
        <v>8.6369730000000006E-2</v>
      </c>
      <c r="Z1501">
        <v>9.0985800000000006E-2</v>
      </c>
      <c r="AA1501">
        <v>0.99209970000000003</v>
      </c>
      <c r="AB1501">
        <v>22</v>
      </c>
      <c r="AC1501">
        <v>-4.2799999999999699E-2</v>
      </c>
      <c r="AD1501">
        <v>-8.2891999999999896E-2</v>
      </c>
      <c r="AE1501">
        <v>-0.57649999999995305</v>
      </c>
      <c r="AF1501">
        <v>7.6093394871053696E-2</v>
      </c>
      <c r="AG1501">
        <v>-8.2891999999999896E-2</v>
      </c>
      <c r="AH1501">
        <v>0.56130581225854703</v>
      </c>
      <c r="AI1501">
        <v>98.325484217845997</v>
      </c>
      <c r="AJ1501">
        <v>82.279764684402593</v>
      </c>
      <c r="AK1501">
        <v>0.57247314634158097</v>
      </c>
      <c r="AL1501">
        <v>89.058399996336107</v>
      </c>
      <c r="AM1501">
        <v>84.892186623625605</v>
      </c>
      <c r="AN1501">
        <v>0.99999996538526303</v>
      </c>
    </row>
    <row r="1502" spans="1:40" x14ac:dyDescent="0.25">
      <c r="A1502" t="str">
        <f>"20190312154824863"</f>
        <v>20190312154824863</v>
      </c>
      <c r="B1502" t="str">
        <f>"1552376904857524"</f>
        <v>1552376904857524</v>
      </c>
      <c r="C1502" t="s">
        <v>40</v>
      </c>
      <c r="D1502">
        <v>5.1959929999999996</v>
      </c>
      <c r="E1502">
        <v>0.50112869999999998</v>
      </c>
      <c r="F1502" t="s">
        <v>41</v>
      </c>
      <c r="G1502">
        <v>-192.26929999999999</v>
      </c>
      <c r="H1502">
        <v>1.035863</v>
      </c>
      <c r="I1502">
        <v>335.67880000000002</v>
      </c>
      <c r="J1502">
        <v>-192.23400000000001</v>
      </c>
      <c r="K1502">
        <v>1.108589</v>
      </c>
      <c r="L1502">
        <v>336.2278</v>
      </c>
      <c r="M1502">
        <v>6.0220469999999998E-2</v>
      </c>
      <c r="N1502">
        <v>0</v>
      </c>
      <c r="O1502">
        <v>-0.99817650000000002</v>
      </c>
      <c r="P1502">
        <v>-2.8972379999999999E-2</v>
      </c>
      <c r="Q1502">
        <v>1.255539E-2</v>
      </c>
      <c r="R1502">
        <v>-0.9995018</v>
      </c>
      <c r="S1502">
        <v>-8.4045410000000001E-2</v>
      </c>
      <c r="T1502">
        <v>-0.28086809999999901</v>
      </c>
      <c r="U1502">
        <v>-3.00238</v>
      </c>
      <c r="V1502">
        <v>8.9120190000000002E-2</v>
      </c>
      <c r="W1502">
        <v>1.6716959999999999E-2</v>
      </c>
      <c r="X1502">
        <v>0.9958806</v>
      </c>
      <c r="Y1502">
        <v>8.8007390000000005E-2</v>
      </c>
      <c r="Z1502">
        <v>9.2689640000000004E-2</v>
      </c>
      <c r="AA1502">
        <v>0.99179799999999996</v>
      </c>
      <c r="AB1502">
        <v>22</v>
      </c>
      <c r="AC1502">
        <v>-3.5299999999978099E-2</v>
      </c>
      <c r="AD1502">
        <v>-7.2725999999999999E-2</v>
      </c>
      <c r="AE1502">
        <v>-0.54899999999997795</v>
      </c>
      <c r="AF1502">
        <v>6.71241901266251E-2</v>
      </c>
      <c r="AG1502">
        <v>-7.2725999999999999E-2</v>
      </c>
      <c r="AH1502">
        <v>0.53650187677939298</v>
      </c>
      <c r="AI1502">
        <v>97.660717844247003</v>
      </c>
      <c r="AJ1502">
        <v>82.868521563477699</v>
      </c>
      <c r="AK1502">
        <v>0.54555383947321501</v>
      </c>
      <c r="AL1502">
        <v>89.042144145474893</v>
      </c>
      <c r="AM1502">
        <v>84.886289307072204</v>
      </c>
      <c r="AN1502">
        <v>1.00000001723681</v>
      </c>
    </row>
    <row r="1503" spans="1:40" x14ac:dyDescent="0.25">
      <c r="A1503" t="str">
        <f>"20190312154824885"</f>
        <v>20190312154824885</v>
      </c>
      <c r="B1503" t="str">
        <f>"1552376904877044"</f>
        <v>1552376904877044</v>
      </c>
      <c r="C1503" t="s">
        <v>40</v>
      </c>
      <c r="D1503">
        <v>5.2220089999999999</v>
      </c>
      <c r="E1503">
        <v>0.50110549999999998</v>
      </c>
      <c r="F1503" t="s">
        <v>41</v>
      </c>
      <c r="G1503">
        <v>-192.25530000000001</v>
      </c>
      <c r="H1503">
        <v>1.0376879999999999</v>
      </c>
      <c r="I1503">
        <v>335.4796</v>
      </c>
      <c r="J1503">
        <v>-192.221</v>
      </c>
      <c r="K1503">
        <v>1.1085750000000001</v>
      </c>
      <c r="L1503">
        <v>336.00670000000002</v>
      </c>
      <c r="M1503">
        <v>5.9853259999999998E-2</v>
      </c>
      <c r="N1503">
        <v>0</v>
      </c>
      <c r="O1503">
        <v>-0.99819910000000001</v>
      </c>
      <c r="P1503">
        <v>-2.8647880000000001E-2</v>
      </c>
      <c r="Q1503">
        <v>1.2780740000000001E-2</v>
      </c>
      <c r="R1503">
        <v>-0.99950799999999995</v>
      </c>
      <c r="S1503">
        <v>-8.5021970000000002E-2</v>
      </c>
      <c r="T1503">
        <v>-0.28468979999999999</v>
      </c>
      <c r="U1503">
        <v>-3.0026549999999999</v>
      </c>
      <c r="V1503">
        <v>8.8430399999999895E-2</v>
      </c>
      <c r="W1503">
        <v>1.6727450000000001E-2</v>
      </c>
      <c r="X1503">
        <v>0.99594190000000005</v>
      </c>
      <c r="Y1503">
        <v>8.7957380000000002E-2</v>
      </c>
      <c r="Z1503">
        <v>9.3934110000000001E-2</v>
      </c>
      <c r="AA1503">
        <v>0.99168540000000005</v>
      </c>
      <c r="AB1503">
        <v>22</v>
      </c>
      <c r="AC1503">
        <v>-3.4300000000030098E-2</v>
      </c>
      <c r="AD1503">
        <v>-7.0887000000000103E-2</v>
      </c>
      <c r="AE1503">
        <v>-0.527100000000018</v>
      </c>
      <c r="AF1503">
        <v>6.4623547942395498E-2</v>
      </c>
      <c r="AG1503">
        <v>-7.0887000000000103E-2</v>
      </c>
      <c r="AH1503">
        <v>0.51482995788117303</v>
      </c>
      <c r="AI1503">
        <v>97.779475260436598</v>
      </c>
      <c r="AJ1503">
        <v>82.845420923776501</v>
      </c>
      <c r="AK1503">
        <v>0.52368984642590999</v>
      </c>
      <c r="AL1503">
        <v>89.041543017649502</v>
      </c>
      <c r="AM1503">
        <v>84.925972665390503</v>
      </c>
      <c r="AN1503">
        <v>1.0000000057016301</v>
      </c>
    </row>
    <row r="1504" spans="1:40" x14ac:dyDescent="0.25">
      <c r="A1504" t="str">
        <f>"20190312154824906"</f>
        <v>20190312154824906</v>
      </c>
      <c r="B1504" t="str">
        <f>"1552376904897540"</f>
        <v>1552376904897540</v>
      </c>
      <c r="C1504" t="s">
        <v>40</v>
      </c>
      <c r="D1504">
        <v>5.1989470000000004</v>
      </c>
      <c r="E1504">
        <v>0.50101799999999996</v>
      </c>
      <c r="F1504" t="s">
        <v>41</v>
      </c>
      <c r="G1504">
        <v>-192.24690000000001</v>
      </c>
      <c r="H1504">
        <v>1.0205470000000001</v>
      </c>
      <c r="I1504">
        <v>335.08620000000002</v>
      </c>
      <c r="J1504">
        <v>-192.20859999999999</v>
      </c>
      <c r="K1504">
        <v>1.1085670000000001</v>
      </c>
      <c r="L1504">
        <v>335.79270000000002</v>
      </c>
      <c r="M1504">
        <v>5.9498040000000002E-2</v>
      </c>
      <c r="N1504">
        <v>0</v>
      </c>
      <c r="O1504">
        <v>-0.99822080000000002</v>
      </c>
      <c r="P1504">
        <v>-2.7931419999999998E-2</v>
      </c>
      <c r="Q1504">
        <v>1.09043E-2</v>
      </c>
      <c r="R1504">
        <v>-0.99955039999999995</v>
      </c>
      <c r="S1504">
        <v>-8.3755490000000002E-2</v>
      </c>
      <c r="T1504">
        <v>-0.28730359999999899</v>
      </c>
      <c r="U1504">
        <v>-3.0027159999999999</v>
      </c>
      <c r="V1504">
        <v>8.7362250000000002E-2</v>
      </c>
      <c r="W1504">
        <v>1.471926E-2</v>
      </c>
      <c r="X1504">
        <v>0.99606790000000001</v>
      </c>
      <c r="Y1504">
        <v>8.718207E-2</v>
      </c>
      <c r="Z1504">
        <v>9.4793669999999997E-2</v>
      </c>
      <c r="AA1504">
        <v>0.991672</v>
      </c>
      <c r="AB1504">
        <v>22</v>
      </c>
      <c r="AC1504">
        <v>-3.8300000000020797E-2</v>
      </c>
      <c r="AD1504">
        <v>-8.8020000000000195E-2</v>
      </c>
      <c r="AE1504">
        <v>-0.70650000000000501</v>
      </c>
      <c r="AF1504">
        <v>7.9044524841578701E-2</v>
      </c>
      <c r="AG1504">
        <v>-8.8020000000000195E-2</v>
      </c>
      <c r="AH1504">
        <v>0.69225608481786205</v>
      </c>
      <c r="AI1504">
        <v>97.199956707579204</v>
      </c>
      <c r="AJ1504">
        <v>83.485954567363805</v>
      </c>
      <c r="AK1504">
        <v>0.70229199360008798</v>
      </c>
      <c r="AL1504">
        <v>89.156618102582996</v>
      </c>
      <c r="AM1504">
        <v>84.987578498963003</v>
      </c>
      <c r="AN1504">
        <v>1.0000000403752001</v>
      </c>
    </row>
    <row r="1505" spans="1:40" x14ac:dyDescent="0.25">
      <c r="A1505" t="str">
        <f>"20190312154824929"</f>
        <v>20190312154824929</v>
      </c>
      <c r="B1505" t="str">
        <f>"1552376904917063"</f>
        <v>1552376904917063</v>
      </c>
      <c r="C1505" t="s">
        <v>40</v>
      </c>
      <c r="D1505">
        <v>5.1748649999999996</v>
      </c>
      <c r="E1505">
        <v>0.50094989999999995</v>
      </c>
      <c r="F1505" t="s">
        <v>41</v>
      </c>
      <c r="G1505">
        <v>-192.23339999999999</v>
      </c>
      <c r="H1505">
        <v>1.018969</v>
      </c>
      <c r="I1505">
        <v>334.88479999999998</v>
      </c>
      <c r="J1505">
        <v>-192.1951</v>
      </c>
      <c r="K1505">
        <v>1.1085640000000001</v>
      </c>
      <c r="L1505">
        <v>335.5582</v>
      </c>
      <c r="M1505">
        <v>5.9108149999999998E-2</v>
      </c>
      <c r="N1505">
        <v>0</v>
      </c>
      <c r="O1505">
        <v>-0.99824460000000004</v>
      </c>
      <c r="P1505">
        <v>-2.7069360000000001E-2</v>
      </c>
      <c r="Q1505">
        <v>8.5601080000000003E-3</v>
      </c>
      <c r="R1505">
        <v>-0.99959750000000003</v>
      </c>
      <c r="S1505">
        <v>-8.1054689999999999E-2</v>
      </c>
      <c r="T1505">
        <v>-0.29648540000000001</v>
      </c>
      <c r="U1505">
        <v>-3.0023499999999999</v>
      </c>
      <c r="V1505">
        <v>8.6114019999999999E-2</v>
      </c>
      <c r="W1505">
        <v>1.229238E-2</v>
      </c>
      <c r="X1505">
        <v>0.99620940000000002</v>
      </c>
      <c r="Y1505">
        <v>8.5896920000000002E-2</v>
      </c>
      <c r="Z1505">
        <v>9.7816280000000005E-2</v>
      </c>
      <c r="AA1505">
        <v>0.99149069999999995</v>
      </c>
      <c r="AB1505">
        <v>23</v>
      </c>
      <c r="AC1505">
        <v>-3.8299999999992403E-2</v>
      </c>
      <c r="AD1505">
        <v>-8.95949999999998E-2</v>
      </c>
      <c r="AE1505">
        <v>-0.67340000000001499</v>
      </c>
      <c r="AF1505">
        <v>7.66836663770709E-2</v>
      </c>
      <c r="AG1505">
        <v>-8.95949999999998E-2</v>
      </c>
      <c r="AH1505">
        <v>0.65834237037559995</v>
      </c>
      <c r="AI1505">
        <v>97.698456576269095</v>
      </c>
      <c r="AJ1505">
        <v>83.356131318214395</v>
      </c>
      <c r="AK1505">
        <v>0.66882159455701895</v>
      </c>
      <c r="AL1505">
        <v>89.295680730923706</v>
      </c>
      <c r="AM1505">
        <v>85.059537120779495</v>
      </c>
      <c r="AN1505">
        <v>0.99999994784749102</v>
      </c>
    </row>
    <row r="1506" spans="1:40" x14ac:dyDescent="0.25">
      <c r="A1506" t="str">
        <f>"20190312154824952"</f>
        <v>20190312154824952</v>
      </c>
      <c r="B1506" t="str">
        <f>"1552376904947316"</f>
        <v>1552376904947316</v>
      </c>
      <c r="C1506" t="s">
        <v>40</v>
      </c>
      <c r="D1506">
        <v>5.2466280000000003</v>
      </c>
      <c r="E1506">
        <v>0.5007762</v>
      </c>
      <c r="F1506" t="s">
        <v>41</v>
      </c>
      <c r="G1506">
        <v>-192.21799999999999</v>
      </c>
      <c r="H1506">
        <v>1.0191859999999999</v>
      </c>
      <c r="I1506">
        <v>334.68150000000003</v>
      </c>
      <c r="J1506">
        <v>-192.18219999999999</v>
      </c>
      <c r="K1506">
        <v>1.108573</v>
      </c>
      <c r="L1506">
        <v>335.33460000000002</v>
      </c>
      <c r="M1506">
        <v>5.8736080000000003E-2</v>
      </c>
      <c r="N1506">
        <v>0</v>
      </c>
      <c r="O1506">
        <v>-0.9982666</v>
      </c>
      <c r="P1506">
        <v>-2.619523E-2</v>
      </c>
      <c r="Q1506">
        <v>7.3975839999999996E-3</v>
      </c>
      <c r="R1506">
        <v>-0.99963000000000002</v>
      </c>
      <c r="S1506">
        <v>-7.7835080000000001E-2</v>
      </c>
      <c r="T1506">
        <v>-0.30614720000000001</v>
      </c>
      <c r="U1506">
        <v>-3.0018009999999999</v>
      </c>
      <c r="V1506">
        <v>8.4871390000000005E-2</v>
      </c>
      <c r="W1506">
        <v>1.111944E-2</v>
      </c>
      <c r="X1506">
        <v>0.99632980000000004</v>
      </c>
      <c r="Y1506">
        <v>8.4459439999999997E-2</v>
      </c>
      <c r="Z1506">
        <v>0.1010009</v>
      </c>
      <c r="AA1506">
        <v>0.99129480000000003</v>
      </c>
      <c r="AB1506">
        <v>23</v>
      </c>
      <c r="AC1506">
        <v>-3.5799999999994697E-2</v>
      </c>
      <c r="AD1506">
        <v>-8.93869999999998E-2</v>
      </c>
      <c r="AE1506">
        <v>-0.65309999999999402</v>
      </c>
      <c r="AF1506">
        <v>7.2740482844281001E-2</v>
      </c>
      <c r="AG1506">
        <v>-8.93869999999998E-2</v>
      </c>
      <c r="AH1506">
        <v>0.63795515191667296</v>
      </c>
      <c r="AI1506">
        <v>97.925371886847799</v>
      </c>
      <c r="AJ1506">
        <v>83.495152564850599</v>
      </c>
      <c r="AK1506">
        <v>0.64828079523493898</v>
      </c>
      <c r="AL1506">
        <v>89.362889845111198</v>
      </c>
      <c r="AM1506">
        <v>85.131068597762606</v>
      </c>
      <c r="AN1506">
        <v>0.99999993257723996</v>
      </c>
    </row>
    <row r="1507" spans="1:40" x14ac:dyDescent="0.25">
      <c r="A1507" t="str">
        <f>"20190312154824976"</f>
        <v>20190312154824976</v>
      </c>
      <c r="B1507" t="str">
        <f>"1552376904966836"</f>
        <v>1552376904966836</v>
      </c>
      <c r="C1507" t="s">
        <v>40</v>
      </c>
      <c r="D1507">
        <v>5.2752140000000001</v>
      </c>
      <c r="E1507">
        <v>0.50075420000000004</v>
      </c>
      <c r="F1507" t="s">
        <v>41</v>
      </c>
      <c r="G1507">
        <v>-192.20359999999999</v>
      </c>
      <c r="H1507">
        <v>1.0192669999999999</v>
      </c>
      <c r="I1507">
        <v>334.47710000000001</v>
      </c>
      <c r="J1507">
        <v>-192.16810000000001</v>
      </c>
      <c r="K1507">
        <v>1.108606</v>
      </c>
      <c r="L1507">
        <v>335.08629999999999</v>
      </c>
      <c r="M1507">
        <v>5.8323159999999999E-2</v>
      </c>
      <c r="N1507">
        <v>0</v>
      </c>
      <c r="O1507">
        <v>-0.99829040000000002</v>
      </c>
      <c r="P1507">
        <v>-2.5723969999999999E-2</v>
      </c>
      <c r="Q1507">
        <v>5.6599780000000004E-3</v>
      </c>
      <c r="R1507">
        <v>-0.99965329999999997</v>
      </c>
      <c r="S1507">
        <v>-7.3928830000000001E-2</v>
      </c>
      <c r="T1507">
        <v>-0.31288519999999997</v>
      </c>
      <c r="U1507">
        <v>-3.0015260000000001</v>
      </c>
      <c r="V1507">
        <v>8.3989300000000003E-2</v>
      </c>
      <c r="W1507">
        <v>9.474438E-3</v>
      </c>
      <c r="X1507">
        <v>0.99642160000000002</v>
      </c>
      <c r="Y1507">
        <v>8.2754659999999994E-2</v>
      </c>
      <c r="Z1507">
        <v>0.10322240000000001</v>
      </c>
      <c r="AA1507">
        <v>0.99120969999999997</v>
      </c>
      <c r="AB1507">
        <v>23</v>
      </c>
      <c r="AC1507">
        <v>-3.5499999999984697E-2</v>
      </c>
      <c r="AD1507">
        <v>-8.9339000000000002E-2</v>
      </c>
      <c r="AE1507">
        <v>-0.60919999999998697</v>
      </c>
      <c r="AF1507">
        <v>6.9481086737003497E-2</v>
      </c>
      <c r="AG1507">
        <v>-8.9339000000000002E-2</v>
      </c>
      <c r="AH1507">
        <v>0.59337448514169899</v>
      </c>
      <c r="AI1507">
        <v>98.504943784740306</v>
      </c>
      <c r="AJ1507">
        <v>83.321373402967296</v>
      </c>
      <c r="AK1507">
        <v>0.60407148414101797</v>
      </c>
      <c r="AL1507">
        <v>89.457146560115802</v>
      </c>
      <c r="AM1507">
        <v>85.181874974397502</v>
      </c>
      <c r="AN1507">
        <v>0.99999998621823205</v>
      </c>
    </row>
    <row r="1508" spans="1:40" x14ac:dyDescent="0.25">
      <c r="A1508" t="str">
        <f>"20190312154825000"</f>
        <v>20190312154825000</v>
      </c>
      <c r="B1508" t="str">
        <f>"1552376904997091"</f>
        <v>1552376904997091</v>
      </c>
      <c r="C1508" t="s">
        <v>40</v>
      </c>
      <c r="D1508">
        <v>5.2557510000000001</v>
      </c>
      <c r="E1508">
        <v>0.50068889999999999</v>
      </c>
      <c r="F1508" t="s">
        <v>41</v>
      </c>
      <c r="G1508">
        <v>-192.18790000000001</v>
      </c>
      <c r="H1508">
        <v>1.021541</v>
      </c>
      <c r="I1508">
        <v>334.27089999999998</v>
      </c>
      <c r="J1508">
        <v>-192.15389999999999</v>
      </c>
      <c r="K1508">
        <v>1.108654</v>
      </c>
      <c r="L1508">
        <v>334.83580000000001</v>
      </c>
      <c r="M1508">
        <v>5.7906359999999997E-2</v>
      </c>
      <c r="N1508">
        <v>0</v>
      </c>
      <c r="O1508">
        <v>-0.99831400000000003</v>
      </c>
      <c r="P1508">
        <v>-2.5697080000000001E-2</v>
      </c>
      <c r="Q1508">
        <v>2.7672539999999998E-3</v>
      </c>
      <c r="R1508">
        <v>-0.99966639999999996</v>
      </c>
      <c r="S1508">
        <v>-7.2601319999999997E-2</v>
      </c>
      <c r="T1508">
        <v>-0.32052599999999998</v>
      </c>
      <c r="U1508">
        <v>-3.0009459999999999</v>
      </c>
      <c r="V1508">
        <v>8.3545629999999996E-2</v>
      </c>
      <c r="W1508">
        <v>6.7865959999999998E-3</v>
      </c>
      <c r="X1508">
        <v>0.99648080000000006</v>
      </c>
      <c r="Y1508">
        <v>8.1898670000000007E-2</v>
      </c>
      <c r="Z1508">
        <v>0.1057435</v>
      </c>
      <c r="AA1508">
        <v>0.99101510000000004</v>
      </c>
      <c r="AB1508">
        <v>23</v>
      </c>
      <c r="AC1508">
        <v>-3.4000000000020202E-2</v>
      </c>
      <c r="AD1508">
        <v>-8.7112999999999996E-2</v>
      </c>
      <c r="AE1508">
        <v>-0.56490000000002205</v>
      </c>
      <c r="AF1508">
        <v>6.5111705889438903E-2</v>
      </c>
      <c r="AG1508">
        <v>-8.7112999999999996E-2</v>
      </c>
      <c r="AH1508">
        <v>0.54897541856342902</v>
      </c>
      <c r="AI1508">
        <v>98.954941553815502</v>
      </c>
      <c r="AJ1508">
        <v>83.235983507409301</v>
      </c>
      <c r="AK1508">
        <v>0.55964472587501901</v>
      </c>
      <c r="AL1508">
        <v>89.611153690457598</v>
      </c>
      <c r="AM1508">
        <v>85.207491054553898</v>
      </c>
      <c r="AN1508">
        <v>0.99999995747300097</v>
      </c>
    </row>
    <row r="1509" spans="1:40" x14ac:dyDescent="0.25">
      <c r="A1509" t="str">
        <f>"20190312154825020"</f>
        <v>20190312154825020</v>
      </c>
      <c r="B1509" t="str">
        <f>"1552376905017588"</f>
        <v>1552376905017588</v>
      </c>
      <c r="C1509" t="s">
        <v>40</v>
      </c>
      <c r="D1509">
        <v>5.235277</v>
      </c>
      <c r="E1509">
        <v>0.50070930000000002</v>
      </c>
      <c r="F1509" t="s">
        <v>41</v>
      </c>
      <c r="G1509">
        <v>-192.17269999999999</v>
      </c>
      <c r="H1509">
        <v>1.023522</v>
      </c>
      <c r="I1509">
        <v>334.0641</v>
      </c>
      <c r="J1509">
        <v>-192.1421</v>
      </c>
      <c r="K1509">
        <v>1.1087</v>
      </c>
      <c r="L1509">
        <v>334.62619999999998</v>
      </c>
      <c r="M1509">
        <v>5.7557079999999997E-2</v>
      </c>
      <c r="N1509">
        <v>0</v>
      </c>
      <c r="O1509">
        <v>-0.99833289999999997</v>
      </c>
      <c r="P1509">
        <v>-2.5859259999999998E-2</v>
      </c>
      <c r="Q1509">
        <v>1.0125659999999999E-3</v>
      </c>
      <c r="R1509">
        <v>-0.99966549999999998</v>
      </c>
      <c r="S1509">
        <v>-7.2158810000000004E-2</v>
      </c>
      <c r="T1509">
        <v>-0.33130359999999998</v>
      </c>
      <c r="U1509">
        <v>-3.0000610000000001</v>
      </c>
      <c r="V1509">
        <v>8.335803E-2</v>
      </c>
      <c r="W1509">
        <v>5.2755270000000003E-3</v>
      </c>
      <c r="X1509">
        <v>0.99650570000000005</v>
      </c>
      <c r="Y1509">
        <v>8.140174E-2</v>
      </c>
      <c r="Z1509">
        <v>0.10929460000000001</v>
      </c>
      <c r="AA1509">
        <v>0.99067070000000002</v>
      </c>
      <c r="AB1509">
        <v>23</v>
      </c>
      <c r="AC1509">
        <v>-3.0599999999992598E-2</v>
      </c>
      <c r="AD1509">
        <v>-8.5177999999999907E-2</v>
      </c>
      <c r="AE1509">
        <v>-0.56209999999998606</v>
      </c>
      <c r="AF1509">
        <v>6.1494484138727497E-2</v>
      </c>
      <c r="AG1509">
        <v>-8.5177999999999907E-2</v>
      </c>
      <c r="AH1509">
        <v>0.546885873081708</v>
      </c>
      <c r="AI1509">
        <v>98.798174542886102</v>
      </c>
      <c r="AJ1509">
        <v>83.584335296388602</v>
      </c>
      <c r="AK1509">
        <v>0.55688510613934605</v>
      </c>
      <c r="AL1509">
        <v>89.697733166482806</v>
      </c>
      <c r="AM1509">
        <v>85.218321508263799</v>
      </c>
      <c r="AN1509">
        <v>1.00000000124154</v>
      </c>
    </row>
    <row r="1510" spans="1:40" x14ac:dyDescent="0.25">
      <c r="A1510" t="str">
        <f>"20190312154825041"</f>
        <v>20190312154825041</v>
      </c>
      <c r="B1510" t="str">
        <f>"1552376905037107"</f>
        <v>1552376905037107</v>
      </c>
      <c r="C1510" t="s">
        <v>40</v>
      </c>
      <c r="D1510">
        <v>5.2743599999999997</v>
      </c>
      <c r="E1510">
        <v>0.50070539999999997</v>
      </c>
      <c r="F1510" t="s">
        <v>41</v>
      </c>
      <c r="G1510">
        <v>-192.161</v>
      </c>
      <c r="H1510">
        <v>1.022316</v>
      </c>
      <c r="I1510">
        <v>333.858</v>
      </c>
      <c r="J1510">
        <v>-192.13030000000001</v>
      </c>
      <c r="K1510">
        <v>1.108749</v>
      </c>
      <c r="L1510">
        <v>334.41460000000001</v>
      </c>
      <c r="M1510">
        <v>5.7203900000000002E-2</v>
      </c>
      <c r="N1510">
        <v>0</v>
      </c>
      <c r="O1510">
        <v>-0.99835200000000002</v>
      </c>
      <c r="P1510">
        <v>-2.6201269999999999E-2</v>
      </c>
      <c r="Q1510">
        <v>4.943603E-4</v>
      </c>
      <c r="R1510">
        <v>-0.99965689999999996</v>
      </c>
      <c r="S1510">
        <v>-7.3120119999999997E-2</v>
      </c>
      <c r="T1510">
        <v>-0.33747169999999999</v>
      </c>
      <c r="U1510">
        <v>-2.9994510000000001</v>
      </c>
      <c r="V1510">
        <v>8.3346409999999996E-2</v>
      </c>
      <c r="W1510">
        <v>5.0518940000000003E-3</v>
      </c>
      <c r="X1510">
        <v>0.99650780000000005</v>
      </c>
      <c r="Y1510">
        <v>8.1365850000000003E-2</v>
      </c>
      <c r="Z1510">
        <v>0.1113297</v>
      </c>
      <c r="AA1510">
        <v>0.99044699999999997</v>
      </c>
      <c r="AB1510">
        <v>23</v>
      </c>
      <c r="AC1510">
        <v>-3.06999999999675E-2</v>
      </c>
      <c r="AD1510">
        <v>-8.6432999999999899E-2</v>
      </c>
      <c r="AE1510">
        <v>-0.55660000000000298</v>
      </c>
      <c r="AF1510">
        <v>6.1022702943373301E-2</v>
      </c>
      <c r="AG1510">
        <v>-8.6432999999999899E-2</v>
      </c>
      <c r="AH1510">
        <v>0.54092790074020802</v>
      </c>
      <c r="AI1510">
        <v>99.022074215548699</v>
      </c>
      <c r="AJ1510">
        <v>83.563608647881907</v>
      </c>
      <c r="AK1510">
        <v>0.55117821760545305</v>
      </c>
      <c r="AL1510">
        <v>89.710546555506198</v>
      </c>
      <c r="AM1510">
        <v>85.218995006515698</v>
      </c>
      <c r="AN1510">
        <v>0.99999997057685697</v>
      </c>
    </row>
    <row r="1511" spans="1:40" x14ac:dyDescent="0.25">
      <c r="A1511" t="str">
        <f>"20190312154825063"</f>
        <v>20190312154825063</v>
      </c>
      <c r="B1511" t="str">
        <f>"1552376905057603"</f>
        <v>1552376905057603</v>
      </c>
      <c r="C1511" t="s">
        <v>40</v>
      </c>
      <c r="D1511">
        <v>5.2898949999999996</v>
      </c>
      <c r="E1511">
        <v>0.50077079999999996</v>
      </c>
      <c r="F1511" t="s">
        <v>41</v>
      </c>
      <c r="G1511">
        <v>-192.14930000000001</v>
      </c>
      <c r="H1511">
        <v>1.022327</v>
      </c>
      <c r="I1511">
        <v>333.65069999999997</v>
      </c>
      <c r="J1511">
        <v>-192.1172</v>
      </c>
      <c r="K1511">
        <v>1.10880499999999</v>
      </c>
      <c r="L1511">
        <v>334.17910000000001</v>
      </c>
      <c r="M1511">
        <v>5.6810289999999999E-2</v>
      </c>
      <c r="N1511">
        <v>0</v>
      </c>
      <c r="O1511">
        <v>-0.9983725</v>
      </c>
      <c r="P1511">
        <v>-2.6542639999999999E-2</v>
      </c>
      <c r="Q1511">
        <v>2.471199E-4</v>
      </c>
      <c r="R1511">
        <v>-0.99964799999999998</v>
      </c>
      <c r="S1511">
        <v>-7.4172970000000005E-2</v>
      </c>
      <c r="T1511">
        <v>-0.33940100000000001</v>
      </c>
      <c r="U1511">
        <v>-2.999298</v>
      </c>
      <c r="V1511">
        <v>8.3294049999999994E-2</v>
      </c>
      <c r="W1511">
        <v>5.1744390000000003E-3</v>
      </c>
      <c r="X1511">
        <v>0.99651160000000005</v>
      </c>
      <c r="Y1511">
        <v>8.1319939999999993E-2</v>
      </c>
      <c r="Z1511">
        <v>0.11196730000000001</v>
      </c>
      <c r="AA1511">
        <v>0.99037889999999995</v>
      </c>
      <c r="AB1511">
        <v>23</v>
      </c>
      <c r="AC1511">
        <v>-3.2100000000013999E-2</v>
      </c>
      <c r="AD1511">
        <v>-8.6477999999999805E-2</v>
      </c>
      <c r="AE1511">
        <v>-0.52840000000003295</v>
      </c>
      <c r="AF1511">
        <v>6.0453809397421697E-2</v>
      </c>
      <c r="AG1511">
        <v>-8.6477999999999805E-2</v>
      </c>
      <c r="AH1511">
        <v>0.51205811777020305</v>
      </c>
      <c r="AI1511">
        <v>99.520941562722996</v>
      </c>
      <c r="AJ1511">
        <v>83.266802363215504</v>
      </c>
      <c r="AK1511">
        <v>0.52281605133069797</v>
      </c>
      <c r="AL1511">
        <v>89.703525167235</v>
      </c>
      <c r="AM1511">
        <v>85.222002762090597</v>
      </c>
      <c r="AN1511">
        <v>1.00000002125946</v>
      </c>
    </row>
    <row r="1512" spans="1:40" x14ac:dyDescent="0.25">
      <c r="A1512" t="str">
        <f>"20190312154825086"</f>
        <v>20190312154825086</v>
      </c>
      <c r="B1512" t="str">
        <f>"1552376905077124"</f>
        <v>1552376905077124</v>
      </c>
      <c r="C1512" t="s">
        <v>40</v>
      </c>
      <c r="D1512">
        <v>5.202807</v>
      </c>
      <c r="E1512">
        <v>0.50393980000000005</v>
      </c>
      <c r="F1512" t="s">
        <v>41</v>
      </c>
      <c r="G1512">
        <v>-192.136</v>
      </c>
      <c r="H1512">
        <v>1.02515499999999</v>
      </c>
      <c r="I1512">
        <v>333.44170000000003</v>
      </c>
      <c r="J1512">
        <v>-192.10419999999999</v>
      </c>
      <c r="K1512">
        <v>1.108865</v>
      </c>
      <c r="L1512">
        <v>333.94209999999998</v>
      </c>
      <c r="M1512">
        <v>5.6414329999999999E-2</v>
      </c>
      <c r="N1512">
        <v>0</v>
      </c>
      <c r="O1512">
        <v>-0.99839279999999997</v>
      </c>
      <c r="P1512">
        <v>-2.638188E-2</v>
      </c>
      <c r="Q1512">
        <v>-2.0644749999999999E-4</v>
      </c>
      <c r="R1512">
        <v>-0.99965210000000004</v>
      </c>
      <c r="S1512">
        <v>-7.5851440000000006E-2</v>
      </c>
      <c r="T1512">
        <v>-0.34035680000000001</v>
      </c>
      <c r="U1512">
        <v>-2.9991150000000002</v>
      </c>
      <c r="V1512">
        <v>8.2738679999999995E-2</v>
      </c>
      <c r="W1512">
        <v>5.1377230000000003E-3</v>
      </c>
      <c r="X1512">
        <v>0.99655800000000005</v>
      </c>
      <c r="Y1512">
        <v>8.1479280000000001E-2</v>
      </c>
      <c r="Z1512">
        <v>0.1122876</v>
      </c>
      <c r="AA1512">
        <v>0.99032960000000003</v>
      </c>
      <c r="AB1512">
        <v>23</v>
      </c>
      <c r="AC1512">
        <v>-3.1800000000003999E-2</v>
      </c>
      <c r="AD1512">
        <v>-8.3710000000000104E-2</v>
      </c>
      <c r="AE1512">
        <v>-0.50039999999995599</v>
      </c>
      <c r="AF1512">
        <v>5.8353075825300998E-2</v>
      </c>
      <c r="AG1512">
        <v>-8.3710000000000104E-2</v>
      </c>
      <c r="AH1512">
        <v>0.48431031323028201</v>
      </c>
      <c r="AI1512">
        <v>99.737266331127103</v>
      </c>
      <c r="AJ1512">
        <v>83.129723664863107</v>
      </c>
      <c r="AK1512">
        <v>0.49494335540492701</v>
      </c>
      <c r="AL1512">
        <v>89.705628850835197</v>
      </c>
      <c r="AM1512">
        <v>85.253934407237395</v>
      </c>
      <c r="AN1512">
        <v>0.99999996636488298</v>
      </c>
    </row>
    <row r="1513" spans="1:40" x14ac:dyDescent="0.25">
      <c r="A1513" t="str">
        <f>"20190312154825109"</f>
        <v>20190312154825109</v>
      </c>
      <c r="B1513" t="str">
        <f>"1552376905097619"</f>
        <v>1552376905097619</v>
      </c>
      <c r="C1513" t="s">
        <v>40</v>
      </c>
      <c r="D1513">
        <v>5.2811269999999997</v>
      </c>
      <c r="E1513">
        <v>0.50606509999999905</v>
      </c>
      <c r="F1513" t="s">
        <v>41</v>
      </c>
      <c r="G1513">
        <v>-192.1327</v>
      </c>
      <c r="H1513">
        <v>0.96221889999999999</v>
      </c>
      <c r="I1513">
        <v>333.05439999999999</v>
      </c>
      <c r="J1513">
        <v>-192.09110000000001</v>
      </c>
      <c r="K1513">
        <v>1.1089230000000001</v>
      </c>
      <c r="L1513">
        <v>333.702</v>
      </c>
      <c r="M1513">
        <v>5.6013599999999997E-2</v>
      </c>
      <c r="N1513">
        <v>0</v>
      </c>
      <c r="O1513">
        <v>-0.99841279999999999</v>
      </c>
      <c r="P1513">
        <v>-2.6740400000000001E-2</v>
      </c>
      <c r="Q1513">
        <v>-1.854215E-3</v>
      </c>
      <c r="R1513">
        <v>-0.9996408</v>
      </c>
      <c r="S1513">
        <v>-9.6221920000000002E-2</v>
      </c>
      <c r="T1513">
        <v>-0.49538159999999998</v>
      </c>
      <c r="U1513">
        <v>-2.9984440000000001</v>
      </c>
      <c r="V1513">
        <v>8.2695420000000006E-2</v>
      </c>
      <c r="W1513">
        <v>3.9547030000000004E-3</v>
      </c>
      <c r="X1513">
        <v>0.99656699999999998</v>
      </c>
      <c r="Y1513">
        <v>8.7582300000000002E-2</v>
      </c>
      <c r="Z1513">
        <v>0.1622662</v>
      </c>
      <c r="AA1513">
        <v>0.98285250000000002</v>
      </c>
      <c r="AB1513">
        <v>23</v>
      </c>
      <c r="AC1513">
        <v>-4.1599999999988299E-2</v>
      </c>
      <c r="AD1513">
        <v>-0.146704099999999</v>
      </c>
      <c r="AE1513">
        <v>-0.64760000000001094</v>
      </c>
      <c r="AF1513">
        <v>7.40264299769475E-2</v>
      </c>
      <c r="AG1513">
        <v>-0.146704099999999</v>
      </c>
      <c r="AH1513">
        <v>0.61292797380951203</v>
      </c>
      <c r="AI1513">
        <v>103.36688247325201</v>
      </c>
      <c r="AJ1513">
        <v>83.113451753756195</v>
      </c>
      <c r="AK1513">
        <v>0.63457285347718495</v>
      </c>
      <c r="AL1513">
        <v>89.773411613443898</v>
      </c>
      <c r="AM1513">
        <v>85.256447209411803</v>
      </c>
      <c r="AN1513">
        <v>0.99999997882689695</v>
      </c>
    </row>
    <row r="1514" spans="1:40" x14ac:dyDescent="0.25">
      <c r="A1514" t="str">
        <f>"20190312154825131"</f>
        <v>20190312154825131</v>
      </c>
      <c r="B1514" t="str">
        <f>"1552376905126899"</f>
        <v>1552376905126899</v>
      </c>
      <c r="C1514" t="s">
        <v>40</v>
      </c>
      <c r="D1514">
        <v>5.3688159999999998</v>
      </c>
      <c r="E1514">
        <v>0.50893350000000004</v>
      </c>
      <c r="F1514" t="s">
        <v>41</v>
      </c>
      <c r="G1514">
        <v>-192.12270000000001</v>
      </c>
      <c r="H1514">
        <v>0.93721220000000005</v>
      </c>
      <c r="I1514">
        <v>332.8578</v>
      </c>
      <c r="J1514">
        <v>-192.0787</v>
      </c>
      <c r="K1514">
        <v>1.10897</v>
      </c>
      <c r="L1514">
        <v>333.47300000000001</v>
      </c>
      <c r="M1514">
        <v>5.5631939999999998E-2</v>
      </c>
      <c r="N1514">
        <v>0</v>
      </c>
      <c r="O1514">
        <v>-0.99843139999999997</v>
      </c>
      <c r="P1514">
        <v>-2.740072E-2</v>
      </c>
      <c r="Q1514">
        <v>-3.4411899999999998E-3</v>
      </c>
      <c r="R1514">
        <v>-0.99961880000000003</v>
      </c>
      <c r="S1514">
        <v>-0.11158750000000001</v>
      </c>
      <c r="T1514">
        <v>-0.60971809999999904</v>
      </c>
      <c r="U1514">
        <v>-2.9970400000000001</v>
      </c>
      <c r="V1514">
        <v>8.2971950000000003E-2</v>
      </c>
      <c r="W1514">
        <v>2.819837E-3</v>
      </c>
      <c r="X1514">
        <v>0.99654790000000004</v>
      </c>
      <c r="Y1514">
        <v>9.2000449999999998E-2</v>
      </c>
      <c r="Z1514">
        <v>0.19840550000000001</v>
      </c>
      <c r="AA1514">
        <v>0.97579260000000001</v>
      </c>
      <c r="AB1514">
        <v>23</v>
      </c>
      <c r="AC1514">
        <v>-4.40000000000111E-2</v>
      </c>
      <c r="AD1514">
        <v>-0.17175779999999999</v>
      </c>
      <c r="AE1514">
        <v>-0.61520000000001496</v>
      </c>
      <c r="AF1514">
        <v>7.2532387303141599E-2</v>
      </c>
      <c r="AG1514">
        <v>-0.17175779999999999</v>
      </c>
      <c r="AH1514">
        <v>0.56776865340944005</v>
      </c>
      <c r="AI1514">
        <v>106.70318647709099</v>
      </c>
      <c r="AJ1514">
        <v>82.719902955227894</v>
      </c>
      <c r="AK1514">
        <v>0.59759763458626702</v>
      </c>
      <c r="AL1514">
        <v>89.838435027918294</v>
      </c>
      <c r="AM1514">
        <v>85.240566914525303</v>
      </c>
      <c r="AN1514">
        <v>1.00000000648095</v>
      </c>
    </row>
    <row r="1515" spans="1:40" x14ac:dyDescent="0.25">
      <c r="A1515" t="str">
        <f>"20190312154825152"</f>
        <v>20190312154825152</v>
      </c>
      <c r="B1515" t="str">
        <f>"1552376905147396"</f>
        <v>1552376905147396</v>
      </c>
      <c r="C1515" t="s">
        <v>40</v>
      </c>
      <c r="D1515">
        <v>5.2207379999999999</v>
      </c>
      <c r="E1515">
        <v>0.50978519999999905</v>
      </c>
      <c r="F1515" t="s">
        <v>41</v>
      </c>
      <c r="G1515">
        <v>-192.1155</v>
      </c>
      <c r="H1515">
        <v>0.92292680000000005</v>
      </c>
      <c r="I1515">
        <v>332.65539999999999</v>
      </c>
      <c r="J1515">
        <v>-192.0668</v>
      </c>
      <c r="K1515">
        <v>1.109022</v>
      </c>
      <c r="L1515">
        <v>333.25189999999998</v>
      </c>
      <c r="M1515">
        <v>5.5263230000000003E-2</v>
      </c>
      <c r="N1515">
        <v>0</v>
      </c>
      <c r="O1515">
        <v>-0.99844880000000003</v>
      </c>
      <c r="P1515">
        <v>-2.8025270000000001E-2</v>
      </c>
      <c r="Q1515">
        <v>-3.408959E-3</v>
      </c>
      <c r="R1515">
        <v>-0.99960150000000003</v>
      </c>
      <c r="S1515">
        <v>-0.134567299999999</v>
      </c>
      <c r="T1515">
        <v>-0.68164089999999999</v>
      </c>
      <c r="U1515">
        <v>-2.9951479999999999</v>
      </c>
      <c r="V1515">
        <v>8.3227079999999995E-2</v>
      </c>
      <c r="W1515">
        <v>3.305255E-3</v>
      </c>
      <c r="X1515">
        <v>0.99652510000000005</v>
      </c>
      <c r="Y1515">
        <v>9.8910890000000001E-2</v>
      </c>
      <c r="Z1515">
        <v>0.22074959999999999</v>
      </c>
      <c r="AA1515">
        <v>0.97030209999999995</v>
      </c>
      <c r="AB1515">
        <v>23</v>
      </c>
      <c r="AC1515">
        <v>-4.86999999999966E-2</v>
      </c>
      <c r="AD1515">
        <v>-0.18609519999999899</v>
      </c>
      <c r="AE1515">
        <v>-0.59649999999999104</v>
      </c>
      <c r="AF1515">
        <v>7.4397628863363999E-2</v>
      </c>
      <c r="AG1515">
        <v>-0.18609519999999899</v>
      </c>
      <c r="AH1515">
        <v>0.54062597727637496</v>
      </c>
      <c r="AI1515">
        <v>108.82978306176</v>
      </c>
      <c r="AJ1515">
        <v>82.1645208042614</v>
      </c>
      <c r="AK1515">
        <v>0.57657859650663901</v>
      </c>
      <c r="AL1515">
        <v>89.810622488401407</v>
      </c>
      <c r="AM1515">
        <v>85.225890975793604</v>
      </c>
      <c r="AN1515">
        <v>0.99999997324297496</v>
      </c>
    </row>
    <row r="1516" spans="1:40" x14ac:dyDescent="0.25">
      <c r="A1516" t="str">
        <f>"20190312154825178"</f>
        <v>20190312154825178</v>
      </c>
      <c r="B1516" t="str">
        <f>"1552376905166915"</f>
        <v>1552376905166915</v>
      </c>
      <c r="C1516" t="s">
        <v>40</v>
      </c>
      <c r="D1516">
        <v>5.2211910000000001</v>
      </c>
      <c r="E1516">
        <v>0.51056409999999997</v>
      </c>
      <c r="F1516" t="s">
        <v>41</v>
      </c>
      <c r="G1516">
        <v>-192.10499999999999</v>
      </c>
      <c r="H1516">
        <v>0.91659270000000004</v>
      </c>
      <c r="I1516">
        <v>332.4495</v>
      </c>
      <c r="J1516">
        <v>-192.05269999999999</v>
      </c>
      <c r="K1516">
        <v>1.109103</v>
      </c>
      <c r="L1516">
        <v>332.98770000000002</v>
      </c>
      <c r="M1516">
        <v>5.4823530000000002E-2</v>
      </c>
      <c r="N1516">
        <v>0</v>
      </c>
      <c r="O1516">
        <v>-0.99846880000000005</v>
      </c>
      <c r="P1516">
        <v>-2.885184E-2</v>
      </c>
      <c r="Q1516">
        <v>-3.5329960000000001E-3</v>
      </c>
      <c r="R1516">
        <v>-0.99957759999999996</v>
      </c>
      <c r="S1516">
        <v>-0.1420746</v>
      </c>
      <c r="T1516">
        <v>-0.71821000000000002</v>
      </c>
      <c r="U1516">
        <v>-2.9947509999999999</v>
      </c>
      <c r="V1516">
        <v>8.3612809999999996E-2</v>
      </c>
      <c r="W1516">
        <v>3.775413E-3</v>
      </c>
      <c r="X1516">
        <v>0.99649120000000002</v>
      </c>
      <c r="Y1516">
        <v>0.1007815</v>
      </c>
      <c r="Z1516">
        <v>0.2319676</v>
      </c>
      <c r="AA1516">
        <v>0.96748860000000003</v>
      </c>
      <c r="AB1516">
        <v>23</v>
      </c>
      <c r="AC1516">
        <v>-5.23000000000024E-2</v>
      </c>
      <c r="AD1516">
        <v>-0.1925103</v>
      </c>
      <c r="AE1516">
        <v>-0.538200000000017</v>
      </c>
      <c r="AF1516">
        <v>7.2534602027753095E-2</v>
      </c>
      <c r="AG1516">
        <v>-0.1925103</v>
      </c>
      <c r="AH1516">
        <v>0.47439491445243498</v>
      </c>
      <c r="AI1516">
        <v>111.857690827356</v>
      </c>
      <c r="AJ1516">
        <v>81.306847344039397</v>
      </c>
      <c r="AK1516">
        <v>0.51708028289207397</v>
      </c>
      <c r="AL1516">
        <v>89.783684262585894</v>
      </c>
      <c r="AM1516">
        <v>85.203705138586898</v>
      </c>
      <c r="AN1516">
        <v>1.0000000337084201</v>
      </c>
    </row>
    <row r="1517" spans="1:40" x14ac:dyDescent="0.25">
      <c r="A1517" t="str">
        <f>"20190312154825201"</f>
        <v>20190312154825201</v>
      </c>
      <c r="B1517" t="str">
        <f>"1552376905197172"</f>
        <v>1552376905197172</v>
      </c>
      <c r="C1517" t="s">
        <v>40</v>
      </c>
      <c r="D1517">
        <v>5.2323769999999996</v>
      </c>
      <c r="E1517">
        <v>0.51069140000000002</v>
      </c>
      <c r="F1517" t="s">
        <v>41</v>
      </c>
      <c r="G1517">
        <v>-192.09030000000001</v>
      </c>
      <c r="H1517">
        <v>0.92239579999999999</v>
      </c>
      <c r="I1517">
        <v>332.23840000000001</v>
      </c>
      <c r="J1517">
        <v>-192.0403</v>
      </c>
      <c r="K1517">
        <v>1.109173</v>
      </c>
      <c r="L1517">
        <v>332.75299999999999</v>
      </c>
      <c r="M1517">
        <v>5.4440040000000002E-2</v>
      </c>
      <c r="N1517">
        <v>0</v>
      </c>
      <c r="O1517">
        <v>-0.99848519999999996</v>
      </c>
      <c r="P1517">
        <v>-3.017676E-2</v>
      </c>
      <c r="Q1517">
        <v>-4.8194249999999996E-3</v>
      </c>
      <c r="R1517">
        <v>-0.99953309999999995</v>
      </c>
      <c r="S1517">
        <v>-0.1499481</v>
      </c>
      <c r="T1517">
        <v>-0.74618589999999996</v>
      </c>
      <c r="U1517">
        <v>-2.9942929999999999</v>
      </c>
      <c r="V1517">
        <v>8.4550399999999901E-2</v>
      </c>
      <c r="W1517">
        <v>3.078758E-3</v>
      </c>
      <c r="X1517">
        <v>0.99641440000000003</v>
      </c>
      <c r="Y1517">
        <v>0.10284020000000001</v>
      </c>
      <c r="Z1517">
        <v>0.2404869</v>
      </c>
      <c r="AA1517">
        <v>0.96518899999999996</v>
      </c>
      <c r="AB1517">
        <v>23</v>
      </c>
      <c r="AC1517">
        <v>-5.0000000000011299E-2</v>
      </c>
      <c r="AD1517">
        <v>-0.18677719999999901</v>
      </c>
      <c r="AE1517">
        <v>-0.51460000000002903</v>
      </c>
      <c r="AF1517">
        <v>6.8944036431348596E-2</v>
      </c>
      <c r="AG1517">
        <v>-0.18677719999999901</v>
      </c>
      <c r="AH1517">
        <v>0.45211184482518801</v>
      </c>
      <c r="AI1517">
        <v>112.21512622136299</v>
      </c>
      <c r="AJ1517">
        <v>81.329572558792407</v>
      </c>
      <c r="AK1517">
        <v>0.49400822141996997</v>
      </c>
      <c r="AL1517">
        <v>89.823599873439505</v>
      </c>
      <c r="AM1517">
        <v>85.149805110185696</v>
      </c>
      <c r="AN1517">
        <v>0.99999995270916997</v>
      </c>
    </row>
    <row r="1518" spans="1:40" x14ac:dyDescent="0.25">
      <c r="A1518" t="str">
        <f>"20190312154825221"</f>
        <v>20190312154825221</v>
      </c>
      <c r="B1518" t="str">
        <f>"1552376905217667"</f>
        <v>1552376905217667</v>
      </c>
      <c r="C1518" t="s">
        <v>40</v>
      </c>
      <c r="D1518">
        <v>5.2368180000000004</v>
      </c>
      <c r="E1518">
        <v>0.5106503</v>
      </c>
      <c r="F1518" t="s">
        <v>41</v>
      </c>
      <c r="G1518">
        <v>-192.07749999999999</v>
      </c>
      <c r="H1518">
        <v>0.92222340000000003</v>
      </c>
      <c r="I1518">
        <v>332.03019999999998</v>
      </c>
      <c r="J1518">
        <v>-192.0291</v>
      </c>
      <c r="K1518">
        <v>1.109248</v>
      </c>
      <c r="L1518">
        <v>332.53980000000001</v>
      </c>
      <c r="M1518">
        <v>5.4090920000000001E-2</v>
      </c>
      <c r="N1518">
        <v>0</v>
      </c>
      <c r="O1518">
        <v>-0.99849960000000004</v>
      </c>
      <c r="P1518">
        <v>-3.1594700000000003E-2</v>
      </c>
      <c r="Q1518">
        <v>-6.2643009999999999E-3</v>
      </c>
      <c r="R1518">
        <v>-0.99948139999999996</v>
      </c>
      <c r="S1518">
        <v>-0.1534576</v>
      </c>
      <c r="T1518">
        <v>-0.77420129999999998</v>
      </c>
      <c r="U1518">
        <v>-2.9930110000000001</v>
      </c>
      <c r="V1518">
        <v>8.561473E-2</v>
      </c>
      <c r="W1518">
        <v>2.199473E-3</v>
      </c>
      <c r="X1518">
        <v>0.99632589999999999</v>
      </c>
      <c r="Y1518">
        <v>0.103531</v>
      </c>
      <c r="Z1518">
        <v>0.24905140000000001</v>
      </c>
      <c r="AA1518">
        <v>0.96294069999999998</v>
      </c>
      <c r="AB1518">
        <v>23</v>
      </c>
      <c r="AC1518">
        <v>-4.83999999999866E-2</v>
      </c>
      <c r="AD1518">
        <v>-0.18702460000000001</v>
      </c>
      <c r="AE1518">
        <v>-0.50960000000003403</v>
      </c>
      <c r="AF1518">
        <v>6.6956992160515094E-2</v>
      </c>
      <c r="AG1518">
        <v>-0.18702460000000001</v>
      </c>
      <c r="AH1518">
        <v>0.44661813514207799</v>
      </c>
      <c r="AI1518">
        <v>112.49587247140001</v>
      </c>
      <c r="AJ1518">
        <v>81.473717073899195</v>
      </c>
      <c r="AK1518">
        <v>0.48880384454516201</v>
      </c>
      <c r="AL1518">
        <v>89.8739793795163</v>
      </c>
      <c r="AM1518">
        <v>85.088612969155506</v>
      </c>
      <c r="AN1518">
        <v>1.00000000934263</v>
      </c>
    </row>
    <row r="1519" spans="1:40" x14ac:dyDescent="0.25">
      <c r="A1519" t="str">
        <f>"20190312154825243"</f>
        <v>20190312154825243</v>
      </c>
      <c r="B1519" t="str">
        <f>"1552376905237188"</f>
        <v>1552376905237188</v>
      </c>
      <c r="C1519" t="s">
        <v>40</v>
      </c>
      <c r="D1519">
        <v>5.2102399999999998</v>
      </c>
      <c r="E1519">
        <v>0.5105111</v>
      </c>
      <c r="F1519" t="s">
        <v>41</v>
      </c>
      <c r="G1519">
        <v>-192.0667</v>
      </c>
      <c r="H1519">
        <v>0.92064420000000002</v>
      </c>
      <c r="I1519">
        <v>331.8229</v>
      </c>
      <c r="J1519">
        <v>-192.01730000000001</v>
      </c>
      <c r="K1519">
        <v>1.1093090000000001</v>
      </c>
      <c r="L1519">
        <v>332.315</v>
      </c>
      <c r="M1519">
        <v>5.3717139999999997E-2</v>
      </c>
      <c r="N1519">
        <v>0</v>
      </c>
      <c r="O1519">
        <v>-0.99851480000000004</v>
      </c>
      <c r="P1519">
        <v>-3.2369080000000001E-2</v>
      </c>
      <c r="Q1519">
        <v>-6.6186269999999898E-3</v>
      </c>
      <c r="R1519">
        <v>-0.99945459999999997</v>
      </c>
      <c r="S1519">
        <v>-0.156723</v>
      </c>
      <c r="T1519">
        <v>-0.78706480000000001</v>
      </c>
      <c r="U1519">
        <v>-2.9916689999999999</v>
      </c>
      <c r="V1519">
        <v>8.6013939999999997E-2</v>
      </c>
      <c r="W1519">
        <v>2.4207249999999999E-3</v>
      </c>
      <c r="X1519">
        <v>0.99629100000000004</v>
      </c>
      <c r="Y1519">
        <v>0.1041752</v>
      </c>
      <c r="Z1519">
        <v>0.25302249999999998</v>
      </c>
      <c r="AA1519">
        <v>0.96183529999999995</v>
      </c>
      <c r="AB1519">
        <v>23</v>
      </c>
      <c r="AC1519">
        <v>-4.9399999999991402E-2</v>
      </c>
      <c r="AD1519">
        <v>-0.18866479999999999</v>
      </c>
      <c r="AE1519">
        <v>-0.49209999999999299</v>
      </c>
      <c r="AF1519">
        <v>6.6139411047340696E-2</v>
      </c>
      <c r="AG1519">
        <v>-0.18866479999999999</v>
      </c>
      <c r="AH1519">
        <v>0.42664993668553403</v>
      </c>
      <c r="AI1519">
        <v>113.60441497133201</v>
      </c>
      <c r="AJ1519">
        <v>81.188129907154305</v>
      </c>
      <c r="AK1519">
        <v>0.47116769512191697</v>
      </c>
      <c r="AL1519">
        <v>89.861302539682001</v>
      </c>
      <c r="AM1519">
        <v>85.065652638680206</v>
      </c>
      <c r="AN1519">
        <v>1.00000000723242</v>
      </c>
    </row>
    <row r="1520" spans="1:40" x14ac:dyDescent="0.25">
      <c r="A1520" t="str">
        <f>"20190312154825266"</f>
        <v>20190312154825266</v>
      </c>
      <c r="B1520" t="str">
        <f>"1552376905257683"</f>
        <v>1552376905257683</v>
      </c>
      <c r="C1520" t="s">
        <v>40</v>
      </c>
      <c r="D1520">
        <v>5.2891180000000002</v>
      </c>
      <c r="E1520">
        <v>0.51174200000000003</v>
      </c>
      <c r="F1520" t="s">
        <v>41</v>
      </c>
      <c r="G1520">
        <v>-192.05439999999999</v>
      </c>
      <c r="H1520">
        <v>0.9237784</v>
      </c>
      <c r="I1520">
        <v>331.61369999999999</v>
      </c>
      <c r="J1520">
        <v>-192.00489999999999</v>
      </c>
      <c r="K1520">
        <v>1.109354</v>
      </c>
      <c r="L1520">
        <v>332.0745</v>
      </c>
      <c r="M1520">
        <v>5.3313409999999999E-2</v>
      </c>
      <c r="N1520">
        <v>0</v>
      </c>
      <c r="O1520">
        <v>-0.99853080000000005</v>
      </c>
      <c r="P1520">
        <v>-3.3415790000000001E-2</v>
      </c>
      <c r="Q1520">
        <v>-9.0639620000000001E-3</v>
      </c>
      <c r="R1520">
        <v>-0.99940059999999997</v>
      </c>
      <c r="S1520">
        <v>-0.15756229999999999</v>
      </c>
      <c r="T1520">
        <v>-0.79136660000000003</v>
      </c>
      <c r="U1520">
        <v>-2.9913020000000001</v>
      </c>
      <c r="V1520">
        <v>8.6652560000000003E-2</v>
      </c>
      <c r="W1520">
        <v>5.3483619999999997E-4</v>
      </c>
      <c r="X1520">
        <v>0.99623850000000003</v>
      </c>
      <c r="Y1520">
        <v>0.10403030000000001</v>
      </c>
      <c r="Z1520">
        <v>0.25435279999999999</v>
      </c>
      <c r="AA1520">
        <v>0.96150000000000002</v>
      </c>
      <c r="AB1520">
        <v>23</v>
      </c>
      <c r="AC1520">
        <v>-4.9499999999994701E-2</v>
      </c>
      <c r="AD1520">
        <v>-0.18557560000000001</v>
      </c>
      <c r="AE1520">
        <v>-0.46080000000000598</v>
      </c>
      <c r="AF1520">
        <v>6.3772476216405402E-2</v>
      </c>
      <c r="AG1520">
        <v>-0.18557560000000001</v>
      </c>
      <c r="AH1520">
        <v>0.39428668710600401</v>
      </c>
      <c r="AI1520">
        <v>114.92068777984301</v>
      </c>
      <c r="AJ1520">
        <v>80.812465849920201</v>
      </c>
      <c r="AK1520">
        <v>0.440417101924028</v>
      </c>
      <c r="AL1520">
        <v>89.969356143097002</v>
      </c>
      <c r="AM1520">
        <v>85.028939275546094</v>
      </c>
      <c r="AN1520">
        <v>1.00000005054328</v>
      </c>
    </row>
    <row r="1521" spans="1:40" x14ac:dyDescent="0.25">
      <c r="A1521" t="str">
        <f>"20190312154825287"</f>
        <v>20190312154825287</v>
      </c>
      <c r="B1521" t="str">
        <f>"1552376905277204"</f>
        <v>1552376905277204</v>
      </c>
      <c r="C1521" t="s">
        <v>40</v>
      </c>
      <c r="D1521">
        <v>5.2071709999999998</v>
      </c>
      <c r="E1521">
        <v>0.51322349999999906</v>
      </c>
      <c r="F1521" t="s">
        <v>41</v>
      </c>
      <c r="G1521">
        <v>-192.0538</v>
      </c>
      <c r="H1521">
        <v>0.87807639999999998</v>
      </c>
      <c r="I1521">
        <v>331.21690000000001</v>
      </c>
      <c r="J1521">
        <v>-191.9931</v>
      </c>
      <c r="K1521">
        <v>1.109375</v>
      </c>
      <c r="L1521">
        <v>331.84690000000001</v>
      </c>
      <c r="M1521">
        <v>5.293494E-2</v>
      </c>
      <c r="N1521">
        <v>0</v>
      </c>
      <c r="O1521">
        <v>-0.9985463</v>
      </c>
      <c r="P1521">
        <v>-3.4483010000000001E-2</v>
      </c>
      <c r="Q1521">
        <v>-1.0985160000000001E-2</v>
      </c>
      <c r="R1521">
        <v>-0.99934509999999999</v>
      </c>
      <c r="S1521">
        <v>-0.1698914</v>
      </c>
      <c r="T1521">
        <v>-0.80602779999999996</v>
      </c>
      <c r="U1521">
        <v>-2.9887999999999999</v>
      </c>
      <c r="V1521">
        <v>8.7337109999999996E-2</v>
      </c>
      <c r="W1521">
        <v>-9.1229470000000004E-4</v>
      </c>
      <c r="X1521">
        <v>0.99617840000000002</v>
      </c>
      <c r="Y1521">
        <v>0.1075808</v>
      </c>
      <c r="Z1521">
        <v>0.2588818</v>
      </c>
      <c r="AA1521">
        <v>0.95989919999999995</v>
      </c>
      <c r="AB1521">
        <v>23</v>
      </c>
      <c r="AC1521">
        <v>-6.0699999999996999E-2</v>
      </c>
      <c r="AD1521">
        <v>-0.23129859999999899</v>
      </c>
      <c r="AE1521">
        <v>-0.62999999999999501</v>
      </c>
      <c r="AF1521">
        <v>8.2894814346676102E-2</v>
      </c>
      <c r="AG1521">
        <v>-0.23129859999999899</v>
      </c>
      <c r="AH1521">
        <v>0.55216086897444205</v>
      </c>
      <c r="AI1521">
        <v>112.502017249811</v>
      </c>
      <c r="AJ1521">
        <v>81.462061293879401</v>
      </c>
      <c r="AK1521">
        <v>0.60436099959721201</v>
      </c>
      <c r="AL1521">
        <v>90.052270643031704</v>
      </c>
      <c r="AM1521">
        <v>84.989566573564304</v>
      </c>
      <c r="AN1521">
        <v>1.00000000384566</v>
      </c>
    </row>
    <row r="1522" spans="1:40" x14ac:dyDescent="0.25">
      <c r="A1522" t="str">
        <f>"20190312154825310"</f>
        <v>20190312154825310</v>
      </c>
      <c r="B1522" t="str">
        <f>"1552376905307459"</f>
        <v>1552376905307459</v>
      </c>
      <c r="C1522" t="s">
        <v>40</v>
      </c>
      <c r="D1522">
        <v>5.1520659999999996</v>
      </c>
      <c r="E1522">
        <v>0.51433039999999997</v>
      </c>
      <c r="F1522" t="s">
        <v>41</v>
      </c>
      <c r="G1522">
        <v>-192.04470000000001</v>
      </c>
      <c r="H1522">
        <v>0.8796619</v>
      </c>
      <c r="I1522">
        <v>331.00909999999999</v>
      </c>
      <c r="J1522">
        <v>-191.98099999999999</v>
      </c>
      <c r="K1522">
        <v>1.1093930000000001</v>
      </c>
      <c r="L1522">
        <v>331.60969999999998</v>
      </c>
      <c r="M1522">
        <v>5.2546500000000003E-2</v>
      </c>
      <c r="N1522">
        <v>0</v>
      </c>
      <c r="O1522">
        <v>-0.99856230000000001</v>
      </c>
      <c r="P1522">
        <v>-3.4388420000000003E-2</v>
      </c>
      <c r="Q1522">
        <v>-1.17451E-2</v>
      </c>
      <c r="R1522">
        <v>-0.99933989999999995</v>
      </c>
      <c r="S1522">
        <v>-0.18402099999999999</v>
      </c>
      <c r="T1522">
        <v>-0.818855</v>
      </c>
      <c r="U1522">
        <v>-2.9866030000000001</v>
      </c>
      <c r="V1522">
        <v>8.6854890000000004E-2</v>
      </c>
      <c r="W1522">
        <v>-1.22028E-3</v>
      </c>
      <c r="X1522">
        <v>0.9962202</v>
      </c>
      <c r="Y1522">
        <v>0.11169279999999999</v>
      </c>
      <c r="Z1522">
        <v>0.26280949999999997</v>
      </c>
      <c r="AA1522">
        <v>0.95836100000000002</v>
      </c>
      <c r="AB1522">
        <v>23</v>
      </c>
      <c r="AC1522">
        <v>-6.37000000000114E-2</v>
      </c>
      <c r="AD1522">
        <v>-0.22973109999999999</v>
      </c>
      <c r="AE1522">
        <v>-0.60059999999998503</v>
      </c>
      <c r="AF1522">
        <v>8.3143865176305495E-2</v>
      </c>
      <c r="AG1522">
        <v>-0.22973109999999999</v>
      </c>
      <c r="AH1522">
        <v>0.52103850055947898</v>
      </c>
      <c r="AI1522">
        <v>113.528377376016</v>
      </c>
      <c r="AJ1522">
        <v>80.933559070106398</v>
      </c>
      <c r="AK1522">
        <v>0.57547406517490896</v>
      </c>
      <c r="AL1522">
        <v>90.069916912997996</v>
      </c>
      <c r="AM1522">
        <v>85.017299359807794</v>
      </c>
      <c r="AN1522">
        <v>0.999999973944114</v>
      </c>
    </row>
    <row r="1523" spans="1:40" x14ac:dyDescent="0.25">
      <c r="A1523" t="str">
        <f>"20190312154825331"</f>
        <v>20190312154825331</v>
      </c>
      <c r="B1523" t="str">
        <f>"1552376905326980"</f>
        <v>1552376905326980</v>
      </c>
      <c r="C1523" t="s">
        <v>40</v>
      </c>
      <c r="D1523">
        <v>5.1477040000000001</v>
      </c>
      <c r="E1523">
        <v>0.51510749999999905</v>
      </c>
      <c r="F1523" t="s">
        <v>41</v>
      </c>
      <c r="G1523">
        <v>-192.0333</v>
      </c>
      <c r="H1523">
        <v>0.88574299999999995</v>
      </c>
      <c r="I1523">
        <v>330.8</v>
      </c>
      <c r="J1523">
        <v>-191.97</v>
      </c>
      <c r="K1523">
        <v>1.109415</v>
      </c>
      <c r="L1523">
        <v>331.3913</v>
      </c>
      <c r="M1523">
        <v>5.2189310000000003E-2</v>
      </c>
      <c r="N1523">
        <v>0</v>
      </c>
      <c r="O1523">
        <v>-0.99857680000000004</v>
      </c>
      <c r="P1523">
        <v>-3.3447230000000001E-2</v>
      </c>
      <c r="Q1523">
        <v>-1.21218E-2</v>
      </c>
      <c r="R1523">
        <v>-0.99936729999999996</v>
      </c>
      <c r="S1523">
        <v>-0.19207759999999999</v>
      </c>
      <c r="T1523">
        <v>-0.82463059999999999</v>
      </c>
      <c r="U1523">
        <v>-2.985687</v>
      </c>
      <c r="V1523">
        <v>8.5560310000000001E-2</v>
      </c>
      <c r="W1523">
        <v>-1.218261E-3</v>
      </c>
      <c r="X1523">
        <v>0.9963322</v>
      </c>
      <c r="Y1523">
        <v>0.11390019999999999</v>
      </c>
      <c r="Z1523">
        <v>0.26456069999999998</v>
      </c>
      <c r="AA1523">
        <v>0.95761909999999895</v>
      </c>
      <c r="AB1523">
        <v>23</v>
      </c>
      <c r="AC1523">
        <v>-6.3299999999998094E-2</v>
      </c>
      <c r="AD1523">
        <v>-0.22367200000000001</v>
      </c>
      <c r="AE1523">
        <v>-0.59129999999998895</v>
      </c>
      <c r="AF1523">
        <v>8.2415900297290706E-2</v>
      </c>
      <c r="AG1523">
        <v>-0.22367200000000001</v>
      </c>
      <c r="AH1523">
        <v>0.514416717638284</v>
      </c>
      <c r="AI1523">
        <v>113.235390450414</v>
      </c>
      <c r="AJ1523">
        <v>80.897861593270804</v>
      </c>
      <c r="AK1523">
        <v>0.56696217121740899</v>
      </c>
      <c r="AL1523">
        <v>90.069801234277094</v>
      </c>
      <c r="AM1523">
        <v>85.091750463325297</v>
      </c>
      <c r="AN1523">
        <v>0.99999995178199896</v>
      </c>
    </row>
    <row r="1524" spans="1:40" x14ac:dyDescent="0.25">
      <c r="A1524" t="str">
        <f>"20190312154825355"</f>
        <v>20190312154825355</v>
      </c>
      <c r="B1524" t="str">
        <f>"1552376905347475"</f>
        <v>1552376905347475</v>
      </c>
      <c r="C1524" t="s">
        <v>40</v>
      </c>
      <c r="D1524">
        <v>5.0736299999999996</v>
      </c>
      <c r="E1524">
        <v>0.51579059999999999</v>
      </c>
      <c r="F1524" t="s">
        <v>41</v>
      </c>
      <c r="G1524">
        <v>-192.02250000000001</v>
      </c>
      <c r="H1524">
        <v>0.88809719999999903</v>
      </c>
      <c r="I1524">
        <v>330.5926</v>
      </c>
      <c r="J1524">
        <v>-191.9579</v>
      </c>
      <c r="K1524">
        <v>1.1094329999999999</v>
      </c>
      <c r="L1524">
        <v>331.15219999999999</v>
      </c>
      <c r="M1524">
        <v>5.1793390000000002E-2</v>
      </c>
      <c r="N1524">
        <v>0</v>
      </c>
      <c r="O1524">
        <v>-0.99859330000000002</v>
      </c>
      <c r="P1524">
        <v>-3.3041059999999997E-2</v>
      </c>
      <c r="Q1524">
        <v>-1.420108E-2</v>
      </c>
      <c r="R1524">
        <v>-0.99935320000000005</v>
      </c>
      <c r="S1524">
        <v>-0.19604489999999999</v>
      </c>
      <c r="T1524">
        <v>-0.82726189999999999</v>
      </c>
      <c r="U1524">
        <v>-2.9852599999999998</v>
      </c>
      <c r="V1524">
        <v>8.4758100000000003E-2</v>
      </c>
      <c r="W1524">
        <v>-2.9305429999999999E-3</v>
      </c>
      <c r="X1524">
        <v>0.99639730000000004</v>
      </c>
      <c r="Y1524">
        <v>0.1147681</v>
      </c>
      <c r="Z1524">
        <v>0.26536419999999999</v>
      </c>
      <c r="AA1524">
        <v>0.95729319999999896</v>
      </c>
      <c r="AB1524">
        <v>23</v>
      </c>
      <c r="AC1524">
        <v>-6.46000000000128E-2</v>
      </c>
      <c r="AD1524">
        <v>-0.2213358</v>
      </c>
      <c r="AE1524">
        <v>-0.559599999999989</v>
      </c>
      <c r="AF1524">
        <v>8.0994572827951E-2</v>
      </c>
      <c r="AG1524">
        <v>-0.2213358</v>
      </c>
      <c r="AH1524">
        <v>0.48121195558931501</v>
      </c>
      <c r="AI1524">
        <v>114.397855930362</v>
      </c>
      <c r="AJ1524">
        <v>80.445883878863796</v>
      </c>
      <c r="AK1524">
        <v>0.53583076002718899</v>
      </c>
      <c r="AL1524">
        <v>90.167907977265699</v>
      </c>
      <c r="AM1524">
        <v>85.137864499799505</v>
      </c>
      <c r="AN1524">
        <v>1.00000005152258</v>
      </c>
    </row>
    <row r="1525" spans="1:40" x14ac:dyDescent="0.25">
      <c r="A1525" t="str">
        <f>"20190312154825378"</f>
        <v>20190312154825378</v>
      </c>
      <c r="B1525" t="str">
        <f>"1552376905366996"</f>
        <v>1552376905366996</v>
      </c>
      <c r="C1525" t="s">
        <v>40</v>
      </c>
      <c r="D1525">
        <v>5.0626030000000002</v>
      </c>
      <c r="E1525">
        <v>0.51668369999999997</v>
      </c>
      <c r="F1525" t="s">
        <v>41</v>
      </c>
      <c r="G1525">
        <v>-192.0095</v>
      </c>
      <c r="H1525">
        <v>0.89345919999999901</v>
      </c>
      <c r="I1525">
        <v>330.3845</v>
      </c>
      <c r="J1525">
        <v>-191.9461</v>
      </c>
      <c r="K1525">
        <v>1.1094489999999999</v>
      </c>
      <c r="L1525">
        <v>330.91390000000001</v>
      </c>
      <c r="M1525">
        <v>5.1393750000000002E-2</v>
      </c>
      <c r="N1525">
        <v>0</v>
      </c>
      <c r="O1525">
        <v>-0.9986102</v>
      </c>
      <c r="P1525">
        <v>-3.2916750000000002E-2</v>
      </c>
      <c r="Q1525">
        <v>-1.6682909999999999E-2</v>
      </c>
      <c r="R1525">
        <v>-0.99931899999999996</v>
      </c>
      <c r="S1525">
        <v>-0.20004269999999999</v>
      </c>
      <c r="T1525">
        <v>-0.83937919999999999</v>
      </c>
      <c r="U1525">
        <v>-2.9833980000000002</v>
      </c>
      <c r="V1525">
        <v>8.4232310000000005E-2</v>
      </c>
      <c r="W1525">
        <v>-5.0926529999999999E-3</v>
      </c>
      <c r="X1525">
        <v>0.99643309999999996</v>
      </c>
      <c r="Y1525">
        <v>0.1156172</v>
      </c>
      <c r="Z1525">
        <v>0.26910770000000001</v>
      </c>
      <c r="AA1525">
        <v>0.95614520000000003</v>
      </c>
      <c r="AB1525">
        <v>23</v>
      </c>
      <c r="AC1525">
        <v>-6.34000000000014E-2</v>
      </c>
      <c r="AD1525">
        <v>-0.21598979999999901</v>
      </c>
      <c r="AE1525">
        <v>-0.52940000000000897</v>
      </c>
      <c r="AF1525">
        <v>7.7764577779607602E-2</v>
      </c>
      <c r="AG1525">
        <v>-0.21598979999999901</v>
      </c>
      <c r="AH1525">
        <v>0.45137079552495002</v>
      </c>
      <c r="AI1525">
        <v>115.247260807128</v>
      </c>
      <c r="AJ1525">
        <v>80.224739637524905</v>
      </c>
      <c r="AK1525">
        <v>0.50639363968567697</v>
      </c>
      <c r="AL1525">
        <v>90.291788793459204</v>
      </c>
      <c r="AM1525">
        <v>85.168055891173793</v>
      </c>
      <c r="AN1525">
        <v>0.99999996996906104</v>
      </c>
    </row>
    <row r="1526" spans="1:40" x14ac:dyDescent="0.25">
      <c r="A1526" t="str">
        <f>"20190312154825402"</f>
        <v>20190312154825402</v>
      </c>
      <c r="B1526" t="str">
        <f>"1552376905397251"</f>
        <v>1552376905397251</v>
      </c>
      <c r="C1526" t="s">
        <v>40</v>
      </c>
      <c r="D1526">
        <v>5.0268420000000003</v>
      </c>
      <c r="E1526">
        <v>0.51763149999999902</v>
      </c>
      <c r="F1526" t="s">
        <v>41</v>
      </c>
      <c r="G1526">
        <v>-191.99719999999999</v>
      </c>
      <c r="H1526">
        <v>0.8987309</v>
      </c>
      <c r="I1526">
        <v>330.17660000000001</v>
      </c>
      <c r="J1526">
        <v>-191.93379999999999</v>
      </c>
      <c r="K1526">
        <v>1.1094539999999999</v>
      </c>
      <c r="L1526">
        <v>330.66590000000002</v>
      </c>
      <c r="M1526">
        <v>5.0974539999999999E-2</v>
      </c>
      <c r="N1526">
        <v>0</v>
      </c>
      <c r="O1526">
        <v>-0.99862810000000002</v>
      </c>
      <c r="P1526">
        <v>-3.3333120000000001E-2</v>
      </c>
      <c r="Q1526">
        <v>-1.8154779999999999E-2</v>
      </c>
      <c r="R1526">
        <v>-0.99927960000000005</v>
      </c>
      <c r="S1526">
        <v>-0.2064667</v>
      </c>
      <c r="T1526">
        <v>-0.85207960000000005</v>
      </c>
      <c r="U1526">
        <v>-2.9810490000000001</v>
      </c>
      <c r="V1526">
        <v>8.4227300000000005E-2</v>
      </c>
      <c r="W1526">
        <v>-6.2751680000000002E-3</v>
      </c>
      <c r="X1526">
        <v>0.99642679999999995</v>
      </c>
      <c r="Y1526">
        <v>0.1172247</v>
      </c>
      <c r="Z1526">
        <v>0.27303769999999999</v>
      </c>
      <c r="AA1526">
        <v>0.95483439999999997</v>
      </c>
      <c r="AB1526">
        <v>23</v>
      </c>
      <c r="AC1526">
        <v>-6.34000000000014E-2</v>
      </c>
      <c r="AD1526">
        <v>-0.2107231</v>
      </c>
      <c r="AE1526">
        <v>-0.489300000000014</v>
      </c>
      <c r="AF1526">
        <v>7.4645322232206296E-2</v>
      </c>
      <c r="AG1526">
        <v>-0.2107231</v>
      </c>
      <c r="AH1526">
        <v>0.41054520545449502</v>
      </c>
      <c r="AI1526">
        <v>116.793633622389</v>
      </c>
      <c r="AJ1526">
        <v>79.695053639532503</v>
      </c>
      <c r="AK1526">
        <v>0.46746498770114697</v>
      </c>
      <c r="AL1526">
        <v>90.359543004782594</v>
      </c>
      <c r="AM1526">
        <v>85.168311522719804</v>
      </c>
      <c r="AN1526">
        <v>0.99999999177847898</v>
      </c>
    </row>
    <row r="1527" spans="1:40" x14ac:dyDescent="0.25">
      <c r="A1527" t="str">
        <f>"20190312154825421"</f>
        <v>20190312154825421</v>
      </c>
      <c r="B1527" t="str">
        <f>"1552376905416771"</f>
        <v>1552376905416771</v>
      </c>
      <c r="C1527" t="s">
        <v>40</v>
      </c>
      <c r="D1527">
        <v>4.9640570000000004</v>
      </c>
      <c r="E1527">
        <v>0.51804799999999995</v>
      </c>
      <c r="F1527" t="s">
        <v>41</v>
      </c>
      <c r="G1527">
        <v>-191.98439999999999</v>
      </c>
      <c r="H1527">
        <v>0.90758749999999999</v>
      </c>
      <c r="I1527">
        <v>329.96730000000002</v>
      </c>
      <c r="J1527">
        <v>-191.92400000000001</v>
      </c>
      <c r="K1527">
        <v>1.109478</v>
      </c>
      <c r="L1527">
        <v>330.4667</v>
      </c>
      <c r="M1527">
        <v>5.0637450000000001E-2</v>
      </c>
      <c r="N1527">
        <v>0</v>
      </c>
      <c r="O1527">
        <v>-0.99864310000000001</v>
      </c>
      <c r="P1527">
        <v>-3.4036129999999998E-2</v>
      </c>
      <c r="Q1527">
        <v>-1.806222E-2</v>
      </c>
      <c r="R1527">
        <v>-0.99925790000000003</v>
      </c>
      <c r="S1527">
        <v>-0.21517939999999999</v>
      </c>
      <c r="T1527">
        <v>-0.86093159999999902</v>
      </c>
      <c r="U1527">
        <v>-2.9793699999999999</v>
      </c>
      <c r="V1527">
        <v>8.4592310000000004E-2</v>
      </c>
      <c r="W1527">
        <v>-5.980188E-3</v>
      </c>
      <c r="X1527">
        <v>0.99639770000000005</v>
      </c>
      <c r="Y1527">
        <v>0.1196487</v>
      </c>
      <c r="Z1527">
        <v>0.27574070000000001</v>
      </c>
      <c r="AA1527">
        <v>0.95375639999999995</v>
      </c>
      <c r="AB1527">
        <v>23</v>
      </c>
      <c r="AC1527">
        <v>-6.0399999999987103E-2</v>
      </c>
      <c r="AD1527">
        <v>-0.2018905</v>
      </c>
      <c r="AE1527">
        <v>-0.49939999999998003</v>
      </c>
      <c r="AF1527">
        <v>7.3735734447103699E-2</v>
      </c>
      <c r="AG1527">
        <v>-0.2018905</v>
      </c>
      <c r="AH1527">
        <v>0.42693239045804898</v>
      </c>
      <c r="AI1527">
        <v>114.98492900618</v>
      </c>
      <c r="AJ1527">
        <v>80.201080873475405</v>
      </c>
      <c r="AK1527">
        <v>0.47798326178531397</v>
      </c>
      <c r="AL1527">
        <v>90.342641575731705</v>
      </c>
      <c r="AM1527">
        <v>85.147331496806999</v>
      </c>
      <c r="AN1527">
        <v>0.99999999906246995</v>
      </c>
    </row>
    <row r="1528" spans="1:40" x14ac:dyDescent="0.25">
      <c r="A1528" t="str">
        <f>"20190312154825444"</f>
        <v>20190312154825444</v>
      </c>
      <c r="B1528" t="str">
        <f>"1552376905437268"</f>
        <v>1552376905437268</v>
      </c>
      <c r="C1528" t="s">
        <v>40</v>
      </c>
      <c r="D1528">
        <v>4.958914</v>
      </c>
      <c r="E1528">
        <v>0.51843799999999995</v>
      </c>
      <c r="F1528" t="s">
        <v>41</v>
      </c>
      <c r="G1528">
        <v>-191.97620000000001</v>
      </c>
      <c r="H1528">
        <v>0.9060686</v>
      </c>
      <c r="I1528">
        <v>329.76249999999999</v>
      </c>
      <c r="J1528">
        <v>-191.9128</v>
      </c>
      <c r="K1528">
        <v>1.1094949999999999</v>
      </c>
      <c r="L1528">
        <v>330.2355</v>
      </c>
      <c r="M1528">
        <v>5.0246890000000002E-2</v>
      </c>
      <c r="N1528">
        <v>0</v>
      </c>
      <c r="O1528">
        <v>-0.99865999999999999</v>
      </c>
      <c r="P1528">
        <v>-3.498834E-2</v>
      </c>
      <c r="Q1528">
        <v>-1.699353E-2</v>
      </c>
      <c r="R1528">
        <v>-0.99924349999999995</v>
      </c>
      <c r="S1528">
        <v>-0.22062680000000001</v>
      </c>
      <c r="T1528">
        <v>-0.86058999999999997</v>
      </c>
      <c r="U1528">
        <v>-2.9791560000000001</v>
      </c>
      <c r="V1528">
        <v>8.5153960000000001E-2</v>
      </c>
      <c r="W1528">
        <v>-4.7040449999999996E-3</v>
      </c>
      <c r="X1528">
        <v>0.99635669999999998</v>
      </c>
      <c r="Y1528">
        <v>0.1210026</v>
      </c>
      <c r="Z1528">
        <v>0.27562619999999999</v>
      </c>
      <c r="AA1528">
        <v>0.95361870000000004</v>
      </c>
      <c r="AB1528">
        <v>23</v>
      </c>
      <c r="AC1528">
        <v>-6.34000000000014E-2</v>
      </c>
      <c r="AD1528">
        <v>-0.20342640000000001</v>
      </c>
      <c r="AE1528">
        <v>-0.47300000000001302</v>
      </c>
      <c r="AF1528">
        <v>7.3697537530022297E-2</v>
      </c>
      <c r="AG1528">
        <v>-0.20342640000000001</v>
      </c>
      <c r="AH1528">
        <v>0.39706850787533099</v>
      </c>
      <c r="AI1528">
        <v>116.73521197666901</v>
      </c>
      <c r="AJ1528">
        <v>79.485319271435102</v>
      </c>
      <c r="AK1528">
        <v>0.452191361263449</v>
      </c>
      <c r="AL1528">
        <v>90.269522919339707</v>
      </c>
      <c r="AM1528">
        <v>85.115067591161406</v>
      </c>
      <c r="AN1528">
        <v>0.99999999928896599</v>
      </c>
    </row>
    <row r="1529" spans="1:40" x14ac:dyDescent="0.25">
      <c r="A1529" t="str">
        <f>"20190312154825466"</f>
        <v>20190312154825466</v>
      </c>
      <c r="B1529" t="str">
        <f>"1552376905456787"</f>
        <v>1552376905456787</v>
      </c>
      <c r="C1529" t="s">
        <v>40</v>
      </c>
      <c r="D1529">
        <v>4.9159259999999998</v>
      </c>
      <c r="E1529">
        <v>0.51879629999999999</v>
      </c>
      <c r="F1529" t="s">
        <v>41</v>
      </c>
      <c r="G1529">
        <v>-191.96469999999999</v>
      </c>
      <c r="H1529">
        <v>0.91347370000000006</v>
      </c>
      <c r="I1529">
        <v>329.55410000000001</v>
      </c>
      <c r="J1529">
        <v>-191.90190000000001</v>
      </c>
      <c r="K1529">
        <v>1.1095029999999999</v>
      </c>
      <c r="L1529">
        <v>330.01069999999999</v>
      </c>
      <c r="M1529">
        <v>4.9867769999999999E-2</v>
      </c>
      <c r="N1529">
        <v>0</v>
      </c>
      <c r="O1529">
        <v>-0.99867700000000004</v>
      </c>
      <c r="P1529">
        <v>-3.5652530000000002E-2</v>
      </c>
      <c r="Q1529">
        <v>-1.6399850000000001E-2</v>
      </c>
      <c r="R1529">
        <v>-0.99922999999999995</v>
      </c>
      <c r="S1529">
        <v>-0.2263184</v>
      </c>
      <c r="T1529">
        <v>-0.85722039999999999</v>
      </c>
      <c r="U1529">
        <v>-2.979797</v>
      </c>
      <c r="V1529">
        <v>8.5439009999999996E-2</v>
      </c>
      <c r="W1529">
        <v>-3.9355869999999999E-3</v>
      </c>
      <c r="X1529">
        <v>0.99633559999999999</v>
      </c>
      <c r="Y1529">
        <v>0.1224455</v>
      </c>
      <c r="Z1529">
        <v>0.27454010000000001</v>
      </c>
      <c r="AA1529">
        <v>0.95374780000000003</v>
      </c>
      <c r="AB1529">
        <v>23</v>
      </c>
      <c r="AC1529">
        <v>-6.2799999999981496E-2</v>
      </c>
      <c r="AD1529">
        <v>-0.19602929999999999</v>
      </c>
      <c r="AE1529">
        <v>-0.45659999999998002</v>
      </c>
      <c r="AF1529">
        <v>7.2396888054751501E-2</v>
      </c>
      <c r="AG1529">
        <v>-0.19602929999999999</v>
      </c>
      <c r="AH1529">
        <v>0.38352190460420599</v>
      </c>
      <c r="AI1529">
        <v>116.668503906553</v>
      </c>
      <c r="AJ1529">
        <v>79.310144739314097</v>
      </c>
      <c r="AK1529">
        <v>0.43675833955373899</v>
      </c>
      <c r="AL1529">
        <v>90.225493113754297</v>
      </c>
      <c r="AM1529">
        <v>85.0986916773454</v>
      </c>
      <c r="AN1529">
        <v>0.99999997055108603</v>
      </c>
    </row>
    <row r="1530" spans="1:40" x14ac:dyDescent="0.25">
      <c r="A1530" t="str">
        <f>"20190312154825488"</f>
        <v>20190312154825488</v>
      </c>
      <c r="B1530" t="str">
        <f>"1552376905477284"</f>
        <v>1552376905477284</v>
      </c>
      <c r="C1530" t="s">
        <v>40</v>
      </c>
      <c r="D1530">
        <v>4.8336480000000002</v>
      </c>
      <c r="E1530">
        <v>0.5191308</v>
      </c>
      <c r="F1530" t="s">
        <v>41</v>
      </c>
      <c r="G1530">
        <v>-191.96789999999999</v>
      </c>
      <c r="H1530">
        <v>0.86627670000000001</v>
      </c>
      <c r="I1530">
        <v>329.16300000000001</v>
      </c>
      <c r="J1530">
        <v>-191.89089999999999</v>
      </c>
      <c r="K1530">
        <v>1.1095170000000001</v>
      </c>
      <c r="L1530">
        <v>329.78160000000003</v>
      </c>
      <c r="M1530">
        <v>4.9481379999999998E-2</v>
      </c>
      <c r="N1530">
        <v>0</v>
      </c>
      <c r="O1530">
        <v>-0.99869410000000003</v>
      </c>
      <c r="P1530">
        <v>-3.6243409999999997E-2</v>
      </c>
      <c r="Q1530">
        <v>-1.6294019999999999E-2</v>
      </c>
      <c r="R1530">
        <v>-0.99921020000000005</v>
      </c>
      <c r="S1530">
        <v>-0.2313385</v>
      </c>
      <c r="T1530">
        <v>-0.8551185</v>
      </c>
      <c r="U1530">
        <v>-2.9799799999999999</v>
      </c>
      <c r="V1530">
        <v>8.5643029999999995E-2</v>
      </c>
      <c r="W1530">
        <v>-3.6760130000000001E-3</v>
      </c>
      <c r="X1530">
        <v>0.99631910000000001</v>
      </c>
      <c r="Y1530">
        <v>0.1236693</v>
      </c>
      <c r="Z1530">
        <v>0.27387299999999998</v>
      </c>
      <c r="AA1530">
        <v>0.95378169999999995</v>
      </c>
      <c r="AB1530">
        <v>23</v>
      </c>
      <c r="AC1530">
        <v>-7.6999999999998098E-2</v>
      </c>
      <c r="AD1530">
        <v>-0.24324029999999999</v>
      </c>
      <c r="AE1530">
        <v>-0.61860000000001403</v>
      </c>
      <c r="AF1530">
        <v>9.3310285912527297E-2</v>
      </c>
      <c r="AG1530">
        <v>-0.24324029999999999</v>
      </c>
      <c r="AH1530">
        <v>0.53289533195611904</v>
      </c>
      <c r="AI1530">
        <v>114.209155071795</v>
      </c>
      <c r="AJ1530">
        <v>80.068162582171695</v>
      </c>
      <c r="AK1530">
        <v>0.59316952705090098</v>
      </c>
      <c r="AL1530">
        <v>90.210620505673106</v>
      </c>
      <c r="AM1530">
        <v>85.086964084452305</v>
      </c>
      <c r="AN1530">
        <v>0.99999999534198303</v>
      </c>
    </row>
    <row r="1531" spans="1:40" x14ac:dyDescent="0.25">
      <c r="A1531" t="str">
        <f>"20190312154825510"</f>
        <v>20190312154825510</v>
      </c>
      <c r="B1531" t="str">
        <f>"1552376905507540"</f>
        <v>1552376905507540</v>
      </c>
      <c r="C1531" t="s">
        <v>40</v>
      </c>
      <c r="D1531">
        <v>4.8673129999999896</v>
      </c>
      <c r="E1531">
        <v>0.5197001</v>
      </c>
      <c r="F1531" t="s">
        <v>41</v>
      </c>
      <c r="G1531">
        <v>-191.9562</v>
      </c>
      <c r="H1531">
        <v>0.87277830000000001</v>
      </c>
      <c r="I1531">
        <v>328.9563</v>
      </c>
      <c r="J1531">
        <v>-191.8801</v>
      </c>
      <c r="K1531">
        <v>1.1095250000000001</v>
      </c>
      <c r="L1531">
        <v>329.55419999999998</v>
      </c>
      <c r="M1531">
        <v>4.9097559999999998E-2</v>
      </c>
      <c r="N1531">
        <v>0</v>
      </c>
      <c r="O1531">
        <v>-0.99871149999999997</v>
      </c>
      <c r="P1531">
        <v>-3.7119359999999997E-2</v>
      </c>
      <c r="Q1531">
        <v>-1.6845369999999998E-2</v>
      </c>
      <c r="R1531">
        <v>-0.99916910000000003</v>
      </c>
      <c r="S1531">
        <v>-0.23568729999999999</v>
      </c>
      <c r="T1531">
        <v>-0.85472349999999997</v>
      </c>
      <c r="U1531">
        <v>-2.979889</v>
      </c>
      <c r="V1531">
        <v>8.6132849999999997E-2</v>
      </c>
      <c r="W1531">
        <v>-4.0954620000000002E-3</v>
      </c>
      <c r="X1531">
        <v>0.99627520000000003</v>
      </c>
      <c r="Y1531">
        <v>0.1246767</v>
      </c>
      <c r="Z1531">
        <v>0.27373969999999997</v>
      </c>
      <c r="AA1531">
        <v>0.9536888</v>
      </c>
      <c r="AB1531">
        <v>23</v>
      </c>
      <c r="AC1531">
        <v>-7.6099999999996698E-2</v>
      </c>
      <c r="AD1531">
        <v>-0.2367467</v>
      </c>
      <c r="AE1531">
        <v>-0.597899999999981</v>
      </c>
      <c r="AF1531">
        <v>9.1282309521819205E-2</v>
      </c>
      <c r="AG1531">
        <v>-0.2367467</v>
      </c>
      <c r="AH1531">
        <v>0.514119761793291</v>
      </c>
      <c r="AI1531">
        <v>114.389460251592</v>
      </c>
      <c r="AJ1531">
        <v>79.932016022649194</v>
      </c>
      <c r="AK1531">
        <v>0.57332415740043396</v>
      </c>
      <c r="AL1531">
        <v>90.234653353722294</v>
      </c>
      <c r="AM1531">
        <v>85.058786923028904</v>
      </c>
      <c r="AN1531">
        <v>0.99999995739657699</v>
      </c>
    </row>
    <row r="1532" spans="1:40" x14ac:dyDescent="0.25">
      <c r="A1532" t="str">
        <f>"20190312154825532"</f>
        <v>20190312154825532</v>
      </c>
      <c r="B1532" t="str">
        <f>"1552376905527059"</f>
        <v>1552376905527059</v>
      </c>
      <c r="C1532" t="s">
        <v>40</v>
      </c>
      <c r="D1532">
        <v>4.7728279999999996</v>
      </c>
      <c r="E1532">
        <v>0.5200669</v>
      </c>
      <c r="F1532" t="s">
        <v>41</v>
      </c>
      <c r="G1532">
        <v>-191.94579999999999</v>
      </c>
      <c r="H1532">
        <v>0.87836019999999904</v>
      </c>
      <c r="I1532">
        <v>328.75009999999997</v>
      </c>
      <c r="J1532">
        <v>-191.86949999999999</v>
      </c>
      <c r="K1532">
        <v>1.109531</v>
      </c>
      <c r="L1532">
        <v>329.3297</v>
      </c>
      <c r="M1532">
        <v>4.8718709999999998E-2</v>
      </c>
      <c r="N1532">
        <v>0</v>
      </c>
      <c r="O1532">
        <v>-0.99872850000000002</v>
      </c>
      <c r="P1532">
        <v>-3.8244420000000001E-2</v>
      </c>
      <c r="Q1532">
        <v>-1.7501869999999999E-2</v>
      </c>
      <c r="R1532">
        <v>-0.99911539999999999</v>
      </c>
      <c r="S1532">
        <v>-0.24269099999999999</v>
      </c>
      <c r="T1532">
        <v>-0.85641650000000002</v>
      </c>
      <c r="U1532">
        <v>-2.979034</v>
      </c>
      <c r="V1532">
        <v>8.6875820000000006E-2</v>
      </c>
      <c r="W1532">
        <v>-4.6396470000000002E-3</v>
      </c>
      <c r="X1532">
        <v>0.99620839999999999</v>
      </c>
      <c r="Y1532">
        <v>0.12653729999999999</v>
      </c>
      <c r="Z1532">
        <v>0.27426420000000001</v>
      </c>
      <c r="AA1532">
        <v>0.95329299999999995</v>
      </c>
      <c r="AB1532">
        <v>23</v>
      </c>
      <c r="AC1532">
        <v>-7.6300000000003296E-2</v>
      </c>
      <c r="AD1532">
        <v>-0.23117080000000001</v>
      </c>
      <c r="AE1532">
        <v>-0.57960000000002698</v>
      </c>
      <c r="AF1532">
        <v>9.0325164769067198E-2</v>
      </c>
      <c r="AG1532">
        <v>-0.23117080000000001</v>
      </c>
      <c r="AH1532">
        <v>0.49741445531414802</v>
      </c>
      <c r="AI1532">
        <v>114.57304807672</v>
      </c>
      <c r="AJ1532">
        <v>79.707845902505198</v>
      </c>
      <c r="AK1532">
        <v>0.55589541688942701</v>
      </c>
      <c r="AL1532">
        <v>90.265833130563294</v>
      </c>
      <c r="AM1532">
        <v>85.016045955754194</v>
      </c>
      <c r="AN1532">
        <v>1.0000000553277499</v>
      </c>
    </row>
    <row r="1533" spans="1:40" x14ac:dyDescent="0.25">
      <c r="A1533" t="str">
        <f>"20190312154825555"</f>
        <v>20190312154825555</v>
      </c>
      <c r="B1533" t="str">
        <f>"1552376905547556"</f>
        <v>1552376905547556</v>
      </c>
      <c r="C1533" t="s">
        <v>40</v>
      </c>
      <c r="D1533">
        <v>4.5596189999999996</v>
      </c>
      <c r="E1533">
        <v>0.52023569999999997</v>
      </c>
      <c r="F1533" t="s">
        <v>41</v>
      </c>
      <c r="G1533">
        <v>-191.93530000000001</v>
      </c>
      <c r="H1533">
        <v>0.88327</v>
      </c>
      <c r="I1533">
        <v>328.5444</v>
      </c>
      <c r="J1533">
        <v>-191.8587</v>
      </c>
      <c r="K1533">
        <v>1.1095410000000001</v>
      </c>
      <c r="L1533">
        <v>329.09730000000002</v>
      </c>
      <c r="M1533">
        <v>4.8326500000000001E-2</v>
      </c>
      <c r="N1533">
        <v>0</v>
      </c>
      <c r="O1533">
        <v>-0.99874609999999997</v>
      </c>
      <c r="P1533">
        <v>-3.9615999999999998E-2</v>
      </c>
      <c r="Q1533">
        <v>-1.861119E-2</v>
      </c>
      <c r="R1533">
        <v>-0.99904179999999998</v>
      </c>
      <c r="S1533">
        <v>-0.24916079999999999</v>
      </c>
      <c r="T1533">
        <v>-0.85798949999999996</v>
      </c>
      <c r="U1533">
        <v>-2.978119</v>
      </c>
      <c r="V1533">
        <v>8.7850529999999996E-2</v>
      </c>
      <c r="W1533">
        <v>-5.6492410000000002E-3</v>
      </c>
      <c r="X1533">
        <v>0.99611769999999999</v>
      </c>
      <c r="Y1533">
        <v>0.12821640000000001</v>
      </c>
      <c r="Z1533">
        <v>0.27476240000000002</v>
      </c>
      <c r="AA1533">
        <v>0.95292500000000002</v>
      </c>
      <c r="AB1533">
        <v>23</v>
      </c>
      <c r="AC1533">
        <v>-7.6600000000013296E-2</v>
      </c>
      <c r="AD1533">
        <v>-0.226270999999999</v>
      </c>
      <c r="AE1533">
        <v>-0.55290000000002204</v>
      </c>
      <c r="AF1533">
        <v>8.8662830098518802E-2</v>
      </c>
      <c r="AG1533">
        <v>-0.226270999999999</v>
      </c>
      <c r="AH1533">
        <v>0.47113221290257601</v>
      </c>
      <c r="AI1533">
        <v>115.26663296354199</v>
      </c>
      <c r="AJ1533">
        <v>79.342104175923396</v>
      </c>
      <c r="AK1533">
        <v>0.53011812355036203</v>
      </c>
      <c r="AL1533">
        <v>90.323679371939093</v>
      </c>
      <c r="AM1533">
        <v>84.959957963499704</v>
      </c>
      <c r="AN1533">
        <v>1.0000000508992199</v>
      </c>
    </row>
    <row r="1534" spans="1:40" x14ac:dyDescent="0.25">
      <c r="A1534" t="str">
        <f>"20190312154825668"</f>
        <v>20190312154825668</v>
      </c>
      <c r="B1534" t="str">
        <f>"1552376905656869"</f>
        <v>1552376905656869</v>
      </c>
      <c r="C1534" t="s">
        <v>40</v>
      </c>
      <c r="D1534">
        <v>3.9490970000000001</v>
      </c>
      <c r="E1534">
        <v>0.52084679999999905</v>
      </c>
      <c r="F1534" t="s">
        <v>41</v>
      </c>
      <c r="G1534">
        <v>-191.89089999999999</v>
      </c>
      <c r="H1534">
        <v>0.86136209999999902</v>
      </c>
      <c r="I1534">
        <v>327.33580000000001</v>
      </c>
      <c r="J1534">
        <v>-191.8066</v>
      </c>
      <c r="K1534">
        <v>1.109567</v>
      </c>
      <c r="L1534">
        <v>327.95670000000001</v>
      </c>
      <c r="M1534">
        <v>4.6402880000000001E-2</v>
      </c>
      <c r="N1534">
        <v>0</v>
      </c>
      <c r="O1534">
        <v>-0.99883299999999997</v>
      </c>
      <c r="P1534">
        <v>-3.9032310000000001E-2</v>
      </c>
      <c r="Q1534">
        <v>-2.2842230000000002E-2</v>
      </c>
      <c r="R1534">
        <v>-0.99897689999999995</v>
      </c>
      <c r="S1534">
        <v>-0.26110840000000002</v>
      </c>
      <c r="T1534">
        <v>-0.87401130000000005</v>
      </c>
      <c r="U1534">
        <v>-2.9733580000000002</v>
      </c>
      <c r="V1534">
        <v>8.5343989999999995E-2</v>
      </c>
      <c r="W1534">
        <v>-9.5525780000000008E-3</v>
      </c>
      <c r="X1534">
        <v>0.99630580000000002</v>
      </c>
      <c r="Y1534">
        <v>0.13010619999999901</v>
      </c>
      <c r="Z1534">
        <v>0.27986060000000001</v>
      </c>
      <c r="AA1534">
        <v>0.95118369999999997</v>
      </c>
      <c r="AB1534">
        <v>23</v>
      </c>
      <c r="AC1534">
        <v>-8.4299999999984707E-2</v>
      </c>
      <c r="AD1534">
        <v>-0.24820490000000001</v>
      </c>
      <c r="AE1534">
        <v>-0.620900000000006</v>
      </c>
      <c r="AF1534">
        <v>9.7694307038736106E-2</v>
      </c>
      <c r="AG1534">
        <v>-0.24820490000000001</v>
      </c>
      <c r="AH1534">
        <v>0.53272950302712896</v>
      </c>
      <c r="AI1534">
        <v>114.62054851915001</v>
      </c>
      <c r="AJ1534">
        <v>79.608308665840795</v>
      </c>
      <c r="AK1534">
        <v>0.59577728507162897</v>
      </c>
      <c r="AL1534">
        <v>90.547330701099298</v>
      </c>
      <c r="AM1534">
        <v>85.103970374282298</v>
      </c>
      <c r="AN1534">
        <v>1.0000000477446001</v>
      </c>
    </row>
    <row r="1535" spans="1:40" x14ac:dyDescent="0.25">
      <c r="A1535" t="str">
        <f>"20190312154825689"</f>
        <v>20190312154825689</v>
      </c>
      <c r="B1535" t="str">
        <f>"1552376905677364"</f>
        <v>1552376905677364</v>
      </c>
      <c r="C1535" t="s">
        <v>40</v>
      </c>
      <c r="D1535">
        <v>4.6326720000000003</v>
      </c>
      <c r="E1535">
        <v>0.52051689999999995</v>
      </c>
      <c r="F1535" t="s">
        <v>41</v>
      </c>
      <c r="G1535">
        <v>-191.8792</v>
      </c>
      <c r="H1535">
        <v>0.86603509999999995</v>
      </c>
      <c r="I1535">
        <v>327.13229999999999</v>
      </c>
      <c r="J1535">
        <v>-191.7972</v>
      </c>
      <c r="K1535">
        <v>1.1095809999999999</v>
      </c>
      <c r="L1535">
        <v>327.74470000000002</v>
      </c>
      <c r="M1535">
        <v>4.6044929999999998E-2</v>
      </c>
      <c r="N1535">
        <v>0</v>
      </c>
      <c r="O1535">
        <v>-0.99884949999999995</v>
      </c>
      <c r="P1535">
        <v>-3.8513400000000003E-2</v>
      </c>
      <c r="Q1535">
        <v>-2.289942E-2</v>
      </c>
      <c r="R1535">
        <v>-0.99899610000000005</v>
      </c>
      <c r="S1535">
        <v>-0.26094060000000002</v>
      </c>
      <c r="T1535">
        <v>-0.87811729999999999</v>
      </c>
      <c r="U1535">
        <v>-2.9727779999999999</v>
      </c>
      <c r="V1535">
        <v>8.4469559999999999E-2</v>
      </c>
      <c r="W1535">
        <v>-9.5712130000000003E-3</v>
      </c>
      <c r="X1535">
        <v>0.99638009999999999</v>
      </c>
      <c r="Y1535">
        <v>0.129681399999999</v>
      </c>
      <c r="Z1535">
        <v>0.28113630000000001</v>
      </c>
      <c r="AA1535">
        <v>0.95086539999999997</v>
      </c>
      <c r="AB1535">
        <v>23</v>
      </c>
      <c r="AC1535">
        <v>-8.1999999999993606E-2</v>
      </c>
      <c r="AD1535">
        <v>-0.24354589999999901</v>
      </c>
      <c r="AE1535">
        <v>-0.61240000000003603</v>
      </c>
      <c r="AF1535">
        <v>9.5305602760015595E-2</v>
      </c>
      <c r="AG1535">
        <v>-0.24354589999999901</v>
      </c>
      <c r="AH1535">
        <v>0.52621505356559095</v>
      </c>
      <c r="AI1535">
        <v>114.485307631076</v>
      </c>
      <c r="AJ1535">
        <v>79.734141224287399</v>
      </c>
      <c r="AK1535">
        <v>0.58762236676567803</v>
      </c>
      <c r="AL1535">
        <v>90.548398477862193</v>
      </c>
      <c r="AM1535">
        <v>85.154254356039502</v>
      </c>
      <c r="AN1535">
        <v>1.00000000918044</v>
      </c>
    </row>
    <row r="1536" spans="1:40" x14ac:dyDescent="0.25">
      <c r="A1536" t="str">
        <f>"20190312154825711"</f>
        <v>20190312154825711</v>
      </c>
      <c r="B1536" t="str">
        <f>"1552376905707620"</f>
        <v>1552376905707620</v>
      </c>
      <c r="C1536" t="s">
        <v>40</v>
      </c>
      <c r="D1536">
        <v>4.8670540000000004</v>
      </c>
      <c r="E1536">
        <v>0.52023609999999998</v>
      </c>
      <c r="F1536" t="s">
        <v>41</v>
      </c>
      <c r="G1536">
        <v>-191.86779999999999</v>
      </c>
      <c r="H1536">
        <v>0.87041100000000005</v>
      </c>
      <c r="I1536">
        <v>326.92899999999997</v>
      </c>
      <c r="J1536">
        <v>-191.78739999999999</v>
      </c>
      <c r="K1536">
        <v>1.109594</v>
      </c>
      <c r="L1536">
        <v>327.52179999999998</v>
      </c>
      <c r="M1536">
        <v>4.5668849999999997E-2</v>
      </c>
      <c r="N1536">
        <v>0</v>
      </c>
      <c r="O1536">
        <v>-0.99886609999999998</v>
      </c>
      <c r="P1536">
        <v>-3.8796160000000003E-2</v>
      </c>
      <c r="Q1536">
        <v>-2.2401810000000001E-2</v>
      </c>
      <c r="R1536">
        <v>-0.99899640000000001</v>
      </c>
      <c r="S1536">
        <v>-0.2571716</v>
      </c>
      <c r="T1536">
        <v>-0.87181749999999902</v>
      </c>
      <c r="U1536">
        <v>-2.9731450000000001</v>
      </c>
      <c r="V1536">
        <v>8.4377339999999995E-2</v>
      </c>
      <c r="W1536">
        <v>-9.0399130000000001E-3</v>
      </c>
      <c r="X1536">
        <v>0.99639279999999997</v>
      </c>
      <c r="Y1536">
        <v>0.12814829999999999</v>
      </c>
      <c r="Z1536">
        <v>0.27929710000000002</v>
      </c>
      <c r="AA1536">
        <v>0.95161499999999999</v>
      </c>
      <c r="AB1536">
        <v>23</v>
      </c>
      <c r="AC1536">
        <v>-8.0399999999997293E-2</v>
      </c>
      <c r="AD1536">
        <v>-0.23918299999999901</v>
      </c>
      <c r="AE1536">
        <v>-0.59279999999995403</v>
      </c>
      <c r="AF1536">
        <v>9.2590004029846795E-2</v>
      </c>
      <c r="AG1536">
        <v>-0.23918299999999901</v>
      </c>
      <c r="AH1536">
        <v>0.50739871218930599</v>
      </c>
      <c r="AI1536">
        <v>114.87870942519</v>
      </c>
      <c r="AJ1536">
        <v>79.658464188679403</v>
      </c>
      <c r="AK1536">
        <v>0.568537482903821</v>
      </c>
      <c r="AL1536">
        <v>90.517955951125799</v>
      </c>
      <c r="AM1536">
        <v>85.159580972691899</v>
      </c>
      <c r="AN1536">
        <v>0.99999993371217899</v>
      </c>
    </row>
    <row r="1537" spans="1:40" x14ac:dyDescent="0.25">
      <c r="A1537" t="str">
        <f>"20190312154825734"</f>
        <v>20190312154825734</v>
      </c>
      <c r="B1537" t="str">
        <f>"1552376905727140"</f>
        <v>1552376905727140</v>
      </c>
      <c r="C1537" t="s">
        <v>40</v>
      </c>
      <c r="D1537">
        <v>4.6407550000000004</v>
      </c>
      <c r="E1537">
        <v>0.51519320000000002</v>
      </c>
      <c r="F1537" t="s">
        <v>41</v>
      </c>
      <c r="G1537">
        <v>-191.8563</v>
      </c>
      <c r="H1537">
        <v>0.88039400000000001</v>
      </c>
      <c r="I1537">
        <v>326.72379999999998</v>
      </c>
      <c r="J1537">
        <v>-191.77690000000001</v>
      </c>
      <c r="K1537">
        <v>1.109604</v>
      </c>
      <c r="L1537">
        <v>327.28179999999998</v>
      </c>
      <c r="M1537">
        <v>4.5263699999999997E-2</v>
      </c>
      <c r="N1537">
        <v>0</v>
      </c>
      <c r="O1537">
        <v>-0.99888429999999995</v>
      </c>
      <c r="P1537">
        <v>-3.8844629999999998E-2</v>
      </c>
      <c r="Q1537">
        <v>-2.2266970000000001E-2</v>
      </c>
      <c r="R1537">
        <v>-0.99899749999999998</v>
      </c>
      <c r="S1537">
        <v>-0.25595089999999998</v>
      </c>
      <c r="T1537">
        <v>-0.85412429999999995</v>
      </c>
      <c r="U1537">
        <v>-2.9739070000000001</v>
      </c>
      <c r="V1537">
        <v>8.4021879999999993E-2</v>
      </c>
      <c r="W1537">
        <v>-8.8738589999999996E-3</v>
      </c>
      <c r="X1537">
        <v>0.99642439999999999</v>
      </c>
      <c r="Y1537">
        <v>0.12746840000000001</v>
      </c>
      <c r="Z1537">
        <v>0.27402320000000002</v>
      </c>
      <c r="AA1537">
        <v>0.95323820000000004</v>
      </c>
      <c r="AB1537">
        <v>23</v>
      </c>
      <c r="AC1537">
        <v>-7.9399999999992504E-2</v>
      </c>
      <c r="AD1537">
        <v>-0.22921</v>
      </c>
      <c r="AE1537">
        <v>-0.55799999999999195</v>
      </c>
      <c r="AF1537">
        <v>8.9736990115844198E-2</v>
      </c>
      <c r="AG1537">
        <v>-0.22921</v>
      </c>
      <c r="AH1537">
        <v>0.47523716069308097</v>
      </c>
      <c r="AI1537">
        <v>115.357747464947</v>
      </c>
      <c r="AJ1537">
        <v>79.306984969124599</v>
      </c>
      <c r="AK1537">
        <v>0.53520118684348295</v>
      </c>
      <c r="AL1537">
        <v>90.508441340063698</v>
      </c>
      <c r="AM1537">
        <v>85.180028276324904</v>
      </c>
      <c r="AN1537">
        <v>1.0000000033038201</v>
      </c>
    </row>
    <row r="1538" spans="1:40" x14ac:dyDescent="0.25">
      <c r="A1538" t="str">
        <f>"20190312154825755"</f>
        <v>20190312154825755</v>
      </c>
      <c r="B1538" t="str">
        <f>"1552376905747671"</f>
        <v>1552376905747671</v>
      </c>
      <c r="C1538" t="s">
        <v>40</v>
      </c>
      <c r="D1538">
        <v>4.6247740000000004</v>
      </c>
      <c r="E1538">
        <v>0.51313509999999996</v>
      </c>
      <c r="F1538" t="s">
        <v>41</v>
      </c>
      <c r="G1538">
        <v>-191.8424</v>
      </c>
      <c r="H1538">
        <v>1.0454319999999999</v>
      </c>
      <c r="I1538">
        <v>326.4425</v>
      </c>
      <c r="J1538">
        <v>-191.7679</v>
      </c>
      <c r="K1538">
        <v>1.1096090000000001</v>
      </c>
      <c r="L1538">
        <v>327.07499999999999</v>
      </c>
      <c r="M1538">
        <v>4.4914320000000001E-2</v>
      </c>
      <c r="N1538">
        <v>0</v>
      </c>
      <c r="O1538">
        <v>-0.9988998</v>
      </c>
      <c r="P1538">
        <v>-3.9004749999999998E-2</v>
      </c>
      <c r="Q1538">
        <v>-2.219086E-2</v>
      </c>
      <c r="R1538">
        <v>-0.99899320000000003</v>
      </c>
      <c r="S1538">
        <v>-0.233017</v>
      </c>
      <c r="T1538">
        <v>-0.22860610000000001</v>
      </c>
      <c r="U1538">
        <v>-2.9888309999999998</v>
      </c>
      <c r="V1538">
        <v>8.3833240000000003E-2</v>
      </c>
      <c r="W1538">
        <v>-8.7748489999999995E-3</v>
      </c>
      <c r="X1538">
        <v>0.99644120000000003</v>
      </c>
      <c r="Y1538">
        <v>0.1222068</v>
      </c>
      <c r="Z1538">
        <v>7.5748360000000001E-2</v>
      </c>
      <c r="AA1538">
        <v>0.98960990000000004</v>
      </c>
      <c r="AB1538">
        <v>23</v>
      </c>
      <c r="AC1538">
        <v>-7.4500000000000399E-2</v>
      </c>
      <c r="AD1538">
        <v>-6.4177000000000095E-2</v>
      </c>
      <c r="AE1538">
        <v>-0.63249999999999296</v>
      </c>
      <c r="AF1538">
        <v>0.101801958517798</v>
      </c>
      <c r="AG1538">
        <v>-6.4177000000000095E-2</v>
      </c>
      <c r="AH1538">
        <v>0.62219713712154101</v>
      </c>
      <c r="AI1538">
        <v>95.812246650981095</v>
      </c>
      <c r="AJ1538">
        <v>80.707778245419306</v>
      </c>
      <c r="AK1538">
        <v>0.63372833574750398</v>
      </c>
      <c r="AL1538">
        <v>90.502768246833497</v>
      </c>
      <c r="AM1538">
        <v>85.190879627600296</v>
      </c>
      <c r="AN1538">
        <v>1.0000000375806499</v>
      </c>
    </row>
    <row r="1539" spans="1:40" x14ac:dyDescent="0.25">
      <c r="A1539" t="str">
        <f>"20190312154825779"</f>
        <v>20190312154825779</v>
      </c>
      <c r="B1539" t="str">
        <f>"1552376905767194"</f>
        <v>1552376905767194</v>
      </c>
      <c r="C1539" t="s">
        <v>40</v>
      </c>
      <c r="D1539">
        <v>4.6119349999999999</v>
      </c>
      <c r="E1539">
        <v>0.51279600000000003</v>
      </c>
      <c r="F1539" t="s">
        <v>42</v>
      </c>
      <c r="G1539">
        <v>-192.95920000000001</v>
      </c>
      <c r="H1539" s="1">
        <v>-1.323006E-6</v>
      </c>
      <c r="I1539">
        <v>310.72480000000002</v>
      </c>
      <c r="J1539">
        <v>-191.75739999999999</v>
      </c>
      <c r="K1539">
        <v>1.1096200000000001</v>
      </c>
      <c r="L1539">
        <v>326.83109999999999</v>
      </c>
      <c r="M1539">
        <v>4.4502409999999999E-2</v>
      </c>
      <c r="N1539">
        <v>0</v>
      </c>
      <c r="O1539">
        <v>-0.99891759999999996</v>
      </c>
      <c r="P1539">
        <v>-3.9423760000000002E-2</v>
      </c>
      <c r="Q1539">
        <v>-2.1561879999999999E-2</v>
      </c>
      <c r="R1539">
        <v>-0.9989903</v>
      </c>
      <c r="S1539">
        <v>-0.21784970000000001</v>
      </c>
      <c r="T1539">
        <v>-0.20291899999999999</v>
      </c>
      <c r="U1539">
        <v>-2.990021</v>
      </c>
      <c r="V1539">
        <v>8.3841349999999995E-2</v>
      </c>
      <c r="W1539">
        <v>-8.123023E-3</v>
      </c>
      <c r="X1539">
        <v>0.99644600000000005</v>
      </c>
      <c r="Y1539">
        <v>0.1168179</v>
      </c>
      <c r="Z1539">
        <v>6.728837E-2</v>
      </c>
      <c r="AA1539">
        <v>0.99087130000000001</v>
      </c>
      <c r="AB1539">
        <v>23</v>
      </c>
      <c r="AC1539">
        <v>-1.20180000000002</v>
      </c>
      <c r="AD1539">
        <v>-1.1096213230059999</v>
      </c>
      <c r="AE1539">
        <v>-16.106299999999901</v>
      </c>
      <c r="AF1539">
        <v>1.9084360331494501</v>
      </c>
      <c r="AG1539">
        <v>-1.1096213230059999</v>
      </c>
      <c r="AH1539">
        <v>15.9615131369066</v>
      </c>
      <c r="AI1539">
        <v>93.948687086975696</v>
      </c>
      <c r="AJ1539">
        <v>83.181805795306502</v>
      </c>
      <c r="AK1539">
        <v>16.113450567545598</v>
      </c>
      <c r="AL1539">
        <v>90.465420056391807</v>
      </c>
      <c r="AM1539">
        <v>85.190439636845895</v>
      </c>
      <c r="AN1539">
        <v>0.99999999319424004</v>
      </c>
    </row>
    <row r="1540" spans="1:40" x14ac:dyDescent="0.25">
      <c r="A1540" t="str">
        <f>"20190312154825804"</f>
        <v>20190312154825804</v>
      </c>
      <c r="B1540" t="str">
        <f>"1552376905797446"</f>
        <v>1552376905797446</v>
      </c>
      <c r="C1540" t="s">
        <v>40</v>
      </c>
      <c r="D1540">
        <v>4.619459</v>
      </c>
      <c r="E1540">
        <v>0.51315440000000001</v>
      </c>
      <c r="F1540" t="s">
        <v>42</v>
      </c>
      <c r="G1540">
        <v>-192.96979999999999</v>
      </c>
      <c r="H1540" s="1">
        <v>-1.019741E-6</v>
      </c>
      <c r="I1540">
        <v>310.07729999999998</v>
      </c>
      <c r="J1540">
        <v>-191.7473</v>
      </c>
      <c r="K1540">
        <v>1.109631</v>
      </c>
      <c r="L1540">
        <v>326.5942</v>
      </c>
      <c r="M1540">
        <v>4.410215E-2</v>
      </c>
      <c r="N1540">
        <v>0</v>
      </c>
      <c r="O1540">
        <v>-0.99893500000000002</v>
      </c>
      <c r="P1540">
        <v>-3.9291979999999997E-2</v>
      </c>
      <c r="Q1540">
        <v>-2.10276E-2</v>
      </c>
      <c r="R1540">
        <v>-0.99900650000000002</v>
      </c>
      <c r="S1540">
        <v>-0.21638489999999999</v>
      </c>
      <c r="T1540">
        <v>-0.1980497</v>
      </c>
      <c r="U1540">
        <v>-2.9902950000000001</v>
      </c>
      <c r="V1540">
        <v>8.3311590000000005E-2</v>
      </c>
      <c r="W1540">
        <v>-7.56933E-3</v>
      </c>
      <c r="X1540">
        <v>0.99649480000000001</v>
      </c>
      <c r="Y1540">
        <v>0.11593829999999999</v>
      </c>
      <c r="Z1540">
        <v>6.5681119999999996E-2</v>
      </c>
      <c r="AA1540">
        <v>0.99108240000000003</v>
      </c>
      <c r="AB1540">
        <v>22</v>
      </c>
      <c r="AC1540">
        <v>-1.2224999999999899</v>
      </c>
      <c r="AD1540">
        <v>-1.1096320197409999</v>
      </c>
      <c r="AE1540">
        <v>-16.5169</v>
      </c>
      <c r="AF1540">
        <v>1.9410949529828201</v>
      </c>
      <c r="AG1540">
        <v>-1.1096320197409999</v>
      </c>
      <c r="AH1540">
        <v>16.3734100906272</v>
      </c>
      <c r="AI1540">
        <v>93.850148184828896</v>
      </c>
      <c r="AJ1540">
        <v>83.239046292760193</v>
      </c>
      <c r="AK1540">
        <v>16.525365074078799</v>
      </c>
      <c r="AL1540">
        <v>90.433694803735705</v>
      </c>
      <c r="AM1540">
        <v>85.2209210781254</v>
      </c>
      <c r="AN1540">
        <v>1.000000001106</v>
      </c>
    </row>
    <row r="1541" spans="1:40" x14ac:dyDescent="0.25">
      <c r="A1541" t="str">
        <f>"20190312154825826"</f>
        <v>20190312154825826</v>
      </c>
      <c r="B1541" t="str">
        <f>"1552376905816967"</f>
        <v>1552376905816967</v>
      </c>
      <c r="C1541" t="s">
        <v>40</v>
      </c>
      <c r="D1541">
        <v>4.650328</v>
      </c>
      <c r="E1541">
        <v>0.51292159999999998</v>
      </c>
      <c r="F1541" t="s">
        <v>42</v>
      </c>
      <c r="G1541">
        <v>-192.96510000000001</v>
      </c>
      <c r="H1541" s="1">
        <v>-9.6058310000000006E-7</v>
      </c>
      <c r="I1541">
        <v>309.9547</v>
      </c>
      <c r="J1541">
        <v>-191.7379</v>
      </c>
      <c r="K1541">
        <v>1.1096429999999999</v>
      </c>
      <c r="L1541">
        <v>326.36950000000002</v>
      </c>
      <c r="M1541">
        <v>4.3722410000000003E-2</v>
      </c>
      <c r="N1541">
        <v>0</v>
      </c>
      <c r="O1541">
        <v>-0.99895149999999999</v>
      </c>
      <c r="P1541">
        <v>-3.9469280000000002E-2</v>
      </c>
      <c r="Q1541">
        <v>-1.9814680000000001E-2</v>
      </c>
      <c r="R1541">
        <v>-0.99902429999999998</v>
      </c>
      <c r="S1541">
        <v>-0.2188263</v>
      </c>
      <c r="T1541">
        <v>-0.1993994</v>
      </c>
      <c r="U1541">
        <v>-2.9900820000000001</v>
      </c>
      <c r="V1541">
        <v>8.3111530000000003E-2</v>
      </c>
      <c r="W1541">
        <v>-6.340989E-3</v>
      </c>
      <c r="X1541">
        <v>0.99652010000000002</v>
      </c>
      <c r="Y1541">
        <v>0.1163686</v>
      </c>
      <c r="Z1541">
        <v>6.6129499999999994E-2</v>
      </c>
      <c r="AA1541">
        <v>0.9910021</v>
      </c>
      <c r="AB1541">
        <v>22</v>
      </c>
      <c r="AC1541">
        <v>-1.2272000000000101</v>
      </c>
      <c r="AD1541">
        <v>-1.1096439605831001</v>
      </c>
      <c r="AE1541">
        <v>-16.4148</v>
      </c>
      <c r="AF1541">
        <v>1.9349936146482201</v>
      </c>
      <c r="AG1541">
        <v>-1.1096439605831001</v>
      </c>
      <c r="AH1541">
        <v>16.271494850305601</v>
      </c>
      <c r="AI1541">
        <v>93.874065419038004</v>
      </c>
      <c r="AJ1541">
        <v>83.218278971421697</v>
      </c>
      <c r="AK1541">
        <v>16.4236736046328</v>
      </c>
      <c r="AL1541">
        <v>90.363314334324599</v>
      </c>
      <c r="AM1541">
        <v>85.232464822759198</v>
      </c>
      <c r="AN1541">
        <v>1.0000000221322201</v>
      </c>
    </row>
    <row r="1542" spans="1:40" x14ac:dyDescent="0.25">
      <c r="A1542" t="str">
        <f>"20190312154825846"</f>
        <v>20190312154825846</v>
      </c>
      <c r="B1542" t="str">
        <f>"1552376905837463"</f>
        <v>1552376905837463</v>
      </c>
      <c r="C1542" t="s">
        <v>40</v>
      </c>
      <c r="D1542">
        <v>4.7016989999999996</v>
      </c>
      <c r="E1542">
        <v>0.51284739999999995</v>
      </c>
      <c r="F1542" t="s">
        <v>41</v>
      </c>
      <c r="G1542">
        <v>-191.8057</v>
      </c>
      <c r="H1542">
        <v>1.0481149999999999</v>
      </c>
      <c r="I1542">
        <v>325.43779999999998</v>
      </c>
      <c r="J1542">
        <v>-191.7295</v>
      </c>
      <c r="K1542">
        <v>1.1096569999999999</v>
      </c>
      <c r="L1542">
        <v>326.16910000000001</v>
      </c>
      <c r="M1542">
        <v>4.338384E-2</v>
      </c>
      <c r="N1542">
        <v>0</v>
      </c>
      <c r="O1542">
        <v>-0.99896629999999997</v>
      </c>
      <c r="P1542">
        <v>-3.9612050000000003E-2</v>
      </c>
      <c r="Q1542">
        <v>-1.945881E-2</v>
      </c>
      <c r="R1542">
        <v>-0.99902579999999996</v>
      </c>
      <c r="S1542">
        <v>-0.21745300000000001</v>
      </c>
      <c r="T1542">
        <v>-0.19751189999999999</v>
      </c>
      <c r="U1542">
        <v>-2.9904480000000002</v>
      </c>
      <c r="V1542">
        <v>8.2916760000000006E-2</v>
      </c>
      <c r="W1542">
        <v>-5.973585E-3</v>
      </c>
      <c r="X1542">
        <v>0.99653860000000005</v>
      </c>
      <c r="Y1542">
        <v>0.11557340000000001</v>
      </c>
      <c r="Z1542">
        <v>6.5503909999999999E-2</v>
      </c>
      <c r="AA1542">
        <v>0.99113669999999998</v>
      </c>
      <c r="AB1542">
        <v>22</v>
      </c>
      <c r="AC1542">
        <v>-7.6200000000000004E-2</v>
      </c>
      <c r="AD1542">
        <v>-6.1541999999999902E-2</v>
      </c>
      <c r="AE1542">
        <v>-0.73130000000003204</v>
      </c>
      <c r="AF1542">
        <v>0.107107386280959</v>
      </c>
      <c r="AG1542">
        <v>-6.1541999999999902E-2</v>
      </c>
      <c r="AH1542">
        <v>0.72224522681324399</v>
      </c>
      <c r="AI1542">
        <v>94.817929565486196</v>
      </c>
      <c r="AJ1542">
        <v>81.564640262189002</v>
      </c>
      <c r="AK1542">
        <v>0.73273295109095005</v>
      </c>
      <c r="AL1542">
        <v>90.342263235362907</v>
      </c>
      <c r="AM1542">
        <v>85.243674008545796</v>
      </c>
      <c r="AN1542">
        <v>1.0000000270483</v>
      </c>
    </row>
    <row r="1543" spans="1:40" x14ac:dyDescent="0.25">
      <c r="A1543" t="str">
        <f>"20190312154825879"</f>
        <v>20190312154825879</v>
      </c>
      <c r="B1543" t="str">
        <f>"1552376905867718"</f>
        <v>1552376905867718</v>
      </c>
      <c r="C1543" t="s">
        <v>40</v>
      </c>
      <c r="D1543">
        <v>4.6849100000000004</v>
      </c>
      <c r="E1543">
        <v>0.51263389999999998</v>
      </c>
      <c r="F1543" t="s">
        <v>41</v>
      </c>
      <c r="G1543">
        <v>-191.7971</v>
      </c>
      <c r="H1543">
        <v>1.047482</v>
      </c>
      <c r="I1543">
        <v>325.23880000000003</v>
      </c>
      <c r="J1543">
        <v>-191.71549999999999</v>
      </c>
      <c r="K1543">
        <v>1.109645</v>
      </c>
      <c r="L1543">
        <v>325.83100000000002</v>
      </c>
      <c r="M1543">
        <v>4.2811849999999999E-2</v>
      </c>
      <c r="N1543">
        <v>0</v>
      </c>
      <c r="O1543">
        <v>-0.99899079999999996</v>
      </c>
      <c r="P1543">
        <v>-4.0641330000000003E-2</v>
      </c>
      <c r="Q1543">
        <v>-2.2138169999999999E-2</v>
      </c>
      <c r="R1543">
        <v>-0.9989285</v>
      </c>
      <c r="S1543">
        <v>-0.21728520000000001</v>
      </c>
      <c r="T1543">
        <v>-0.19992199999999999</v>
      </c>
      <c r="U1543">
        <v>-2.9903870000000001</v>
      </c>
      <c r="V1543">
        <v>8.3368869999999998E-2</v>
      </c>
      <c r="W1543">
        <v>-8.6439680000000001E-3</v>
      </c>
      <c r="X1543">
        <v>0.99648119999999996</v>
      </c>
      <c r="Y1543">
        <v>0.11494699999999999</v>
      </c>
      <c r="Z1543">
        <v>6.6306050000000005E-2</v>
      </c>
      <c r="AA1543">
        <v>0.99115620000000004</v>
      </c>
      <c r="AB1543">
        <v>22</v>
      </c>
      <c r="AC1543">
        <v>-8.1600000000008693E-2</v>
      </c>
      <c r="AD1543">
        <v>-6.2162999999999899E-2</v>
      </c>
      <c r="AE1543">
        <v>-0.592199999999934</v>
      </c>
      <c r="AF1543">
        <v>0.105737317918772</v>
      </c>
      <c r="AG1543">
        <v>-6.2162999999999899E-2</v>
      </c>
      <c r="AH1543">
        <v>0.58187121846609102</v>
      </c>
      <c r="AI1543">
        <v>96.000412776213196</v>
      </c>
      <c r="AJ1543">
        <v>79.700629509302203</v>
      </c>
      <c r="AK1543">
        <v>0.59465850187218305</v>
      </c>
      <c r="AL1543">
        <v>90.495269084911996</v>
      </c>
      <c r="AM1543">
        <v>85.217585540940306</v>
      </c>
      <c r="AN1543">
        <v>0.99999993431064804</v>
      </c>
    </row>
    <row r="1544" spans="1:40" x14ac:dyDescent="0.25">
      <c r="A1544" t="str">
        <f>"20190312154825900"</f>
        <v>20190312154825900</v>
      </c>
      <c r="B1544" t="str">
        <f>"1552376905896999"</f>
        <v>1552376905896999</v>
      </c>
      <c r="C1544" t="s">
        <v>40</v>
      </c>
      <c r="D1544">
        <v>4.7348299999999997</v>
      </c>
      <c r="E1544">
        <v>0.51213819999999999</v>
      </c>
      <c r="F1544" t="s">
        <v>42</v>
      </c>
      <c r="G1544">
        <v>-192.85</v>
      </c>
      <c r="H1544" s="1">
        <v>-1.1052269999999999E-6</v>
      </c>
      <c r="I1544">
        <v>310.32549999999998</v>
      </c>
      <c r="J1544">
        <v>-191.70699999999999</v>
      </c>
      <c r="K1544">
        <v>1.10964</v>
      </c>
      <c r="L1544">
        <v>325.62310000000002</v>
      </c>
      <c r="M1544">
        <v>4.2459379999999998E-2</v>
      </c>
      <c r="N1544">
        <v>0</v>
      </c>
      <c r="O1544">
        <v>-0.99900610000000001</v>
      </c>
      <c r="P1544">
        <v>-4.1186970000000003E-2</v>
      </c>
      <c r="Q1544">
        <v>-2.308377E-2</v>
      </c>
      <c r="R1544">
        <v>-0.99888500000000002</v>
      </c>
      <c r="S1544">
        <v>-0.2187347</v>
      </c>
      <c r="T1544">
        <v>-0.2139453</v>
      </c>
      <c r="U1544">
        <v>-2.9895320000000001</v>
      </c>
      <c r="V1544">
        <v>8.3560079999999995E-2</v>
      </c>
      <c r="W1544">
        <v>-9.6093340000000006E-3</v>
      </c>
      <c r="X1544">
        <v>0.99645640000000002</v>
      </c>
      <c r="Y1544">
        <v>0.1150716</v>
      </c>
      <c r="Z1544">
        <v>7.0954110000000001E-2</v>
      </c>
      <c r="AA1544">
        <v>0.99081989999999998</v>
      </c>
      <c r="AB1544">
        <v>22</v>
      </c>
      <c r="AC1544">
        <v>-1.143</v>
      </c>
      <c r="AD1544">
        <v>-1.1096411052270001</v>
      </c>
      <c r="AE1544">
        <v>-15.297599999999999</v>
      </c>
      <c r="AF1544">
        <v>1.78223009133277</v>
      </c>
      <c r="AG1544">
        <v>-1.1096411052270001</v>
      </c>
      <c r="AH1544">
        <v>15.1559644343179</v>
      </c>
      <c r="AI1544">
        <v>94.158874135651502</v>
      </c>
      <c r="AJ1544">
        <v>83.293237787554901</v>
      </c>
      <c r="AK1544">
        <v>15.30068316825</v>
      </c>
      <c r="AL1544">
        <v>90.550582760335701</v>
      </c>
      <c r="AM1544">
        <v>85.206549180732907</v>
      </c>
      <c r="AN1544">
        <v>0.999999991685245</v>
      </c>
    </row>
    <row r="1545" spans="1:40" x14ac:dyDescent="0.25">
      <c r="A1545" t="str">
        <f>"20190312154825924"</f>
        <v>20190312154825924</v>
      </c>
      <c r="B1545" t="str">
        <f>"1552376905917495"</f>
        <v>1552376905917495</v>
      </c>
      <c r="C1545" t="s">
        <v>40</v>
      </c>
      <c r="D1545">
        <v>4.742648</v>
      </c>
      <c r="E1545">
        <v>0.51190469999999999</v>
      </c>
      <c r="F1545" t="s">
        <v>41</v>
      </c>
      <c r="G1545">
        <v>-191.7638</v>
      </c>
      <c r="H1545">
        <v>1.0515890000000001</v>
      </c>
      <c r="I1545">
        <v>324.8383</v>
      </c>
      <c r="J1545">
        <v>-191.69759999999999</v>
      </c>
      <c r="K1545">
        <v>1.1096159999999999</v>
      </c>
      <c r="L1545">
        <v>325.39060000000001</v>
      </c>
      <c r="M1545">
        <v>4.2058419999999999E-2</v>
      </c>
      <c r="N1545">
        <v>0</v>
      </c>
      <c r="O1545">
        <v>-0.99902420000000003</v>
      </c>
      <c r="P1545">
        <v>-4.1233300000000001E-2</v>
      </c>
      <c r="Q1545">
        <v>-2.313985E-2</v>
      </c>
      <c r="R1545">
        <v>-0.99888180000000004</v>
      </c>
      <c r="S1545">
        <v>-0.21623229999999999</v>
      </c>
      <c r="T1545">
        <v>-0.22120290000000001</v>
      </c>
      <c r="U1545">
        <v>-2.9893800000000001</v>
      </c>
      <c r="V1545">
        <v>8.3206130000000003E-2</v>
      </c>
      <c r="W1545">
        <v>-9.7458470000000002E-3</v>
      </c>
      <c r="X1545">
        <v>0.9964847</v>
      </c>
      <c r="Y1545">
        <v>0.1138388</v>
      </c>
      <c r="Z1545">
        <v>7.3361250000000003E-2</v>
      </c>
      <c r="AA1545">
        <v>0.99078699999999997</v>
      </c>
      <c r="AB1545">
        <v>22</v>
      </c>
      <c r="AC1545">
        <v>-6.6200000000009099E-2</v>
      </c>
      <c r="AD1545">
        <v>-5.8027000000000002E-2</v>
      </c>
      <c r="AE1545">
        <v>-0.55230000000000201</v>
      </c>
      <c r="AF1545">
        <v>8.8410294096713998E-2</v>
      </c>
      <c r="AG1545">
        <v>-5.8027000000000002E-2</v>
      </c>
      <c r="AH1545">
        <v>0.543116411009954</v>
      </c>
      <c r="AI1545">
        <v>96.019751481600593</v>
      </c>
      <c r="AJ1545">
        <v>80.754298890637003</v>
      </c>
      <c r="AK1545">
        <v>0.55331631888062005</v>
      </c>
      <c r="AL1545">
        <v>90.558404741104596</v>
      </c>
      <c r="AM1545">
        <v>85.226894554619903</v>
      </c>
      <c r="AN1545">
        <v>0.99999999946870699</v>
      </c>
    </row>
    <row r="1546" spans="1:40" x14ac:dyDescent="0.25">
      <c r="A1546" t="str">
        <f>"20190312154825945"</f>
        <v>20190312154825945</v>
      </c>
      <c r="B1546" t="str">
        <f>"1552376905937015"</f>
        <v>1552376905937015</v>
      </c>
      <c r="C1546" t="s">
        <v>40</v>
      </c>
      <c r="D1546">
        <v>4.7915299999999998</v>
      </c>
      <c r="E1546">
        <v>0.51177919999999999</v>
      </c>
      <c r="F1546" t="s">
        <v>41</v>
      </c>
      <c r="G1546">
        <v>-191.75229999999999</v>
      </c>
      <c r="H1546">
        <v>1.0528409999999999</v>
      </c>
      <c r="I1546">
        <v>324.63229999999999</v>
      </c>
      <c r="J1546">
        <v>-191.68899999999999</v>
      </c>
      <c r="K1546">
        <v>1.109578</v>
      </c>
      <c r="L1546">
        <v>325.17469999999997</v>
      </c>
      <c r="M1546">
        <v>4.1692060000000003E-2</v>
      </c>
      <c r="N1546">
        <v>0</v>
      </c>
      <c r="O1546">
        <v>-0.99904159999999997</v>
      </c>
      <c r="P1546">
        <v>-4.1098530000000001E-2</v>
      </c>
      <c r="Q1546">
        <v>-2.201301E-2</v>
      </c>
      <c r="R1546">
        <v>-0.99891280000000005</v>
      </c>
      <c r="S1546">
        <v>-0.21456910000000001</v>
      </c>
      <c r="T1546">
        <v>-0.22413169999999999</v>
      </c>
      <c r="U1546">
        <v>-2.9893190000000001</v>
      </c>
      <c r="V1546">
        <v>8.2707849999999999E-2</v>
      </c>
      <c r="W1546">
        <v>-8.7630390000000002E-3</v>
      </c>
      <c r="X1546">
        <v>0.99653530000000001</v>
      </c>
      <c r="Y1546">
        <v>0.1129223</v>
      </c>
      <c r="Z1546">
        <v>7.4335799999999994E-2</v>
      </c>
      <c r="AA1546">
        <v>0.99081920000000001</v>
      </c>
      <c r="AB1546">
        <v>22</v>
      </c>
      <c r="AC1546">
        <v>-6.32999999999697E-2</v>
      </c>
      <c r="AD1546">
        <v>-5.6737000000000197E-2</v>
      </c>
      <c r="AE1546">
        <v>-0.542399999999986</v>
      </c>
      <c r="AF1546">
        <v>8.49437747715166E-2</v>
      </c>
      <c r="AG1546">
        <v>-5.6737000000000197E-2</v>
      </c>
      <c r="AH1546">
        <v>0.53352956750402103</v>
      </c>
      <c r="AI1546">
        <v>95.995228939336599</v>
      </c>
      <c r="AJ1546">
        <v>80.953806596281595</v>
      </c>
      <c r="AK1546">
        <v>0.54322033415775395</v>
      </c>
      <c r="AL1546">
        <v>90.502091580709902</v>
      </c>
      <c r="AM1546">
        <v>85.255587230314902</v>
      </c>
      <c r="AN1546">
        <v>0.999999991725114</v>
      </c>
    </row>
    <row r="1547" spans="1:40" x14ac:dyDescent="0.25">
      <c r="A1547" t="str">
        <f>"20190312154825968"</f>
        <v>20190312154825968</v>
      </c>
      <c r="B1547" t="str">
        <f>"1552376905957511"</f>
        <v>1552376905957511</v>
      </c>
      <c r="C1547" t="s">
        <v>40</v>
      </c>
      <c r="D1547">
        <v>4.8225850000000001</v>
      </c>
      <c r="E1547">
        <v>0.51143950000000005</v>
      </c>
      <c r="F1547" t="s">
        <v>41</v>
      </c>
      <c r="G1547">
        <v>-191.7552</v>
      </c>
      <c r="H1547">
        <v>1.0405169999999999</v>
      </c>
      <c r="I1547">
        <v>324.24869999999999</v>
      </c>
      <c r="J1547">
        <v>-191.68</v>
      </c>
      <c r="K1547">
        <v>1.1095410000000001</v>
      </c>
      <c r="L1547">
        <v>324.94889999999998</v>
      </c>
      <c r="M1547">
        <v>4.130727E-2</v>
      </c>
      <c r="N1547">
        <v>0</v>
      </c>
      <c r="O1547">
        <v>-0.99906019999999895</v>
      </c>
      <c r="P1547">
        <v>-4.1049090000000003E-2</v>
      </c>
      <c r="Q1547">
        <v>-2.1224940000000001E-2</v>
      </c>
      <c r="R1547">
        <v>-0.99893209999999999</v>
      </c>
      <c r="S1547">
        <v>-0.2128448</v>
      </c>
      <c r="T1547">
        <v>-0.22325629999999999</v>
      </c>
      <c r="U1547">
        <v>-2.9895939999999999</v>
      </c>
      <c r="V1547">
        <v>8.2275829999999994E-2</v>
      </c>
      <c r="W1547">
        <v>-8.1706560000000001E-3</v>
      </c>
      <c r="X1547">
        <v>0.99657609999999996</v>
      </c>
      <c r="Y1547">
        <v>0.11196589999999999</v>
      </c>
      <c r="Z1547">
        <v>7.4047669999999996E-2</v>
      </c>
      <c r="AA1547">
        <v>0.99094930000000003</v>
      </c>
      <c r="AB1547">
        <v>22</v>
      </c>
      <c r="AC1547">
        <v>-7.5199999999995201E-2</v>
      </c>
      <c r="AD1547">
        <v>-6.9023999999999905E-2</v>
      </c>
      <c r="AE1547">
        <v>-0.70019999999999505</v>
      </c>
      <c r="AF1547">
        <v>0.10307146995803899</v>
      </c>
      <c r="AG1547">
        <v>-6.9023999999999905E-2</v>
      </c>
      <c r="AH1547">
        <v>0.68986831886281397</v>
      </c>
      <c r="AI1547">
        <v>95.651334202843699</v>
      </c>
      <c r="AJ1547">
        <v>81.502440514937405</v>
      </c>
      <c r="AK1547">
        <v>0.70093247739416198</v>
      </c>
      <c r="AL1547">
        <v>90.468149314854202</v>
      </c>
      <c r="AM1547">
        <v>85.280449520553304</v>
      </c>
      <c r="AN1547">
        <v>0.99999999745643398</v>
      </c>
    </row>
    <row r="1548" spans="1:40" x14ac:dyDescent="0.25">
      <c r="A1548" t="str">
        <f>"20190312154825994"</f>
        <v>20190312154825994</v>
      </c>
      <c r="B1548" t="str">
        <f>"1552376905987768"</f>
        <v>1552376905987768</v>
      </c>
      <c r="C1548" t="s">
        <v>40</v>
      </c>
      <c r="D1548">
        <v>5.0347489999999997</v>
      </c>
      <c r="E1548">
        <v>0.47630749999999999</v>
      </c>
      <c r="F1548" t="s">
        <v>41</v>
      </c>
      <c r="G1548">
        <v>-191.74340000000001</v>
      </c>
      <c r="H1548">
        <v>1.042683</v>
      </c>
      <c r="I1548">
        <v>324.04809999999998</v>
      </c>
      <c r="J1548">
        <v>-191.6703</v>
      </c>
      <c r="K1548">
        <v>1.10951</v>
      </c>
      <c r="L1548">
        <v>324.70049999999998</v>
      </c>
      <c r="M1548">
        <v>4.0877820000000002E-2</v>
      </c>
      <c r="N1548">
        <v>0</v>
      </c>
      <c r="O1548">
        <v>-0.99908090000000005</v>
      </c>
      <c r="P1548">
        <v>-4.135486E-2</v>
      </c>
      <c r="Q1548">
        <v>-2.1011620000000002E-2</v>
      </c>
      <c r="R1548">
        <v>-0.99892409999999998</v>
      </c>
      <c r="S1548">
        <v>-0.21003720000000001</v>
      </c>
      <c r="T1548">
        <v>-0.22201280000000001</v>
      </c>
      <c r="U1548">
        <v>-2.9898380000000002</v>
      </c>
      <c r="V1548">
        <v>8.2152719999999999E-2</v>
      </c>
      <c r="W1548">
        <v>-8.1799990000000003E-3</v>
      </c>
      <c r="X1548">
        <v>0.99658619999999998</v>
      </c>
      <c r="Y1548">
        <v>0.110609</v>
      </c>
      <c r="Z1548">
        <v>7.3641509999999993E-2</v>
      </c>
      <c r="AA1548">
        <v>0.99113200000000001</v>
      </c>
      <c r="AB1548">
        <v>22</v>
      </c>
      <c r="AC1548">
        <v>-7.3100000000010795E-2</v>
      </c>
      <c r="AD1548">
        <v>-6.68269999999999E-2</v>
      </c>
      <c r="AE1548">
        <v>-0.65239999999999998</v>
      </c>
      <c r="AF1548">
        <v>9.8687168460849795E-2</v>
      </c>
      <c r="AG1548">
        <v>-6.68269999999999E-2</v>
      </c>
      <c r="AH1548">
        <v>0.64221137729975097</v>
      </c>
      <c r="AI1548">
        <v>95.872244974611803</v>
      </c>
      <c r="AJ1548">
        <v>81.263824227468803</v>
      </c>
      <c r="AK1548">
        <v>0.65317720281793601</v>
      </c>
      <c r="AL1548">
        <v>90.468684637627703</v>
      </c>
      <c r="AM1548">
        <v>85.287527137795294</v>
      </c>
      <c r="AN1548">
        <v>1.0000000179087301</v>
      </c>
    </row>
    <row r="1549" spans="1:40" x14ac:dyDescent="0.25">
      <c r="A1549" t="str">
        <f>"20190312154826015"</f>
        <v>20190312154826015</v>
      </c>
      <c r="B1549" t="str">
        <f>"1552376906007286"</f>
        <v>1552376906007286</v>
      </c>
      <c r="C1549" t="s">
        <v>40</v>
      </c>
      <c r="D1549">
        <v>4.8749250000000002</v>
      </c>
      <c r="E1549">
        <v>0.47278520000000002</v>
      </c>
      <c r="F1549" t="s">
        <v>42</v>
      </c>
      <c r="G1549">
        <v>-191.25409999999999</v>
      </c>
      <c r="H1549" s="1">
        <v>-3.2161150000000002E-6</v>
      </c>
      <c r="I1549">
        <v>306.30810000000002</v>
      </c>
      <c r="J1549">
        <v>-191.6619</v>
      </c>
      <c r="K1549">
        <v>1.1094839999999999</v>
      </c>
      <c r="L1549">
        <v>324.48570000000001</v>
      </c>
      <c r="M1549">
        <v>4.0504819999999997E-2</v>
      </c>
      <c r="N1549">
        <v>0</v>
      </c>
      <c r="O1549">
        <v>-0.9990985</v>
      </c>
      <c r="P1549">
        <v>-4.1988480000000002E-2</v>
      </c>
      <c r="Q1549">
        <v>-2.0287570000000001E-2</v>
      </c>
      <c r="R1549">
        <v>-0.99891229999999998</v>
      </c>
      <c r="S1549">
        <v>6.7932129999999993E-2</v>
      </c>
      <c r="T1549">
        <v>-0.1811103</v>
      </c>
      <c r="U1549">
        <v>-3.0022579999999999</v>
      </c>
      <c r="V1549">
        <v>8.2413630000000002E-2</v>
      </c>
      <c r="W1549">
        <v>-7.6584940000000001E-3</v>
      </c>
      <c r="X1549">
        <v>0.99656880000000003</v>
      </c>
      <c r="Y1549">
        <v>1.793604E-2</v>
      </c>
      <c r="Z1549">
        <v>6.012866E-2</v>
      </c>
      <c r="AA1549">
        <v>0.99802950000000001</v>
      </c>
      <c r="AB1549">
        <v>22</v>
      </c>
      <c r="AC1549">
        <v>0.40780000000000799</v>
      </c>
      <c r="AD1549">
        <v>-1.109487216115</v>
      </c>
      <c r="AE1549">
        <v>-18.177599999999899</v>
      </c>
      <c r="AF1549">
        <v>0.327654586676149</v>
      </c>
      <c r="AG1549">
        <v>-1.109487216115</v>
      </c>
      <c r="AH1549">
        <v>18.111759822484299</v>
      </c>
      <c r="AI1549">
        <v>93.504863064796197</v>
      </c>
      <c r="AJ1549">
        <v>88.963591746690199</v>
      </c>
      <c r="AK1549">
        <v>18.148668361018899</v>
      </c>
      <c r="AL1549">
        <v>90.438803666151301</v>
      </c>
      <c r="AM1549">
        <v>85.272546286932695</v>
      </c>
      <c r="AN1549">
        <v>1.0000000160367799</v>
      </c>
    </row>
    <row r="1550" spans="1:40" x14ac:dyDescent="0.25">
      <c r="A1550" t="str">
        <f>"20190312154826037"</f>
        <v>20190312154826037</v>
      </c>
      <c r="B1550" t="str">
        <f>"1552376906027782"</f>
        <v>1552376906027782</v>
      </c>
      <c r="C1550" t="s">
        <v>40</v>
      </c>
      <c r="D1550">
        <v>4.8974970000000004</v>
      </c>
      <c r="E1550">
        <v>0.47148200000000001</v>
      </c>
      <c r="F1550" t="s">
        <v>42</v>
      </c>
      <c r="G1550">
        <v>-191.0531</v>
      </c>
      <c r="H1550" s="1">
        <v>-2.6151179999999998E-6</v>
      </c>
      <c r="I1550">
        <v>305.03179999999998</v>
      </c>
      <c r="J1550">
        <v>-191.6533</v>
      </c>
      <c r="K1550">
        <v>1.109461</v>
      </c>
      <c r="L1550">
        <v>324.262</v>
      </c>
      <c r="M1550">
        <v>4.0119149999999999E-2</v>
      </c>
      <c r="N1550">
        <v>0</v>
      </c>
      <c r="O1550">
        <v>-0.99911709999999998</v>
      </c>
      <c r="P1550">
        <v>-4.3252840000000001E-2</v>
      </c>
      <c r="Q1550">
        <v>-1.9651209999999999E-2</v>
      </c>
      <c r="R1550">
        <v>-0.99887110000000001</v>
      </c>
      <c r="S1550">
        <v>9.3994140000000004E-2</v>
      </c>
      <c r="T1550">
        <v>-0.17130919999999999</v>
      </c>
      <c r="U1550">
        <v>-3.0037539999999998</v>
      </c>
      <c r="V1550">
        <v>8.3290810000000007E-2</v>
      </c>
      <c r="W1550">
        <v>-7.2597900000000003E-3</v>
      </c>
      <c r="X1550">
        <v>0.99649880000000002</v>
      </c>
      <c r="Y1550">
        <v>8.9015440000000008E-3</v>
      </c>
      <c r="Z1550">
        <v>5.6855509999999998E-2</v>
      </c>
      <c r="AA1550">
        <v>0.99834279999999997</v>
      </c>
      <c r="AB1550">
        <v>22</v>
      </c>
      <c r="AC1550">
        <v>0.60020000000000095</v>
      </c>
      <c r="AD1550">
        <v>-1.109463615118</v>
      </c>
      <c r="AE1550">
        <v>-19.2302</v>
      </c>
      <c r="AF1550">
        <v>0.17127301348891</v>
      </c>
      <c r="AG1550">
        <v>-1.109463615118</v>
      </c>
      <c r="AH1550">
        <v>19.175033349531802</v>
      </c>
      <c r="AI1550">
        <v>93.311298615629497</v>
      </c>
      <c r="AJ1550">
        <v>89.488242879279397</v>
      </c>
      <c r="AK1550">
        <v>19.207866823623998</v>
      </c>
      <c r="AL1550">
        <v>90.415958997253995</v>
      </c>
      <c r="AM1550">
        <v>85.222126671073497</v>
      </c>
      <c r="AN1550">
        <v>0.99999996099136901</v>
      </c>
    </row>
    <row r="1551" spans="1:40" x14ac:dyDescent="0.25">
      <c r="A1551" t="str">
        <f>"20190312154826058"</f>
        <v>20190312154826058</v>
      </c>
      <c r="B1551" t="str">
        <f>"1552376906047303"</f>
        <v>1552376906047303</v>
      </c>
      <c r="C1551" t="s">
        <v>40</v>
      </c>
      <c r="D1551">
        <v>4.8671410000000002</v>
      </c>
      <c r="E1551">
        <v>0.47084559999999998</v>
      </c>
      <c r="F1551" t="s">
        <v>42</v>
      </c>
      <c r="G1551">
        <v>-191.01990000000001</v>
      </c>
      <c r="H1551" s="1">
        <v>-2.755305E-6</v>
      </c>
      <c r="I1551">
        <v>305.37920000000003</v>
      </c>
      <c r="J1551">
        <v>-191.6455</v>
      </c>
      <c r="K1551">
        <v>1.1094250000000001</v>
      </c>
      <c r="L1551">
        <v>324.05790000000002</v>
      </c>
      <c r="M1551">
        <v>3.9771109999999998E-2</v>
      </c>
      <c r="N1551">
        <v>0</v>
      </c>
      <c r="O1551">
        <v>-0.99913410000000002</v>
      </c>
      <c r="P1551">
        <v>-4.4346160000000003E-2</v>
      </c>
      <c r="Q1551">
        <v>-1.9020260000000001E-2</v>
      </c>
      <c r="R1551">
        <v>-0.99883549999999999</v>
      </c>
      <c r="S1551">
        <v>0.100769</v>
      </c>
      <c r="T1551">
        <v>-0.17651689999999901</v>
      </c>
      <c r="U1551">
        <v>-3.0042719999999998</v>
      </c>
      <c r="V1551">
        <v>8.4034849999999994E-2</v>
      </c>
      <c r="W1551">
        <v>-6.8771850000000001E-3</v>
      </c>
      <c r="X1551">
        <v>0.99643910000000002</v>
      </c>
      <c r="Y1551">
        <v>6.3127869999999899E-3</v>
      </c>
      <c r="Z1551">
        <v>5.8567609999999999E-2</v>
      </c>
      <c r="AA1551">
        <v>0.99826349999999997</v>
      </c>
      <c r="AB1551">
        <v>22</v>
      </c>
      <c r="AC1551">
        <v>0.62559999999999105</v>
      </c>
      <c r="AD1551">
        <v>-1.109427755305</v>
      </c>
      <c r="AE1551">
        <v>-18.6786999999999</v>
      </c>
      <c r="AF1551">
        <v>0.117409402208594</v>
      </c>
      <c r="AG1551">
        <v>-1.109427755305</v>
      </c>
      <c r="AH1551">
        <v>18.62317682674</v>
      </c>
      <c r="AI1551">
        <v>93.409151632313197</v>
      </c>
      <c r="AJ1551">
        <v>89.638784823834598</v>
      </c>
      <c r="AK1551">
        <v>18.656562653179002</v>
      </c>
      <c r="AL1551">
        <v>90.3940367752665</v>
      </c>
      <c r="AM1551">
        <v>85.179358532248898</v>
      </c>
      <c r="AN1551">
        <v>1.0000000158484199</v>
      </c>
    </row>
    <row r="1552" spans="1:40" x14ac:dyDescent="0.25">
      <c r="A1552" t="str">
        <f>"20190312154826080"</f>
        <v>20190312154826080</v>
      </c>
      <c r="B1552" t="str">
        <f>"1552376906067799"</f>
        <v>1552376906067799</v>
      </c>
      <c r="C1552" t="s">
        <v>40</v>
      </c>
      <c r="D1552">
        <v>4.8626490000000002</v>
      </c>
      <c r="E1552">
        <v>0.47035589999999999</v>
      </c>
      <c r="F1552" t="s">
        <v>42</v>
      </c>
      <c r="G1552">
        <v>-191.00919999999999</v>
      </c>
      <c r="H1552" s="1">
        <v>-2.7908480000000001E-6</v>
      </c>
      <c r="I1552">
        <v>305.46870000000001</v>
      </c>
      <c r="J1552">
        <v>-191.6369</v>
      </c>
      <c r="K1552">
        <v>1.10938</v>
      </c>
      <c r="L1552">
        <v>323.83179999999999</v>
      </c>
      <c r="M1552">
        <v>3.9388109999999997E-2</v>
      </c>
      <c r="N1552">
        <v>0</v>
      </c>
      <c r="O1552">
        <v>-0.99915290000000001</v>
      </c>
      <c r="P1552">
        <v>-4.493892E-2</v>
      </c>
      <c r="Q1552">
        <v>-1.7980260000000001E-2</v>
      </c>
      <c r="R1552">
        <v>-0.99882839999999995</v>
      </c>
      <c r="S1552">
        <v>0.1028442</v>
      </c>
      <c r="T1552">
        <v>-0.179320799999999</v>
      </c>
      <c r="U1552">
        <v>-3.0046390000000001</v>
      </c>
      <c r="V1552">
        <v>8.4245180000000003E-2</v>
      </c>
      <c r="W1552">
        <v>-6.1422459999999996E-3</v>
      </c>
      <c r="X1552">
        <v>0.99642609999999998</v>
      </c>
      <c r="Y1552">
        <v>5.2465749999999998E-3</v>
      </c>
      <c r="Z1552">
        <v>5.9488279999999998E-2</v>
      </c>
      <c r="AA1552">
        <v>0.99821519999999997</v>
      </c>
      <c r="AB1552">
        <v>22</v>
      </c>
      <c r="AC1552">
        <v>0.62770000000000403</v>
      </c>
      <c r="AD1552">
        <v>-1.1093827908480001</v>
      </c>
      <c r="AE1552">
        <v>-18.3630999999999</v>
      </c>
      <c r="AF1552">
        <v>9.5777194409830999E-2</v>
      </c>
      <c r="AG1552">
        <v>-1.1093827908480001</v>
      </c>
      <c r="AH1552">
        <v>18.306835068669599</v>
      </c>
      <c r="AI1552">
        <v>93.467800346027005</v>
      </c>
      <c r="AJ1552">
        <v>89.700244257108395</v>
      </c>
      <c r="AK1552">
        <v>18.340668299684999</v>
      </c>
      <c r="AL1552">
        <v>90.351926994169304</v>
      </c>
      <c r="AM1552">
        <v>85.167287317113903</v>
      </c>
      <c r="AN1552">
        <v>0.99999997515018302</v>
      </c>
    </row>
    <row r="1553" spans="1:40" x14ac:dyDescent="0.25">
      <c r="A1553" t="str">
        <f>"20190312154826101"</f>
        <v>20190312154826101</v>
      </c>
      <c r="B1553" t="str">
        <f>"1552376906097079"</f>
        <v>1552376906097079</v>
      </c>
      <c r="C1553" t="s">
        <v>40</v>
      </c>
      <c r="D1553">
        <v>4.9208280000000002</v>
      </c>
      <c r="E1553">
        <v>0.46971230000000003</v>
      </c>
      <c r="F1553" t="s">
        <v>42</v>
      </c>
      <c r="G1553">
        <v>-190.9829</v>
      </c>
      <c r="H1553" s="1">
        <v>-2.6254069999999999E-6</v>
      </c>
      <c r="I1553">
        <v>305.0994</v>
      </c>
      <c r="J1553">
        <v>-191.62880000000001</v>
      </c>
      <c r="K1553">
        <v>1.109335</v>
      </c>
      <c r="L1553">
        <v>323.6155</v>
      </c>
      <c r="M1553">
        <v>3.9021479999999997E-2</v>
      </c>
      <c r="N1553">
        <v>0</v>
      </c>
      <c r="O1553">
        <v>-0.99917129999999998</v>
      </c>
      <c r="P1553">
        <v>-4.5294550000000003E-2</v>
      </c>
      <c r="Q1553">
        <v>-1.7715089999999999E-2</v>
      </c>
      <c r="R1553">
        <v>-0.99881679999999995</v>
      </c>
      <c r="S1553">
        <v>0.1049194</v>
      </c>
      <c r="T1553">
        <v>-0.17796589999999901</v>
      </c>
      <c r="U1553">
        <v>-3.0050349999999999</v>
      </c>
      <c r="V1553">
        <v>8.4234310000000007E-2</v>
      </c>
      <c r="W1553">
        <v>-6.1938339999999996E-3</v>
      </c>
      <c r="X1553">
        <v>0.9964267</v>
      </c>
      <c r="Y1553">
        <v>4.1945330000000003E-3</v>
      </c>
      <c r="Z1553">
        <v>5.9033339999999997E-2</v>
      </c>
      <c r="AA1553">
        <v>0.9982472</v>
      </c>
      <c r="AB1553">
        <v>22</v>
      </c>
      <c r="AC1553">
        <v>0.64590000000001102</v>
      </c>
      <c r="AD1553">
        <v>-1.109337625407</v>
      </c>
      <c r="AE1553">
        <v>-18.516099999999899</v>
      </c>
      <c r="AF1553">
        <v>7.6890395753652904E-2</v>
      </c>
      <c r="AG1553">
        <v>-1.109337625407</v>
      </c>
      <c r="AH1553">
        <v>18.461016947381999</v>
      </c>
      <c r="AI1553">
        <v>93.438785451092301</v>
      </c>
      <c r="AJ1553">
        <v>89.761363650764594</v>
      </c>
      <c r="AK1553">
        <v>18.494477252186101</v>
      </c>
      <c r="AL1553">
        <v>90.354882825013902</v>
      </c>
      <c r="AM1553">
        <v>85.167910816282003</v>
      </c>
      <c r="AN1553">
        <v>0.99999997551684205</v>
      </c>
    </row>
    <row r="1554" spans="1:40" x14ac:dyDescent="0.25">
      <c r="A1554" t="str">
        <f>"20190312154826124"</f>
        <v>20190312154826124</v>
      </c>
      <c r="B1554" t="str">
        <f>"1552376906117575"</f>
        <v>1552376906117575</v>
      </c>
      <c r="C1554" t="s">
        <v>40</v>
      </c>
      <c r="D1554">
        <v>4.8861840000000001</v>
      </c>
      <c r="E1554">
        <v>0.46927079999999999</v>
      </c>
      <c r="F1554" t="s">
        <v>42</v>
      </c>
      <c r="G1554">
        <v>-190.96029999999999</v>
      </c>
      <c r="H1554" s="1">
        <v>-2.6678690000000001E-6</v>
      </c>
      <c r="I1554">
        <v>305.2124</v>
      </c>
      <c r="J1554">
        <v>-191.62010000000001</v>
      </c>
      <c r="K1554">
        <v>1.109275</v>
      </c>
      <c r="L1554">
        <v>323.38319999999999</v>
      </c>
      <c r="M1554">
        <v>3.8625710000000001E-2</v>
      </c>
      <c r="N1554">
        <v>0</v>
      </c>
      <c r="O1554">
        <v>-0.99919080000000005</v>
      </c>
      <c r="P1554">
        <v>-4.5546639999999999E-2</v>
      </c>
      <c r="Q1554">
        <v>-1.7129800000000001E-2</v>
      </c>
      <c r="R1554">
        <v>-0.99881560000000003</v>
      </c>
      <c r="S1554">
        <v>0.10916140000000001</v>
      </c>
      <c r="T1554">
        <v>-0.1811574</v>
      </c>
      <c r="U1554">
        <v>-3.00528</v>
      </c>
      <c r="V1554">
        <v>8.4091470000000001E-2</v>
      </c>
      <c r="W1554">
        <v>-5.9752240000000003E-3</v>
      </c>
      <c r="X1554">
        <v>0.99644010000000005</v>
      </c>
      <c r="Y1554">
        <v>2.396137E-3</v>
      </c>
      <c r="Z1554">
        <v>6.008339E-2</v>
      </c>
      <c r="AA1554">
        <v>0.99819049999999998</v>
      </c>
      <c r="AB1554">
        <v>23</v>
      </c>
      <c r="AC1554">
        <v>0.65980000000001804</v>
      </c>
      <c r="AD1554">
        <v>-1.109277667869</v>
      </c>
      <c r="AE1554">
        <v>-18.1707999999999</v>
      </c>
      <c r="AF1554">
        <v>4.2438689909031102E-2</v>
      </c>
      <c r="AG1554">
        <v>-1.109277667869</v>
      </c>
      <c r="AH1554">
        <v>18.115302512006298</v>
      </c>
      <c r="AI1554">
        <v>93.504081404490194</v>
      </c>
      <c r="AJ1554">
        <v>89.865773515516196</v>
      </c>
      <c r="AK1554">
        <v>18.149283266518701</v>
      </c>
      <c r="AL1554">
        <v>90.342357162378704</v>
      </c>
      <c r="AM1554">
        <v>85.176130677941501</v>
      </c>
      <c r="AN1554">
        <v>0.99999997575831001</v>
      </c>
    </row>
    <row r="1555" spans="1:40" x14ac:dyDescent="0.25">
      <c r="A1555" t="str">
        <f>"20190312154826147"</f>
        <v>20190312154826147</v>
      </c>
      <c r="B1555" t="str">
        <f>"1552376906137095"</f>
        <v>1552376906137095</v>
      </c>
      <c r="C1555" t="s">
        <v>40</v>
      </c>
      <c r="D1555">
        <v>4.891</v>
      </c>
      <c r="E1555">
        <v>0.4688504</v>
      </c>
      <c r="F1555" t="s">
        <v>42</v>
      </c>
      <c r="G1555">
        <v>-190.9342</v>
      </c>
      <c r="H1555" s="1">
        <v>-2.5716169999999999E-6</v>
      </c>
      <c r="I1555">
        <v>305.00420000000003</v>
      </c>
      <c r="J1555">
        <v>-191.61179999999999</v>
      </c>
      <c r="K1555">
        <v>1.109218</v>
      </c>
      <c r="L1555">
        <v>323.15499999999997</v>
      </c>
      <c r="M1555">
        <v>3.8235379999999999E-2</v>
      </c>
      <c r="N1555">
        <v>0</v>
      </c>
      <c r="O1555">
        <v>-0.99920989999999998</v>
      </c>
      <c r="P1555">
        <v>-4.5774910000000002E-2</v>
      </c>
      <c r="Q1555">
        <v>-1.6690859999999998E-2</v>
      </c>
      <c r="R1555">
        <v>-0.99881240000000004</v>
      </c>
      <c r="S1555">
        <v>0.1121674</v>
      </c>
      <c r="T1555">
        <v>-0.18140210000000001</v>
      </c>
      <c r="U1555">
        <v>-3.0055540000000001</v>
      </c>
      <c r="V1555">
        <v>8.3930089999999999E-2</v>
      </c>
      <c r="W1555">
        <v>-5.9211560000000003E-3</v>
      </c>
      <c r="X1555">
        <v>0.99645410000000001</v>
      </c>
      <c r="Y1555">
        <v>1.0118340000000001E-3</v>
      </c>
      <c r="Z1555">
        <v>6.0159129999999998E-2</v>
      </c>
      <c r="AA1555">
        <v>0.99818830000000003</v>
      </c>
      <c r="AB1555">
        <v>23</v>
      </c>
      <c r="AC1555">
        <v>0.67759999999998399</v>
      </c>
      <c r="AD1555">
        <v>-1.1092205716170001</v>
      </c>
      <c r="AE1555">
        <v>-18.150799999999901</v>
      </c>
      <c r="AF1555">
        <v>1.6876165337553199E-2</v>
      </c>
      <c r="AG1555">
        <v>-1.1092205716170001</v>
      </c>
      <c r="AH1555">
        <v>18.095948567390899</v>
      </c>
      <c r="AI1555">
        <v>93.5076477077818</v>
      </c>
      <c r="AJ1555">
        <v>89.946566339737203</v>
      </c>
      <c r="AK1555">
        <v>18.129920287610599</v>
      </c>
      <c r="AL1555">
        <v>90.339259215206994</v>
      </c>
      <c r="AM1555">
        <v>85.185411936032096</v>
      </c>
      <c r="AN1555">
        <v>1.00000004675129</v>
      </c>
    </row>
    <row r="1556" spans="1:40" x14ac:dyDescent="0.25">
      <c r="A1556" t="str">
        <f>"20190312154826169"</f>
        <v>20190312154826169</v>
      </c>
      <c r="B1556" t="str">
        <f>"1552376906157274"</f>
        <v>1552376906157274</v>
      </c>
      <c r="C1556" t="s">
        <v>40</v>
      </c>
      <c r="D1556">
        <v>4.9023370000000002</v>
      </c>
      <c r="E1556">
        <v>0.46861969999999997</v>
      </c>
      <c r="F1556" t="s">
        <v>42</v>
      </c>
      <c r="G1556">
        <v>-190.9092</v>
      </c>
      <c r="H1556" s="1">
        <v>-2.4524739999999999E-6</v>
      </c>
      <c r="I1556">
        <v>304.74200000000002</v>
      </c>
      <c r="J1556">
        <v>-191.60339999999999</v>
      </c>
      <c r="K1556">
        <v>1.1091690000000001</v>
      </c>
      <c r="L1556">
        <v>322.92419999999998</v>
      </c>
      <c r="M1556">
        <v>3.7839680000000001E-2</v>
      </c>
      <c r="N1556">
        <v>0</v>
      </c>
      <c r="O1556">
        <v>-0.99922909999999998</v>
      </c>
      <c r="P1556">
        <v>-4.6385290000000003E-2</v>
      </c>
      <c r="Q1556">
        <v>-1.5781989999999999E-2</v>
      </c>
      <c r="R1556">
        <v>-0.99879910000000005</v>
      </c>
      <c r="S1556">
        <v>0.1146851</v>
      </c>
      <c r="T1556">
        <v>-0.18107119999999999</v>
      </c>
      <c r="U1556">
        <v>-3.0057680000000002</v>
      </c>
      <c r="V1556">
        <v>8.4145109999999995E-2</v>
      </c>
      <c r="W1556">
        <v>-5.4134229999999997E-3</v>
      </c>
      <c r="X1556">
        <v>0.99643879999999996</v>
      </c>
      <c r="Y1556">
        <v>-2.168677E-4</v>
      </c>
      <c r="Z1556">
        <v>6.0045950000000001E-2</v>
      </c>
      <c r="AA1556">
        <v>0.99819559999999996</v>
      </c>
      <c r="AB1556">
        <v>23</v>
      </c>
      <c r="AC1556">
        <v>0.69419999999999404</v>
      </c>
      <c r="AD1556">
        <v>-1.109171452474</v>
      </c>
      <c r="AE1556">
        <v>-18.182199999999899</v>
      </c>
      <c r="AF1556">
        <v>-5.6355792151920802E-3</v>
      </c>
      <c r="AG1556">
        <v>-1.109171452474</v>
      </c>
      <c r="AH1556">
        <v>18.128083276868601</v>
      </c>
      <c r="AI1556">
        <v>93.501292049084498</v>
      </c>
      <c r="AJ1556">
        <v>90.017811860680894</v>
      </c>
      <c r="AK1556">
        <v>18.161984923565502</v>
      </c>
      <c r="AL1556">
        <v>90.310167807592805</v>
      </c>
      <c r="AM1556">
        <v>85.1730619097752</v>
      </c>
      <c r="AN1556">
        <v>0.99999999341546397</v>
      </c>
    </row>
    <row r="1557" spans="1:40" x14ac:dyDescent="0.25">
      <c r="A1557" t="str">
        <f>"20190312154826192"</f>
        <v>20190312154826192</v>
      </c>
      <c r="B1557" t="str">
        <f>"1552376906177769"</f>
        <v>1552376906177769</v>
      </c>
      <c r="C1557" t="s">
        <v>40</v>
      </c>
      <c r="D1557">
        <v>4.8391960000000003</v>
      </c>
      <c r="E1557">
        <v>0.46868179999999998</v>
      </c>
      <c r="F1557" t="s">
        <v>42</v>
      </c>
      <c r="G1557">
        <v>-190.8981</v>
      </c>
      <c r="H1557" s="1">
        <v>-2.3214490000000002E-6</v>
      </c>
      <c r="I1557">
        <v>304.4434</v>
      </c>
      <c r="J1557">
        <v>-191.59530000000001</v>
      </c>
      <c r="K1557">
        <v>1.109121</v>
      </c>
      <c r="L1557">
        <v>322.69880000000001</v>
      </c>
      <c r="M1557">
        <v>3.7453569999999999E-2</v>
      </c>
      <c r="N1557">
        <v>0</v>
      </c>
      <c r="O1557">
        <v>-0.99924769999999896</v>
      </c>
      <c r="P1557">
        <v>-4.6859079999999997E-2</v>
      </c>
      <c r="Q1557">
        <v>-1.507932E-2</v>
      </c>
      <c r="R1557">
        <v>-0.99878789999999995</v>
      </c>
      <c r="S1557">
        <v>0.1147156</v>
      </c>
      <c r="T1557">
        <v>-0.1804192</v>
      </c>
      <c r="U1557">
        <v>-3.0061040000000001</v>
      </c>
      <c r="V1557">
        <v>8.4233160000000001E-2</v>
      </c>
      <c r="W1557">
        <v>-5.0931539999999999E-3</v>
      </c>
      <c r="X1557">
        <v>0.99643309999999996</v>
      </c>
      <c r="Y1557">
        <v>-6.0980059999999996E-4</v>
      </c>
      <c r="Z1557">
        <v>5.9825160000000002E-2</v>
      </c>
      <c r="AA1557">
        <v>0.99820869999999995</v>
      </c>
      <c r="AB1557">
        <v>23</v>
      </c>
      <c r="AC1557">
        <v>0.69720000000000903</v>
      </c>
      <c r="AD1557">
        <v>-1.1091233214489999</v>
      </c>
      <c r="AE1557">
        <v>-18.255400000000002</v>
      </c>
      <c r="AF1557">
        <v>-1.28987067841784E-2</v>
      </c>
      <c r="AG1557">
        <v>-1.1091233214489999</v>
      </c>
      <c r="AH1557">
        <v>18.201614700017402</v>
      </c>
      <c r="AI1557">
        <v>93.487030747057602</v>
      </c>
      <c r="AJ1557">
        <v>90.040603064528895</v>
      </c>
      <c r="AK1557">
        <v>18.235380407512899</v>
      </c>
      <c r="AL1557">
        <v>90.291817477379595</v>
      </c>
      <c r="AM1557">
        <v>85.168007362216301</v>
      </c>
      <c r="AN1557">
        <v>1.00000004411843</v>
      </c>
    </row>
    <row r="1558" spans="1:40" x14ac:dyDescent="0.25">
      <c r="A1558" t="str">
        <f>"20190312154826214"</f>
        <v>20190312154826214</v>
      </c>
      <c r="B1558" t="str">
        <f>"1552376906207052"</f>
        <v>1552376906207052</v>
      </c>
      <c r="C1558" t="s">
        <v>40</v>
      </c>
      <c r="D1558">
        <v>4.982653</v>
      </c>
      <c r="E1558">
        <v>0.468968</v>
      </c>
      <c r="F1558" t="s">
        <v>42</v>
      </c>
      <c r="G1558">
        <v>-190.90029999999999</v>
      </c>
      <c r="H1558" s="1">
        <v>-2.2130109999999999E-6</v>
      </c>
      <c r="I1558">
        <v>304.1893</v>
      </c>
      <c r="J1558">
        <v>-191.58670000000001</v>
      </c>
      <c r="K1558">
        <v>1.1090770000000001</v>
      </c>
      <c r="L1558">
        <v>322.45760000000001</v>
      </c>
      <c r="M1558">
        <v>3.7040829999999997E-2</v>
      </c>
      <c r="N1558">
        <v>0</v>
      </c>
      <c r="O1558">
        <v>-0.99926680000000001</v>
      </c>
      <c r="P1558">
        <v>-4.7301089999999997E-2</v>
      </c>
      <c r="Q1558">
        <v>-1.492488E-2</v>
      </c>
      <c r="R1558">
        <v>-0.99876929999999997</v>
      </c>
      <c r="S1558">
        <v>0.1128845</v>
      </c>
      <c r="T1558">
        <v>-0.18013750000000001</v>
      </c>
      <c r="U1558">
        <v>-3.006195</v>
      </c>
      <c r="V1558">
        <v>8.4262340000000005E-2</v>
      </c>
      <c r="W1558">
        <v>-5.3362180000000002E-3</v>
      </c>
      <c r="X1558">
        <v>0.99642929999999996</v>
      </c>
      <c r="Y1558">
        <v>-4.1490130000000001E-4</v>
      </c>
      <c r="Z1558">
        <v>5.9732349999999997E-2</v>
      </c>
      <c r="AA1558">
        <v>0.99821439999999995</v>
      </c>
      <c r="AB1558">
        <v>23</v>
      </c>
      <c r="AC1558">
        <v>0.68640000000001999</v>
      </c>
      <c r="AD1558">
        <v>-1.1090792130110001</v>
      </c>
      <c r="AE1558">
        <v>-18.2683</v>
      </c>
      <c r="AF1558">
        <v>-9.1903438469211896E-3</v>
      </c>
      <c r="AG1558">
        <v>-1.1090792130110001</v>
      </c>
      <c r="AH1558">
        <v>18.2141496535633</v>
      </c>
      <c r="AI1558">
        <v>93.484499084579298</v>
      </c>
      <c r="AJ1558">
        <v>90.0289098245063</v>
      </c>
      <c r="AK1558">
        <v>18.2478872411453</v>
      </c>
      <c r="AL1558">
        <v>90.305744226030995</v>
      </c>
      <c r="AM1558">
        <v>85.166323049480198</v>
      </c>
      <c r="AN1558">
        <v>0.99999998353165398</v>
      </c>
    </row>
    <row r="1559" spans="1:40" x14ac:dyDescent="0.25">
      <c r="A1559" t="str">
        <f>"20190312154826238"</f>
        <v>20190312154826238</v>
      </c>
      <c r="B1559" t="str">
        <f>"1552376906227545"</f>
        <v>1552376906227545</v>
      </c>
      <c r="C1559" t="s">
        <v>40</v>
      </c>
      <c r="D1559">
        <v>4.8995509999999998</v>
      </c>
      <c r="E1559">
        <v>0.49948999999999999</v>
      </c>
      <c r="F1559" t="s">
        <v>42</v>
      </c>
      <c r="G1559">
        <v>-190.9152</v>
      </c>
      <c r="H1559" s="1">
        <v>-2.130839E-6</v>
      </c>
      <c r="I1559">
        <v>303.98849999999999</v>
      </c>
      <c r="J1559">
        <v>-191.57839999999999</v>
      </c>
      <c r="K1559">
        <v>1.1090340000000001</v>
      </c>
      <c r="L1559">
        <v>322.22179999999997</v>
      </c>
      <c r="M1559">
        <v>3.6637839999999998E-2</v>
      </c>
      <c r="N1559">
        <v>0</v>
      </c>
      <c r="O1559">
        <v>-0.99928539999999999</v>
      </c>
      <c r="P1559">
        <v>-4.7542260000000003E-2</v>
      </c>
      <c r="Q1559">
        <v>-1.468685E-2</v>
      </c>
      <c r="R1559">
        <v>-0.99876129999999996</v>
      </c>
      <c r="S1559">
        <v>0.1092987</v>
      </c>
      <c r="T1559">
        <v>-0.18052029999999999</v>
      </c>
      <c r="U1559">
        <v>-3.0061339999999999</v>
      </c>
      <c r="V1559">
        <v>8.4101010000000004E-2</v>
      </c>
      <c r="W1559">
        <v>-5.4685289999999998E-3</v>
      </c>
      <c r="X1559">
        <v>0.9964423</v>
      </c>
      <c r="Y1559">
        <v>3.7027339999999998E-4</v>
      </c>
      <c r="Z1559">
        <v>5.9862680000000001E-2</v>
      </c>
      <c r="AA1559">
        <v>0.99820660000000005</v>
      </c>
      <c r="AB1559">
        <v>23</v>
      </c>
      <c r="AC1559">
        <v>0.66319999999998902</v>
      </c>
      <c r="AD1559">
        <v>-1.109036130839</v>
      </c>
      <c r="AE1559">
        <v>-18.2332999999999</v>
      </c>
      <c r="AF1559">
        <v>5.2833590080435498E-3</v>
      </c>
      <c r="AG1559">
        <v>-1.109036130839</v>
      </c>
      <c r="AH1559">
        <v>18.1781924109724</v>
      </c>
      <c r="AI1559">
        <v>93.491239549509103</v>
      </c>
      <c r="AJ1559">
        <v>89.983347400145902</v>
      </c>
      <c r="AK1559">
        <v>18.211992433111899</v>
      </c>
      <c r="AL1559">
        <v>90.313325171279104</v>
      </c>
      <c r="AM1559">
        <v>85.175596604347504</v>
      </c>
      <c r="AN1559">
        <v>1.0000000709608601</v>
      </c>
    </row>
    <row r="1560" spans="1:40" x14ac:dyDescent="0.25">
      <c r="A1560" t="str">
        <f>"20190312154826258"</f>
        <v>20190312154826258</v>
      </c>
      <c r="B1560" t="str">
        <f>"1552376906247810"</f>
        <v>1552376906247810</v>
      </c>
      <c r="C1560" t="s">
        <v>40</v>
      </c>
      <c r="D1560">
        <v>4.8463599999999998</v>
      </c>
      <c r="E1560">
        <v>0.5048935</v>
      </c>
      <c r="F1560" t="s">
        <v>42</v>
      </c>
      <c r="G1560">
        <v>-192.52879999999999</v>
      </c>
      <c r="H1560" s="1">
        <v>-1.35718E-6</v>
      </c>
      <c r="I1560">
        <v>301.18430000000001</v>
      </c>
      <c r="J1560">
        <v>-191.57089999999999</v>
      </c>
      <c r="K1560">
        <v>1.109003</v>
      </c>
      <c r="L1560">
        <v>322.00409999999999</v>
      </c>
      <c r="M1560">
        <v>3.6266319999999998E-2</v>
      </c>
      <c r="N1560">
        <v>0</v>
      </c>
      <c r="O1560">
        <v>-0.99930189999999997</v>
      </c>
      <c r="P1560">
        <v>-4.7910519999999998E-2</v>
      </c>
      <c r="Q1560">
        <v>-1.460036E-2</v>
      </c>
      <c r="R1560">
        <v>-0.99874510000000005</v>
      </c>
      <c r="S1560">
        <v>-0.13529969999999999</v>
      </c>
      <c r="T1560">
        <v>-0.1578841</v>
      </c>
      <c r="U1560">
        <v>-2.9949340000000002</v>
      </c>
      <c r="V1560">
        <v>8.4097710000000006E-2</v>
      </c>
      <c r="W1560">
        <v>-5.696413E-3</v>
      </c>
      <c r="X1560">
        <v>0.99644120000000003</v>
      </c>
      <c r="Y1560">
        <v>8.1268989999999999E-2</v>
      </c>
      <c r="Z1560">
        <v>5.2478240000000002E-2</v>
      </c>
      <c r="AA1560">
        <v>0.99530969999999996</v>
      </c>
      <c r="AB1560">
        <v>23</v>
      </c>
      <c r="AC1560">
        <v>-0.95789999999999498</v>
      </c>
      <c r="AD1560">
        <v>-1.1090043571799999</v>
      </c>
      <c r="AE1560">
        <v>-20.819799999999901</v>
      </c>
      <c r="AF1560">
        <v>1.7075231023835999</v>
      </c>
      <c r="AG1560">
        <v>-1.1090043571799999</v>
      </c>
      <c r="AH1560">
        <v>20.712716757241701</v>
      </c>
      <c r="AI1560">
        <v>93.054473494102297</v>
      </c>
      <c r="AJ1560">
        <v>85.287284691864301</v>
      </c>
      <c r="AK1560">
        <v>20.812548168716301</v>
      </c>
      <c r="AL1560">
        <v>90.326382198369302</v>
      </c>
      <c r="AM1560">
        <v>85.175779712949094</v>
      </c>
      <c r="AN1560">
        <v>0.99999996950287395</v>
      </c>
    </row>
    <row r="1561" spans="1:40" x14ac:dyDescent="0.25">
      <c r="A1561" t="str">
        <f>"20190312154826280"</f>
        <v>20190312154826280</v>
      </c>
      <c r="B1561" t="str">
        <f>"1552376906277090"</f>
        <v>1552376906277090</v>
      </c>
      <c r="C1561" t="s">
        <v>40</v>
      </c>
      <c r="D1561">
        <v>4.7909230000000003</v>
      </c>
      <c r="E1561">
        <v>0.50625540000000002</v>
      </c>
      <c r="F1561" t="s">
        <v>49</v>
      </c>
      <c r="G1561">
        <v>-192.92920000000001</v>
      </c>
      <c r="H1561" s="1">
        <v>3.9440739999999999E-8</v>
      </c>
      <c r="I1561">
        <v>299.39240000000001</v>
      </c>
      <c r="J1561">
        <v>-191.56319999999999</v>
      </c>
      <c r="K1561">
        <v>1.1089770000000001</v>
      </c>
      <c r="L1561">
        <v>321.78339999999997</v>
      </c>
      <c r="M1561">
        <v>3.5890350000000001E-2</v>
      </c>
      <c r="N1561">
        <v>0</v>
      </c>
      <c r="O1561">
        <v>-0.99931789999999998</v>
      </c>
      <c r="P1561">
        <v>-4.8398579999999997E-2</v>
      </c>
      <c r="Q1561">
        <v>-1.4676389999999999E-2</v>
      </c>
      <c r="R1561">
        <v>-0.99872050000000001</v>
      </c>
      <c r="S1561">
        <v>-0.17979429999999999</v>
      </c>
      <c r="T1561">
        <v>-0.146793799999999</v>
      </c>
      <c r="U1561">
        <v>-2.9930110000000001</v>
      </c>
      <c r="V1561">
        <v>8.4209350000000002E-2</v>
      </c>
      <c r="W1561">
        <v>-6.0594910000000002E-3</v>
      </c>
      <c r="X1561">
        <v>0.99642969999999997</v>
      </c>
      <c r="Y1561">
        <v>9.5680249999999994E-2</v>
      </c>
      <c r="Z1561">
        <v>4.8783050000000001E-2</v>
      </c>
      <c r="AA1561">
        <v>0.99421599999999999</v>
      </c>
      <c r="AB1561">
        <v>23</v>
      </c>
      <c r="AC1561">
        <v>-1.3660000000000101</v>
      </c>
      <c r="AD1561">
        <v>-1.1089769605592501</v>
      </c>
      <c r="AE1561">
        <v>-22.390999999999899</v>
      </c>
      <c r="AF1561">
        <v>2.16348372495569</v>
      </c>
      <c r="AG1561">
        <v>-1.1089769605592501</v>
      </c>
      <c r="AH1561">
        <v>22.273111656255601</v>
      </c>
      <c r="AI1561">
        <v>92.837069143158899</v>
      </c>
      <c r="AJ1561">
        <v>84.452017843107001</v>
      </c>
      <c r="AK1561">
        <v>22.405401013577698</v>
      </c>
      <c r="AL1561">
        <v>90.347185371213996</v>
      </c>
      <c r="AM1561">
        <v>85.169350341583097</v>
      </c>
      <c r="AN1561">
        <v>1.0000000395503399</v>
      </c>
    </row>
    <row r="1562" spans="1:40" x14ac:dyDescent="0.25">
      <c r="A1562" t="str">
        <f>"20190312154826304"</f>
        <v>20190312154826304</v>
      </c>
      <c r="B1562" t="str">
        <f>"1552376906297586"</f>
        <v>1552376906297586</v>
      </c>
      <c r="C1562" t="s">
        <v>40</v>
      </c>
      <c r="D1562">
        <v>4.8296830000000002</v>
      </c>
      <c r="E1562">
        <v>0.50696640000000004</v>
      </c>
      <c r="F1562" t="s">
        <v>49</v>
      </c>
      <c r="G1562">
        <v>-193.04339999999999</v>
      </c>
      <c r="H1562" s="1">
        <v>1.5586239999999999E-7</v>
      </c>
      <c r="I1562">
        <v>298.73129999999998</v>
      </c>
      <c r="J1562">
        <v>-191.55449999999999</v>
      </c>
      <c r="K1562">
        <v>1.1089530000000001</v>
      </c>
      <c r="L1562">
        <v>321.52679999999998</v>
      </c>
      <c r="M1562">
        <v>3.5453510000000001E-2</v>
      </c>
      <c r="N1562">
        <v>0</v>
      </c>
      <c r="O1562">
        <v>-0.99933609999999995</v>
      </c>
      <c r="P1562">
        <v>-4.9181549999999997E-2</v>
      </c>
      <c r="Q1562">
        <v>-1.455744E-2</v>
      </c>
      <c r="R1562">
        <v>-0.99868400000000002</v>
      </c>
      <c r="S1562">
        <v>-0.1921387</v>
      </c>
      <c r="T1562">
        <v>-0.143958</v>
      </c>
      <c r="U1562">
        <v>-2.992432</v>
      </c>
      <c r="V1562">
        <v>8.4554760000000007E-2</v>
      </c>
      <c r="W1562">
        <v>-6.2379990000000001E-3</v>
      </c>
      <c r="X1562">
        <v>0.99639929999999999</v>
      </c>
      <c r="Y1562">
        <v>9.9344379999999996E-2</v>
      </c>
      <c r="Z1562">
        <v>4.7838449999999998E-2</v>
      </c>
      <c r="AA1562">
        <v>0.99390250000000002</v>
      </c>
      <c r="AB1562">
        <v>23</v>
      </c>
      <c r="AC1562">
        <v>-1.4888999999999999</v>
      </c>
      <c r="AD1562">
        <v>-1.1089528441376</v>
      </c>
      <c r="AE1562">
        <v>-22.795500000000001</v>
      </c>
      <c r="AF1562">
        <v>2.2907744872369702</v>
      </c>
      <c r="AG1562">
        <v>-1.1089528441376</v>
      </c>
      <c r="AH1562">
        <v>22.6749445377014</v>
      </c>
      <c r="AI1562">
        <v>92.785749210232396</v>
      </c>
      <c r="AJ1562">
        <v>84.231170487857099</v>
      </c>
      <c r="AK1562">
        <v>22.817329684906799</v>
      </c>
      <c r="AL1562">
        <v>90.357413335975394</v>
      </c>
      <c r="AM1562">
        <v>85.149483038339696</v>
      </c>
      <c r="AN1562">
        <v>0.999999992555335</v>
      </c>
    </row>
    <row r="1563" spans="1:40" x14ac:dyDescent="0.25">
      <c r="A1563" t="str">
        <f>"20190312154826324"</f>
        <v>20190312154826324</v>
      </c>
      <c r="B1563" t="str">
        <f>"1552376906317106"</f>
        <v>1552376906317106</v>
      </c>
      <c r="C1563" t="s">
        <v>40</v>
      </c>
      <c r="D1563">
        <v>4.7933570000000003</v>
      </c>
      <c r="E1563">
        <v>0.5074225</v>
      </c>
      <c r="F1563" t="s">
        <v>49</v>
      </c>
      <c r="G1563">
        <v>-193.12049999999999</v>
      </c>
      <c r="H1563" s="1">
        <v>2.6218570000000001E-7</v>
      </c>
      <c r="I1563">
        <v>298.12759999999997</v>
      </c>
      <c r="J1563">
        <v>-191.54750000000001</v>
      </c>
      <c r="K1563">
        <v>1.108927</v>
      </c>
      <c r="L1563">
        <v>321.31709999999998</v>
      </c>
      <c r="M1563">
        <v>3.5096519999999999E-2</v>
      </c>
      <c r="N1563">
        <v>0</v>
      </c>
      <c r="O1563">
        <v>-0.99935039999999997</v>
      </c>
      <c r="P1563">
        <v>-4.9997100000000003E-2</v>
      </c>
      <c r="Q1563">
        <v>-1.361413E-2</v>
      </c>
      <c r="R1563">
        <v>-0.99865660000000001</v>
      </c>
      <c r="S1563">
        <v>-0.20024110000000001</v>
      </c>
      <c r="T1563">
        <v>-0.1418036</v>
      </c>
      <c r="U1563">
        <v>-2.9920960000000001</v>
      </c>
      <c r="V1563">
        <v>8.50133E-2</v>
      </c>
      <c r="W1563">
        <v>-5.5124419999999898E-3</v>
      </c>
      <c r="X1563">
        <v>0.99636460000000004</v>
      </c>
      <c r="Y1563">
        <v>0.1016779</v>
      </c>
      <c r="Z1563">
        <v>4.7120570000000001E-2</v>
      </c>
      <c r="AA1563">
        <v>0.99370080000000005</v>
      </c>
      <c r="AB1563">
        <v>23</v>
      </c>
      <c r="AC1563">
        <v>-1.57299999999997</v>
      </c>
      <c r="AD1563">
        <v>-1.1089267378143</v>
      </c>
      <c r="AE1563">
        <v>-23.189499999999999</v>
      </c>
      <c r="AF1563">
        <v>2.38051012250896</v>
      </c>
      <c r="AG1563">
        <v>-1.1089267378143</v>
      </c>
      <c r="AH1563">
        <v>23.067495442538501</v>
      </c>
      <c r="AI1563">
        <v>92.737751379364497</v>
      </c>
      <c r="AJ1563">
        <v>84.108069955176006</v>
      </c>
      <c r="AK1563">
        <v>23.216500445690301</v>
      </c>
      <c r="AL1563">
        <v>90.315841250844699</v>
      </c>
      <c r="AM1563">
        <v>85.123136208774497</v>
      </c>
      <c r="AN1563">
        <v>1.0000000321634199</v>
      </c>
    </row>
    <row r="1564" spans="1:40" x14ac:dyDescent="0.25">
      <c r="A1564" t="str">
        <f>"20190312154826348"</f>
        <v>20190312154826348</v>
      </c>
      <c r="B1564" t="str">
        <f>"1552376906337602"</f>
        <v>1552376906337602</v>
      </c>
      <c r="C1564" t="s">
        <v>40</v>
      </c>
      <c r="D1564">
        <v>4.7791880000000004</v>
      </c>
      <c r="E1564">
        <v>0.5075712</v>
      </c>
      <c r="F1564" t="s">
        <v>49</v>
      </c>
      <c r="G1564">
        <v>-193.1824</v>
      </c>
      <c r="H1564" s="1">
        <v>4.2587560000000003E-7</v>
      </c>
      <c r="I1564">
        <v>297.60250000000002</v>
      </c>
      <c r="J1564">
        <v>-191.5394</v>
      </c>
      <c r="K1564">
        <v>1.1089059999999999</v>
      </c>
      <c r="L1564">
        <v>321.07499999999999</v>
      </c>
      <c r="M1564">
        <v>3.4684189999999997E-2</v>
      </c>
      <c r="N1564">
        <v>0</v>
      </c>
      <c r="O1564">
        <v>-0.9993668</v>
      </c>
      <c r="P1564">
        <v>-5.0884749999999999E-2</v>
      </c>
      <c r="Q1564">
        <v>-1.3099990000000001E-2</v>
      </c>
      <c r="R1564">
        <v>-0.99861880000000003</v>
      </c>
      <c r="S1564">
        <v>-0.20626829999999999</v>
      </c>
      <c r="T1564">
        <v>-0.13990150000000001</v>
      </c>
      <c r="U1564">
        <v>-2.9918209999999998</v>
      </c>
      <c r="V1564">
        <v>8.5488110000000006E-2</v>
      </c>
      <c r="W1564">
        <v>-5.2250400000000002E-3</v>
      </c>
      <c r="X1564">
        <v>0.99632549999999998</v>
      </c>
      <c r="Y1564">
        <v>0.103268</v>
      </c>
      <c r="Z1564">
        <v>4.6488170000000002E-2</v>
      </c>
      <c r="AA1564">
        <v>0.99356659999999997</v>
      </c>
      <c r="AB1564">
        <v>23</v>
      </c>
      <c r="AC1564">
        <v>-1.643</v>
      </c>
      <c r="AD1564">
        <v>-1.1089055741243901</v>
      </c>
      <c r="AE1564">
        <v>-23.472499999999901</v>
      </c>
      <c r="AF1564">
        <v>2.4507186434732899</v>
      </c>
      <c r="AG1564">
        <v>-1.1089055741243901</v>
      </c>
      <c r="AH1564">
        <v>23.349529102899201</v>
      </c>
      <c r="AI1564">
        <v>92.704191114314895</v>
      </c>
      <c r="AJ1564">
        <v>84.008290232956199</v>
      </c>
      <c r="AK1564">
        <v>23.503961427149498</v>
      </c>
      <c r="AL1564">
        <v>90.299374099016205</v>
      </c>
      <c r="AM1564">
        <v>85.095839259784498</v>
      </c>
      <c r="AN1564">
        <v>1.0000000099723101</v>
      </c>
    </row>
    <row r="1565" spans="1:40" x14ac:dyDescent="0.25">
      <c r="A1565" t="str">
        <f>"20190312154826369"</f>
        <v>20190312154826369</v>
      </c>
      <c r="B1565" t="str">
        <f>"1552376906367841"</f>
        <v>1552376906367841</v>
      </c>
      <c r="C1565" t="s">
        <v>40</v>
      </c>
      <c r="D1565">
        <v>4.8172290000000002</v>
      </c>
      <c r="E1565">
        <v>0.50778500000000004</v>
      </c>
      <c r="F1565" t="s">
        <v>49</v>
      </c>
      <c r="G1565">
        <v>-193.2296</v>
      </c>
      <c r="H1565" s="1">
        <v>6.3205890000000004E-7</v>
      </c>
      <c r="I1565">
        <v>297.00740000000002</v>
      </c>
      <c r="J1565">
        <v>-191.5317</v>
      </c>
      <c r="K1565">
        <v>1.108881</v>
      </c>
      <c r="L1565">
        <v>320.8399</v>
      </c>
      <c r="M1565">
        <v>3.4284130000000003E-2</v>
      </c>
      <c r="N1565">
        <v>0</v>
      </c>
      <c r="O1565">
        <v>-0.99938210000000005</v>
      </c>
      <c r="P1565">
        <v>-5.1234990000000001E-2</v>
      </c>
      <c r="Q1565">
        <v>-1.311296E-2</v>
      </c>
      <c r="R1565">
        <v>-0.99860099999999996</v>
      </c>
      <c r="S1565">
        <v>-0.21008299999999999</v>
      </c>
      <c r="T1565">
        <v>-0.1378374</v>
      </c>
      <c r="U1565">
        <v>-2.9916079999999998</v>
      </c>
      <c r="V1565">
        <v>8.5438509999999995E-2</v>
      </c>
      <c r="W1565">
        <v>-5.4310039999999997E-3</v>
      </c>
      <c r="X1565">
        <v>0.99632869999999996</v>
      </c>
      <c r="Y1565">
        <v>0.1041377</v>
      </c>
      <c r="Z1565">
        <v>4.5803839999999998E-2</v>
      </c>
      <c r="AA1565">
        <v>0.99350760000000005</v>
      </c>
      <c r="AB1565">
        <v>24</v>
      </c>
      <c r="AC1565">
        <v>-1.6979</v>
      </c>
      <c r="AD1565">
        <v>-1.1088803679410999</v>
      </c>
      <c r="AE1565">
        <v>-23.8324999999999</v>
      </c>
      <c r="AF1565">
        <v>2.5085994916902998</v>
      </c>
      <c r="AG1565">
        <v>-1.1088803679410999</v>
      </c>
      <c r="AH1565">
        <v>23.7092079300023</v>
      </c>
      <c r="AI1565">
        <v>92.662931134158498</v>
      </c>
      <c r="AJ1565">
        <v>83.960179016229503</v>
      </c>
      <c r="AK1565">
        <v>23.867325525667798</v>
      </c>
      <c r="AL1565">
        <v>90.311175119839504</v>
      </c>
      <c r="AM1565">
        <v>85.098686442607004</v>
      </c>
      <c r="AN1565">
        <v>1.0000000566195699</v>
      </c>
    </row>
    <row r="1566" spans="1:40" x14ac:dyDescent="0.25">
      <c r="A1566" t="str">
        <f>"20190312154826393"</f>
        <v>20190312154826393</v>
      </c>
      <c r="B1566" t="str">
        <f>"1552376906387361"</f>
        <v>1552376906387361</v>
      </c>
      <c r="C1566" t="s">
        <v>40</v>
      </c>
      <c r="D1566">
        <v>4.8457520000000001</v>
      </c>
      <c r="E1566">
        <v>0.50785210000000003</v>
      </c>
      <c r="F1566" t="s">
        <v>49</v>
      </c>
      <c r="G1566">
        <v>-193.2475</v>
      </c>
      <c r="H1566" s="1">
        <v>7.2917180000000003E-7</v>
      </c>
      <c r="I1566">
        <v>296.72820000000002</v>
      </c>
      <c r="J1566">
        <v>-191.52359999999999</v>
      </c>
      <c r="K1566">
        <v>1.108865</v>
      </c>
      <c r="L1566">
        <v>320.58800000000002</v>
      </c>
      <c r="M1566">
        <v>3.3855450000000002E-2</v>
      </c>
      <c r="N1566">
        <v>0</v>
      </c>
      <c r="O1566">
        <v>-0.99939809999999996</v>
      </c>
      <c r="P1566">
        <v>-5.18623E-2</v>
      </c>
      <c r="Q1566">
        <v>-1.3204260000000001E-2</v>
      </c>
      <c r="R1566">
        <v>-0.99856730000000005</v>
      </c>
      <c r="S1566">
        <v>-0.21287539999999999</v>
      </c>
      <c r="T1566">
        <v>-0.13757920000000001</v>
      </c>
      <c r="U1566">
        <v>-2.9915470000000002</v>
      </c>
      <c r="V1566">
        <v>8.5636740000000003E-2</v>
      </c>
      <c r="W1566">
        <v>-5.701734E-3</v>
      </c>
      <c r="X1566">
        <v>0.99631009999999998</v>
      </c>
      <c r="Y1566">
        <v>0.10463550000000001</v>
      </c>
      <c r="Z1566">
        <v>4.5717460000000001E-2</v>
      </c>
      <c r="AA1566">
        <v>0.99345930000000005</v>
      </c>
      <c r="AB1566">
        <v>24</v>
      </c>
      <c r="AC1566">
        <v>-1.72390000000001</v>
      </c>
      <c r="AD1566">
        <v>-1.1088642708281999</v>
      </c>
      <c r="AE1566">
        <v>-23.8597999999999</v>
      </c>
      <c r="AF1566">
        <v>2.5252931639130298</v>
      </c>
      <c r="AG1566">
        <v>-1.1088642708281999</v>
      </c>
      <c r="AH1566">
        <v>23.736754724308799</v>
      </c>
      <c r="AI1566">
        <v>92.659644901255305</v>
      </c>
      <c r="AJ1566">
        <v>83.927289421203596</v>
      </c>
      <c r="AK1566">
        <v>23.896447651833501</v>
      </c>
      <c r="AL1566">
        <v>90.326687068069205</v>
      </c>
      <c r="AM1566">
        <v>85.087278992738504</v>
      </c>
      <c r="AN1566">
        <v>0.99999998818522196</v>
      </c>
    </row>
    <row r="1567" spans="1:40" x14ac:dyDescent="0.25">
      <c r="A1567" t="str">
        <f>"20190312154826416"</f>
        <v>20190312154826416</v>
      </c>
      <c r="B1567" t="str">
        <f>"1552376906407857"</f>
        <v>1552376906407857</v>
      </c>
      <c r="C1567" t="s">
        <v>40</v>
      </c>
      <c r="D1567">
        <v>4.8457670000000004</v>
      </c>
      <c r="E1567">
        <v>0.50795779999999902</v>
      </c>
      <c r="F1567" t="s">
        <v>49</v>
      </c>
      <c r="G1567">
        <v>-193.25710000000001</v>
      </c>
      <c r="H1567" s="1">
        <v>8.1472929999999999E-7</v>
      </c>
      <c r="I1567">
        <v>296.48379999999997</v>
      </c>
      <c r="J1567">
        <v>-191.51580000000001</v>
      </c>
      <c r="K1567">
        <v>1.1088530000000001</v>
      </c>
      <c r="L1567">
        <v>320.3449</v>
      </c>
      <c r="M1567">
        <v>3.3442140000000002E-2</v>
      </c>
      <c r="N1567">
        <v>0</v>
      </c>
      <c r="O1567">
        <v>-0.99941310000000005</v>
      </c>
      <c r="P1567">
        <v>-5.218536E-2</v>
      </c>
      <c r="Q1567">
        <v>-1.3729079999999999E-2</v>
      </c>
      <c r="R1567">
        <v>-0.99854339999999997</v>
      </c>
      <c r="S1567">
        <v>-0.21513370000000001</v>
      </c>
      <c r="T1567">
        <v>-0.1376086</v>
      </c>
      <c r="U1567">
        <v>-2.9913020000000001</v>
      </c>
      <c r="V1567">
        <v>8.5546289999999997E-2</v>
      </c>
      <c r="W1567">
        <v>-6.3760090000000002E-3</v>
      </c>
      <c r="X1567">
        <v>0.99631380000000003</v>
      </c>
      <c r="Y1567">
        <v>0.1049761</v>
      </c>
      <c r="Z1567">
        <v>4.5729850000000002E-2</v>
      </c>
      <c r="AA1567">
        <v>0.99342269999999999</v>
      </c>
      <c r="AB1567">
        <v>24</v>
      </c>
      <c r="AC1567">
        <v>-1.7412999999999901</v>
      </c>
      <c r="AD1567">
        <v>-1.1088521852707001</v>
      </c>
      <c r="AE1567">
        <v>-23.8611</v>
      </c>
      <c r="AF1567">
        <v>2.5328732526568101</v>
      </c>
      <c r="AG1567">
        <v>-1.1088521852707001</v>
      </c>
      <c r="AH1567">
        <v>23.7385249482384</v>
      </c>
      <c r="AI1567">
        <v>92.659330796748193</v>
      </c>
      <c r="AJ1567">
        <v>83.909648770297807</v>
      </c>
      <c r="AK1567">
        <v>23.899007653058401</v>
      </c>
      <c r="AL1567">
        <v>90.365320879429703</v>
      </c>
      <c r="AM1567">
        <v>85.092460617550103</v>
      </c>
      <c r="AN1567">
        <v>1.0000000046469799</v>
      </c>
    </row>
    <row r="1568" spans="1:40" x14ac:dyDescent="0.25">
      <c r="A1568" t="str">
        <f>"20190312154826438"</f>
        <v>20190312154826438</v>
      </c>
      <c r="B1568" t="str">
        <f>"1552376906427377"</f>
        <v>1552376906427377</v>
      </c>
      <c r="C1568" t="s">
        <v>40</v>
      </c>
      <c r="D1568">
        <v>4.8074599999999998</v>
      </c>
      <c r="E1568">
        <v>0.51130379999999997</v>
      </c>
      <c r="F1568" t="s">
        <v>49</v>
      </c>
      <c r="G1568">
        <v>-193.25370000000001</v>
      </c>
      <c r="H1568" s="1">
        <v>8.4620289999999998E-7</v>
      </c>
      <c r="I1568">
        <v>296.3956</v>
      </c>
      <c r="J1568">
        <v>-191.50829999999999</v>
      </c>
      <c r="K1568">
        <v>1.1088370000000001</v>
      </c>
      <c r="L1568">
        <v>320.10910000000001</v>
      </c>
      <c r="M1568">
        <v>3.3041399999999999E-2</v>
      </c>
      <c r="N1568">
        <v>0</v>
      </c>
      <c r="O1568">
        <v>-0.99942710000000001</v>
      </c>
      <c r="P1568">
        <v>-5.2862069999999997E-2</v>
      </c>
      <c r="Q1568">
        <v>-1.37398E-2</v>
      </c>
      <c r="R1568">
        <v>-0.99850749999999999</v>
      </c>
      <c r="S1568">
        <v>-0.21705630000000001</v>
      </c>
      <c r="T1568">
        <v>-0.13848840000000001</v>
      </c>
      <c r="U1568">
        <v>-2.9911189999999999</v>
      </c>
      <c r="V1568">
        <v>8.5821809999999998E-2</v>
      </c>
      <c r="W1568">
        <v>-6.5103349999999999E-3</v>
      </c>
      <c r="X1568">
        <v>0.99628930000000004</v>
      </c>
      <c r="Y1568">
        <v>0.1052159</v>
      </c>
      <c r="Z1568">
        <v>4.6023660000000001E-2</v>
      </c>
      <c r="AA1568">
        <v>0.99338380000000004</v>
      </c>
      <c r="AB1568">
        <v>24</v>
      </c>
      <c r="AC1568">
        <v>-1.7454000000000101</v>
      </c>
      <c r="AD1568">
        <v>-1.1088361537971001</v>
      </c>
      <c r="AE1568">
        <v>-23.7135</v>
      </c>
      <c r="AF1568">
        <v>2.5225095526583399</v>
      </c>
      <c r="AG1568">
        <v>-1.1088361537971001</v>
      </c>
      <c r="AH1568">
        <v>23.591575021421999</v>
      </c>
      <c r="AI1568">
        <v>92.675769331463798</v>
      </c>
      <c r="AJ1568">
        <v>83.896884426925197</v>
      </c>
      <c r="AK1568">
        <v>23.751946952841699</v>
      </c>
      <c r="AL1568">
        <v>90.373017328251294</v>
      </c>
      <c r="AM1568">
        <v>85.076611932843903</v>
      </c>
      <c r="AN1568">
        <v>1.00000006841398</v>
      </c>
    </row>
    <row r="1569" spans="1:40" x14ac:dyDescent="0.25">
      <c r="A1569" t="str">
        <f>"20190312154826459"</f>
        <v>20190312154826459</v>
      </c>
      <c r="B1569" t="str">
        <f>"1552376906447873"</f>
        <v>1552376906447873</v>
      </c>
      <c r="C1569" t="s">
        <v>40</v>
      </c>
      <c r="D1569">
        <v>4.8475199999999896</v>
      </c>
      <c r="E1569">
        <v>0.510575</v>
      </c>
      <c r="F1569" t="s">
        <v>49</v>
      </c>
      <c r="G1569">
        <v>-194.83179999999999</v>
      </c>
      <c r="H1569" s="1">
        <v>3.5198300000000001E-6</v>
      </c>
      <c r="I1569">
        <v>279.89999999999998</v>
      </c>
      <c r="J1569">
        <v>-191.50110000000001</v>
      </c>
      <c r="K1569">
        <v>1.108833</v>
      </c>
      <c r="L1569">
        <v>319.8775</v>
      </c>
      <c r="M1569">
        <v>3.2648080000000003E-2</v>
      </c>
      <c r="N1569">
        <v>0</v>
      </c>
      <c r="O1569">
        <v>-0.99944100000000002</v>
      </c>
      <c r="P1569">
        <v>-5.3335849999999997E-2</v>
      </c>
      <c r="Q1569">
        <v>-1.314687E-2</v>
      </c>
      <c r="R1569">
        <v>-0.99849019999999999</v>
      </c>
      <c r="S1569">
        <v>-0.24716189999999999</v>
      </c>
      <c r="T1569">
        <v>-8.2461709999999994E-2</v>
      </c>
      <c r="U1569">
        <v>-2.990265</v>
      </c>
      <c r="V1569">
        <v>8.5902999999999993E-2</v>
      </c>
      <c r="W1569">
        <v>-6.0142329999999999E-3</v>
      </c>
      <c r="X1569">
        <v>0.99628539999999999</v>
      </c>
      <c r="Y1569">
        <v>0.1148377</v>
      </c>
      <c r="Z1569">
        <v>2.740631E-2</v>
      </c>
      <c r="AA1569">
        <v>0.99300619999999995</v>
      </c>
      <c r="AB1569">
        <v>24</v>
      </c>
      <c r="AC1569">
        <v>-3.33069999999997</v>
      </c>
      <c r="AD1569">
        <v>-1.10882948017</v>
      </c>
      <c r="AE1569">
        <v>-39.977499999999999</v>
      </c>
      <c r="AF1569">
        <v>4.6306089691589101</v>
      </c>
      <c r="AG1569">
        <v>-1.10882948017</v>
      </c>
      <c r="AH1569">
        <v>39.817023229267598</v>
      </c>
      <c r="AI1569">
        <v>91.584494124079001</v>
      </c>
      <c r="AJ1569">
        <v>83.366459528733003</v>
      </c>
      <c r="AK1569">
        <v>40.100715468447497</v>
      </c>
      <c r="AL1569">
        <v>90.344592228993903</v>
      </c>
      <c r="AM1569">
        <v>85.071957990653999</v>
      </c>
      <c r="AN1569">
        <v>1.0000000473303601</v>
      </c>
    </row>
    <row r="1570" spans="1:40" x14ac:dyDescent="0.25">
      <c r="A1570" t="str">
        <f>"20190312154826482"</f>
        <v>20190312154826482</v>
      </c>
      <c r="B1570" t="str">
        <f>"1552376906477152"</f>
        <v>1552376906477152</v>
      </c>
      <c r="C1570" t="s">
        <v>40</v>
      </c>
      <c r="D1570">
        <v>4.8262080000000003</v>
      </c>
      <c r="E1570">
        <v>0.51027489999999998</v>
      </c>
      <c r="F1570" t="s">
        <v>49</v>
      </c>
      <c r="G1570">
        <v>-194.44470000000001</v>
      </c>
      <c r="H1570" s="1">
        <v>3.2641889999999999E-6</v>
      </c>
      <c r="I1570">
        <v>283.60969999999998</v>
      </c>
      <c r="J1570">
        <v>-191.49350000000001</v>
      </c>
      <c r="K1570">
        <v>1.1088279999999999</v>
      </c>
      <c r="L1570">
        <v>319.63130000000001</v>
      </c>
      <c r="M1570">
        <v>3.2230340000000003E-2</v>
      </c>
      <c r="N1570">
        <v>0</v>
      </c>
      <c r="O1570">
        <v>-0.99945499999999998</v>
      </c>
      <c r="P1570">
        <v>-5.424764E-2</v>
      </c>
      <c r="Q1570">
        <v>-1.367588E-2</v>
      </c>
      <c r="R1570">
        <v>-0.99843389999999999</v>
      </c>
      <c r="S1570">
        <v>-0.24270630000000001</v>
      </c>
      <c r="T1570">
        <v>-9.1425179999999995E-2</v>
      </c>
      <c r="U1570">
        <v>-2.9903559999999998</v>
      </c>
      <c r="V1570">
        <v>8.6395639999999996E-2</v>
      </c>
      <c r="W1570">
        <v>-6.6168499999999996E-3</v>
      </c>
      <c r="X1570">
        <v>0.99623890000000004</v>
      </c>
      <c r="Y1570">
        <v>0.1129431</v>
      </c>
      <c r="Z1570">
        <v>3.0387549999999999E-2</v>
      </c>
      <c r="AA1570">
        <v>0.99313669999999998</v>
      </c>
      <c r="AB1570">
        <v>24</v>
      </c>
      <c r="AC1570">
        <v>-2.9512</v>
      </c>
      <c r="AD1570">
        <v>-1.1088247358109999</v>
      </c>
      <c r="AE1570">
        <v>-36.021599999999999</v>
      </c>
      <c r="AF1570">
        <v>4.1068191967088001</v>
      </c>
      <c r="AG1570">
        <v>-1.1088247358109999</v>
      </c>
      <c r="AH1570">
        <v>35.873998478547399</v>
      </c>
      <c r="AI1570">
        <v>91.758903332084202</v>
      </c>
      <c r="AJ1570">
        <v>83.469267245938894</v>
      </c>
      <c r="AK1570">
        <v>36.125326615105202</v>
      </c>
      <c r="AL1570">
        <v>90.379120357477007</v>
      </c>
      <c r="AM1570">
        <v>85.043606645329305</v>
      </c>
      <c r="AN1570">
        <v>0.99999996759406995</v>
      </c>
    </row>
    <row r="1571" spans="1:40" x14ac:dyDescent="0.25">
      <c r="A1571" t="str">
        <f>"20190312154826506"</f>
        <v>20190312154826506</v>
      </c>
      <c r="B1571" t="str">
        <f>"1552376906497649"</f>
        <v>1552376906497649</v>
      </c>
      <c r="C1571" t="s">
        <v>40</v>
      </c>
      <c r="D1571">
        <v>4.853504</v>
      </c>
      <c r="E1571">
        <v>0.53537400000000002</v>
      </c>
      <c r="F1571" t="s">
        <v>49</v>
      </c>
      <c r="G1571">
        <v>-194.45160000000001</v>
      </c>
      <c r="H1571" s="1">
        <v>3.2941860000000002E-6</v>
      </c>
      <c r="I1571">
        <v>283.2525</v>
      </c>
      <c r="J1571">
        <v>-191.48580000000001</v>
      </c>
      <c r="K1571">
        <v>1.108832</v>
      </c>
      <c r="L1571">
        <v>319.37889999999999</v>
      </c>
      <c r="M1571">
        <v>3.1802360000000002E-2</v>
      </c>
      <c r="N1571">
        <v>0</v>
      </c>
      <c r="O1571">
        <v>-0.9994691</v>
      </c>
      <c r="P1571">
        <v>-5.4994519999999998E-2</v>
      </c>
      <c r="Q1571">
        <v>-1.4433730000000001E-2</v>
      </c>
      <c r="R1571">
        <v>-0.99838269999999996</v>
      </c>
      <c r="S1571">
        <v>-0.2431488</v>
      </c>
      <c r="T1571">
        <v>-9.1142180000000003E-2</v>
      </c>
      <c r="U1571">
        <v>-2.9902340000000001</v>
      </c>
      <c r="V1571">
        <v>8.6713349999999995E-2</v>
      </c>
      <c r="W1571">
        <v>-7.4137480000000004E-3</v>
      </c>
      <c r="X1571">
        <v>0.99620569999999997</v>
      </c>
      <c r="Y1571">
        <v>0.11266710000000001</v>
      </c>
      <c r="Z1571">
        <v>3.0295720000000002E-2</v>
      </c>
      <c r="AA1571">
        <v>0.99317089999999997</v>
      </c>
      <c r="AB1571">
        <v>24</v>
      </c>
      <c r="AC1571">
        <v>-2.9658000000000002</v>
      </c>
      <c r="AD1571">
        <v>-1.1088287058140001</v>
      </c>
      <c r="AE1571">
        <v>-36.126399999999897</v>
      </c>
      <c r="AF1571">
        <v>4.1093879481102604</v>
      </c>
      <c r="AG1571">
        <v>-1.1088287058140001</v>
      </c>
      <c r="AH1571">
        <v>35.980135107169701</v>
      </c>
      <c r="AI1571">
        <v>91.753777001199893</v>
      </c>
      <c r="AJ1571">
        <v>83.484328430883707</v>
      </c>
      <c r="AK1571">
        <v>36.231018378415698</v>
      </c>
      <c r="AL1571">
        <v>90.424780369421597</v>
      </c>
      <c r="AM1571">
        <v>85.025306419921293</v>
      </c>
      <c r="AN1571">
        <v>0.99999998272005897</v>
      </c>
    </row>
    <row r="1572" spans="1:40" x14ac:dyDescent="0.25">
      <c r="A1572" t="str">
        <f>"20190312154826526"</f>
        <v>20190312154826526</v>
      </c>
      <c r="B1572" t="str">
        <f>"1552376906517170"</f>
        <v>1552376906517170</v>
      </c>
      <c r="C1572" t="s">
        <v>40</v>
      </c>
      <c r="D1572">
        <v>4.8347720000000001</v>
      </c>
      <c r="E1572">
        <v>0.53834839999999995</v>
      </c>
      <c r="F1572" t="s">
        <v>49</v>
      </c>
      <c r="G1572">
        <v>-196.04640000000001</v>
      </c>
      <c r="H1572" s="1">
        <v>2.522946E-6</v>
      </c>
      <c r="I1572">
        <v>288.83870000000002</v>
      </c>
      <c r="J1572">
        <v>-191.47900000000001</v>
      </c>
      <c r="K1572">
        <v>1.1088260000000001</v>
      </c>
      <c r="L1572">
        <v>319.15039999999999</v>
      </c>
      <c r="M1572">
        <v>3.1415199999999997E-2</v>
      </c>
      <c r="N1572">
        <v>0</v>
      </c>
      <c r="O1572">
        <v>-0.99948130000000002</v>
      </c>
      <c r="P1572">
        <v>-5.5473889999999998E-2</v>
      </c>
      <c r="Q1572">
        <v>-1.517809E-2</v>
      </c>
      <c r="R1572">
        <v>-0.99834500000000004</v>
      </c>
      <c r="S1572">
        <v>-0.4448242</v>
      </c>
      <c r="T1572">
        <v>-0.1081526</v>
      </c>
      <c r="U1572">
        <v>-2.9788209999999999</v>
      </c>
      <c r="V1572">
        <v>8.6804850000000003E-2</v>
      </c>
      <c r="W1572">
        <v>-8.1611800000000005E-3</v>
      </c>
      <c r="X1572">
        <v>0.99619190000000002</v>
      </c>
      <c r="Y1572">
        <v>0.17859520000000001</v>
      </c>
      <c r="Z1572">
        <v>3.5766680000000002E-2</v>
      </c>
      <c r="AA1572">
        <v>0.98327229999999999</v>
      </c>
      <c r="AB1572">
        <v>24</v>
      </c>
      <c r="AC1572">
        <v>-4.5673999999999904</v>
      </c>
      <c r="AD1572">
        <v>-1.108823477054</v>
      </c>
      <c r="AE1572">
        <v>-30.311699999999899</v>
      </c>
      <c r="AF1572">
        <v>5.51020776248044</v>
      </c>
      <c r="AG1572">
        <v>-1.108823477054</v>
      </c>
      <c r="AH1572">
        <v>30.113846462933299</v>
      </c>
      <c r="AI1572">
        <v>92.074329188985502</v>
      </c>
      <c r="AJ1572">
        <v>79.630773538659696</v>
      </c>
      <c r="AK1572">
        <v>30.633896713968401</v>
      </c>
      <c r="AL1572">
        <v>90.467606363450003</v>
      </c>
      <c r="AM1572">
        <v>85.020014863518995</v>
      </c>
      <c r="AN1572">
        <v>0.99999999423406205</v>
      </c>
    </row>
    <row r="1573" spans="1:40" x14ac:dyDescent="0.25">
      <c r="A1573" t="str">
        <f>"20190312154826549"</f>
        <v>20190312154826549</v>
      </c>
      <c r="B1573" t="str">
        <f>"1552376906537665"</f>
        <v>1552376906537665</v>
      </c>
      <c r="C1573" t="s">
        <v>40</v>
      </c>
      <c r="D1573">
        <v>4.8008800000000003</v>
      </c>
      <c r="E1573">
        <v>0.53997810000000002</v>
      </c>
      <c r="F1573" t="s">
        <v>49</v>
      </c>
      <c r="G1573">
        <v>-195.83860000000001</v>
      </c>
      <c r="H1573" s="1">
        <v>1.819441E-6</v>
      </c>
      <c r="I1573">
        <v>291.51839999999999</v>
      </c>
      <c r="J1573">
        <v>-191.4716</v>
      </c>
      <c r="K1573">
        <v>1.1088279999999999</v>
      </c>
      <c r="L1573">
        <v>318.90199999999999</v>
      </c>
      <c r="M1573">
        <v>3.099416E-2</v>
      </c>
      <c r="N1573">
        <v>0</v>
      </c>
      <c r="O1573">
        <v>-0.99949410000000005</v>
      </c>
      <c r="P1573">
        <v>-5.6182509999999998E-2</v>
      </c>
      <c r="Q1573">
        <v>-1.525697E-2</v>
      </c>
      <c r="R1573">
        <v>-0.99830390000000002</v>
      </c>
      <c r="S1573">
        <v>-0.469696</v>
      </c>
      <c r="T1573">
        <v>-0.119463899999999</v>
      </c>
      <c r="U1573">
        <v>-2.9770509999999999</v>
      </c>
      <c r="V1573">
        <v>8.7092210000000003E-2</v>
      </c>
      <c r="W1573">
        <v>-8.2241280000000007E-3</v>
      </c>
      <c r="X1573">
        <v>0.99616629999999995</v>
      </c>
      <c r="Y1573">
        <v>0.18626419999999999</v>
      </c>
      <c r="Z1573">
        <v>3.9472470000000003E-2</v>
      </c>
      <c r="AA1573">
        <v>0.98170639999999998</v>
      </c>
      <c r="AB1573">
        <v>24</v>
      </c>
      <c r="AC1573">
        <v>-4.3670000000000098</v>
      </c>
      <c r="AD1573">
        <v>-1.1088261805589901</v>
      </c>
      <c r="AE1573">
        <v>-27.383600000000001</v>
      </c>
      <c r="AF1573">
        <v>5.2053319775783002</v>
      </c>
      <c r="AG1573">
        <v>-1.1088261805589901</v>
      </c>
      <c r="AH1573">
        <v>27.191609940877399</v>
      </c>
      <c r="AI1573">
        <v>92.293527135628693</v>
      </c>
      <c r="AJ1573">
        <v>79.162889906784798</v>
      </c>
      <c r="AK1573">
        <v>27.707555425773599</v>
      </c>
      <c r="AL1573">
        <v>90.471213139689795</v>
      </c>
      <c r="AM1573">
        <v>85.003484613963494</v>
      </c>
      <c r="AN1573">
        <v>0.999999993289867</v>
      </c>
    </row>
    <row r="1574" spans="1:40" x14ac:dyDescent="0.25">
      <c r="A1574" t="str">
        <f>"20190312154826571"</f>
        <v>20190312154826571</v>
      </c>
      <c r="B1574" t="str">
        <f>"1552376906567375"</f>
        <v>1552376906567375</v>
      </c>
      <c r="C1574" t="s">
        <v>40</v>
      </c>
      <c r="D1574">
        <v>4.8121780000000003</v>
      </c>
      <c r="E1574">
        <v>0.54100039999999905</v>
      </c>
      <c r="F1574" t="s">
        <v>49</v>
      </c>
      <c r="G1574">
        <v>-195.816</v>
      </c>
      <c r="H1574" s="1">
        <v>1.6701459999999999E-6</v>
      </c>
      <c r="I1574">
        <v>292.21879999999999</v>
      </c>
      <c r="J1574">
        <v>-191.4648</v>
      </c>
      <c r="K1574">
        <v>1.1088370000000001</v>
      </c>
      <c r="L1574">
        <v>318.66570000000002</v>
      </c>
      <c r="M1574">
        <v>3.059373E-2</v>
      </c>
      <c r="N1574">
        <v>0</v>
      </c>
      <c r="O1574">
        <v>-0.99950640000000002</v>
      </c>
      <c r="P1574">
        <v>-5.6759230000000001E-2</v>
      </c>
      <c r="Q1574">
        <v>-1.511733E-2</v>
      </c>
      <c r="R1574">
        <v>-0.99827359999999998</v>
      </c>
      <c r="S1574">
        <v>-0.4845276</v>
      </c>
      <c r="T1574">
        <v>-0.1236664</v>
      </c>
      <c r="U1574">
        <v>-2.9759519999999999</v>
      </c>
      <c r="V1574">
        <v>8.7268730000000003E-2</v>
      </c>
      <c r="W1574">
        <v>-8.0513570000000003E-3</v>
      </c>
      <c r="X1574">
        <v>0.99615229999999999</v>
      </c>
      <c r="Y1574">
        <v>0.19068560000000001</v>
      </c>
      <c r="Z1574">
        <v>4.084086E-2</v>
      </c>
      <c r="AA1574">
        <v>0.98080120000000004</v>
      </c>
      <c r="AB1574">
        <v>24</v>
      </c>
      <c r="AC1574">
        <v>-4.3511999999999702</v>
      </c>
      <c r="AD1574">
        <v>-1.1088353298539999</v>
      </c>
      <c r="AE1574">
        <v>-26.446899999999999</v>
      </c>
      <c r="AF1574">
        <v>5.1494795529328599</v>
      </c>
      <c r="AG1574">
        <v>-1.1088353298539999</v>
      </c>
      <c r="AH1574">
        <v>26.256458034122101</v>
      </c>
      <c r="AI1574">
        <v>92.373063677517493</v>
      </c>
      <c r="AJ1574">
        <v>78.903851087256001</v>
      </c>
      <c r="AK1574">
        <v>26.779623670851301</v>
      </c>
      <c r="AL1574">
        <v>90.461313745677799</v>
      </c>
      <c r="AM1574">
        <v>84.993339004447904</v>
      </c>
      <c r="AN1574">
        <v>1.00000003019032</v>
      </c>
    </row>
    <row r="1575" spans="1:40" x14ac:dyDescent="0.25">
      <c r="A1575" t="str">
        <f>"20190312154826593"</f>
        <v>20190312154826593</v>
      </c>
      <c r="B1575" t="str">
        <f>"1552376906587871"</f>
        <v>1552376906587871</v>
      </c>
      <c r="C1575" t="s">
        <v>40</v>
      </c>
      <c r="D1575">
        <v>4.7832600000000003</v>
      </c>
      <c r="E1575">
        <v>0.54143929999999996</v>
      </c>
      <c r="F1575" t="s">
        <v>49</v>
      </c>
      <c r="G1575">
        <v>-195.86580000000001</v>
      </c>
      <c r="H1575" s="1">
        <v>1.671377E-6</v>
      </c>
      <c r="I1575">
        <v>292.18680000000001</v>
      </c>
      <c r="J1575">
        <v>-191.45760000000001</v>
      </c>
      <c r="K1575">
        <v>1.108851</v>
      </c>
      <c r="L1575">
        <v>318.41699999999997</v>
      </c>
      <c r="M1575">
        <v>3.0172439999999998E-2</v>
      </c>
      <c r="N1575">
        <v>0</v>
      </c>
      <c r="O1575">
        <v>-0.99951880000000004</v>
      </c>
      <c r="P1575">
        <v>-5.732222E-2</v>
      </c>
      <c r="Q1575">
        <v>-1.472935E-2</v>
      </c>
      <c r="R1575">
        <v>-0.99824740000000001</v>
      </c>
      <c r="S1575">
        <v>-0.49450680000000002</v>
      </c>
      <c r="T1575">
        <v>-0.1245909</v>
      </c>
      <c r="U1575">
        <v>-2.9752200000000002</v>
      </c>
      <c r="V1575">
        <v>8.741111E-2</v>
      </c>
      <c r="W1575">
        <v>-7.6024909999999899E-3</v>
      </c>
      <c r="X1575">
        <v>0.99614329999999995</v>
      </c>
      <c r="Y1575">
        <v>0.1935104</v>
      </c>
      <c r="Z1575">
        <v>4.113381E-2</v>
      </c>
      <c r="AA1575">
        <v>0.98023559999999998</v>
      </c>
      <c r="AB1575">
        <v>25</v>
      </c>
      <c r="AC1575">
        <v>-4.4081999999999901</v>
      </c>
      <c r="AD1575">
        <v>-1.1088493286229999</v>
      </c>
      <c r="AE1575">
        <v>-26.2302</v>
      </c>
      <c r="AF1575">
        <v>5.1886247616300603</v>
      </c>
      <c r="AG1575">
        <v>-1.1088493286229999</v>
      </c>
      <c r="AH1575">
        <v>26.0399902970771</v>
      </c>
      <c r="AI1575">
        <v>92.391373587407898</v>
      </c>
      <c r="AJ1575">
        <v>78.731060940628097</v>
      </c>
      <c r="AK1575">
        <v>26.5750346833726</v>
      </c>
      <c r="AL1575">
        <v>90.435594849859498</v>
      </c>
      <c r="AM1575">
        <v>84.985167117941003</v>
      </c>
      <c r="AN1575">
        <v>0.99999998707786297</v>
      </c>
    </row>
    <row r="1576" spans="1:40" x14ac:dyDescent="0.25">
      <c r="A1576" t="str">
        <f>"20190312154826619"</f>
        <v>20190312154826619</v>
      </c>
      <c r="B1576" t="str">
        <f>"1552376906607392"</f>
        <v>1552376906607392</v>
      </c>
      <c r="C1576" t="s">
        <v>40</v>
      </c>
      <c r="D1576">
        <v>4.7536610000000001</v>
      </c>
      <c r="E1576">
        <v>0.54207320000000003</v>
      </c>
      <c r="F1576" t="s">
        <v>49</v>
      </c>
      <c r="G1576">
        <v>-195.95660000000001</v>
      </c>
      <c r="H1576" s="1">
        <v>1.7615E-6</v>
      </c>
      <c r="I1576">
        <v>291.6293</v>
      </c>
      <c r="J1576">
        <v>-191.44990000000001</v>
      </c>
      <c r="K1576">
        <v>1.10887</v>
      </c>
      <c r="L1576">
        <v>318.1431</v>
      </c>
      <c r="M1576">
        <v>2.970917E-2</v>
      </c>
      <c r="N1576">
        <v>0</v>
      </c>
      <c r="O1576">
        <v>-0.99953190000000003</v>
      </c>
      <c r="P1576">
        <v>-5.7665550000000003E-2</v>
      </c>
      <c r="Q1576">
        <v>-1.484283E-2</v>
      </c>
      <c r="R1576">
        <v>-0.99822569999999999</v>
      </c>
      <c r="S1576">
        <v>-0.49961850000000002</v>
      </c>
      <c r="T1576">
        <v>-0.1231387</v>
      </c>
      <c r="U1576">
        <v>-2.9747919999999999</v>
      </c>
      <c r="V1576">
        <v>8.7291960000000002E-2</v>
      </c>
      <c r="W1576">
        <v>-7.6086139999999997E-3</v>
      </c>
      <c r="X1576">
        <v>0.99615370000000003</v>
      </c>
      <c r="Y1576">
        <v>0.19472030000000001</v>
      </c>
      <c r="Z1576">
        <v>4.0651159999999999E-2</v>
      </c>
      <c r="AA1576">
        <v>0.98001609999999995</v>
      </c>
      <c r="AB1576">
        <v>25</v>
      </c>
      <c r="AC1576">
        <v>-4.5066999999999897</v>
      </c>
      <c r="AD1576">
        <v>-1.1088682384999999</v>
      </c>
      <c r="AE1576">
        <v>-26.5138</v>
      </c>
      <c r="AF1576">
        <v>5.2834527577726904</v>
      </c>
      <c r="AG1576">
        <v>-1.1088682384999999</v>
      </c>
      <c r="AH1576">
        <v>26.323452308280601</v>
      </c>
      <c r="AI1576">
        <v>92.365030144372298</v>
      </c>
      <c r="AJ1576">
        <v>78.650805487841595</v>
      </c>
      <c r="AK1576">
        <v>26.871334228882102</v>
      </c>
      <c r="AL1576">
        <v>90.435945682688896</v>
      </c>
      <c r="AM1576">
        <v>84.992020063980704</v>
      </c>
      <c r="AN1576">
        <v>0.99999998565566595</v>
      </c>
    </row>
    <row r="1577" spans="1:40" x14ac:dyDescent="0.25">
      <c r="A1577" t="str">
        <f>"20190312154826642"</f>
        <v>20190312154826642</v>
      </c>
      <c r="B1577" t="str">
        <f>"1552376906627888"</f>
        <v>1552376906627888</v>
      </c>
      <c r="C1577" t="s">
        <v>40</v>
      </c>
      <c r="D1577">
        <v>4.7620129999999996</v>
      </c>
      <c r="E1577">
        <v>0.54251530000000003</v>
      </c>
      <c r="F1577" t="s">
        <v>49</v>
      </c>
      <c r="G1577">
        <v>-196.1223</v>
      </c>
      <c r="H1577" s="1">
        <v>2.0681000000000002E-6</v>
      </c>
      <c r="I1577">
        <v>290.67259999999999</v>
      </c>
      <c r="J1577">
        <v>-191.44280000000001</v>
      </c>
      <c r="K1577">
        <v>1.108895</v>
      </c>
      <c r="L1577">
        <v>317.89080000000001</v>
      </c>
      <c r="M1577">
        <v>2.9282800000000001E-2</v>
      </c>
      <c r="N1577">
        <v>0</v>
      </c>
      <c r="O1577">
        <v>-0.99954350000000003</v>
      </c>
      <c r="P1577">
        <v>-5.8440390000000002E-2</v>
      </c>
      <c r="Q1577">
        <v>-1.5031620000000001E-2</v>
      </c>
      <c r="R1577">
        <v>-0.99817789999999995</v>
      </c>
      <c r="S1577">
        <v>-0.50590519999999894</v>
      </c>
      <c r="T1577">
        <v>-0.12006260000000001</v>
      </c>
      <c r="U1577">
        <v>-2.9743650000000001</v>
      </c>
      <c r="V1577">
        <v>8.7640129999999997E-2</v>
      </c>
      <c r="W1577">
        <v>-7.6515580000000001E-3</v>
      </c>
      <c r="X1577">
        <v>0.99612279999999997</v>
      </c>
      <c r="Y1577">
        <v>0.1963454</v>
      </c>
      <c r="Z1577">
        <v>3.9630279999999997E-2</v>
      </c>
      <c r="AA1577">
        <v>0.97973359999999998</v>
      </c>
      <c r="AB1577">
        <v>25</v>
      </c>
      <c r="AC1577">
        <v>-4.6794999999999902</v>
      </c>
      <c r="AD1577">
        <v>-1.1088929319</v>
      </c>
      <c r="AE1577">
        <v>-27.2182</v>
      </c>
      <c r="AF1577">
        <v>5.4657286576284001</v>
      </c>
      <c r="AG1577">
        <v>-1.1088929319</v>
      </c>
      <c r="AH1577">
        <v>27.0259243887939</v>
      </c>
      <c r="AI1577">
        <v>92.302994930474696</v>
      </c>
      <c r="AJ1577">
        <v>78.566702930815893</v>
      </c>
      <c r="AK1577">
        <v>27.5953695819071</v>
      </c>
      <c r="AL1577">
        <v>90.438406264285405</v>
      </c>
      <c r="AM1577">
        <v>84.971992408896497</v>
      </c>
      <c r="AN1577">
        <v>0.99999998570304205</v>
      </c>
    </row>
    <row r="1578" spans="1:40" x14ac:dyDescent="0.25">
      <c r="A1578" t="str">
        <f>"20190312154826662"</f>
        <v>20190312154826662</v>
      </c>
      <c r="B1578" t="str">
        <f>"1552376906657676"</f>
        <v>1552376906657676</v>
      </c>
      <c r="C1578" t="s">
        <v>40</v>
      </c>
      <c r="D1578">
        <v>4.6957529999999998</v>
      </c>
      <c r="E1578">
        <v>0.54305509999999901</v>
      </c>
      <c r="F1578" t="s">
        <v>49</v>
      </c>
      <c r="G1578">
        <v>-196.26249999999999</v>
      </c>
      <c r="H1578" s="1">
        <v>2.321066E-6</v>
      </c>
      <c r="I1578">
        <v>289.88659999999999</v>
      </c>
      <c r="J1578">
        <v>-191.43629999999999</v>
      </c>
      <c r="K1578">
        <v>1.108924</v>
      </c>
      <c r="L1578">
        <v>317.65309999999999</v>
      </c>
      <c r="M1578">
        <v>2.888131E-2</v>
      </c>
      <c r="N1578">
        <v>0</v>
      </c>
      <c r="O1578">
        <v>-0.99955360000000004</v>
      </c>
      <c r="P1578">
        <v>-5.9265419999999999E-2</v>
      </c>
      <c r="Q1578">
        <v>-1.5140799999999999E-2</v>
      </c>
      <c r="R1578">
        <v>-0.9981276</v>
      </c>
      <c r="S1578">
        <v>-0.511795</v>
      </c>
      <c r="T1578">
        <v>-0.1177517</v>
      </c>
      <c r="U1578">
        <v>-2.9737239999999998</v>
      </c>
      <c r="V1578">
        <v>8.8063340000000004E-2</v>
      </c>
      <c r="W1578">
        <v>-7.5674610000000002E-3</v>
      </c>
      <c r="X1578">
        <v>0.99608609999999997</v>
      </c>
      <c r="Y1578">
        <v>0.19787660000000001</v>
      </c>
      <c r="Z1578">
        <v>3.8865139999999999E-2</v>
      </c>
      <c r="AA1578">
        <v>0.97945610000000005</v>
      </c>
      <c r="AB1578">
        <v>25</v>
      </c>
      <c r="AC1578">
        <v>-4.8262</v>
      </c>
      <c r="AD1578">
        <v>-1.108921678934</v>
      </c>
      <c r="AE1578">
        <v>-27.766500000000001</v>
      </c>
      <c r="AF1578">
        <v>5.6174459105341503</v>
      </c>
      <c r="AG1578">
        <v>-1.108921678934</v>
      </c>
      <c r="AH1578">
        <v>27.5728365491047</v>
      </c>
      <c r="AI1578">
        <v>92.256765428102497</v>
      </c>
      <c r="AJ1578">
        <v>78.484658498188296</v>
      </c>
      <c r="AK1578">
        <v>28.1610852278713</v>
      </c>
      <c r="AL1578">
        <v>90.433587729009503</v>
      </c>
      <c r="AM1578">
        <v>84.9476525799532</v>
      </c>
      <c r="AN1578">
        <v>0.99999996846557504</v>
      </c>
    </row>
    <row r="1579" spans="1:40" x14ac:dyDescent="0.25">
      <c r="A1579" t="str">
        <f>"20190312154826685"</f>
        <v>20190312154826685</v>
      </c>
      <c r="B1579" t="str">
        <f>"1552376906677197"</f>
        <v>1552376906677197</v>
      </c>
      <c r="C1579" t="s">
        <v>40</v>
      </c>
      <c r="D1579">
        <v>4.6513619999999998</v>
      </c>
      <c r="E1579">
        <v>0.54315469999999999</v>
      </c>
      <c r="F1579" t="s">
        <v>49</v>
      </c>
      <c r="G1579">
        <v>-196.4427</v>
      </c>
      <c r="H1579" s="1">
        <v>2.4424539999999999E-6</v>
      </c>
      <c r="I1579">
        <v>288.95519999999999</v>
      </c>
      <c r="J1579">
        <v>-191.42959999999999</v>
      </c>
      <c r="K1579">
        <v>1.1089690000000001</v>
      </c>
      <c r="L1579">
        <v>317.40370000000001</v>
      </c>
      <c r="M1579">
        <v>2.8460490000000001E-2</v>
      </c>
      <c r="N1579">
        <v>0</v>
      </c>
      <c r="O1579">
        <v>-0.9995636</v>
      </c>
      <c r="P1579">
        <v>-6.0348909999999999E-2</v>
      </c>
      <c r="Q1579">
        <v>-1.5203889999999999E-2</v>
      </c>
      <c r="R1579">
        <v>-0.998062</v>
      </c>
      <c r="S1579">
        <v>-0.5186615</v>
      </c>
      <c r="T1579">
        <v>-0.1148849</v>
      </c>
      <c r="U1579">
        <v>-2.9731139999999998</v>
      </c>
      <c r="V1579">
        <v>8.8725390000000001E-2</v>
      </c>
      <c r="W1579">
        <v>-7.3612929999999997E-3</v>
      </c>
      <c r="X1579">
        <v>0.99602889999999999</v>
      </c>
      <c r="Y1579">
        <v>0.1996996</v>
      </c>
      <c r="Z1579">
        <v>3.7914169999999997E-2</v>
      </c>
      <c r="AA1579">
        <v>0.97912339999999998</v>
      </c>
      <c r="AB1579">
        <v>25</v>
      </c>
      <c r="AC1579">
        <v>-5.0130999999999997</v>
      </c>
      <c r="AD1579">
        <v>-1.1089665575459999</v>
      </c>
      <c r="AE1579">
        <v>-28.448499999999999</v>
      </c>
      <c r="AF1579">
        <v>5.8121867754484704</v>
      </c>
      <c r="AG1579">
        <v>-1.1089665575459999</v>
      </c>
      <c r="AH1579">
        <v>28.252656899566801</v>
      </c>
      <c r="AI1579">
        <v>92.201745426000997</v>
      </c>
      <c r="AJ1579">
        <v>78.375192497026703</v>
      </c>
      <c r="AK1579">
        <v>28.865618715404199</v>
      </c>
      <c r="AL1579">
        <v>90.421774839842001</v>
      </c>
      <c r="AM1579">
        <v>84.909577635466704</v>
      </c>
      <c r="AN1579">
        <v>0.99999997655024597</v>
      </c>
    </row>
    <row r="1580" spans="1:40" x14ac:dyDescent="0.25">
      <c r="A1580" t="str">
        <f>"20190312154826707"</f>
        <v>20190312154826707</v>
      </c>
      <c r="B1580" t="str">
        <f>"1552376906697693"</f>
        <v>1552376906697693</v>
      </c>
      <c r="C1580" t="s">
        <v>40</v>
      </c>
      <c r="D1580">
        <v>4.6165149999999997</v>
      </c>
      <c r="E1580">
        <v>0.54334510000000003</v>
      </c>
      <c r="F1580" t="s">
        <v>49</v>
      </c>
      <c r="G1580">
        <v>-196.53790000000001</v>
      </c>
      <c r="H1580" s="1">
        <v>2.4778440000000002E-6</v>
      </c>
      <c r="I1580">
        <v>288.35719999999998</v>
      </c>
      <c r="J1580">
        <v>-191.42320000000001</v>
      </c>
      <c r="K1580">
        <v>1.1090120000000001</v>
      </c>
      <c r="L1580">
        <v>317.16210000000001</v>
      </c>
      <c r="M1580">
        <v>2.8051179999999998E-2</v>
      </c>
      <c r="N1580">
        <v>0</v>
      </c>
      <c r="O1580">
        <v>-0.99957260000000003</v>
      </c>
      <c r="P1580">
        <v>-6.1243270000000002E-2</v>
      </c>
      <c r="Q1580">
        <v>-1.571912E-2</v>
      </c>
      <c r="R1580">
        <v>-0.99799950000000004</v>
      </c>
      <c r="S1580">
        <v>-0.52276610000000001</v>
      </c>
      <c r="T1580">
        <v>-0.113487</v>
      </c>
      <c r="U1580">
        <v>-2.9725039999999998</v>
      </c>
      <c r="V1580">
        <v>8.9209640000000007E-2</v>
      </c>
      <c r="W1580">
        <v>-7.54425699999999E-3</v>
      </c>
      <c r="X1580">
        <v>0.99598430000000004</v>
      </c>
      <c r="Y1580">
        <v>0.2006473</v>
      </c>
      <c r="Z1580">
        <v>3.745366E-2</v>
      </c>
      <c r="AA1580">
        <v>0.97894729999999996</v>
      </c>
      <c r="AB1580">
        <v>25</v>
      </c>
      <c r="AC1580">
        <v>-5.1146999999999903</v>
      </c>
      <c r="AD1580">
        <v>-1.1090095221559999</v>
      </c>
      <c r="AE1580">
        <v>-28.8049</v>
      </c>
      <c r="AF1580">
        <v>5.9122301076082202</v>
      </c>
      <c r="AG1580">
        <v>-1.1090095221559999</v>
      </c>
      <c r="AH1580">
        <v>28.608974867647799</v>
      </c>
      <c r="AI1580">
        <v>92.174032300022603</v>
      </c>
      <c r="AJ1580">
        <v>78.323821790880501</v>
      </c>
      <c r="AK1580">
        <v>29.234531122343</v>
      </c>
      <c r="AL1580">
        <v>90.4322581857854</v>
      </c>
      <c r="AM1580">
        <v>84.881714056572804</v>
      </c>
      <c r="AN1580">
        <v>1.00000000076455</v>
      </c>
    </row>
    <row r="1581" spans="1:40" x14ac:dyDescent="0.25">
      <c r="A1581" t="str">
        <f>"20190312154826728"</f>
        <v>20190312154826728</v>
      </c>
      <c r="B1581" t="str">
        <f>"1552376906717213"</f>
        <v>1552376906717213</v>
      </c>
      <c r="C1581" t="s">
        <v>40</v>
      </c>
      <c r="D1581">
        <v>4.6478190000000001</v>
      </c>
      <c r="E1581">
        <v>0.54348269999999999</v>
      </c>
      <c r="F1581" t="s">
        <v>49</v>
      </c>
      <c r="G1581">
        <v>-196.59950000000001</v>
      </c>
      <c r="H1581" s="1">
        <v>2.5007730000000002E-6</v>
      </c>
      <c r="I1581">
        <v>287.9699</v>
      </c>
      <c r="J1581">
        <v>-191.41669999999999</v>
      </c>
      <c r="K1581">
        <v>1.1090709999999999</v>
      </c>
      <c r="L1581">
        <v>316.91489999999999</v>
      </c>
      <c r="M1581">
        <v>2.7643460000000002E-2</v>
      </c>
      <c r="N1581">
        <v>0</v>
      </c>
      <c r="O1581">
        <v>-0.99958000000000002</v>
      </c>
      <c r="P1581">
        <v>-6.2384389999999998E-2</v>
      </c>
      <c r="Q1581">
        <v>-1.5970959999999999E-2</v>
      </c>
      <c r="R1581">
        <v>-0.99792429999999999</v>
      </c>
      <c r="S1581">
        <v>-0.52697749999999999</v>
      </c>
      <c r="T1581">
        <v>-0.1129019</v>
      </c>
      <c r="U1581">
        <v>-2.9718930000000001</v>
      </c>
      <c r="V1581">
        <v>8.9942159999999993E-2</v>
      </c>
      <c r="W1581">
        <v>-7.3895790000000003E-3</v>
      </c>
      <c r="X1581">
        <v>0.99591960000000002</v>
      </c>
      <c r="Y1581">
        <v>0.20162849999999999</v>
      </c>
      <c r="Z1581">
        <v>3.7260670000000003E-2</v>
      </c>
      <c r="AA1581">
        <v>0.97875310000000004</v>
      </c>
      <c r="AB1581">
        <v>25</v>
      </c>
      <c r="AC1581">
        <v>-5.1828000000000101</v>
      </c>
      <c r="AD1581">
        <v>-1.1090684992269999</v>
      </c>
      <c r="AE1581">
        <v>-28.945</v>
      </c>
      <c r="AF1581">
        <v>5.9724933434668896</v>
      </c>
      <c r="AG1581">
        <v>-1.1090684992269999</v>
      </c>
      <c r="AH1581">
        <v>28.749764131209901</v>
      </c>
      <c r="AI1581">
        <v>92.163045530877199</v>
      </c>
      <c r="AJ1581">
        <v>78.264263165628904</v>
      </c>
      <c r="AK1581">
        <v>29.384513732133499</v>
      </c>
      <c r="AL1581">
        <v>90.423395532356807</v>
      </c>
      <c r="AM1581">
        <v>84.839579236651005</v>
      </c>
      <c r="AN1581">
        <v>1.0000000238437099</v>
      </c>
    </row>
    <row r="1582" spans="1:40" x14ac:dyDescent="0.25">
      <c r="A1582" t="str">
        <f>"20190312154826750"</f>
        <v>20190312154826750</v>
      </c>
      <c r="B1582" t="str">
        <f>"1552376906737712"</f>
        <v>1552376906737712</v>
      </c>
      <c r="C1582" t="s">
        <v>40</v>
      </c>
      <c r="D1582">
        <v>4.6653830000000003</v>
      </c>
      <c r="E1582">
        <v>0.54357909999999998</v>
      </c>
      <c r="F1582" t="s">
        <v>49</v>
      </c>
      <c r="G1582">
        <v>-196.5478</v>
      </c>
      <c r="H1582" s="1">
        <v>2.48712E-6</v>
      </c>
      <c r="I1582">
        <v>288.23110000000003</v>
      </c>
      <c r="J1582">
        <v>-191.41079999999999</v>
      </c>
      <c r="K1582">
        <v>1.109137</v>
      </c>
      <c r="L1582">
        <v>316.6816</v>
      </c>
      <c r="M1582">
        <v>2.7257190000000001E-2</v>
      </c>
      <c r="N1582">
        <v>0</v>
      </c>
      <c r="O1582">
        <v>-0.99958740000000001</v>
      </c>
      <c r="P1582">
        <v>-6.3631989999999999E-2</v>
      </c>
      <c r="Q1582">
        <v>-1.6335490000000001E-2</v>
      </c>
      <c r="R1582">
        <v>-0.99784030000000001</v>
      </c>
      <c r="S1582">
        <v>-0.53149409999999997</v>
      </c>
      <c r="T1582">
        <v>-0.1148825</v>
      </c>
      <c r="U1582">
        <v>-2.9711910000000001</v>
      </c>
      <c r="V1582">
        <v>9.0802330000000001E-2</v>
      </c>
      <c r="W1582">
        <v>-7.3441499999999998E-3</v>
      </c>
      <c r="X1582">
        <v>0.99584189999999995</v>
      </c>
      <c r="Y1582">
        <v>0.2027275</v>
      </c>
      <c r="Z1582">
        <v>3.7913410000000002E-2</v>
      </c>
      <c r="AA1582">
        <v>0.97850099999999995</v>
      </c>
      <c r="AB1582">
        <v>25</v>
      </c>
      <c r="AC1582">
        <v>-5.1369999999999996</v>
      </c>
      <c r="AD1582">
        <v>-1.1091345128799901</v>
      </c>
      <c r="AE1582">
        <v>-28.450499999999899</v>
      </c>
      <c r="AF1582">
        <v>5.9019171381233599</v>
      </c>
      <c r="AG1582">
        <v>-1.1091345128799901</v>
      </c>
      <c r="AH1582">
        <v>28.258311269275499</v>
      </c>
      <c r="AI1582">
        <v>92.200268700799896</v>
      </c>
      <c r="AJ1582">
        <v>78.203014569252204</v>
      </c>
      <c r="AK1582">
        <v>28.889357228297801</v>
      </c>
      <c r="AL1582">
        <v>90.420792563027206</v>
      </c>
      <c r="AM1582">
        <v>84.790093124553394</v>
      </c>
      <c r="AN1582">
        <v>1.00000004473412</v>
      </c>
    </row>
    <row r="1583" spans="1:40" x14ac:dyDescent="0.25">
      <c r="A1583" t="str">
        <f>"20190312154826773"</f>
        <v>20190312154826773</v>
      </c>
      <c r="B1583" t="str">
        <f>"1552376906767495"</f>
        <v>1552376906767495</v>
      </c>
      <c r="C1583" t="s">
        <v>40</v>
      </c>
      <c r="D1583">
        <v>4.6210380000000004</v>
      </c>
      <c r="E1583">
        <v>0.52421070000000003</v>
      </c>
      <c r="F1583" t="s">
        <v>49</v>
      </c>
      <c r="G1583">
        <v>-196.47069999999999</v>
      </c>
      <c r="H1583" s="1">
        <v>2.465941E-6</v>
      </c>
      <c r="I1583">
        <v>288.62979999999999</v>
      </c>
      <c r="J1583">
        <v>-191.40440000000001</v>
      </c>
      <c r="K1583">
        <v>1.109213</v>
      </c>
      <c r="L1583">
        <v>316.43009999999998</v>
      </c>
      <c r="M1583">
        <v>2.6834759999999999E-2</v>
      </c>
      <c r="N1583">
        <v>0</v>
      </c>
      <c r="O1583">
        <v>-0.99959430000000005</v>
      </c>
      <c r="P1583">
        <v>-6.4869830000000003E-2</v>
      </c>
      <c r="Q1583">
        <v>-1.666538E-2</v>
      </c>
      <c r="R1583">
        <v>-0.99775510000000001</v>
      </c>
      <c r="S1583">
        <v>-0.53578190000000003</v>
      </c>
      <c r="T1583">
        <v>-0.1174436</v>
      </c>
      <c r="U1583">
        <v>-2.9703369999999998</v>
      </c>
      <c r="V1583">
        <v>9.1616939999999994E-2</v>
      </c>
      <c r="W1583">
        <v>-7.2022780000000003E-3</v>
      </c>
      <c r="X1583">
        <v>0.99576819999999999</v>
      </c>
      <c r="Y1583">
        <v>0.20372499999999999</v>
      </c>
      <c r="Z1583">
        <v>3.8760000000000003E-2</v>
      </c>
      <c r="AA1583">
        <v>0.97826060000000004</v>
      </c>
      <c r="AB1583">
        <v>25</v>
      </c>
      <c r="AC1583">
        <v>-5.0662999999999796</v>
      </c>
      <c r="AD1583">
        <v>-1.1092105340589999</v>
      </c>
      <c r="AE1583">
        <v>-27.8003</v>
      </c>
      <c r="AF1583">
        <v>5.8015847942593597</v>
      </c>
      <c r="AG1583">
        <v>-1.1092105340589999</v>
      </c>
      <c r="AH1583">
        <v>27.611784966827699</v>
      </c>
      <c r="AI1583">
        <v>92.251322221509099</v>
      </c>
      <c r="AJ1583">
        <v>78.134040291084105</v>
      </c>
      <c r="AK1583">
        <v>28.236490631595501</v>
      </c>
      <c r="AL1583">
        <v>90.412663732060594</v>
      </c>
      <c r="AM1583">
        <v>84.743227566497893</v>
      </c>
      <c r="AN1583">
        <v>0.99999992231729296</v>
      </c>
    </row>
    <row r="1584" spans="1:40" x14ac:dyDescent="0.25">
      <c r="A1584" t="str">
        <f>"20190312154826795"</f>
        <v>20190312154826795</v>
      </c>
      <c r="B1584" t="str">
        <f>"1552376906787014"</f>
        <v>1552376906787014</v>
      </c>
      <c r="C1584" t="s">
        <v>40</v>
      </c>
      <c r="D1584">
        <v>4.5964600000000004</v>
      </c>
      <c r="E1584">
        <v>0.52368549999999903</v>
      </c>
      <c r="F1584" t="s">
        <v>49</v>
      </c>
      <c r="G1584">
        <v>-194.0951</v>
      </c>
      <c r="H1584" s="1">
        <v>1.0652810000000001E-6</v>
      </c>
      <c r="I1584">
        <v>295.56479999999999</v>
      </c>
      <c r="J1584">
        <v>-191.39830000000001</v>
      </c>
      <c r="K1584">
        <v>1.109283</v>
      </c>
      <c r="L1584">
        <v>316.185</v>
      </c>
      <c r="M1584">
        <v>2.641862E-2</v>
      </c>
      <c r="N1584">
        <v>0</v>
      </c>
      <c r="O1584">
        <v>-0.9996005</v>
      </c>
      <c r="P1584">
        <v>-6.5947000000000006E-2</v>
      </c>
      <c r="Q1584">
        <v>-1.6499199999999999E-2</v>
      </c>
      <c r="R1584">
        <v>-0.99768690000000004</v>
      </c>
      <c r="S1584">
        <v>-0.38417050000000003</v>
      </c>
      <c r="T1584">
        <v>-0.1583716</v>
      </c>
      <c r="U1584">
        <v>-2.9791259999999999</v>
      </c>
      <c r="V1584">
        <v>9.2278150000000003E-2</v>
      </c>
      <c r="W1584">
        <v>-6.5711349999999996E-3</v>
      </c>
      <c r="X1584">
        <v>0.99571160000000003</v>
      </c>
      <c r="Y1584">
        <v>0.1538766</v>
      </c>
      <c r="Z1584">
        <v>5.2524630000000003E-2</v>
      </c>
      <c r="AA1584">
        <v>0.98669300000000004</v>
      </c>
      <c r="AB1584">
        <v>25</v>
      </c>
      <c r="AC1584">
        <v>-2.6967999999999899</v>
      </c>
      <c r="AD1584">
        <v>-1.1092819347189999</v>
      </c>
      <c r="AE1584">
        <v>-20.620200000000001</v>
      </c>
      <c r="AF1584">
        <v>3.23144881013866</v>
      </c>
      <c r="AG1584">
        <v>-1.1092819347189999</v>
      </c>
      <c r="AH1584">
        <v>20.483470602583601</v>
      </c>
      <c r="AI1584">
        <v>93.062027721431207</v>
      </c>
      <c r="AJ1584">
        <v>81.034969783979406</v>
      </c>
      <c r="AK1584">
        <v>20.766447355052101</v>
      </c>
      <c r="AL1584">
        <v>90.376501006572099</v>
      </c>
      <c r="AM1584">
        <v>84.705204423262103</v>
      </c>
      <c r="AN1584">
        <v>1.00000001357858</v>
      </c>
    </row>
    <row r="1585" spans="1:40" x14ac:dyDescent="0.25">
      <c r="A1585" t="str">
        <f>"20190312154826821"</f>
        <v>20190312154826821</v>
      </c>
      <c r="B1585" t="str">
        <f>"1552376906807510"</f>
        <v>1552376906807510</v>
      </c>
      <c r="C1585" t="s">
        <v>40</v>
      </c>
      <c r="D1585">
        <v>4.5678320000000001</v>
      </c>
      <c r="E1585">
        <v>0.52405119999999905</v>
      </c>
      <c r="F1585" t="s">
        <v>49</v>
      </c>
      <c r="G1585">
        <v>-194.05850000000001</v>
      </c>
      <c r="H1585" s="1">
        <v>1.0902740000000001E-6</v>
      </c>
      <c r="I1585">
        <v>295.50319999999999</v>
      </c>
      <c r="J1585">
        <v>-191.39150000000001</v>
      </c>
      <c r="K1585">
        <v>1.1093440000000001</v>
      </c>
      <c r="L1585">
        <v>315.9083</v>
      </c>
      <c r="M1585">
        <v>2.5949920000000001E-2</v>
      </c>
      <c r="N1585">
        <v>0</v>
      </c>
      <c r="O1585">
        <v>-0.99960789999999999</v>
      </c>
      <c r="P1585">
        <v>-6.7111649999999995E-2</v>
      </c>
      <c r="Q1585">
        <v>-1.6705930000000001E-2</v>
      </c>
      <c r="R1585">
        <v>-0.99760590000000005</v>
      </c>
      <c r="S1585">
        <v>-0.38316349999999999</v>
      </c>
      <c r="T1585">
        <v>-0.1597761</v>
      </c>
      <c r="U1585">
        <v>-2.9789119999999998</v>
      </c>
      <c r="V1585">
        <v>9.297387E-2</v>
      </c>
      <c r="W1585">
        <v>-6.2860249999999998E-3</v>
      </c>
      <c r="X1585">
        <v>0.99564870000000005</v>
      </c>
      <c r="Y1585">
        <v>0.15309110000000001</v>
      </c>
      <c r="Z1585">
        <v>5.2998259999999998E-2</v>
      </c>
      <c r="AA1585">
        <v>0.9867899</v>
      </c>
      <c r="AB1585">
        <v>25</v>
      </c>
      <c r="AC1585">
        <v>-2.6669999999999998</v>
      </c>
      <c r="AD1585">
        <v>-1.1093429097259999</v>
      </c>
      <c r="AE1585">
        <v>-20.405100000000001</v>
      </c>
      <c r="AF1585">
        <v>3.1863821113660702</v>
      </c>
      <c r="AG1585">
        <v>-1.1093429097259999</v>
      </c>
      <c r="AH1585">
        <v>20.2701102126588</v>
      </c>
      <c r="AI1585">
        <v>93.094632735892603</v>
      </c>
      <c r="AJ1585">
        <v>81.066433291526295</v>
      </c>
      <c r="AK1585">
        <v>20.548991232766799</v>
      </c>
      <c r="AL1585">
        <v>90.3601650764585</v>
      </c>
      <c r="AM1585">
        <v>84.665179327464401</v>
      </c>
      <c r="AN1585">
        <v>0.99999999421238295</v>
      </c>
    </row>
    <row r="1586" spans="1:40" x14ac:dyDescent="0.25">
      <c r="A1586" t="str">
        <f>"20190312154826842"</f>
        <v>20190312154826842</v>
      </c>
      <c r="B1586" t="str">
        <f>"1552376906827030"</f>
        <v>1552376906827030</v>
      </c>
      <c r="C1586" t="s">
        <v>40</v>
      </c>
      <c r="D1586">
        <v>4.5552710000000003</v>
      </c>
      <c r="E1586">
        <v>0.52409079999999997</v>
      </c>
      <c r="F1586" t="s">
        <v>49</v>
      </c>
      <c r="G1586">
        <v>-193.9975</v>
      </c>
      <c r="H1586" s="1">
        <v>9.2827690000000003E-7</v>
      </c>
      <c r="I1586">
        <v>295.97680000000003</v>
      </c>
      <c r="J1586">
        <v>-191.38579999999999</v>
      </c>
      <c r="K1586">
        <v>1.109372</v>
      </c>
      <c r="L1586">
        <v>315.67180000000002</v>
      </c>
      <c r="M1586">
        <v>2.555433E-2</v>
      </c>
      <c r="N1586">
        <v>0</v>
      </c>
      <c r="O1586">
        <v>-0.99961409999999995</v>
      </c>
      <c r="P1586">
        <v>-6.8036509999999994E-2</v>
      </c>
      <c r="Q1586">
        <v>-1.6851330000000001E-2</v>
      </c>
      <c r="R1586">
        <v>-0.99754100000000001</v>
      </c>
      <c r="S1586">
        <v>-0.38938899999999999</v>
      </c>
      <c r="T1586">
        <v>-0.16576089999999999</v>
      </c>
      <c r="U1586">
        <v>-2.9782099999999998</v>
      </c>
      <c r="V1586">
        <v>9.3503059999999999E-2</v>
      </c>
      <c r="W1586">
        <v>-6.0524339999999998E-3</v>
      </c>
      <c r="X1586">
        <v>0.99560059999999995</v>
      </c>
      <c r="Y1586">
        <v>0.1547441</v>
      </c>
      <c r="Z1586">
        <v>5.497664E-2</v>
      </c>
      <c r="AA1586">
        <v>0.98642379999999996</v>
      </c>
      <c r="AB1586">
        <v>25</v>
      </c>
      <c r="AC1586">
        <v>-2.6117000000000101</v>
      </c>
      <c r="AD1586">
        <v>-1.1093710717231</v>
      </c>
      <c r="AE1586">
        <v>-19.695</v>
      </c>
      <c r="AF1586">
        <v>3.1044897044184698</v>
      </c>
      <c r="AG1586">
        <v>-1.1093710717231</v>
      </c>
      <c r="AH1586">
        <v>19.5608333518386</v>
      </c>
      <c r="AI1586">
        <v>93.205949201746606</v>
      </c>
      <c r="AJ1586">
        <v>80.981833216232403</v>
      </c>
      <c r="AK1586">
        <v>19.8367023952575</v>
      </c>
      <c r="AL1586">
        <v>90.346781039670404</v>
      </c>
      <c r="AM1586">
        <v>84.634733517022397</v>
      </c>
      <c r="AN1586">
        <v>1.00000000445352</v>
      </c>
    </row>
    <row r="1587" spans="1:40" x14ac:dyDescent="0.25">
      <c r="A1587" t="str">
        <f>"20190312154826862"</f>
        <v>20190312154826862</v>
      </c>
      <c r="B1587" t="str">
        <f>"1552376906857287"</f>
        <v>1552376906857287</v>
      </c>
      <c r="C1587" t="s">
        <v>40</v>
      </c>
      <c r="D1587">
        <v>4.5592600000000001</v>
      </c>
      <c r="E1587">
        <v>0.52415749999999905</v>
      </c>
      <c r="F1587" t="s">
        <v>49</v>
      </c>
      <c r="G1587">
        <v>-194.0301</v>
      </c>
      <c r="H1587" s="1">
        <v>1.0539260000000001E-6</v>
      </c>
      <c r="I1587">
        <v>295.61320000000001</v>
      </c>
      <c r="J1587">
        <v>-191.38050000000001</v>
      </c>
      <c r="K1587">
        <v>1.109397</v>
      </c>
      <c r="L1587">
        <v>315.44799999999998</v>
      </c>
      <c r="M1587">
        <v>2.518306E-2</v>
      </c>
      <c r="N1587">
        <v>0</v>
      </c>
      <c r="O1587">
        <v>-0.99961979999999995</v>
      </c>
      <c r="P1587">
        <v>-6.9271009999999994E-2</v>
      </c>
      <c r="Q1587">
        <v>-1.7062649999999999E-2</v>
      </c>
      <c r="R1587">
        <v>-0.99745249999999996</v>
      </c>
      <c r="S1587">
        <v>-0.39256289999999999</v>
      </c>
      <c r="T1587">
        <v>-0.16469420000000001</v>
      </c>
      <c r="U1587">
        <v>-2.9778440000000002</v>
      </c>
      <c r="V1587">
        <v>9.4365309999999994E-2</v>
      </c>
      <c r="W1587">
        <v>-5.9382019999999897E-3</v>
      </c>
      <c r="X1587">
        <v>0.99551990000000001</v>
      </c>
      <c r="Y1587">
        <v>0.15542890000000001</v>
      </c>
      <c r="Z1587">
        <v>5.4624640000000002E-2</v>
      </c>
      <c r="AA1587">
        <v>0.98633559999999998</v>
      </c>
      <c r="AB1587">
        <v>25</v>
      </c>
      <c r="AC1587">
        <v>-2.6495999999999902</v>
      </c>
      <c r="AD1587">
        <v>-1.1093959460739999</v>
      </c>
      <c r="AE1587">
        <v>-19.834799999999898</v>
      </c>
      <c r="AF1587">
        <v>3.1386453482763002</v>
      </c>
      <c r="AG1587">
        <v>-1.1093959460739999</v>
      </c>
      <c r="AH1587">
        <v>19.701227368127199</v>
      </c>
      <c r="AI1587">
        <v>93.182924568991496</v>
      </c>
      <c r="AJ1587">
        <v>80.948153063145895</v>
      </c>
      <c r="AK1587">
        <v>19.980495834639999</v>
      </c>
      <c r="AL1587">
        <v>90.340235921406901</v>
      </c>
      <c r="AM1587">
        <v>84.585113448328102</v>
      </c>
      <c r="AN1587">
        <v>0.99999997263519902</v>
      </c>
    </row>
    <row r="1588" spans="1:40" x14ac:dyDescent="0.25">
      <c r="A1588" t="str">
        <f>"20190312154826884"</f>
        <v>20190312154826884</v>
      </c>
      <c r="B1588" t="str">
        <f>"1552376906877782"</f>
        <v>1552376906877782</v>
      </c>
      <c r="C1588" t="s">
        <v>40</v>
      </c>
      <c r="D1588">
        <v>4.5561790000000002</v>
      </c>
      <c r="E1588">
        <v>0.52425290000000002</v>
      </c>
      <c r="F1588" t="s">
        <v>49</v>
      </c>
      <c r="G1588">
        <v>-194.0164</v>
      </c>
      <c r="H1588" s="1">
        <v>1.031737E-6</v>
      </c>
      <c r="I1588">
        <v>295.67939999999999</v>
      </c>
      <c r="J1588">
        <v>-191.37479999999999</v>
      </c>
      <c r="K1588">
        <v>1.1094139999999999</v>
      </c>
      <c r="L1588">
        <v>315.1995</v>
      </c>
      <c r="M1588">
        <v>2.4767210000000001E-2</v>
      </c>
      <c r="N1588">
        <v>0</v>
      </c>
      <c r="O1588">
        <v>-0.99962649999999997</v>
      </c>
      <c r="P1588">
        <v>-7.0833119999999999E-2</v>
      </c>
      <c r="Q1588">
        <v>-1.7231320000000001E-2</v>
      </c>
      <c r="R1588">
        <v>-0.99733970000000005</v>
      </c>
      <c r="S1588">
        <v>-0.39697270000000001</v>
      </c>
      <c r="T1588">
        <v>-0.16708120000000001</v>
      </c>
      <c r="U1588">
        <v>-2.9772639999999999</v>
      </c>
      <c r="V1588">
        <v>9.5510209999999998E-2</v>
      </c>
      <c r="W1588">
        <v>-5.7780749999999997E-3</v>
      </c>
      <c r="X1588">
        <v>0.99541170000000001</v>
      </c>
      <c r="Y1588">
        <v>0.15647269999999999</v>
      </c>
      <c r="Z1588">
        <v>5.5415499999999999E-2</v>
      </c>
      <c r="AA1588">
        <v>0.98612650000000002</v>
      </c>
      <c r="AB1588">
        <v>25</v>
      </c>
      <c r="AC1588">
        <v>-2.6416000000000102</v>
      </c>
      <c r="AD1588">
        <v>-1.1094129682629901</v>
      </c>
      <c r="AE1588">
        <v>-19.520099999999999</v>
      </c>
      <c r="AF1588">
        <v>3.1144011896049899</v>
      </c>
      <c r="AG1588">
        <v>-1.1094129682629901</v>
      </c>
      <c r="AH1588">
        <v>19.387184650306502</v>
      </c>
      <c r="AI1588">
        <v>93.233754438638599</v>
      </c>
      <c r="AJ1588">
        <v>80.873846332529695</v>
      </c>
      <c r="AK1588">
        <v>19.667059276085102</v>
      </c>
      <c r="AL1588">
        <v>90.3310611469375</v>
      </c>
      <c r="AM1588">
        <v>84.519222110353496</v>
      </c>
      <c r="AN1588">
        <v>1.00000001943091</v>
      </c>
    </row>
    <row r="1589" spans="1:40" x14ac:dyDescent="0.25">
      <c r="A1589" t="str">
        <f>"20190312154826917"</f>
        <v>20190312154826917</v>
      </c>
      <c r="B1589" t="str">
        <f>"1552376906908038"</f>
        <v>1552376906908038</v>
      </c>
      <c r="C1589" t="s">
        <v>40</v>
      </c>
      <c r="D1589">
        <v>4.5783050000000003</v>
      </c>
      <c r="E1589">
        <v>0.52446769999999998</v>
      </c>
      <c r="F1589" t="s">
        <v>49</v>
      </c>
      <c r="G1589">
        <v>-194.0103</v>
      </c>
      <c r="H1589" s="1">
        <v>1.026337E-6</v>
      </c>
      <c r="I1589">
        <v>295.69619999999998</v>
      </c>
      <c r="J1589">
        <v>-191.36670000000001</v>
      </c>
      <c r="K1589">
        <v>1.1094269999999999</v>
      </c>
      <c r="L1589">
        <v>314.84100000000001</v>
      </c>
      <c r="M1589">
        <v>2.4138280000000002E-2</v>
      </c>
      <c r="N1589">
        <v>0</v>
      </c>
      <c r="O1589">
        <v>-0.99963709999999995</v>
      </c>
      <c r="P1589">
        <v>-7.2130749999999993E-2</v>
      </c>
      <c r="Q1589">
        <v>-1.7411490000000002E-2</v>
      </c>
      <c r="R1589">
        <v>-0.99724349999999995</v>
      </c>
      <c r="S1589">
        <v>-0.40222170000000002</v>
      </c>
      <c r="T1589">
        <v>-0.1693151</v>
      </c>
      <c r="U1589">
        <v>-2.9765320000000002</v>
      </c>
      <c r="V1589">
        <v>9.617908E-2</v>
      </c>
      <c r="W1589">
        <v>-5.5523029999999998E-3</v>
      </c>
      <c r="X1589">
        <v>0.99534860000000003</v>
      </c>
      <c r="Y1589">
        <v>0.1575858</v>
      </c>
      <c r="Z1589">
        <v>5.6157459999999999E-2</v>
      </c>
      <c r="AA1589">
        <v>0.98590719999999998</v>
      </c>
      <c r="AB1589">
        <v>25</v>
      </c>
      <c r="AC1589">
        <v>-2.64359999999999</v>
      </c>
      <c r="AD1589">
        <v>-1.1094259736630001</v>
      </c>
      <c r="AE1589">
        <v>-19.1448</v>
      </c>
      <c r="AF1589">
        <v>3.0947870282282302</v>
      </c>
      <c r="AG1589">
        <v>-1.1094259736630001</v>
      </c>
      <c r="AH1589">
        <v>19.012752135571201</v>
      </c>
      <c r="AI1589">
        <v>93.296233408307501</v>
      </c>
      <c r="AJ1589">
        <v>80.754803669135299</v>
      </c>
      <c r="AK1589">
        <v>19.294902863445401</v>
      </c>
      <c r="AL1589">
        <v>90.318125150453497</v>
      </c>
      <c r="AM1589">
        <v>84.480727980988206</v>
      </c>
      <c r="AN1589">
        <v>1.0000000395101001</v>
      </c>
    </row>
    <row r="1590" spans="1:40" x14ac:dyDescent="0.25">
      <c r="A1590" t="str">
        <f>"20190312154826940"</f>
        <v>20190312154826940</v>
      </c>
      <c r="B1590" t="str">
        <f>"1552376906927559"</f>
        <v>1552376906927559</v>
      </c>
      <c r="C1590" t="s">
        <v>40</v>
      </c>
      <c r="D1590">
        <v>4.6052689999999998</v>
      </c>
      <c r="E1590">
        <v>0.49742429999999899</v>
      </c>
      <c r="F1590" t="s">
        <v>49</v>
      </c>
      <c r="G1590">
        <v>-194.036</v>
      </c>
      <c r="H1590" s="1">
        <v>1.1382589999999999E-6</v>
      </c>
      <c r="I1590">
        <v>295.37310000000002</v>
      </c>
      <c r="J1590">
        <v>-191.3612</v>
      </c>
      <c r="K1590">
        <v>1.10944</v>
      </c>
      <c r="L1590">
        <v>314.59339999999997</v>
      </c>
      <c r="M1590">
        <v>2.368164E-2</v>
      </c>
      <c r="N1590">
        <v>0</v>
      </c>
      <c r="O1590">
        <v>-0.99964470000000005</v>
      </c>
      <c r="P1590">
        <v>-7.2218119999999997E-2</v>
      </c>
      <c r="Q1590">
        <v>-1.753861E-2</v>
      </c>
      <c r="R1590">
        <v>-0.99723479999999998</v>
      </c>
      <c r="S1590">
        <v>-0.40803529999999999</v>
      </c>
      <c r="T1590">
        <v>-0.16958689999999901</v>
      </c>
      <c r="U1590">
        <v>-2.9758610000000001</v>
      </c>
      <c r="V1590">
        <v>9.5811640000000003E-2</v>
      </c>
      <c r="W1590">
        <v>-5.4373440000000002E-3</v>
      </c>
      <c r="X1590">
        <v>0.99538459999999995</v>
      </c>
      <c r="Y1590">
        <v>0.15905449999999999</v>
      </c>
      <c r="Z1590">
        <v>5.6246770000000001E-2</v>
      </c>
      <c r="AA1590">
        <v>0.9856663</v>
      </c>
      <c r="AB1590">
        <v>24</v>
      </c>
      <c r="AC1590">
        <v>-2.6747999999999701</v>
      </c>
      <c r="AD1590">
        <v>-1.109438861741</v>
      </c>
      <c r="AE1590">
        <v>-19.220299999999899</v>
      </c>
      <c r="AF1590">
        <v>3.11905721823388</v>
      </c>
      <c r="AG1590">
        <v>-1.109438861741</v>
      </c>
      <c r="AH1590">
        <v>19.089166482269899</v>
      </c>
      <c r="AI1590">
        <v>93.282782944825001</v>
      </c>
      <c r="AJ1590">
        <v>80.720210497806093</v>
      </c>
      <c r="AK1590">
        <v>19.374097385591298</v>
      </c>
      <c r="AL1590">
        <v>90.311538407879695</v>
      </c>
      <c r="AM1590">
        <v>84.501881840073395</v>
      </c>
      <c r="AN1590">
        <v>0.99999996849321104</v>
      </c>
    </row>
    <row r="1591" spans="1:40" x14ac:dyDescent="0.25">
      <c r="A1591" t="str">
        <f>"20190312154826961"</f>
        <v>20190312154826961</v>
      </c>
      <c r="B1591" t="str">
        <f>"1552376906957815"</f>
        <v>1552376906957815</v>
      </c>
      <c r="C1591" t="s">
        <v>40</v>
      </c>
      <c r="D1591">
        <v>4.5785499999999999</v>
      </c>
      <c r="E1591">
        <v>0.47449330000000001</v>
      </c>
      <c r="F1591" t="s">
        <v>41</v>
      </c>
      <c r="G1591">
        <v>-191.41239999999999</v>
      </c>
      <c r="H1591">
        <v>1.054357</v>
      </c>
      <c r="I1591">
        <v>313.7955</v>
      </c>
      <c r="J1591">
        <v>-191.3562</v>
      </c>
      <c r="K1591">
        <v>1.109437</v>
      </c>
      <c r="L1591">
        <v>314.3571</v>
      </c>
      <c r="M1591">
        <v>2.3224450000000001E-2</v>
      </c>
      <c r="N1591">
        <v>0</v>
      </c>
      <c r="O1591">
        <v>-0.99965289999999996</v>
      </c>
      <c r="P1591">
        <v>-7.2402179999999997E-2</v>
      </c>
      <c r="Q1591">
        <v>-1.7603210000000001E-2</v>
      </c>
      <c r="R1591">
        <v>-0.99722029999999995</v>
      </c>
      <c r="S1591">
        <v>-0.19190979999999999</v>
      </c>
      <c r="T1591">
        <v>-0.20651269999999999</v>
      </c>
      <c r="U1591">
        <v>-2.9907530000000002</v>
      </c>
      <c r="V1591">
        <v>9.5540109999999998E-2</v>
      </c>
      <c r="W1591">
        <v>-5.3005639999999998E-3</v>
      </c>
      <c r="X1591">
        <v>0.9954115</v>
      </c>
      <c r="Y1591">
        <v>8.7046059999999995E-2</v>
      </c>
      <c r="Z1591">
        <v>6.865744E-2</v>
      </c>
      <c r="AA1591">
        <v>0.99383560000000004</v>
      </c>
      <c r="AB1591">
        <v>24</v>
      </c>
      <c r="AC1591">
        <v>-5.61999999999898E-2</v>
      </c>
      <c r="AD1591">
        <v>-5.5079999999999997E-2</v>
      </c>
      <c r="AE1591">
        <v>-0.56159999999999799</v>
      </c>
      <c r="AF1591">
        <v>6.85756051227603E-2</v>
      </c>
      <c r="AG1591">
        <v>-5.5079999999999997E-2</v>
      </c>
      <c r="AH1591">
        <v>0.55485886956654396</v>
      </c>
      <c r="AI1591">
        <v>95.626560959600596</v>
      </c>
      <c r="AJ1591">
        <v>82.954480813848704</v>
      </c>
      <c r="AK1591">
        <v>0.56178713509176703</v>
      </c>
      <c r="AL1591">
        <v>90.303701358825407</v>
      </c>
      <c r="AM1591">
        <v>84.517515680126493</v>
      </c>
      <c r="AN1591">
        <v>1.00000003146488</v>
      </c>
    </row>
    <row r="1592" spans="1:40" x14ac:dyDescent="0.25">
      <c r="A1592" t="str">
        <f>"20190312154826986"</f>
        <v>20190312154826986</v>
      </c>
      <c r="B1592" t="str">
        <f>"1552376906977336"</f>
        <v>1552376906977336</v>
      </c>
      <c r="C1592" t="s">
        <v>40</v>
      </c>
      <c r="D1592">
        <v>4.6330939999999998</v>
      </c>
      <c r="E1592">
        <v>0.46839199999999998</v>
      </c>
      <c r="F1592" t="s">
        <v>49</v>
      </c>
      <c r="G1592">
        <v>-191.4102</v>
      </c>
      <c r="H1592" s="1">
        <v>3.1468930000000002E-7</v>
      </c>
      <c r="I1592">
        <v>298.36169999999998</v>
      </c>
      <c r="J1592">
        <v>-191.35079999999999</v>
      </c>
      <c r="K1592">
        <v>1.1094189999999999</v>
      </c>
      <c r="L1592">
        <v>314.09809999999999</v>
      </c>
      <c r="M1592">
        <v>2.2689270000000001E-2</v>
      </c>
      <c r="N1592">
        <v>0</v>
      </c>
      <c r="O1592">
        <v>-0.99966290000000002</v>
      </c>
      <c r="P1592">
        <v>-7.2162580000000004E-2</v>
      </c>
      <c r="Q1592">
        <v>-1.7743640000000001E-2</v>
      </c>
      <c r="R1592">
        <v>-0.99723519999999999</v>
      </c>
      <c r="S1592">
        <v>-1.0147089999999999E-2</v>
      </c>
      <c r="T1592">
        <v>-0.2083516</v>
      </c>
      <c r="U1592">
        <v>-3.0039370000000001</v>
      </c>
      <c r="V1592">
        <v>9.4767889999999994E-2</v>
      </c>
      <c r="W1592">
        <v>-5.2488769999999999E-3</v>
      </c>
      <c r="X1592">
        <v>0.99548550000000002</v>
      </c>
      <c r="Y1592">
        <v>2.6059889999999999E-2</v>
      </c>
      <c r="Z1592">
        <v>6.9154640000000003E-2</v>
      </c>
      <c r="AA1592">
        <v>0.99726550000000003</v>
      </c>
      <c r="AB1592">
        <v>24</v>
      </c>
      <c r="AC1592">
        <v>-5.9400000000010701E-2</v>
      </c>
      <c r="AD1592">
        <v>-1.1094186853107</v>
      </c>
      <c r="AE1592">
        <v>-15.7364</v>
      </c>
      <c r="AF1592">
        <v>0.41440091759265701</v>
      </c>
      <c r="AG1592">
        <v>-1.1094186853107</v>
      </c>
      <c r="AH1592">
        <v>15.6532008487696</v>
      </c>
      <c r="AI1592">
        <v>94.052637030701703</v>
      </c>
      <c r="AJ1592">
        <v>88.483512785806795</v>
      </c>
      <c r="AK1592">
        <v>15.6979372769718</v>
      </c>
      <c r="AL1592">
        <v>90.300739897610597</v>
      </c>
      <c r="AM1592">
        <v>84.561963930706995</v>
      </c>
      <c r="AN1592">
        <v>0.99999994219752997</v>
      </c>
    </row>
    <row r="1593" spans="1:40" x14ac:dyDescent="0.25">
      <c r="A1593" t="str">
        <f>"20190312154827008"</f>
        <v>20190312154827008</v>
      </c>
      <c r="B1593" t="str">
        <f>"1552376906997831"</f>
        <v>1552376906997831</v>
      </c>
      <c r="C1593" t="s">
        <v>40</v>
      </c>
      <c r="D1593">
        <v>4.603917</v>
      </c>
      <c r="E1593">
        <v>0.46545900000000001</v>
      </c>
      <c r="F1593" t="s">
        <v>41</v>
      </c>
      <c r="G1593">
        <v>-191.33850000000001</v>
      </c>
      <c r="H1593">
        <v>1.043817</v>
      </c>
      <c r="I1593">
        <v>313.15120000000002</v>
      </c>
      <c r="J1593">
        <v>-191.3458</v>
      </c>
      <c r="K1593">
        <v>1.109394</v>
      </c>
      <c r="L1593">
        <v>313.8503</v>
      </c>
      <c r="M1593">
        <v>2.213E-2</v>
      </c>
      <c r="N1593">
        <v>0</v>
      </c>
      <c r="O1593">
        <v>-0.99967340000000005</v>
      </c>
      <c r="P1593">
        <v>-7.1942839999999994E-2</v>
      </c>
      <c r="Q1593">
        <v>-1.898182E-2</v>
      </c>
      <c r="R1593">
        <v>-0.99722840000000001</v>
      </c>
      <c r="S1593">
        <v>3.9184570000000002E-2</v>
      </c>
      <c r="T1593">
        <v>-0.20847199999999999</v>
      </c>
      <c r="U1593">
        <v>-3.0074459999999998</v>
      </c>
      <c r="V1593">
        <v>9.3989890000000006E-2</v>
      </c>
      <c r="W1593">
        <v>-6.3315990000000003E-3</v>
      </c>
      <c r="X1593">
        <v>0.99555300000000002</v>
      </c>
      <c r="Y1593">
        <v>9.1362100000000005E-3</v>
      </c>
      <c r="Z1593">
        <v>6.9122939999999994E-2</v>
      </c>
      <c r="AA1593">
        <v>0.99756630000000002</v>
      </c>
      <c r="AB1593">
        <v>24</v>
      </c>
      <c r="AC1593">
        <v>7.2999999999865299E-3</v>
      </c>
      <c r="AD1593">
        <v>-6.5576999999999996E-2</v>
      </c>
      <c r="AE1593">
        <v>-0.69909999999998695</v>
      </c>
      <c r="AF1593">
        <v>8.1028471270156392E-3</v>
      </c>
      <c r="AG1593">
        <v>-6.5576999999999996E-2</v>
      </c>
      <c r="AH1593">
        <v>0.69299346500570702</v>
      </c>
      <c r="AI1593">
        <v>95.405355029753593</v>
      </c>
      <c r="AJ1593">
        <v>89.330097886198303</v>
      </c>
      <c r="AK1593">
        <v>0.69613643892643695</v>
      </c>
      <c r="AL1593">
        <v>90.362776330657198</v>
      </c>
      <c r="AM1593">
        <v>84.606706840932603</v>
      </c>
      <c r="AN1593">
        <v>0.99999998218855402</v>
      </c>
    </row>
    <row r="1594" spans="1:40" x14ac:dyDescent="0.25">
      <c r="A1594" t="str">
        <f>"20190312154827032"</f>
        <v>20190312154827032</v>
      </c>
      <c r="B1594" t="str">
        <f>"1552376907027111"</f>
        <v>1552376907027111</v>
      </c>
      <c r="C1594" t="s">
        <v>40</v>
      </c>
      <c r="D1594">
        <v>4.6260709999999996</v>
      </c>
      <c r="E1594">
        <v>0.46297630000000001</v>
      </c>
      <c r="F1594" t="s">
        <v>49</v>
      </c>
      <c r="G1594">
        <v>-191.0153</v>
      </c>
      <c r="H1594" s="1">
        <v>4.28544E-7</v>
      </c>
      <c r="I1594">
        <v>298.13869999999997</v>
      </c>
      <c r="J1594">
        <v>-191.3407</v>
      </c>
      <c r="K1594">
        <v>1.1093660000000001</v>
      </c>
      <c r="L1594">
        <v>313.5908</v>
      </c>
      <c r="M1594">
        <v>2.1502050000000002E-2</v>
      </c>
      <c r="N1594">
        <v>0</v>
      </c>
      <c r="O1594">
        <v>-0.99968500000000005</v>
      </c>
      <c r="P1594">
        <v>-7.1949520000000003E-2</v>
      </c>
      <c r="Q1594">
        <v>-1.9301260000000001E-2</v>
      </c>
      <c r="R1594">
        <v>-0.99722169999999999</v>
      </c>
      <c r="S1594">
        <v>6.3293459999999996E-2</v>
      </c>
      <c r="T1594">
        <v>-0.21245620000000001</v>
      </c>
      <c r="U1594">
        <v>-3.0088810000000001</v>
      </c>
      <c r="V1594">
        <v>9.3370590000000003E-2</v>
      </c>
      <c r="W1594">
        <v>-6.5116820000000004E-3</v>
      </c>
      <c r="X1594">
        <v>0.99561010000000005</v>
      </c>
      <c r="Y1594">
        <v>5.2526259999999996E-4</v>
      </c>
      <c r="Z1594">
        <v>7.0402220000000001E-2</v>
      </c>
      <c r="AA1594">
        <v>0.99751849999999997</v>
      </c>
      <c r="AB1594">
        <v>24</v>
      </c>
      <c r="AC1594">
        <v>0.32540000000000102</v>
      </c>
      <c r="AD1594">
        <v>-1.109365571456</v>
      </c>
      <c r="AE1594">
        <v>-15.4521</v>
      </c>
      <c r="AF1594">
        <v>6.9192619954859197E-3</v>
      </c>
      <c r="AG1594">
        <v>-1.109365571456</v>
      </c>
      <c r="AH1594">
        <v>15.3763044895089</v>
      </c>
      <c r="AI1594">
        <v>94.126610247013403</v>
      </c>
      <c r="AJ1594">
        <v>89.974217180519702</v>
      </c>
      <c r="AK1594">
        <v>15.416273207277101</v>
      </c>
      <c r="AL1594">
        <v>90.373094543958899</v>
      </c>
      <c r="AM1594">
        <v>84.642341293105801</v>
      </c>
      <c r="AN1594">
        <v>0.99999997015071296</v>
      </c>
    </row>
    <row r="1595" spans="1:40" x14ac:dyDescent="0.25">
      <c r="A1595" t="str">
        <f>"20190312154827055"</f>
        <v>20190312154827055</v>
      </c>
      <c r="B1595" t="str">
        <f>"1552376907047607"</f>
        <v>1552376907047607</v>
      </c>
      <c r="C1595" t="s">
        <v>40</v>
      </c>
      <c r="D1595">
        <v>4.6204090000000004</v>
      </c>
      <c r="E1595">
        <v>0.46175630000000001</v>
      </c>
      <c r="F1595" t="s">
        <v>49</v>
      </c>
      <c r="G1595">
        <v>-190.90960000000001</v>
      </c>
      <c r="H1595" s="1">
        <v>4.9210669999999997E-7</v>
      </c>
      <c r="I1595">
        <v>297.98540000000003</v>
      </c>
      <c r="J1595">
        <v>-191.33619999999999</v>
      </c>
      <c r="K1595">
        <v>1.1093420000000001</v>
      </c>
      <c r="L1595">
        <v>313.34809999999999</v>
      </c>
      <c r="M1595">
        <v>2.08705E-2</v>
      </c>
      <c r="N1595">
        <v>0</v>
      </c>
      <c r="O1595">
        <v>-0.99969719999999995</v>
      </c>
      <c r="P1595">
        <v>-7.1738549999999998E-2</v>
      </c>
      <c r="Q1595">
        <v>-1.9193700000000001E-2</v>
      </c>
      <c r="R1595">
        <v>-0.99723919999999999</v>
      </c>
      <c r="S1595">
        <v>8.3160399999999995E-2</v>
      </c>
      <c r="T1595">
        <v>-0.21399270000000001</v>
      </c>
      <c r="U1595">
        <v>-3.0102229999999999</v>
      </c>
      <c r="V1595">
        <v>9.2530899999999999E-2</v>
      </c>
      <c r="W1595">
        <v>-6.2915949999999997E-3</v>
      </c>
      <c r="X1595">
        <v>0.99568990000000002</v>
      </c>
      <c r="Y1595">
        <v>-6.6756640000000004E-3</v>
      </c>
      <c r="Z1595">
        <v>7.0872340000000006E-2</v>
      </c>
      <c r="AA1595">
        <v>0.99746299999999999</v>
      </c>
      <c r="AB1595">
        <v>24</v>
      </c>
      <c r="AC1595">
        <v>0.426599999999979</v>
      </c>
      <c r="AD1595">
        <v>-1.1093415078933</v>
      </c>
      <c r="AE1595">
        <v>-15.362699999999901</v>
      </c>
      <c r="AF1595">
        <v>-0.105303926892568</v>
      </c>
      <c r="AG1595">
        <v>-1.1093415078933</v>
      </c>
      <c r="AH1595">
        <v>15.2885995402048</v>
      </c>
      <c r="AI1595">
        <v>94.150013191255994</v>
      </c>
      <c r="AJ1595">
        <v>90.394632297921007</v>
      </c>
      <c r="AK1595">
        <v>15.3291553387297</v>
      </c>
      <c r="AL1595">
        <v>90.360484231049099</v>
      </c>
      <c r="AM1595">
        <v>84.690669684412995</v>
      </c>
      <c r="AN1595">
        <v>0.99999996429223104</v>
      </c>
    </row>
    <row r="1596" spans="1:40" x14ac:dyDescent="0.25">
      <c r="A1596" t="str">
        <f>"20190312154827074"</f>
        <v>20190312154827074</v>
      </c>
      <c r="B1596" t="str">
        <f>"1552376907067127"</f>
        <v>1552376907067127</v>
      </c>
      <c r="C1596" t="s">
        <v>40</v>
      </c>
      <c r="D1596">
        <v>4.6551330000000002</v>
      </c>
      <c r="E1596">
        <v>0.4609917</v>
      </c>
      <c r="F1596" t="s">
        <v>49</v>
      </c>
      <c r="G1596">
        <v>-190.84739999999999</v>
      </c>
      <c r="H1596" s="1">
        <v>6.3645729999999997E-7</v>
      </c>
      <c r="I1596">
        <v>297.59269999999998</v>
      </c>
      <c r="J1596">
        <v>-191.33240000000001</v>
      </c>
      <c r="K1596">
        <v>1.109321</v>
      </c>
      <c r="L1596">
        <v>313.13069999999999</v>
      </c>
      <c r="M1596">
        <v>2.0260500000000001E-2</v>
      </c>
      <c r="N1596">
        <v>0</v>
      </c>
      <c r="O1596">
        <v>-0.9997085</v>
      </c>
      <c r="P1596">
        <v>-7.2053010000000001E-2</v>
      </c>
      <c r="Q1596">
        <v>-1.9121889999999999E-2</v>
      </c>
      <c r="R1596">
        <v>-0.99721769999999998</v>
      </c>
      <c r="S1596">
        <v>9.341431E-2</v>
      </c>
      <c r="T1596">
        <v>-0.2120023</v>
      </c>
      <c r="U1596">
        <v>-3.0109560000000002</v>
      </c>
      <c r="V1596">
        <v>9.2237180000000002E-2</v>
      </c>
      <c r="W1596">
        <v>-6.1337830000000003E-3</v>
      </c>
      <c r="X1596">
        <v>0.9957182</v>
      </c>
      <c r="Y1596">
        <v>-1.067451E-2</v>
      </c>
      <c r="Z1596">
        <v>7.0196030000000006E-2</v>
      </c>
      <c r="AA1596">
        <v>0.99747609999999998</v>
      </c>
      <c r="AB1596">
        <v>24</v>
      </c>
      <c r="AC1596">
        <v>0.48500000000001298</v>
      </c>
      <c r="AD1596">
        <v>-1.1093203635427</v>
      </c>
      <c r="AE1596">
        <v>-15.538</v>
      </c>
      <c r="AF1596">
        <v>-0.169204024579165</v>
      </c>
      <c r="AG1596">
        <v>-1.1093203635427</v>
      </c>
      <c r="AH1596">
        <v>15.4658827063505</v>
      </c>
      <c r="AI1596">
        <v>94.102379946285595</v>
      </c>
      <c r="AJ1596">
        <v>90.626817744517595</v>
      </c>
      <c r="AK1596">
        <v>15.5065389290291</v>
      </c>
      <c r="AL1596">
        <v>90.351442072533999</v>
      </c>
      <c r="AM1596">
        <v>84.707576755654003</v>
      </c>
      <c r="AN1596">
        <v>1.00000002723974</v>
      </c>
    </row>
    <row r="1597" spans="1:40" x14ac:dyDescent="0.25">
      <c r="A1597" t="str">
        <f>"20190312154827096"</f>
        <v>20190312154827096</v>
      </c>
      <c r="B1597" t="str">
        <f>"1552376907087623"</f>
        <v>1552376907087623</v>
      </c>
      <c r="C1597" t="s">
        <v>40</v>
      </c>
      <c r="D1597">
        <v>4.6688130000000001</v>
      </c>
      <c r="E1597">
        <v>0.46037400000000001</v>
      </c>
      <c r="F1597" t="s">
        <v>49</v>
      </c>
      <c r="G1597">
        <v>-190.81909999999999</v>
      </c>
      <c r="H1597" s="1">
        <v>6.9101150000000003E-7</v>
      </c>
      <c r="I1597">
        <v>297.44540000000001</v>
      </c>
      <c r="J1597">
        <v>-191.32849999999999</v>
      </c>
      <c r="K1597">
        <v>1.109294</v>
      </c>
      <c r="L1597">
        <v>312.89929999999998</v>
      </c>
      <c r="M1597">
        <v>1.9561370000000002E-2</v>
      </c>
      <c r="N1597">
        <v>0</v>
      </c>
      <c r="O1597">
        <v>-0.99972119999999998</v>
      </c>
      <c r="P1597">
        <v>-7.2990979999999997E-2</v>
      </c>
      <c r="Q1597">
        <v>-1.8698869999999999E-2</v>
      </c>
      <c r="R1597">
        <v>-0.99715759999999998</v>
      </c>
      <c r="S1597">
        <v>9.8541260000000006E-2</v>
      </c>
      <c r="T1597">
        <v>-0.21298</v>
      </c>
      <c r="U1597">
        <v>-3.011444</v>
      </c>
      <c r="V1597">
        <v>9.2477690000000001E-2</v>
      </c>
      <c r="W1597">
        <v>-5.6335269999999897E-3</v>
      </c>
      <c r="X1597">
        <v>0.99569879999999999</v>
      </c>
      <c r="Y1597">
        <v>-1.306448E-2</v>
      </c>
      <c r="Z1597">
        <v>7.0505349999999994E-2</v>
      </c>
      <c r="AA1597">
        <v>0.99742589999999998</v>
      </c>
      <c r="AB1597">
        <v>24</v>
      </c>
      <c r="AC1597">
        <v>0.50939999999999896</v>
      </c>
      <c r="AD1597">
        <v>-1.1092933089885</v>
      </c>
      <c r="AE1597">
        <v>-15.4538999999999</v>
      </c>
      <c r="AF1597">
        <v>-0.20591679047179001</v>
      </c>
      <c r="AG1597">
        <v>-1.1092933089885</v>
      </c>
      <c r="AH1597">
        <v>15.3817397987268</v>
      </c>
      <c r="AI1597">
        <v>94.124521440657105</v>
      </c>
      <c r="AJ1597">
        <v>90.7669781478114</v>
      </c>
      <c r="AK1597">
        <v>15.423062361467</v>
      </c>
      <c r="AL1597">
        <v>90.322779034648093</v>
      </c>
      <c r="AM1597">
        <v>84.693752547219304</v>
      </c>
      <c r="AN1597">
        <v>0.99999998004781698</v>
      </c>
    </row>
    <row r="1598" spans="1:40" x14ac:dyDescent="0.25">
      <c r="A1598" t="str">
        <f>"20190312154827119"</f>
        <v>20190312154827119</v>
      </c>
      <c r="B1598" t="str">
        <f>"1552376907107143"</f>
        <v>1552376907107143</v>
      </c>
      <c r="C1598" t="s">
        <v>40</v>
      </c>
      <c r="D1598">
        <v>4.6984399999999997</v>
      </c>
      <c r="E1598">
        <v>0.45985280000000001</v>
      </c>
      <c r="F1598" t="s">
        <v>49</v>
      </c>
      <c r="G1598">
        <v>-190.8032</v>
      </c>
      <c r="H1598" s="1">
        <v>7.9475709999999896E-7</v>
      </c>
      <c r="I1598">
        <v>297.15589999999997</v>
      </c>
      <c r="J1598">
        <v>-191.3244</v>
      </c>
      <c r="K1598">
        <v>1.109267</v>
      </c>
      <c r="L1598">
        <v>312.64510000000001</v>
      </c>
      <c r="M1598">
        <v>1.8737480000000001E-2</v>
      </c>
      <c r="N1598">
        <v>0</v>
      </c>
      <c r="O1598">
        <v>-0.99973590000000001</v>
      </c>
      <c r="P1598">
        <v>-7.4452710000000005E-2</v>
      </c>
      <c r="Q1598">
        <v>-1.8777829999999999E-2</v>
      </c>
      <c r="R1598">
        <v>-0.99704800000000005</v>
      </c>
      <c r="S1598">
        <v>0.1004944</v>
      </c>
      <c r="T1598">
        <v>-0.21222650000000001</v>
      </c>
      <c r="U1598">
        <v>-3.0119630000000002</v>
      </c>
      <c r="V1598">
        <v>9.3116160000000003E-2</v>
      </c>
      <c r="W1598">
        <v>-5.6418859999999996E-3</v>
      </c>
      <c r="X1598">
        <v>0.9956393</v>
      </c>
      <c r="Y1598">
        <v>-1.452957E-2</v>
      </c>
      <c r="Z1598">
        <v>7.0245310000000005E-2</v>
      </c>
      <c r="AA1598">
        <v>0.99742390000000003</v>
      </c>
      <c r="AB1598">
        <v>24</v>
      </c>
      <c r="AC1598">
        <v>0.521199999999993</v>
      </c>
      <c r="AD1598">
        <v>-1.1092662052428901</v>
      </c>
      <c r="AE1598">
        <v>-15.4892</v>
      </c>
      <c r="AF1598">
        <v>-0.229677579445344</v>
      </c>
      <c r="AG1598">
        <v>-1.1092662052428901</v>
      </c>
      <c r="AH1598">
        <v>15.417264800505899</v>
      </c>
      <c r="AI1598">
        <v>94.114862487998707</v>
      </c>
      <c r="AJ1598">
        <v>90.853496566100404</v>
      </c>
      <c r="AK1598">
        <v>15.458825221649599</v>
      </c>
      <c r="AL1598">
        <v>90.323257960599193</v>
      </c>
      <c r="AM1598">
        <v>84.657011820418703</v>
      </c>
      <c r="AN1598">
        <v>1.00000003291763</v>
      </c>
    </row>
    <row r="1599" spans="1:40" x14ac:dyDescent="0.25">
      <c r="A1599" t="str">
        <f>"20190312154827140"</f>
        <v>20190312154827140</v>
      </c>
      <c r="B1599" t="str">
        <f>"1552376907127642"</f>
        <v>1552376907127642</v>
      </c>
      <c r="C1599" t="s">
        <v>40</v>
      </c>
      <c r="D1599">
        <v>4.6918110000000004</v>
      </c>
      <c r="E1599">
        <v>0.45937869999999997</v>
      </c>
      <c r="F1599" t="s">
        <v>49</v>
      </c>
      <c r="G1599">
        <v>-190.803</v>
      </c>
      <c r="H1599" s="1">
        <v>8.4145240000000003E-7</v>
      </c>
      <c r="I1599">
        <v>297.02390000000003</v>
      </c>
      <c r="J1599">
        <v>-191.3212</v>
      </c>
      <c r="K1599">
        <v>1.109229</v>
      </c>
      <c r="L1599">
        <v>312.42399999999998</v>
      </c>
      <c r="M1599">
        <v>1.7973670000000001E-2</v>
      </c>
      <c r="N1599">
        <v>0</v>
      </c>
      <c r="O1599">
        <v>-0.99974909999999995</v>
      </c>
      <c r="P1599">
        <v>-7.6535729999999996E-2</v>
      </c>
      <c r="Q1599">
        <v>-1.849367E-2</v>
      </c>
      <c r="R1599">
        <v>-0.99689539999999999</v>
      </c>
      <c r="S1599">
        <v>0.1005554</v>
      </c>
      <c r="T1599">
        <v>-0.2139074</v>
      </c>
      <c r="U1599">
        <v>-3.0123289999999998</v>
      </c>
      <c r="V1599">
        <v>9.4435539999999998E-2</v>
      </c>
      <c r="W1599">
        <v>-5.3079260000000001E-3</v>
      </c>
      <c r="X1599">
        <v>0.99551679999999998</v>
      </c>
      <c r="Y1599">
        <v>-1.530834E-2</v>
      </c>
      <c r="Z1599">
        <v>7.0791389999999996E-2</v>
      </c>
      <c r="AA1599">
        <v>0.99737359999999997</v>
      </c>
      <c r="AB1599">
        <v>24</v>
      </c>
      <c r="AC1599">
        <v>0.51820000000000699</v>
      </c>
      <c r="AD1599">
        <v>-1.1092281585476</v>
      </c>
      <c r="AE1599">
        <v>-15.4001</v>
      </c>
      <c r="AF1599">
        <v>-0.240051264708773</v>
      </c>
      <c r="AG1599">
        <v>-1.1092281585476</v>
      </c>
      <c r="AH1599">
        <v>15.3274984575974</v>
      </c>
      <c r="AI1599">
        <v>94.138688299357398</v>
      </c>
      <c r="AJ1599">
        <v>90.897263177596301</v>
      </c>
      <c r="AK1599">
        <v>15.369457397223</v>
      </c>
      <c r="AL1599">
        <v>90.304123194302605</v>
      </c>
      <c r="AM1599">
        <v>84.581090704434601</v>
      </c>
      <c r="AN1599">
        <v>0.99999997218787595</v>
      </c>
    </row>
    <row r="1600" spans="1:40" x14ac:dyDescent="0.25">
      <c r="A1600" t="str">
        <f>"20190312154827163"</f>
        <v>20190312154827163</v>
      </c>
      <c r="B1600" t="str">
        <f>"1552376907156920"</f>
        <v>1552376907156920</v>
      </c>
      <c r="C1600" t="s">
        <v>40</v>
      </c>
      <c r="D1600">
        <v>4.7273120000000004</v>
      </c>
      <c r="E1600">
        <v>0.45863870000000001</v>
      </c>
      <c r="F1600" t="s">
        <v>49</v>
      </c>
      <c r="G1600">
        <v>-190.8143</v>
      </c>
      <c r="H1600" s="1">
        <v>8.9674679999999997E-7</v>
      </c>
      <c r="I1600">
        <v>296.86470000000003</v>
      </c>
      <c r="J1600">
        <v>-191.3176</v>
      </c>
      <c r="K1600">
        <v>1.109205</v>
      </c>
      <c r="L1600">
        <v>312.1705</v>
      </c>
      <c r="M1600">
        <v>1.7048259999999999E-2</v>
      </c>
      <c r="N1600">
        <v>0</v>
      </c>
      <c r="O1600">
        <v>-0.99976449999999994</v>
      </c>
      <c r="P1600">
        <v>-7.8384090000000003E-2</v>
      </c>
      <c r="Q1600">
        <v>-1.762507E-2</v>
      </c>
      <c r="R1600">
        <v>-0.99676770000000003</v>
      </c>
      <c r="S1600">
        <v>9.8144529999999994E-2</v>
      </c>
      <c r="T1600">
        <v>-0.21478920000000001</v>
      </c>
      <c r="U1600">
        <v>-3.0128780000000002</v>
      </c>
      <c r="V1600">
        <v>9.5360979999999998E-2</v>
      </c>
      <c r="W1600">
        <v>-4.3896229999999996E-3</v>
      </c>
      <c r="X1600">
        <v>0.99543309999999996</v>
      </c>
      <c r="Y1600">
        <v>-1.542991E-2</v>
      </c>
      <c r="Z1600">
        <v>7.1071449999999994E-2</v>
      </c>
      <c r="AA1600">
        <v>0.99735189999999996</v>
      </c>
      <c r="AB1600">
        <v>24</v>
      </c>
      <c r="AC1600">
        <v>0.50329999999999497</v>
      </c>
      <c r="AD1600">
        <v>-1.1092041032531901</v>
      </c>
      <c r="AE1600">
        <v>-15.3057999999999</v>
      </c>
      <c r="AF1600">
        <v>-0.24100172280632001</v>
      </c>
      <c r="AG1600">
        <v>-1.1092041032531901</v>
      </c>
      <c r="AH1600">
        <v>15.2322455414022</v>
      </c>
      <c r="AI1600">
        <v>94.164377822089193</v>
      </c>
      <c r="AJ1600">
        <v>90.906447410629099</v>
      </c>
      <c r="AK1600">
        <v>15.2744793628666</v>
      </c>
      <c r="AL1600">
        <v>90.251507674000393</v>
      </c>
      <c r="AM1600">
        <v>84.527850463172499</v>
      </c>
      <c r="AN1600">
        <v>1.0000000209361199</v>
      </c>
    </row>
    <row r="1601" spans="1:40" x14ac:dyDescent="0.25">
      <c r="A1601" t="str">
        <f>"20190312154827185"</f>
        <v>20190312154827185</v>
      </c>
      <c r="B1601" t="str">
        <f>"1552376907177416"</f>
        <v>1552376907177416</v>
      </c>
      <c r="C1601" t="s">
        <v>40</v>
      </c>
      <c r="D1601">
        <v>4.733409</v>
      </c>
      <c r="E1601">
        <v>0.45826630000000002</v>
      </c>
      <c r="F1601" t="s">
        <v>49</v>
      </c>
      <c r="G1601">
        <v>-190.81280000000001</v>
      </c>
      <c r="H1601" s="1">
        <v>9.5237620000000004E-7</v>
      </c>
      <c r="I1601">
        <v>296.70760000000001</v>
      </c>
      <c r="J1601">
        <v>-191.31469999999999</v>
      </c>
      <c r="K1601">
        <v>1.109189</v>
      </c>
      <c r="L1601">
        <v>311.93889999999999</v>
      </c>
      <c r="M1601">
        <v>1.615571E-2</v>
      </c>
      <c r="N1601">
        <v>0</v>
      </c>
      <c r="O1601">
        <v>-0.99977870000000002</v>
      </c>
      <c r="P1601">
        <v>-7.9764219999999997E-2</v>
      </c>
      <c r="Q1601">
        <v>-1.671183E-2</v>
      </c>
      <c r="R1601">
        <v>-0.99667380000000005</v>
      </c>
      <c r="S1601">
        <v>9.8388669999999998E-2</v>
      </c>
      <c r="T1601">
        <v>-0.21617420000000001</v>
      </c>
      <c r="U1601">
        <v>-3.0135800000000001</v>
      </c>
      <c r="V1601">
        <v>9.5852019999999996E-2</v>
      </c>
      <c r="W1601">
        <v>-3.4372199999999999E-3</v>
      </c>
      <c r="X1601">
        <v>0.99538959999999999</v>
      </c>
      <c r="Y1601">
        <v>-1.6394659999999998E-2</v>
      </c>
      <c r="Z1601">
        <v>7.1511779999999997E-2</v>
      </c>
      <c r="AA1601">
        <v>0.997305</v>
      </c>
      <c r="AB1601">
        <v>24</v>
      </c>
      <c r="AC1601">
        <v>0.50189999999997703</v>
      </c>
      <c r="AD1601">
        <v>-1.1091880476238001</v>
      </c>
      <c r="AE1601">
        <v>-15.2312999999999</v>
      </c>
      <c r="AF1601">
        <v>-0.25439205514310398</v>
      </c>
      <c r="AG1601">
        <v>-1.1091880476238001</v>
      </c>
      <c r="AH1601">
        <v>15.1571272603989</v>
      </c>
      <c r="AI1601">
        <v>94.1848174785071</v>
      </c>
      <c r="AJ1601">
        <v>90.961542545427506</v>
      </c>
      <c r="AK1601">
        <v>15.199786848197499</v>
      </c>
      <c r="AL1601">
        <v>90.196938598862701</v>
      </c>
      <c r="AM1601">
        <v>84.499606315427002</v>
      </c>
      <c r="AN1601">
        <v>0.99999994000378201</v>
      </c>
    </row>
    <row r="1602" spans="1:40" x14ac:dyDescent="0.25">
      <c r="A1602" t="str">
        <f>"20190312154827209"</f>
        <v>20190312154827209</v>
      </c>
      <c r="B1602" t="str">
        <f>"1552376907196935"</f>
        <v>1552376907196935</v>
      </c>
      <c r="C1602" t="s">
        <v>40</v>
      </c>
      <c r="D1602">
        <v>4.7352930000000004</v>
      </c>
      <c r="E1602">
        <v>0.45787129999999998</v>
      </c>
      <c r="F1602" t="s">
        <v>49</v>
      </c>
      <c r="G1602">
        <v>-190.81450000000001</v>
      </c>
      <c r="H1602" s="1">
        <v>1.0422510000000001E-6</v>
      </c>
      <c r="I1602">
        <v>296.45299999999997</v>
      </c>
      <c r="J1602">
        <v>-191.31180000000001</v>
      </c>
      <c r="K1602">
        <v>1.109181</v>
      </c>
      <c r="L1602">
        <v>311.68340000000001</v>
      </c>
      <c r="M1602">
        <v>1.512174E-2</v>
      </c>
      <c r="N1602">
        <v>0</v>
      </c>
      <c r="O1602">
        <v>-0.99979410000000002</v>
      </c>
      <c r="P1602">
        <v>-8.1968550000000001E-2</v>
      </c>
      <c r="Q1602">
        <v>-1.543638E-2</v>
      </c>
      <c r="R1602">
        <v>-0.99651529999999999</v>
      </c>
      <c r="S1602">
        <v>9.7366330000000001E-2</v>
      </c>
      <c r="T1602">
        <v>-0.21589510000000001</v>
      </c>
      <c r="U1602">
        <v>-3.014221</v>
      </c>
      <c r="V1602">
        <v>9.7026290000000001E-2</v>
      </c>
      <c r="W1602">
        <v>-2.127468E-3</v>
      </c>
      <c r="X1602">
        <v>0.99527960000000004</v>
      </c>
      <c r="Y1602">
        <v>-1.7084120000000001E-2</v>
      </c>
      <c r="Z1602">
        <v>7.1406499999999998E-2</v>
      </c>
      <c r="AA1602">
        <v>0.99730099999999999</v>
      </c>
      <c r="AB1602">
        <v>24</v>
      </c>
      <c r="AC1602">
        <v>0.49729999999999502</v>
      </c>
      <c r="AD1602">
        <v>-1.109179957749</v>
      </c>
      <c r="AE1602">
        <v>-15.230399999999999</v>
      </c>
      <c r="AF1602">
        <v>-0.26550522435847601</v>
      </c>
      <c r="AG1602">
        <v>-1.109179957749</v>
      </c>
      <c r="AH1602">
        <v>15.155881868677801</v>
      </c>
      <c r="AI1602">
        <v>94.185077187768599</v>
      </c>
      <c r="AJ1602">
        <v>91.003621764714694</v>
      </c>
      <c r="AK1602">
        <v>15.198734434818901</v>
      </c>
      <c r="AL1602">
        <v>90.121895022742805</v>
      </c>
      <c r="AM1602">
        <v>84.432031112504902</v>
      </c>
      <c r="AN1602">
        <v>1.0000000546237</v>
      </c>
    </row>
    <row r="1603" spans="1:40" x14ac:dyDescent="0.25">
      <c r="A1603" t="str">
        <f>"20190312154827231"</f>
        <v>20190312154827231</v>
      </c>
      <c r="B1603" t="str">
        <f>"1552376907227191"</f>
        <v>1552376907227191</v>
      </c>
      <c r="C1603" t="s">
        <v>40</v>
      </c>
      <c r="D1603">
        <v>5.056883</v>
      </c>
      <c r="E1603">
        <v>0.4865794</v>
      </c>
      <c r="F1603" t="s">
        <v>49</v>
      </c>
      <c r="G1603">
        <v>-190.82300000000001</v>
      </c>
      <c r="H1603" s="1">
        <v>1.188932E-6</v>
      </c>
      <c r="I1603">
        <v>296.03590000000003</v>
      </c>
      <c r="J1603">
        <v>-191.30930000000001</v>
      </c>
      <c r="K1603">
        <v>1.109173</v>
      </c>
      <c r="L1603">
        <v>311.44220000000001</v>
      </c>
      <c r="M1603">
        <v>1.4108590000000001E-2</v>
      </c>
      <c r="N1603">
        <v>0</v>
      </c>
      <c r="O1603">
        <v>-0.99980869999999999</v>
      </c>
      <c r="P1603">
        <v>-8.4551189999999998E-2</v>
      </c>
      <c r="Q1603">
        <v>-1.418765E-2</v>
      </c>
      <c r="R1603">
        <v>-0.99631829999999999</v>
      </c>
      <c r="S1603">
        <v>9.4177250000000004E-2</v>
      </c>
      <c r="T1603">
        <v>-0.21371589999999999</v>
      </c>
      <c r="U1603">
        <v>-3.0149539999999999</v>
      </c>
      <c r="V1603">
        <v>9.8599430000000002E-2</v>
      </c>
      <c r="W1603">
        <v>-8.5274720000000001E-4</v>
      </c>
      <c r="X1603">
        <v>0.99512679999999998</v>
      </c>
      <c r="Y1603">
        <v>-1.7037299999999998E-2</v>
      </c>
      <c r="Z1603">
        <v>7.0675089999999996E-2</v>
      </c>
      <c r="AA1603">
        <v>0.99735390000000002</v>
      </c>
      <c r="AB1603">
        <v>24</v>
      </c>
      <c r="AC1603">
        <v>0.48630000000002799</v>
      </c>
      <c r="AD1603">
        <v>-1.109171811068</v>
      </c>
      <c r="AE1603">
        <v>-15.4062999999999</v>
      </c>
      <c r="AF1603">
        <v>-0.26748541228507</v>
      </c>
      <c r="AG1603">
        <v>-1.109171811068</v>
      </c>
      <c r="AH1603">
        <v>15.3322364578045</v>
      </c>
      <c r="AI1603">
        <v>94.137082597411407</v>
      </c>
      <c r="AJ1603">
        <v>90.999477843531807</v>
      </c>
      <c r="AK1603">
        <v>15.374631226480901</v>
      </c>
      <c r="AL1603">
        <v>90.048858823357705</v>
      </c>
      <c r="AM1603">
        <v>84.341472580383595</v>
      </c>
      <c r="AN1603">
        <v>0.99999996142617498</v>
      </c>
    </row>
    <row r="1604" spans="1:40" x14ac:dyDescent="0.25">
      <c r="A1604" t="str">
        <f>"20190312154827255"</f>
        <v>20190312154827255</v>
      </c>
      <c r="B1604" t="str">
        <f>"1552376907247687"</f>
        <v>1552376907247687</v>
      </c>
      <c r="C1604" t="s">
        <v>40</v>
      </c>
      <c r="D1604">
        <v>4.7634679999999996</v>
      </c>
      <c r="E1604">
        <v>0.53531660000000003</v>
      </c>
      <c r="F1604" t="s">
        <v>41</v>
      </c>
      <c r="G1604">
        <v>-191.35040000000001</v>
      </c>
      <c r="H1604">
        <v>1.0324040000000001</v>
      </c>
      <c r="I1604">
        <v>310.56700000000001</v>
      </c>
      <c r="J1604">
        <v>-191.30699999999999</v>
      </c>
      <c r="K1604">
        <v>1.109162</v>
      </c>
      <c r="L1604">
        <v>311.18439999999998</v>
      </c>
      <c r="M1604">
        <v>1.299558E-2</v>
      </c>
      <c r="N1604">
        <v>0</v>
      </c>
      <c r="O1604">
        <v>-0.99982329999999997</v>
      </c>
      <c r="P1604">
        <v>-8.7492730000000005E-2</v>
      </c>
      <c r="Q1604">
        <v>-1.4618630000000001E-2</v>
      </c>
      <c r="R1604">
        <v>-0.996058</v>
      </c>
      <c r="S1604">
        <v>-0.13995360000000001</v>
      </c>
      <c r="T1604">
        <v>-0.26293339999999998</v>
      </c>
      <c r="U1604">
        <v>-2.995422</v>
      </c>
      <c r="V1604">
        <v>0.1004289</v>
      </c>
      <c r="W1604">
        <v>-1.2614569999999999E-3</v>
      </c>
      <c r="X1604">
        <v>0.99494340000000003</v>
      </c>
      <c r="Y1604">
        <v>5.9471990000000002E-2</v>
      </c>
      <c r="Z1604">
        <v>8.7306410000000001E-2</v>
      </c>
      <c r="AA1604">
        <v>0.99440470000000003</v>
      </c>
      <c r="AB1604">
        <v>24</v>
      </c>
      <c r="AC1604">
        <v>-4.3399999999991203E-2</v>
      </c>
      <c r="AD1604">
        <v>-7.6757999999999799E-2</v>
      </c>
      <c r="AE1604">
        <v>-0.61739999999997497</v>
      </c>
      <c r="AF1604">
        <v>5.0641646650449901E-2</v>
      </c>
      <c r="AG1604">
        <v>-7.6757999999999799E-2</v>
      </c>
      <c r="AH1604">
        <v>0.60744098518086298</v>
      </c>
      <c r="AI1604">
        <v>97.177251981363</v>
      </c>
      <c r="AJ1604">
        <v>85.234338305429404</v>
      </c>
      <c r="AK1604">
        <v>0.61436220376661099</v>
      </c>
      <c r="AL1604">
        <v>90.072276184036596</v>
      </c>
      <c r="AM1604">
        <v>84.236126207032996</v>
      </c>
      <c r="AN1604">
        <v>0.99999996221626497</v>
      </c>
    </row>
    <row r="1605" spans="1:40" x14ac:dyDescent="0.25">
      <c r="A1605" t="str">
        <f>"20190312154827275"</f>
        <v>20190312154827275</v>
      </c>
      <c r="B1605" t="str">
        <f>"1552376907267207"</f>
        <v>1552376907267207</v>
      </c>
      <c r="C1605" t="s">
        <v>40</v>
      </c>
      <c r="D1605">
        <v>4.8450139999999999</v>
      </c>
      <c r="E1605">
        <v>0.54928060000000001</v>
      </c>
      <c r="F1605" t="s">
        <v>49</v>
      </c>
      <c r="G1605">
        <v>-193.9787</v>
      </c>
      <c r="H1605" s="1">
        <v>7.5769570000000003E-7</v>
      </c>
      <c r="I1605">
        <v>296.46409999999997</v>
      </c>
      <c r="J1605">
        <v>-191.30529999999999</v>
      </c>
      <c r="K1605">
        <v>1.109154</v>
      </c>
      <c r="L1605">
        <v>310.97030000000001</v>
      </c>
      <c r="M1605">
        <v>1.2045480000000001E-2</v>
      </c>
      <c r="N1605">
        <v>0</v>
      </c>
      <c r="O1605">
        <v>-0.99983480000000002</v>
      </c>
      <c r="P1605">
        <v>-8.920053E-2</v>
      </c>
      <c r="Q1605">
        <v>-1.5501269999999999E-2</v>
      </c>
      <c r="R1605">
        <v>-0.99589309999999998</v>
      </c>
      <c r="S1605">
        <v>-0.53747559999999905</v>
      </c>
      <c r="T1605">
        <v>-0.22313730000000001</v>
      </c>
      <c r="U1605">
        <v>-2.961395</v>
      </c>
      <c r="V1605">
        <v>0.1011876</v>
      </c>
      <c r="W1605">
        <v>-2.1271860000000001E-3</v>
      </c>
      <c r="X1605">
        <v>0.99486509999999995</v>
      </c>
      <c r="Y1605">
        <v>0.18992880000000001</v>
      </c>
      <c r="Z1605">
        <v>7.3843800000000001E-2</v>
      </c>
      <c r="AA1605">
        <v>0.97901689999999997</v>
      </c>
      <c r="AB1605">
        <v>24</v>
      </c>
      <c r="AC1605">
        <v>-2.6734000000000102</v>
      </c>
      <c r="AD1605">
        <v>-1.1091532423043</v>
      </c>
      <c r="AE1605">
        <v>-14.5062</v>
      </c>
      <c r="AF1605">
        <v>2.83194399578933</v>
      </c>
      <c r="AG1605">
        <v>-1.1091532423043</v>
      </c>
      <c r="AH1605">
        <v>14.391569367636301</v>
      </c>
      <c r="AI1605">
        <v>94.324448088250705</v>
      </c>
      <c r="AJ1605">
        <v>78.867684668015997</v>
      </c>
      <c r="AK1605">
        <v>14.709432231520401</v>
      </c>
      <c r="AL1605">
        <v>90.121878870582904</v>
      </c>
      <c r="AM1605">
        <v>84.192425021926098</v>
      </c>
      <c r="AN1605">
        <v>1.0000000112560199</v>
      </c>
    </row>
    <row r="1606" spans="1:40" x14ac:dyDescent="0.25">
      <c r="A1606" t="str">
        <f>"20190312154827297"</f>
        <v>20190312154827297</v>
      </c>
      <c r="B1606" t="str">
        <f>"1552376907287702"</f>
        <v>1552376907287702</v>
      </c>
      <c r="C1606" t="s">
        <v>40</v>
      </c>
      <c r="D1606">
        <v>4.8616529999999996</v>
      </c>
      <c r="E1606">
        <v>0.55762819999999902</v>
      </c>
      <c r="F1606" t="s">
        <v>49</v>
      </c>
      <c r="G1606">
        <v>-194.2715</v>
      </c>
      <c r="H1606" s="1">
        <v>3.58978599999999E-7</v>
      </c>
      <c r="I1606">
        <v>297.57799999999997</v>
      </c>
      <c r="J1606">
        <v>-191.30369999999999</v>
      </c>
      <c r="K1606">
        <v>1.109146</v>
      </c>
      <c r="L1606">
        <v>310.73009999999999</v>
      </c>
      <c r="M1606">
        <v>1.0943909999999999E-2</v>
      </c>
      <c r="N1606">
        <v>0</v>
      </c>
      <c r="O1606">
        <v>-0.99984720000000005</v>
      </c>
      <c r="P1606">
        <v>-8.9206880000000002E-2</v>
      </c>
      <c r="Q1606">
        <v>-1.6182749999999999E-2</v>
      </c>
      <c r="R1606">
        <v>-0.99588200000000004</v>
      </c>
      <c r="S1606">
        <v>-0.65339659999999999</v>
      </c>
      <c r="T1606">
        <v>-0.2443265</v>
      </c>
      <c r="U1606">
        <v>-2.9500730000000002</v>
      </c>
      <c r="V1606">
        <v>0.1000965</v>
      </c>
      <c r="W1606">
        <v>-2.7880980000000001E-3</v>
      </c>
      <c r="X1606">
        <v>0.99497380000000002</v>
      </c>
      <c r="Y1606">
        <v>0.22621520000000001</v>
      </c>
      <c r="Z1606">
        <v>8.0491759999999996E-2</v>
      </c>
      <c r="AA1606">
        <v>0.970746</v>
      </c>
      <c r="AB1606">
        <v>24</v>
      </c>
      <c r="AC1606">
        <v>-2.9678000000000102</v>
      </c>
      <c r="AD1606">
        <v>-1.1091456410214</v>
      </c>
      <c r="AE1606">
        <v>-13.152100000000001</v>
      </c>
      <c r="AF1606">
        <v>3.0906555044244102</v>
      </c>
      <c r="AG1606">
        <v>-1.1091456410214</v>
      </c>
      <c r="AH1606">
        <v>13.03064709993</v>
      </c>
      <c r="AI1606">
        <v>94.734461439020393</v>
      </c>
      <c r="AJ1606">
        <v>76.656944391335998</v>
      </c>
      <c r="AK1606">
        <v>13.438010244933601</v>
      </c>
      <c r="AL1606">
        <v>90.159746459587893</v>
      </c>
      <c r="AM1606">
        <v>84.255250037972203</v>
      </c>
      <c r="AN1606">
        <v>0.99999997274457297</v>
      </c>
    </row>
    <row r="1607" spans="1:40" x14ac:dyDescent="0.25">
      <c r="A1607" t="str">
        <f>"20190312154827320"</f>
        <v>20190312154827320</v>
      </c>
      <c r="B1607" t="str">
        <f>"1552376907307223"</f>
        <v>1552376907307223</v>
      </c>
      <c r="C1607" t="s">
        <v>40</v>
      </c>
      <c r="D1607">
        <v>4.8189209999999996</v>
      </c>
      <c r="E1607">
        <v>0.56144450000000001</v>
      </c>
      <c r="F1607" t="s">
        <v>49</v>
      </c>
      <c r="G1607">
        <v>-194.54900000000001</v>
      </c>
      <c r="H1607" s="1">
        <v>3.7985359999999999E-7</v>
      </c>
      <c r="I1607">
        <v>297.45949999999999</v>
      </c>
      <c r="J1607">
        <v>-191.30240000000001</v>
      </c>
      <c r="K1607">
        <v>1.1091439999999999</v>
      </c>
      <c r="L1607">
        <v>310.48899999999998</v>
      </c>
      <c r="M1607">
        <v>9.7915680000000005E-3</v>
      </c>
      <c r="N1607">
        <v>0</v>
      </c>
      <c r="O1607">
        <v>-0.99985880000000005</v>
      </c>
      <c r="P1607">
        <v>-8.8025399999999906E-2</v>
      </c>
      <c r="Q1607">
        <v>-1.448167E-2</v>
      </c>
      <c r="R1607">
        <v>-0.99601300000000004</v>
      </c>
      <c r="S1607">
        <v>-0.71994019999999903</v>
      </c>
      <c r="T1607">
        <v>-0.24604899999999999</v>
      </c>
      <c r="U1607">
        <v>-2.9439090000000001</v>
      </c>
      <c r="V1607">
        <v>9.7772810000000002E-2</v>
      </c>
      <c r="W1607">
        <v>-1.0670860000000001E-3</v>
      </c>
      <c r="X1607">
        <v>0.99520819999999999</v>
      </c>
      <c r="Y1607">
        <v>0.2462753</v>
      </c>
      <c r="Z1607">
        <v>8.0817189999999997E-2</v>
      </c>
      <c r="AA1607">
        <v>0.96582449999999997</v>
      </c>
      <c r="AB1607">
        <v>24</v>
      </c>
      <c r="AC1607">
        <v>-3.2465999999999999</v>
      </c>
      <c r="AD1607">
        <v>-1.1091436201464</v>
      </c>
      <c r="AE1607">
        <v>-13.029500000000001</v>
      </c>
      <c r="AF1607">
        <v>3.3511712410480499</v>
      </c>
      <c r="AG1607">
        <v>-1.1091436201464</v>
      </c>
      <c r="AH1607">
        <v>12.909007975640799</v>
      </c>
      <c r="AI1607">
        <v>94.753980246130197</v>
      </c>
      <c r="AJ1607">
        <v>75.447283087390602</v>
      </c>
      <c r="AK1607">
        <v>13.3829382114727</v>
      </c>
      <c r="AL1607">
        <v>90.061139535095805</v>
      </c>
      <c r="AM1607">
        <v>84.389063520673105</v>
      </c>
      <c r="AN1607">
        <v>1.00000001119753</v>
      </c>
    </row>
    <row r="1608" spans="1:40" x14ac:dyDescent="0.25">
      <c r="A1608" t="str">
        <f>"20190312154827342"</f>
        <v>20190312154827342</v>
      </c>
      <c r="B1608" t="str">
        <f>"1552376907337479"</f>
        <v>1552376907337479</v>
      </c>
      <c r="C1608" t="s">
        <v>40</v>
      </c>
      <c r="D1608">
        <v>4.7804219999999997</v>
      </c>
      <c r="E1608">
        <v>0.56523400000000001</v>
      </c>
      <c r="F1608" t="s">
        <v>49</v>
      </c>
      <c r="G1608">
        <v>-194.7518</v>
      </c>
      <c r="H1608" s="1">
        <v>5.356176E-7</v>
      </c>
      <c r="I1608">
        <v>296.89830000000001</v>
      </c>
      <c r="J1608">
        <v>-191.3014</v>
      </c>
      <c r="K1608">
        <v>1.109129</v>
      </c>
      <c r="L1608">
        <v>310.26089999999999</v>
      </c>
      <c r="M1608">
        <v>8.6490509999999996E-3</v>
      </c>
      <c r="N1608">
        <v>0</v>
      </c>
      <c r="O1608">
        <v>-0.99986920000000001</v>
      </c>
      <c r="P1608">
        <v>-8.6363579999999995E-2</v>
      </c>
      <c r="Q1608">
        <v>-1.0877309999999999E-2</v>
      </c>
      <c r="R1608">
        <v>-0.9962046</v>
      </c>
      <c r="S1608">
        <v>-0.7468262</v>
      </c>
      <c r="T1608">
        <v>-0.24013960000000001</v>
      </c>
      <c r="U1608">
        <v>-2.9425050000000001</v>
      </c>
      <c r="V1608">
        <v>9.4982499999999997E-2</v>
      </c>
      <c r="W1608">
        <v>2.5542389999999998E-3</v>
      </c>
      <c r="X1608">
        <v>0.99547560000000002</v>
      </c>
      <c r="Y1608">
        <v>0.25361640000000002</v>
      </c>
      <c r="Z1608">
        <v>7.8765219999999997E-2</v>
      </c>
      <c r="AA1608">
        <v>0.96409270000000002</v>
      </c>
      <c r="AB1608">
        <v>24</v>
      </c>
      <c r="AC1608">
        <v>-3.4504000000000001</v>
      </c>
      <c r="AD1608">
        <v>-1.1091284643824</v>
      </c>
      <c r="AE1608">
        <v>-13.362599999999899</v>
      </c>
      <c r="AF1608">
        <v>3.54297226767047</v>
      </c>
      <c r="AG1608">
        <v>-1.1091284643824</v>
      </c>
      <c r="AH1608">
        <v>13.2466972107426</v>
      </c>
      <c r="AI1608">
        <v>94.6243339644016</v>
      </c>
      <c r="AJ1608">
        <v>75.026111379001406</v>
      </c>
      <c r="AK1608">
        <v>13.757100182563301</v>
      </c>
      <c r="AL1608">
        <v>89.853652716761303</v>
      </c>
      <c r="AM1608">
        <v>84.5496692287754</v>
      </c>
      <c r="AN1608">
        <v>0.99999993481923699</v>
      </c>
    </row>
    <row r="1609" spans="1:40" x14ac:dyDescent="0.25">
      <c r="A1609" t="str">
        <f>"20190312154827364"</f>
        <v>20190312154827364</v>
      </c>
      <c r="B1609" t="str">
        <f>"1552376907357000"</f>
        <v>1552376907357000</v>
      </c>
      <c r="C1609" t="s">
        <v>40</v>
      </c>
      <c r="D1609">
        <v>4.7924699999999998</v>
      </c>
      <c r="E1609">
        <v>0.56679309999999905</v>
      </c>
      <c r="F1609" t="s">
        <v>49</v>
      </c>
      <c r="G1609">
        <v>-195.0256</v>
      </c>
      <c r="H1609" s="1">
        <v>8.0752849999999898E-7</v>
      </c>
      <c r="I1609">
        <v>296.06049999999999</v>
      </c>
      <c r="J1609">
        <v>-191.30080000000001</v>
      </c>
      <c r="K1609">
        <v>1.109097</v>
      </c>
      <c r="L1609">
        <v>310.01639999999998</v>
      </c>
      <c r="M1609">
        <v>7.3575389999999997E-3</v>
      </c>
      <c r="N1609">
        <v>0</v>
      </c>
      <c r="O1609">
        <v>-0.99987939999999997</v>
      </c>
      <c r="P1609">
        <v>-8.4940989999999994E-2</v>
      </c>
      <c r="Q1609">
        <v>-8.5968420000000004E-3</v>
      </c>
      <c r="R1609">
        <v>-0.99634929999999999</v>
      </c>
      <c r="S1609">
        <v>-0.77157589999999998</v>
      </c>
      <c r="T1609">
        <v>-0.22979179999999999</v>
      </c>
      <c r="U1609">
        <v>-2.942078</v>
      </c>
      <c r="V1609">
        <v>9.2280210000000001E-2</v>
      </c>
      <c r="W1609">
        <v>4.8482859999999899E-3</v>
      </c>
      <c r="X1609">
        <v>0.99572130000000003</v>
      </c>
      <c r="Y1609">
        <v>0.26006770000000001</v>
      </c>
      <c r="Z1609">
        <v>7.5260190000000005E-2</v>
      </c>
      <c r="AA1609">
        <v>0.96265290000000003</v>
      </c>
      <c r="AB1609">
        <v>24</v>
      </c>
      <c r="AC1609">
        <v>-3.7247999999999801</v>
      </c>
      <c r="AD1609">
        <v>-1.1090961924714999</v>
      </c>
      <c r="AE1609">
        <v>-13.9558999999999</v>
      </c>
      <c r="AF1609">
        <v>3.8049568157420399</v>
      </c>
      <c r="AG1609">
        <v>-1.1090961924714999</v>
      </c>
      <c r="AH1609">
        <v>13.8464790439892</v>
      </c>
      <c r="AI1609">
        <v>94.416551825255496</v>
      </c>
      <c r="AJ1609">
        <v>74.634616795521893</v>
      </c>
      <c r="AK1609">
        <v>14.4025266064482</v>
      </c>
      <c r="AL1609">
        <v>89.722212593035096</v>
      </c>
      <c r="AM1609">
        <v>84.705138183247897</v>
      </c>
      <c r="AN1609">
        <v>1.00000002515423</v>
      </c>
    </row>
    <row r="1610" spans="1:40" x14ac:dyDescent="0.25">
      <c r="A1610" t="str">
        <f>"20190312154827386"</f>
        <v>20190312154827386</v>
      </c>
      <c r="B1610" t="str">
        <f>"1552376907377495"</f>
        <v>1552376907377495</v>
      </c>
      <c r="C1610" t="s">
        <v>40</v>
      </c>
      <c r="D1610">
        <v>4.8082370000000001</v>
      </c>
      <c r="E1610">
        <v>0.56865589999999999</v>
      </c>
      <c r="F1610" t="s">
        <v>49</v>
      </c>
      <c r="G1610">
        <v>-195.03989999999999</v>
      </c>
      <c r="H1610" s="1">
        <v>8.6273259999999905E-7</v>
      </c>
      <c r="I1610">
        <v>295.90069999999997</v>
      </c>
      <c r="J1610">
        <v>-191.3006</v>
      </c>
      <c r="K1610">
        <v>1.1090500000000001</v>
      </c>
      <c r="L1610">
        <v>309.7878</v>
      </c>
      <c r="M1610">
        <v>6.0680639999999997E-3</v>
      </c>
      <c r="N1610">
        <v>0</v>
      </c>
      <c r="O1610">
        <v>-0.99988779999999999</v>
      </c>
      <c r="P1610">
        <v>-8.4768120000000002E-2</v>
      </c>
      <c r="Q1610">
        <v>-7.4247760000000001E-3</v>
      </c>
      <c r="R1610">
        <v>-0.99637339999999996</v>
      </c>
      <c r="S1610">
        <v>-0.77946470000000001</v>
      </c>
      <c r="T1610">
        <v>-0.2312014</v>
      </c>
      <c r="U1610">
        <v>-2.9425659999999998</v>
      </c>
      <c r="V1610">
        <v>9.0826560000000001E-2</v>
      </c>
      <c r="W1610">
        <v>6.0251030000000004E-3</v>
      </c>
      <c r="X1610">
        <v>0.99584850000000003</v>
      </c>
      <c r="Y1610">
        <v>0.26118849999999999</v>
      </c>
      <c r="Z1610">
        <v>7.5671130000000003E-2</v>
      </c>
      <c r="AA1610">
        <v>0.96231719999999998</v>
      </c>
      <c r="AB1610">
        <v>24</v>
      </c>
      <c r="AC1610">
        <v>-3.7392999999999801</v>
      </c>
      <c r="AD1610">
        <v>-1.1090491372673901</v>
      </c>
      <c r="AE1610">
        <v>-13.8871</v>
      </c>
      <c r="AF1610">
        <v>3.80090382617795</v>
      </c>
      <c r="AG1610">
        <v>-1.1090491372673901</v>
      </c>
      <c r="AH1610">
        <v>13.782192556278799</v>
      </c>
      <c r="AI1610">
        <v>94.435766278628606</v>
      </c>
      <c r="AJ1610">
        <v>74.582012329123401</v>
      </c>
      <c r="AK1610">
        <v>14.3396545126818</v>
      </c>
      <c r="AL1610">
        <v>89.654784938429898</v>
      </c>
      <c r="AM1610">
        <v>84.788744896734897</v>
      </c>
      <c r="AN1610">
        <v>1.0000000004099201</v>
      </c>
    </row>
    <row r="1611" spans="1:40" x14ac:dyDescent="0.25">
      <c r="A1611" t="str">
        <f>"20190312154827410"</f>
        <v>20190312154827410</v>
      </c>
      <c r="B1611" t="str">
        <f>"1552376907397015"</f>
        <v>1552376907397015</v>
      </c>
      <c r="C1611" t="s">
        <v>40</v>
      </c>
      <c r="D1611">
        <v>4.812214</v>
      </c>
      <c r="E1611">
        <v>0.57002849999999905</v>
      </c>
      <c r="F1611" t="s">
        <v>49</v>
      </c>
      <c r="G1611">
        <v>-195.01089999999999</v>
      </c>
      <c r="H1611" s="1">
        <v>8.1858309999999998E-7</v>
      </c>
      <c r="I1611">
        <v>296.03280000000001</v>
      </c>
      <c r="J1611">
        <v>-191.30080000000001</v>
      </c>
      <c r="K1611">
        <v>1.1089850000000001</v>
      </c>
      <c r="L1611">
        <v>309.52330000000001</v>
      </c>
      <c r="M1611">
        <v>4.4622949999999998E-3</v>
      </c>
      <c r="N1611">
        <v>0</v>
      </c>
      <c r="O1611">
        <v>-0.99989600000000001</v>
      </c>
      <c r="P1611">
        <v>-8.6093489999999995E-2</v>
      </c>
      <c r="Q1611">
        <v>-7.3608629999999996E-3</v>
      </c>
      <c r="R1611">
        <v>-0.99626009999999998</v>
      </c>
      <c r="S1611">
        <v>-0.79348750000000001</v>
      </c>
      <c r="T1611">
        <v>-0.23717940000000001</v>
      </c>
      <c r="U1611">
        <v>-2.9416199999999999</v>
      </c>
      <c r="V1611">
        <v>9.0553159999999994E-2</v>
      </c>
      <c r="W1611">
        <v>6.0875679999999998E-3</v>
      </c>
      <c r="X1611">
        <v>0.99587300000000001</v>
      </c>
      <c r="Y1611">
        <v>0.26395770000000002</v>
      </c>
      <c r="Z1611">
        <v>7.7564220000000003E-2</v>
      </c>
      <c r="AA1611">
        <v>0.96141049999999995</v>
      </c>
      <c r="AB1611">
        <v>24</v>
      </c>
      <c r="AC1611">
        <v>-3.7100999999999802</v>
      </c>
      <c r="AD1611">
        <v>-1.1089841814168999</v>
      </c>
      <c r="AE1611">
        <v>-13.4904999999999</v>
      </c>
      <c r="AF1611">
        <v>3.7467286081564701</v>
      </c>
      <c r="AG1611">
        <v>-1.1089841814168999</v>
      </c>
      <c r="AH1611">
        <v>13.389688268044999</v>
      </c>
      <c r="AI1611">
        <v>94.560256129225905</v>
      </c>
      <c r="AJ1611">
        <v>74.367214129826095</v>
      </c>
      <c r="AK1611">
        <v>13.948174543403001</v>
      </c>
      <c r="AL1611">
        <v>89.651205885747302</v>
      </c>
      <c r="AM1611">
        <v>84.804472605825296</v>
      </c>
      <c r="AN1611">
        <v>0.99999998269956902</v>
      </c>
    </row>
    <row r="1612" spans="1:40" x14ac:dyDescent="0.25">
      <c r="A1612" t="str">
        <f>"20190312154827433"</f>
        <v>20190312154827433</v>
      </c>
      <c r="B1612" t="str">
        <f>"1552376907427271"</f>
        <v>1552376907427271</v>
      </c>
      <c r="C1612" t="s">
        <v>40</v>
      </c>
      <c r="D1612">
        <v>4.8291279999999999</v>
      </c>
      <c r="E1612">
        <v>0.57212719999999995</v>
      </c>
      <c r="F1612" t="s">
        <v>49</v>
      </c>
      <c r="G1612">
        <v>-194.93270000000001</v>
      </c>
      <c r="H1612" s="1">
        <v>7.2990759999999897E-7</v>
      </c>
      <c r="I1612">
        <v>296.30329999999998</v>
      </c>
      <c r="J1612">
        <v>-191.3015</v>
      </c>
      <c r="K1612">
        <v>1.1089370000000001</v>
      </c>
      <c r="L1612">
        <v>309.2937</v>
      </c>
      <c r="M1612">
        <v>2.986626E-3</v>
      </c>
      <c r="N1612">
        <v>0</v>
      </c>
      <c r="O1612">
        <v>-0.99990129999999999</v>
      </c>
      <c r="P1612">
        <v>-8.6819950000000007E-2</v>
      </c>
      <c r="Q1612">
        <v>-6.5745019999999899E-3</v>
      </c>
      <c r="R1612">
        <v>-0.99620249999999999</v>
      </c>
      <c r="S1612">
        <v>-0.80761719999999904</v>
      </c>
      <c r="T1612">
        <v>-0.2466004</v>
      </c>
      <c r="U1612">
        <v>-2.939667</v>
      </c>
      <c r="V1612">
        <v>8.9812409999999995E-2</v>
      </c>
      <c r="W1612">
        <v>6.8733789999999998E-3</v>
      </c>
      <c r="X1612">
        <v>0.99593500000000001</v>
      </c>
      <c r="Y1612">
        <v>0.26693230000000001</v>
      </c>
      <c r="Z1612">
        <v>8.0593559999999995E-2</v>
      </c>
      <c r="AA1612">
        <v>0.96033939999999995</v>
      </c>
      <c r="AB1612">
        <v>24</v>
      </c>
      <c r="AC1612">
        <v>-3.6312000000000002</v>
      </c>
      <c r="AD1612">
        <v>-1.1089362700923999</v>
      </c>
      <c r="AE1612">
        <v>-12.990399999999999</v>
      </c>
      <c r="AF1612">
        <v>3.6453453640668001</v>
      </c>
      <c r="AG1612">
        <v>-1.1089362700923999</v>
      </c>
      <c r="AH1612">
        <v>12.8923541968877</v>
      </c>
      <c r="AI1612">
        <v>94.731583854269502</v>
      </c>
      <c r="AJ1612">
        <v>74.211617051016603</v>
      </c>
      <c r="AK1612">
        <v>13.4436259696727</v>
      </c>
      <c r="AL1612">
        <v>89.606181298577397</v>
      </c>
      <c r="AM1612">
        <v>84.847062771546604</v>
      </c>
      <c r="AN1612">
        <v>1.00000001827694</v>
      </c>
    </row>
    <row r="1613" spans="1:40" x14ac:dyDescent="0.25">
      <c r="A1613" t="str">
        <f>"20190312154827455"</f>
        <v>20190312154827455</v>
      </c>
      <c r="B1613" t="str">
        <f>"1552376907447766"</f>
        <v>1552376907447766</v>
      </c>
      <c r="C1613" t="s">
        <v>40</v>
      </c>
      <c r="D1613">
        <v>4.80701</v>
      </c>
      <c r="E1613">
        <v>0.57323610000000003</v>
      </c>
      <c r="F1613" t="s">
        <v>49</v>
      </c>
      <c r="G1613">
        <v>-194.90639999999999</v>
      </c>
      <c r="H1613" s="1">
        <v>6.7202309999999897E-7</v>
      </c>
      <c r="I1613">
        <v>296.47370000000001</v>
      </c>
      <c r="J1613">
        <v>-191.30260000000001</v>
      </c>
      <c r="K1613">
        <v>1.1088789999999999</v>
      </c>
      <c r="L1613">
        <v>309.05009999999999</v>
      </c>
      <c r="M1613">
        <v>1.3225139999999999E-3</v>
      </c>
      <c r="N1613">
        <v>0</v>
      </c>
      <c r="O1613">
        <v>-0.99990500000000004</v>
      </c>
      <c r="P1613">
        <v>-8.8391239999999996E-2</v>
      </c>
      <c r="Q1613">
        <v>-5.060808E-3</v>
      </c>
      <c r="R1613">
        <v>-0.99607299999999999</v>
      </c>
      <c r="S1613">
        <v>-0.82608029999999999</v>
      </c>
      <c r="T1613">
        <v>-0.25411830000000002</v>
      </c>
      <c r="U1613">
        <v>-2.9377749999999998</v>
      </c>
      <c r="V1613">
        <v>8.9730840000000006E-2</v>
      </c>
      <c r="W1613">
        <v>8.3829999999999998E-3</v>
      </c>
      <c r="X1613">
        <v>0.9959308</v>
      </c>
      <c r="Y1613">
        <v>0.27103389999999999</v>
      </c>
      <c r="Z1613">
        <v>8.2968349999999996E-2</v>
      </c>
      <c r="AA1613">
        <v>0.95898740000000005</v>
      </c>
      <c r="AB1613">
        <v>24</v>
      </c>
      <c r="AC1613">
        <v>-3.6037999999999699</v>
      </c>
      <c r="AD1613">
        <v>-1.1088783279768999</v>
      </c>
      <c r="AE1613">
        <v>-12.5763999999999</v>
      </c>
      <c r="AF1613">
        <v>3.5946062511578201</v>
      </c>
      <c r="AG1613">
        <v>-1.1088783279768999</v>
      </c>
      <c r="AH1613">
        <v>12.4819487656604</v>
      </c>
      <c r="AI1613">
        <v>94.879453985190594</v>
      </c>
      <c r="AJ1613">
        <v>73.934425989524001</v>
      </c>
      <c r="AK1613">
        <v>13.0364815128811</v>
      </c>
      <c r="AL1613">
        <v>89.519683868175093</v>
      </c>
      <c r="AM1613">
        <v>84.851696049402904</v>
      </c>
      <c r="AN1613">
        <v>1.00000002836237</v>
      </c>
    </row>
    <row r="1614" spans="1:40" x14ac:dyDescent="0.25">
      <c r="A1614" t="str">
        <f>"20190312154827477"</f>
        <v>20190312154827477</v>
      </c>
      <c r="B1614" t="str">
        <f>"1552376907467287"</f>
        <v>1552376907467287</v>
      </c>
      <c r="C1614" t="s">
        <v>40</v>
      </c>
      <c r="D1614">
        <v>4.8243159999999996</v>
      </c>
      <c r="E1614">
        <v>0.57404200000000005</v>
      </c>
      <c r="F1614" t="s">
        <v>49</v>
      </c>
      <c r="G1614">
        <v>-194.9393</v>
      </c>
      <c r="H1614" s="1">
        <v>7.2126549999999998E-7</v>
      </c>
      <c r="I1614">
        <v>296.3261</v>
      </c>
      <c r="J1614">
        <v>-191.30410000000001</v>
      </c>
      <c r="K1614">
        <v>1.1088260000000001</v>
      </c>
      <c r="L1614">
        <v>308.82900000000001</v>
      </c>
      <c r="M1614">
        <v>-2.9160999999999998E-4</v>
      </c>
      <c r="N1614">
        <v>0</v>
      </c>
      <c r="O1614">
        <v>-0.99990559999999995</v>
      </c>
      <c r="P1614">
        <v>-9.0703930000000002E-2</v>
      </c>
      <c r="Q1614">
        <v>-3.8281209999999999E-3</v>
      </c>
      <c r="R1614">
        <v>-0.99587079999999994</v>
      </c>
      <c r="S1614">
        <v>-0.83915709999999999</v>
      </c>
      <c r="T1614">
        <v>-0.25587110000000002</v>
      </c>
      <c r="U1614">
        <v>-2.936035</v>
      </c>
      <c r="V1614">
        <v>9.0440389999999996E-2</v>
      </c>
      <c r="W1614">
        <v>9.6065160000000007E-3</v>
      </c>
      <c r="X1614">
        <v>0.9958555</v>
      </c>
      <c r="Y1614">
        <v>0.2735687</v>
      </c>
      <c r="Z1614">
        <v>8.3503949999999993E-2</v>
      </c>
      <c r="AA1614">
        <v>0.95822090000000004</v>
      </c>
      <c r="AB1614">
        <v>24</v>
      </c>
      <c r="AC1614">
        <v>-3.63519999999999</v>
      </c>
      <c r="AD1614">
        <v>-1.1088252787344901</v>
      </c>
      <c r="AE1614">
        <v>-12.5029</v>
      </c>
      <c r="AF1614">
        <v>3.6054069110284201</v>
      </c>
      <c r="AG1614">
        <v>-1.1088252787344901</v>
      </c>
      <c r="AH1614">
        <v>12.413933067692099</v>
      </c>
      <c r="AI1614">
        <v>94.902636368674806</v>
      </c>
      <c r="AJ1614">
        <v>73.804997080148098</v>
      </c>
      <c r="AK1614">
        <v>12.9743665241117</v>
      </c>
      <c r="AL1614">
        <v>89.4495786908833</v>
      </c>
      <c r="AM1614">
        <v>84.8108168004795</v>
      </c>
      <c r="AN1614">
        <v>0.99999996308662897</v>
      </c>
    </row>
    <row r="1615" spans="1:40" x14ac:dyDescent="0.25">
      <c r="A1615" t="str">
        <f>"20190312154827498"</f>
        <v>20190312154827498</v>
      </c>
      <c r="B1615" t="str">
        <f>"1552376907487783"</f>
        <v>1552376907487783</v>
      </c>
      <c r="C1615" t="s">
        <v>40</v>
      </c>
      <c r="D1615">
        <v>4.8235749999999999</v>
      </c>
      <c r="E1615">
        <v>0.57450330000000005</v>
      </c>
      <c r="F1615" t="s">
        <v>49</v>
      </c>
      <c r="G1615">
        <v>-194.95750000000001</v>
      </c>
      <c r="H1615" s="1">
        <v>7.4752849999999998E-7</v>
      </c>
      <c r="I1615">
        <v>296.2473</v>
      </c>
      <c r="J1615">
        <v>-191.30629999999999</v>
      </c>
      <c r="K1615">
        <v>1.108751</v>
      </c>
      <c r="L1615">
        <v>308.59289999999999</v>
      </c>
      <c r="M1615">
        <v>-2.1373500000000001E-3</v>
      </c>
      <c r="N1615">
        <v>0</v>
      </c>
      <c r="O1615">
        <v>-0.99990319999999999</v>
      </c>
      <c r="P1615">
        <v>-9.3831600000000001E-2</v>
      </c>
      <c r="Q1615">
        <v>-3.2005720000000001E-3</v>
      </c>
      <c r="R1615">
        <v>-0.99558329999999995</v>
      </c>
      <c r="S1615">
        <v>-0.85191349999999999</v>
      </c>
      <c r="T1615">
        <v>-0.25856269999999998</v>
      </c>
      <c r="U1615">
        <v>-2.9338989999999998</v>
      </c>
      <c r="V1615">
        <v>9.1733839999999997E-2</v>
      </c>
      <c r="W1615">
        <v>1.0217789999999999E-2</v>
      </c>
      <c r="X1615">
        <v>0.99573109999999998</v>
      </c>
      <c r="Y1615">
        <v>0.2758041</v>
      </c>
      <c r="Z1615">
        <v>8.4357370000000001E-2</v>
      </c>
      <c r="AA1615">
        <v>0.95750500000000005</v>
      </c>
      <c r="AB1615">
        <v>24</v>
      </c>
      <c r="AC1615">
        <v>-3.65120000000001</v>
      </c>
      <c r="AD1615">
        <v>-1.1087502524715001</v>
      </c>
      <c r="AE1615">
        <v>-12.3455999999999</v>
      </c>
      <c r="AF1615">
        <v>3.5981151691483402</v>
      </c>
      <c r="AG1615">
        <v>-1.1087502524715001</v>
      </c>
      <c r="AH1615">
        <v>12.262426326972999</v>
      </c>
      <c r="AI1615">
        <v>94.958600419610903</v>
      </c>
      <c r="AJ1615">
        <v>73.646937830223806</v>
      </c>
      <c r="AK1615">
        <v>12.827426059707101</v>
      </c>
      <c r="AL1615">
        <v>89.4145535474578</v>
      </c>
      <c r="AM1615">
        <v>84.736362749037298</v>
      </c>
      <c r="AN1615">
        <v>0.99999996207041897</v>
      </c>
    </row>
    <row r="1616" spans="1:40" x14ac:dyDescent="0.25">
      <c r="A1616" t="str">
        <f>"20190312154827521"</f>
        <v>20190312154827521</v>
      </c>
      <c r="B1616" t="str">
        <f>"1552376907517063"</f>
        <v>1552376907517063</v>
      </c>
      <c r="C1616" t="s">
        <v>40</v>
      </c>
      <c r="D1616">
        <v>4.8270609999999996</v>
      </c>
      <c r="E1616">
        <v>0.58611469999999999</v>
      </c>
      <c r="F1616" t="s">
        <v>49</v>
      </c>
      <c r="G1616">
        <v>-194.9983</v>
      </c>
      <c r="H1616" s="1">
        <v>8.0447879999999995E-7</v>
      </c>
      <c r="I1616">
        <v>296.07589999999999</v>
      </c>
      <c r="J1616">
        <v>-191.309</v>
      </c>
      <c r="K1616">
        <v>1.1086590000000001</v>
      </c>
      <c r="L1616">
        <v>308.35359999999997</v>
      </c>
      <c r="M1616">
        <v>-4.1474320000000004E-3</v>
      </c>
      <c r="N1616">
        <v>0</v>
      </c>
      <c r="O1616">
        <v>-0.99989689999999998</v>
      </c>
      <c r="P1616">
        <v>-9.7035549999999998E-2</v>
      </c>
      <c r="Q1616">
        <v>-3.9382540000000004E-3</v>
      </c>
      <c r="R1616">
        <v>-0.99527330000000003</v>
      </c>
      <c r="S1616">
        <v>-0.86453250000000004</v>
      </c>
      <c r="T1616">
        <v>-0.25962689999999999</v>
      </c>
      <c r="U1616">
        <v>-2.931</v>
      </c>
      <c r="V1616">
        <v>9.2937030000000004E-2</v>
      </c>
      <c r="W1616">
        <v>9.4610860000000005E-3</v>
      </c>
      <c r="X1616">
        <v>0.99562700000000004</v>
      </c>
      <c r="Y1616">
        <v>0.27791399999999999</v>
      </c>
      <c r="Z1616">
        <v>8.4704970000000004E-2</v>
      </c>
      <c r="AA1616">
        <v>0.9568641</v>
      </c>
      <c r="AB1616">
        <v>24</v>
      </c>
      <c r="AC1616">
        <v>-3.68929999999997</v>
      </c>
      <c r="AD1616">
        <v>-1.1086581955212</v>
      </c>
      <c r="AE1616">
        <v>-12.2776999999999</v>
      </c>
      <c r="AF1616">
        <v>3.6113349331543798</v>
      </c>
      <c r="AG1616">
        <v>-1.1086581955212</v>
      </c>
      <c r="AH1616">
        <v>12.2016461833192</v>
      </c>
      <c r="AI1616">
        <v>94.979344877645204</v>
      </c>
      <c r="AJ1616">
        <v>73.512767508465402</v>
      </c>
      <c r="AK1616">
        <v>12.7730588574869</v>
      </c>
      <c r="AL1616">
        <v>89.457911595300303</v>
      </c>
      <c r="AM1616">
        <v>84.667165451451297</v>
      </c>
      <c r="AN1616">
        <v>0.99999996341125896</v>
      </c>
    </row>
    <row r="1617" spans="1:40" x14ac:dyDescent="0.25">
      <c r="A1617" t="str">
        <f>"20190312154827543"</f>
        <v>20190312154827543</v>
      </c>
      <c r="B1617" t="str">
        <f>"1552376907537559"</f>
        <v>1552376907537559</v>
      </c>
      <c r="C1617" t="s">
        <v>40</v>
      </c>
      <c r="D1617">
        <v>4.8642349999999999</v>
      </c>
      <c r="E1617">
        <v>0.58617169999999996</v>
      </c>
      <c r="F1617" t="s">
        <v>49</v>
      </c>
      <c r="G1617">
        <v>-194.47300000000001</v>
      </c>
      <c r="H1617" s="1">
        <v>1.4846709999999999E-7</v>
      </c>
      <c r="I1617">
        <v>298.77330000000001</v>
      </c>
      <c r="J1617">
        <v>-191.3124</v>
      </c>
      <c r="K1617">
        <v>1.108554</v>
      </c>
      <c r="L1617">
        <v>308.1191</v>
      </c>
      <c r="M1617">
        <v>-6.2681269999999897E-3</v>
      </c>
      <c r="N1617">
        <v>0</v>
      </c>
      <c r="O1617">
        <v>-0.99988580000000005</v>
      </c>
      <c r="P1617">
        <v>-0.1002989</v>
      </c>
      <c r="Q1617">
        <v>-5.0989030000000001E-3</v>
      </c>
      <c r="R1617">
        <v>-0.99494459999999996</v>
      </c>
      <c r="S1617">
        <v>-0.96400450000000004</v>
      </c>
      <c r="T1617">
        <v>-0.33778989999999998</v>
      </c>
      <c r="U1617">
        <v>-2.9189449999999999</v>
      </c>
      <c r="V1617">
        <v>9.4088809999999995E-2</v>
      </c>
      <c r="W1617">
        <v>8.2776250000000003E-3</v>
      </c>
      <c r="X1617">
        <v>0.99552940000000001</v>
      </c>
      <c r="Y1617">
        <v>0.30576039999999999</v>
      </c>
      <c r="Z1617">
        <v>0.10933370000000001</v>
      </c>
      <c r="AA1617">
        <v>0.94581009999999999</v>
      </c>
      <c r="AB1617">
        <v>24</v>
      </c>
      <c r="AC1617">
        <v>-3.1605999999999801</v>
      </c>
      <c r="AD1617">
        <v>-1.1085538515328901</v>
      </c>
      <c r="AE1617">
        <v>-9.3457999999999899</v>
      </c>
      <c r="AF1617">
        <v>3.0632760175159599</v>
      </c>
      <c r="AG1617">
        <v>-1.1085538515328901</v>
      </c>
      <c r="AH1617">
        <v>9.2486594613271897</v>
      </c>
      <c r="AI1617">
        <v>96.4913300792076</v>
      </c>
      <c r="AJ1617">
        <v>71.674459450479702</v>
      </c>
      <c r="AK1617">
        <v>9.8056235616524603</v>
      </c>
      <c r="AL1617">
        <v>89.525721609071198</v>
      </c>
      <c r="AM1617">
        <v>84.600936941976798</v>
      </c>
      <c r="AN1617">
        <v>1.0000000047536</v>
      </c>
    </row>
    <row r="1618" spans="1:40" x14ac:dyDescent="0.25">
      <c r="A1618" t="str">
        <f>"20190312154827565"</f>
        <v>20190312154827565</v>
      </c>
      <c r="B1618" t="str">
        <f>"1552376907557079"</f>
        <v>1552376907557079</v>
      </c>
      <c r="C1618" t="s">
        <v>40</v>
      </c>
      <c r="D1618">
        <v>4.8524029999999998</v>
      </c>
      <c r="E1618">
        <v>0.58642689999999997</v>
      </c>
      <c r="F1618" t="s">
        <v>49</v>
      </c>
      <c r="G1618">
        <v>-194.49449999999999</v>
      </c>
      <c r="H1618" s="1">
        <v>1.8004609999999999E-7</v>
      </c>
      <c r="I1618">
        <v>298.59399999999999</v>
      </c>
      <c r="J1618">
        <v>-191.31630000000001</v>
      </c>
      <c r="K1618">
        <v>1.1084430000000001</v>
      </c>
      <c r="L1618">
        <v>307.88869999999997</v>
      </c>
      <c r="M1618">
        <v>-8.5183229999999995E-3</v>
      </c>
      <c r="N1618">
        <v>0</v>
      </c>
      <c r="O1618">
        <v>-0.99986900000000001</v>
      </c>
      <c r="P1618">
        <v>-0.1043472</v>
      </c>
      <c r="Q1618">
        <v>-4.6476449999999997E-3</v>
      </c>
      <c r="R1618">
        <v>-0.99453049999999998</v>
      </c>
      <c r="S1618">
        <v>-0.97395319999999996</v>
      </c>
      <c r="T1618">
        <v>-0.33929720000000002</v>
      </c>
      <c r="U1618">
        <v>-2.915375</v>
      </c>
      <c r="V1618">
        <v>9.590369E-2</v>
      </c>
      <c r="W1618">
        <v>8.7005639999999992E-3</v>
      </c>
      <c r="X1618">
        <v>0.99535260000000003</v>
      </c>
      <c r="Y1618">
        <v>0.30685220000000002</v>
      </c>
      <c r="Z1618">
        <v>0.10986219999999999</v>
      </c>
      <c r="AA1618">
        <v>0.94539519999999999</v>
      </c>
      <c r="AB1618">
        <v>24</v>
      </c>
      <c r="AC1618">
        <v>-3.1781999999999702</v>
      </c>
      <c r="AD1618">
        <v>-1.10844281995389</v>
      </c>
      <c r="AE1618">
        <v>-9.2946999999999704</v>
      </c>
      <c r="AF1618">
        <v>3.05993945775626</v>
      </c>
      <c r="AG1618">
        <v>-1.10844281995389</v>
      </c>
      <c r="AH1618">
        <v>9.20423988615204</v>
      </c>
      <c r="AI1618">
        <v>96.519352025863995</v>
      </c>
      <c r="AJ1618">
        <v>71.6106699581741</v>
      </c>
      <c r="AK1618">
        <v>9.7626792865520908</v>
      </c>
      <c r="AL1618">
        <v>89.501488117701101</v>
      </c>
      <c r="AM1618">
        <v>84.496456152555197</v>
      </c>
      <c r="AN1618">
        <v>1.0000000079481399</v>
      </c>
    </row>
    <row r="1619" spans="1:40" x14ac:dyDescent="0.25">
      <c r="A1619" t="str">
        <f>"20190312154827588"</f>
        <v>20190312154827588</v>
      </c>
      <c r="B1619" t="str">
        <f>"1552376907577575"</f>
        <v>1552376907577575</v>
      </c>
      <c r="C1619" t="s">
        <v>40</v>
      </c>
      <c r="D1619">
        <v>4.855626</v>
      </c>
      <c r="E1619">
        <v>0.58633069999999998</v>
      </c>
      <c r="F1619" t="s">
        <v>49</v>
      </c>
      <c r="G1619">
        <v>-194.55269999999999</v>
      </c>
      <c r="H1619" s="1">
        <v>2.2257979999999999E-7</v>
      </c>
      <c r="I1619">
        <v>298.35250000000002</v>
      </c>
      <c r="J1619">
        <v>-191.3212</v>
      </c>
      <c r="K1619">
        <v>1.1083209999999999</v>
      </c>
      <c r="L1619">
        <v>307.64949999999999</v>
      </c>
      <c r="M1619">
        <v>-1.1053500000000001E-2</v>
      </c>
      <c r="N1619">
        <v>0</v>
      </c>
      <c r="O1619">
        <v>-0.99984439999999997</v>
      </c>
      <c r="P1619">
        <v>-0.1092004</v>
      </c>
      <c r="Q1619">
        <v>-4.1119310000000001E-3</v>
      </c>
      <c r="R1619">
        <v>-0.9940118</v>
      </c>
      <c r="S1619">
        <v>-0.98800659999999896</v>
      </c>
      <c r="T1619">
        <v>-0.33839150000000001</v>
      </c>
      <c r="U1619">
        <v>-2.9112550000000001</v>
      </c>
      <c r="V1619">
        <v>9.8242899999999994E-2</v>
      </c>
      <c r="W1619">
        <v>9.2021770000000006E-3</v>
      </c>
      <c r="X1619">
        <v>0.99511989999999995</v>
      </c>
      <c r="Y1619">
        <v>0.3089499</v>
      </c>
      <c r="Z1619">
        <v>0.10959439999999999</v>
      </c>
      <c r="AA1619">
        <v>0.94474290000000005</v>
      </c>
      <c r="AB1619">
        <v>23</v>
      </c>
      <c r="AC1619">
        <v>-3.2314999999999801</v>
      </c>
      <c r="AD1619">
        <v>-1.1083207774202</v>
      </c>
      <c r="AE1619">
        <v>-9.2969999999999597</v>
      </c>
      <c r="AF1619">
        <v>3.0893561369046698</v>
      </c>
      <c r="AG1619">
        <v>-1.1083207774202</v>
      </c>
      <c r="AH1619">
        <v>9.2153067712579002</v>
      </c>
      <c r="AI1619">
        <v>96.505466405821906</v>
      </c>
      <c r="AJ1619">
        <v>71.466694609620603</v>
      </c>
      <c r="AK1619">
        <v>9.7823501866720992</v>
      </c>
      <c r="AL1619">
        <v>89.4727466442843</v>
      </c>
      <c r="AM1619">
        <v>84.361762584232807</v>
      </c>
      <c r="AN1619">
        <v>0.99999998141897894</v>
      </c>
    </row>
    <row r="1620" spans="1:40" x14ac:dyDescent="0.25">
      <c r="A1620" t="str">
        <f>"20190312154827612"</f>
        <v>20190312154827612</v>
      </c>
      <c r="B1620" t="str">
        <f>"1552376907597095"</f>
        <v>1552376907597095</v>
      </c>
      <c r="C1620" t="s">
        <v>40</v>
      </c>
      <c r="D1620">
        <v>4.8529600000000004</v>
      </c>
      <c r="E1620">
        <v>0.58631440000000001</v>
      </c>
      <c r="F1620" t="s">
        <v>49</v>
      </c>
      <c r="G1620">
        <v>-194.58619999999999</v>
      </c>
      <c r="H1620" s="1">
        <v>2.5432509999999999E-7</v>
      </c>
      <c r="I1620">
        <v>298.17219999999998</v>
      </c>
      <c r="J1620">
        <v>-191.3272</v>
      </c>
      <c r="K1620">
        <v>1.108209</v>
      </c>
      <c r="L1620">
        <v>307.40230000000003</v>
      </c>
      <c r="M1620">
        <v>-1.3845379999999999E-2</v>
      </c>
      <c r="N1620">
        <v>0</v>
      </c>
      <c r="O1620">
        <v>-0.99980939999999996</v>
      </c>
      <c r="P1620">
        <v>-0.1146467</v>
      </c>
      <c r="Q1620">
        <v>-4.6877730000000001E-3</v>
      </c>
      <c r="R1620">
        <v>-0.99339540000000004</v>
      </c>
      <c r="S1620">
        <v>-1.0013729999999901</v>
      </c>
      <c r="T1620">
        <v>-0.33992329999999998</v>
      </c>
      <c r="U1620">
        <v>-2.9066770000000002</v>
      </c>
      <c r="V1620">
        <v>0.1009181</v>
      </c>
      <c r="W1620">
        <v>8.5918469999999997E-3</v>
      </c>
      <c r="X1620">
        <v>0.99485769999999996</v>
      </c>
      <c r="Y1620">
        <v>0.31061830000000001</v>
      </c>
      <c r="Z1620">
        <v>0.1101311</v>
      </c>
      <c r="AA1620">
        <v>0.94413320000000001</v>
      </c>
      <c r="AB1620">
        <v>23</v>
      </c>
      <c r="AC1620">
        <v>-3.2589999999999799</v>
      </c>
      <c r="AD1620">
        <v>-1.1082087456748999</v>
      </c>
      <c r="AE1620">
        <v>-9.2301000000000499</v>
      </c>
      <c r="AF1620">
        <v>3.09125876587408</v>
      </c>
      <c r="AG1620">
        <v>-1.1082087456748999</v>
      </c>
      <c r="AH1620">
        <v>9.1569713050078807</v>
      </c>
      <c r="AI1620">
        <v>96.541301408049094</v>
      </c>
      <c r="AJ1620">
        <v>71.346074581792493</v>
      </c>
      <c r="AK1620">
        <v>9.7280075484305293</v>
      </c>
      <c r="AL1620">
        <v>89.507717402859896</v>
      </c>
      <c r="AM1620">
        <v>84.207744642176607</v>
      </c>
      <c r="AN1620">
        <v>1.0000000629958801</v>
      </c>
    </row>
    <row r="1621" spans="1:40" x14ac:dyDescent="0.25">
      <c r="A1621" t="str">
        <f>"20190312154827635"</f>
        <v>20190312154827635</v>
      </c>
      <c r="B1621" t="str">
        <f>"1552376907627352"</f>
        <v>1552376907627352</v>
      </c>
      <c r="C1621" t="s">
        <v>40</v>
      </c>
      <c r="D1621">
        <v>4.8804360000000004</v>
      </c>
      <c r="E1621">
        <v>0.586441199999999</v>
      </c>
      <c r="F1621" t="s">
        <v>49</v>
      </c>
      <c r="G1621">
        <v>-194.60910000000001</v>
      </c>
      <c r="H1621" s="1">
        <v>2.7667159999999998E-7</v>
      </c>
      <c r="I1621">
        <v>298.0453</v>
      </c>
      <c r="J1621">
        <v>-191.3339</v>
      </c>
      <c r="K1621">
        <v>1.108107</v>
      </c>
      <c r="L1621">
        <v>307.15559999999999</v>
      </c>
      <c r="M1621">
        <v>-1.681181E-2</v>
      </c>
      <c r="N1621">
        <v>0</v>
      </c>
      <c r="O1621">
        <v>-0.99976359999999997</v>
      </c>
      <c r="P1621">
        <v>-0.1198552</v>
      </c>
      <c r="Q1621">
        <v>-5.1717509999999996E-3</v>
      </c>
      <c r="R1621">
        <v>-0.99277820000000006</v>
      </c>
      <c r="S1621">
        <v>-1.0175019999999999</v>
      </c>
      <c r="T1621">
        <v>-0.34357480000000001</v>
      </c>
      <c r="U1621">
        <v>-2.900909</v>
      </c>
      <c r="V1621">
        <v>0.10318380000000001</v>
      </c>
      <c r="W1621">
        <v>8.0749769999999901E-3</v>
      </c>
      <c r="X1621">
        <v>0.99462950000000006</v>
      </c>
      <c r="Y1621">
        <v>0.31301440000000003</v>
      </c>
      <c r="Z1621">
        <v>0.1113551</v>
      </c>
      <c r="AA1621">
        <v>0.94319770000000003</v>
      </c>
      <c r="AB1621">
        <v>23</v>
      </c>
      <c r="AC1621">
        <v>-3.2752000000000101</v>
      </c>
      <c r="AD1621">
        <v>-1.1081067233284001</v>
      </c>
      <c r="AE1621">
        <v>-9.1102999999999899</v>
      </c>
      <c r="AF1621">
        <v>3.0811945893771999</v>
      </c>
      <c r="AG1621">
        <v>-1.1081067233284001</v>
      </c>
      <c r="AH1621">
        <v>9.04557192050531</v>
      </c>
      <c r="AI1621">
        <v>96.614470914111706</v>
      </c>
      <c r="AJ1621">
        <v>71.189608909562907</v>
      </c>
      <c r="AK1621">
        <v>9.6199808719626496</v>
      </c>
      <c r="AL1621">
        <v>89.537332857156898</v>
      </c>
      <c r="AM1621">
        <v>84.077268470780197</v>
      </c>
      <c r="AN1621">
        <v>0.99999997205311997</v>
      </c>
    </row>
    <row r="1622" spans="1:40" x14ac:dyDescent="0.25">
      <c r="A1622" t="str">
        <f>"20190312154827661"</f>
        <v>20190312154827661</v>
      </c>
      <c r="B1622" t="str">
        <f>"1552376907647847"</f>
        <v>1552376907647847</v>
      </c>
      <c r="C1622" t="s">
        <v>40</v>
      </c>
      <c r="D1622">
        <v>4.9024109999999999</v>
      </c>
      <c r="E1622">
        <v>0.58639169999999996</v>
      </c>
      <c r="F1622" t="s">
        <v>49</v>
      </c>
      <c r="G1622">
        <v>-194.65360000000001</v>
      </c>
      <c r="H1622" s="1">
        <v>3.0895150000000001E-7</v>
      </c>
      <c r="I1622">
        <v>297.8621</v>
      </c>
      <c r="J1622">
        <v>-191.34190000000001</v>
      </c>
      <c r="K1622">
        <v>1.108001</v>
      </c>
      <c r="L1622">
        <v>306.90089999999998</v>
      </c>
      <c r="M1622">
        <v>-2.0081669999999999E-2</v>
      </c>
      <c r="N1622">
        <v>0</v>
      </c>
      <c r="O1622">
        <v>-0.99970320000000001</v>
      </c>
      <c r="P1622">
        <v>-0.1249402</v>
      </c>
      <c r="Q1622">
        <v>-6.0565640000000004E-3</v>
      </c>
      <c r="R1622">
        <v>-0.99214610000000003</v>
      </c>
      <c r="S1622">
        <v>-1.0341640000000001</v>
      </c>
      <c r="T1622">
        <v>-0.3452055</v>
      </c>
      <c r="U1622">
        <v>-2.895203</v>
      </c>
      <c r="V1622">
        <v>0.1050247</v>
      </c>
      <c r="W1622">
        <v>7.1575669999999897E-3</v>
      </c>
      <c r="X1622">
        <v>0.99444379999999999</v>
      </c>
      <c r="Y1622">
        <v>0.31529159999999901</v>
      </c>
      <c r="Z1622">
        <v>0.1119255</v>
      </c>
      <c r="AA1622">
        <v>0.94237139999999997</v>
      </c>
      <c r="AB1622">
        <v>23</v>
      </c>
      <c r="AC1622">
        <v>-3.3117000000000001</v>
      </c>
      <c r="AD1622">
        <v>-1.1080006910484901</v>
      </c>
      <c r="AE1622">
        <v>-9.0387999999999806</v>
      </c>
      <c r="AF1622">
        <v>3.0885827133696599</v>
      </c>
      <c r="AG1622">
        <v>-1.1080006910484901</v>
      </c>
      <c r="AH1622">
        <v>8.98446063934656</v>
      </c>
      <c r="AI1622">
        <v>96.652085067243505</v>
      </c>
      <c r="AJ1622">
        <v>71.028597723618304</v>
      </c>
      <c r="AK1622">
        <v>9.5649120063206698</v>
      </c>
      <c r="AL1622">
        <v>89.589898095017602</v>
      </c>
      <c r="AM1622">
        <v>83.971255029168304</v>
      </c>
      <c r="AN1622">
        <v>0.99999994486694299</v>
      </c>
    </row>
    <row r="1623" spans="1:40" x14ac:dyDescent="0.25">
      <c r="A1623" t="str">
        <f>"20190312154827679"</f>
        <v>20190312154827679</v>
      </c>
      <c r="B1623" t="str">
        <f>"1552376907667367"</f>
        <v>1552376907667367</v>
      </c>
      <c r="C1623" t="s">
        <v>40</v>
      </c>
      <c r="D1623">
        <v>4.8839779999999999</v>
      </c>
      <c r="E1623">
        <v>0.58637810000000001</v>
      </c>
      <c r="F1623" t="s">
        <v>49</v>
      </c>
      <c r="G1623">
        <v>-194.6902</v>
      </c>
      <c r="H1623" s="1">
        <v>3.4126210000000002E-7</v>
      </c>
      <c r="I1623">
        <v>297.67860000000002</v>
      </c>
      <c r="J1623">
        <v>-191.34899999999999</v>
      </c>
      <c r="K1623">
        <v>1.107899</v>
      </c>
      <c r="L1623">
        <v>306.69819999999999</v>
      </c>
      <c r="M1623">
        <v>-2.2852520000000001E-2</v>
      </c>
      <c r="N1623">
        <v>0</v>
      </c>
      <c r="O1623">
        <v>-0.99964370000000002</v>
      </c>
      <c r="P1623">
        <v>-0.12935169999999999</v>
      </c>
      <c r="Q1623">
        <v>-6.5253949999999998E-3</v>
      </c>
      <c r="R1623">
        <v>-0.99157740000000005</v>
      </c>
      <c r="S1623">
        <v>-1.049118</v>
      </c>
      <c r="T1623">
        <v>-0.34716170000000002</v>
      </c>
      <c r="U1623">
        <v>-2.8895569999999999</v>
      </c>
      <c r="V1623">
        <v>0.1066906</v>
      </c>
      <c r="W1623">
        <v>6.6583299999999996E-3</v>
      </c>
      <c r="X1623">
        <v>0.99426999999999999</v>
      </c>
      <c r="Y1623">
        <v>0.31753550000000003</v>
      </c>
      <c r="Z1623">
        <v>0.1126076</v>
      </c>
      <c r="AA1623">
        <v>0.94153640000000005</v>
      </c>
      <c r="AB1623">
        <v>23</v>
      </c>
      <c r="AC1623">
        <v>-3.3411999999999802</v>
      </c>
      <c r="AD1623">
        <v>-1.1078986587379001</v>
      </c>
      <c r="AE1623">
        <v>-9.0195999999999596</v>
      </c>
      <c r="AF1623">
        <v>3.0931496195810801</v>
      </c>
      <c r="AG1623">
        <v>-1.1078986587379001</v>
      </c>
      <c r="AH1623">
        <v>8.9745391038935107</v>
      </c>
      <c r="AI1623">
        <v>96.656960327384198</v>
      </c>
      <c r="AJ1623">
        <v>70.983061741547004</v>
      </c>
      <c r="AK1623">
        <v>9.5570584456966508</v>
      </c>
      <c r="AL1623">
        <v>89.618502983129801</v>
      </c>
      <c r="AM1623">
        <v>83.875285854034104</v>
      </c>
      <c r="AN1623">
        <v>1.0000000251933701</v>
      </c>
    </row>
    <row r="1624" spans="1:40" x14ac:dyDescent="0.25">
      <c r="A1624" t="str">
        <f>"20190312154827702"</f>
        <v>20190312154827702</v>
      </c>
      <c r="B1624" t="str">
        <f>"1552376907697624"</f>
        <v>1552376907697624</v>
      </c>
      <c r="C1624" t="s">
        <v>40</v>
      </c>
      <c r="D1624">
        <v>4.8915519999999999</v>
      </c>
      <c r="E1624">
        <v>0.58628840000000004</v>
      </c>
      <c r="F1624" t="s">
        <v>49</v>
      </c>
      <c r="G1624">
        <v>-194.71369999999999</v>
      </c>
      <c r="H1624" s="1">
        <v>3.6176389999999999E-7</v>
      </c>
      <c r="I1624">
        <v>297.56220000000002</v>
      </c>
      <c r="J1624">
        <v>-191.35839999999999</v>
      </c>
      <c r="K1624">
        <v>1.1077650000000001</v>
      </c>
      <c r="L1624">
        <v>306.4581</v>
      </c>
      <c r="M1624">
        <v>-2.6321819999999999E-2</v>
      </c>
      <c r="N1624">
        <v>0</v>
      </c>
      <c r="O1624">
        <v>-0.99955830000000001</v>
      </c>
      <c r="P1624">
        <v>-0.13380649999999999</v>
      </c>
      <c r="Q1624">
        <v>-7.7218999999999899E-3</v>
      </c>
      <c r="R1624">
        <v>-0.99097760000000001</v>
      </c>
      <c r="S1624">
        <v>-1.062378</v>
      </c>
      <c r="T1624">
        <v>-0.34981099999999998</v>
      </c>
      <c r="U1624">
        <v>-2.8846129999999999</v>
      </c>
      <c r="V1624">
        <v>0.10770399999999999</v>
      </c>
      <c r="W1624">
        <v>5.4285899999999996E-3</v>
      </c>
      <c r="X1624">
        <v>0.99416819999999895</v>
      </c>
      <c r="Y1624">
        <v>0.31854579999999999</v>
      </c>
      <c r="Z1624">
        <v>0.11351550000000001</v>
      </c>
      <c r="AA1624">
        <v>0.94108599999999998</v>
      </c>
      <c r="AB1624">
        <v>23</v>
      </c>
      <c r="AC1624">
        <v>-3.3553000000000002</v>
      </c>
      <c r="AD1624">
        <v>-1.1077646382360999</v>
      </c>
      <c r="AE1624">
        <v>-8.8958999999999797</v>
      </c>
      <c r="AF1624">
        <v>3.07817149020853</v>
      </c>
      <c r="AG1624">
        <v>-1.1077646382360999</v>
      </c>
      <c r="AH1624">
        <v>8.8608542065276197</v>
      </c>
      <c r="AI1624">
        <v>96.735144594496006</v>
      </c>
      <c r="AJ1624">
        <v>70.843288069172701</v>
      </c>
      <c r="AK1624">
        <v>9.4454761386706796</v>
      </c>
      <c r="AL1624">
        <v>89.688963181428505</v>
      </c>
      <c r="AM1624">
        <v>83.816930558700307</v>
      </c>
      <c r="AN1624">
        <v>1.00000001554831</v>
      </c>
    </row>
    <row r="1625" spans="1:40" x14ac:dyDescent="0.25">
      <c r="A1625" t="str">
        <f>"20190312154827723"</f>
        <v>20190312154827723</v>
      </c>
      <c r="B1625" t="str">
        <f>"1552376907717143"</f>
        <v>1552376907717143</v>
      </c>
      <c r="C1625" t="s">
        <v>40</v>
      </c>
      <c r="D1625">
        <v>4.910158</v>
      </c>
      <c r="E1625">
        <v>0.58613499999999996</v>
      </c>
      <c r="F1625" t="s">
        <v>49</v>
      </c>
      <c r="G1625">
        <v>-194.7209</v>
      </c>
      <c r="H1625" s="1">
        <v>3.8053100000000001E-7</v>
      </c>
      <c r="I1625">
        <v>297.4556</v>
      </c>
      <c r="J1625">
        <v>-191.36779999999999</v>
      </c>
      <c r="K1625">
        <v>1.107634</v>
      </c>
      <c r="L1625">
        <v>306.24020000000002</v>
      </c>
      <c r="M1625">
        <v>-2.9663140000000001E-2</v>
      </c>
      <c r="N1625">
        <v>0</v>
      </c>
      <c r="O1625">
        <v>-0.99946449999999998</v>
      </c>
      <c r="P1625">
        <v>-0.13714370000000001</v>
      </c>
      <c r="Q1625">
        <v>-8.7785789999999999E-3</v>
      </c>
      <c r="R1625">
        <v>-0.99051250000000002</v>
      </c>
      <c r="S1625">
        <v>-1.0754549999999901</v>
      </c>
      <c r="T1625">
        <v>-0.35430440000000002</v>
      </c>
      <c r="U1625">
        <v>-2.8793329999999999</v>
      </c>
      <c r="V1625">
        <v>0.10772519999999999</v>
      </c>
      <c r="W1625">
        <v>4.3457060000000004E-3</v>
      </c>
      <c r="X1625">
        <v>0.99417120000000003</v>
      </c>
      <c r="Y1625">
        <v>0.3196349</v>
      </c>
      <c r="Z1625">
        <v>0.11502370000000001</v>
      </c>
      <c r="AA1625">
        <v>0.94053339999999996</v>
      </c>
      <c r="AB1625">
        <v>23</v>
      </c>
      <c r="AC1625">
        <v>-3.3531000000000102</v>
      </c>
      <c r="AD1625">
        <v>-1.107633619469</v>
      </c>
      <c r="AE1625">
        <v>-8.78460000000001</v>
      </c>
      <c r="AF1625">
        <v>3.0487151353733002</v>
      </c>
      <c r="AG1625">
        <v>-1.107633619469</v>
      </c>
      <c r="AH1625">
        <v>8.7586672840795092</v>
      </c>
      <c r="AI1625">
        <v>96.810746495164295</v>
      </c>
      <c r="AJ1625">
        <v>70.8080253154709</v>
      </c>
      <c r="AK1625">
        <v>9.3400090366571398</v>
      </c>
      <c r="AL1625">
        <v>89.751008600842795</v>
      </c>
      <c r="AM1625">
        <v>83.815741456100497</v>
      </c>
      <c r="AN1625">
        <v>0.99999998939255896</v>
      </c>
    </row>
    <row r="1626" spans="1:40" x14ac:dyDescent="0.25">
      <c r="A1626" t="str">
        <f>"20190312154827746"</f>
        <v>20190312154827746</v>
      </c>
      <c r="B1626" t="str">
        <f>"1552376907737640"</f>
        <v>1552376907737640</v>
      </c>
      <c r="C1626" t="s">
        <v>40</v>
      </c>
      <c r="D1626">
        <v>4.9153520000000004</v>
      </c>
      <c r="E1626">
        <v>0.58603760000000005</v>
      </c>
      <c r="F1626" t="s">
        <v>49</v>
      </c>
      <c r="G1626">
        <v>-194.73050000000001</v>
      </c>
      <c r="H1626" s="1">
        <v>4.0338629999999999E-7</v>
      </c>
      <c r="I1626">
        <v>297.32589999999999</v>
      </c>
      <c r="J1626">
        <v>-191.3793</v>
      </c>
      <c r="K1626">
        <v>1.1074850000000001</v>
      </c>
      <c r="L1626">
        <v>305.99939999999998</v>
      </c>
      <c r="M1626">
        <v>-3.3564070000000001E-2</v>
      </c>
      <c r="N1626">
        <v>0</v>
      </c>
      <c r="O1626">
        <v>-0.99934109999999998</v>
      </c>
      <c r="P1626">
        <v>-0.140062299999999</v>
      </c>
      <c r="Q1626">
        <v>-1.0064210000000001E-2</v>
      </c>
      <c r="R1626">
        <v>-0.99009190000000002</v>
      </c>
      <c r="S1626">
        <v>-1.0846709999999999</v>
      </c>
      <c r="T1626">
        <v>-0.35727249999999999</v>
      </c>
      <c r="U1626">
        <v>-2.8753660000000001</v>
      </c>
      <c r="V1626">
        <v>0.1067689</v>
      </c>
      <c r="W1626">
        <v>3.0391810000000002E-3</v>
      </c>
      <c r="X1626">
        <v>0.99427920000000003</v>
      </c>
      <c r="Y1626">
        <v>0.3189649</v>
      </c>
      <c r="Z1626">
        <v>0.1160509</v>
      </c>
      <c r="AA1626">
        <v>0.94063470000000005</v>
      </c>
      <c r="AB1626">
        <v>23</v>
      </c>
      <c r="AC1626">
        <v>-3.3512</v>
      </c>
      <c r="AD1626">
        <v>-1.1074845966136999</v>
      </c>
      <c r="AE1626">
        <v>-8.67349999999999</v>
      </c>
      <c r="AF1626">
        <v>3.0153894614938799</v>
      </c>
      <c r="AG1626">
        <v>-1.1074845966136999</v>
      </c>
      <c r="AH1626">
        <v>8.6582766178481592</v>
      </c>
      <c r="AI1626">
        <v>96.887647015716496</v>
      </c>
      <c r="AJ1626">
        <v>70.798474188726303</v>
      </c>
      <c r="AK1626">
        <v>9.2349796820242798</v>
      </c>
      <c r="AL1626">
        <v>89.825867484164107</v>
      </c>
      <c r="AM1626">
        <v>83.870881421689404</v>
      </c>
      <c r="AN1626">
        <v>0.99999998109050003</v>
      </c>
    </row>
    <row r="1627" spans="1:40" x14ac:dyDescent="0.25">
      <c r="A1627" t="str">
        <f>"20190312154827766"</f>
        <v>20190312154827766</v>
      </c>
      <c r="B1627" t="str">
        <f>"1552376907757161"</f>
        <v>1552376907757161</v>
      </c>
      <c r="C1627" t="s">
        <v>40</v>
      </c>
      <c r="D1627">
        <v>4.9375640000000001</v>
      </c>
      <c r="E1627">
        <v>0.58601320000000001</v>
      </c>
      <c r="F1627" t="s">
        <v>49</v>
      </c>
      <c r="G1627">
        <v>-194.73259999999999</v>
      </c>
      <c r="H1627" s="1">
        <v>4.3463220000000001E-7</v>
      </c>
      <c r="I1627">
        <v>297.18880000000001</v>
      </c>
      <c r="J1627">
        <v>-191.39089999999999</v>
      </c>
      <c r="K1627">
        <v>1.107359</v>
      </c>
      <c r="L1627">
        <v>305.78109999999998</v>
      </c>
      <c r="M1627">
        <v>-3.7304200000000003E-2</v>
      </c>
      <c r="N1627">
        <v>0</v>
      </c>
      <c r="O1627">
        <v>-0.99920819999999999</v>
      </c>
      <c r="P1627">
        <v>-0.14262089999999999</v>
      </c>
      <c r="Q1627">
        <v>-1.062073E-2</v>
      </c>
      <c r="R1627">
        <v>-0.98972039999999994</v>
      </c>
      <c r="S1627">
        <v>-1.0929719999999901</v>
      </c>
      <c r="T1627">
        <v>-0.36097990000000002</v>
      </c>
      <c r="U1627">
        <v>-2.8717649999999999</v>
      </c>
      <c r="V1627">
        <v>0.105615</v>
      </c>
      <c r="W1627">
        <v>2.4688850000000001E-3</v>
      </c>
      <c r="X1627">
        <v>0.99440399999999995</v>
      </c>
      <c r="Y1627">
        <v>0.3181349</v>
      </c>
      <c r="Z1627">
        <v>0.11730939999999999</v>
      </c>
      <c r="AA1627">
        <v>0.94075969999999998</v>
      </c>
      <c r="AB1627">
        <v>23</v>
      </c>
      <c r="AC1627">
        <v>-3.3416999999999999</v>
      </c>
      <c r="AD1627">
        <v>-1.1073585653678</v>
      </c>
      <c r="AE1627">
        <v>-8.5922999999999607</v>
      </c>
      <c r="AF1627">
        <v>2.97588009300862</v>
      </c>
      <c r="AG1627">
        <v>-1.1073585653678</v>
      </c>
      <c r="AH1627">
        <v>8.5871008592657301</v>
      </c>
      <c r="AI1627">
        <v>96.947053743287597</v>
      </c>
      <c r="AJ1627">
        <v>70.886120381845899</v>
      </c>
      <c r="AK1627">
        <v>9.1553485180773304</v>
      </c>
      <c r="AL1627">
        <v>89.858543161364594</v>
      </c>
      <c r="AM1627">
        <v>83.9373807794301</v>
      </c>
      <c r="AN1627">
        <v>0.99999996941707103</v>
      </c>
    </row>
    <row r="1628" spans="1:40" x14ac:dyDescent="0.25">
      <c r="A1628" t="str">
        <f>"20190312154827789"</f>
        <v>20190312154827789</v>
      </c>
      <c r="B1628" t="str">
        <f>"1552376907777655"</f>
        <v>1552376907777655</v>
      </c>
      <c r="C1628" t="s">
        <v>40</v>
      </c>
      <c r="D1628">
        <v>4.9194519999999997</v>
      </c>
      <c r="E1628">
        <v>0.58583499999999999</v>
      </c>
      <c r="F1628" t="s">
        <v>49</v>
      </c>
      <c r="G1628">
        <v>-194.75470000000001</v>
      </c>
      <c r="H1628" s="1">
        <v>4.9412760000000002E-7</v>
      </c>
      <c r="I1628">
        <v>297.01499999999999</v>
      </c>
      <c r="J1628">
        <v>-191.40430000000001</v>
      </c>
      <c r="K1628">
        <v>1.1072470000000001</v>
      </c>
      <c r="L1628">
        <v>305.54849999999999</v>
      </c>
      <c r="M1628">
        <v>-4.1462470000000001E-2</v>
      </c>
      <c r="N1628">
        <v>0</v>
      </c>
      <c r="O1628">
        <v>-0.99904409999999999</v>
      </c>
      <c r="P1628">
        <v>-0.14596589999999901</v>
      </c>
      <c r="Q1628">
        <v>-1.0284389999999999E-2</v>
      </c>
      <c r="R1628">
        <v>-0.98923620000000001</v>
      </c>
      <c r="S1628">
        <v>-1.100784</v>
      </c>
      <c r="T1628">
        <v>-0.36237809999999998</v>
      </c>
      <c r="U1628">
        <v>-2.8686829999999999</v>
      </c>
      <c r="V1628">
        <v>0.104841</v>
      </c>
      <c r="W1628">
        <v>2.7926560000000001E-3</v>
      </c>
      <c r="X1628">
        <v>0.99448510000000001</v>
      </c>
      <c r="Y1628">
        <v>0.31674229999999998</v>
      </c>
      <c r="Z1628">
        <v>0.1178181</v>
      </c>
      <c r="AA1628">
        <v>0.9411659</v>
      </c>
      <c r="AB1628">
        <v>23</v>
      </c>
      <c r="AC1628">
        <v>-3.3504</v>
      </c>
      <c r="AD1628">
        <v>-1.1072465058723999</v>
      </c>
      <c r="AE1628">
        <v>-8.5335000000000001</v>
      </c>
      <c r="AF1628">
        <v>2.9506230015778399</v>
      </c>
      <c r="AG1628">
        <v>-1.1072465058723999</v>
      </c>
      <c r="AH1628">
        <v>8.5405072119603993</v>
      </c>
      <c r="AI1628">
        <v>96.986160630122399</v>
      </c>
      <c r="AJ1628">
        <v>70.940701457086604</v>
      </c>
      <c r="AK1628">
        <v>9.1034298129745803</v>
      </c>
      <c r="AL1628">
        <v>89.839992393453002</v>
      </c>
      <c r="AM1628">
        <v>83.981970621817595</v>
      </c>
      <c r="AN1628">
        <v>1.00000002416527</v>
      </c>
    </row>
    <row r="1629" spans="1:40" x14ac:dyDescent="0.25">
      <c r="A1629" t="str">
        <f>"20190312154827811"</f>
        <v>20190312154827811</v>
      </c>
      <c r="B1629" t="str">
        <f>"1552376907806935"</f>
        <v>1552376907806935</v>
      </c>
      <c r="C1629" t="s">
        <v>40</v>
      </c>
      <c r="D1629">
        <v>5.0197399999999996</v>
      </c>
      <c r="E1629">
        <v>0.58565649999999903</v>
      </c>
      <c r="F1629" t="s">
        <v>49</v>
      </c>
      <c r="G1629">
        <v>-194.7859</v>
      </c>
      <c r="H1629" s="1">
        <v>5.6343939999999996E-7</v>
      </c>
      <c r="I1629">
        <v>296.81110000000001</v>
      </c>
      <c r="J1629">
        <v>-191.4186</v>
      </c>
      <c r="K1629">
        <v>1.1071690000000001</v>
      </c>
      <c r="L1629">
        <v>305.31959999999998</v>
      </c>
      <c r="M1629">
        <v>-4.5705620000000002E-2</v>
      </c>
      <c r="N1629">
        <v>0</v>
      </c>
      <c r="O1629">
        <v>-0.99885880000000005</v>
      </c>
      <c r="P1629">
        <v>-0.14941869999999999</v>
      </c>
      <c r="Q1629">
        <v>-9.6291290000000002E-3</v>
      </c>
      <c r="R1629">
        <v>-0.98872729999999998</v>
      </c>
      <c r="S1629">
        <v>-1.1089169999999999</v>
      </c>
      <c r="T1629">
        <v>-0.36309269999999999</v>
      </c>
      <c r="U1629">
        <v>-2.8652039999999999</v>
      </c>
      <c r="V1629">
        <v>0.10409350000000001</v>
      </c>
      <c r="W1629">
        <v>3.4406760000000002E-3</v>
      </c>
      <c r="X1629">
        <v>0.99456160000000005</v>
      </c>
      <c r="Y1629">
        <v>0.31541200000000003</v>
      </c>
      <c r="Z1629">
        <v>0.11811530000000001</v>
      </c>
      <c r="AA1629">
        <v>0.9415753</v>
      </c>
      <c r="AB1629">
        <v>23</v>
      </c>
      <c r="AC1629">
        <v>-3.3673000000000002</v>
      </c>
      <c r="AD1629">
        <v>-1.1071684365606</v>
      </c>
      <c r="AE1629">
        <v>-8.5084999999999695</v>
      </c>
      <c r="AF1629">
        <v>2.9319343560513902</v>
      </c>
      <c r="AG1629">
        <v>-1.1071684365606</v>
      </c>
      <c r="AH1629">
        <v>8.5286694889120191</v>
      </c>
      <c r="AI1629">
        <v>96.998925907268401</v>
      </c>
      <c r="AJ1629">
        <v>71.028365234713206</v>
      </c>
      <c r="AK1629">
        <v>9.0862678953577696</v>
      </c>
      <c r="AL1629">
        <v>89.802863404584897</v>
      </c>
      <c r="AM1629">
        <v>84.025022977207698</v>
      </c>
      <c r="AN1629">
        <v>1.0000000355940699</v>
      </c>
    </row>
    <row r="1630" spans="1:40" x14ac:dyDescent="0.25">
      <c r="A1630" t="str">
        <f>"20190312154827836"</f>
        <v>20190312154827836</v>
      </c>
      <c r="B1630" t="str">
        <f>"1552376907827431"</f>
        <v>1552376907827431</v>
      </c>
      <c r="C1630" t="s">
        <v>40</v>
      </c>
      <c r="D1630">
        <v>4.9392180000000003</v>
      </c>
      <c r="E1630">
        <v>0.55909229999999999</v>
      </c>
      <c r="F1630" t="s">
        <v>49</v>
      </c>
      <c r="G1630">
        <v>-194.80539999999999</v>
      </c>
      <c r="H1630" s="1">
        <v>6.2062419999999899E-7</v>
      </c>
      <c r="I1630">
        <v>296.64440000000002</v>
      </c>
      <c r="J1630">
        <v>-191.4359</v>
      </c>
      <c r="K1630">
        <v>1.107094</v>
      </c>
      <c r="L1630">
        <v>305.06509999999997</v>
      </c>
      <c r="M1630">
        <v>-5.0589540000000002E-2</v>
      </c>
      <c r="N1630">
        <v>0</v>
      </c>
      <c r="O1630">
        <v>-0.99862340000000005</v>
      </c>
      <c r="P1630">
        <v>-0.1539992</v>
      </c>
      <c r="Q1630">
        <v>-9.7582350000000005E-3</v>
      </c>
      <c r="R1630">
        <v>-0.98802299999999998</v>
      </c>
      <c r="S1630">
        <v>-1.117264</v>
      </c>
      <c r="T1630">
        <v>-0.3652456</v>
      </c>
      <c r="U1630">
        <v>-2.8618769999999998</v>
      </c>
      <c r="V1630">
        <v>0.1038391</v>
      </c>
      <c r="W1630">
        <v>3.3023940000000002E-3</v>
      </c>
      <c r="X1630">
        <v>0.99458860000000004</v>
      </c>
      <c r="Y1630">
        <v>0.3134962</v>
      </c>
      <c r="Z1630">
        <v>0.11886869999999999</v>
      </c>
      <c r="AA1630">
        <v>0.94212010000000002</v>
      </c>
      <c r="AB1630">
        <v>23</v>
      </c>
      <c r="AC1630">
        <v>-3.36949999999998</v>
      </c>
      <c r="AD1630">
        <v>-1.1070933793758</v>
      </c>
      <c r="AE1630">
        <v>-8.4206999999999503</v>
      </c>
      <c r="AF1630">
        <v>2.89599559293785</v>
      </c>
      <c r="AG1630">
        <v>-1.1070933793758</v>
      </c>
      <c r="AH1630">
        <v>8.4544268390124202</v>
      </c>
      <c r="AI1630">
        <v>97.061939401051404</v>
      </c>
      <c r="AJ1630">
        <v>71.091518377688601</v>
      </c>
      <c r="AK1630">
        <v>9.0049863631871592</v>
      </c>
      <c r="AL1630">
        <v>89.810786412644802</v>
      </c>
      <c r="AM1630">
        <v>84.039680951049704</v>
      </c>
      <c r="AN1630">
        <v>0.99999997387244999</v>
      </c>
    </row>
    <row r="1631" spans="1:40" x14ac:dyDescent="0.25">
      <c r="A1631" t="str">
        <f>"20190312154827857"</f>
        <v>20190312154827857</v>
      </c>
      <c r="B1631" t="str">
        <f>"1552376907846951"</f>
        <v>1552376907846951</v>
      </c>
      <c r="C1631" t="s">
        <v>40</v>
      </c>
      <c r="D1631">
        <v>4.8979670000000004</v>
      </c>
      <c r="E1631">
        <v>0.54040630000000001</v>
      </c>
      <c r="F1631" t="s">
        <v>49</v>
      </c>
      <c r="G1631">
        <v>-194.50890000000001</v>
      </c>
      <c r="H1631" s="1">
        <v>1.0759599999999999E-6</v>
      </c>
      <c r="I1631">
        <v>295.4307</v>
      </c>
      <c r="J1631">
        <v>-191.45230000000001</v>
      </c>
      <c r="K1631">
        <v>1.10702099999999</v>
      </c>
      <c r="L1631">
        <v>304.84109999999998</v>
      </c>
      <c r="M1631">
        <v>-5.5015120000000001E-2</v>
      </c>
      <c r="N1631">
        <v>0</v>
      </c>
      <c r="O1631">
        <v>-0.99838939999999998</v>
      </c>
      <c r="P1631">
        <v>-0.15876379999999901</v>
      </c>
      <c r="Q1631">
        <v>-1.0572959999999999E-2</v>
      </c>
      <c r="R1631">
        <v>-0.98726020000000003</v>
      </c>
      <c r="S1631">
        <v>-0.92161559999999998</v>
      </c>
      <c r="T1631">
        <v>-0.33202559999999998</v>
      </c>
      <c r="U1631">
        <v>-2.8894350000000002</v>
      </c>
      <c r="V1631">
        <v>0.1042242</v>
      </c>
      <c r="W1631">
        <v>2.4750850000000001E-3</v>
      </c>
      <c r="X1631">
        <v>0.99455079999999996</v>
      </c>
      <c r="Y1631">
        <v>0.24917610000000001</v>
      </c>
      <c r="Z1631">
        <v>0.10942259999999999</v>
      </c>
      <c r="AA1631">
        <v>0.96225669999999996</v>
      </c>
      <c r="AB1631">
        <v>23</v>
      </c>
      <c r="AC1631">
        <v>-3.0566</v>
      </c>
      <c r="AD1631">
        <v>-1.1070199240399901</v>
      </c>
      <c r="AE1631">
        <v>-9.4103999999999797</v>
      </c>
      <c r="AF1631">
        <v>2.5028749745900298</v>
      </c>
      <c r="AG1631">
        <v>-1.1070199240399901</v>
      </c>
      <c r="AH1631">
        <v>9.4460747533609499</v>
      </c>
      <c r="AI1631">
        <v>96.463167155267598</v>
      </c>
      <c r="AJ1631">
        <v>75.159670656641694</v>
      </c>
      <c r="AK1631">
        <v>9.8345413973776008</v>
      </c>
      <c r="AL1631">
        <v>89.8581879381248</v>
      </c>
      <c r="AM1631">
        <v>84.017510665283098</v>
      </c>
      <c r="AN1631">
        <v>1.0000000518460099</v>
      </c>
    </row>
    <row r="1632" spans="1:40" x14ac:dyDescent="0.25">
      <c r="A1632" t="str">
        <f>"20190312154827881"</f>
        <v>20190312154827881</v>
      </c>
      <c r="B1632" t="str">
        <f>"1552376907877208"</f>
        <v>1552376907877208</v>
      </c>
      <c r="C1632" t="s">
        <v>40</v>
      </c>
      <c r="D1632">
        <v>4.9953409999999998</v>
      </c>
      <c r="E1632">
        <v>0.5239241</v>
      </c>
      <c r="F1632" t="s">
        <v>49</v>
      </c>
      <c r="G1632">
        <v>-194.43860000000001</v>
      </c>
      <c r="H1632" s="1">
        <v>1.5074810000000001E-6</v>
      </c>
      <c r="I1632">
        <v>293.83620000000002</v>
      </c>
      <c r="J1632">
        <v>-191.4716</v>
      </c>
      <c r="K1632">
        <v>1.106949</v>
      </c>
      <c r="L1632">
        <v>304.5933</v>
      </c>
      <c r="M1632">
        <v>-6.0031210000000002E-2</v>
      </c>
      <c r="N1632">
        <v>0</v>
      </c>
      <c r="O1632">
        <v>-0.99810019999999999</v>
      </c>
      <c r="P1632">
        <v>-0.16499710000000001</v>
      </c>
      <c r="Q1632">
        <v>-1.170523E-2</v>
      </c>
      <c r="R1632">
        <v>-0.98622469999999995</v>
      </c>
      <c r="S1632">
        <v>-0.78929139999999998</v>
      </c>
      <c r="T1632">
        <v>-0.29259000000000002</v>
      </c>
      <c r="U1632">
        <v>-2.9086609999999999</v>
      </c>
      <c r="V1632">
        <v>0.105502</v>
      </c>
      <c r="W1632">
        <v>1.322571E-3</v>
      </c>
      <c r="X1632">
        <v>0.99441820000000003</v>
      </c>
      <c r="Y1632">
        <v>0.20223859999999999</v>
      </c>
      <c r="Z1632">
        <v>9.7048280000000001E-2</v>
      </c>
      <c r="AA1632">
        <v>0.97451589999999999</v>
      </c>
      <c r="AB1632">
        <v>23</v>
      </c>
      <c r="AC1632">
        <v>-2.9670000000000099</v>
      </c>
      <c r="AD1632">
        <v>-1.1069474925189999</v>
      </c>
      <c r="AE1632">
        <v>-10.7570999999999</v>
      </c>
      <c r="AF1632">
        <v>2.29325718617249</v>
      </c>
      <c r="AG1632">
        <v>-1.1069474925189999</v>
      </c>
      <c r="AH1632">
        <v>10.8094542182588</v>
      </c>
      <c r="AI1632">
        <v>95.720571709675895</v>
      </c>
      <c r="AJ1632">
        <v>78.022129519682807</v>
      </c>
      <c r="AK1632">
        <v>11.105343838430199</v>
      </c>
      <c r="AL1632">
        <v>89.924222240656604</v>
      </c>
      <c r="AM1632">
        <v>83.943904925890806</v>
      </c>
      <c r="AN1632">
        <v>0.99999998884464503</v>
      </c>
    </row>
    <row r="1633" spans="1:40" x14ac:dyDescent="0.25">
      <c r="A1633" t="str">
        <f>"20190312154827900"</f>
        <v>20190312154827900</v>
      </c>
      <c r="B1633" t="str">
        <f>"1552376907897704"</f>
        <v>1552376907897704</v>
      </c>
      <c r="C1633" t="s">
        <v>40</v>
      </c>
      <c r="D1633">
        <v>4.9801029999999997</v>
      </c>
      <c r="E1633">
        <v>0.51905449999999997</v>
      </c>
      <c r="F1633" t="s">
        <v>41</v>
      </c>
      <c r="G1633">
        <v>-191.64869999999999</v>
      </c>
      <c r="H1633">
        <v>1.037919</v>
      </c>
      <c r="I1633">
        <v>303.8306</v>
      </c>
      <c r="J1633">
        <v>-191.48830000000001</v>
      </c>
      <c r="K1633">
        <v>1.1068849999999999</v>
      </c>
      <c r="L1633">
        <v>304.39449999999999</v>
      </c>
      <c r="M1633">
        <v>-6.4142190000000002E-2</v>
      </c>
      <c r="N1633">
        <v>0</v>
      </c>
      <c r="O1633">
        <v>-0.99784419999999996</v>
      </c>
      <c r="P1633">
        <v>-0.1712108</v>
      </c>
      <c r="Q1633">
        <v>-1.2552010000000001E-2</v>
      </c>
      <c r="R1633">
        <v>-0.98515439999999999</v>
      </c>
      <c r="S1633">
        <v>-0.67863459999999998</v>
      </c>
      <c r="T1633">
        <v>-0.26469419999999999</v>
      </c>
      <c r="U1633">
        <v>-2.9252319999999998</v>
      </c>
      <c r="V1633">
        <v>0.1076685</v>
      </c>
      <c r="W1633">
        <v>4.4900609999999998E-4</v>
      </c>
      <c r="X1633">
        <v>0.99418680000000004</v>
      </c>
      <c r="Y1633">
        <v>0.16215879999999999</v>
      </c>
      <c r="Z1633">
        <v>8.8085689999999994E-2</v>
      </c>
      <c r="AA1633">
        <v>0.98282519999999995</v>
      </c>
      <c r="AB1633">
        <v>23</v>
      </c>
      <c r="AC1633">
        <v>-0.160399999999981</v>
      </c>
      <c r="AD1633">
        <v>-6.8966E-2</v>
      </c>
      <c r="AE1633">
        <v>-0.56389999999998897</v>
      </c>
      <c r="AF1633">
        <v>0.122205280934073</v>
      </c>
      <c r="AG1633">
        <v>-6.8966E-2</v>
      </c>
      <c r="AH1633">
        <v>0.56520659453673605</v>
      </c>
      <c r="AI1633">
        <v>96.8011571742379</v>
      </c>
      <c r="AJ1633">
        <v>77.799681411597703</v>
      </c>
      <c r="AK1633">
        <v>0.58236494945351103</v>
      </c>
      <c r="AL1633">
        <v>89.974273845926405</v>
      </c>
      <c r="AM1633">
        <v>83.819067508867803</v>
      </c>
      <c r="AN1633">
        <v>1.0000000503964801</v>
      </c>
    </row>
    <row r="1634" spans="1:40" x14ac:dyDescent="0.25">
      <c r="A1634" t="str">
        <f>"20190312154827924"</f>
        <v>20190312154827924</v>
      </c>
      <c r="B1634" t="str">
        <f>"1552376907917224"</f>
        <v>1552376907917224</v>
      </c>
      <c r="C1634" t="s">
        <v>40</v>
      </c>
      <c r="D1634">
        <v>4.9732279999999998</v>
      </c>
      <c r="E1634">
        <v>0.51575509999999902</v>
      </c>
      <c r="F1634" t="s">
        <v>41</v>
      </c>
      <c r="G1634">
        <v>-191.66130000000001</v>
      </c>
      <c r="H1634">
        <v>1.0391189999999999</v>
      </c>
      <c r="I1634">
        <v>303.62470000000002</v>
      </c>
      <c r="J1634">
        <v>-191.50980000000001</v>
      </c>
      <c r="K1634">
        <v>1.106822</v>
      </c>
      <c r="L1634">
        <v>304.15030000000002</v>
      </c>
      <c r="M1634">
        <v>-6.9283780000000003E-2</v>
      </c>
      <c r="N1634">
        <v>0</v>
      </c>
      <c r="O1634">
        <v>-0.99750050000000001</v>
      </c>
      <c r="P1634">
        <v>-0.17936640000000001</v>
      </c>
      <c r="Q1634">
        <v>-1.307589E-2</v>
      </c>
      <c r="R1634">
        <v>-0.98369600000000001</v>
      </c>
      <c r="S1634">
        <v>-0.65843200000000002</v>
      </c>
      <c r="T1634">
        <v>-0.25772659999999997</v>
      </c>
      <c r="U1634">
        <v>-2.927521</v>
      </c>
      <c r="V1634">
        <v>0.1107769</v>
      </c>
      <c r="W1634">
        <v>-1.1214850000000001E-4</v>
      </c>
      <c r="X1634">
        <v>0.99384530000000004</v>
      </c>
      <c r="Y1634">
        <v>0.1504905</v>
      </c>
      <c r="Z1634">
        <v>8.5819790000000007E-2</v>
      </c>
      <c r="AA1634">
        <v>0.98487950000000002</v>
      </c>
      <c r="AB1634">
        <v>23</v>
      </c>
      <c r="AC1634">
        <v>-0.151499999999998</v>
      </c>
      <c r="AD1634">
        <v>-6.7702999999999805E-2</v>
      </c>
      <c r="AE1634">
        <v>-0.52559999999999696</v>
      </c>
      <c r="AF1634">
        <v>0.112985931204446</v>
      </c>
      <c r="AG1634">
        <v>-6.7702999999999805E-2</v>
      </c>
      <c r="AH1634">
        <v>0.52676449581895901</v>
      </c>
      <c r="AI1634">
        <v>97.162691447271897</v>
      </c>
      <c r="AJ1634">
        <v>77.894030243073502</v>
      </c>
      <c r="AK1634">
        <v>0.54298282745823301</v>
      </c>
      <c r="AL1634">
        <v>90.006425635695607</v>
      </c>
      <c r="AM1634">
        <v>83.639897630778293</v>
      </c>
      <c r="AN1634">
        <v>1.0000000072414901</v>
      </c>
    </row>
    <row r="1635" spans="1:40" x14ac:dyDescent="0.25">
      <c r="A1635" t="str">
        <f>"20190312154827957"</f>
        <v>20190312154827957</v>
      </c>
      <c r="B1635" t="str">
        <f>"1552376907947480"</f>
        <v>1552376907947480</v>
      </c>
      <c r="C1635" t="s">
        <v>40</v>
      </c>
      <c r="D1635">
        <v>5.0061970000000002</v>
      </c>
      <c r="E1635">
        <v>0.51237159999999904</v>
      </c>
      <c r="F1635" t="s">
        <v>41</v>
      </c>
      <c r="G1635">
        <v>-191.6746</v>
      </c>
      <c r="H1635">
        <v>1.04295</v>
      </c>
      <c r="I1635">
        <v>303.41669999999999</v>
      </c>
      <c r="J1635">
        <v>-191.54159999999999</v>
      </c>
      <c r="K1635">
        <v>1.106757</v>
      </c>
      <c r="L1635">
        <v>303.81819999999999</v>
      </c>
      <c r="M1635">
        <v>-7.6459230000000003E-2</v>
      </c>
      <c r="N1635">
        <v>0</v>
      </c>
      <c r="O1635">
        <v>-0.99697599999999997</v>
      </c>
      <c r="P1635">
        <v>-0.19049350000000001</v>
      </c>
      <c r="Q1635">
        <v>-1.273763E-2</v>
      </c>
      <c r="R1635">
        <v>-0.98160610000000004</v>
      </c>
      <c r="S1635">
        <v>-0.65684509999999996</v>
      </c>
      <c r="T1635">
        <v>-0.2547027</v>
      </c>
      <c r="U1635">
        <v>-2.9266049999999999</v>
      </c>
      <c r="V1635">
        <v>0.1148805</v>
      </c>
      <c r="W1635">
        <v>1.7863880000000001E-4</v>
      </c>
      <c r="X1635">
        <v>0.99337929999999997</v>
      </c>
      <c r="Y1635">
        <v>0.1429494</v>
      </c>
      <c r="Z1635">
        <v>8.4831920000000005E-2</v>
      </c>
      <c r="AA1635">
        <v>0.98608770000000001</v>
      </c>
      <c r="AB1635">
        <v>23</v>
      </c>
      <c r="AC1635">
        <v>-0.133000000000009</v>
      </c>
      <c r="AD1635">
        <v>-6.3806999999999905E-2</v>
      </c>
      <c r="AE1635">
        <v>-0.40149999999999803</v>
      </c>
      <c r="AF1635">
        <v>9.9641541319305194E-2</v>
      </c>
      <c r="AG1635">
        <v>-6.3806999999999905E-2</v>
      </c>
      <c r="AH1635">
        <v>0.40136008772589199</v>
      </c>
      <c r="AI1635">
        <v>98.771185690878497</v>
      </c>
      <c r="AJ1635">
        <v>76.057640481024293</v>
      </c>
      <c r="AK1635">
        <v>0.41843719961879799</v>
      </c>
      <c r="AL1635">
        <v>89.989764750621902</v>
      </c>
      <c r="AM1635">
        <v>83.403267355031403</v>
      </c>
      <c r="AN1635">
        <v>0.99999999743028001</v>
      </c>
    </row>
    <row r="1636" spans="1:40" x14ac:dyDescent="0.25">
      <c r="A1636" t="str">
        <f>"20190312154827978"</f>
        <v>20190312154827978</v>
      </c>
      <c r="B1636" t="str">
        <f>"1552376907967001"</f>
        <v>1552376907967001</v>
      </c>
      <c r="C1636" t="s">
        <v>40</v>
      </c>
      <c r="D1636">
        <v>5.0247539999999997</v>
      </c>
      <c r="E1636">
        <v>0.51077609999999996</v>
      </c>
      <c r="F1636" t="s">
        <v>41</v>
      </c>
      <c r="G1636">
        <v>-191.72479999999999</v>
      </c>
      <c r="H1636">
        <v>1.03772999999999</v>
      </c>
      <c r="I1636">
        <v>303.01139999999998</v>
      </c>
      <c r="J1636">
        <v>-191.56479999999999</v>
      </c>
      <c r="K1636">
        <v>1.106717</v>
      </c>
      <c r="L1636">
        <v>303.59109999999998</v>
      </c>
      <c r="M1636">
        <v>-8.1457639999999998E-2</v>
      </c>
      <c r="N1636">
        <v>0</v>
      </c>
      <c r="O1636">
        <v>-0.99657980000000002</v>
      </c>
      <c r="P1636">
        <v>-0.1973124</v>
      </c>
      <c r="Q1636">
        <v>-1.427992E-2</v>
      </c>
      <c r="R1636">
        <v>-0.98023660000000001</v>
      </c>
      <c r="S1636">
        <v>-0.66346740000000004</v>
      </c>
      <c r="T1636">
        <v>-0.25018099999999999</v>
      </c>
      <c r="U1636">
        <v>-2.9242249999999999</v>
      </c>
      <c r="V1636">
        <v>0.1167938</v>
      </c>
      <c r="W1636">
        <v>-1.3866600000000001E-3</v>
      </c>
      <c r="X1636">
        <v>0.99315520000000002</v>
      </c>
      <c r="Y1636">
        <v>0.1403102</v>
      </c>
      <c r="Z1636">
        <v>8.3348190000000003E-2</v>
      </c>
      <c r="AA1636">
        <v>0.98659319999999895</v>
      </c>
      <c r="AB1636">
        <v>23</v>
      </c>
      <c r="AC1636">
        <v>-0.15999999999999601</v>
      </c>
      <c r="AD1636">
        <v>-6.8987000000000104E-2</v>
      </c>
      <c r="AE1636">
        <v>-0.57970000000000199</v>
      </c>
      <c r="AF1636">
        <v>0.110784740235399</v>
      </c>
      <c r="AG1636">
        <v>-6.8987000000000104E-2</v>
      </c>
      <c r="AH1636">
        <v>0.58313383007613395</v>
      </c>
      <c r="AI1636">
        <v>96.629459314591898</v>
      </c>
      <c r="AJ1636">
        <v>79.243046424923406</v>
      </c>
      <c r="AK1636">
        <v>0.59755964440153297</v>
      </c>
      <c r="AL1636">
        <v>90.079449792438297</v>
      </c>
      <c r="AM1636">
        <v>83.292893885691299</v>
      </c>
      <c r="AN1636">
        <v>0.99999998291571701</v>
      </c>
    </row>
    <row r="1637" spans="1:40" x14ac:dyDescent="0.25">
      <c r="A1637" t="str">
        <f>"20190312154828001"</f>
        <v>20190312154828001</v>
      </c>
      <c r="B1637" t="str">
        <f>"1552376907997256"</f>
        <v>1552376907997256</v>
      </c>
      <c r="C1637" t="s">
        <v>40</v>
      </c>
      <c r="D1637">
        <v>5.0532940000000002</v>
      </c>
      <c r="E1637">
        <v>0.50862879999999999</v>
      </c>
      <c r="F1637" t="s">
        <v>41</v>
      </c>
      <c r="G1637">
        <v>-191.74520000000001</v>
      </c>
      <c r="H1637">
        <v>1.0387740000000001</v>
      </c>
      <c r="I1637">
        <v>302.8064</v>
      </c>
      <c r="J1637">
        <v>-191.58969999999999</v>
      </c>
      <c r="K1637">
        <v>1.106684</v>
      </c>
      <c r="L1637">
        <v>303.35969999999998</v>
      </c>
      <c r="M1637">
        <v>-8.6617130000000001E-2</v>
      </c>
      <c r="N1637">
        <v>0</v>
      </c>
      <c r="O1637">
        <v>-0.99614469999999999</v>
      </c>
      <c r="P1637">
        <v>-0.20382120000000001</v>
      </c>
      <c r="Q1637">
        <v>-1.6776010000000001E-2</v>
      </c>
      <c r="R1637">
        <v>-0.97886479999999998</v>
      </c>
      <c r="S1637">
        <v>-0.67141719999999905</v>
      </c>
      <c r="T1637">
        <v>-0.25290099999999999</v>
      </c>
      <c r="U1637">
        <v>-2.9216310000000001</v>
      </c>
      <c r="V1637">
        <v>0.118233199999999</v>
      </c>
      <c r="W1637">
        <v>-3.8995290000000001E-3</v>
      </c>
      <c r="X1637">
        <v>0.99297820000000003</v>
      </c>
      <c r="Y1637">
        <v>0.13790629999999901</v>
      </c>
      <c r="Z1637">
        <v>8.4254499999999996E-2</v>
      </c>
      <c r="AA1637">
        <v>0.98685509999999999</v>
      </c>
      <c r="AB1637">
        <v>23</v>
      </c>
      <c r="AC1637">
        <v>-0.15550000000001701</v>
      </c>
      <c r="AD1637">
        <v>-6.7909999999999901E-2</v>
      </c>
      <c r="AE1637">
        <v>-0.55329999999997803</v>
      </c>
      <c r="AF1637">
        <v>0.10551246964064299</v>
      </c>
      <c r="AG1637">
        <v>-6.7909999999999901E-2</v>
      </c>
      <c r="AH1637">
        <v>0.55691502913678603</v>
      </c>
      <c r="AI1637">
        <v>96.831946916076504</v>
      </c>
      <c r="AJ1637">
        <v>79.271962311318305</v>
      </c>
      <c r="AK1637">
        <v>0.57087564234962296</v>
      </c>
      <c r="AL1637">
        <v>90.223427119865306</v>
      </c>
      <c r="AM1637">
        <v>83.209801652609301</v>
      </c>
      <c r="AN1637">
        <v>1.0000000007919501</v>
      </c>
    </row>
    <row r="1638" spans="1:40" x14ac:dyDescent="0.25">
      <c r="A1638" t="str">
        <f>"20190312154828026"</f>
        <v>20190312154828026</v>
      </c>
      <c r="B1638" t="str">
        <f>"1552376908017751"</f>
        <v>1552376908017751</v>
      </c>
      <c r="C1638" t="s">
        <v>40</v>
      </c>
      <c r="D1638">
        <v>5.0506820000000001</v>
      </c>
      <c r="E1638">
        <v>0.50733300000000003</v>
      </c>
      <c r="F1638" t="s">
        <v>41</v>
      </c>
      <c r="G1638">
        <v>-191.7645</v>
      </c>
      <c r="H1638">
        <v>1.0390699999999999</v>
      </c>
      <c r="I1638">
        <v>302.60230000000001</v>
      </c>
      <c r="J1638">
        <v>-191.61779999999999</v>
      </c>
      <c r="K1638">
        <v>1.106644</v>
      </c>
      <c r="L1638">
        <v>303.11180000000002</v>
      </c>
      <c r="M1638">
        <v>-9.2209869999999999E-2</v>
      </c>
      <c r="N1638">
        <v>0</v>
      </c>
      <c r="O1638">
        <v>-0.99564269999999999</v>
      </c>
      <c r="P1638">
        <v>-0.210337</v>
      </c>
      <c r="Q1638">
        <v>-2.0235980000000001E-2</v>
      </c>
      <c r="R1638">
        <v>-0.97741979999999995</v>
      </c>
      <c r="S1638">
        <v>-0.67362979999999995</v>
      </c>
      <c r="T1638">
        <v>-0.26059100000000002</v>
      </c>
      <c r="U1638">
        <v>-2.920013</v>
      </c>
      <c r="V1638">
        <v>0.11924940000000001</v>
      </c>
      <c r="W1638">
        <v>-7.3717469999999997E-3</v>
      </c>
      <c r="X1638">
        <v>0.99283699999999997</v>
      </c>
      <c r="Y1638">
        <v>0.13312299999999999</v>
      </c>
      <c r="Z1638">
        <v>8.6799589999999996E-2</v>
      </c>
      <c r="AA1638">
        <v>0.98729129999999998</v>
      </c>
      <c r="AB1638">
        <v>23</v>
      </c>
      <c r="AC1638">
        <v>-0.14670000000000899</v>
      </c>
      <c r="AD1638">
        <v>-6.7573999999999801E-2</v>
      </c>
      <c r="AE1638">
        <v>-0.50950000000000195</v>
      </c>
      <c r="AF1638">
        <v>9.7505577987073294E-2</v>
      </c>
      <c r="AG1638">
        <v>-6.7573999999999801E-2</v>
      </c>
      <c r="AH1638">
        <v>0.51253205192811002</v>
      </c>
      <c r="AI1638">
        <v>97.379891935439503</v>
      </c>
      <c r="AJ1638">
        <v>79.228601907301595</v>
      </c>
      <c r="AK1638">
        <v>0.52608239608281204</v>
      </c>
      <c r="AL1638">
        <v>90.422373801367797</v>
      </c>
      <c r="AM1638">
        <v>83.151027940540203</v>
      </c>
      <c r="AN1638">
        <v>1.0000000353115901</v>
      </c>
    </row>
    <row r="1639" spans="1:40" x14ac:dyDescent="0.25">
      <c r="A1639" t="str">
        <f>"20190312154828048"</f>
        <v>20190312154828048</v>
      </c>
      <c r="B1639" t="str">
        <f>"1552376908037271"</f>
        <v>1552376908037271</v>
      </c>
      <c r="C1639" t="s">
        <v>40</v>
      </c>
      <c r="D1639">
        <v>5.0198650000000002</v>
      </c>
      <c r="E1639">
        <v>0.49311169999999999</v>
      </c>
      <c r="F1639" t="s">
        <v>41</v>
      </c>
      <c r="G1639">
        <v>-191.83029999999999</v>
      </c>
      <c r="H1639">
        <v>1.022678</v>
      </c>
      <c r="I1639">
        <v>302.20479999999998</v>
      </c>
      <c r="J1639">
        <v>-191.6454</v>
      </c>
      <c r="K1639">
        <v>1.106616</v>
      </c>
      <c r="L1639">
        <v>302.88080000000002</v>
      </c>
      <c r="M1639">
        <v>-9.7485089999999996E-2</v>
      </c>
      <c r="N1639">
        <v>0</v>
      </c>
      <c r="O1639">
        <v>-0.99513969999999896</v>
      </c>
      <c r="P1639">
        <v>-0.2158852</v>
      </c>
      <c r="Q1639">
        <v>-2.2738029999999999E-2</v>
      </c>
      <c r="R1639">
        <v>-0.97615419999999997</v>
      </c>
      <c r="S1639">
        <v>-0.68289180000000005</v>
      </c>
      <c r="T1639">
        <v>-0.26992699999999997</v>
      </c>
      <c r="U1639">
        <v>-2.9167480000000001</v>
      </c>
      <c r="V1639">
        <v>0.1196118</v>
      </c>
      <c r="W1639">
        <v>-9.8792169999999992E-3</v>
      </c>
      <c r="X1639">
        <v>0.99277159999999998</v>
      </c>
      <c r="Y1639">
        <v>0.131024</v>
      </c>
      <c r="Z1639">
        <v>8.9894589999999996E-2</v>
      </c>
      <c r="AA1639">
        <v>0.98729520000000004</v>
      </c>
      <c r="AB1639">
        <v>23</v>
      </c>
      <c r="AC1639">
        <v>-0.18489999999999801</v>
      </c>
      <c r="AD1639">
        <v>-8.3937999999999999E-2</v>
      </c>
      <c r="AE1639">
        <v>-0.67600000000004401</v>
      </c>
      <c r="AF1639">
        <v>0.11644251563361201</v>
      </c>
      <c r="AG1639">
        <v>-8.3937999999999999E-2</v>
      </c>
      <c r="AH1639">
        <v>0.68103706066984904</v>
      </c>
      <c r="AI1639">
        <v>96.926765244944207</v>
      </c>
      <c r="AJ1639">
        <v>80.297488993313806</v>
      </c>
      <c r="AK1639">
        <v>0.69599994633398599</v>
      </c>
      <c r="AL1639">
        <v>90.566046637953903</v>
      </c>
      <c r="AM1639">
        <v>83.129964238206199</v>
      </c>
      <c r="AN1639">
        <v>1.00000001569716</v>
      </c>
    </row>
    <row r="1640" spans="1:40" x14ac:dyDescent="0.25">
      <c r="A1640" t="str">
        <f>"20190312154828070"</f>
        <v>20190312154828070</v>
      </c>
      <c r="B1640" t="str">
        <f>"1552376908067528"</f>
        <v>1552376908067528</v>
      </c>
      <c r="C1640" t="s">
        <v>40</v>
      </c>
      <c r="D1640">
        <v>5.0505940000000002</v>
      </c>
      <c r="E1640">
        <v>0.49245450000000002</v>
      </c>
      <c r="F1640" t="s">
        <v>41</v>
      </c>
      <c r="G1640">
        <v>-191.82259999999999</v>
      </c>
      <c r="H1640">
        <v>1.0259750000000001</v>
      </c>
      <c r="I1640">
        <v>301.99720000000002</v>
      </c>
      <c r="J1640">
        <v>-191.67349999999999</v>
      </c>
      <c r="K1640">
        <v>1.1066039999999999</v>
      </c>
      <c r="L1640">
        <v>302.65519999999998</v>
      </c>
      <c r="M1640">
        <v>-0.1026762</v>
      </c>
      <c r="N1640">
        <v>0</v>
      </c>
      <c r="O1640">
        <v>-0.99461750000000004</v>
      </c>
      <c r="P1640">
        <v>-0.21998609999999999</v>
      </c>
      <c r="Q1640">
        <v>-2.3844520000000001E-2</v>
      </c>
      <c r="R1640">
        <v>-0.97521170000000001</v>
      </c>
      <c r="S1640">
        <v>-0.58900450000000004</v>
      </c>
      <c r="T1640">
        <v>-0.2680671</v>
      </c>
      <c r="U1640">
        <v>-2.9367369999999999</v>
      </c>
      <c r="V1640">
        <v>0.1185982</v>
      </c>
      <c r="W1640">
        <v>-1.097687E-2</v>
      </c>
      <c r="X1640">
        <v>0.99288169999999998</v>
      </c>
      <c r="Y1640">
        <v>9.4141989999999995E-2</v>
      </c>
      <c r="Z1640">
        <v>8.9105320000000002E-2</v>
      </c>
      <c r="AA1640">
        <v>0.99156319999999998</v>
      </c>
      <c r="AB1640">
        <v>23</v>
      </c>
      <c r="AC1640">
        <v>-0.14910000000000401</v>
      </c>
      <c r="AD1640">
        <v>-8.0629000000000006E-2</v>
      </c>
      <c r="AE1640">
        <v>-0.65799999999995795</v>
      </c>
      <c r="AF1640">
        <v>7.9607404116239996E-2</v>
      </c>
      <c r="AG1640">
        <v>-8.0629000000000006E-2</v>
      </c>
      <c r="AH1640">
        <v>0.66040043144504701</v>
      </c>
      <c r="AI1640">
        <v>96.911309641589696</v>
      </c>
      <c r="AJ1640">
        <v>83.126494042256994</v>
      </c>
      <c r="AK1640">
        <v>0.670050075952484</v>
      </c>
      <c r="AL1640">
        <v>90.628940924204599</v>
      </c>
      <c r="AM1640">
        <v>83.188380370384493</v>
      </c>
      <c r="AN1640">
        <v>1.00000004745656</v>
      </c>
    </row>
    <row r="1641" spans="1:40" x14ac:dyDescent="0.25">
      <c r="A1641" t="str">
        <f>"20190312154828090"</f>
        <v>20190312154828090</v>
      </c>
      <c r="B1641" t="str">
        <f>"1552376908087048"</f>
        <v>1552376908087048</v>
      </c>
      <c r="C1641" t="s">
        <v>40</v>
      </c>
      <c r="D1641">
        <v>5.0607470000000001</v>
      </c>
      <c r="E1641">
        <v>0.49155369999999998</v>
      </c>
      <c r="F1641" t="s">
        <v>41</v>
      </c>
      <c r="G1641">
        <v>-191.84870000000001</v>
      </c>
      <c r="H1641">
        <v>1.0280469999999999</v>
      </c>
      <c r="I1641">
        <v>301.79340000000002</v>
      </c>
      <c r="J1641">
        <v>-191.7</v>
      </c>
      <c r="K1641">
        <v>1.1066</v>
      </c>
      <c r="L1641">
        <v>302.45139999999998</v>
      </c>
      <c r="M1641">
        <v>-0.10740230000000001</v>
      </c>
      <c r="N1641">
        <v>0</v>
      </c>
      <c r="O1641">
        <v>-0.99411830000000001</v>
      </c>
      <c r="P1641">
        <v>-0.22360459999999999</v>
      </c>
      <c r="Q1641">
        <v>-2.2823840000000001E-2</v>
      </c>
      <c r="R1641">
        <v>-0.97441270000000002</v>
      </c>
      <c r="S1641">
        <v>-0.59640499999999996</v>
      </c>
      <c r="T1641">
        <v>-0.2675247</v>
      </c>
      <c r="U1641">
        <v>-2.9351500000000001</v>
      </c>
      <c r="V1641">
        <v>0.1175703</v>
      </c>
      <c r="W1641">
        <v>-9.9470349999999999E-3</v>
      </c>
      <c r="X1641">
        <v>0.99301479999999998</v>
      </c>
      <c r="Y1641">
        <v>9.1919180000000003E-2</v>
      </c>
      <c r="Z1641">
        <v>8.8894059999999997E-2</v>
      </c>
      <c r="AA1641">
        <v>0.99179070000000003</v>
      </c>
      <c r="AB1641">
        <v>23</v>
      </c>
      <c r="AC1641">
        <v>-0.14870000000001901</v>
      </c>
      <c r="AD1641">
        <v>-7.8553000000000095E-2</v>
      </c>
      <c r="AE1641">
        <v>-0.65799999999995795</v>
      </c>
      <c r="AF1641">
        <v>7.6129866852487404E-2</v>
      </c>
      <c r="AG1641">
        <v>-7.8553000000000095E-2</v>
      </c>
      <c r="AH1641">
        <v>0.66119991837422298</v>
      </c>
      <c r="AI1641">
        <v>96.731135918611798</v>
      </c>
      <c r="AJ1641">
        <v>83.431946173363201</v>
      </c>
      <c r="AK1641">
        <v>0.67018778151653702</v>
      </c>
      <c r="AL1641">
        <v>90.569932491044895</v>
      </c>
      <c r="AM1641">
        <v>83.247766432780196</v>
      </c>
      <c r="AN1641">
        <v>1.0000000559832001</v>
      </c>
    </row>
    <row r="1642" spans="1:40" x14ac:dyDescent="0.25">
      <c r="A1642" t="str">
        <f>"20190312154828113"</f>
        <v>20190312154828113</v>
      </c>
      <c r="B1642" t="str">
        <f>"1552376908107544"</f>
        <v>1552376908107544</v>
      </c>
      <c r="C1642" t="s">
        <v>40</v>
      </c>
      <c r="D1642">
        <v>5.0610169999999997</v>
      </c>
      <c r="E1642">
        <v>0.49096020000000001</v>
      </c>
      <c r="F1642" t="s">
        <v>41</v>
      </c>
      <c r="G1642">
        <v>-191.87629999999999</v>
      </c>
      <c r="H1642">
        <v>1.0296149999999999</v>
      </c>
      <c r="I1642">
        <v>301.59030000000001</v>
      </c>
      <c r="J1642">
        <v>-191.7321</v>
      </c>
      <c r="K1642">
        <v>1.1065860000000001</v>
      </c>
      <c r="L1642">
        <v>302.21469999999999</v>
      </c>
      <c r="M1642">
        <v>-0.11294460000000001</v>
      </c>
      <c r="N1642">
        <v>0</v>
      </c>
      <c r="O1642">
        <v>-0.99350369999999999</v>
      </c>
      <c r="P1642">
        <v>-0.2280364</v>
      </c>
      <c r="Q1642">
        <v>-2.121988E-2</v>
      </c>
      <c r="R1642">
        <v>-0.97342150000000005</v>
      </c>
      <c r="S1642">
        <v>-0.60052490000000003</v>
      </c>
      <c r="T1642">
        <v>-0.26230959999999998</v>
      </c>
      <c r="U1642">
        <v>-2.9348139999999998</v>
      </c>
      <c r="V1642">
        <v>0.11655989999999999</v>
      </c>
      <c r="W1642">
        <v>-8.3357380000000005E-3</v>
      </c>
      <c r="X1642">
        <v>0.9931487</v>
      </c>
      <c r="Y1642">
        <v>8.7755739999999999E-2</v>
      </c>
      <c r="Z1642">
        <v>8.7108320000000003E-2</v>
      </c>
      <c r="AA1642">
        <v>0.99232609999999999</v>
      </c>
      <c r="AB1642">
        <v>23</v>
      </c>
      <c r="AC1642">
        <v>-0.14419999999998301</v>
      </c>
      <c r="AD1642">
        <v>-7.6971000000000095E-2</v>
      </c>
      <c r="AE1642">
        <v>-0.62439999999997997</v>
      </c>
      <c r="AF1642">
        <v>7.1713106723339803E-2</v>
      </c>
      <c r="AG1642">
        <v>-7.6971000000000095E-2</v>
      </c>
      <c r="AH1642">
        <v>0.62763741730196798</v>
      </c>
      <c r="AI1642">
        <v>96.946866581259599</v>
      </c>
      <c r="AJ1642">
        <v>83.481719672419402</v>
      </c>
      <c r="AK1642">
        <v>0.63639298559490598</v>
      </c>
      <c r="AL1642">
        <v>90.477608129309502</v>
      </c>
      <c r="AM1642">
        <v>83.306160615193804</v>
      </c>
      <c r="AN1642">
        <v>1.0000000175638499</v>
      </c>
    </row>
    <row r="1643" spans="1:40" x14ac:dyDescent="0.25">
      <c r="A1643" t="str">
        <f>"20190312154828135"</f>
        <v>20190312154828135</v>
      </c>
      <c r="B1643" t="str">
        <f>"1552376908127064"</f>
        <v>1552376908127064</v>
      </c>
      <c r="C1643" t="s">
        <v>40</v>
      </c>
      <c r="D1643">
        <v>5.0547110000000002</v>
      </c>
      <c r="E1643">
        <v>0.49045499999999997</v>
      </c>
      <c r="F1643" t="s">
        <v>41</v>
      </c>
      <c r="G1643">
        <v>-191.90440000000001</v>
      </c>
      <c r="H1643">
        <v>1.034235</v>
      </c>
      <c r="I1643">
        <v>301.38600000000002</v>
      </c>
      <c r="J1643">
        <v>-191.76349999999999</v>
      </c>
      <c r="K1643">
        <v>1.1065590000000001</v>
      </c>
      <c r="L1643">
        <v>301.99250000000001</v>
      </c>
      <c r="M1643">
        <v>-0.1182081</v>
      </c>
      <c r="N1643">
        <v>0</v>
      </c>
      <c r="O1643">
        <v>-0.99289139999999998</v>
      </c>
      <c r="P1643">
        <v>-0.23218069999999999</v>
      </c>
      <c r="Q1643">
        <v>-1.9917540000000001E-2</v>
      </c>
      <c r="R1643">
        <v>-0.97246889999999997</v>
      </c>
      <c r="S1643">
        <v>-0.60914609999999902</v>
      </c>
      <c r="T1643">
        <v>-0.25602829999999999</v>
      </c>
      <c r="U1643">
        <v>-2.9336850000000001</v>
      </c>
      <c r="V1643">
        <v>0.1155341</v>
      </c>
      <c r="W1643">
        <v>-7.0277469999999896E-3</v>
      </c>
      <c r="X1643">
        <v>0.99327860000000001</v>
      </c>
      <c r="Y1643">
        <v>8.5386139999999999E-2</v>
      </c>
      <c r="Z1643">
        <v>8.4975469999999997E-2</v>
      </c>
      <c r="AA1643">
        <v>0.99271770000000004</v>
      </c>
      <c r="AB1643">
        <v>23</v>
      </c>
      <c r="AC1643">
        <v>-0.14090000000001601</v>
      </c>
      <c r="AD1643">
        <v>-7.2323999999999999E-2</v>
      </c>
      <c r="AE1643">
        <v>-0.60650000000003901</v>
      </c>
      <c r="AF1643">
        <v>6.7303727573452807E-2</v>
      </c>
      <c r="AG1643">
        <v>-7.2323999999999999E-2</v>
      </c>
      <c r="AH1643">
        <v>0.61066498202859698</v>
      </c>
      <c r="AI1643">
        <v>96.714071568071802</v>
      </c>
      <c r="AJ1643">
        <v>83.710596608892999</v>
      </c>
      <c r="AK1643">
        <v>0.61860510262789503</v>
      </c>
      <c r="AL1643">
        <v>90.402663578371303</v>
      </c>
      <c r="AM1643">
        <v>83.365403004162602</v>
      </c>
      <c r="AN1643">
        <v>0.99999994735433095</v>
      </c>
    </row>
    <row r="1644" spans="1:40" x14ac:dyDescent="0.25">
      <c r="A1644" t="str">
        <f>"20190312154828157"</f>
        <v>20190312154828157</v>
      </c>
      <c r="B1644" t="str">
        <f>"1552376908147561"</f>
        <v>1552376908147561</v>
      </c>
      <c r="C1644" t="s">
        <v>40</v>
      </c>
      <c r="D1644">
        <v>5.0585690000000003</v>
      </c>
      <c r="E1644">
        <v>0.49021720000000002</v>
      </c>
      <c r="F1644" t="s">
        <v>41</v>
      </c>
      <c r="G1644">
        <v>-191.93440000000001</v>
      </c>
      <c r="H1644">
        <v>1.0379750000000001</v>
      </c>
      <c r="I1644">
        <v>301.18259999999998</v>
      </c>
      <c r="J1644">
        <v>-191.79560000000001</v>
      </c>
      <c r="K1644">
        <v>1.1065339999999999</v>
      </c>
      <c r="L1644">
        <v>301.7747</v>
      </c>
      <c r="M1644">
        <v>-0.123433</v>
      </c>
      <c r="N1644">
        <v>0</v>
      </c>
      <c r="O1644">
        <v>-0.99225509999999995</v>
      </c>
      <c r="P1644">
        <v>-0.2363363</v>
      </c>
      <c r="Q1644">
        <v>-1.9471100000000002E-2</v>
      </c>
      <c r="R1644">
        <v>-0.97147609999999995</v>
      </c>
      <c r="S1644">
        <v>-0.61819460000000004</v>
      </c>
      <c r="T1644">
        <v>-0.2482164</v>
      </c>
      <c r="U1644">
        <v>-2.9322810000000001</v>
      </c>
      <c r="V1644">
        <v>0.1145544</v>
      </c>
      <c r="W1644">
        <v>-6.5774780000000003E-3</v>
      </c>
      <c r="X1644">
        <v>0.99339520000000003</v>
      </c>
      <c r="Y1644">
        <v>8.3216310000000002E-2</v>
      </c>
      <c r="Z1644">
        <v>8.2342429999999994E-2</v>
      </c>
      <c r="AA1644">
        <v>0.9931238</v>
      </c>
      <c r="AB1644">
        <v>23</v>
      </c>
      <c r="AC1644">
        <v>-0.138800000000003</v>
      </c>
      <c r="AD1644">
        <v>-6.8558999999999801E-2</v>
      </c>
      <c r="AE1644">
        <v>-0.59210000000001595</v>
      </c>
      <c r="AF1644">
        <v>6.3835330310243896E-2</v>
      </c>
      <c r="AG1644">
        <v>-6.8558999999999801E-2</v>
      </c>
      <c r="AH1644">
        <v>0.59711677745173697</v>
      </c>
      <c r="AI1644">
        <v>96.513041976872898</v>
      </c>
      <c r="AJ1644">
        <v>83.897917070092902</v>
      </c>
      <c r="AK1644">
        <v>0.60442016163523604</v>
      </c>
      <c r="AL1644">
        <v>90.376864447203403</v>
      </c>
      <c r="AM1644">
        <v>83.421932867493993</v>
      </c>
      <c r="AN1644">
        <v>0.99999999857961996</v>
      </c>
    </row>
    <row r="1645" spans="1:40" x14ac:dyDescent="0.25">
      <c r="A1645" t="str">
        <f>"20190312154828179"</f>
        <v>20190312154828179</v>
      </c>
      <c r="B1645" t="str">
        <f>"1552376908167080"</f>
        <v>1552376908167080</v>
      </c>
      <c r="C1645" t="s">
        <v>40</v>
      </c>
      <c r="D1645">
        <v>5.0653769999999998</v>
      </c>
      <c r="E1645">
        <v>0.48583189999999998</v>
      </c>
      <c r="F1645" t="s">
        <v>41</v>
      </c>
      <c r="G1645">
        <v>-191.96619999999999</v>
      </c>
      <c r="H1645">
        <v>1.0399320000000001</v>
      </c>
      <c r="I1645">
        <v>300.98050000000001</v>
      </c>
      <c r="J1645">
        <v>-191.8305</v>
      </c>
      <c r="K1645">
        <v>1.1064959999999999</v>
      </c>
      <c r="L1645">
        <v>301.54610000000002</v>
      </c>
      <c r="M1645">
        <v>-0.12899269999999999</v>
      </c>
      <c r="N1645">
        <v>0</v>
      </c>
      <c r="O1645">
        <v>-0.99154779999999998</v>
      </c>
      <c r="P1645">
        <v>-0.24154020000000001</v>
      </c>
      <c r="Q1645">
        <v>-1.9209480000000001E-2</v>
      </c>
      <c r="R1645">
        <v>-0.97020070000000003</v>
      </c>
      <c r="S1645">
        <v>-0.62895199999999996</v>
      </c>
      <c r="T1645">
        <v>-0.24558389999999999</v>
      </c>
      <c r="U1645">
        <v>-2.9301149999999998</v>
      </c>
      <c r="V1645">
        <v>0.1143122</v>
      </c>
      <c r="W1645">
        <v>-6.3203919999999898E-3</v>
      </c>
      <c r="X1645">
        <v>0.9934248</v>
      </c>
      <c r="Y1645">
        <v>8.1282709999999994E-2</v>
      </c>
      <c r="Z1645">
        <v>8.1422820000000007E-2</v>
      </c>
      <c r="AA1645">
        <v>0.99335969999999996</v>
      </c>
      <c r="AB1645">
        <v>23</v>
      </c>
      <c r="AC1645">
        <v>-0.135699999999985</v>
      </c>
      <c r="AD1645">
        <v>-6.6563999999999804E-2</v>
      </c>
      <c r="AE1645">
        <v>-0.56560000000001698</v>
      </c>
      <c r="AF1645">
        <v>6.0804413532679798E-2</v>
      </c>
      <c r="AG1645">
        <v>-6.6563999999999804E-2</v>
      </c>
      <c r="AH1645">
        <v>0.57090299730679495</v>
      </c>
      <c r="AI1645">
        <v>96.613262119997401</v>
      </c>
      <c r="AJ1645">
        <v>83.920591932945996</v>
      </c>
      <c r="AK1645">
        <v>0.57797765971959103</v>
      </c>
      <c r="AL1645">
        <v>90.362134186739993</v>
      </c>
      <c r="AM1645">
        <v>83.435913110742206</v>
      </c>
      <c r="AN1645">
        <v>1.00000002983945</v>
      </c>
    </row>
    <row r="1646" spans="1:40" x14ac:dyDescent="0.25">
      <c r="A1646" t="str">
        <f>"20190312154828202"</f>
        <v>20190312154828202</v>
      </c>
      <c r="B1646" t="str">
        <f>"1552376908197337"</f>
        <v>1552376908197337</v>
      </c>
      <c r="C1646" t="s">
        <v>40</v>
      </c>
      <c r="D1646">
        <v>4.9739040000000001</v>
      </c>
      <c r="E1646">
        <v>0.48693609999999998</v>
      </c>
      <c r="F1646" t="s">
        <v>41</v>
      </c>
      <c r="G1646">
        <v>-191.99090000000001</v>
      </c>
      <c r="H1646">
        <v>1.044646</v>
      </c>
      <c r="I1646">
        <v>300.77600000000001</v>
      </c>
      <c r="J1646">
        <v>-191.86590000000001</v>
      </c>
      <c r="K1646">
        <v>1.10646</v>
      </c>
      <c r="L1646">
        <v>301.32350000000002</v>
      </c>
      <c r="M1646">
        <v>-0.13447890000000001</v>
      </c>
      <c r="N1646">
        <v>0</v>
      </c>
      <c r="O1646">
        <v>-0.99081850000000005</v>
      </c>
      <c r="P1646">
        <v>-0.24799099999999999</v>
      </c>
      <c r="Q1646">
        <v>-1.8984270000000001E-2</v>
      </c>
      <c r="R1646">
        <v>-0.96857660000000001</v>
      </c>
      <c r="S1646">
        <v>-0.61103819999999998</v>
      </c>
      <c r="T1646">
        <v>-0.23568749999999999</v>
      </c>
      <c r="U1646">
        <v>-2.9353940000000001</v>
      </c>
      <c r="V1646">
        <v>0.11542470000000001</v>
      </c>
      <c r="W1646">
        <v>-6.113271E-3</v>
      </c>
      <c r="X1646">
        <v>0.9932974</v>
      </c>
      <c r="Y1646">
        <v>6.9646269999999996E-2</v>
      </c>
      <c r="Z1646">
        <v>7.8023090000000003E-2</v>
      </c>
      <c r="AA1646">
        <v>0.99451579999999995</v>
      </c>
      <c r="AB1646">
        <v>23</v>
      </c>
      <c r="AC1646">
        <v>-0.125</v>
      </c>
      <c r="AD1646">
        <v>-6.1814000000000001E-2</v>
      </c>
      <c r="AE1646">
        <v>-0.54750000000001298</v>
      </c>
      <c r="AF1646">
        <v>4.9628718576534801E-2</v>
      </c>
      <c r="AG1646">
        <v>-6.1814000000000001E-2</v>
      </c>
      <c r="AH1646">
        <v>0.55264180710290001</v>
      </c>
      <c r="AI1646">
        <v>96.356741176150194</v>
      </c>
      <c r="AJ1646">
        <v>84.868450072136795</v>
      </c>
      <c r="AK1646">
        <v>0.55829826012760297</v>
      </c>
      <c r="AL1646">
        <v>90.350266816346107</v>
      </c>
      <c r="AM1646">
        <v>83.371753756408694</v>
      </c>
      <c r="AN1646">
        <v>0.99999997914958405</v>
      </c>
    </row>
    <row r="1647" spans="1:40" x14ac:dyDescent="0.25">
      <c r="A1647" t="str">
        <f>"20190312154828227"</f>
        <v>20190312154828227</v>
      </c>
      <c r="B1647" t="str">
        <f>"1552376908217831"</f>
        <v>1552376908217831</v>
      </c>
      <c r="C1647" t="s">
        <v>40</v>
      </c>
      <c r="D1647">
        <v>4.9336830000000003</v>
      </c>
      <c r="E1647">
        <v>0.4867435</v>
      </c>
      <c r="F1647" t="s">
        <v>41</v>
      </c>
      <c r="G1647">
        <v>-192.03</v>
      </c>
      <c r="H1647">
        <v>1.0496749999999999</v>
      </c>
      <c r="I1647">
        <v>300.5718</v>
      </c>
      <c r="J1647">
        <v>-191.90649999999999</v>
      </c>
      <c r="K1647">
        <v>1.1064259999999999</v>
      </c>
      <c r="L1647">
        <v>301.07819999999998</v>
      </c>
      <c r="M1647">
        <v>-0.14061209999999999</v>
      </c>
      <c r="N1647">
        <v>0</v>
      </c>
      <c r="O1647">
        <v>-0.98996689999999998</v>
      </c>
      <c r="P1647">
        <v>-0.25585950000000002</v>
      </c>
      <c r="Q1647">
        <v>-1.8771969999999999E-2</v>
      </c>
      <c r="R1647">
        <v>-0.96653210000000001</v>
      </c>
      <c r="S1647">
        <v>-0.63934329999999995</v>
      </c>
      <c r="T1647">
        <v>-0.22131439999999999</v>
      </c>
      <c r="U1647">
        <v>-2.9293209999999998</v>
      </c>
      <c r="V1647">
        <v>0.1173515</v>
      </c>
      <c r="W1647">
        <v>-5.9273809999999998E-3</v>
      </c>
      <c r="X1647">
        <v>0.99307270000000003</v>
      </c>
      <c r="Y1647">
        <v>7.3148030000000003E-2</v>
      </c>
      <c r="Z1647">
        <v>7.3263629999999996E-2</v>
      </c>
      <c r="AA1647">
        <v>0.99462649999999997</v>
      </c>
      <c r="AB1647">
        <v>23</v>
      </c>
      <c r="AC1647">
        <v>-0.12350000000000699</v>
      </c>
      <c r="AD1647">
        <v>-5.6751000000000197E-2</v>
      </c>
      <c r="AE1647">
        <v>-0.50639999999998497</v>
      </c>
      <c r="AF1647">
        <v>5.0461714249183498E-2</v>
      </c>
      <c r="AG1647">
        <v>-5.6751000000000197E-2</v>
      </c>
      <c r="AH1647">
        <v>0.51265799918442201</v>
      </c>
      <c r="AI1647">
        <v>96.286759425053305</v>
      </c>
      <c r="AJ1647">
        <v>84.378397217967205</v>
      </c>
      <c r="AK1647">
        <v>0.51825214397409003</v>
      </c>
      <c r="AL1647">
        <v>90.339615921234696</v>
      </c>
      <c r="AM1647">
        <v>83.260606072202194</v>
      </c>
      <c r="AN1647">
        <v>0.99999994794152802</v>
      </c>
    </row>
    <row r="1648" spans="1:40" x14ac:dyDescent="0.25">
      <c r="A1648" t="str">
        <f>"20190312154828249"</f>
        <v>20190312154828249</v>
      </c>
      <c r="B1648" t="str">
        <f>"1552376908238328"</f>
        <v>1552376908238328</v>
      </c>
      <c r="C1648" t="s">
        <v>40</v>
      </c>
      <c r="D1648">
        <v>4.8634769999999996</v>
      </c>
      <c r="E1648">
        <v>0.48673499999999997</v>
      </c>
      <c r="F1648" t="s">
        <v>41</v>
      </c>
      <c r="G1648">
        <v>-192.1095</v>
      </c>
      <c r="H1648">
        <v>1.0391619999999999</v>
      </c>
      <c r="I1648">
        <v>300.1816</v>
      </c>
      <c r="J1648">
        <v>-191.9453</v>
      </c>
      <c r="K1648">
        <v>1.106392</v>
      </c>
      <c r="L1648">
        <v>300.85289999999998</v>
      </c>
      <c r="M1648">
        <v>-0.14632239999999999</v>
      </c>
      <c r="N1648">
        <v>0</v>
      </c>
      <c r="O1648">
        <v>-0.98913870000000004</v>
      </c>
      <c r="P1648">
        <v>-0.26349620000000001</v>
      </c>
      <c r="Q1648">
        <v>-1.8274410000000001E-2</v>
      </c>
      <c r="R1648">
        <v>-0.96448730000000005</v>
      </c>
      <c r="S1648">
        <v>-0.66177369999999902</v>
      </c>
      <c r="T1648">
        <v>-0.2192614</v>
      </c>
      <c r="U1648">
        <v>-2.9244080000000001</v>
      </c>
      <c r="V1648">
        <v>0.119477399999999</v>
      </c>
      <c r="W1648">
        <v>-5.4562990000000004E-3</v>
      </c>
      <c r="X1648">
        <v>0.99282190000000003</v>
      </c>
      <c r="Y1648">
        <v>7.5021329999999997E-2</v>
      </c>
      <c r="Z1648">
        <v>7.2550980000000001E-2</v>
      </c>
      <c r="AA1648">
        <v>0.99453910000000001</v>
      </c>
      <c r="AB1648">
        <v>22</v>
      </c>
      <c r="AC1648">
        <v>-0.16419999999999299</v>
      </c>
      <c r="AD1648">
        <v>-6.7229999999999901E-2</v>
      </c>
      <c r="AE1648">
        <v>-0.67129999999997303</v>
      </c>
      <c r="AF1648">
        <v>6.3594750996955093E-2</v>
      </c>
      <c r="AG1648">
        <v>-6.7229999999999901E-2</v>
      </c>
      <c r="AH1648">
        <v>0.68165094776908697</v>
      </c>
      <c r="AI1648">
        <v>95.6085626984774</v>
      </c>
      <c r="AJ1648">
        <v>84.670008012082604</v>
      </c>
      <c r="AK1648">
        <v>0.68790419380089496</v>
      </c>
      <c r="AL1648">
        <v>90.312624464205498</v>
      </c>
      <c r="AM1648">
        <v>83.137954355812695</v>
      </c>
      <c r="AN1648">
        <v>0.99999997271457297</v>
      </c>
    </row>
    <row r="1649" spans="1:40" x14ac:dyDescent="0.25">
      <c r="A1649" t="str">
        <f>"20190312154828272"</f>
        <v>20190312154828272</v>
      </c>
      <c r="B1649" t="str">
        <f>"1552376908267140"</f>
        <v>1552376908267140</v>
      </c>
      <c r="C1649" t="s">
        <v>40</v>
      </c>
      <c r="D1649">
        <v>4.9014819999999997</v>
      </c>
      <c r="E1649">
        <v>0.4861432</v>
      </c>
      <c r="F1649" t="s">
        <v>41</v>
      </c>
      <c r="G1649">
        <v>-192.14959999999999</v>
      </c>
      <c r="H1649">
        <v>1.0415829999999999</v>
      </c>
      <c r="I1649">
        <v>299.9819</v>
      </c>
      <c r="J1649">
        <v>-191.98750000000001</v>
      </c>
      <c r="K1649">
        <v>1.106379</v>
      </c>
      <c r="L1649">
        <v>300.6164</v>
      </c>
      <c r="M1649">
        <v>-0.15237300000000001</v>
      </c>
      <c r="N1649">
        <v>0</v>
      </c>
      <c r="O1649">
        <v>-0.98822460000000001</v>
      </c>
      <c r="P1649">
        <v>-0.27163350000000003</v>
      </c>
      <c r="Q1649">
        <v>-1.896115E-2</v>
      </c>
      <c r="R1649">
        <v>-0.96221409999999996</v>
      </c>
      <c r="S1649">
        <v>-0.68444819999999995</v>
      </c>
      <c r="T1649">
        <v>-0.217167</v>
      </c>
      <c r="U1649">
        <v>-2.9193120000000001</v>
      </c>
      <c r="V1649">
        <v>0.1217824</v>
      </c>
      <c r="W1649">
        <v>-6.1697990000000001E-3</v>
      </c>
      <c r="X1649">
        <v>0.99253760000000002</v>
      </c>
      <c r="Y1649">
        <v>7.6639059999999995E-2</v>
      </c>
      <c r="Z1649">
        <v>7.1818140000000003E-2</v>
      </c>
      <c r="AA1649">
        <v>0.99446900000000005</v>
      </c>
      <c r="AB1649">
        <v>22</v>
      </c>
      <c r="AC1649">
        <v>-0.16209999999998101</v>
      </c>
      <c r="AD1649">
        <v>-6.4796000000000006E-2</v>
      </c>
      <c r="AE1649">
        <v>-0.63450000000000195</v>
      </c>
      <c r="AF1649">
        <v>6.2900931965192405E-2</v>
      </c>
      <c r="AG1649">
        <v>-6.4796000000000006E-2</v>
      </c>
      <c r="AH1649">
        <v>0.64547254595820602</v>
      </c>
      <c r="AI1649">
        <v>95.705605993713107</v>
      </c>
      <c r="AJ1649">
        <v>84.434133074420302</v>
      </c>
      <c r="AK1649">
        <v>0.65175904784196004</v>
      </c>
      <c r="AL1649">
        <v>90.353505702427398</v>
      </c>
      <c r="AM1649">
        <v>83.004884739423403</v>
      </c>
      <c r="AN1649">
        <v>0.99999995339160896</v>
      </c>
    </row>
    <row r="1650" spans="1:40" x14ac:dyDescent="0.25">
      <c r="A1650" t="str">
        <f>"20190312154828292"</f>
        <v>20190312154828292</v>
      </c>
      <c r="B1650" t="str">
        <f>"1552376908287636"</f>
        <v>1552376908287636</v>
      </c>
      <c r="C1650" t="s">
        <v>40</v>
      </c>
      <c r="D1650">
        <v>4.9983110000000002</v>
      </c>
      <c r="E1650">
        <v>0.48589379999999999</v>
      </c>
      <c r="F1650" t="s">
        <v>41</v>
      </c>
      <c r="G1650">
        <v>-192.18950000000001</v>
      </c>
      <c r="H1650">
        <v>1.044475</v>
      </c>
      <c r="I1650">
        <v>299.78190000000001</v>
      </c>
      <c r="J1650">
        <v>-192.02449999999999</v>
      </c>
      <c r="K1650">
        <v>1.106368</v>
      </c>
      <c r="L1650">
        <v>300.416</v>
      </c>
      <c r="M1650">
        <v>-0.15754070000000001</v>
      </c>
      <c r="N1650">
        <v>0</v>
      </c>
      <c r="O1650">
        <v>-0.98741420000000002</v>
      </c>
      <c r="P1650">
        <v>-0.27822629999999998</v>
      </c>
      <c r="Q1650">
        <v>-1.8459969999999999E-2</v>
      </c>
      <c r="R1650">
        <v>-0.96033869999999999</v>
      </c>
      <c r="S1650">
        <v>-0.70483399999999996</v>
      </c>
      <c r="T1650">
        <v>-0.216058</v>
      </c>
      <c r="U1650">
        <v>-2.9145810000000001</v>
      </c>
      <c r="V1650">
        <v>0.12339940000000001</v>
      </c>
      <c r="W1650">
        <v>-5.6869190000000003E-3</v>
      </c>
      <c r="X1650">
        <v>0.99234080000000002</v>
      </c>
      <c r="Y1650">
        <v>7.8370120000000001E-2</v>
      </c>
      <c r="Z1650">
        <v>7.141641E-2</v>
      </c>
      <c r="AA1650">
        <v>0.994363</v>
      </c>
      <c r="AB1650">
        <v>22</v>
      </c>
      <c r="AC1650">
        <v>-0.16500000000001999</v>
      </c>
      <c r="AD1650">
        <v>-6.1892999999999899E-2</v>
      </c>
      <c r="AE1650">
        <v>-0.63409999999998901</v>
      </c>
      <c r="AF1650">
        <v>6.2475430957470102E-2</v>
      </c>
      <c r="AG1650">
        <v>-6.1892999999999899E-2</v>
      </c>
      <c r="AH1650">
        <v>0.64640891317348903</v>
      </c>
      <c r="AI1650">
        <v>95.444124754651696</v>
      </c>
      <c r="AJ1650">
        <v>84.479508841651395</v>
      </c>
      <c r="AK1650">
        <v>0.65236370680200595</v>
      </c>
      <c r="AL1650">
        <v>90.325838210816002</v>
      </c>
      <c r="AM1650">
        <v>82.911552309333501</v>
      </c>
      <c r="AN1650">
        <v>1.00000000815635</v>
      </c>
    </row>
    <row r="1651" spans="1:40" x14ac:dyDescent="0.25">
      <c r="A1651" t="str">
        <f>"20190312154828314"</f>
        <v>20190312154828314</v>
      </c>
      <c r="B1651" t="str">
        <f>"1552376908307155"</f>
        <v>1552376908307155</v>
      </c>
      <c r="C1651" t="s">
        <v>40</v>
      </c>
      <c r="D1651">
        <v>4.8329360000000001</v>
      </c>
      <c r="E1651">
        <v>0.4876239</v>
      </c>
      <c r="F1651" t="s">
        <v>41</v>
      </c>
      <c r="G1651">
        <v>-192.2312</v>
      </c>
      <c r="H1651">
        <v>1.0452669999999999</v>
      </c>
      <c r="I1651">
        <v>299.58359999999999</v>
      </c>
      <c r="J1651">
        <v>-192.066</v>
      </c>
      <c r="K1651">
        <v>1.106355</v>
      </c>
      <c r="L1651">
        <v>300.1979</v>
      </c>
      <c r="M1651">
        <v>-0.1632055</v>
      </c>
      <c r="N1651">
        <v>0</v>
      </c>
      <c r="O1651">
        <v>-0.98649330000000002</v>
      </c>
      <c r="P1651">
        <v>-0.28533380000000003</v>
      </c>
      <c r="Q1651">
        <v>-1.7667800000000001E-2</v>
      </c>
      <c r="R1651">
        <v>-0.95826549999999999</v>
      </c>
      <c r="S1651">
        <v>-0.72271730000000001</v>
      </c>
      <c r="T1651">
        <v>-0.21361479999999999</v>
      </c>
      <c r="U1651">
        <v>-2.9104000000000001</v>
      </c>
      <c r="V1651">
        <v>0.1250598</v>
      </c>
      <c r="W1651">
        <v>-4.9135209999999997E-3</v>
      </c>
      <c r="X1651">
        <v>0.99213700000000005</v>
      </c>
      <c r="Y1651">
        <v>7.8752230000000006E-2</v>
      </c>
      <c r="Z1651">
        <v>7.0561059999999995E-2</v>
      </c>
      <c r="AA1651">
        <v>0.99439390000000005</v>
      </c>
      <c r="AB1651">
        <v>22</v>
      </c>
      <c r="AC1651">
        <v>-0.16520000000002699</v>
      </c>
      <c r="AD1651">
        <v>-6.1088000000000003E-2</v>
      </c>
      <c r="AE1651">
        <v>-0.61430000000001395</v>
      </c>
      <c r="AF1651">
        <v>6.21445688868216E-2</v>
      </c>
      <c r="AG1651">
        <v>-6.1088000000000003E-2</v>
      </c>
      <c r="AH1651">
        <v>0.627241646240982</v>
      </c>
      <c r="AI1651">
        <v>95.535645375784597</v>
      </c>
      <c r="AJ1651">
        <v>84.341830984927398</v>
      </c>
      <c r="AK1651">
        <v>0.63326595831864096</v>
      </c>
      <c r="AL1651">
        <v>90.281525159486307</v>
      </c>
      <c r="AM1651">
        <v>82.815703372156605</v>
      </c>
      <c r="AN1651">
        <v>0.99999996151682802</v>
      </c>
    </row>
    <row r="1652" spans="1:40" x14ac:dyDescent="0.25">
      <c r="A1652" t="str">
        <f>"20190312154828337"</f>
        <v>20190312154828337</v>
      </c>
      <c r="B1652" t="str">
        <f>"1552376908327652"</f>
        <v>1552376908327652</v>
      </c>
      <c r="C1652" t="s">
        <v>40</v>
      </c>
      <c r="D1652">
        <v>5.1132289999999996</v>
      </c>
      <c r="E1652">
        <v>0.55594500000000002</v>
      </c>
      <c r="F1652" t="s">
        <v>41</v>
      </c>
      <c r="G1652">
        <v>-192.27799999999999</v>
      </c>
      <c r="H1652">
        <v>1.0460100000000001</v>
      </c>
      <c r="I1652">
        <v>299.38639999999998</v>
      </c>
      <c r="J1652">
        <v>-192.1088</v>
      </c>
      <c r="K1652">
        <v>1.1063459999999901</v>
      </c>
      <c r="L1652">
        <v>299.97989999999999</v>
      </c>
      <c r="M1652">
        <v>-0.16890629999999901</v>
      </c>
      <c r="N1652">
        <v>0</v>
      </c>
      <c r="O1652">
        <v>-0.9855334</v>
      </c>
      <c r="P1652">
        <v>-0.29213020000000001</v>
      </c>
      <c r="Q1652">
        <v>-1.7456510000000001E-2</v>
      </c>
      <c r="R1652">
        <v>-0.95621909999999999</v>
      </c>
      <c r="S1652">
        <v>-0.75730900000000001</v>
      </c>
      <c r="T1652">
        <v>-0.21567239999999999</v>
      </c>
      <c r="U1652">
        <v>-2.901154</v>
      </c>
      <c r="V1652">
        <v>0.1263686</v>
      </c>
      <c r="W1652">
        <v>-4.7179550000000002E-3</v>
      </c>
      <c r="X1652">
        <v>0.99197210000000002</v>
      </c>
      <c r="Y1652">
        <v>8.4848090000000001E-2</v>
      </c>
      <c r="Z1652">
        <v>7.1231920000000004E-2</v>
      </c>
      <c r="AA1652">
        <v>0.99384439999999996</v>
      </c>
      <c r="AB1652">
        <v>22</v>
      </c>
      <c r="AC1652">
        <v>-0.169199999999989</v>
      </c>
      <c r="AD1652">
        <v>-6.0335999999999702E-2</v>
      </c>
      <c r="AE1652">
        <v>-0.59350000000000502</v>
      </c>
      <c r="AF1652">
        <v>6.5883110858256405E-2</v>
      </c>
      <c r="AG1652">
        <v>-6.0335999999999702E-2</v>
      </c>
      <c r="AH1652">
        <v>0.60774378897083403</v>
      </c>
      <c r="AI1652">
        <v>95.636860169699901</v>
      </c>
      <c r="AJ1652">
        <v>83.812951158940194</v>
      </c>
      <c r="AK1652">
        <v>0.61427480025228698</v>
      </c>
      <c r="AL1652">
        <v>90.270319921835195</v>
      </c>
      <c r="AM1652">
        <v>82.740120936875797</v>
      </c>
      <c r="AN1652">
        <v>0.99999996467187502</v>
      </c>
    </row>
    <row r="1653" spans="1:40" x14ac:dyDescent="0.25">
      <c r="A1653" t="str">
        <f>"20190312154828359"</f>
        <v>20190312154828359</v>
      </c>
      <c r="B1653" t="str">
        <f>"1552376908347171"</f>
        <v>1552376908347171</v>
      </c>
      <c r="C1653" t="s">
        <v>40</v>
      </c>
      <c r="D1653">
        <v>5.0761599999999998</v>
      </c>
      <c r="E1653">
        <v>0.60326809999999997</v>
      </c>
      <c r="F1653" t="s">
        <v>49</v>
      </c>
      <c r="G1653">
        <v>-197.40360000000001</v>
      </c>
      <c r="H1653" s="1">
        <v>2.2841580000000002E-6</v>
      </c>
      <c r="I1653">
        <v>288.81619999999998</v>
      </c>
      <c r="J1653">
        <v>-192.15389999999999</v>
      </c>
      <c r="K1653">
        <v>1.10633</v>
      </c>
      <c r="L1653">
        <v>299.75760000000002</v>
      </c>
      <c r="M1653">
        <v>-0.17476</v>
      </c>
      <c r="N1653">
        <v>0</v>
      </c>
      <c r="O1653">
        <v>-0.98451239999999995</v>
      </c>
      <c r="P1653">
        <v>-0.29916589999999998</v>
      </c>
      <c r="Q1653">
        <v>-1.6818969999999999E-2</v>
      </c>
      <c r="R1653">
        <v>-0.95405329999999999</v>
      </c>
      <c r="S1653">
        <v>-1.2976529999999999</v>
      </c>
      <c r="T1653">
        <v>-0.27114270000000001</v>
      </c>
      <c r="U1653">
        <v>-2.7360229999999999</v>
      </c>
      <c r="V1653">
        <v>0.1277836</v>
      </c>
      <c r="W1653">
        <v>-4.0979520000000002E-3</v>
      </c>
      <c r="X1653">
        <v>0.99179360000000005</v>
      </c>
      <c r="Y1653">
        <v>0.26226739999999998</v>
      </c>
      <c r="Z1653">
        <v>8.9901610000000007E-2</v>
      </c>
      <c r="AA1653">
        <v>0.96079840000000005</v>
      </c>
      <c r="AB1653">
        <v>22</v>
      </c>
      <c r="AC1653">
        <v>-5.2497000000000096</v>
      </c>
      <c r="AD1653">
        <v>-1.106327715842</v>
      </c>
      <c r="AE1653">
        <v>-10.9414</v>
      </c>
      <c r="AF1653">
        <v>3.2297502355821699</v>
      </c>
      <c r="AG1653">
        <v>-1.106327715842</v>
      </c>
      <c r="AH1653">
        <v>11.594160471542599</v>
      </c>
      <c r="AI1653">
        <v>95.251939066096298</v>
      </c>
      <c r="AJ1653">
        <v>74.433918854183403</v>
      </c>
      <c r="AK1653">
        <v>12.0863478619045</v>
      </c>
      <c r="AL1653">
        <v>90.234796012981803</v>
      </c>
      <c r="AM1653">
        <v>82.658404223132393</v>
      </c>
      <c r="AN1653">
        <v>0.99999999332025702</v>
      </c>
    </row>
    <row r="1654" spans="1:40" x14ac:dyDescent="0.25">
      <c r="A1654" t="str">
        <f>"20190312154828381"</f>
        <v>20190312154828381</v>
      </c>
      <c r="B1654" t="str">
        <f>"1552376908377934"</f>
        <v>1552376908377934</v>
      </c>
      <c r="C1654" t="s">
        <v>40</v>
      </c>
      <c r="D1654">
        <v>5.0753890000000004</v>
      </c>
      <c r="E1654">
        <v>0.61053449999999998</v>
      </c>
      <c r="F1654" t="s">
        <v>49</v>
      </c>
      <c r="G1654">
        <v>-195.9299</v>
      </c>
      <c r="H1654" s="1">
        <v>1.3710080000000001E-6</v>
      </c>
      <c r="I1654">
        <v>293.86</v>
      </c>
      <c r="J1654">
        <v>-192.1985</v>
      </c>
      <c r="K1654">
        <v>1.106314</v>
      </c>
      <c r="L1654">
        <v>299.54419999999999</v>
      </c>
      <c r="M1654">
        <v>-0.1804219</v>
      </c>
      <c r="N1654">
        <v>0</v>
      </c>
      <c r="O1654">
        <v>-0.98349039999999999</v>
      </c>
      <c r="P1654">
        <v>-0.30556529999999998</v>
      </c>
      <c r="Q1654">
        <v>-1.6899859999999999E-2</v>
      </c>
      <c r="R1654">
        <v>-0.95202140000000002</v>
      </c>
      <c r="S1654">
        <v>-1.6720429999999999</v>
      </c>
      <c r="T1654">
        <v>-0.48989959999999999</v>
      </c>
      <c r="U1654">
        <v>-2.611542</v>
      </c>
      <c r="V1654">
        <v>0.12873560000000001</v>
      </c>
      <c r="W1654">
        <v>-4.1924939999999997E-3</v>
      </c>
      <c r="X1654">
        <v>0.9916701</v>
      </c>
      <c r="Y1654">
        <v>0.37149860000000001</v>
      </c>
      <c r="Z1654">
        <v>0.1589846</v>
      </c>
      <c r="AA1654">
        <v>0.91471999999999998</v>
      </c>
      <c r="AB1654">
        <v>22</v>
      </c>
      <c r="AC1654">
        <v>-3.7313999999999998</v>
      </c>
      <c r="AD1654">
        <v>-1.106312628992</v>
      </c>
      <c r="AE1654">
        <v>-5.6841999999999704</v>
      </c>
      <c r="AF1654">
        <v>2.5762974972581598</v>
      </c>
      <c r="AG1654">
        <v>-1.106312628992</v>
      </c>
      <c r="AH1654">
        <v>6.1026381875562503</v>
      </c>
      <c r="AI1654">
        <v>99.481558578211903</v>
      </c>
      <c r="AJ1654">
        <v>67.112412253559995</v>
      </c>
      <c r="AK1654">
        <v>6.7159086708847999</v>
      </c>
      <c r="AL1654">
        <v>90.240212913265594</v>
      </c>
      <c r="AM1654">
        <v>82.603401109942098</v>
      </c>
      <c r="AN1654">
        <v>1.0000000094736501</v>
      </c>
    </row>
    <row r="1655" spans="1:40" x14ac:dyDescent="0.25">
      <c r="A1655" t="str">
        <f>"20190312154828403"</f>
        <v>20190312154828403</v>
      </c>
      <c r="B1655" t="str">
        <f>"1552376908397455"</f>
        <v>1552376908397455</v>
      </c>
      <c r="C1655" t="s">
        <v>40</v>
      </c>
      <c r="D1655">
        <v>5.0948830000000003</v>
      </c>
      <c r="E1655">
        <v>0.61222699999999997</v>
      </c>
      <c r="F1655" t="s">
        <v>49</v>
      </c>
      <c r="G1655">
        <v>-195.5377</v>
      </c>
      <c r="H1655" s="1">
        <v>1.2759900000000001E-6</v>
      </c>
      <c r="I1655">
        <v>294.59699999999998</v>
      </c>
      <c r="J1655">
        <v>-192.24549999999999</v>
      </c>
      <c r="K1655">
        <v>1.106282</v>
      </c>
      <c r="L1655">
        <v>299.32619999999997</v>
      </c>
      <c r="M1655">
        <v>-0.1862547</v>
      </c>
      <c r="N1655">
        <v>0</v>
      </c>
      <c r="O1655">
        <v>-0.98240240000000001</v>
      </c>
      <c r="P1655">
        <v>-0.31230599999999997</v>
      </c>
      <c r="Q1655">
        <v>-1.648695E-2</v>
      </c>
      <c r="R1655">
        <v>-0.94983879999999998</v>
      </c>
      <c r="S1655">
        <v>-1.7425539999999999</v>
      </c>
      <c r="T1655">
        <v>-0.57732839999999996</v>
      </c>
      <c r="U1655">
        <v>-2.5816650000000001</v>
      </c>
      <c r="V1655">
        <v>0.129882199999999</v>
      </c>
      <c r="W1655">
        <v>-3.797075E-3</v>
      </c>
      <c r="X1655">
        <v>0.99152209999999996</v>
      </c>
      <c r="Y1655">
        <v>0.38545780000000002</v>
      </c>
      <c r="Z1655">
        <v>0.1859934</v>
      </c>
      <c r="AA1655">
        <v>0.90378579999999997</v>
      </c>
      <c r="AB1655">
        <v>22</v>
      </c>
      <c r="AC1655">
        <v>-3.2921999999999998</v>
      </c>
      <c r="AD1655">
        <v>-1.1062807240100001</v>
      </c>
      <c r="AE1655">
        <v>-4.7291999999999899</v>
      </c>
      <c r="AF1655">
        <v>2.2699894756071002</v>
      </c>
      <c r="AG1655">
        <v>-1.1062807240100001</v>
      </c>
      <c r="AH1655">
        <v>5.0727033811229099</v>
      </c>
      <c r="AI1655">
        <v>101.258296575206</v>
      </c>
      <c r="AJ1655">
        <v>65.891910275502696</v>
      </c>
      <c r="AK1655">
        <v>5.6664829349905297</v>
      </c>
      <c r="AL1655">
        <v>90.217556908000702</v>
      </c>
      <c r="AM1655">
        <v>82.537160277966507</v>
      </c>
      <c r="AN1655">
        <v>0.9999999392219</v>
      </c>
    </row>
    <row r="1656" spans="1:40" x14ac:dyDescent="0.25">
      <c r="A1656" t="str">
        <f>"20190312154828426"</f>
        <v>20190312154828426</v>
      </c>
      <c r="B1656" t="str">
        <f>"1552376908417950"</f>
        <v>1552376908417950</v>
      </c>
      <c r="C1656" t="s">
        <v>40</v>
      </c>
      <c r="D1656">
        <v>5.1013640000000002</v>
      </c>
      <c r="E1656">
        <v>0.61261880000000002</v>
      </c>
      <c r="F1656" t="s">
        <v>49</v>
      </c>
      <c r="G1656">
        <v>-195.72989999999999</v>
      </c>
      <c r="H1656" s="1">
        <v>1.3136030000000001E-6</v>
      </c>
      <c r="I1656">
        <v>294.2867</v>
      </c>
      <c r="J1656">
        <v>-192.2945</v>
      </c>
      <c r="K1656">
        <v>1.1062559999999999</v>
      </c>
      <c r="L1656">
        <v>299.10550000000001</v>
      </c>
      <c r="M1656">
        <v>-0.19223399999999999</v>
      </c>
      <c r="N1656">
        <v>0</v>
      </c>
      <c r="O1656">
        <v>-0.98124990000000001</v>
      </c>
      <c r="P1656">
        <v>-0.3189591</v>
      </c>
      <c r="Q1656">
        <v>-1.5344679999999999E-2</v>
      </c>
      <c r="R1656">
        <v>-0.94764440000000005</v>
      </c>
      <c r="S1656">
        <v>-1.7737579999999999</v>
      </c>
      <c r="T1656">
        <v>-0.56315879999999996</v>
      </c>
      <c r="U1656">
        <v>-2.5653990000000002</v>
      </c>
      <c r="V1656">
        <v>0.13080319999999901</v>
      </c>
      <c r="W1656">
        <v>-2.6721739999999998E-3</v>
      </c>
      <c r="X1656">
        <v>0.99140479999999997</v>
      </c>
      <c r="Y1656">
        <v>0.39047330000000002</v>
      </c>
      <c r="Z1656">
        <v>0.1814452</v>
      </c>
      <c r="AA1656">
        <v>0.90255649999999998</v>
      </c>
      <c r="AB1656">
        <v>22</v>
      </c>
      <c r="AC1656">
        <v>-3.43539999999998</v>
      </c>
      <c r="AD1656">
        <v>-1.106254686397</v>
      </c>
      <c r="AE1656">
        <v>-4.8188000000000004</v>
      </c>
      <c r="AF1656">
        <v>2.36233968953076</v>
      </c>
      <c r="AG1656">
        <v>-1.106254686397</v>
      </c>
      <c r="AH1656">
        <v>5.2074102789509498</v>
      </c>
      <c r="AI1656">
        <v>100.949300994187</v>
      </c>
      <c r="AJ1656">
        <v>65.598598191570602</v>
      </c>
      <c r="AK1656">
        <v>5.82422269948803</v>
      </c>
      <c r="AL1656">
        <v>90.153104467251694</v>
      </c>
      <c r="AM1656">
        <v>82.483964745460099</v>
      </c>
      <c r="AN1656">
        <v>1.00000004755358</v>
      </c>
    </row>
    <row r="1657" spans="1:40" x14ac:dyDescent="0.25">
      <c r="A1657" t="str">
        <f>"20190312154828450"</f>
        <v>20190312154828450</v>
      </c>
      <c r="B1657" t="str">
        <f>"1552376908437470"</f>
        <v>1552376908437470</v>
      </c>
      <c r="C1657" t="s">
        <v>40</v>
      </c>
      <c r="D1657">
        <v>5.110538</v>
      </c>
      <c r="E1657">
        <v>0.61300069999999995</v>
      </c>
      <c r="F1657" t="s">
        <v>49</v>
      </c>
      <c r="G1657">
        <v>-195.87469999999999</v>
      </c>
      <c r="H1657" s="1">
        <v>1.34877999999999E-6</v>
      </c>
      <c r="I1657">
        <v>294.01400000000001</v>
      </c>
      <c r="J1657">
        <v>-192.3475</v>
      </c>
      <c r="K1657">
        <v>1.1062160000000001</v>
      </c>
      <c r="L1657">
        <v>298.87450000000001</v>
      </c>
      <c r="M1657">
        <v>-0.19860439999999999</v>
      </c>
      <c r="N1657">
        <v>0</v>
      </c>
      <c r="O1657">
        <v>-0.97998010000000002</v>
      </c>
      <c r="P1657">
        <v>-0.32607960000000002</v>
      </c>
      <c r="Q1657">
        <v>-1.3963110000000001E-2</v>
      </c>
      <c r="R1657">
        <v>-0.94523889999999999</v>
      </c>
      <c r="S1657">
        <v>-1.7949520000000001</v>
      </c>
      <c r="T1657">
        <v>-0.55461689999999997</v>
      </c>
      <c r="U1657">
        <v>-2.5526119999999999</v>
      </c>
      <c r="V1657">
        <v>0.13182929999999901</v>
      </c>
      <c r="W1657">
        <v>-1.312389E-3</v>
      </c>
      <c r="X1657">
        <v>0.99127160000000003</v>
      </c>
      <c r="Y1657">
        <v>0.39194620000000002</v>
      </c>
      <c r="Z1657">
        <v>0.1787234</v>
      </c>
      <c r="AA1657">
        <v>0.90246119999999996</v>
      </c>
      <c r="AB1657">
        <v>22</v>
      </c>
      <c r="AC1657">
        <v>-3.5271999999999899</v>
      </c>
      <c r="AD1657">
        <v>-1.10621465122</v>
      </c>
      <c r="AE1657">
        <v>-4.8605</v>
      </c>
      <c r="AF1657">
        <v>2.4097492949229098</v>
      </c>
      <c r="AG1657">
        <v>-1.10621465122</v>
      </c>
      <c r="AH1657">
        <v>5.2849260346369702</v>
      </c>
      <c r="AI1657">
        <v>100.78292358397999</v>
      </c>
      <c r="AJ1657">
        <v>65.488602600351498</v>
      </c>
      <c r="AK1657">
        <v>5.9127866281930803</v>
      </c>
      <c r="AL1657">
        <v>90.075194369670101</v>
      </c>
      <c r="AM1657">
        <v>82.424680336290095</v>
      </c>
      <c r="AN1657">
        <v>1.0000000358349601</v>
      </c>
    </row>
    <row r="1658" spans="1:40" x14ac:dyDescent="0.25">
      <c r="A1658" t="str">
        <f>"20190312154828472"</f>
        <v>20190312154828472</v>
      </c>
      <c r="B1658" t="str">
        <f>"1552376908467726"</f>
        <v>1552376908467726</v>
      </c>
      <c r="C1658" t="s">
        <v>40</v>
      </c>
      <c r="D1658">
        <v>5.1518649999999999</v>
      </c>
      <c r="E1658">
        <v>0.61203730000000001</v>
      </c>
      <c r="F1658" t="s">
        <v>49</v>
      </c>
      <c r="G1658">
        <v>-196.15170000000001</v>
      </c>
      <c r="H1658" s="1">
        <v>1.403714E-6</v>
      </c>
      <c r="I1658">
        <v>293.56259999999997</v>
      </c>
      <c r="J1658">
        <v>-192.40029999999999</v>
      </c>
      <c r="K1658">
        <v>1.1061700000000001</v>
      </c>
      <c r="L1658">
        <v>298.65140000000002</v>
      </c>
      <c r="M1658">
        <v>-0.2048441</v>
      </c>
      <c r="N1658">
        <v>0</v>
      </c>
      <c r="O1658">
        <v>-0.97869490000000003</v>
      </c>
      <c r="P1658">
        <v>-0.33297949999999998</v>
      </c>
      <c r="Q1658">
        <v>-1.246295E-2</v>
      </c>
      <c r="R1658">
        <v>-0.94285180000000002</v>
      </c>
      <c r="S1658">
        <v>-1.818192</v>
      </c>
      <c r="T1658">
        <v>-0.52871420000000002</v>
      </c>
      <c r="U1658">
        <v>-2.5387879999999998</v>
      </c>
      <c r="V1658">
        <v>0.13276779999999999</v>
      </c>
      <c r="W1658">
        <v>1.6671810000000001E-4</v>
      </c>
      <c r="X1658">
        <v>0.99114720000000001</v>
      </c>
      <c r="Y1658">
        <v>0.39474609999999999</v>
      </c>
      <c r="Z1658">
        <v>0.17054639999999999</v>
      </c>
      <c r="AA1658">
        <v>0.90282300000000004</v>
      </c>
      <c r="AB1658">
        <v>22</v>
      </c>
      <c r="AC1658">
        <v>-3.7514000000000101</v>
      </c>
      <c r="AD1658">
        <v>-1.1061685962859999</v>
      </c>
      <c r="AE1658">
        <v>-5.08880000000004</v>
      </c>
      <c r="AF1658">
        <v>2.5512189019096398</v>
      </c>
      <c r="AG1658">
        <v>-1.1061685962859999</v>
      </c>
      <c r="AH1658">
        <v>5.5786120647174302</v>
      </c>
      <c r="AI1658">
        <v>100.222018822519</v>
      </c>
      <c r="AJ1658">
        <v>65.424365885123095</v>
      </c>
      <c r="AK1658">
        <v>6.2332366726670401</v>
      </c>
      <c r="AL1658">
        <v>89.9904477568803</v>
      </c>
      <c r="AM1658">
        <v>82.3704379144407</v>
      </c>
      <c r="AN1658">
        <v>1.0000000442898</v>
      </c>
    </row>
    <row r="1659" spans="1:40" x14ac:dyDescent="0.25">
      <c r="A1659" t="str">
        <f>"20190312154828494"</f>
        <v>20190312154828494</v>
      </c>
      <c r="B1659" t="str">
        <f>"1552376908487246"</f>
        <v>1552376908487246</v>
      </c>
      <c r="C1659" t="s">
        <v>40</v>
      </c>
      <c r="D1659">
        <v>5.1583560000000004</v>
      </c>
      <c r="E1659">
        <v>0.61203339999999995</v>
      </c>
      <c r="F1659" t="s">
        <v>49</v>
      </c>
      <c r="G1659">
        <v>-196.16370000000001</v>
      </c>
      <c r="H1659" s="1">
        <v>1.4226040000000001E-6</v>
      </c>
      <c r="I1659">
        <v>293.44929999999999</v>
      </c>
      <c r="J1659">
        <v>-192.4496</v>
      </c>
      <c r="K1659">
        <v>1.1061190000000001</v>
      </c>
      <c r="L1659">
        <v>298.44909999999999</v>
      </c>
      <c r="M1659">
        <v>-0.21059820000000001</v>
      </c>
      <c r="N1659">
        <v>0</v>
      </c>
      <c r="O1659">
        <v>-0.97747280000000003</v>
      </c>
      <c r="P1659">
        <v>-0.3392945</v>
      </c>
      <c r="Q1659">
        <v>-1.093584E-2</v>
      </c>
      <c r="R1659">
        <v>-0.94061660000000002</v>
      </c>
      <c r="S1659">
        <v>-1.8293299999999999</v>
      </c>
      <c r="T1659">
        <v>-0.53769480000000003</v>
      </c>
      <c r="U1659">
        <v>-2.5286870000000001</v>
      </c>
      <c r="V1659">
        <v>0.1335934</v>
      </c>
      <c r="W1659">
        <v>1.6735229999999999E-3</v>
      </c>
      <c r="X1659">
        <v>0.99103479999999999</v>
      </c>
      <c r="Y1659">
        <v>0.39337840000000002</v>
      </c>
      <c r="Z1659">
        <v>0.17342630000000001</v>
      </c>
      <c r="AA1659">
        <v>0.90287139999999999</v>
      </c>
      <c r="AB1659">
        <v>22</v>
      </c>
      <c r="AC1659">
        <v>-3.7141000000000002</v>
      </c>
      <c r="AD1659">
        <v>-1.1061175773959999</v>
      </c>
      <c r="AE1659">
        <v>-4.9997999999999898</v>
      </c>
      <c r="AF1659">
        <v>2.4989199935166999</v>
      </c>
      <c r="AG1659">
        <v>-1.1061175773959999</v>
      </c>
      <c r="AH1659">
        <v>5.4965468675525999</v>
      </c>
      <c r="AI1659">
        <v>100.38117601706701</v>
      </c>
      <c r="AJ1659">
        <v>65.551815697322496</v>
      </c>
      <c r="AK1659">
        <v>6.1384138583370396</v>
      </c>
      <c r="AL1659">
        <v>89.904114149082503</v>
      </c>
      <c r="AM1659">
        <v>82.322698184093596</v>
      </c>
      <c r="AN1659">
        <v>0.99999998600691498</v>
      </c>
    </row>
    <row r="1660" spans="1:40" x14ac:dyDescent="0.25">
      <c r="A1660" t="str">
        <f>"20190312154828516"</f>
        <v>20190312154828516</v>
      </c>
      <c r="B1660" t="str">
        <f>"1552376908507743"</f>
        <v>1552376908507743</v>
      </c>
      <c r="C1660" t="s">
        <v>40</v>
      </c>
      <c r="D1660">
        <v>5.1661619999999999</v>
      </c>
      <c r="E1660">
        <v>0.61212819999999901</v>
      </c>
      <c r="F1660" t="s">
        <v>49</v>
      </c>
      <c r="G1660">
        <v>-196.35820000000001</v>
      </c>
      <c r="H1660" s="1">
        <v>1.4629929999999901E-6</v>
      </c>
      <c r="I1660">
        <v>293.12200000000001</v>
      </c>
      <c r="J1660">
        <v>-192.5061</v>
      </c>
      <c r="K1660">
        <v>1.106055</v>
      </c>
      <c r="L1660">
        <v>298.22370000000001</v>
      </c>
      <c r="M1660">
        <v>-0.21714130000000001</v>
      </c>
      <c r="N1660">
        <v>0</v>
      </c>
      <c r="O1660">
        <v>-0.97604009999999997</v>
      </c>
      <c r="P1660">
        <v>-0.34687570000000001</v>
      </c>
      <c r="Q1660">
        <v>-1.007329E-2</v>
      </c>
      <c r="R1660">
        <v>-0.9378573</v>
      </c>
      <c r="S1660">
        <v>-1.846878</v>
      </c>
      <c r="T1660">
        <v>-0.52265329999999999</v>
      </c>
      <c r="U1660">
        <v>-2.5171199999999998</v>
      </c>
      <c r="V1660">
        <v>0.1349601</v>
      </c>
      <c r="W1660">
        <v>2.505602E-3</v>
      </c>
      <c r="X1660">
        <v>0.9908479</v>
      </c>
      <c r="Y1660">
        <v>0.39380470000000001</v>
      </c>
      <c r="Z1660">
        <v>0.16864960000000001</v>
      </c>
      <c r="AA1660">
        <v>0.90359009999999995</v>
      </c>
      <c r="AB1660">
        <v>22</v>
      </c>
      <c r="AC1660">
        <v>-3.8521000000000001</v>
      </c>
      <c r="AD1660">
        <v>-1.1060535370069999</v>
      </c>
      <c r="AE1660">
        <v>-5.1016999999999904</v>
      </c>
      <c r="AF1660">
        <v>2.5751833930939698</v>
      </c>
      <c r="AG1660">
        <v>-1.1060535370069999</v>
      </c>
      <c r="AH1660">
        <v>5.6474222583612104</v>
      </c>
      <c r="AI1660">
        <v>100.10398790542099</v>
      </c>
      <c r="AJ1660">
        <v>65.487359870251098</v>
      </c>
      <c r="AK1660">
        <v>6.3046254527153502</v>
      </c>
      <c r="AL1660">
        <v>89.856439434896998</v>
      </c>
      <c r="AM1660">
        <v>82.243663094416306</v>
      </c>
      <c r="AN1660">
        <v>1.0000000337838999</v>
      </c>
    </row>
    <row r="1661" spans="1:40" x14ac:dyDescent="0.25">
      <c r="A1661" t="str">
        <f>"20190312154828537"</f>
        <v>20190312154828537</v>
      </c>
      <c r="B1661" t="str">
        <f>"1552376908528238"</f>
        <v>1552376908528238</v>
      </c>
      <c r="C1661" t="s">
        <v>40</v>
      </c>
      <c r="D1661">
        <v>5.1705930000000002</v>
      </c>
      <c r="E1661">
        <v>0.61214199999999996</v>
      </c>
      <c r="F1661" t="s">
        <v>49</v>
      </c>
      <c r="G1661">
        <v>-196.5437</v>
      </c>
      <c r="H1661" s="1">
        <v>1.5004920000000001E-6</v>
      </c>
      <c r="I1661">
        <v>292.81569999999999</v>
      </c>
      <c r="J1661">
        <v>-192.5574</v>
      </c>
      <c r="K1661">
        <v>1.105996</v>
      </c>
      <c r="L1661">
        <v>298.02499999999998</v>
      </c>
      <c r="M1661">
        <v>-0.2230365</v>
      </c>
      <c r="N1661">
        <v>0</v>
      </c>
      <c r="O1661">
        <v>-0.97470970000000001</v>
      </c>
      <c r="P1661">
        <v>-0.35433239999999999</v>
      </c>
      <c r="Q1661">
        <v>-9.7234859999999999E-3</v>
      </c>
      <c r="R1661">
        <v>-0.93506929999999999</v>
      </c>
      <c r="S1661">
        <v>-1.868225</v>
      </c>
      <c r="T1661">
        <v>-0.51177700000000004</v>
      </c>
      <c r="U1661">
        <v>-2.502319</v>
      </c>
      <c r="V1661">
        <v>0.1368636</v>
      </c>
      <c r="W1661">
        <v>2.8184059999999999E-3</v>
      </c>
      <c r="X1661">
        <v>0.99058590000000002</v>
      </c>
      <c r="Y1661">
        <v>0.39612890000000001</v>
      </c>
      <c r="Z1661">
        <v>0.1652198</v>
      </c>
      <c r="AA1661">
        <v>0.90320780000000001</v>
      </c>
      <c r="AB1661">
        <v>22</v>
      </c>
      <c r="AC1661">
        <v>-3.9863</v>
      </c>
      <c r="AD1661">
        <v>-1.105994499508</v>
      </c>
      <c r="AE1661">
        <v>-5.2092999999999803</v>
      </c>
      <c r="AF1661">
        <v>2.6485911339695698</v>
      </c>
      <c r="AG1661">
        <v>-1.105994499508</v>
      </c>
      <c r="AH1661">
        <v>5.8022769552359801</v>
      </c>
      <c r="AI1661">
        <v>99.837397632964297</v>
      </c>
      <c r="AJ1661">
        <v>65.464514126923603</v>
      </c>
      <c r="AK1661">
        <v>6.4733821680128498</v>
      </c>
      <c r="AL1661">
        <v>89.838517018563294</v>
      </c>
      <c r="AM1661">
        <v>82.133571930308904</v>
      </c>
      <c r="AN1661">
        <v>1.0000000068480701</v>
      </c>
    </row>
    <row r="1662" spans="1:40" x14ac:dyDescent="0.25">
      <c r="A1662" t="str">
        <f>"20190312154828560"</f>
        <v>20190312154828560</v>
      </c>
      <c r="B1662" t="str">
        <f>"1552376908557991"</f>
        <v>1552376908557991</v>
      </c>
      <c r="C1662" t="s">
        <v>40</v>
      </c>
      <c r="D1662">
        <v>5.2093629999999997</v>
      </c>
      <c r="E1662">
        <v>0.61187789999999997</v>
      </c>
      <c r="F1662" t="s">
        <v>49</v>
      </c>
      <c r="G1662">
        <v>-196.69669999999999</v>
      </c>
      <c r="H1662" s="1">
        <v>1.5296219999999999E-6</v>
      </c>
      <c r="I1662">
        <v>292.57319999999999</v>
      </c>
      <c r="J1662">
        <v>-192.6182</v>
      </c>
      <c r="K1662">
        <v>1.1059099999999999</v>
      </c>
      <c r="L1662">
        <v>297.79610000000002</v>
      </c>
      <c r="M1662">
        <v>-0.22999030000000001</v>
      </c>
      <c r="N1662">
        <v>0</v>
      </c>
      <c r="O1662">
        <v>-0.97309210000000002</v>
      </c>
      <c r="P1662">
        <v>-0.3637379</v>
      </c>
      <c r="Q1662">
        <v>-9.2984880000000006E-3</v>
      </c>
      <c r="R1662">
        <v>-0.93145500000000003</v>
      </c>
      <c r="S1662">
        <v>-1.888565</v>
      </c>
      <c r="T1662">
        <v>-0.50461420000000001</v>
      </c>
      <c r="U1662">
        <v>-2.4873959999999999</v>
      </c>
      <c r="V1662">
        <v>0.13977709999999999</v>
      </c>
      <c r="W1662">
        <v>3.1889069999999999E-3</v>
      </c>
      <c r="X1662">
        <v>0.99017790000000006</v>
      </c>
      <c r="Y1662">
        <v>0.39711689999999999</v>
      </c>
      <c r="Z1662">
        <v>0.162944799999999</v>
      </c>
      <c r="AA1662">
        <v>0.90318719999999997</v>
      </c>
      <c r="AB1662">
        <v>22</v>
      </c>
      <c r="AC1662">
        <v>-4.0784999999999902</v>
      </c>
      <c r="AD1662">
        <v>-1.105908470378</v>
      </c>
      <c r="AE1662">
        <v>-5.2229000000000303</v>
      </c>
      <c r="AF1662">
        <v>2.6928128019457098</v>
      </c>
      <c r="AG1662">
        <v>-1.105908470378</v>
      </c>
      <c r="AH1662">
        <v>5.8578205268648196</v>
      </c>
      <c r="AI1662">
        <v>99.733523520969797</v>
      </c>
      <c r="AJ1662">
        <v>65.311978586953202</v>
      </c>
      <c r="AK1662">
        <v>6.54127935927945</v>
      </c>
      <c r="AL1662">
        <v>89.817288785320997</v>
      </c>
      <c r="AM1662">
        <v>81.965011006153901</v>
      </c>
      <c r="AN1662">
        <v>1.00000004023033</v>
      </c>
    </row>
    <row r="1663" spans="1:40" x14ac:dyDescent="0.25">
      <c r="A1663" t="str">
        <f>"20190312154828583"</f>
        <v>20190312154828583</v>
      </c>
      <c r="B1663" t="str">
        <f>"1552376908577512"</f>
        <v>1552376908577512</v>
      </c>
      <c r="C1663" t="s">
        <v>40</v>
      </c>
      <c r="D1663">
        <v>5.2693099999999999</v>
      </c>
      <c r="E1663">
        <v>0.61111789999999999</v>
      </c>
      <c r="F1663" t="s">
        <v>49</v>
      </c>
      <c r="G1663">
        <v>-196.88300000000001</v>
      </c>
      <c r="H1663" s="1">
        <v>1.56323999999999E-6</v>
      </c>
      <c r="I1663">
        <v>292.2885</v>
      </c>
      <c r="J1663">
        <v>-192.67609999999999</v>
      </c>
      <c r="K1663">
        <v>1.1058159999999999</v>
      </c>
      <c r="L1663">
        <v>297.58479999999997</v>
      </c>
      <c r="M1663">
        <v>-0.23657339999999999</v>
      </c>
      <c r="N1663">
        <v>0</v>
      </c>
      <c r="O1663">
        <v>-0.97151259999999995</v>
      </c>
      <c r="P1663">
        <v>-0.37288090000000002</v>
      </c>
      <c r="Q1663">
        <v>-8.5977150000000006E-3</v>
      </c>
      <c r="R1663">
        <v>-0.92783950000000004</v>
      </c>
      <c r="S1663">
        <v>-1.9120029999999999</v>
      </c>
      <c r="T1663">
        <v>-0.49580790000000002</v>
      </c>
      <c r="U1663">
        <v>-2.4692080000000001</v>
      </c>
      <c r="V1663">
        <v>0.14281650000000001</v>
      </c>
      <c r="W1663">
        <v>3.8316790000000002E-3</v>
      </c>
      <c r="X1663">
        <v>0.98974169999999995</v>
      </c>
      <c r="Y1663">
        <v>0.39977649999999998</v>
      </c>
      <c r="Z1663">
        <v>0.16020409999999999</v>
      </c>
      <c r="AA1663">
        <v>0.90250399999999997</v>
      </c>
      <c r="AB1663">
        <v>22</v>
      </c>
      <c r="AC1663">
        <v>-4.2068999999999903</v>
      </c>
      <c r="AD1663">
        <v>-1.10581443676</v>
      </c>
      <c r="AE1663">
        <v>-5.2962999999999703</v>
      </c>
      <c r="AF1663">
        <v>2.76058288437526</v>
      </c>
      <c r="AG1663">
        <v>-1.10581443676</v>
      </c>
      <c r="AH1663">
        <v>5.9813883036633904</v>
      </c>
      <c r="AI1663">
        <v>99.528857186115999</v>
      </c>
      <c r="AJ1663">
        <v>65.225316432302193</v>
      </c>
      <c r="AK1663">
        <v>6.6798689709644501</v>
      </c>
      <c r="AL1663">
        <v>89.780460413061704</v>
      </c>
      <c r="AM1663">
        <v>81.789080846542205</v>
      </c>
      <c r="AN1663">
        <v>0.99999993357754702</v>
      </c>
    </row>
    <row r="1664" spans="1:40" x14ac:dyDescent="0.25">
      <c r="A1664" t="str">
        <f>"20190312154828604"</f>
        <v>20190312154828604</v>
      </c>
      <c r="B1664" t="str">
        <f>"1552376908598007"</f>
        <v>1552376908598007</v>
      </c>
      <c r="C1664" t="s">
        <v>40</v>
      </c>
      <c r="D1664">
        <v>5.1922370000000004</v>
      </c>
      <c r="E1664">
        <v>0.61074010000000001</v>
      </c>
      <c r="F1664" t="s">
        <v>49</v>
      </c>
      <c r="G1664">
        <v>-196.90940000000001</v>
      </c>
      <c r="H1664" s="1">
        <v>1.5755960000000001E-6</v>
      </c>
      <c r="I1664">
        <v>292.20510000000002</v>
      </c>
      <c r="J1664">
        <v>-192.73480000000001</v>
      </c>
      <c r="K1664">
        <v>1.1057090000000001</v>
      </c>
      <c r="L1664">
        <v>297.37700000000001</v>
      </c>
      <c r="M1664">
        <v>-0.24322369999999999</v>
      </c>
      <c r="N1664">
        <v>0</v>
      </c>
      <c r="O1664">
        <v>-0.96986879999999998</v>
      </c>
      <c r="P1664">
        <v>-0.38198939999999998</v>
      </c>
      <c r="Q1664">
        <v>-8.3530889999999993E-3</v>
      </c>
      <c r="R1664">
        <v>-0.92412919999999998</v>
      </c>
      <c r="S1664">
        <v>-1.930191</v>
      </c>
      <c r="T1664">
        <v>-0.50420450000000006</v>
      </c>
      <c r="U1664">
        <v>-2.4529420000000002</v>
      </c>
      <c r="V1664">
        <v>0.1457734</v>
      </c>
      <c r="W1664">
        <v>4.0171670000000003E-3</v>
      </c>
      <c r="X1664">
        <v>0.98930980000000002</v>
      </c>
      <c r="Y1664">
        <v>0.40027109999999999</v>
      </c>
      <c r="Z1664">
        <v>0.16291140000000001</v>
      </c>
      <c r="AA1664">
        <v>0.90179989999999999</v>
      </c>
      <c r="AB1664">
        <v>22</v>
      </c>
      <c r="AC1664">
        <v>-4.1745999999999901</v>
      </c>
      <c r="AD1664">
        <v>-1.1057074244039999</v>
      </c>
      <c r="AE1664">
        <v>-5.1718999999999902</v>
      </c>
      <c r="AF1664">
        <v>2.7159937017742801</v>
      </c>
      <c r="AG1664">
        <v>-1.1057074244039999</v>
      </c>
      <c r="AH1664">
        <v>5.8695759824428499</v>
      </c>
      <c r="AI1664">
        <v>99.701700545554004</v>
      </c>
      <c r="AJ1664">
        <v>65.168886676766704</v>
      </c>
      <c r="AK1664">
        <v>6.5613362137699998</v>
      </c>
      <c r="AL1664">
        <v>89.769832654978202</v>
      </c>
      <c r="AM1664">
        <v>81.617863838825997</v>
      </c>
      <c r="AN1664">
        <v>0.99999995107715101</v>
      </c>
    </row>
    <row r="1665" spans="1:40" x14ac:dyDescent="0.25">
      <c r="A1665" t="str">
        <f>"20190312154828628"</f>
        <v>20190312154828628</v>
      </c>
      <c r="B1665" t="str">
        <f>"1552376908617529"</f>
        <v>1552376908617529</v>
      </c>
      <c r="C1665" t="s">
        <v>40</v>
      </c>
      <c r="D1665">
        <v>5.1916520000000004</v>
      </c>
      <c r="E1665">
        <v>0.61043369999999997</v>
      </c>
      <c r="F1665" t="s">
        <v>49</v>
      </c>
      <c r="G1665">
        <v>-197.05860000000001</v>
      </c>
      <c r="H1665" s="1">
        <v>1.6015499999999999E-6</v>
      </c>
      <c r="I1665">
        <v>291.98250000000002</v>
      </c>
      <c r="J1665">
        <v>-192.79900000000001</v>
      </c>
      <c r="K1665">
        <v>1.105593</v>
      </c>
      <c r="L1665">
        <v>297.15679999999998</v>
      </c>
      <c r="M1665">
        <v>-0.25048120000000001</v>
      </c>
      <c r="N1665">
        <v>0</v>
      </c>
      <c r="O1665">
        <v>-0.96801959999999998</v>
      </c>
      <c r="P1665">
        <v>-0.39143670000000003</v>
      </c>
      <c r="Q1665">
        <v>-9.055713E-3</v>
      </c>
      <c r="R1665">
        <v>-0.92016050000000005</v>
      </c>
      <c r="S1665">
        <v>-1.9517819999999999</v>
      </c>
      <c r="T1665">
        <v>-0.49911420000000001</v>
      </c>
      <c r="U1665">
        <v>-2.435028</v>
      </c>
      <c r="V1665">
        <v>0.14849319999999999</v>
      </c>
      <c r="W1665">
        <v>3.2551870000000001E-3</v>
      </c>
      <c r="X1665">
        <v>0.98890809999999996</v>
      </c>
      <c r="Y1665">
        <v>0.40169450000000001</v>
      </c>
      <c r="Z1665">
        <v>0.1613212</v>
      </c>
      <c r="AA1665">
        <v>0.9014527</v>
      </c>
      <c r="AB1665">
        <v>22</v>
      </c>
      <c r="AC1665">
        <v>-4.2595999999999998</v>
      </c>
      <c r="AD1665">
        <v>-1.1055913984500001</v>
      </c>
      <c r="AE1665">
        <v>-5.1742999999999597</v>
      </c>
      <c r="AF1665">
        <v>2.7526821088019102</v>
      </c>
      <c r="AG1665">
        <v>-1.1055913984500001</v>
      </c>
      <c r="AH1665">
        <v>5.9153982898373298</v>
      </c>
      <c r="AI1665">
        <v>99.617531377134597</v>
      </c>
      <c r="AJ1665">
        <v>65.045472247642394</v>
      </c>
      <c r="AK1665">
        <v>6.6175167593180397</v>
      </c>
      <c r="AL1665">
        <v>89.813491199300401</v>
      </c>
      <c r="AM1665">
        <v>81.460339278031498</v>
      </c>
      <c r="AN1665">
        <v>1.00000002846712</v>
      </c>
    </row>
    <row r="1666" spans="1:40" x14ac:dyDescent="0.25">
      <c r="A1666" t="str">
        <f>"20190312154828652"</f>
        <v>20190312154828652</v>
      </c>
      <c r="B1666" t="str">
        <f>"1552376908647783"</f>
        <v>1552376908647783</v>
      </c>
      <c r="C1666" t="s">
        <v>40</v>
      </c>
      <c r="D1666">
        <v>5.1656829999999996</v>
      </c>
      <c r="E1666">
        <v>0.60992789999999997</v>
      </c>
      <c r="F1666" t="s">
        <v>49</v>
      </c>
      <c r="G1666">
        <v>-197.18180000000001</v>
      </c>
      <c r="H1666" s="1">
        <v>1.623869E-6</v>
      </c>
      <c r="I1666">
        <v>291.79379999999998</v>
      </c>
      <c r="J1666">
        <v>-192.86600000000001</v>
      </c>
      <c r="K1666">
        <v>1.10547</v>
      </c>
      <c r="L1666">
        <v>296.93389999999999</v>
      </c>
      <c r="M1666">
        <v>-0.25803959999999998</v>
      </c>
      <c r="N1666">
        <v>0</v>
      </c>
      <c r="O1666">
        <v>-0.96603190000000005</v>
      </c>
      <c r="P1666">
        <v>-0.40162160000000002</v>
      </c>
      <c r="Q1666">
        <v>-1.08062E-2</v>
      </c>
      <c r="R1666">
        <v>-0.9157419</v>
      </c>
      <c r="S1666">
        <v>-1.974121</v>
      </c>
      <c r="T1666">
        <v>-0.49798419999999999</v>
      </c>
      <c r="U1666">
        <v>-2.415619</v>
      </c>
      <c r="V1666">
        <v>0.15172149999999901</v>
      </c>
      <c r="W1666">
        <v>1.4370120000000001E-3</v>
      </c>
      <c r="X1666">
        <v>0.98842220000000003</v>
      </c>
      <c r="Y1666">
        <v>0.40313280000000001</v>
      </c>
      <c r="Z1666">
        <v>0.16099289999999999</v>
      </c>
      <c r="AA1666">
        <v>0.90086920000000004</v>
      </c>
      <c r="AB1666">
        <v>22</v>
      </c>
      <c r="AC1666">
        <v>-4.3158000000000198</v>
      </c>
      <c r="AD1666">
        <v>-1.105468376131</v>
      </c>
      <c r="AE1666">
        <v>-5.1401000000000101</v>
      </c>
      <c r="AF1666">
        <v>2.7680391882545599</v>
      </c>
      <c r="AG1666">
        <v>-1.105468376131</v>
      </c>
      <c r="AH1666">
        <v>5.9191701579379297</v>
      </c>
      <c r="AI1666">
        <v>99.602167994810003</v>
      </c>
      <c r="AJ1666">
        <v>64.937341071300196</v>
      </c>
      <c r="AK1666">
        <v>6.62726765997584</v>
      </c>
      <c r="AL1666">
        <v>89.917665245825404</v>
      </c>
      <c r="AM1666">
        <v>81.273287387446899</v>
      </c>
      <c r="AN1666">
        <v>0.99999996200928798</v>
      </c>
    </row>
    <row r="1667" spans="1:40" x14ac:dyDescent="0.25">
      <c r="A1667" t="str">
        <f>"20190312154828675"</f>
        <v>20190312154828675</v>
      </c>
      <c r="B1667" t="str">
        <f>"1552376908667304"</f>
        <v>1552376908667304</v>
      </c>
      <c r="C1667" t="s">
        <v>40</v>
      </c>
      <c r="D1667">
        <v>4.9746750000000004</v>
      </c>
      <c r="E1667">
        <v>0.60971119999999901</v>
      </c>
      <c r="F1667" t="s">
        <v>49</v>
      </c>
      <c r="G1667">
        <v>-197.27959999999999</v>
      </c>
      <c r="H1667" s="1">
        <v>1.64210999999999E-6</v>
      </c>
      <c r="I1667">
        <v>291.64100000000002</v>
      </c>
      <c r="J1667">
        <v>-192.9331</v>
      </c>
      <c r="K1667">
        <v>1.1053660000000001</v>
      </c>
      <c r="L1667">
        <v>296.71769999999998</v>
      </c>
      <c r="M1667">
        <v>-0.26555640000000003</v>
      </c>
      <c r="N1667">
        <v>0</v>
      </c>
      <c r="O1667">
        <v>-0.96399250000000003</v>
      </c>
      <c r="P1667">
        <v>-0.41158040000000001</v>
      </c>
      <c r="Q1667">
        <v>-1.0574129999999999E-2</v>
      </c>
      <c r="R1667">
        <v>-0.91131249999999997</v>
      </c>
      <c r="S1667">
        <v>-1.996613</v>
      </c>
      <c r="T1667">
        <v>-0.50009239999999999</v>
      </c>
      <c r="U1667">
        <v>-2.3944399999999999</v>
      </c>
      <c r="V1667">
        <v>0.15479879999999999</v>
      </c>
      <c r="W1667">
        <v>1.6067659999999999E-3</v>
      </c>
      <c r="X1667">
        <v>0.98794470000000001</v>
      </c>
      <c r="Y1667">
        <v>0.40484680000000001</v>
      </c>
      <c r="Z1667">
        <v>0.16173609999999999</v>
      </c>
      <c r="AA1667">
        <v>0.89996699999999996</v>
      </c>
      <c r="AB1667">
        <v>22</v>
      </c>
      <c r="AC1667">
        <v>-4.34649999999999</v>
      </c>
      <c r="AD1667">
        <v>-1.1053643578899901</v>
      </c>
      <c r="AE1667">
        <v>-5.0767000000000104</v>
      </c>
      <c r="AF1667">
        <v>2.7664475173716698</v>
      </c>
      <c r="AG1667">
        <v>-1.1053643578899901</v>
      </c>
      <c r="AH1667">
        <v>5.8876809996624102</v>
      </c>
      <c r="AI1667">
        <v>99.643553097738007</v>
      </c>
      <c r="AJ1667">
        <v>64.832553880722998</v>
      </c>
      <c r="AK1667">
        <v>6.5984732918949698</v>
      </c>
      <c r="AL1667">
        <v>89.907939049022005</v>
      </c>
      <c r="AM1667">
        <v>81.094860820304802</v>
      </c>
      <c r="AN1667">
        <v>0.99999999021825403</v>
      </c>
    </row>
    <row r="1668" spans="1:40" x14ac:dyDescent="0.25">
      <c r="A1668" t="str">
        <f>"20190312154828717"</f>
        <v>20190312154828717</v>
      </c>
      <c r="B1668" t="str">
        <f>"1552376908707319"</f>
        <v>1552376908707319</v>
      </c>
      <c r="C1668" t="s">
        <v>40</v>
      </c>
      <c r="D1668">
        <v>5.1060970000000001</v>
      </c>
      <c r="E1668">
        <v>0.62311859999999997</v>
      </c>
      <c r="F1668" t="s">
        <v>49</v>
      </c>
      <c r="G1668">
        <v>-197.43870000000001</v>
      </c>
      <c r="H1668" s="1">
        <v>1.6656490000000001E-6</v>
      </c>
      <c r="I1668">
        <v>291.42720000000003</v>
      </c>
      <c r="J1668">
        <v>-193.06309999999999</v>
      </c>
      <c r="K1668">
        <v>1.105173</v>
      </c>
      <c r="L1668">
        <v>296.31659999999999</v>
      </c>
      <c r="M1668">
        <v>-0.28003749999999999</v>
      </c>
      <c r="N1668">
        <v>0</v>
      </c>
      <c r="O1668">
        <v>-0.95988519999999999</v>
      </c>
      <c r="P1668">
        <v>-0.42955559999999998</v>
      </c>
      <c r="Q1668">
        <v>-7.3462040000000003E-3</v>
      </c>
      <c r="R1668">
        <v>-0.90301039999999999</v>
      </c>
      <c r="S1668">
        <v>-2.02121</v>
      </c>
      <c r="T1668">
        <v>-0.49587059999999999</v>
      </c>
      <c r="U1668">
        <v>-2.3733520000000001</v>
      </c>
      <c r="V1668">
        <v>0.15952930000000001</v>
      </c>
      <c r="W1668">
        <v>4.7300320000000003E-3</v>
      </c>
      <c r="X1668">
        <v>0.9871818</v>
      </c>
      <c r="Y1668">
        <v>0.40062779999999998</v>
      </c>
      <c r="Z1668">
        <v>0.16015670000000001</v>
      </c>
      <c r="AA1668">
        <v>0.90213480000000001</v>
      </c>
      <c r="AB1668">
        <v>22</v>
      </c>
      <c r="AC1668">
        <v>-4.3756000000000199</v>
      </c>
      <c r="AD1668">
        <v>-1.1051713343509999</v>
      </c>
      <c r="AE1668">
        <v>-4.8893999999999602</v>
      </c>
      <c r="AF1668">
        <v>2.7530359946040601</v>
      </c>
      <c r="AG1668">
        <v>-1.1051713343509999</v>
      </c>
      <c r="AH1668">
        <v>5.7558883492182096</v>
      </c>
      <c r="AI1668">
        <v>99.826902922870502</v>
      </c>
      <c r="AJ1668">
        <v>64.438253974148694</v>
      </c>
      <c r="AK1668">
        <v>6.4754043545189299</v>
      </c>
      <c r="AL1668">
        <v>89.728988102198798</v>
      </c>
      <c r="AM1668">
        <v>80.820319677573096</v>
      </c>
      <c r="AN1668">
        <v>0.99999993850622304</v>
      </c>
    </row>
    <row r="1669" spans="1:40" x14ac:dyDescent="0.25">
      <c r="A1669" t="str">
        <f>"20190312154828739"</f>
        <v>20190312154828739</v>
      </c>
      <c r="B1669" t="str">
        <f>"1552376908727816"</f>
        <v>1552376908727816</v>
      </c>
      <c r="C1669" t="s">
        <v>40</v>
      </c>
      <c r="D1669">
        <v>5.1594319999999998</v>
      </c>
      <c r="E1669">
        <v>0.63436199999999998</v>
      </c>
      <c r="F1669" t="s">
        <v>49</v>
      </c>
      <c r="G1669">
        <v>-196.56540000000001</v>
      </c>
      <c r="H1669" s="1">
        <v>1.53528699999999E-6</v>
      </c>
      <c r="I1669">
        <v>292.60719999999998</v>
      </c>
      <c r="J1669">
        <v>-193.13319999999999</v>
      </c>
      <c r="K1669">
        <v>1.1050709999999999</v>
      </c>
      <c r="L1669">
        <v>296.10939999999999</v>
      </c>
      <c r="M1669">
        <v>-0.28780879999999998</v>
      </c>
      <c r="N1669">
        <v>0</v>
      </c>
      <c r="O1669">
        <v>-0.95758339999999997</v>
      </c>
      <c r="P1669">
        <v>-0.43876910000000002</v>
      </c>
      <c r="Q1669">
        <v>-5.9392100000000003E-3</v>
      </c>
      <c r="R1669">
        <v>-0.89858039999999995</v>
      </c>
      <c r="S1669">
        <v>-2.1609039999999999</v>
      </c>
      <c r="T1669">
        <v>-0.68189750000000005</v>
      </c>
      <c r="U1669">
        <v>-2.2886959999999998</v>
      </c>
      <c r="V1669">
        <v>0.16163920000000001</v>
      </c>
      <c r="W1669">
        <v>6.084707E-3</v>
      </c>
      <c r="X1669">
        <v>0.98683120000000002</v>
      </c>
      <c r="Y1669">
        <v>0.4314151</v>
      </c>
      <c r="Z1669">
        <v>0.2170125</v>
      </c>
      <c r="AA1669">
        <v>0.87566350000000004</v>
      </c>
      <c r="AB1669">
        <v>22</v>
      </c>
      <c r="AC1669">
        <v>-3.4322000000000199</v>
      </c>
      <c r="AD1669">
        <v>-1.1050694647129999</v>
      </c>
      <c r="AE1669">
        <v>-3.50220000000001</v>
      </c>
      <c r="AF1669">
        <v>2.1687394204707702</v>
      </c>
      <c r="AG1669">
        <v>-1.1050694647129999</v>
      </c>
      <c r="AH1669">
        <v>4.1320487041678504</v>
      </c>
      <c r="AI1669">
        <v>103.32243301609201</v>
      </c>
      <c r="AJ1669">
        <v>62.306899073905001</v>
      </c>
      <c r="AK1669">
        <v>4.7956684298813004</v>
      </c>
      <c r="AL1669">
        <v>89.651369830581402</v>
      </c>
      <c r="AM1669">
        <v>80.697772538925904</v>
      </c>
      <c r="AN1669">
        <v>1.0000000359646699</v>
      </c>
    </row>
    <row r="1670" spans="1:40" x14ac:dyDescent="0.25">
      <c r="A1670" t="str">
        <f>"20190312154828761"</f>
        <v>20190312154828761</v>
      </c>
      <c r="B1670" t="str">
        <f>"1552376908757095"</f>
        <v>1552376908757095</v>
      </c>
      <c r="C1670" t="s">
        <v>40</v>
      </c>
      <c r="D1670">
        <v>5.1281809999999997</v>
      </c>
      <c r="E1670">
        <v>0.63998109999999997</v>
      </c>
      <c r="F1670" t="s">
        <v>49</v>
      </c>
      <c r="G1670">
        <v>-196.9444</v>
      </c>
      <c r="H1670" s="1">
        <v>1.544675E-6</v>
      </c>
      <c r="I1670">
        <v>292.363</v>
      </c>
      <c r="J1670">
        <v>-193.2039</v>
      </c>
      <c r="K1670">
        <v>1.104949</v>
      </c>
      <c r="L1670">
        <v>295.90660000000003</v>
      </c>
      <c r="M1670">
        <v>-0.29563620000000002</v>
      </c>
      <c r="N1670">
        <v>0</v>
      </c>
      <c r="O1670">
        <v>-0.95519549999999998</v>
      </c>
      <c r="P1670">
        <v>-0.44767190000000001</v>
      </c>
      <c r="Q1670">
        <v>-4.5361769999999997E-3</v>
      </c>
      <c r="R1670">
        <v>-0.89418629999999999</v>
      </c>
      <c r="S1670">
        <v>-2.2662049999999998</v>
      </c>
      <c r="T1670">
        <v>-0.65710290000000005</v>
      </c>
      <c r="U1670">
        <v>-2.2276919999999998</v>
      </c>
      <c r="V1670">
        <v>0.16338029999999901</v>
      </c>
      <c r="W1670">
        <v>7.43603199999999E-3</v>
      </c>
      <c r="X1670">
        <v>0.9865351</v>
      </c>
      <c r="Y1670">
        <v>0.45795049999999998</v>
      </c>
      <c r="Z1670">
        <v>0.208366</v>
      </c>
      <c r="AA1670">
        <v>0.86421349999999997</v>
      </c>
      <c r="AB1670">
        <v>22</v>
      </c>
      <c r="AC1670">
        <v>-3.7404999999999902</v>
      </c>
      <c r="AD1670">
        <v>-1.104947455325</v>
      </c>
      <c r="AE1670">
        <v>-3.5436000000000201</v>
      </c>
      <c r="AF1670">
        <v>2.41450759989567</v>
      </c>
      <c r="AG1670">
        <v>-1.104947455325</v>
      </c>
      <c r="AH1670">
        <v>4.2936525386144799</v>
      </c>
      <c r="AI1670">
        <v>102.642753513204</v>
      </c>
      <c r="AJ1670">
        <v>60.649058443842499</v>
      </c>
      <c r="AK1670">
        <v>5.0483866681677299</v>
      </c>
      <c r="AL1670">
        <v>89.573942806643402</v>
      </c>
      <c r="AM1670">
        <v>80.596581567962701</v>
      </c>
      <c r="AN1670">
        <v>0.99999996026600102</v>
      </c>
    </row>
    <row r="1671" spans="1:40" x14ac:dyDescent="0.25">
      <c r="A1671" t="str">
        <f>"20190312154828784"</f>
        <v>20190312154828784</v>
      </c>
      <c r="B1671" t="str">
        <f>"1552376908777592"</f>
        <v>1552376908777592</v>
      </c>
      <c r="C1671" t="s">
        <v>40</v>
      </c>
      <c r="D1671">
        <v>5.1449230000000004</v>
      </c>
      <c r="E1671">
        <v>0.64178849999999998</v>
      </c>
      <c r="F1671" t="s">
        <v>49</v>
      </c>
      <c r="G1671">
        <v>-197.26990000000001</v>
      </c>
      <c r="H1671" s="1">
        <v>1.563631E-6</v>
      </c>
      <c r="I1671">
        <v>292.09140000000002</v>
      </c>
      <c r="J1671">
        <v>-193.28049999999999</v>
      </c>
      <c r="K1671">
        <v>1.104789</v>
      </c>
      <c r="L1671">
        <v>295.69369999999998</v>
      </c>
      <c r="M1671">
        <v>-0.30413829999999997</v>
      </c>
      <c r="N1671">
        <v>0</v>
      </c>
      <c r="O1671">
        <v>-0.95252210000000004</v>
      </c>
      <c r="P1671">
        <v>-0.45731100000000002</v>
      </c>
      <c r="Q1671">
        <v>-4.3757290000000001E-3</v>
      </c>
      <c r="R1671">
        <v>-0.88929590000000003</v>
      </c>
      <c r="S1671">
        <v>-2.3292999999999999</v>
      </c>
      <c r="T1671">
        <v>-0.63299450000000002</v>
      </c>
      <c r="U1671">
        <v>-2.1856080000000002</v>
      </c>
      <c r="V1671">
        <v>0.16525529999999999</v>
      </c>
      <c r="W1671">
        <v>7.5313960000000001E-3</v>
      </c>
      <c r="X1671">
        <v>0.98622209999999999</v>
      </c>
      <c r="Y1671">
        <v>0.47138150000000001</v>
      </c>
      <c r="Z1671">
        <v>0.20037969999999999</v>
      </c>
      <c r="AA1671">
        <v>0.85886409999999902</v>
      </c>
      <c r="AB1671">
        <v>22</v>
      </c>
      <c r="AC1671">
        <v>-3.98940000000001</v>
      </c>
      <c r="AD1671">
        <v>-1.104787436369</v>
      </c>
      <c r="AE1671">
        <v>-3.6022999999999499</v>
      </c>
      <c r="AF1671">
        <v>2.5950378527842202</v>
      </c>
      <c r="AG1671">
        <v>-1.104787436369</v>
      </c>
      <c r="AH1671">
        <v>4.4567880369155803</v>
      </c>
      <c r="AI1671">
        <v>102.09118168337601</v>
      </c>
      <c r="AJ1671">
        <v>59.789195245702402</v>
      </c>
      <c r="AK1671">
        <v>5.27425220698969</v>
      </c>
      <c r="AL1671">
        <v>89.568478730216498</v>
      </c>
      <c r="AM1671">
        <v>80.487662349828994</v>
      </c>
      <c r="AN1671">
        <v>1.0000000333161001</v>
      </c>
    </row>
    <row r="1672" spans="1:40" x14ac:dyDescent="0.25">
      <c r="A1672" t="str">
        <f>"20190312154828805"</f>
        <v>20190312154828805</v>
      </c>
      <c r="B1672" t="str">
        <f>"1552376908797112"</f>
        <v>1552376908797112</v>
      </c>
      <c r="C1672" t="s">
        <v>40</v>
      </c>
      <c r="D1672">
        <v>5.1129230000000003</v>
      </c>
      <c r="E1672">
        <v>0.64224630000000005</v>
      </c>
      <c r="F1672" t="s">
        <v>49</v>
      </c>
      <c r="G1672">
        <v>-197.32759999999999</v>
      </c>
      <c r="H1672" s="1">
        <v>1.572571E-6</v>
      </c>
      <c r="I1672">
        <v>292.01170000000002</v>
      </c>
      <c r="J1672">
        <v>-193.35409999999999</v>
      </c>
      <c r="K1672">
        <v>1.104609</v>
      </c>
      <c r="L1672">
        <v>295.49540000000002</v>
      </c>
      <c r="M1672">
        <v>-0.31237429999999999</v>
      </c>
      <c r="N1672">
        <v>0</v>
      </c>
      <c r="O1672">
        <v>-0.94985249999999999</v>
      </c>
      <c r="P1672">
        <v>-0.46674850000000001</v>
      </c>
      <c r="Q1672">
        <v>-4.4746029999999997E-3</v>
      </c>
      <c r="R1672">
        <v>-0.88437889999999997</v>
      </c>
      <c r="S1672">
        <v>-2.3666839999999998</v>
      </c>
      <c r="T1672">
        <v>-0.64606339999999995</v>
      </c>
      <c r="U1672">
        <v>-2.1531980000000002</v>
      </c>
      <c r="V1672">
        <v>0.167213</v>
      </c>
      <c r="W1672">
        <v>7.3611700000000002E-3</v>
      </c>
      <c r="X1672">
        <v>0.98589329999999997</v>
      </c>
      <c r="Y1672">
        <v>0.47640739999999998</v>
      </c>
      <c r="Z1672">
        <v>0.20412440000000001</v>
      </c>
      <c r="AA1672">
        <v>0.855201199999999</v>
      </c>
      <c r="AB1672">
        <v>22</v>
      </c>
      <c r="AC1672">
        <v>-3.9735</v>
      </c>
      <c r="AD1672">
        <v>-1.1046074274290001</v>
      </c>
      <c r="AE1672">
        <v>-3.48369999999999</v>
      </c>
      <c r="AF1672">
        <v>2.57383085562673</v>
      </c>
      <c r="AG1672">
        <v>-1.1046074274290001</v>
      </c>
      <c r="AH1672">
        <v>4.36016683244452</v>
      </c>
      <c r="AI1672">
        <v>102.30711325878799</v>
      </c>
      <c r="AJ1672">
        <v>59.4464089548907</v>
      </c>
      <c r="AK1672">
        <v>5.1822598978492804</v>
      </c>
      <c r="AL1672">
        <v>89.578232211963893</v>
      </c>
      <c r="AM1672">
        <v>80.373920240914202</v>
      </c>
      <c r="AN1672">
        <v>0.99999998658882905</v>
      </c>
    </row>
    <row r="1673" spans="1:40" x14ac:dyDescent="0.25">
      <c r="A1673" t="str">
        <f>"20190312154828830"</f>
        <v>20190312154828830</v>
      </c>
      <c r="B1673" t="str">
        <f>"1552376908817608"</f>
        <v>1552376908817608</v>
      </c>
      <c r="C1673" t="s">
        <v>40</v>
      </c>
      <c r="D1673">
        <v>5.122223</v>
      </c>
      <c r="E1673">
        <v>0.64242639999999995</v>
      </c>
      <c r="F1673" t="s">
        <v>49</v>
      </c>
      <c r="G1673">
        <v>-197.3937</v>
      </c>
      <c r="H1673" s="1">
        <v>1.585137E-6</v>
      </c>
      <c r="I1673">
        <v>291.90699999999998</v>
      </c>
      <c r="J1673">
        <v>-193.4383</v>
      </c>
      <c r="K1673">
        <v>1.1043810000000001</v>
      </c>
      <c r="L1673">
        <v>295.27659999999997</v>
      </c>
      <c r="M1673">
        <v>-0.32184159999999901</v>
      </c>
      <c r="N1673">
        <v>0</v>
      </c>
      <c r="O1673">
        <v>-0.94668609999999997</v>
      </c>
      <c r="P1673">
        <v>-0.47786400000000001</v>
      </c>
      <c r="Q1673">
        <v>-4.6219420000000004E-3</v>
      </c>
      <c r="R1673">
        <v>-0.87842199999999904</v>
      </c>
      <c r="S1673">
        <v>-2.3931119999999999</v>
      </c>
      <c r="T1673">
        <v>-0.65439749999999997</v>
      </c>
      <c r="U1673">
        <v>-2.1258240000000002</v>
      </c>
      <c r="V1673">
        <v>0.16980519999999999</v>
      </c>
      <c r="W1673">
        <v>7.1246649999999996E-3</v>
      </c>
      <c r="X1673">
        <v>0.98545190000000005</v>
      </c>
      <c r="Y1673">
        <v>0.47745959999999898</v>
      </c>
      <c r="Z1673">
        <v>0.20648859999999999</v>
      </c>
      <c r="AA1673">
        <v>0.85404609999999903</v>
      </c>
      <c r="AB1673">
        <v>22</v>
      </c>
      <c r="AC1673">
        <v>-3.9553999999999898</v>
      </c>
      <c r="AD1673">
        <v>-1.104379414863</v>
      </c>
      <c r="AE1673">
        <v>-3.3695999999999899</v>
      </c>
      <c r="AF1673">
        <v>2.5453339861931799</v>
      </c>
      <c r="AG1673">
        <v>-1.104379414863</v>
      </c>
      <c r="AH1673">
        <v>4.2705065088511498</v>
      </c>
      <c r="AI1673">
        <v>102.524398581817</v>
      </c>
      <c r="AJ1673">
        <v>59.203948042184201</v>
      </c>
      <c r="AK1673">
        <v>5.0927011335226897</v>
      </c>
      <c r="AL1673">
        <v>89.591783314294602</v>
      </c>
      <c r="AM1673">
        <v>80.223256321265097</v>
      </c>
      <c r="AN1673">
        <v>1.000000007006</v>
      </c>
    </row>
    <row r="1674" spans="1:40" x14ac:dyDescent="0.25">
      <c r="A1674" t="str">
        <f>"20190312154828853"</f>
        <v>20190312154828853</v>
      </c>
      <c r="B1674" t="str">
        <f>"1552376908847863"</f>
        <v>1552376908847863</v>
      </c>
      <c r="C1674" t="s">
        <v>40</v>
      </c>
      <c r="D1674">
        <v>5.0877670000000004</v>
      </c>
      <c r="E1674">
        <v>0.64205459999999903</v>
      </c>
      <c r="F1674" t="s">
        <v>49</v>
      </c>
      <c r="G1674">
        <v>-197.4778</v>
      </c>
      <c r="H1674" s="1">
        <v>1.5995070000000001E-6</v>
      </c>
      <c r="I1674">
        <v>291.78300000000002</v>
      </c>
      <c r="J1674">
        <v>-193.52269999999999</v>
      </c>
      <c r="K1674">
        <v>1.1041780000000001</v>
      </c>
      <c r="L1674">
        <v>295.06479999999999</v>
      </c>
      <c r="M1674">
        <v>-0.33132669999999997</v>
      </c>
      <c r="N1674">
        <v>0</v>
      </c>
      <c r="O1674">
        <v>-0.94340749999999995</v>
      </c>
      <c r="P1674">
        <v>-0.48975659999999999</v>
      </c>
      <c r="Q1674">
        <v>-5.4726509999999898E-3</v>
      </c>
      <c r="R1674">
        <v>-0.87184200000000001</v>
      </c>
      <c r="S1674">
        <v>-2.4216769999999999</v>
      </c>
      <c r="T1674">
        <v>-0.6620741</v>
      </c>
      <c r="U1674">
        <v>-2.09436</v>
      </c>
      <c r="V1674">
        <v>0.17329810000000001</v>
      </c>
      <c r="W1674">
        <v>6.1767339999999997E-3</v>
      </c>
      <c r="X1674">
        <v>0.98485</v>
      </c>
      <c r="Y1674">
        <v>0.479659</v>
      </c>
      <c r="Z1674">
        <v>0.20871429999999999</v>
      </c>
      <c r="AA1674">
        <v>0.8522708</v>
      </c>
      <c r="AB1674">
        <v>22</v>
      </c>
      <c r="AC1674">
        <v>-3.9551000000000101</v>
      </c>
      <c r="AD1674">
        <v>-1.1041764004929999</v>
      </c>
      <c r="AE1674">
        <v>-3.2817999999999699</v>
      </c>
      <c r="AF1674">
        <v>2.5275252885190298</v>
      </c>
      <c r="AG1674">
        <v>-1.1041764004929999</v>
      </c>
      <c r="AH1674">
        <v>4.2125101854704798</v>
      </c>
      <c r="AI1674">
        <v>102.667524391404</v>
      </c>
      <c r="AJ1674">
        <v>59.0360516770616</v>
      </c>
      <c r="AK1674">
        <v>5.0351595476411104</v>
      </c>
      <c r="AL1674">
        <v>89.646096943614197</v>
      </c>
      <c r="AM1674">
        <v>80.020173961628302</v>
      </c>
      <c r="AN1674">
        <v>0.99999995300325695</v>
      </c>
    </row>
    <row r="1675" spans="1:40" x14ac:dyDescent="0.25">
      <c r="A1675" t="str">
        <f>"20190312154828875"</f>
        <v>20190312154828875</v>
      </c>
      <c r="B1675" t="str">
        <f>"1552376908867383"</f>
        <v>1552376908867383</v>
      </c>
      <c r="C1675" t="s">
        <v>40</v>
      </c>
      <c r="D1675">
        <v>5.1318239999999999</v>
      </c>
      <c r="E1675">
        <v>0.64174350000000002</v>
      </c>
      <c r="F1675" t="s">
        <v>49</v>
      </c>
      <c r="G1675">
        <v>-197.53800000000001</v>
      </c>
      <c r="H1675" s="1">
        <v>1.612416E-6</v>
      </c>
      <c r="I1675">
        <v>291.67939999999999</v>
      </c>
      <c r="J1675">
        <v>-193.6062</v>
      </c>
      <c r="K1675">
        <v>1.104009</v>
      </c>
      <c r="L1675">
        <v>294.86169999999998</v>
      </c>
      <c r="M1675">
        <v>-0.3407155</v>
      </c>
      <c r="N1675">
        <v>0</v>
      </c>
      <c r="O1675">
        <v>-0.94005689999999997</v>
      </c>
      <c r="P1675">
        <v>-0.50222489999999997</v>
      </c>
      <c r="Q1675">
        <v>-6.2313209999999997E-3</v>
      </c>
      <c r="R1675">
        <v>-0.86471469999999995</v>
      </c>
      <c r="S1675">
        <v>-2.4463810000000001</v>
      </c>
      <c r="T1675">
        <v>-0.67272390000000004</v>
      </c>
      <c r="U1675">
        <v>-2.0625309999999999</v>
      </c>
      <c r="V1675">
        <v>0.17761289999999999</v>
      </c>
      <c r="W1675">
        <v>5.3141500000000001E-3</v>
      </c>
      <c r="X1675">
        <v>0.98408609999999996</v>
      </c>
      <c r="Y1675">
        <v>0.48112680000000002</v>
      </c>
      <c r="Z1675">
        <v>0.2119586</v>
      </c>
      <c r="AA1675">
        <v>0.85064130000000004</v>
      </c>
      <c r="AB1675">
        <v>21</v>
      </c>
      <c r="AC1675">
        <v>-3.93179999999998</v>
      </c>
      <c r="AD1675">
        <v>-1.104007387584</v>
      </c>
      <c r="AE1675">
        <v>-3.1822999999999899</v>
      </c>
      <c r="AF1675">
        <v>2.4933512086531602</v>
      </c>
      <c r="AG1675">
        <v>-1.104007387584</v>
      </c>
      <c r="AH1675">
        <v>4.1346538303236402</v>
      </c>
      <c r="AI1675">
        <v>102.879551900783</v>
      </c>
      <c r="AJ1675">
        <v>58.908448362353496</v>
      </c>
      <c r="AK1675">
        <v>4.95287743217437</v>
      </c>
      <c r="AL1675">
        <v>89.695520205469606</v>
      </c>
      <c r="AM1675">
        <v>79.7691054133183</v>
      </c>
      <c r="AN1675">
        <v>1.0000000173249199</v>
      </c>
    </row>
    <row r="1676" spans="1:40" x14ac:dyDescent="0.25">
      <c r="A1676" t="str">
        <f>"20190312154828898"</f>
        <v>20190312154828898</v>
      </c>
      <c r="B1676" t="str">
        <f>"1552376908887879"</f>
        <v>1552376908887879</v>
      </c>
      <c r="C1676" t="s">
        <v>40</v>
      </c>
      <c r="D1676">
        <v>5.0935180000000004</v>
      </c>
      <c r="E1676">
        <v>0.64122449999999998</v>
      </c>
      <c r="F1676" t="s">
        <v>49</v>
      </c>
      <c r="G1676">
        <v>-197.62799999999999</v>
      </c>
      <c r="H1676" s="1">
        <v>1.625064E-6</v>
      </c>
      <c r="I1676">
        <v>291.56229999999999</v>
      </c>
      <c r="J1676">
        <v>-193.69200000000001</v>
      </c>
      <c r="K1676">
        <v>1.1038460000000001</v>
      </c>
      <c r="L1676">
        <v>294.65949999999998</v>
      </c>
      <c r="M1676">
        <v>-0.35035519999999998</v>
      </c>
      <c r="N1676">
        <v>0</v>
      </c>
      <c r="O1676">
        <v>-0.93650619999999996</v>
      </c>
      <c r="P1676">
        <v>-0.51489200000000002</v>
      </c>
      <c r="Q1676">
        <v>-8.2123779999999993E-3</v>
      </c>
      <c r="R1676">
        <v>-0.85721579999999997</v>
      </c>
      <c r="S1676">
        <v>-2.4725799999999998</v>
      </c>
      <c r="T1676">
        <v>-0.67872670000000002</v>
      </c>
      <c r="U1676">
        <v>-2.0284119999999999</v>
      </c>
      <c r="V1676">
        <v>0.18195700000000001</v>
      </c>
      <c r="W1676">
        <v>3.2318220000000001E-3</v>
      </c>
      <c r="X1676">
        <v>0.98330119999999999</v>
      </c>
      <c r="Y1676">
        <v>0.48328579999999999</v>
      </c>
      <c r="Z1676">
        <v>0.21378539999999999</v>
      </c>
      <c r="AA1676">
        <v>0.84895859999999901</v>
      </c>
      <c r="AB1676">
        <v>21</v>
      </c>
      <c r="AC1676">
        <v>-3.9359999999999702</v>
      </c>
      <c r="AD1676">
        <v>-1.1038443749360001</v>
      </c>
      <c r="AE1676">
        <v>-3.09719999999998</v>
      </c>
      <c r="AF1676">
        <v>2.4807380343948799</v>
      </c>
      <c r="AG1676">
        <v>-1.1038443749360001</v>
      </c>
      <c r="AH1676">
        <v>4.0817223014354802</v>
      </c>
      <c r="AI1676">
        <v>103.01267414845201</v>
      </c>
      <c r="AJ1676">
        <v>58.710126883966097</v>
      </c>
      <c r="AK1676">
        <v>4.9023454126986001</v>
      </c>
      <c r="AL1676">
        <v>89.814829921036207</v>
      </c>
      <c r="AM1676">
        <v>79.516174550152201</v>
      </c>
      <c r="AN1676">
        <v>1.0000000222219301</v>
      </c>
    </row>
    <row r="1677" spans="1:40" x14ac:dyDescent="0.25">
      <c r="A1677" t="str">
        <f>"20190312154828919"</f>
        <v>20190312154828919</v>
      </c>
      <c r="B1677" t="str">
        <f>"1552376908908376"</f>
        <v>1552376908908376</v>
      </c>
      <c r="C1677" t="s">
        <v>40</v>
      </c>
      <c r="D1677">
        <v>5.1790200000000004</v>
      </c>
      <c r="E1677">
        <v>0.64072469999999904</v>
      </c>
      <c r="F1677" t="s">
        <v>49</v>
      </c>
      <c r="G1677">
        <v>-197.73759999999999</v>
      </c>
      <c r="H1677" s="1">
        <v>1.6376420000000001E-6</v>
      </c>
      <c r="I1677">
        <v>291.4357</v>
      </c>
      <c r="J1677">
        <v>-193.77539999999999</v>
      </c>
      <c r="K1677">
        <v>1.1037090000000001</v>
      </c>
      <c r="L1677">
        <v>294.4692</v>
      </c>
      <c r="M1677">
        <v>-0.3596897</v>
      </c>
      <c r="N1677">
        <v>0</v>
      </c>
      <c r="O1677">
        <v>-0.93296020000000002</v>
      </c>
      <c r="P1677">
        <v>-0.52640010000000004</v>
      </c>
      <c r="Q1677">
        <v>-9.1715140000000004E-3</v>
      </c>
      <c r="R1677">
        <v>-0.85018749999999998</v>
      </c>
      <c r="S1677">
        <v>-2.4995419999999999</v>
      </c>
      <c r="T1677">
        <v>-0.68200109999999903</v>
      </c>
      <c r="U1677">
        <v>-1.9918210000000001</v>
      </c>
      <c r="V1677">
        <v>0.18538099999999999</v>
      </c>
      <c r="W1677">
        <v>2.1932739999999998E-3</v>
      </c>
      <c r="X1677">
        <v>0.98266430000000005</v>
      </c>
      <c r="Y1677">
        <v>0.48646529999999999</v>
      </c>
      <c r="Z1677">
        <v>0.21484610000000001</v>
      </c>
      <c r="AA1677">
        <v>0.84687230000000002</v>
      </c>
      <c r="AB1677">
        <v>21</v>
      </c>
      <c r="AC1677">
        <v>-3.96219999999999</v>
      </c>
      <c r="AD1677">
        <v>-1.103707362358</v>
      </c>
      <c r="AE1677">
        <v>-3.0335000000000001</v>
      </c>
      <c r="AF1677">
        <v>2.48420032962767</v>
      </c>
      <c r="AG1677">
        <v>-1.103707362358</v>
      </c>
      <c r="AH1677">
        <v>4.0572591270409797</v>
      </c>
      <c r="AI1677">
        <v>103.061513408905</v>
      </c>
      <c r="AJ1677">
        <v>58.521474815375903</v>
      </c>
      <c r="AK1677">
        <v>4.8837253038436597</v>
      </c>
      <c r="AL1677">
        <v>89.874334559006797</v>
      </c>
      <c r="AM1677">
        <v>79.3166279513962</v>
      </c>
      <c r="AN1677">
        <v>1.0000000260531601</v>
      </c>
    </row>
    <row r="1678" spans="1:40" x14ac:dyDescent="0.25">
      <c r="A1678" t="str">
        <f>"20190312154828941"</f>
        <v>20190312154828941</v>
      </c>
      <c r="B1678" t="str">
        <f>"1552376908937656"</f>
        <v>1552376908937656</v>
      </c>
      <c r="C1678" t="s">
        <v>40</v>
      </c>
      <c r="D1678">
        <v>5.1526500000000004</v>
      </c>
      <c r="E1678">
        <v>0.6397098</v>
      </c>
      <c r="F1678" t="s">
        <v>49</v>
      </c>
      <c r="G1678">
        <v>-197.84030000000001</v>
      </c>
      <c r="H1678" s="1">
        <v>1.6498540000000001E-6</v>
      </c>
      <c r="I1678">
        <v>291.31459999999998</v>
      </c>
      <c r="J1678">
        <v>-193.86330000000001</v>
      </c>
      <c r="K1678">
        <v>1.103577</v>
      </c>
      <c r="L1678">
        <v>294.27449999999999</v>
      </c>
      <c r="M1678">
        <v>-0.3694868</v>
      </c>
      <c r="N1678">
        <v>0</v>
      </c>
      <c r="O1678">
        <v>-0.92912309999999998</v>
      </c>
      <c r="P1678">
        <v>-0.53851419999999905</v>
      </c>
      <c r="Q1678">
        <v>-9.6634379999999999E-3</v>
      </c>
      <c r="R1678">
        <v>-0.84256119999999901</v>
      </c>
      <c r="S1678">
        <v>-2.5237729999999998</v>
      </c>
      <c r="T1678">
        <v>-0.68524969999999996</v>
      </c>
      <c r="U1678">
        <v>-1.958588</v>
      </c>
      <c r="V1678">
        <v>0.18909860000000001</v>
      </c>
      <c r="W1678">
        <v>1.6182099999999999E-3</v>
      </c>
      <c r="X1678">
        <v>0.98195679999999996</v>
      </c>
      <c r="Y1678">
        <v>0.48805559999999998</v>
      </c>
      <c r="Z1678">
        <v>0.21576119999999999</v>
      </c>
      <c r="AA1678">
        <v>0.84572389999999997</v>
      </c>
      <c r="AB1678">
        <v>21</v>
      </c>
      <c r="AC1678">
        <v>-3.9769999999999999</v>
      </c>
      <c r="AD1678">
        <v>-1.1035753501459999</v>
      </c>
      <c r="AE1678">
        <v>-2.9599000000000002</v>
      </c>
      <c r="AF1678">
        <v>2.47891503546944</v>
      </c>
      <c r="AG1678">
        <v>-1.1035753501459999</v>
      </c>
      <c r="AH1678">
        <v>4.0207641639405303</v>
      </c>
      <c r="AI1678">
        <v>103.150386066331</v>
      </c>
      <c r="AJ1678">
        <v>58.344991450234801</v>
      </c>
      <c r="AK1678">
        <v>4.8507156965291998</v>
      </c>
      <c r="AL1678">
        <v>89.907283358774293</v>
      </c>
      <c r="AM1678">
        <v>79.099801656896801</v>
      </c>
      <c r="AN1678">
        <v>1.0000000280959001</v>
      </c>
    </row>
    <row r="1679" spans="1:40" x14ac:dyDescent="0.25">
      <c r="A1679" t="str">
        <f>"20190312154828964"</f>
        <v>20190312154828964</v>
      </c>
      <c r="B1679" t="str">
        <f>"1552376908957176"</f>
        <v>1552376908957176</v>
      </c>
      <c r="C1679" t="s">
        <v>40</v>
      </c>
      <c r="D1679">
        <v>5.1791229999999997</v>
      </c>
      <c r="E1679">
        <v>0.639024699999999</v>
      </c>
      <c r="F1679" t="s">
        <v>49</v>
      </c>
      <c r="G1679">
        <v>-197.94399999999999</v>
      </c>
      <c r="H1679" s="1">
        <v>1.6632969999999999E-6</v>
      </c>
      <c r="I1679">
        <v>291.18610000000001</v>
      </c>
      <c r="J1679">
        <v>-193.9572</v>
      </c>
      <c r="K1679">
        <v>1.10344</v>
      </c>
      <c r="L1679">
        <v>294.07299999999998</v>
      </c>
      <c r="M1679">
        <v>-0.37985770000000002</v>
      </c>
      <c r="N1679">
        <v>0</v>
      </c>
      <c r="O1679">
        <v>-0.92493099999999995</v>
      </c>
      <c r="P1679">
        <v>-0.55070920000000001</v>
      </c>
      <c r="Q1679">
        <v>-1.139976E-2</v>
      </c>
      <c r="R1679">
        <v>-0.83461960000000002</v>
      </c>
      <c r="S1679">
        <v>-2.5449519999999999</v>
      </c>
      <c r="T1679">
        <v>-0.68825329999999996</v>
      </c>
      <c r="U1679">
        <v>-1.9261170000000001</v>
      </c>
      <c r="V1679">
        <v>0.19237270000000001</v>
      </c>
      <c r="W1679">
        <v>-1.9490999999999999E-4</v>
      </c>
      <c r="X1679">
        <v>0.98132189999999997</v>
      </c>
      <c r="Y1679">
        <v>0.48843229999999999</v>
      </c>
      <c r="Z1679">
        <v>0.21659729999999999</v>
      </c>
      <c r="AA1679">
        <v>0.84529259999999995</v>
      </c>
      <c r="AB1679">
        <v>21</v>
      </c>
      <c r="AC1679">
        <v>-3.9868000000000099</v>
      </c>
      <c r="AD1679">
        <v>-1.1034383367030001</v>
      </c>
      <c r="AE1679">
        <v>-2.8868999999999598</v>
      </c>
      <c r="AF1679">
        <v>2.4671921834247299</v>
      </c>
      <c r="AG1679">
        <v>-1.1034383367030001</v>
      </c>
      <c r="AH1679">
        <v>3.98479198611839</v>
      </c>
      <c r="AI1679">
        <v>103.248328974735</v>
      </c>
      <c r="AJ1679">
        <v>58.2361937890538</v>
      </c>
      <c r="AK1679">
        <v>4.8148915465970097</v>
      </c>
      <c r="AL1679">
        <v>90.011167520650403</v>
      </c>
      <c r="AM1679">
        <v>78.908714844291595</v>
      </c>
      <c r="AN1679">
        <v>0.99999998255740397</v>
      </c>
    </row>
    <row r="1680" spans="1:40" x14ac:dyDescent="0.25">
      <c r="A1680" t="str">
        <f>"20190312154828988"</f>
        <v>20190312154828988</v>
      </c>
      <c r="B1680" t="str">
        <f>"1552376908977672"</f>
        <v>1552376908977672</v>
      </c>
      <c r="C1680" t="s">
        <v>40</v>
      </c>
      <c r="D1680">
        <v>5.1845150000000002</v>
      </c>
      <c r="E1680">
        <v>0.6381732</v>
      </c>
      <c r="F1680" t="s">
        <v>49</v>
      </c>
      <c r="G1680">
        <v>-198.03630000000001</v>
      </c>
      <c r="H1680" s="1">
        <v>1.6756699999999999E-6</v>
      </c>
      <c r="I1680">
        <v>291.0693</v>
      </c>
      <c r="J1680">
        <v>-194.05600000000001</v>
      </c>
      <c r="K1680">
        <v>1.103316</v>
      </c>
      <c r="L1680">
        <v>293.8682</v>
      </c>
      <c r="M1680">
        <v>-0.3906443</v>
      </c>
      <c r="N1680">
        <v>0</v>
      </c>
      <c r="O1680">
        <v>-0.92042670000000004</v>
      </c>
      <c r="P1680">
        <v>-0.56230519999999995</v>
      </c>
      <c r="Q1680">
        <v>-1.331536E-2</v>
      </c>
      <c r="R1680">
        <v>-0.82682269999999902</v>
      </c>
      <c r="S1680">
        <v>-2.5677189999999999</v>
      </c>
      <c r="T1680">
        <v>-0.69459630000000006</v>
      </c>
      <c r="U1680">
        <v>-1.890747</v>
      </c>
      <c r="V1680">
        <v>0.194578</v>
      </c>
      <c r="W1680">
        <v>-2.167913E-3</v>
      </c>
      <c r="X1680">
        <v>0.98088470000000005</v>
      </c>
      <c r="Y1680">
        <v>0.48906549999999999</v>
      </c>
      <c r="Z1680">
        <v>0.2184141</v>
      </c>
      <c r="AA1680">
        <v>0.844458499999999</v>
      </c>
      <c r="AB1680">
        <v>21</v>
      </c>
      <c r="AC1680">
        <v>-3.9803000000000202</v>
      </c>
      <c r="AD1680">
        <v>-1.1033143243300001</v>
      </c>
      <c r="AE1680">
        <v>-2.7989000000000002</v>
      </c>
      <c r="AF1680">
        <v>2.4447772100865799</v>
      </c>
      <c r="AG1680">
        <v>-1.1033143243300001</v>
      </c>
      <c r="AH1680">
        <v>3.9294725624594902</v>
      </c>
      <c r="AI1680">
        <v>103.409220482707</v>
      </c>
      <c r="AJ1680">
        <v>58.111604233890802</v>
      </c>
      <c r="AK1680">
        <v>4.7576246935159201</v>
      </c>
      <c r="AL1680">
        <v>90.124212356795596</v>
      </c>
      <c r="AM1680">
        <v>78.779901230308496</v>
      </c>
      <c r="AN1680">
        <v>1.0000000463124299</v>
      </c>
    </row>
    <row r="1681" spans="1:40" x14ac:dyDescent="0.25">
      <c r="A1681" t="str">
        <f>"20190312154829007"</f>
        <v>20190312154829007</v>
      </c>
      <c r="B1681" t="str">
        <f>"1552376908997192"</f>
        <v>1552376908997192</v>
      </c>
      <c r="C1681" t="s">
        <v>40</v>
      </c>
      <c r="D1681">
        <v>5.2232890000000003</v>
      </c>
      <c r="E1681">
        <v>0.63729530000000001</v>
      </c>
      <c r="F1681" t="s">
        <v>49</v>
      </c>
      <c r="G1681">
        <v>-198.1344</v>
      </c>
      <c r="H1681" s="1">
        <v>1.689582E-6</v>
      </c>
      <c r="I1681">
        <v>290.9409</v>
      </c>
      <c r="J1681">
        <v>-194.1456</v>
      </c>
      <c r="K1681">
        <v>1.103227</v>
      </c>
      <c r="L1681">
        <v>293.68799999999999</v>
      </c>
      <c r="M1681">
        <v>-0.40033210000000002</v>
      </c>
      <c r="N1681">
        <v>0</v>
      </c>
      <c r="O1681">
        <v>-0.91625369999999995</v>
      </c>
      <c r="P1681">
        <v>-0.57257789999999997</v>
      </c>
      <c r="Q1681">
        <v>-1.319704E-2</v>
      </c>
      <c r="R1681">
        <v>-0.81974409999999898</v>
      </c>
      <c r="S1681">
        <v>-2.587631</v>
      </c>
      <c r="T1681">
        <v>-0.70001080000000004</v>
      </c>
      <c r="U1681">
        <v>-1.8572690000000001</v>
      </c>
      <c r="V1681">
        <v>0.1964697</v>
      </c>
      <c r="W1681">
        <v>-2.097649E-3</v>
      </c>
      <c r="X1681">
        <v>0.98050769999999998</v>
      </c>
      <c r="Y1681">
        <v>0.4898865</v>
      </c>
      <c r="Z1681">
        <v>0.22001019999999999</v>
      </c>
      <c r="AA1681">
        <v>0.84356779999999998</v>
      </c>
      <c r="AB1681">
        <v>21</v>
      </c>
      <c r="AC1681">
        <v>-3.9887999999999901</v>
      </c>
      <c r="AD1681">
        <v>-1.1032253104180001</v>
      </c>
      <c r="AE1681">
        <v>-2.7470999999999801</v>
      </c>
      <c r="AF1681">
        <v>2.4292288719266701</v>
      </c>
      <c r="AG1681">
        <v>-1.1032253104180001</v>
      </c>
      <c r="AH1681">
        <v>3.9113765184316001</v>
      </c>
      <c r="AI1681">
        <v>103.47433850881499</v>
      </c>
      <c r="AJ1681">
        <v>58.156927587760499</v>
      </c>
      <c r="AK1681">
        <v>4.73467266732212</v>
      </c>
      <c r="AL1681">
        <v>90.1201865171561</v>
      </c>
      <c r="AM1681">
        <v>78.669383098301097</v>
      </c>
      <c r="AN1681">
        <v>1.0000000464543499</v>
      </c>
    </row>
    <row r="1682" spans="1:40" x14ac:dyDescent="0.25">
      <c r="A1682" t="str">
        <f>"20190312154829030"</f>
        <v>20190312154829030</v>
      </c>
      <c r="B1682" t="str">
        <f>"1552376909017688"</f>
        <v>1552376909017688</v>
      </c>
      <c r="C1682" t="s">
        <v>40</v>
      </c>
      <c r="D1682">
        <v>5.2111980000000004</v>
      </c>
      <c r="E1682">
        <v>0.63635769999999903</v>
      </c>
      <c r="F1682" t="s">
        <v>49</v>
      </c>
      <c r="G1682">
        <v>-198.25530000000001</v>
      </c>
      <c r="H1682" s="1">
        <v>1.7032080000000001E-6</v>
      </c>
      <c r="I1682">
        <v>290.80270000000002</v>
      </c>
      <c r="J1682">
        <v>-194.2448</v>
      </c>
      <c r="K1682">
        <v>1.1031550000000001</v>
      </c>
      <c r="L1682">
        <v>293.49459999999999</v>
      </c>
      <c r="M1682">
        <v>-0.41089510000000001</v>
      </c>
      <c r="N1682">
        <v>0</v>
      </c>
      <c r="O1682">
        <v>-0.91156499999999996</v>
      </c>
      <c r="P1682">
        <v>-0.58364780000000005</v>
      </c>
      <c r="Q1682">
        <v>-1.125225E-2</v>
      </c>
      <c r="R1682">
        <v>-0.81192900000000001</v>
      </c>
      <c r="S1682">
        <v>-2.6050260000000001</v>
      </c>
      <c r="T1682">
        <v>-0.69931849999999995</v>
      </c>
      <c r="U1682">
        <v>-1.8289489999999999</v>
      </c>
      <c r="V1682">
        <v>0.19846069999999999</v>
      </c>
      <c r="W1682">
        <v>-1.9607580000000001E-4</v>
      </c>
      <c r="X1682">
        <v>0.98010889999999995</v>
      </c>
      <c r="Y1682">
        <v>0.4887474</v>
      </c>
      <c r="Z1682">
        <v>0.2195039</v>
      </c>
      <c r="AA1682">
        <v>0.84436009999999995</v>
      </c>
      <c r="AB1682">
        <v>21</v>
      </c>
      <c r="AC1682">
        <v>-4.0105000000000004</v>
      </c>
      <c r="AD1682">
        <v>-1.1031532967919999</v>
      </c>
      <c r="AE1682">
        <v>-2.6918999999999702</v>
      </c>
      <c r="AF1682">
        <v>2.4235982039933899</v>
      </c>
      <c r="AG1682">
        <v>-1.1031532967919999</v>
      </c>
      <c r="AH1682">
        <v>3.89880935074294</v>
      </c>
      <c r="AI1682">
        <v>103.512075201326</v>
      </c>
      <c r="AJ1682">
        <v>58.133873771664199</v>
      </c>
      <c r="AK1682">
        <v>4.7213864281653199</v>
      </c>
      <c r="AL1682">
        <v>90.011234315069103</v>
      </c>
      <c r="AM1682">
        <v>78.553041232936096</v>
      </c>
      <c r="AN1682">
        <v>1.0000000718747</v>
      </c>
    </row>
    <row r="1683" spans="1:40" x14ac:dyDescent="0.25">
      <c r="A1683" t="str">
        <f>"20190312154829054"</f>
        <v>20190312154829054</v>
      </c>
      <c r="B1683" t="str">
        <f>"1552376909047944"</f>
        <v>1552376909047944</v>
      </c>
      <c r="C1683" t="s">
        <v>40</v>
      </c>
      <c r="D1683">
        <v>5.2747260000000002</v>
      </c>
      <c r="E1683">
        <v>0.63582430000000001</v>
      </c>
      <c r="F1683" t="s">
        <v>49</v>
      </c>
      <c r="G1683">
        <v>-198.4186</v>
      </c>
      <c r="H1683" s="1">
        <v>1.7186130000000001E-6</v>
      </c>
      <c r="I1683">
        <v>290.63299999999998</v>
      </c>
      <c r="J1683">
        <v>-194.35339999999999</v>
      </c>
      <c r="K1683">
        <v>1.103092</v>
      </c>
      <c r="L1683">
        <v>293.28960000000001</v>
      </c>
      <c r="M1683">
        <v>-0.42228680000000002</v>
      </c>
      <c r="N1683">
        <v>0</v>
      </c>
      <c r="O1683">
        <v>-0.90634329999999996</v>
      </c>
      <c r="P1683">
        <v>-0.59626250000000003</v>
      </c>
      <c r="Q1683">
        <v>-8.0677949999999991E-3</v>
      </c>
      <c r="R1683">
        <v>-0.80274909999999999</v>
      </c>
      <c r="S1683">
        <v>-2.6239780000000001</v>
      </c>
      <c r="T1683">
        <v>-0.69353039999999999</v>
      </c>
      <c r="U1683">
        <v>-1.799072</v>
      </c>
      <c r="V1683">
        <v>0.2015275</v>
      </c>
      <c r="W1683">
        <v>2.9295089999999998E-3</v>
      </c>
      <c r="X1683">
        <v>0.97947850000000003</v>
      </c>
      <c r="Y1683">
        <v>0.48767159999999898</v>
      </c>
      <c r="Z1683">
        <v>0.21734680000000001</v>
      </c>
      <c r="AA1683">
        <v>0.84553929999999999</v>
      </c>
      <c r="AB1683">
        <v>21</v>
      </c>
      <c r="AC1683">
        <v>-4.0651999999999999</v>
      </c>
      <c r="AD1683">
        <v>-1.1030902813869901</v>
      </c>
      <c r="AE1683">
        <v>-2.6566000000000201</v>
      </c>
      <c r="AF1683">
        <v>2.43714889629176</v>
      </c>
      <c r="AG1683">
        <v>-1.1030902813869901</v>
      </c>
      <c r="AH1683">
        <v>3.9225298549612102</v>
      </c>
      <c r="AI1683">
        <v>103.43436257565401</v>
      </c>
      <c r="AJ1683">
        <v>58.146461100368903</v>
      </c>
      <c r="AK1683">
        <v>4.74791989977175</v>
      </c>
      <c r="AL1683">
        <v>89.832151262138197</v>
      </c>
      <c r="AM1683">
        <v>78.373652392262301</v>
      </c>
      <c r="AN1683">
        <v>1.00000002362074</v>
      </c>
    </row>
    <row r="1684" spans="1:40" x14ac:dyDescent="0.25">
      <c r="A1684" t="str">
        <f>"20190312154829076"</f>
        <v>20190312154829076</v>
      </c>
      <c r="B1684" t="str">
        <f>"1552376909067466"</f>
        <v>1552376909067466</v>
      </c>
      <c r="C1684" t="s">
        <v>40</v>
      </c>
      <c r="D1684">
        <v>5.226718</v>
      </c>
      <c r="E1684">
        <v>0.6717398</v>
      </c>
      <c r="F1684" t="s">
        <v>49</v>
      </c>
      <c r="G1684">
        <v>-198.60720000000001</v>
      </c>
      <c r="H1684" s="1">
        <v>1.7324830000000001E-6</v>
      </c>
      <c r="I1684">
        <v>290.45920000000001</v>
      </c>
      <c r="J1684">
        <v>-194.45429999999999</v>
      </c>
      <c r="K1684">
        <v>1.1030390000000001</v>
      </c>
      <c r="L1684">
        <v>293.1046</v>
      </c>
      <c r="M1684">
        <v>-0.4327202</v>
      </c>
      <c r="N1684">
        <v>0</v>
      </c>
      <c r="O1684">
        <v>-0.90140830000000005</v>
      </c>
      <c r="P1684">
        <v>-0.60747289999999998</v>
      </c>
      <c r="Q1684">
        <v>-6.1973219999999999E-3</v>
      </c>
      <c r="R1684">
        <v>-0.79431660000000004</v>
      </c>
      <c r="S1684">
        <v>-2.6490779999999998</v>
      </c>
      <c r="T1684">
        <v>-0.68696020000000002</v>
      </c>
      <c r="U1684">
        <v>-1.7626040000000001</v>
      </c>
      <c r="V1684">
        <v>0.20399610000000001</v>
      </c>
      <c r="W1684">
        <v>4.7543510000000004E-3</v>
      </c>
      <c r="X1684">
        <v>0.97896019999999995</v>
      </c>
      <c r="Y1684">
        <v>0.48987190000000003</v>
      </c>
      <c r="Z1684">
        <v>0.21502840000000001</v>
      </c>
      <c r="AA1684">
        <v>0.8448599</v>
      </c>
      <c r="AB1684">
        <v>21</v>
      </c>
      <c r="AC1684">
        <v>-4.1529000000000096</v>
      </c>
      <c r="AD1684">
        <v>-1.1030372675169999</v>
      </c>
      <c r="AE1684">
        <v>-2.6453999999999902</v>
      </c>
      <c r="AF1684">
        <v>2.4748255634351701</v>
      </c>
      <c r="AG1684">
        <v>-1.1030372675169999</v>
      </c>
      <c r="AH1684">
        <v>3.9822378882496001</v>
      </c>
      <c r="AI1684">
        <v>103.23863262790699</v>
      </c>
      <c r="AJ1684">
        <v>58.1404529083337</v>
      </c>
      <c r="AK1684">
        <v>4.8166037185525497</v>
      </c>
      <c r="AL1684">
        <v>89.727594738828202</v>
      </c>
      <c r="AM1684">
        <v>78.229127560360794</v>
      </c>
      <c r="AN1684">
        <v>1.00000004292633</v>
      </c>
    </row>
    <row r="1685" spans="1:40" x14ac:dyDescent="0.25">
      <c r="A1685" t="str">
        <f>"20190312154829099"</f>
        <v>20190312154829099</v>
      </c>
      <c r="B1685" t="str">
        <f>"1552376909097720"</f>
        <v>1552376909097720</v>
      </c>
      <c r="C1685" t="s">
        <v>40</v>
      </c>
      <c r="D1685">
        <v>5.1072749999999996</v>
      </c>
      <c r="E1685">
        <v>0.68996689999999905</v>
      </c>
      <c r="F1685" t="s">
        <v>49</v>
      </c>
      <c r="G1685">
        <v>-198.85290000000001</v>
      </c>
      <c r="H1685" s="1">
        <v>1.6596209999999999E-6</v>
      </c>
      <c r="I1685">
        <v>290.74919999999997</v>
      </c>
      <c r="J1685">
        <v>-194.5659</v>
      </c>
      <c r="K1685">
        <v>1.1029770000000001</v>
      </c>
      <c r="L1685">
        <v>292.90609999999998</v>
      </c>
      <c r="M1685">
        <v>-0.44408500000000001</v>
      </c>
      <c r="N1685">
        <v>0</v>
      </c>
      <c r="O1685">
        <v>-0.89586350000000003</v>
      </c>
      <c r="P1685">
        <v>-0.61998299999999995</v>
      </c>
      <c r="Q1685">
        <v>-4.7783010000000004E-3</v>
      </c>
      <c r="R1685">
        <v>-0.78460099999999999</v>
      </c>
      <c r="S1685">
        <v>-2.9003139999999998</v>
      </c>
      <c r="T1685">
        <v>-0.72731829999999997</v>
      </c>
      <c r="U1685">
        <v>-1.5531010000000001</v>
      </c>
      <c r="V1685">
        <v>0.20714769999999999</v>
      </c>
      <c r="W1685">
        <v>6.1128399999999996E-3</v>
      </c>
      <c r="X1685">
        <v>0.97829060000000001</v>
      </c>
      <c r="Y1685">
        <v>0.55617589999999995</v>
      </c>
      <c r="Z1685">
        <v>0.2236532</v>
      </c>
      <c r="AA1685">
        <v>0.80040469999999997</v>
      </c>
      <c r="AB1685">
        <v>21</v>
      </c>
      <c r="AC1685">
        <v>-4.2869999999999999</v>
      </c>
      <c r="AD1685">
        <v>-1.1029753403789999</v>
      </c>
      <c r="AE1685">
        <v>-2.1568999999999998</v>
      </c>
      <c r="AF1685">
        <v>2.7383821223448299</v>
      </c>
      <c r="AG1685">
        <v>-1.1029753403789999</v>
      </c>
      <c r="AH1685">
        <v>3.6440078590819298</v>
      </c>
      <c r="AI1685">
        <v>103.602631530759</v>
      </c>
      <c r="AJ1685">
        <v>53.076040192515201</v>
      </c>
      <c r="AK1685">
        <v>4.6897851258360204</v>
      </c>
      <c r="AL1685">
        <v>89.649757891937199</v>
      </c>
      <c r="AM1685">
        <v>78.044521203459098</v>
      </c>
      <c r="AN1685">
        <v>1.0000000172382499</v>
      </c>
    </row>
    <row r="1686" spans="1:40" x14ac:dyDescent="0.25">
      <c r="A1686" t="str">
        <f>"20190312154829120"</f>
        <v>20190312154829120</v>
      </c>
      <c r="B1686" t="str">
        <f>"1552376909117240"</f>
        <v>1552376909117240</v>
      </c>
      <c r="C1686" t="s">
        <v>40</v>
      </c>
      <c r="D1686">
        <v>5.1173080000000004</v>
      </c>
      <c r="E1686">
        <v>0.69465399999999999</v>
      </c>
      <c r="F1686" t="s">
        <v>49</v>
      </c>
      <c r="G1686">
        <v>-199.41720000000001</v>
      </c>
      <c r="H1686" s="1">
        <v>1.628225E-6</v>
      </c>
      <c r="I1686">
        <v>290.64330000000001</v>
      </c>
      <c r="J1686">
        <v>-194.6634</v>
      </c>
      <c r="K1686">
        <v>1.1029230000000001</v>
      </c>
      <c r="L1686">
        <v>292.73790000000002</v>
      </c>
      <c r="M1686">
        <v>-0.45386330000000003</v>
      </c>
      <c r="N1686">
        <v>0</v>
      </c>
      <c r="O1686">
        <v>-0.89094899999999999</v>
      </c>
      <c r="P1686">
        <v>-0.63099729999999998</v>
      </c>
      <c r="Q1686">
        <v>-4.578309E-3</v>
      </c>
      <c r="R1686">
        <v>-0.77577169999999995</v>
      </c>
      <c r="S1686">
        <v>-3.039444</v>
      </c>
      <c r="T1686">
        <v>-0.69104519999999903</v>
      </c>
      <c r="U1686">
        <v>-1.4177249999999999</v>
      </c>
      <c r="V1686">
        <v>0.21025379999999999</v>
      </c>
      <c r="W1686">
        <v>6.2511199999999998E-3</v>
      </c>
      <c r="X1686">
        <v>0.97762689999999997</v>
      </c>
      <c r="Y1686">
        <v>0.59367979999999998</v>
      </c>
      <c r="Z1686">
        <v>0.2109936</v>
      </c>
      <c r="AA1686">
        <v>0.7765474</v>
      </c>
      <c r="AB1686">
        <v>21</v>
      </c>
      <c r="AC1686">
        <v>-4.7538000000000098</v>
      </c>
      <c r="AD1686">
        <v>-1.1029213717749999</v>
      </c>
      <c r="AE1686">
        <v>-2.09460000000001</v>
      </c>
      <c r="AF1686">
        <v>3.1433957557521102</v>
      </c>
      <c r="AG1686">
        <v>-1.1029213717749999</v>
      </c>
      <c r="AH1686">
        <v>3.8506227689627401</v>
      </c>
      <c r="AI1686">
        <v>102.510276160841</v>
      </c>
      <c r="AJ1686">
        <v>50.774055971687901</v>
      </c>
      <c r="AK1686">
        <v>5.09162725839714</v>
      </c>
      <c r="AL1686">
        <v>89.641834890673096</v>
      </c>
      <c r="AM1686">
        <v>77.862533827779103</v>
      </c>
      <c r="AN1686">
        <v>1.0000000462596501</v>
      </c>
    </row>
    <row r="1687" spans="1:40" x14ac:dyDescent="0.25">
      <c r="A1687" t="str">
        <f>"20190312154829141"</f>
        <v>20190312154829141</v>
      </c>
      <c r="B1687" t="str">
        <f>"1552376909137736"</f>
        <v>1552376909137736</v>
      </c>
      <c r="C1687" t="s">
        <v>40</v>
      </c>
      <c r="D1687">
        <v>5.1190749999999996</v>
      </c>
      <c r="E1687">
        <v>0.697515</v>
      </c>
      <c r="F1687" t="s">
        <v>49</v>
      </c>
      <c r="G1687">
        <v>-199.7799</v>
      </c>
      <c r="H1687" s="1">
        <v>1.6211870000000001E-6</v>
      </c>
      <c r="I1687">
        <v>290.50060000000002</v>
      </c>
      <c r="J1687">
        <v>-194.77119999999999</v>
      </c>
      <c r="K1687">
        <v>1.1028530000000001</v>
      </c>
      <c r="L1687">
        <v>292.55689999999998</v>
      </c>
      <c r="M1687">
        <v>-0.46451979999999998</v>
      </c>
      <c r="N1687">
        <v>0</v>
      </c>
      <c r="O1687">
        <v>-0.88543890000000003</v>
      </c>
      <c r="P1687">
        <v>-0.64217749999999996</v>
      </c>
      <c r="Q1687">
        <v>-5.5267190000000002E-3</v>
      </c>
      <c r="R1687">
        <v>-0.76653629999999995</v>
      </c>
      <c r="S1687">
        <v>-3.0889890000000002</v>
      </c>
      <c r="T1687">
        <v>-0.66586800000000002</v>
      </c>
      <c r="U1687">
        <v>-1.350708</v>
      </c>
      <c r="V1687">
        <v>0.2126844</v>
      </c>
      <c r="W1687">
        <v>5.2502549999999997E-3</v>
      </c>
      <c r="X1687">
        <v>0.9771069</v>
      </c>
      <c r="Y1687">
        <v>0.60463849999999997</v>
      </c>
      <c r="Z1687">
        <v>0.20285539999999999</v>
      </c>
      <c r="AA1687">
        <v>0.770235</v>
      </c>
      <c r="AB1687">
        <v>21</v>
      </c>
      <c r="AC1687">
        <v>-5.0087000000000002</v>
      </c>
      <c r="AD1687">
        <v>-1.1028513788130001</v>
      </c>
      <c r="AE1687">
        <v>-2.0562999999999598</v>
      </c>
      <c r="AF1687">
        <v>3.3414524217549699</v>
      </c>
      <c r="AG1687">
        <v>-1.1028513788130001</v>
      </c>
      <c r="AH1687">
        <v>3.9825878792418101</v>
      </c>
      <c r="AI1687">
        <v>101.977190542172</v>
      </c>
      <c r="AJ1687">
        <v>50.0028333725324</v>
      </c>
      <c r="AK1687">
        <v>5.3143759432774198</v>
      </c>
      <c r="AL1687">
        <v>89.699181182128697</v>
      </c>
      <c r="AM1687">
        <v>77.720117315615298</v>
      </c>
      <c r="AN1687">
        <v>1.0000000566042599</v>
      </c>
    </row>
    <row r="1688" spans="1:40" x14ac:dyDescent="0.25">
      <c r="A1688" t="str">
        <f>"20190312154829164"</f>
        <v>20190312154829164</v>
      </c>
      <c r="B1688" t="str">
        <f>"1552376909157258"</f>
        <v>1552376909157258</v>
      </c>
      <c r="C1688" t="s">
        <v>40</v>
      </c>
      <c r="D1688">
        <v>5.1038819999999996</v>
      </c>
      <c r="E1688">
        <v>0.69832320000000003</v>
      </c>
      <c r="F1688" t="s">
        <v>49</v>
      </c>
      <c r="G1688">
        <v>-199.89340000000001</v>
      </c>
      <c r="H1688" s="1">
        <v>1.6215000000000001E-6</v>
      </c>
      <c r="I1688">
        <v>290.44170000000003</v>
      </c>
      <c r="J1688">
        <v>-194.88310000000001</v>
      </c>
      <c r="K1688">
        <v>1.1027690000000001</v>
      </c>
      <c r="L1688">
        <v>292.37439999999998</v>
      </c>
      <c r="M1688">
        <v>-0.47542030000000002</v>
      </c>
      <c r="N1688">
        <v>0</v>
      </c>
      <c r="O1688">
        <v>-0.87963380000000002</v>
      </c>
      <c r="P1688">
        <v>-0.65310769999999996</v>
      </c>
      <c r="Q1688">
        <v>-6.7745119999999999E-3</v>
      </c>
      <c r="R1688">
        <v>-0.75723490000000004</v>
      </c>
      <c r="S1688">
        <v>-3.125305</v>
      </c>
      <c r="T1688">
        <v>-0.67290280000000002</v>
      </c>
      <c r="U1688">
        <v>-1.2905879999999901</v>
      </c>
      <c r="V1688">
        <v>0.2146168</v>
      </c>
      <c r="W1688">
        <v>3.9575640000000002E-3</v>
      </c>
      <c r="X1688">
        <v>0.97669030000000001</v>
      </c>
      <c r="Y1688">
        <v>0.61044750000000003</v>
      </c>
      <c r="Z1688">
        <v>0.20436489999999999</v>
      </c>
      <c r="AA1688">
        <v>0.76523769999999902</v>
      </c>
      <c r="AB1688">
        <v>21</v>
      </c>
      <c r="AC1688">
        <v>-5.0103</v>
      </c>
      <c r="AD1688">
        <v>-1.1027673784999901</v>
      </c>
      <c r="AE1688">
        <v>-1.9326999999999499</v>
      </c>
      <c r="AF1688">
        <v>3.3476021025948999</v>
      </c>
      <c r="AG1688">
        <v>-1.1027673784999901</v>
      </c>
      <c r="AH1688">
        <v>3.9173247624576399</v>
      </c>
      <c r="AI1688">
        <v>102.07971354972599</v>
      </c>
      <c r="AJ1688">
        <v>49.484014008145699</v>
      </c>
      <c r="AK1688">
        <v>5.2695321445974104</v>
      </c>
      <c r="AL1688">
        <v>89.773247690929594</v>
      </c>
      <c r="AM1688">
        <v>77.606854467436705</v>
      </c>
      <c r="AN1688">
        <v>0.99999998763457199</v>
      </c>
    </row>
    <row r="1689" spans="1:40" x14ac:dyDescent="0.25">
      <c r="A1689" t="str">
        <f>"20190312154829187"</f>
        <v>20190312154829187</v>
      </c>
      <c r="B1689" t="str">
        <f>"1552376909177753"</f>
        <v>1552376909177753</v>
      </c>
      <c r="C1689" t="s">
        <v>40</v>
      </c>
      <c r="D1689">
        <v>5.3420249999999996</v>
      </c>
      <c r="E1689">
        <v>0.69757619999999998</v>
      </c>
      <c r="F1689" t="s">
        <v>49</v>
      </c>
      <c r="G1689">
        <v>-200.0147</v>
      </c>
      <c r="H1689" s="1">
        <v>1.6596029999999901E-6</v>
      </c>
      <c r="I1689">
        <v>290.35050000000001</v>
      </c>
      <c r="J1689">
        <v>-194.99959999999999</v>
      </c>
      <c r="K1689">
        <v>1.1026940000000001</v>
      </c>
      <c r="L1689">
        <v>292.1902</v>
      </c>
      <c r="M1689">
        <v>-0.48660130000000001</v>
      </c>
      <c r="N1689">
        <v>0</v>
      </c>
      <c r="O1689">
        <v>-0.87349769999999904</v>
      </c>
      <c r="P1689">
        <v>-0.66437389999999996</v>
      </c>
      <c r="Q1689">
        <v>-7.5361809999999899E-3</v>
      </c>
      <c r="R1689">
        <v>-0.74736269999999905</v>
      </c>
      <c r="S1689">
        <v>-3.1472630000000001</v>
      </c>
      <c r="T1689">
        <v>-0.67633080000000001</v>
      </c>
      <c r="U1689">
        <v>-1.241241</v>
      </c>
      <c r="V1689">
        <v>0.2167752</v>
      </c>
      <c r="W1689">
        <v>3.143131E-3</v>
      </c>
      <c r="X1689">
        <v>0.97621650000000004</v>
      </c>
      <c r="Y1689">
        <v>0.61253299999999999</v>
      </c>
      <c r="Z1689">
        <v>0.2049909</v>
      </c>
      <c r="AA1689">
        <v>0.76340160000000001</v>
      </c>
      <c r="AB1689">
        <v>21</v>
      </c>
      <c r="AC1689">
        <v>-5.0151000000000101</v>
      </c>
      <c r="AD1689">
        <v>-1.1026923403969999</v>
      </c>
      <c r="AE1689">
        <v>-1.8396999999999899</v>
      </c>
      <c r="AF1689">
        <v>3.3433981026824702</v>
      </c>
      <c r="AG1689">
        <v>-1.1026923403969999</v>
      </c>
      <c r="AH1689">
        <v>3.88234520206468</v>
      </c>
      <c r="AI1689">
        <v>102.145914386811</v>
      </c>
      <c r="AJ1689">
        <v>49.265626410411997</v>
      </c>
      <c r="AK1689">
        <v>5.2408821336284204</v>
      </c>
      <c r="AL1689">
        <v>89.819911564652699</v>
      </c>
      <c r="AM1689">
        <v>77.480242035779099</v>
      </c>
      <c r="AN1689">
        <v>1.0000000107398801</v>
      </c>
    </row>
    <row r="1690" spans="1:40" x14ac:dyDescent="0.25">
      <c r="A1690" t="str">
        <f>"20190312154829208"</f>
        <v>20190312154829208</v>
      </c>
      <c r="B1690" t="str">
        <f>"1552376909198248"</f>
        <v>1552376909198248</v>
      </c>
      <c r="C1690" t="s">
        <v>40</v>
      </c>
      <c r="D1690">
        <v>5.3586229999999997</v>
      </c>
      <c r="E1690">
        <v>0.69721440000000001</v>
      </c>
      <c r="F1690" t="s">
        <v>49</v>
      </c>
      <c r="G1690">
        <v>-199.8424</v>
      </c>
      <c r="H1690" s="1">
        <v>1.641291E-6</v>
      </c>
      <c r="I1690">
        <v>290.35489999999999</v>
      </c>
      <c r="J1690">
        <v>-195.11449999999999</v>
      </c>
      <c r="K1690">
        <v>1.102622</v>
      </c>
      <c r="L1690">
        <v>292.01389999999998</v>
      </c>
      <c r="M1690">
        <v>-0.49747970000000002</v>
      </c>
      <c r="N1690">
        <v>0</v>
      </c>
      <c r="O1690">
        <v>-0.86734769999999894</v>
      </c>
      <c r="P1690">
        <v>-0.67484919999999904</v>
      </c>
      <c r="Q1690">
        <v>-7.3195069999999899E-3</v>
      </c>
      <c r="R1690">
        <v>-0.73791949999999995</v>
      </c>
      <c r="S1690">
        <v>-3.1601409999999999</v>
      </c>
      <c r="T1690">
        <v>-0.71954659999999904</v>
      </c>
      <c r="U1690">
        <v>-1.1975709999999999</v>
      </c>
      <c r="V1690">
        <v>0.2183475</v>
      </c>
      <c r="W1690">
        <v>3.3195590000000001E-3</v>
      </c>
      <c r="X1690">
        <v>0.97586539999999999</v>
      </c>
      <c r="Y1690">
        <v>0.61026169999999902</v>
      </c>
      <c r="Z1690">
        <v>0.2172888</v>
      </c>
      <c r="AA1690">
        <v>0.76181769999999904</v>
      </c>
      <c r="AB1690">
        <v>21</v>
      </c>
      <c r="AC1690">
        <v>-4.7279</v>
      </c>
      <c r="AD1690">
        <v>-1.102620358709</v>
      </c>
      <c r="AE1690">
        <v>-1.65899999999999</v>
      </c>
      <c r="AF1690">
        <v>3.1244696249010699</v>
      </c>
      <c r="AG1690">
        <v>-1.102620358709</v>
      </c>
      <c r="AH1690">
        <v>3.6162606838759599</v>
      </c>
      <c r="AI1690">
        <v>102.99182378861801</v>
      </c>
      <c r="AJ1690">
        <v>49.1727994652299</v>
      </c>
      <c r="AK1690">
        <v>4.9046328533455004</v>
      </c>
      <c r="AL1690">
        <v>89.809802923404106</v>
      </c>
      <c r="AM1690">
        <v>77.387936670200702</v>
      </c>
      <c r="AN1690">
        <v>0.99999996457268103</v>
      </c>
    </row>
    <row r="1691" spans="1:40" x14ac:dyDescent="0.25">
      <c r="A1691" t="str">
        <f>"20190312154829232"</f>
        <v>20190312154829232</v>
      </c>
      <c r="B1691" t="str">
        <f>"1552376909227528"</f>
        <v>1552376909227528</v>
      </c>
      <c r="C1691" t="s">
        <v>40</v>
      </c>
      <c r="D1691">
        <v>5.2079420000000001</v>
      </c>
      <c r="E1691">
        <v>0.68974449999999998</v>
      </c>
      <c r="F1691" t="s">
        <v>49</v>
      </c>
      <c r="G1691">
        <v>-199.8758</v>
      </c>
      <c r="H1691" s="1">
        <v>1.651169E-6</v>
      </c>
      <c r="I1691">
        <v>290.28210000000001</v>
      </c>
      <c r="J1691">
        <v>-195.24109999999999</v>
      </c>
      <c r="K1691">
        <v>1.102557</v>
      </c>
      <c r="L1691">
        <v>291.82569999999998</v>
      </c>
      <c r="M1691">
        <v>-0.50926139999999998</v>
      </c>
      <c r="N1691">
        <v>0</v>
      </c>
      <c r="O1691">
        <v>-0.86048230000000003</v>
      </c>
      <c r="P1691">
        <v>-0.68584060000000002</v>
      </c>
      <c r="Q1691">
        <v>-6.8711319999999899E-3</v>
      </c>
      <c r="R1691">
        <v>-0.72771969999999997</v>
      </c>
      <c r="S1691">
        <v>-3.1747589999999999</v>
      </c>
      <c r="T1691">
        <v>-0.73521409999999998</v>
      </c>
      <c r="U1691">
        <v>-1.154755</v>
      </c>
      <c r="V1691">
        <v>0.21968219999999999</v>
      </c>
      <c r="W1691">
        <v>3.7358360000000002E-3</v>
      </c>
      <c r="X1691">
        <v>0.9755644</v>
      </c>
      <c r="Y1691">
        <v>0.60883690000000001</v>
      </c>
      <c r="Z1691">
        <v>0.22127359999999999</v>
      </c>
      <c r="AA1691">
        <v>0.76181080000000001</v>
      </c>
      <c r="AB1691">
        <v>21</v>
      </c>
      <c r="AC1691">
        <v>-4.6346999999999996</v>
      </c>
      <c r="AD1691">
        <v>-1.102555348831</v>
      </c>
      <c r="AE1691">
        <v>-1.5435999999999599</v>
      </c>
      <c r="AF1691">
        <v>3.0471135290233602</v>
      </c>
      <c r="AG1691">
        <v>-1.102555348831</v>
      </c>
      <c r="AH1691">
        <v>3.5101146201837099</v>
      </c>
      <c r="AI1691">
        <v>103.34396075591501</v>
      </c>
      <c r="AJ1691">
        <v>49.038909829106203</v>
      </c>
      <c r="AK1691">
        <v>4.7771784353131004</v>
      </c>
      <c r="AL1691">
        <v>89.785951879624804</v>
      </c>
      <c r="AM1691">
        <v>77.309543001944107</v>
      </c>
      <c r="AN1691">
        <v>1.0000000620074001</v>
      </c>
    </row>
    <row r="1692" spans="1:40" x14ac:dyDescent="0.25">
      <c r="A1692" t="str">
        <f>"20190312154829253"</f>
        <v>20190312154829253</v>
      </c>
      <c r="B1692" t="str">
        <f>"1552376909248024"</f>
        <v>1552376909248024</v>
      </c>
      <c r="C1692" t="s">
        <v>40</v>
      </c>
      <c r="D1692">
        <v>5.2155709999999997</v>
      </c>
      <c r="E1692">
        <v>0.6902509</v>
      </c>
      <c r="F1692" t="s">
        <v>49</v>
      </c>
      <c r="G1692">
        <v>-199.76609999999999</v>
      </c>
      <c r="H1692" s="1">
        <v>1.6798129999999999E-6</v>
      </c>
      <c r="I1692">
        <v>290.17469999999997</v>
      </c>
      <c r="J1692">
        <v>-195.35429999999999</v>
      </c>
      <c r="K1692">
        <v>1.1025020000000001</v>
      </c>
      <c r="L1692">
        <v>291.66180000000003</v>
      </c>
      <c r="M1692">
        <v>-0.51965139999999999</v>
      </c>
      <c r="N1692">
        <v>0</v>
      </c>
      <c r="O1692">
        <v>-0.85424719999999998</v>
      </c>
      <c r="P1692">
        <v>-0.69575869999999995</v>
      </c>
      <c r="Q1692">
        <v>-6.0693539999999999E-3</v>
      </c>
      <c r="R1692">
        <v>-0.71825000000000006</v>
      </c>
      <c r="S1692">
        <v>-3.1478419999999998</v>
      </c>
      <c r="T1692">
        <v>-0.76698319999999998</v>
      </c>
      <c r="U1692">
        <v>-1.1485289999999999</v>
      </c>
      <c r="V1692">
        <v>0.22125400000000001</v>
      </c>
      <c r="W1692">
        <v>4.5030599999999997E-3</v>
      </c>
      <c r="X1692">
        <v>0.97520580000000001</v>
      </c>
      <c r="Y1692">
        <v>0.59616169999999902</v>
      </c>
      <c r="Z1692">
        <v>0.2306983</v>
      </c>
      <c r="AA1692">
        <v>0.76900550000000001</v>
      </c>
      <c r="AB1692">
        <v>21</v>
      </c>
      <c r="AC1692">
        <v>-4.4118000000000004</v>
      </c>
      <c r="AD1692">
        <v>-1.1025003201870001</v>
      </c>
      <c r="AE1692">
        <v>-1.48710000000005</v>
      </c>
      <c r="AF1692">
        <v>2.8372252428730498</v>
      </c>
      <c r="AG1692">
        <v>-1.1025003201870001</v>
      </c>
      <c r="AH1692">
        <v>3.3741350384922901</v>
      </c>
      <c r="AI1692">
        <v>104.04091689129299</v>
      </c>
      <c r="AJ1692">
        <v>49.940365290170803</v>
      </c>
      <c r="AK1692">
        <v>4.5442426533790901</v>
      </c>
      <c r="AL1692">
        <v>89.741992790293693</v>
      </c>
      <c r="AM1692">
        <v>77.217170838712704</v>
      </c>
      <c r="AN1692">
        <v>0.99999998120950095</v>
      </c>
    </row>
    <row r="1693" spans="1:40" x14ac:dyDescent="0.25">
      <c r="A1693" t="str">
        <f>"20190312154829278"</f>
        <v>20190312154829278</v>
      </c>
      <c r="B1693" t="str">
        <f>"1552376909267544"</f>
        <v>1552376909267544</v>
      </c>
      <c r="C1693" t="s">
        <v>40</v>
      </c>
      <c r="D1693">
        <v>5.2252799999999997</v>
      </c>
      <c r="E1693">
        <v>0.68963809999999903</v>
      </c>
      <c r="F1693" t="s">
        <v>49</v>
      </c>
      <c r="G1693">
        <v>-200.17230000000001</v>
      </c>
      <c r="H1693" s="1">
        <v>1.801514E-6</v>
      </c>
      <c r="I1693">
        <v>289.98090000000002</v>
      </c>
      <c r="J1693">
        <v>-195.48990000000001</v>
      </c>
      <c r="K1693">
        <v>1.102441</v>
      </c>
      <c r="L1693">
        <v>291.47149999999999</v>
      </c>
      <c r="M1693">
        <v>-0.5319026</v>
      </c>
      <c r="N1693">
        <v>0</v>
      </c>
      <c r="O1693">
        <v>-0.84667250000000005</v>
      </c>
      <c r="P1693">
        <v>-0.70685189999999998</v>
      </c>
      <c r="Q1693">
        <v>-4.7714890000000003E-3</v>
      </c>
      <c r="R1693">
        <v>-0.70734580000000002</v>
      </c>
      <c r="S1693">
        <v>-3.1653899999999999</v>
      </c>
      <c r="T1693">
        <v>-0.724333</v>
      </c>
      <c r="U1693">
        <v>-1.1043700000000001</v>
      </c>
      <c r="V1693">
        <v>0.22240180000000001</v>
      </c>
      <c r="W1693">
        <v>5.7738149999999999E-3</v>
      </c>
      <c r="X1693">
        <v>0.97493799999999997</v>
      </c>
      <c r="Y1693">
        <v>0.59879799999999905</v>
      </c>
      <c r="Z1693">
        <v>0.21769340000000001</v>
      </c>
      <c r="AA1693">
        <v>0.77074679999999995</v>
      </c>
      <c r="AB1693">
        <v>21</v>
      </c>
      <c r="AC1693">
        <v>-4.6824000000000003</v>
      </c>
      <c r="AD1693">
        <v>-1.102439198486</v>
      </c>
      <c r="AE1693">
        <v>-1.4905999999999699</v>
      </c>
      <c r="AF1693">
        <v>3.0199598292240299</v>
      </c>
      <c r="AG1693">
        <v>-1.102439198486</v>
      </c>
      <c r="AH1693">
        <v>3.57320444727445</v>
      </c>
      <c r="AI1693">
        <v>103.259388183295</v>
      </c>
      <c r="AJ1693">
        <v>49.796558131529501</v>
      </c>
      <c r="AK1693">
        <v>4.8065912639319803</v>
      </c>
      <c r="AL1693">
        <v>89.669182930957803</v>
      </c>
      <c r="AM1693">
        <v>77.149640604690305</v>
      </c>
      <c r="AN1693">
        <v>1.00000000071344</v>
      </c>
    </row>
    <row r="1694" spans="1:40" x14ac:dyDescent="0.25">
      <c r="A1694" t="str">
        <f>"20190312154829300"</f>
        <v>20190312154829300</v>
      </c>
      <c r="B1694" t="str">
        <f>"1552376909297801"</f>
        <v>1552376909297801</v>
      </c>
      <c r="C1694" t="s">
        <v>40</v>
      </c>
      <c r="D1694">
        <v>5.2626609999999996</v>
      </c>
      <c r="E1694">
        <v>0.68789060000000002</v>
      </c>
      <c r="F1694" t="s">
        <v>49</v>
      </c>
      <c r="G1694">
        <v>-200.54050000000001</v>
      </c>
      <c r="H1694" s="1">
        <v>1.9967420000000002E-6</v>
      </c>
      <c r="I1694">
        <v>289.78879999999998</v>
      </c>
      <c r="J1694">
        <v>-195.62029999999999</v>
      </c>
      <c r="K1694">
        <v>1.1023750000000001</v>
      </c>
      <c r="L1694">
        <v>291.29399999999998</v>
      </c>
      <c r="M1694">
        <v>-0.54350189999999998</v>
      </c>
      <c r="N1694">
        <v>0</v>
      </c>
      <c r="O1694">
        <v>-0.83927320000000005</v>
      </c>
      <c r="P1694">
        <v>-0.71691019999999905</v>
      </c>
      <c r="Q1694">
        <v>-3.1980210000000001E-3</v>
      </c>
      <c r="R1694">
        <v>-0.69715850000000001</v>
      </c>
      <c r="S1694">
        <v>-3.1794889999999998</v>
      </c>
      <c r="T1694">
        <v>-0.69402169999999996</v>
      </c>
      <c r="U1694">
        <v>-1.0592649999999999</v>
      </c>
      <c r="V1694">
        <v>0.22297610000000001</v>
      </c>
      <c r="W1694">
        <v>7.3311319999999998E-3</v>
      </c>
      <c r="X1694">
        <v>0.97479640000000001</v>
      </c>
      <c r="Y1694">
        <v>0.60092199999999996</v>
      </c>
      <c r="Z1694">
        <v>0.20841119999999999</v>
      </c>
      <c r="AA1694">
        <v>0.77165899999999998</v>
      </c>
      <c r="AB1694">
        <v>21</v>
      </c>
      <c r="AC1694">
        <v>-4.9202000000000199</v>
      </c>
      <c r="AD1694">
        <v>-1.1023730032579999</v>
      </c>
      <c r="AE1694">
        <v>-1.5052000000000501</v>
      </c>
      <c r="AF1694">
        <v>3.1663439368403399</v>
      </c>
      <c r="AG1694">
        <v>-1.1023730032579999</v>
      </c>
      <c r="AH1694">
        <v>3.7650324998435099</v>
      </c>
      <c r="AI1694">
        <v>102.63039823023</v>
      </c>
      <c r="AJ1694">
        <v>49.936595903699001</v>
      </c>
      <c r="AK1694">
        <v>5.0414710045338502</v>
      </c>
      <c r="AL1694">
        <v>89.579953337394699</v>
      </c>
      <c r="AM1694">
        <v>77.115754463088606</v>
      </c>
      <c r="AN1694">
        <v>1.00000005406028</v>
      </c>
    </row>
    <row r="1695" spans="1:40" x14ac:dyDescent="0.25">
      <c r="A1695" t="str">
        <f>"20190312154829322"</f>
        <v>20190312154829322</v>
      </c>
      <c r="B1695" t="str">
        <f>"1552376909317321"</f>
        <v>1552376909317321</v>
      </c>
      <c r="C1695" t="s">
        <v>40</v>
      </c>
      <c r="D1695">
        <v>5.2518409999999998</v>
      </c>
      <c r="E1695">
        <v>0.68652349999999995</v>
      </c>
      <c r="F1695" t="s">
        <v>49</v>
      </c>
      <c r="G1695">
        <v>-200.89680000000001</v>
      </c>
      <c r="H1695" s="1">
        <v>2.1791270000000001E-6</v>
      </c>
      <c r="I1695">
        <v>289.59840000000003</v>
      </c>
      <c r="J1695">
        <v>-195.7405</v>
      </c>
      <c r="K1695">
        <v>1.1023099999999999</v>
      </c>
      <c r="L1695">
        <v>291.1352</v>
      </c>
      <c r="M1695">
        <v>-0.55403599999999997</v>
      </c>
      <c r="N1695">
        <v>0</v>
      </c>
      <c r="O1695">
        <v>-0.83235630000000005</v>
      </c>
      <c r="P1695">
        <v>-0.72589590000000004</v>
      </c>
      <c r="Q1695">
        <v>-2.846272E-3</v>
      </c>
      <c r="R1695">
        <v>-0.68779880000000004</v>
      </c>
      <c r="S1695">
        <v>-3.1860200000000001</v>
      </c>
      <c r="T1695">
        <v>-0.66563419999999995</v>
      </c>
      <c r="U1695">
        <v>-1.0238339999999999</v>
      </c>
      <c r="V1695">
        <v>0.22334670000000001</v>
      </c>
      <c r="W1695">
        <v>7.6696759999999899E-3</v>
      </c>
      <c r="X1695">
        <v>0.97470889999999999</v>
      </c>
      <c r="Y1695">
        <v>0.60110799999999998</v>
      </c>
      <c r="Z1695">
        <v>0.19977410000000001</v>
      </c>
      <c r="AA1695">
        <v>0.77379549999999997</v>
      </c>
      <c r="AB1695">
        <v>21</v>
      </c>
      <c r="AC1695">
        <v>-5.1563000000000097</v>
      </c>
      <c r="AD1695">
        <v>-1.1023078208729999</v>
      </c>
      <c r="AE1695">
        <v>-1.53679999999997</v>
      </c>
      <c r="AF1695">
        <v>3.3022229678391799</v>
      </c>
      <c r="AG1695">
        <v>-1.1023078208729999</v>
      </c>
      <c r="AH1695">
        <v>3.96978704872215</v>
      </c>
      <c r="AI1695">
        <v>102.050180828523</v>
      </c>
      <c r="AJ1695">
        <v>50.245001448877197</v>
      </c>
      <c r="AK1695">
        <v>5.2800538135027102</v>
      </c>
      <c r="AL1695">
        <v>89.56055562924</v>
      </c>
      <c r="AM1695">
        <v>77.093936724503905</v>
      </c>
      <c r="AN1695">
        <v>1.00000000603502</v>
      </c>
    </row>
    <row r="1696" spans="1:40" x14ac:dyDescent="0.25">
      <c r="A1696" t="str">
        <f>"20190312154829343"</f>
        <v>20190312154829343</v>
      </c>
      <c r="B1696" t="str">
        <f>"1552376909337817"</f>
        <v>1552376909337817</v>
      </c>
      <c r="C1696" t="s">
        <v>40</v>
      </c>
      <c r="D1696">
        <v>5.217371</v>
      </c>
      <c r="E1696">
        <v>0.6858706</v>
      </c>
      <c r="F1696" t="s">
        <v>49</v>
      </c>
      <c r="G1696">
        <v>-201.12110000000001</v>
      </c>
      <c r="H1696" s="1">
        <v>2.2901619999999999E-6</v>
      </c>
      <c r="I1696">
        <v>289.46620000000001</v>
      </c>
      <c r="J1696">
        <v>-195.87020000000001</v>
      </c>
      <c r="K1696">
        <v>1.102236</v>
      </c>
      <c r="L1696">
        <v>290.96859999999998</v>
      </c>
      <c r="M1696">
        <v>-0.565237199999999</v>
      </c>
      <c r="N1696">
        <v>0</v>
      </c>
      <c r="O1696">
        <v>-0.82478999999999902</v>
      </c>
      <c r="P1696">
        <v>-0.73474719999999905</v>
      </c>
      <c r="Q1696">
        <v>-2.7707869999999998E-3</v>
      </c>
      <c r="R1696">
        <v>-0.67833500000000002</v>
      </c>
      <c r="S1696">
        <v>-3.1921080000000002</v>
      </c>
      <c r="T1696">
        <v>-0.65395689999999995</v>
      </c>
      <c r="U1696">
        <v>-0.99011229999999995</v>
      </c>
      <c r="V1696">
        <v>0.22280349999999999</v>
      </c>
      <c r="W1696">
        <v>7.7512129999999999E-3</v>
      </c>
      <c r="X1696">
        <v>0.97483249999999999</v>
      </c>
      <c r="Y1696">
        <v>0.59912169999999998</v>
      </c>
      <c r="Z1696">
        <v>0.1957479</v>
      </c>
      <c r="AA1696">
        <v>0.77636079999999996</v>
      </c>
      <c r="AB1696">
        <v>21</v>
      </c>
      <c r="AC1696">
        <v>-5.2508999999999997</v>
      </c>
      <c r="AD1696">
        <v>-1.102233709838</v>
      </c>
      <c r="AE1696">
        <v>-1.50239999999996</v>
      </c>
      <c r="AF1696">
        <v>3.3458030095606199</v>
      </c>
      <c r="AG1696">
        <v>-1.102233709838</v>
      </c>
      <c r="AH1696">
        <v>4.0429813779052299</v>
      </c>
      <c r="AI1696">
        <v>101.861680953827</v>
      </c>
      <c r="AJ1696">
        <v>50.390258964061601</v>
      </c>
      <c r="AK1696">
        <v>5.3623703109703902</v>
      </c>
      <c r="AL1696">
        <v>89.555883735971307</v>
      </c>
      <c r="AM1696">
        <v>77.125856243691004</v>
      </c>
      <c r="AN1696">
        <v>0.99999994198573405</v>
      </c>
    </row>
    <row r="1697" spans="1:40" x14ac:dyDescent="0.25">
      <c r="A1697" t="str">
        <f>"20190312154829366"</f>
        <v>20190312154829366</v>
      </c>
      <c r="B1697" t="str">
        <f>"1552376909357337"</f>
        <v>1552376909357337</v>
      </c>
      <c r="C1697" t="s">
        <v>40</v>
      </c>
      <c r="D1697">
        <v>5.2477939999999998</v>
      </c>
      <c r="E1697">
        <v>0.67585090000000003</v>
      </c>
      <c r="F1697" t="s">
        <v>49</v>
      </c>
      <c r="G1697">
        <v>-201.28890000000001</v>
      </c>
      <c r="H1697" s="1">
        <v>2.3742620000000001E-6</v>
      </c>
      <c r="I1697">
        <v>289.35539999999997</v>
      </c>
      <c r="J1697">
        <v>-195.99700000000001</v>
      </c>
      <c r="K1697">
        <v>1.102169</v>
      </c>
      <c r="L1697">
        <v>290.81049999999999</v>
      </c>
      <c r="M1697">
        <v>-0.57602180000000003</v>
      </c>
      <c r="N1697">
        <v>0</v>
      </c>
      <c r="O1697">
        <v>-0.81729419999999897</v>
      </c>
      <c r="P1697">
        <v>-0.74315229999999999</v>
      </c>
      <c r="Q1697">
        <v>-3.0538179999999998E-3</v>
      </c>
      <c r="R1697">
        <v>-0.66911560000000003</v>
      </c>
      <c r="S1697">
        <v>-3.2008359999999998</v>
      </c>
      <c r="T1697">
        <v>-0.65109130000000004</v>
      </c>
      <c r="U1697">
        <v>-0.95291139999999996</v>
      </c>
      <c r="V1697">
        <v>0.2221572</v>
      </c>
      <c r="W1697">
        <v>7.4779929999999996E-3</v>
      </c>
      <c r="X1697">
        <v>0.97498220000000002</v>
      </c>
      <c r="Y1697">
        <v>0.59785690000000002</v>
      </c>
      <c r="Z1697">
        <v>0.19423370000000001</v>
      </c>
      <c r="AA1697">
        <v>0.77771489999999999</v>
      </c>
      <c r="AB1697">
        <v>21</v>
      </c>
      <c r="AC1697">
        <v>-5.2918999999999903</v>
      </c>
      <c r="AD1697">
        <v>-1.1021666257380001</v>
      </c>
      <c r="AE1697">
        <v>-1.4551000000000101</v>
      </c>
      <c r="AF1697">
        <v>3.3520830979193899</v>
      </c>
      <c r="AG1697">
        <v>-1.1021666257380001</v>
      </c>
      <c r="AH1697">
        <v>4.0736920099914897</v>
      </c>
      <c r="AI1697">
        <v>101.80048714703599</v>
      </c>
      <c r="AJ1697">
        <v>50.550361164723903</v>
      </c>
      <c r="AK1697">
        <v>5.3894525657543397</v>
      </c>
      <c r="AL1697">
        <v>89.571538575420803</v>
      </c>
      <c r="AM1697">
        <v>77.163867781267896</v>
      </c>
      <c r="AN1697">
        <v>1.0000000161039899</v>
      </c>
    </row>
    <row r="1698" spans="1:40" x14ac:dyDescent="0.25">
      <c r="A1698" t="str">
        <f>"20190312154829388"</f>
        <v>20190312154829388</v>
      </c>
      <c r="B1698" t="str">
        <f>"1552376909377833"</f>
        <v>1552376909377833</v>
      </c>
      <c r="C1698" t="s">
        <v>40</v>
      </c>
      <c r="D1698">
        <v>5.2661819999999997</v>
      </c>
      <c r="E1698">
        <v>0.67426439999999999</v>
      </c>
      <c r="F1698" t="s">
        <v>49</v>
      </c>
      <c r="G1698">
        <v>-200.65950000000001</v>
      </c>
      <c r="H1698" s="1">
        <v>2.0936609999999999E-6</v>
      </c>
      <c r="I1698">
        <v>289.37209999999999</v>
      </c>
      <c r="J1698">
        <v>-196.13399999999999</v>
      </c>
      <c r="K1698">
        <v>1.1021129999999999</v>
      </c>
      <c r="L1698">
        <v>290.64499999999998</v>
      </c>
      <c r="M1698">
        <v>-0.58746569999999998</v>
      </c>
      <c r="N1698">
        <v>0</v>
      </c>
      <c r="O1698">
        <v>-0.80910689999999996</v>
      </c>
      <c r="P1698">
        <v>-0.75185239999999998</v>
      </c>
      <c r="Q1698">
        <v>-3.5920930000000002E-3</v>
      </c>
      <c r="R1698">
        <v>-0.65932199999999996</v>
      </c>
      <c r="S1698">
        <v>-3.1569060000000002</v>
      </c>
      <c r="T1698">
        <v>-0.74627449999999995</v>
      </c>
      <c r="U1698">
        <v>-0.97390750000000004</v>
      </c>
      <c r="V1698">
        <v>0.2211998</v>
      </c>
      <c r="W1698">
        <v>6.9606379999999999E-3</v>
      </c>
      <c r="X1698">
        <v>0.97520370000000001</v>
      </c>
      <c r="Y1698">
        <v>0.57232899999999998</v>
      </c>
      <c r="Z1698">
        <v>0.2208572</v>
      </c>
      <c r="AA1698">
        <v>0.78972249999999999</v>
      </c>
      <c r="AB1698">
        <v>21</v>
      </c>
      <c r="AC1698">
        <v>-4.5254999999999903</v>
      </c>
      <c r="AD1698">
        <v>-1.102110906339</v>
      </c>
      <c r="AE1698">
        <v>-1.2728999999999899</v>
      </c>
      <c r="AF1698">
        <v>2.7623438860834399</v>
      </c>
      <c r="AG1698">
        <v>-1.102110906339</v>
      </c>
      <c r="AH1698">
        <v>3.49673081999696</v>
      </c>
      <c r="AI1698">
        <v>103.891691314052</v>
      </c>
      <c r="AJ1698">
        <v>51.692005594579797</v>
      </c>
      <c r="AK1698">
        <v>4.5904595219183104</v>
      </c>
      <c r="AL1698">
        <v>89.601181611011398</v>
      </c>
      <c r="AM1698">
        <v>77.220172754874099</v>
      </c>
      <c r="AN1698">
        <v>1.0000000292475399</v>
      </c>
    </row>
    <row r="1699" spans="1:40" x14ac:dyDescent="0.25">
      <c r="A1699" t="str">
        <f>"20190312154829410"</f>
        <v>20190312154829410</v>
      </c>
      <c r="B1699" t="str">
        <f>"1552376909407112"</f>
        <v>1552376909407112</v>
      </c>
      <c r="C1699" t="s">
        <v>40</v>
      </c>
      <c r="D1699">
        <v>5.2994890000000003</v>
      </c>
      <c r="E1699">
        <v>0.67320329999999995</v>
      </c>
      <c r="F1699" t="s">
        <v>49</v>
      </c>
      <c r="G1699">
        <v>-200.78309999999999</v>
      </c>
      <c r="H1699" s="1">
        <v>2.1581920000000001E-6</v>
      </c>
      <c r="I1699">
        <v>289.26100000000002</v>
      </c>
      <c r="J1699">
        <v>-196.26990000000001</v>
      </c>
      <c r="K1699">
        <v>1.1020669999999999</v>
      </c>
      <c r="L1699">
        <v>290.48540000000003</v>
      </c>
      <c r="M1699">
        <v>-0.59861359999999997</v>
      </c>
      <c r="N1699">
        <v>0</v>
      </c>
      <c r="O1699">
        <v>-0.80089390000000005</v>
      </c>
      <c r="P1699">
        <v>-0.76058210000000004</v>
      </c>
      <c r="Q1699">
        <v>-3.8878290000000002E-3</v>
      </c>
      <c r="R1699">
        <v>-0.64923050000000004</v>
      </c>
      <c r="S1699">
        <v>-3.1613009999999999</v>
      </c>
      <c r="T1699">
        <v>-0.74941899999999995</v>
      </c>
      <c r="U1699">
        <v>-0.94107059999999998</v>
      </c>
      <c r="V1699">
        <v>0.2207028</v>
      </c>
      <c r="W1699">
        <v>6.681696E-3</v>
      </c>
      <c r="X1699">
        <v>0.97531820000000002</v>
      </c>
      <c r="Y1699">
        <v>0.56884089999999998</v>
      </c>
      <c r="Z1699">
        <v>0.22078220000000001</v>
      </c>
      <c r="AA1699">
        <v>0.79225959999999995</v>
      </c>
      <c r="AB1699">
        <v>21</v>
      </c>
      <c r="AC1699">
        <v>-4.5131999999999799</v>
      </c>
      <c r="AD1699">
        <v>-1.1020648418079999</v>
      </c>
      <c r="AE1699">
        <v>-1.2244000000000499</v>
      </c>
      <c r="AF1699">
        <v>2.7303422559592199</v>
      </c>
      <c r="AG1699">
        <v>-1.1020648418079999</v>
      </c>
      <c r="AH1699">
        <v>3.4889285918705699</v>
      </c>
      <c r="AI1699">
        <v>103.96921137621401</v>
      </c>
      <c r="AJ1699">
        <v>51.954216271927002</v>
      </c>
      <c r="AK1699">
        <v>4.56529719398395</v>
      </c>
      <c r="AL1699">
        <v>89.617164163325</v>
      </c>
      <c r="AM1699">
        <v>77.249395170809606</v>
      </c>
      <c r="AN1699">
        <v>0.99999998112025801</v>
      </c>
    </row>
    <row r="1700" spans="1:40" x14ac:dyDescent="0.25">
      <c r="A1700" t="str">
        <f>"20190312154829432"</f>
        <v>20190312154829432</v>
      </c>
      <c r="B1700" t="str">
        <f>"1552376909427608"</f>
        <v>1552376909427608</v>
      </c>
      <c r="C1700" t="s">
        <v>40</v>
      </c>
      <c r="D1700">
        <v>5.3225230000000003</v>
      </c>
      <c r="E1700">
        <v>0.6721047</v>
      </c>
      <c r="F1700" t="s">
        <v>49</v>
      </c>
      <c r="G1700">
        <v>-200.8741</v>
      </c>
      <c r="H1700" s="1">
        <v>2.206502E-6</v>
      </c>
      <c r="I1700">
        <v>289.17</v>
      </c>
      <c r="J1700">
        <v>-196.4051</v>
      </c>
      <c r="K1700">
        <v>1.1020350000000001</v>
      </c>
      <c r="L1700">
        <v>290.3313</v>
      </c>
      <c r="M1700">
        <v>-0.60948789999999997</v>
      </c>
      <c r="N1700">
        <v>0</v>
      </c>
      <c r="O1700">
        <v>-0.7926493</v>
      </c>
      <c r="P1700">
        <v>-0.76933790000000002</v>
      </c>
      <c r="Q1700">
        <v>-4.5777669999999999E-3</v>
      </c>
      <c r="R1700">
        <v>-0.6388258</v>
      </c>
      <c r="S1700">
        <v>-3.167923</v>
      </c>
      <c r="T1700">
        <v>-0.75828240000000002</v>
      </c>
      <c r="U1700">
        <v>-0.90505979999999997</v>
      </c>
      <c r="V1700">
        <v>0.2206417</v>
      </c>
      <c r="W1700">
        <v>6.0055550000000001E-3</v>
      </c>
      <c r="X1700">
        <v>0.97533639999999999</v>
      </c>
      <c r="Y1700">
        <v>0.56601060000000003</v>
      </c>
      <c r="Z1700">
        <v>0.2222404</v>
      </c>
      <c r="AA1700">
        <v>0.79387730000000001</v>
      </c>
      <c r="AB1700">
        <v>21</v>
      </c>
      <c r="AC1700">
        <v>-4.4689999999999896</v>
      </c>
      <c r="AD1700">
        <v>-1.1020327934980001</v>
      </c>
      <c r="AE1700">
        <v>-1.16129999999998</v>
      </c>
      <c r="AF1700">
        <v>2.6821002154672899</v>
      </c>
      <c r="AG1700">
        <v>-1.1020327934980001</v>
      </c>
      <c r="AH1700">
        <v>3.4483027184915498</v>
      </c>
      <c r="AI1700">
        <v>104.15824606665799</v>
      </c>
      <c r="AJ1700">
        <v>52.124115767849503</v>
      </c>
      <c r="AK1700">
        <v>4.5054333290052</v>
      </c>
      <c r="AL1700">
        <v>89.655904962623495</v>
      </c>
      <c r="AM1700">
        <v>77.253039830050696</v>
      </c>
      <c r="AN1700">
        <v>0.99999995981735301</v>
      </c>
    </row>
    <row r="1701" spans="1:40" x14ac:dyDescent="0.25">
      <c r="A1701" t="str">
        <f>"20190312154829455"</f>
        <v>20190312154829455</v>
      </c>
      <c r="B1701" t="str">
        <f>"1552376909447128"</f>
        <v>1552376909447128</v>
      </c>
      <c r="C1701" t="s">
        <v>40</v>
      </c>
      <c r="D1701">
        <v>5.4213079999999998</v>
      </c>
      <c r="E1701">
        <v>0.67165920000000001</v>
      </c>
      <c r="F1701" t="s">
        <v>49</v>
      </c>
      <c r="G1701">
        <v>-200.96899999999999</v>
      </c>
      <c r="H1701" s="1">
        <v>2.256272E-6</v>
      </c>
      <c r="I1701">
        <v>289.08210000000003</v>
      </c>
      <c r="J1701">
        <v>-196.55199999999999</v>
      </c>
      <c r="K1701">
        <v>1.102023</v>
      </c>
      <c r="L1701">
        <v>290.16849999999999</v>
      </c>
      <c r="M1701">
        <v>-0.62106319999999904</v>
      </c>
      <c r="N1701">
        <v>0</v>
      </c>
      <c r="O1701">
        <v>-0.78361210000000003</v>
      </c>
      <c r="P1701">
        <v>-0.778690199999999</v>
      </c>
      <c r="Q1701">
        <v>-5.6633059999999999E-3</v>
      </c>
      <c r="R1701">
        <v>-0.62738289999999997</v>
      </c>
      <c r="S1701">
        <v>-3.173584</v>
      </c>
      <c r="T1701">
        <v>-0.76632440000000002</v>
      </c>
      <c r="U1701">
        <v>-0.86865230000000004</v>
      </c>
      <c r="V1701">
        <v>0.2207094</v>
      </c>
      <c r="W1701">
        <v>4.9360250000000001E-3</v>
      </c>
      <c r="X1701">
        <v>0.9753271</v>
      </c>
      <c r="Y1701">
        <v>0.56245699999999998</v>
      </c>
      <c r="Z1701">
        <v>0.22327259999999999</v>
      </c>
      <c r="AA1701">
        <v>0.79611019999999999</v>
      </c>
      <c r="AB1701">
        <v>20</v>
      </c>
      <c r="AC1701">
        <v>-4.4169999999999998</v>
      </c>
      <c r="AD1701">
        <v>-1.1020207437279901</v>
      </c>
      <c r="AE1701">
        <v>-1.0863999999999601</v>
      </c>
      <c r="AF1701">
        <v>2.6323071776158802</v>
      </c>
      <c r="AG1701">
        <v>-1.1020207437279901</v>
      </c>
      <c r="AH1701">
        <v>3.3956556605677299</v>
      </c>
      <c r="AI1701">
        <v>104.385972075068</v>
      </c>
      <c r="AJ1701">
        <v>52.217210862957103</v>
      </c>
      <c r="AK1701">
        <v>4.4355347098270501</v>
      </c>
      <c r="AL1701">
        <v>89.7171854452086</v>
      </c>
      <c r="AM1701">
        <v>77.249138886803706</v>
      </c>
      <c r="AN1701">
        <v>0.99999997779278504</v>
      </c>
    </row>
    <row r="1702" spans="1:40" x14ac:dyDescent="0.25">
      <c r="A1702" t="str">
        <f>"20190312154829480"</f>
        <v>20190312154829480</v>
      </c>
      <c r="B1702" t="str">
        <f>"1552376909477384"</f>
        <v>1552376909477384</v>
      </c>
      <c r="C1702" t="s">
        <v>40</v>
      </c>
      <c r="D1702">
        <v>5.3695170000000001</v>
      </c>
      <c r="E1702">
        <v>0.67887399999999998</v>
      </c>
      <c r="F1702" t="s">
        <v>49</v>
      </c>
      <c r="G1702">
        <v>-201.1147</v>
      </c>
      <c r="H1702" s="1">
        <v>2.3291599999999998E-6</v>
      </c>
      <c r="I1702">
        <v>288.98739999999998</v>
      </c>
      <c r="J1702">
        <v>-196.70910000000001</v>
      </c>
      <c r="K1702">
        <v>1.1020190000000001</v>
      </c>
      <c r="L1702">
        <v>289.99979999999999</v>
      </c>
      <c r="M1702">
        <v>-0.63315759999999999</v>
      </c>
      <c r="N1702">
        <v>0</v>
      </c>
      <c r="O1702">
        <v>-0.77387229999999996</v>
      </c>
      <c r="P1702">
        <v>-0.78815049999999998</v>
      </c>
      <c r="Q1702">
        <v>-6.990965E-3</v>
      </c>
      <c r="R1702">
        <v>-0.61544309999999902</v>
      </c>
      <c r="S1702">
        <v>-3.1831510000000001</v>
      </c>
      <c r="T1702">
        <v>-0.76883009999999996</v>
      </c>
      <c r="U1702">
        <v>-0.82400509999999905</v>
      </c>
      <c r="V1702">
        <v>0.2203929</v>
      </c>
      <c r="W1702">
        <v>3.6361779999999999E-3</v>
      </c>
      <c r="X1702">
        <v>0.97540439999999995</v>
      </c>
      <c r="Y1702">
        <v>0.56083660000000002</v>
      </c>
      <c r="Z1702">
        <v>0.2226455</v>
      </c>
      <c r="AA1702">
        <v>0.79742800000000003</v>
      </c>
      <c r="AB1702">
        <v>20</v>
      </c>
      <c r="AC1702">
        <v>-4.40559999999999</v>
      </c>
      <c r="AD1702">
        <v>-1.1020166708399901</v>
      </c>
      <c r="AE1702">
        <v>-1.01240000000001</v>
      </c>
      <c r="AF1702">
        <v>2.61336911705436</v>
      </c>
      <c r="AG1702">
        <v>-1.1020166708399901</v>
      </c>
      <c r="AH1702">
        <v>3.37286901630437</v>
      </c>
      <c r="AI1702">
        <v>104.481574749963</v>
      </c>
      <c r="AJ1702">
        <v>52.230730367542499</v>
      </c>
      <c r="AK1702">
        <v>4.4068565084341902</v>
      </c>
      <c r="AL1702">
        <v>89.7916618874915</v>
      </c>
      <c r="AM1702">
        <v>77.267803445315593</v>
      </c>
      <c r="AN1702">
        <v>0.99999999785010796</v>
      </c>
    </row>
    <row r="1703" spans="1:40" x14ac:dyDescent="0.25">
      <c r="A1703" t="str">
        <f>"20190312154829502"</f>
        <v>20190312154829502</v>
      </c>
      <c r="B1703" t="str">
        <f>"1552376909497880"</f>
        <v>1552376909497880</v>
      </c>
      <c r="C1703" t="s">
        <v>40</v>
      </c>
      <c r="D1703">
        <v>5.2011180000000001</v>
      </c>
      <c r="E1703">
        <v>0.68169199999999996</v>
      </c>
      <c r="F1703" t="s">
        <v>49</v>
      </c>
      <c r="G1703">
        <v>-201.32409999999999</v>
      </c>
      <c r="H1703" s="1">
        <v>2.4245339999999999E-6</v>
      </c>
      <c r="I1703">
        <v>288.95870000000002</v>
      </c>
      <c r="J1703">
        <v>-196.85570000000001</v>
      </c>
      <c r="K1703">
        <v>1.102023</v>
      </c>
      <c r="L1703">
        <v>289.84699999999998</v>
      </c>
      <c r="M1703">
        <v>-0.64417449999999998</v>
      </c>
      <c r="N1703">
        <v>0</v>
      </c>
      <c r="O1703">
        <v>-0.76472600000000002</v>
      </c>
      <c r="P1703">
        <v>-0.79731969999999996</v>
      </c>
      <c r="Q1703">
        <v>-8.2533750000000003E-3</v>
      </c>
      <c r="R1703">
        <v>-0.60350079999999995</v>
      </c>
      <c r="S1703">
        <v>-3.2304689999999998</v>
      </c>
      <c r="T1703">
        <v>-0.77141199999999999</v>
      </c>
      <c r="U1703">
        <v>-0.72875979999999996</v>
      </c>
      <c r="V1703">
        <v>0.22108439999999999</v>
      </c>
      <c r="W1703">
        <v>2.3782870000000002E-3</v>
      </c>
      <c r="X1703">
        <v>0.9752518</v>
      </c>
      <c r="Y1703">
        <v>0.57425819999999905</v>
      </c>
      <c r="Z1703">
        <v>0.2219448</v>
      </c>
      <c r="AA1703">
        <v>0.78801529999999997</v>
      </c>
      <c r="AB1703">
        <v>20</v>
      </c>
      <c r="AC1703">
        <v>-4.4683999999999697</v>
      </c>
      <c r="AD1703">
        <v>-1.102020575466</v>
      </c>
      <c r="AE1703">
        <v>-0.88829999999995801</v>
      </c>
      <c r="AF1703">
        <v>2.6879377075795401</v>
      </c>
      <c r="AG1703">
        <v>-1.102020575466</v>
      </c>
      <c r="AH1703">
        <v>3.3614656410025598</v>
      </c>
      <c r="AI1703">
        <v>104.36177593189601</v>
      </c>
      <c r="AJ1703">
        <v>51.353027647736702</v>
      </c>
      <c r="AK1703">
        <v>4.4428492799350199</v>
      </c>
      <c r="AL1703">
        <v>89.863734066802607</v>
      </c>
      <c r="AM1703">
        <v>77.227230537459903</v>
      </c>
      <c r="AN1703">
        <v>1.0000000207878199</v>
      </c>
    </row>
    <row r="1704" spans="1:40" x14ac:dyDescent="0.25">
      <c r="A1704" t="str">
        <f>"20190312154829525"</f>
        <v>20190312154829525</v>
      </c>
      <c r="B1704" t="str">
        <f>"1552376909517400"</f>
        <v>1552376909517400</v>
      </c>
      <c r="C1704" t="s">
        <v>40</v>
      </c>
      <c r="D1704">
        <v>5.2009780000000001</v>
      </c>
      <c r="E1704">
        <v>0.6834983</v>
      </c>
      <c r="F1704" t="s">
        <v>49</v>
      </c>
      <c r="G1704">
        <v>-201.5864</v>
      </c>
      <c r="H1704" s="1">
        <v>2.547218E-6</v>
      </c>
      <c r="I1704">
        <v>288.88619999999997</v>
      </c>
      <c r="J1704">
        <v>-197.0018</v>
      </c>
      <c r="K1704">
        <v>1.1020289999999999</v>
      </c>
      <c r="L1704">
        <v>289.69900000000001</v>
      </c>
      <c r="M1704">
        <v>-0.65489269999999999</v>
      </c>
      <c r="N1704">
        <v>0</v>
      </c>
      <c r="O1704">
        <v>-0.75556709999999905</v>
      </c>
      <c r="P1704">
        <v>-0.80605660000000001</v>
      </c>
      <c r="Q1704">
        <v>-9.3080349999999992E-3</v>
      </c>
      <c r="R1704">
        <v>-0.5917656</v>
      </c>
      <c r="S1704">
        <v>-3.2544710000000001</v>
      </c>
      <c r="T1704">
        <v>-0.75812419999999903</v>
      </c>
      <c r="U1704">
        <v>-0.66094969999999997</v>
      </c>
      <c r="V1704">
        <v>0.2215799</v>
      </c>
      <c r="W1704">
        <v>1.3321079999999901E-3</v>
      </c>
      <c r="X1704">
        <v>0.97514129999999999</v>
      </c>
      <c r="Y1704">
        <v>0.58104519999999904</v>
      </c>
      <c r="Z1704">
        <v>0.21710660000000001</v>
      </c>
      <c r="AA1704">
        <v>0.78437950000000001</v>
      </c>
      <c r="AB1704">
        <v>20</v>
      </c>
      <c r="AC1704">
        <v>-4.5845999999999902</v>
      </c>
      <c r="AD1704">
        <v>-1.1020264527820001</v>
      </c>
      <c r="AE1704">
        <v>-0.81280000000003805</v>
      </c>
      <c r="AF1704">
        <v>2.7764814208643598</v>
      </c>
      <c r="AG1704">
        <v>-1.1020264527820001</v>
      </c>
      <c r="AH1704">
        <v>3.4250962003372001</v>
      </c>
      <c r="AI1704">
        <v>104.033213886916</v>
      </c>
      <c r="AJ1704">
        <v>50.970781700443702</v>
      </c>
      <c r="AK1704">
        <v>4.5447327055175197</v>
      </c>
      <c r="AL1704">
        <v>89.923675810467699</v>
      </c>
      <c r="AM1704">
        <v>77.198143246644307</v>
      </c>
      <c r="AN1704">
        <v>0.999999990780711</v>
      </c>
    </row>
    <row r="1705" spans="1:40" x14ac:dyDescent="0.25">
      <c r="A1705" t="str">
        <f>"20190312154829546"</f>
        <v>20190312154829546</v>
      </c>
      <c r="B1705" t="str">
        <f>"1552376909537897"</f>
        <v>1552376909537897</v>
      </c>
      <c r="C1705" t="s">
        <v>40</v>
      </c>
      <c r="D1705">
        <v>5.2381199999999897</v>
      </c>
      <c r="E1705">
        <v>0.68497710000000001</v>
      </c>
      <c r="F1705" t="s">
        <v>49</v>
      </c>
      <c r="G1705">
        <v>-201.79939999999999</v>
      </c>
      <c r="H1705" s="1">
        <v>2.6475979999999998E-6</v>
      </c>
      <c r="I1705">
        <v>288.8184</v>
      </c>
      <c r="J1705">
        <v>-197.14500000000001</v>
      </c>
      <c r="K1705">
        <v>1.1020399999999999</v>
      </c>
      <c r="L1705">
        <v>289.5582</v>
      </c>
      <c r="M1705">
        <v>-0.66514229999999996</v>
      </c>
      <c r="N1705">
        <v>0</v>
      </c>
      <c r="O1705">
        <v>-0.74655959999999999</v>
      </c>
      <c r="P1705">
        <v>-0.81378200000000001</v>
      </c>
      <c r="Q1705">
        <v>-1.0625010000000001E-2</v>
      </c>
      <c r="R1705">
        <v>-0.58107330000000001</v>
      </c>
      <c r="S1705">
        <v>-3.2721710000000002</v>
      </c>
      <c r="T1705">
        <v>-0.75162839999999997</v>
      </c>
      <c r="U1705">
        <v>-0.60064700000000004</v>
      </c>
      <c r="V1705">
        <v>0.2211082</v>
      </c>
      <c r="W1705" s="1">
        <v>4.3978450000000002E-5</v>
      </c>
      <c r="X1705">
        <v>0.97524929999999999</v>
      </c>
      <c r="Y1705">
        <v>0.58554269999999997</v>
      </c>
      <c r="Z1705">
        <v>0.2141759</v>
      </c>
      <c r="AA1705">
        <v>0.78183659999999999</v>
      </c>
      <c r="AB1705">
        <v>20</v>
      </c>
      <c r="AC1705">
        <v>-4.6543999999999803</v>
      </c>
      <c r="AD1705">
        <v>-1.102037352402</v>
      </c>
      <c r="AE1705">
        <v>-0.73980000000000201</v>
      </c>
      <c r="AF1705">
        <v>2.82840683797926</v>
      </c>
      <c r="AG1705">
        <v>-1.102037352402</v>
      </c>
      <c r="AH1705">
        <v>3.45940992211451</v>
      </c>
      <c r="AI1705">
        <v>103.854053016477</v>
      </c>
      <c r="AJ1705">
        <v>50.7306339132844</v>
      </c>
      <c r="AK1705">
        <v>4.6023785781312396</v>
      </c>
      <c r="AL1705">
        <v>89.997480220468901</v>
      </c>
      <c r="AM1705">
        <v>77.225868973724403</v>
      </c>
      <c r="AN1705">
        <v>1.0000000175959101</v>
      </c>
    </row>
    <row r="1706" spans="1:40" x14ac:dyDescent="0.25">
      <c r="A1706" t="str">
        <f>"20190312154829567"</f>
        <v>20190312154829567</v>
      </c>
      <c r="B1706" t="str">
        <f>"1552376909557417"</f>
        <v>1552376909557417</v>
      </c>
      <c r="C1706" t="s">
        <v>40</v>
      </c>
      <c r="D1706">
        <v>5.3000239999999996</v>
      </c>
      <c r="E1706">
        <v>0.68591759999999902</v>
      </c>
      <c r="F1706" t="s">
        <v>49</v>
      </c>
      <c r="G1706">
        <v>-201.96950000000001</v>
      </c>
      <c r="H1706" s="1">
        <v>2.728432E-6</v>
      </c>
      <c r="I1706">
        <v>288.75650000000002</v>
      </c>
      <c r="J1706">
        <v>-197.2859</v>
      </c>
      <c r="K1706">
        <v>1.1020620000000001</v>
      </c>
      <c r="L1706">
        <v>289.42349999999999</v>
      </c>
      <c r="M1706">
        <v>-0.67498409999999998</v>
      </c>
      <c r="N1706">
        <v>0</v>
      </c>
      <c r="O1706">
        <v>-0.73767349999999998</v>
      </c>
      <c r="P1706">
        <v>-0.82086899999999996</v>
      </c>
      <c r="Q1706">
        <v>-1.171879E-2</v>
      </c>
      <c r="R1706">
        <v>-0.57099650000000002</v>
      </c>
      <c r="S1706">
        <v>-3.2867130000000002</v>
      </c>
      <c r="T1706">
        <v>-0.75077139999999998</v>
      </c>
      <c r="U1706">
        <v>-0.54614259999999903</v>
      </c>
      <c r="V1706">
        <v>0.22016669999999999</v>
      </c>
      <c r="W1706">
        <v>-1.011339E-3</v>
      </c>
      <c r="X1706">
        <v>0.97546169999999999</v>
      </c>
      <c r="Y1706">
        <v>0.58841449999999995</v>
      </c>
      <c r="Z1706">
        <v>0.21271960000000001</v>
      </c>
      <c r="AA1706">
        <v>0.78007609999999905</v>
      </c>
      <c r="AB1706">
        <v>20</v>
      </c>
      <c r="AC1706">
        <v>-4.68360000000001</v>
      </c>
      <c r="AD1706">
        <v>-1.102059271568</v>
      </c>
      <c r="AE1706">
        <v>-0.66699999999997295</v>
      </c>
      <c r="AF1706">
        <v>2.8504232270944301</v>
      </c>
      <c r="AG1706">
        <v>-1.102059271568</v>
      </c>
      <c r="AH1706">
        <v>3.46573884310087</v>
      </c>
      <c r="AI1706">
        <v>103.79833595429</v>
      </c>
      <c r="AJ1706">
        <v>50.564152576246599</v>
      </c>
      <c r="AK1706">
        <v>4.6206918248446902</v>
      </c>
      <c r="AL1706">
        <v>90.057945468356706</v>
      </c>
      <c r="AM1706">
        <v>77.281168640492396</v>
      </c>
      <c r="AN1706">
        <v>0.99999996338117503</v>
      </c>
    </row>
    <row r="1707" spans="1:40" x14ac:dyDescent="0.25">
      <c r="A1707" t="str">
        <f>"20190312154829588"</f>
        <v>20190312154829588</v>
      </c>
      <c r="B1707" t="str">
        <f>"1552376909577913"</f>
        <v>1552376909577913</v>
      </c>
      <c r="C1707" t="s">
        <v>40</v>
      </c>
      <c r="D1707">
        <v>5.3032050000000002</v>
      </c>
      <c r="E1707">
        <v>0.68633840000000002</v>
      </c>
      <c r="F1707" t="s">
        <v>49</v>
      </c>
      <c r="G1707">
        <v>-202.12029999999999</v>
      </c>
      <c r="H1707" s="1">
        <v>2.8008290000000001E-6</v>
      </c>
      <c r="I1707">
        <v>288.69330000000002</v>
      </c>
      <c r="J1707">
        <v>-197.43680000000001</v>
      </c>
      <c r="K1707">
        <v>1.1020970000000001</v>
      </c>
      <c r="L1707">
        <v>289.28309999999999</v>
      </c>
      <c r="M1707">
        <v>-0.6852684</v>
      </c>
      <c r="N1707">
        <v>0</v>
      </c>
      <c r="O1707">
        <v>-0.72812949999999999</v>
      </c>
      <c r="P1707">
        <v>-0.8278761</v>
      </c>
      <c r="Q1707">
        <v>-1.143913E-2</v>
      </c>
      <c r="R1707">
        <v>-0.56079460000000003</v>
      </c>
      <c r="S1707">
        <v>-3.297485</v>
      </c>
      <c r="T1707">
        <v>-0.75170349999999997</v>
      </c>
      <c r="U1707">
        <v>-0.49804690000000001</v>
      </c>
      <c r="V1707">
        <v>0.2185589</v>
      </c>
      <c r="W1707">
        <v>-6.7658559999999896E-4</v>
      </c>
      <c r="X1707">
        <v>0.97582349999999995</v>
      </c>
      <c r="Y1707">
        <v>0.58892149999999999</v>
      </c>
      <c r="Z1707">
        <v>0.21151320000000001</v>
      </c>
      <c r="AA1707">
        <v>0.78002150000000003</v>
      </c>
      <c r="AB1707">
        <v>20</v>
      </c>
      <c r="AC1707">
        <v>-4.68349999999998</v>
      </c>
      <c r="AD1707">
        <v>-1.1020941991709901</v>
      </c>
      <c r="AE1707">
        <v>-0.58979999999996802</v>
      </c>
      <c r="AF1707">
        <v>2.8509740543016799</v>
      </c>
      <c r="AG1707">
        <v>-1.1020941991709901</v>
      </c>
      <c r="AH1707">
        <v>3.4512124342865098</v>
      </c>
      <c r="AI1707">
        <v>103.830945497263</v>
      </c>
      <c r="AJ1707">
        <v>50.440603609826397</v>
      </c>
      <c r="AK1707">
        <v>4.6101553063559102</v>
      </c>
      <c r="AL1707">
        <v>90.038765503214506</v>
      </c>
      <c r="AM1707">
        <v>77.375592411589906</v>
      </c>
      <c r="AN1707">
        <v>0.99999997684476605</v>
      </c>
    </row>
    <row r="1708" spans="1:40" x14ac:dyDescent="0.25">
      <c r="A1708" t="str">
        <f>"20190312154829613"</f>
        <v>20190312154829613</v>
      </c>
      <c r="B1708" t="str">
        <f>"1552376909607192"</f>
        <v>1552376909607192</v>
      </c>
      <c r="C1708" t="s">
        <v>40</v>
      </c>
      <c r="D1708">
        <v>5.272481</v>
      </c>
      <c r="E1708">
        <v>0.68649939999999998</v>
      </c>
      <c r="F1708" t="s">
        <v>49</v>
      </c>
      <c r="G1708">
        <v>-202.37459999999999</v>
      </c>
      <c r="H1708" s="1">
        <v>2.9212749999999998E-6</v>
      </c>
      <c r="I1708">
        <v>288.60570000000001</v>
      </c>
      <c r="J1708">
        <v>-197.60050000000001</v>
      </c>
      <c r="K1708">
        <v>1.102133</v>
      </c>
      <c r="L1708">
        <v>289.13529999999997</v>
      </c>
      <c r="M1708">
        <v>-0.69614010000000004</v>
      </c>
      <c r="N1708">
        <v>0</v>
      </c>
      <c r="O1708">
        <v>-0.71774269999999996</v>
      </c>
      <c r="P1708">
        <v>-0.83555230000000003</v>
      </c>
      <c r="Q1708">
        <v>-1.0567190000000001E-2</v>
      </c>
      <c r="R1708">
        <v>-0.54930939999999995</v>
      </c>
      <c r="S1708">
        <v>-3.306244</v>
      </c>
      <c r="T1708">
        <v>-0.73793439999999999</v>
      </c>
      <c r="U1708">
        <v>-0.4536133</v>
      </c>
      <c r="V1708">
        <v>0.21738489999999999</v>
      </c>
      <c r="W1708">
        <v>2.420589E-4</v>
      </c>
      <c r="X1708">
        <v>0.97608589999999995</v>
      </c>
      <c r="Y1708">
        <v>0.58881740000000005</v>
      </c>
      <c r="Z1708">
        <v>0.20614450000000001</v>
      </c>
      <c r="AA1708">
        <v>0.78153600000000001</v>
      </c>
      <c r="AB1708">
        <v>20</v>
      </c>
      <c r="AC1708">
        <v>-4.7740999999999696</v>
      </c>
      <c r="AD1708">
        <v>-1.1021300787249999</v>
      </c>
      <c r="AE1708">
        <v>-0.52959999999995899</v>
      </c>
      <c r="AF1708">
        <v>2.9053034820087298</v>
      </c>
      <c r="AG1708">
        <v>-1.1021300787249999</v>
      </c>
      <c r="AH1708">
        <v>3.51874297001467</v>
      </c>
      <c r="AI1708">
        <v>103.578502391521</v>
      </c>
      <c r="AJ1708">
        <v>50.4546994868101</v>
      </c>
      <c r="AK1708">
        <v>4.6943616309387703</v>
      </c>
      <c r="AL1708">
        <v>89.986131046067698</v>
      </c>
      <c r="AM1708">
        <v>77.444517361374906</v>
      </c>
      <c r="AN1708">
        <v>0.99999996875966501</v>
      </c>
    </row>
    <row r="1709" spans="1:40" x14ac:dyDescent="0.25">
      <c r="A1709" t="str">
        <f>"20190312154829633"</f>
        <v>20190312154829633</v>
      </c>
      <c r="B1709" t="str">
        <f>"1552376909627688"</f>
        <v>1552376909627688</v>
      </c>
      <c r="C1709" t="s">
        <v>40</v>
      </c>
      <c r="D1709">
        <v>5.3078240000000001</v>
      </c>
      <c r="E1709">
        <v>0.68631830000000005</v>
      </c>
      <c r="F1709" t="s">
        <v>49</v>
      </c>
      <c r="G1709">
        <v>-202.6927</v>
      </c>
      <c r="H1709" s="1">
        <v>3.0707819999999998E-6</v>
      </c>
      <c r="I1709">
        <v>288.50920000000002</v>
      </c>
      <c r="J1709">
        <v>-197.74780000000001</v>
      </c>
      <c r="K1709">
        <v>1.1021639999999999</v>
      </c>
      <c r="L1709">
        <v>289.00599999999997</v>
      </c>
      <c r="M1709">
        <v>-0.70566980000000001</v>
      </c>
      <c r="N1709">
        <v>0</v>
      </c>
      <c r="O1709">
        <v>-0.70837519999999998</v>
      </c>
      <c r="P1709">
        <v>-0.8425359</v>
      </c>
      <c r="Q1709">
        <v>-1.017791E-2</v>
      </c>
      <c r="R1709">
        <v>-0.53854399999999902</v>
      </c>
      <c r="S1709">
        <v>-3.3135379999999999</v>
      </c>
      <c r="T1709">
        <v>-0.71716619999999998</v>
      </c>
      <c r="U1709">
        <v>-0.40740969999999999</v>
      </c>
      <c r="V1709">
        <v>0.2168746</v>
      </c>
      <c r="W1709">
        <v>6.5881429999999996E-4</v>
      </c>
      <c r="X1709">
        <v>0.97619929999999999</v>
      </c>
      <c r="Y1709">
        <v>0.5908099</v>
      </c>
      <c r="Z1709">
        <v>0.19933300000000001</v>
      </c>
      <c r="AA1709">
        <v>0.78179929999999997</v>
      </c>
      <c r="AB1709">
        <v>20</v>
      </c>
      <c r="AC1709">
        <v>-4.9448999999999899</v>
      </c>
      <c r="AD1709">
        <v>-1.1021609292179999</v>
      </c>
      <c r="AE1709">
        <v>-0.49679999999995</v>
      </c>
      <c r="AF1709">
        <v>3.0048507582079198</v>
      </c>
      <c r="AG1709">
        <v>-1.1021609292179999</v>
      </c>
      <c r="AH1709">
        <v>3.6617434381705101</v>
      </c>
      <c r="AI1709">
        <v>103.09848151198899</v>
      </c>
      <c r="AJ1709">
        <v>50.627472369727499</v>
      </c>
      <c r="AK1709">
        <v>4.8633580785278596</v>
      </c>
      <c r="AL1709">
        <v>89.962252720274094</v>
      </c>
      <c r="AM1709">
        <v>77.474468628434195</v>
      </c>
      <c r="AN1709">
        <v>1.00000004974096</v>
      </c>
    </row>
    <row r="1710" spans="1:40" x14ac:dyDescent="0.25">
      <c r="A1710" t="str">
        <f>"20190312154829656"</f>
        <v>20190312154829656</v>
      </c>
      <c r="B1710" t="str">
        <f>"1552376909647209"</f>
        <v>1552376909647209</v>
      </c>
      <c r="C1710" t="s">
        <v>40</v>
      </c>
      <c r="D1710">
        <v>5.2650350000000001</v>
      </c>
      <c r="E1710">
        <v>0.68584869999999898</v>
      </c>
      <c r="F1710" t="s">
        <v>49</v>
      </c>
      <c r="G1710">
        <v>-202.9314</v>
      </c>
      <c r="H1710" s="1">
        <v>3.1831800000000002E-6</v>
      </c>
      <c r="I1710">
        <v>288.4341</v>
      </c>
      <c r="J1710">
        <v>-197.91030000000001</v>
      </c>
      <c r="K1710">
        <v>1.1021909999999999</v>
      </c>
      <c r="L1710">
        <v>288.86720000000003</v>
      </c>
      <c r="M1710">
        <v>-0.7159259</v>
      </c>
      <c r="N1710">
        <v>0</v>
      </c>
      <c r="O1710">
        <v>-0.69800819999999997</v>
      </c>
      <c r="P1710">
        <v>-0.84992649999999903</v>
      </c>
      <c r="Q1710">
        <v>-1.0131640000000001E-2</v>
      </c>
      <c r="R1710">
        <v>-0.52680400000000005</v>
      </c>
      <c r="S1710">
        <v>-3.318146</v>
      </c>
      <c r="T1710">
        <v>-0.70551969999999997</v>
      </c>
      <c r="U1710">
        <v>-0.36608889999999999</v>
      </c>
      <c r="V1710">
        <v>0.21618100000000001</v>
      </c>
      <c r="W1710">
        <v>7.3606189999999997E-4</v>
      </c>
      <c r="X1710">
        <v>0.97635300000000003</v>
      </c>
      <c r="Y1710">
        <v>0.58999480000000004</v>
      </c>
      <c r="Z1710">
        <v>0.19467280000000001</v>
      </c>
      <c r="AA1710">
        <v>0.78358709999999998</v>
      </c>
      <c r="AB1710">
        <v>20</v>
      </c>
      <c r="AC1710">
        <v>-5.0210999999999899</v>
      </c>
      <c r="AD1710">
        <v>-1.1021878168200001</v>
      </c>
      <c r="AE1710">
        <v>-0.43310000000002402</v>
      </c>
      <c r="AF1710">
        <v>3.04923358400894</v>
      </c>
      <c r="AG1710">
        <v>-1.1021878168200001</v>
      </c>
      <c r="AH1710">
        <v>3.7195945159849799</v>
      </c>
      <c r="AI1710">
        <v>102.907012828148</v>
      </c>
      <c r="AJ1710">
        <v>50.655929094842001</v>
      </c>
      <c r="AK1710">
        <v>4.9343719759195297</v>
      </c>
      <c r="AL1710">
        <v>89.957826754747103</v>
      </c>
      <c r="AM1710">
        <v>77.515173031314305</v>
      </c>
      <c r="AN1710">
        <v>0.99999997357855896</v>
      </c>
    </row>
    <row r="1711" spans="1:40" x14ac:dyDescent="0.25">
      <c r="A1711" t="str">
        <f>"20190312154829682"</f>
        <v>20190312154829682</v>
      </c>
      <c r="B1711" t="str">
        <f>"1552376909677465"</f>
        <v>1552376909677465</v>
      </c>
      <c r="C1711" t="s">
        <v>40</v>
      </c>
      <c r="D1711">
        <v>5.2284899999999999</v>
      </c>
      <c r="E1711">
        <v>0.68512620000000002</v>
      </c>
      <c r="F1711" t="s">
        <v>49</v>
      </c>
      <c r="G1711">
        <v>-203.1808</v>
      </c>
      <c r="H1711" s="1">
        <v>3.3006490000000001E-6</v>
      </c>
      <c r="I1711">
        <v>288.35570000000001</v>
      </c>
      <c r="J1711">
        <v>-198.0857</v>
      </c>
      <c r="K1711">
        <v>1.10222</v>
      </c>
      <c r="L1711">
        <v>288.72199999999998</v>
      </c>
      <c r="M1711">
        <v>-0.72669289999999997</v>
      </c>
      <c r="N1711">
        <v>0</v>
      </c>
      <c r="O1711">
        <v>-0.68679179999999995</v>
      </c>
      <c r="P1711">
        <v>-0.85814480000000004</v>
      </c>
      <c r="Q1711">
        <v>-9.7127989999999994E-3</v>
      </c>
      <c r="R1711">
        <v>-0.51331579999999999</v>
      </c>
      <c r="S1711">
        <v>-3.3215940000000002</v>
      </c>
      <c r="T1711">
        <v>-0.6946272</v>
      </c>
      <c r="U1711">
        <v>-0.32241819999999999</v>
      </c>
      <c r="V1711">
        <v>0.2164296</v>
      </c>
      <c r="W1711">
        <v>1.164261E-3</v>
      </c>
      <c r="X1711">
        <v>0.97629759999999999</v>
      </c>
      <c r="Y1711">
        <v>0.58888009999999902</v>
      </c>
      <c r="Z1711">
        <v>0.1901321</v>
      </c>
      <c r="AA1711">
        <v>0.78553809999999902</v>
      </c>
      <c r="AB1711">
        <v>20</v>
      </c>
      <c r="AC1711">
        <v>-5.0951000000000004</v>
      </c>
      <c r="AD1711">
        <v>-1.1022166993510001</v>
      </c>
      <c r="AE1711">
        <v>-0.36629999999996699</v>
      </c>
      <c r="AF1711">
        <v>3.08961940255743</v>
      </c>
      <c r="AG1711">
        <v>-1.1022166993510001</v>
      </c>
      <c r="AH1711">
        <v>3.7786824322666299</v>
      </c>
      <c r="AI1711">
        <v>102.724967321403</v>
      </c>
      <c r="AJ1711">
        <v>50.729034657220197</v>
      </c>
      <c r="AK1711">
        <v>5.00390553756844</v>
      </c>
      <c r="AL1711">
        <v>89.933292747748098</v>
      </c>
      <c r="AM1711">
        <v>77.500579909854594</v>
      </c>
      <c r="AN1711">
        <v>1.0000000655127901</v>
      </c>
    </row>
    <row r="1712" spans="1:40" x14ac:dyDescent="0.25">
      <c r="A1712" t="str">
        <f>"20190312154829702"</f>
        <v>20190312154829702</v>
      </c>
      <c r="B1712" t="str">
        <f>"1552376909697960"</f>
        <v>1552376909697960</v>
      </c>
      <c r="C1712" t="s">
        <v>40</v>
      </c>
      <c r="D1712">
        <v>5.2388019999999997</v>
      </c>
      <c r="E1712">
        <v>0.6844363</v>
      </c>
      <c r="F1712" t="s">
        <v>49</v>
      </c>
      <c r="G1712">
        <v>-203.3228</v>
      </c>
      <c r="H1712" s="1">
        <v>3.3695359999999998E-6</v>
      </c>
      <c r="I1712">
        <v>288.28769999999997</v>
      </c>
      <c r="J1712">
        <v>-198.24010000000001</v>
      </c>
      <c r="K1712">
        <v>1.102252</v>
      </c>
      <c r="L1712">
        <v>288.59789999999998</v>
      </c>
      <c r="M1712">
        <v>-0.73592389999999996</v>
      </c>
      <c r="N1712">
        <v>0</v>
      </c>
      <c r="O1712">
        <v>-0.67689109999999997</v>
      </c>
      <c r="P1712">
        <v>-0.86509190000000002</v>
      </c>
      <c r="Q1712">
        <v>-9.9201979999999999E-3</v>
      </c>
      <c r="R1712">
        <v>-0.50151559999999995</v>
      </c>
      <c r="S1712">
        <v>-3.3231199999999999</v>
      </c>
      <c r="T1712">
        <v>-0.69940069999999999</v>
      </c>
      <c r="U1712">
        <v>-0.27560420000000002</v>
      </c>
      <c r="V1712">
        <v>0.2165774</v>
      </c>
      <c r="W1712">
        <v>9.6446689999999996E-4</v>
      </c>
      <c r="X1712">
        <v>0.97626500000000005</v>
      </c>
      <c r="Y1712">
        <v>0.58890509999999996</v>
      </c>
      <c r="Z1712">
        <v>0.19017100000000001</v>
      </c>
      <c r="AA1712">
        <v>0.78550989999999998</v>
      </c>
      <c r="AB1712">
        <v>20</v>
      </c>
      <c r="AC1712">
        <v>-5.0826999999999796</v>
      </c>
      <c r="AD1712">
        <v>-1.102248630464</v>
      </c>
      <c r="AE1712">
        <v>-0.31020000000000802</v>
      </c>
      <c r="AF1712">
        <v>3.06874165127488</v>
      </c>
      <c r="AG1712">
        <v>-1.102248630464</v>
      </c>
      <c r="AH1712">
        <v>3.7740808034495799</v>
      </c>
      <c r="AI1712">
        <v>102.767734228908</v>
      </c>
      <c r="AJ1712">
        <v>50.885105789279201</v>
      </c>
      <c r="AK1712">
        <v>4.9875658668929601</v>
      </c>
      <c r="AL1712">
        <v>89.944740109981197</v>
      </c>
      <c r="AM1712">
        <v>77.491908047518507</v>
      </c>
      <c r="AN1712">
        <v>1.0000000253060799</v>
      </c>
    </row>
    <row r="1713" spans="1:40" x14ac:dyDescent="0.25">
      <c r="A1713" t="str">
        <f>"20190312154829724"</f>
        <v>20190312154829724</v>
      </c>
      <c r="B1713" t="str">
        <f>"1552376909717480"</f>
        <v>1552376909717480</v>
      </c>
      <c r="C1713" t="s">
        <v>40</v>
      </c>
      <c r="D1713">
        <v>5.2643570000000004</v>
      </c>
      <c r="E1713">
        <v>0.68366000000000005</v>
      </c>
      <c r="F1713" t="s">
        <v>49</v>
      </c>
      <c r="G1713">
        <v>-203.44499999999999</v>
      </c>
      <c r="H1713" s="1">
        <v>3.4288269999999998E-6</v>
      </c>
      <c r="I1713">
        <v>288.22949999999997</v>
      </c>
      <c r="J1713">
        <v>-198.39400000000001</v>
      </c>
      <c r="K1713">
        <v>1.1022749999999999</v>
      </c>
      <c r="L1713">
        <v>288.4776</v>
      </c>
      <c r="M1713">
        <v>-0.74490049999999997</v>
      </c>
      <c r="N1713">
        <v>0</v>
      </c>
      <c r="O1713">
        <v>-0.66699989999999998</v>
      </c>
      <c r="P1713">
        <v>-0.8717549</v>
      </c>
      <c r="Q1713">
        <v>-1.1016089999999999E-2</v>
      </c>
      <c r="R1713">
        <v>-0.4898189</v>
      </c>
      <c r="S1713">
        <v>-3.3233950000000001</v>
      </c>
      <c r="T1713">
        <v>-0.70380430000000005</v>
      </c>
      <c r="U1713">
        <v>-0.23522950000000001</v>
      </c>
      <c r="V1713">
        <v>0.2166553</v>
      </c>
      <c r="W1713">
        <v>-1.2394829999999999E-4</v>
      </c>
      <c r="X1713">
        <v>0.97624809999999995</v>
      </c>
      <c r="Y1713">
        <v>0.58761039999999998</v>
      </c>
      <c r="Z1713">
        <v>0.18993969999999999</v>
      </c>
      <c r="AA1713">
        <v>0.78653479999999998</v>
      </c>
      <c r="AB1713">
        <v>20</v>
      </c>
      <c r="AC1713">
        <v>-5.0509999999999797</v>
      </c>
      <c r="AD1713">
        <v>-1.10227157117299</v>
      </c>
      <c r="AE1713">
        <v>-0.248100000000022</v>
      </c>
      <c r="AF1713">
        <v>3.04014561090941</v>
      </c>
      <c r="AG1713">
        <v>-1.10227157117299</v>
      </c>
      <c r="AH1713">
        <v>3.75026418163803</v>
      </c>
      <c r="AI1713">
        <v>102.861361019074</v>
      </c>
      <c r="AJ1713">
        <v>50.970102426341597</v>
      </c>
      <c r="AK1713">
        <v>4.9519662139624003</v>
      </c>
      <c r="AL1713">
        <v>90.007101714886701</v>
      </c>
      <c r="AM1713">
        <v>77.487340929782903</v>
      </c>
      <c r="AN1713">
        <v>0.99999994356743804</v>
      </c>
    </row>
    <row r="1714" spans="1:40" x14ac:dyDescent="0.25">
      <c r="A1714" t="str">
        <f>"20190312154829745"</f>
        <v>20190312154829745</v>
      </c>
      <c r="B1714" t="str">
        <f>"1552376909737977"</f>
        <v>1552376909737977</v>
      </c>
      <c r="C1714" t="s">
        <v>40</v>
      </c>
      <c r="D1714">
        <v>5.261819</v>
      </c>
      <c r="E1714">
        <v>0.68272279999999996</v>
      </c>
      <c r="F1714" t="s">
        <v>49</v>
      </c>
      <c r="G1714">
        <v>-203.5676</v>
      </c>
      <c r="H1714" s="1">
        <v>3.4880829999999999E-6</v>
      </c>
      <c r="I1714">
        <v>288.17349999999999</v>
      </c>
      <c r="J1714">
        <v>-198.5497</v>
      </c>
      <c r="K1714">
        <v>1.102295</v>
      </c>
      <c r="L1714">
        <v>288.35919999999999</v>
      </c>
      <c r="M1714">
        <v>-0.75375749999999997</v>
      </c>
      <c r="N1714">
        <v>0</v>
      </c>
      <c r="O1714">
        <v>-0.65697459999999996</v>
      </c>
      <c r="P1714">
        <v>-0.87812259999999998</v>
      </c>
      <c r="Q1714">
        <v>-1.190973E-2</v>
      </c>
      <c r="R1714">
        <v>-0.47828749999999998</v>
      </c>
      <c r="S1714">
        <v>-3.322632</v>
      </c>
      <c r="T1714">
        <v>-0.70791759999999904</v>
      </c>
      <c r="U1714">
        <v>-0.1953125</v>
      </c>
      <c r="V1714">
        <v>0.21643589999999999</v>
      </c>
      <c r="W1714">
        <v>-1.0039700000000001E-3</v>
      </c>
      <c r="X1714">
        <v>0.97629630000000001</v>
      </c>
      <c r="Y1714">
        <v>0.58621389999999995</v>
      </c>
      <c r="Z1714">
        <v>0.18959029999999999</v>
      </c>
      <c r="AA1714">
        <v>0.78766029999999998</v>
      </c>
      <c r="AB1714">
        <v>20</v>
      </c>
      <c r="AC1714">
        <v>-5.0178999999999903</v>
      </c>
      <c r="AD1714">
        <v>-1.102291511917</v>
      </c>
      <c r="AE1714">
        <v>-0.18569999999999701</v>
      </c>
      <c r="AF1714">
        <v>3.0118874244315501</v>
      </c>
      <c r="AG1714">
        <v>-1.102291511917</v>
      </c>
      <c r="AH1714">
        <v>3.72521949501877</v>
      </c>
      <c r="AI1714">
        <v>102.95822204420099</v>
      </c>
      <c r="AJ1714">
        <v>51.0440193123938</v>
      </c>
      <c r="AK1714">
        <v>4.9156660505735204</v>
      </c>
      <c r="AL1714">
        <v>90.057523254222005</v>
      </c>
      <c r="AM1714">
        <v>77.500211381072901</v>
      </c>
      <c r="AN1714">
        <v>0.99999998607912999</v>
      </c>
    </row>
    <row r="1715" spans="1:40" x14ac:dyDescent="0.25">
      <c r="A1715" t="str">
        <f>"20190312154829768"</f>
        <v>20190312154829768</v>
      </c>
      <c r="B1715" t="str">
        <f>"1552376909757497"</f>
        <v>1552376909757497</v>
      </c>
      <c r="C1715" t="s">
        <v>40</v>
      </c>
      <c r="D1715">
        <v>5.2106589999999997</v>
      </c>
      <c r="E1715">
        <v>0.68180799999999997</v>
      </c>
      <c r="F1715" t="s">
        <v>49</v>
      </c>
      <c r="G1715">
        <v>-203.7028</v>
      </c>
      <c r="H1715" s="1">
        <v>3.5531490000000002E-6</v>
      </c>
      <c r="I1715">
        <v>288.11509999999998</v>
      </c>
      <c r="J1715">
        <v>-198.71430000000001</v>
      </c>
      <c r="K1715">
        <v>1.1023259999999999</v>
      </c>
      <c r="L1715">
        <v>288.23779999999999</v>
      </c>
      <c r="M1715">
        <v>-0.76288040000000001</v>
      </c>
      <c r="N1715">
        <v>0</v>
      </c>
      <c r="O1715">
        <v>-0.64635849999999995</v>
      </c>
      <c r="P1715">
        <v>-0.88460680000000003</v>
      </c>
      <c r="Q1715">
        <v>-1.1281390000000001E-2</v>
      </c>
      <c r="R1715">
        <v>-0.46620129999999999</v>
      </c>
      <c r="S1715">
        <v>-3.321075</v>
      </c>
      <c r="T1715">
        <v>-0.71040639999999999</v>
      </c>
      <c r="U1715">
        <v>-0.1572876</v>
      </c>
      <c r="V1715">
        <v>0.21617320000000001</v>
      </c>
      <c r="W1715">
        <v>-3.6028610000000001E-4</v>
      </c>
      <c r="X1715">
        <v>0.97635499999999997</v>
      </c>
      <c r="Y1715">
        <v>0.58402900000000002</v>
      </c>
      <c r="Z1715">
        <v>0.18861310000000001</v>
      </c>
      <c r="AA1715">
        <v>0.78951579999999999</v>
      </c>
      <c r="AB1715">
        <v>20</v>
      </c>
      <c r="AC1715">
        <v>-4.9884999999999797</v>
      </c>
      <c r="AD1715">
        <v>-1.102322446851</v>
      </c>
      <c r="AE1715">
        <v>-0.122700000000008</v>
      </c>
      <c r="AF1715">
        <v>2.9854331879689</v>
      </c>
      <c r="AG1715">
        <v>-1.102322446851</v>
      </c>
      <c r="AH1715">
        <v>3.70460924725707</v>
      </c>
      <c r="AI1715">
        <v>103.044477624419</v>
      </c>
      <c r="AJ1715">
        <v>51.135703686293397</v>
      </c>
      <c r="AK1715">
        <v>4.8838566493622997</v>
      </c>
      <c r="AL1715">
        <v>90.020642872689606</v>
      </c>
      <c r="AM1715">
        <v>77.515634143051898</v>
      </c>
      <c r="AN1715">
        <v>1.00000003411465</v>
      </c>
    </row>
    <row r="1716" spans="1:40" x14ac:dyDescent="0.25">
      <c r="A1716" t="str">
        <f>"20190312154829790"</f>
        <v>20190312154829790</v>
      </c>
      <c r="B1716" t="str">
        <f>"1552376909777016"</f>
        <v>1552376909777016</v>
      </c>
      <c r="C1716" t="s">
        <v>40</v>
      </c>
      <c r="D1716">
        <v>5.1936989999999996</v>
      </c>
      <c r="E1716">
        <v>0.68075180000000002</v>
      </c>
      <c r="F1716" t="s">
        <v>49</v>
      </c>
      <c r="G1716">
        <v>-203.8536</v>
      </c>
      <c r="H1716" s="1">
        <v>3.625338E-6</v>
      </c>
      <c r="I1716">
        <v>288.05410000000001</v>
      </c>
      <c r="J1716">
        <v>-198.8862</v>
      </c>
      <c r="K1716">
        <v>1.1023579999999999</v>
      </c>
      <c r="L1716">
        <v>288.1148</v>
      </c>
      <c r="M1716">
        <v>-0.77215859999999903</v>
      </c>
      <c r="N1716">
        <v>0</v>
      </c>
      <c r="O1716">
        <v>-0.63524539999999996</v>
      </c>
      <c r="P1716">
        <v>-0.89092800000000005</v>
      </c>
      <c r="Q1716">
        <v>-1.100752E-2</v>
      </c>
      <c r="R1716">
        <v>-0.4540111</v>
      </c>
      <c r="S1716">
        <v>-3.3197169999999998</v>
      </c>
      <c r="T1716">
        <v>-0.71204350000000005</v>
      </c>
      <c r="U1716">
        <v>-0.1186523</v>
      </c>
      <c r="V1716">
        <v>0.21545049999999999</v>
      </c>
      <c r="W1716" s="1">
        <v>-6.0976249999999997E-5</v>
      </c>
      <c r="X1716">
        <v>0.97651480000000002</v>
      </c>
      <c r="Y1716">
        <v>0.58171119999999898</v>
      </c>
      <c r="Z1716">
        <v>0.18725310000000001</v>
      </c>
      <c r="AA1716">
        <v>0.79154799999999903</v>
      </c>
      <c r="AB1716">
        <v>20</v>
      </c>
      <c r="AC1716">
        <v>-4.9673999999999898</v>
      </c>
      <c r="AD1716">
        <v>-1.1023543746619999</v>
      </c>
      <c r="AE1716">
        <v>-6.0699999999996999E-2</v>
      </c>
      <c r="AF1716">
        <v>2.9631084385957398</v>
      </c>
      <c r="AG1716">
        <v>-1.1023543746619999</v>
      </c>
      <c r="AH1716">
        <v>3.6928000937668699</v>
      </c>
      <c r="AI1716">
        <v>103.10654229902499</v>
      </c>
      <c r="AJ1716">
        <v>51.256389106329998</v>
      </c>
      <c r="AK1716">
        <v>4.8612723970929999</v>
      </c>
      <c r="AL1716">
        <v>90.0034936816444</v>
      </c>
      <c r="AM1716">
        <v>77.558041975186001</v>
      </c>
      <c r="AN1716">
        <v>1.00000003814369</v>
      </c>
    </row>
    <row r="1717" spans="1:40" x14ac:dyDescent="0.25">
      <c r="A1717" t="str">
        <f>"20190312154829812"</f>
        <v>20190312154829812</v>
      </c>
      <c r="B1717" t="str">
        <f>"1552376909807273"</f>
        <v>1552376909807273</v>
      </c>
      <c r="C1717" t="s">
        <v>40</v>
      </c>
      <c r="D1717">
        <v>5.1773400000000001</v>
      </c>
      <c r="E1717">
        <v>0.65170689999999998</v>
      </c>
      <c r="F1717" t="s">
        <v>49</v>
      </c>
      <c r="G1717">
        <v>-204.01519999999999</v>
      </c>
      <c r="H1717" s="1">
        <v>3.7026599999999999E-6</v>
      </c>
      <c r="I1717">
        <v>287.9898</v>
      </c>
      <c r="J1717">
        <v>-199.0489</v>
      </c>
      <c r="K1717">
        <v>1.102384</v>
      </c>
      <c r="L1717">
        <v>288.00170000000003</v>
      </c>
      <c r="M1717">
        <v>-0.78071190000000001</v>
      </c>
      <c r="N1717">
        <v>0</v>
      </c>
      <c r="O1717">
        <v>-0.62470409999999998</v>
      </c>
      <c r="P1717">
        <v>-0.89659999999999995</v>
      </c>
      <c r="Q1717">
        <v>-1.184906E-2</v>
      </c>
      <c r="R1717">
        <v>-0.4426831</v>
      </c>
      <c r="S1717">
        <v>-3.3172760000000001</v>
      </c>
      <c r="T1717">
        <v>-0.71295909999999996</v>
      </c>
      <c r="U1717">
        <v>-8.0841060000000006E-2</v>
      </c>
      <c r="V1717">
        <v>0.2145473</v>
      </c>
      <c r="W1717">
        <v>-8.7435330000000002E-4</v>
      </c>
      <c r="X1717">
        <v>0.97671319999999995</v>
      </c>
      <c r="Y1717">
        <v>0.57995059999999998</v>
      </c>
      <c r="Z1717">
        <v>0.18585979999999999</v>
      </c>
      <c r="AA1717">
        <v>0.793166699999999</v>
      </c>
      <c r="AB1717">
        <v>20</v>
      </c>
      <c r="AC1717">
        <v>-4.9662999999999897</v>
      </c>
      <c r="AD1717">
        <v>-1.1023802973399901</v>
      </c>
      <c r="AE1717">
        <v>-1.19000000000255E-2</v>
      </c>
      <c r="AF1717">
        <v>2.9482735971816498</v>
      </c>
      <c r="AG1717">
        <v>-1.1023802973399901</v>
      </c>
      <c r="AH1717">
        <v>3.7027004624066602</v>
      </c>
      <c r="AI1717">
        <v>103.110927721278</v>
      </c>
      <c r="AJ1717">
        <v>51.471458889665499</v>
      </c>
      <c r="AK1717">
        <v>4.8597891145715701</v>
      </c>
      <c r="AL1717">
        <v>90.050096760690096</v>
      </c>
      <c r="AM1717">
        <v>77.611025330897107</v>
      </c>
      <c r="AN1717">
        <v>0.99999999174261101</v>
      </c>
    </row>
    <row r="1718" spans="1:40" x14ac:dyDescent="0.25">
      <c r="A1718" t="str">
        <f>"20190312154829833"</f>
        <v>20190312154829833</v>
      </c>
      <c r="B1718" t="str">
        <f>"1552376909827768"</f>
        <v>1552376909827768</v>
      </c>
      <c r="C1718" t="s">
        <v>40</v>
      </c>
      <c r="D1718">
        <v>5.1734339999999897</v>
      </c>
      <c r="E1718">
        <v>0.65016660000000004</v>
      </c>
      <c r="F1718" t="s">
        <v>49</v>
      </c>
      <c r="G1718">
        <v>-203.9288</v>
      </c>
      <c r="H1718" s="1">
        <v>3.695944E-6</v>
      </c>
      <c r="I1718">
        <v>287.6284</v>
      </c>
      <c r="J1718">
        <v>-199.21729999999999</v>
      </c>
      <c r="K1718">
        <v>1.1024099999999999</v>
      </c>
      <c r="L1718">
        <v>287.88810000000001</v>
      </c>
      <c r="M1718">
        <v>-0.789332699999999</v>
      </c>
      <c r="N1718">
        <v>0</v>
      </c>
      <c r="O1718">
        <v>-0.61377530000000002</v>
      </c>
      <c r="P1718">
        <v>-0.90237560000000006</v>
      </c>
      <c r="Q1718">
        <v>-1.2438380000000001E-2</v>
      </c>
      <c r="R1718">
        <v>-0.43077070000000001</v>
      </c>
      <c r="S1718">
        <v>-3.2149350000000001</v>
      </c>
      <c r="T1718">
        <v>-0.72624929999999999</v>
      </c>
      <c r="U1718">
        <v>-0.24591060000000001</v>
      </c>
      <c r="V1718">
        <v>0.21386910000000001</v>
      </c>
      <c r="W1718">
        <v>-1.4405970000000001E-3</v>
      </c>
      <c r="X1718">
        <v>0.97686130000000004</v>
      </c>
      <c r="Y1718">
        <v>0.52546280000000001</v>
      </c>
      <c r="Z1718">
        <v>0.18637790000000001</v>
      </c>
      <c r="AA1718">
        <v>0.83015190000000005</v>
      </c>
      <c r="AB1718">
        <v>20</v>
      </c>
      <c r="AC1718">
        <v>-4.7115</v>
      </c>
      <c r="AD1718">
        <v>-1.1024063040559999</v>
      </c>
      <c r="AE1718">
        <v>-0.25970000000000898</v>
      </c>
      <c r="AF1718">
        <v>2.5480497055531601</v>
      </c>
      <c r="AG1718">
        <v>-1.1024063040559999</v>
      </c>
      <c r="AH1718">
        <v>3.6780380914428199</v>
      </c>
      <c r="AI1718">
        <v>103.840823106572</v>
      </c>
      <c r="AJ1718">
        <v>55.286783670709902</v>
      </c>
      <c r="AK1718">
        <v>4.60823406125344</v>
      </c>
      <c r="AL1718">
        <v>90.082540153876295</v>
      </c>
      <c r="AM1718">
        <v>77.650799050989605</v>
      </c>
      <c r="AN1718">
        <v>1.0000000333461001</v>
      </c>
    </row>
    <row r="1719" spans="1:40" x14ac:dyDescent="0.25">
      <c r="A1719" t="str">
        <f>"20190312154829856"</f>
        <v>20190312154829856</v>
      </c>
      <c r="B1719" t="str">
        <f>"1552376909847289"</f>
        <v>1552376909847289</v>
      </c>
      <c r="C1719" t="s">
        <v>40</v>
      </c>
      <c r="D1719">
        <v>5.212472</v>
      </c>
      <c r="E1719">
        <v>0.64879569999999998</v>
      </c>
      <c r="F1719" t="s">
        <v>49</v>
      </c>
      <c r="G1719">
        <v>-204.12870000000001</v>
      </c>
      <c r="H1719" s="1">
        <v>3.7905669999999999E-6</v>
      </c>
      <c r="I1719">
        <v>287.5598</v>
      </c>
      <c r="J1719">
        <v>-199.3871</v>
      </c>
      <c r="K1719">
        <v>1.102441</v>
      </c>
      <c r="L1719">
        <v>287.77679999999998</v>
      </c>
      <c r="M1719">
        <v>-0.79779990000000001</v>
      </c>
      <c r="N1719">
        <v>0</v>
      </c>
      <c r="O1719">
        <v>-0.60272859999999995</v>
      </c>
      <c r="P1719">
        <v>-0.90815409999999996</v>
      </c>
      <c r="Q1719">
        <v>-1.22454E-2</v>
      </c>
      <c r="R1719">
        <v>-0.41845700000000002</v>
      </c>
      <c r="S1719">
        <v>-3.2121430000000002</v>
      </c>
      <c r="T1719">
        <v>-0.72098759999999995</v>
      </c>
      <c r="U1719">
        <v>-0.2146912</v>
      </c>
      <c r="V1719">
        <v>0.2135639</v>
      </c>
      <c r="W1719">
        <v>-1.2330150000000001E-3</v>
      </c>
      <c r="X1719">
        <v>0.97692829999999997</v>
      </c>
      <c r="Y1719">
        <v>0.52234510000000001</v>
      </c>
      <c r="Z1719">
        <v>0.18310570000000001</v>
      </c>
      <c r="AA1719">
        <v>0.83284319999999901</v>
      </c>
      <c r="AB1719">
        <v>20</v>
      </c>
      <c r="AC1719">
        <v>-4.7416</v>
      </c>
      <c r="AD1719">
        <v>-1.1024372094329999</v>
      </c>
      <c r="AE1719">
        <v>-0.21699999999998401</v>
      </c>
      <c r="AF1719">
        <v>2.5476562303653201</v>
      </c>
      <c r="AG1719">
        <v>-1.1024372094329999</v>
      </c>
      <c r="AH1719">
        <v>3.7137593688887902</v>
      </c>
      <c r="AI1719">
        <v>103.754912675075</v>
      </c>
      <c r="AJ1719">
        <v>55.549695986819202</v>
      </c>
      <c r="AK1719">
        <v>4.6365858903800099</v>
      </c>
      <c r="AL1719">
        <v>90.070646574782501</v>
      </c>
      <c r="AM1719">
        <v>77.668702140638899</v>
      </c>
      <c r="AN1719">
        <v>0.99999998152504499</v>
      </c>
    </row>
    <row r="1720" spans="1:40" x14ac:dyDescent="0.25">
      <c r="A1720" t="str">
        <f>"20190312154829881"</f>
        <v>20190312154829881</v>
      </c>
      <c r="B1720" t="str">
        <f>"1552376909877802"</f>
        <v>1552376909877802</v>
      </c>
      <c r="C1720" t="s">
        <v>40</v>
      </c>
      <c r="D1720">
        <v>5.2001619999999997</v>
      </c>
      <c r="E1720">
        <v>0.64171899999999904</v>
      </c>
      <c r="F1720" t="s">
        <v>49</v>
      </c>
      <c r="G1720">
        <v>-204.24979999999999</v>
      </c>
      <c r="H1720" s="1">
        <v>3.8493029999999996E-6</v>
      </c>
      <c r="I1720">
        <v>287.50229999999999</v>
      </c>
      <c r="J1720">
        <v>-199.57740000000001</v>
      </c>
      <c r="K1720">
        <v>1.102474</v>
      </c>
      <c r="L1720">
        <v>287.65609999999998</v>
      </c>
      <c r="M1720">
        <v>-0.80701529999999999</v>
      </c>
      <c r="N1720">
        <v>0</v>
      </c>
      <c r="O1720">
        <v>-0.590333</v>
      </c>
      <c r="P1720">
        <v>-0.91459599999999996</v>
      </c>
      <c r="Q1720">
        <v>-1.131062E-2</v>
      </c>
      <c r="R1720">
        <v>-0.4042113</v>
      </c>
      <c r="S1720">
        <v>-3.210083</v>
      </c>
      <c r="T1720">
        <v>-0.72777019999999903</v>
      </c>
      <c r="U1720">
        <v>-0.1812134</v>
      </c>
      <c r="V1720">
        <v>0.21376690000000001</v>
      </c>
      <c r="W1720">
        <v>-2.9417990000000003E-4</v>
      </c>
      <c r="X1720">
        <v>0.97688470000000005</v>
      </c>
      <c r="Y1720">
        <v>0.51777949999999995</v>
      </c>
      <c r="Z1720">
        <v>0.18233070000000001</v>
      </c>
      <c r="AA1720">
        <v>0.83585880000000001</v>
      </c>
      <c r="AB1720">
        <v>20</v>
      </c>
      <c r="AC1720">
        <v>-4.6723999999999801</v>
      </c>
      <c r="AD1720">
        <v>-1.1024701506970001</v>
      </c>
      <c r="AE1720">
        <v>-0.153799999999989</v>
      </c>
      <c r="AF1720">
        <v>2.4956664811135698</v>
      </c>
      <c r="AG1720">
        <v>-1.1024701506970001</v>
      </c>
      <c r="AH1720">
        <v>3.6584796221764599</v>
      </c>
      <c r="AI1720">
        <v>103.979132752704</v>
      </c>
      <c r="AJ1720">
        <v>55.699776735468099</v>
      </c>
      <c r="AK1720">
        <v>4.56379937815107</v>
      </c>
      <c r="AL1720">
        <v>90.016855266162295</v>
      </c>
      <c r="AM1720">
        <v>77.656805932895793</v>
      </c>
      <c r="AN1720">
        <v>1.0000000455857501</v>
      </c>
    </row>
    <row r="1721" spans="1:40" x14ac:dyDescent="0.25">
      <c r="A1721" t="str">
        <f>"20190312154829904"</f>
        <v>20190312154829904</v>
      </c>
      <c r="B1721" t="str">
        <f>"1552376909897323"</f>
        <v>1552376909897323</v>
      </c>
      <c r="C1721" t="s">
        <v>40</v>
      </c>
      <c r="D1721">
        <v>5.3911509999999998</v>
      </c>
      <c r="E1721">
        <v>0.64058139999999997</v>
      </c>
      <c r="F1721" t="s">
        <v>49</v>
      </c>
      <c r="G1721">
        <v>-204.97710000000001</v>
      </c>
      <c r="H1721" s="1">
        <v>4.1853630000000002E-6</v>
      </c>
      <c r="I1721">
        <v>287.34730000000002</v>
      </c>
      <c r="J1721">
        <v>-199.75200000000001</v>
      </c>
      <c r="K1721">
        <v>1.102508</v>
      </c>
      <c r="L1721">
        <v>287.54880000000003</v>
      </c>
      <c r="M1721">
        <v>-0.81522839999999996</v>
      </c>
      <c r="N1721">
        <v>0</v>
      </c>
      <c r="O1721">
        <v>-0.57893809999999901</v>
      </c>
      <c r="P1721">
        <v>-0.92000139999999997</v>
      </c>
      <c r="Q1721">
        <v>-1.1614350000000001E-2</v>
      </c>
      <c r="R1721">
        <v>-0.39174340000000002</v>
      </c>
      <c r="S1721">
        <v>-3.1914220000000002</v>
      </c>
      <c r="T1721">
        <v>-0.65160509999999905</v>
      </c>
      <c r="U1721">
        <v>-0.18249509999999999</v>
      </c>
      <c r="V1721">
        <v>0.21331349999999999</v>
      </c>
      <c r="W1721">
        <v>-5.8123799999999998E-4</v>
      </c>
      <c r="X1721">
        <v>0.97698370000000001</v>
      </c>
      <c r="Y1721">
        <v>0.51051349999999995</v>
      </c>
      <c r="Z1721">
        <v>0.16199259999999999</v>
      </c>
      <c r="AA1721">
        <v>0.84447280000000002</v>
      </c>
      <c r="AB1721">
        <v>20</v>
      </c>
      <c r="AC1721">
        <v>-5.2250999999999896</v>
      </c>
      <c r="AD1721">
        <v>-1.1025038146369901</v>
      </c>
      <c r="AE1721">
        <v>-0.20150000000001</v>
      </c>
      <c r="AF1721">
        <v>2.7392978694490999</v>
      </c>
      <c r="AG1721">
        <v>-1.1025038146369901</v>
      </c>
      <c r="AH1721">
        <v>4.1905246834148002</v>
      </c>
      <c r="AI1721">
        <v>102.419329902245</v>
      </c>
      <c r="AJ1721">
        <v>56.827815789979603</v>
      </c>
      <c r="AK1721">
        <v>5.1263792876811403</v>
      </c>
      <c r="AL1721">
        <v>90.033302483883404</v>
      </c>
      <c r="AM1721">
        <v>77.683395901962896</v>
      </c>
      <c r="AN1721">
        <v>1.0000000685927699</v>
      </c>
    </row>
    <row r="1722" spans="1:40" x14ac:dyDescent="0.25">
      <c r="A1722" t="str">
        <f>"20190312154829926"</f>
        <v>20190312154829926</v>
      </c>
      <c r="B1722" t="str">
        <f>"1552376909917819"</f>
        <v>1552376909917819</v>
      </c>
      <c r="C1722" t="s">
        <v>40</v>
      </c>
      <c r="D1722">
        <v>5.1971999999999996</v>
      </c>
      <c r="E1722">
        <v>0.63845469999999904</v>
      </c>
      <c r="F1722" t="s">
        <v>49</v>
      </c>
      <c r="G1722">
        <v>-204.9358</v>
      </c>
      <c r="H1722" s="1">
        <v>4.170418E-6</v>
      </c>
      <c r="I1722">
        <v>287.30869999999999</v>
      </c>
      <c r="J1722">
        <v>-199.92410000000001</v>
      </c>
      <c r="K1722">
        <v>1.10253</v>
      </c>
      <c r="L1722">
        <v>287.44650000000001</v>
      </c>
      <c r="M1722">
        <v>-0.82309529999999997</v>
      </c>
      <c r="N1722">
        <v>0</v>
      </c>
      <c r="O1722">
        <v>-0.56769809999999998</v>
      </c>
      <c r="P1722">
        <v>-0.92502620000000002</v>
      </c>
      <c r="Q1722">
        <v>-1.1814409999999999E-2</v>
      </c>
      <c r="R1722">
        <v>-0.3797199</v>
      </c>
      <c r="S1722">
        <v>-3.1893919999999998</v>
      </c>
      <c r="T1722">
        <v>-0.67833949999999998</v>
      </c>
      <c r="U1722">
        <v>-0.14773559999999999</v>
      </c>
      <c r="V1722">
        <v>0.21263609999999999</v>
      </c>
      <c r="W1722">
        <v>-7.6043889999999998E-4</v>
      </c>
      <c r="X1722">
        <v>0.97713119999999998</v>
      </c>
      <c r="Y1722">
        <v>0.50648479999999996</v>
      </c>
      <c r="Z1722">
        <v>0.1663705</v>
      </c>
      <c r="AA1722">
        <v>0.84604609999999902</v>
      </c>
      <c r="AB1722">
        <v>20</v>
      </c>
      <c r="AC1722">
        <v>-5.0116999999999896</v>
      </c>
      <c r="AD1722">
        <v>-1.102525829582</v>
      </c>
      <c r="AE1722">
        <v>-0.13780000000002601</v>
      </c>
      <c r="AF1722">
        <v>2.6060040291837998</v>
      </c>
      <c r="AG1722">
        <v>-1.102525829582</v>
      </c>
      <c r="AH1722">
        <v>4.0099092294985796</v>
      </c>
      <c r="AI1722">
        <v>102.98224532096501</v>
      </c>
      <c r="AJ1722">
        <v>56.980521883552399</v>
      </c>
      <c r="AK1722">
        <v>4.9077685595223004</v>
      </c>
      <c r="AL1722">
        <v>90.0435699421934</v>
      </c>
      <c r="AM1722">
        <v>77.723117507479799</v>
      </c>
      <c r="AN1722">
        <v>1.00000003565198</v>
      </c>
    </row>
    <row r="1723" spans="1:40" x14ac:dyDescent="0.25">
      <c r="A1723" t="str">
        <f>"20190312154829945"</f>
        <v>20190312154829945</v>
      </c>
      <c r="B1723" t="str">
        <f>"1552376909937339"</f>
        <v>1552376909937339</v>
      </c>
      <c r="C1723" t="s">
        <v>40</v>
      </c>
      <c r="D1723">
        <v>5.1871879999999999</v>
      </c>
      <c r="E1723">
        <v>0.63640379999999996</v>
      </c>
      <c r="F1723" t="s">
        <v>49</v>
      </c>
      <c r="G1723">
        <v>-205.06010000000001</v>
      </c>
      <c r="H1723" s="1">
        <v>4.23066899999999E-6</v>
      </c>
      <c r="I1723">
        <v>287.25009999999997</v>
      </c>
      <c r="J1723">
        <v>-200.07839999999999</v>
      </c>
      <c r="K1723">
        <v>1.1025510000000001</v>
      </c>
      <c r="L1723">
        <v>287.35739999999998</v>
      </c>
      <c r="M1723">
        <v>-0.82996840000000005</v>
      </c>
      <c r="N1723">
        <v>0</v>
      </c>
      <c r="O1723">
        <v>-0.55760159999999903</v>
      </c>
      <c r="P1723">
        <v>-0.92918599999999996</v>
      </c>
      <c r="Q1723">
        <v>-1.233749E-2</v>
      </c>
      <c r="R1723">
        <v>-0.36940620000000002</v>
      </c>
      <c r="S1723">
        <v>-3.1844480000000002</v>
      </c>
      <c r="T1723">
        <v>-0.6835909</v>
      </c>
      <c r="U1723">
        <v>-0.1217651</v>
      </c>
      <c r="V1723">
        <v>0.21155679999999999</v>
      </c>
      <c r="W1723">
        <v>-1.255183E-3</v>
      </c>
      <c r="X1723">
        <v>0.97736489999999998</v>
      </c>
      <c r="Y1723">
        <v>0.50273769999999995</v>
      </c>
      <c r="Z1723">
        <v>0.16579949999999999</v>
      </c>
      <c r="AA1723">
        <v>0.84838989999999903</v>
      </c>
      <c r="AB1723">
        <v>20</v>
      </c>
      <c r="AC1723">
        <v>-4.9817000000000098</v>
      </c>
      <c r="AD1723">
        <v>-1.102546769331</v>
      </c>
      <c r="AE1723">
        <v>-0.107300000000009</v>
      </c>
      <c r="AF1723">
        <v>2.56355113051396</v>
      </c>
      <c r="AG1723">
        <v>-1.102546769331</v>
      </c>
      <c r="AH1723">
        <v>3.9991749558787801</v>
      </c>
      <c r="AI1723">
        <v>103.06705582833099</v>
      </c>
      <c r="AJ1723">
        <v>57.3393163522246</v>
      </c>
      <c r="AK1723">
        <v>4.8765565827794601</v>
      </c>
      <c r="AL1723">
        <v>90.071916707197502</v>
      </c>
      <c r="AM1723">
        <v>77.786389931990897</v>
      </c>
      <c r="AN1723">
        <v>1.0000000014313</v>
      </c>
    </row>
    <row r="1724" spans="1:40" x14ac:dyDescent="0.25">
      <c r="A1724" t="str">
        <f>"20190312154829968"</f>
        <v>20190312154829968</v>
      </c>
      <c r="B1724" t="str">
        <f>"1552376909957835"</f>
        <v>1552376909957835</v>
      </c>
      <c r="C1724" t="s">
        <v>40</v>
      </c>
      <c r="D1724">
        <v>5.185772</v>
      </c>
      <c r="E1724">
        <v>0.63458059999999905</v>
      </c>
      <c r="F1724" t="s">
        <v>49</v>
      </c>
      <c r="G1724">
        <v>-205.18809999999999</v>
      </c>
      <c r="H1724" s="1">
        <v>4.2922540000000004E-6</v>
      </c>
      <c r="I1724">
        <v>287.19510000000002</v>
      </c>
      <c r="J1724">
        <v>-200.25819999999999</v>
      </c>
      <c r="K1724">
        <v>1.1025739999999999</v>
      </c>
      <c r="L1724">
        <v>287.25700000000001</v>
      </c>
      <c r="M1724">
        <v>-0.8377597</v>
      </c>
      <c r="N1724">
        <v>0</v>
      </c>
      <c r="O1724">
        <v>-0.54582600000000003</v>
      </c>
      <c r="P1724">
        <v>-0.93412479999999998</v>
      </c>
      <c r="Q1724">
        <v>-1.249747E-2</v>
      </c>
      <c r="R1724">
        <v>-0.35672799999999999</v>
      </c>
      <c r="S1724">
        <v>-3.1793819999999999</v>
      </c>
      <c r="T1724">
        <v>-0.68602629999999998</v>
      </c>
      <c r="U1724">
        <v>-0.10098269999999999</v>
      </c>
      <c r="V1724">
        <v>0.21105099999999999</v>
      </c>
      <c r="W1724">
        <v>-1.3987139999999999E-3</v>
      </c>
      <c r="X1724">
        <v>0.97747399999999995</v>
      </c>
      <c r="Y1724">
        <v>0.49627690000000002</v>
      </c>
      <c r="Z1724">
        <v>0.16390550000000001</v>
      </c>
      <c r="AA1724">
        <v>0.85255159999999997</v>
      </c>
      <c r="AB1724">
        <v>20</v>
      </c>
      <c r="AC1724">
        <v>-4.9298999999999999</v>
      </c>
      <c r="AD1724">
        <v>-1.1025697077459999</v>
      </c>
      <c r="AE1724">
        <v>-6.1899999999979999E-2</v>
      </c>
      <c r="AF1724">
        <v>2.5136086934508</v>
      </c>
      <c r="AG1724">
        <v>-1.1025697077459999</v>
      </c>
      <c r="AH1724">
        <v>3.9659982443836101</v>
      </c>
      <c r="AI1724">
        <v>103.214559159627</v>
      </c>
      <c r="AJ1724">
        <v>57.6338995863455</v>
      </c>
      <c r="AK1724">
        <v>4.8231764117316303</v>
      </c>
      <c r="AL1724">
        <v>90.080140439016802</v>
      </c>
      <c r="AM1724">
        <v>77.816036657630306</v>
      </c>
      <c r="AN1724">
        <v>0.99999995083892501</v>
      </c>
    </row>
    <row r="1725" spans="1:40" x14ac:dyDescent="0.25">
      <c r="A1725" t="str">
        <f>"20190312154829993"</f>
        <v>20190312154829993</v>
      </c>
      <c r="B1725" t="str">
        <f>"1552376909987115"</f>
        <v>1552376909987115</v>
      </c>
      <c r="C1725" t="s">
        <v>40</v>
      </c>
      <c r="D1725">
        <v>5.207795</v>
      </c>
      <c r="E1725">
        <v>0.63160689999999997</v>
      </c>
      <c r="F1725" t="s">
        <v>49</v>
      </c>
      <c r="G1725">
        <v>-205.38749999999999</v>
      </c>
      <c r="H1725" s="1">
        <v>4.3853589999999999E-6</v>
      </c>
      <c r="I1725">
        <v>287.14179999999999</v>
      </c>
      <c r="J1725">
        <v>-200.45820000000001</v>
      </c>
      <c r="K1725">
        <v>1.102606</v>
      </c>
      <c r="L1725">
        <v>287.149</v>
      </c>
      <c r="M1725">
        <v>-0.84616480000000005</v>
      </c>
      <c r="N1725">
        <v>0</v>
      </c>
      <c r="O1725">
        <v>-0.5327035</v>
      </c>
      <c r="P1725">
        <v>-0.93921469999999996</v>
      </c>
      <c r="Q1725">
        <v>-1.235789E-2</v>
      </c>
      <c r="R1725">
        <v>-0.34310839999999998</v>
      </c>
      <c r="S1725">
        <v>-3.175217</v>
      </c>
      <c r="T1725">
        <v>-0.68251839999999997</v>
      </c>
      <c r="U1725">
        <v>-7.1289060000000001E-2</v>
      </c>
      <c r="V1725">
        <v>0.210033</v>
      </c>
      <c r="W1725">
        <v>-1.2311609999999999E-3</v>
      </c>
      <c r="X1725">
        <v>0.97769349999999999</v>
      </c>
      <c r="Y1725">
        <v>0.49134820000000001</v>
      </c>
      <c r="Z1725">
        <v>0.16048989999999999</v>
      </c>
      <c r="AA1725">
        <v>0.85604899999999995</v>
      </c>
      <c r="AB1725">
        <v>20</v>
      </c>
      <c r="AC1725">
        <v>-4.92929999999998</v>
      </c>
      <c r="AD1725">
        <v>-1.102601614641</v>
      </c>
      <c r="AE1725">
        <v>-7.2000000000116398E-3</v>
      </c>
      <c r="AF1725">
        <v>2.4952210090667299</v>
      </c>
      <c r="AG1725">
        <v>-1.102601614641</v>
      </c>
      <c r="AH1725">
        <v>3.97636642265967</v>
      </c>
      <c r="AI1725">
        <v>103.217749388383</v>
      </c>
      <c r="AJ1725">
        <v>57.891200792756599</v>
      </c>
      <c r="AK1725">
        <v>4.8221725531084196</v>
      </c>
      <c r="AL1725">
        <v>90.070540348545507</v>
      </c>
      <c r="AM1725">
        <v>77.875704270213205</v>
      </c>
      <c r="AN1725">
        <v>0.99999997839432797</v>
      </c>
    </row>
    <row r="1726" spans="1:40" x14ac:dyDescent="0.25">
      <c r="A1726" t="str">
        <f>"20190312154830013"</f>
        <v>20190312154830013</v>
      </c>
      <c r="B1726" t="str">
        <f>"1552376910007611"</f>
        <v>1552376910007611</v>
      </c>
      <c r="C1726" t="s">
        <v>40</v>
      </c>
      <c r="D1726">
        <v>5.2240890000000002</v>
      </c>
      <c r="E1726">
        <v>0.61667569999999905</v>
      </c>
      <c r="F1726" t="s">
        <v>49</v>
      </c>
      <c r="G1726">
        <v>-205.61519999999999</v>
      </c>
      <c r="H1726" s="1">
        <v>4.4925109999999999E-6</v>
      </c>
      <c r="I1726">
        <v>287.0711</v>
      </c>
      <c r="J1726">
        <v>-200.6165</v>
      </c>
      <c r="K1726">
        <v>1.1026260000000001</v>
      </c>
      <c r="L1726">
        <v>287.06630000000001</v>
      </c>
      <c r="M1726">
        <v>-0.85262909999999903</v>
      </c>
      <c r="N1726">
        <v>0</v>
      </c>
      <c r="O1726">
        <v>-0.52229429999999999</v>
      </c>
      <c r="P1726">
        <v>-0.94310660000000002</v>
      </c>
      <c r="Q1726">
        <v>-1.180057E-2</v>
      </c>
      <c r="R1726">
        <v>-0.3322811</v>
      </c>
      <c r="S1726">
        <v>-3.167786</v>
      </c>
      <c r="T1726">
        <v>-0.67728440000000001</v>
      </c>
      <c r="U1726">
        <v>-4.7851560000000001E-2</v>
      </c>
      <c r="V1726">
        <v>0.209313</v>
      </c>
      <c r="W1726">
        <v>-6.5357700000000002E-4</v>
      </c>
      <c r="X1726">
        <v>0.97784850000000001</v>
      </c>
      <c r="Y1726">
        <v>0.48758849999999998</v>
      </c>
      <c r="Z1726">
        <v>0.15742579999999901</v>
      </c>
      <c r="AA1726">
        <v>0.85876339999999995</v>
      </c>
      <c r="AB1726">
        <v>20</v>
      </c>
      <c r="AC1726">
        <v>-4.9986999999999799</v>
      </c>
      <c r="AD1726">
        <v>-1.102621507489</v>
      </c>
      <c r="AE1726">
        <v>4.7999999999888097E-3</v>
      </c>
      <c r="AF1726">
        <v>2.4938476822990698</v>
      </c>
      <c r="AG1726">
        <v>-1.102621507489</v>
      </c>
      <c r="AH1726">
        <v>4.0623655092560398</v>
      </c>
      <c r="AI1726">
        <v>103.02425977426699</v>
      </c>
      <c r="AJ1726">
        <v>58.454630530793999</v>
      </c>
      <c r="AK1726">
        <v>4.8926336447846701</v>
      </c>
      <c r="AL1726">
        <v>90.037447205452494</v>
      </c>
      <c r="AM1726">
        <v>77.917902337679394</v>
      </c>
      <c r="AN1726">
        <v>1.0000000240420699</v>
      </c>
    </row>
    <row r="1727" spans="1:40" x14ac:dyDescent="0.25">
      <c r="A1727" t="str">
        <f>"20190312154830035"</f>
        <v>20190312154830035</v>
      </c>
      <c r="B1727" t="str">
        <f>"1552376910027131"</f>
        <v>1552376910027131</v>
      </c>
      <c r="C1727" t="s">
        <v>40</v>
      </c>
      <c r="D1727">
        <v>5.2585730000000002</v>
      </c>
      <c r="E1727">
        <v>0.61614159999999996</v>
      </c>
      <c r="F1727" t="s">
        <v>49</v>
      </c>
      <c r="G1727">
        <v>-205.97470000000001</v>
      </c>
      <c r="H1727" s="1">
        <v>4.6707839999999998E-6</v>
      </c>
      <c r="I1727">
        <v>286.85500000000002</v>
      </c>
      <c r="J1727">
        <v>-200.79810000000001</v>
      </c>
      <c r="K1727">
        <v>1.1026590000000001</v>
      </c>
      <c r="L1727">
        <v>286.97449999999998</v>
      </c>
      <c r="M1727">
        <v>-0.85983589999999999</v>
      </c>
      <c r="N1727">
        <v>0</v>
      </c>
      <c r="O1727">
        <v>-0.5103432</v>
      </c>
      <c r="P1727">
        <v>-0.94726120000000003</v>
      </c>
      <c r="Q1727">
        <v>-1.1637E-2</v>
      </c>
      <c r="R1727">
        <v>-0.32025090000000001</v>
      </c>
      <c r="S1727">
        <v>-3.1294400000000002</v>
      </c>
      <c r="T1727">
        <v>-0.64399280000000003</v>
      </c>
      <c r="U1727">
        <v>-0.1234131</v>
      </c>
      <c r="V1727">
        <v>0.2081143</v>
      </c>
      <c r="W1727">
        <v>-4.594175E-4</v>
      </c>
      <c r="X1727">
        <v>0.97810439999999998</v>
      </c>
      <c r="Y1727">
        <v>0.4567968</v>
      </c>
      <c r="Z1727">
        <v>0.1461963</v>
      </c>
      <c r="AA1727">
        <v>0.87747559999999902</v>
      </c>
      <c r="AB1727">
        <v>20</v>
      </c>
      <c r="AC1727">
        <v>-5.1765999999999996</v>
      </c>
      <c r="AD1727">
        <v>-1.102654329216</v>
      </c>
      <c r="AE1727">
        <v>-0.119499999999959</v>
      </c>
      <c r="AF1727">
        <v>2.4292262944460399</v>
      </c>
      <c r="AG1727">
        <v>-1.102654329216</v>
      </c>
      <c r="AH1727">
        <v>4.3167788086266503</v>
      </c>
      <c r="AI1727">
        <v>102.549847399648</v>
      </c>
      <c r="AJ1727">
        <v>60.631779621781099</v>
      </c>
      <c r="AK1727">
        <v>5.07460010660692</v>
      </c>
      <c r="AL1727">
        <v>90.026322684839002</v>
      </c>
      <c r="AM1727">
        <v>77.988130397331901</v>
      </c>
      <c r="AN1727">
        <v>0.99999999511414395</v>
      </c>
    </row>
    <row r="1728" spans="1:40" x14ac:dyDescent="0.25">
      <c r="A1728" t="str">
        <f>"20190312154830057"</f>
        <v>20190312154830057</v>
      </c>
      <c r="B1728" t="str">
        <f>"1552376910047627"</f>
        <v>1552376910047627</v>
      </c>
      <c r="C1728" t="s">
        <v>40</v>
      </c>
      <c r="D1728">
        <v>5.2268619999999997</v>
      </c>
      <c r="E1728">
        <v>0.61474209999999996</v>
      </c>
      <c r="F1728" t="s">
        <v>49</v>
      </c>
      <c r="G1728">
        <v>-206.16419999999999</v>
      </c>
      <c r="H1728" s="1">
        <v>4.7575139999999997E-6</v>
      </c>
      <c r="I1728">
        <v>286.82459999999998</v>
      </c>
      <c r="J1728">
        <v>-200.9744</v>
      </c>
      <c r="K1728">
        <v>1.102689</v>
      </c>
      <c r="L1728">
        <v>286.88839999999999</v>
      </c>
      <c r="M1728">
        <v>-0.8666277</v>
      </c>
      <c r="N1728">
        <v>0</v>
      </c>
      <c r="O1728">
        <v>-0.49872300000000003</v>
      </c>
      <c r="P1728">
        <v>-0.9511309</v>
      </c>
      <c r="Q1728">
        <v>-1.1627530000000001E-2</v>
      </c>
      <c r="R1728">
        <v>-0.30856869999999997</v>
      </c>
      <c r="S1728">
        <v>-3.129562</v>
      </c>
      <c r="T1728">
        <v>-0.64307749999999997</v>
      </c>
      <c r="U1728">
        <v>-8.7463379999999993E-2</v>
      </c>
      <c r="V1728">
        <v>0.206986</v>
      </c>
      <c r="W1728">
        <v>-4.2118409999999999E-4</v>
      </c>
      <c r="X1728">
        <v>0.97834379999999999</v>
      </c>
      <c r="Y1728">
        <v>0.45527410000000001</v>
      </c>
      <c r="Z1728">
        <v>0.14386889999999999</v>
      </c>
      <c r="AA1728">
        <v>0.87865079999999995</v>
      </c>
      <c r="AB1728">
        <v>20</v>
      </c>
      <c r="AC1728">
        <v>-5.1897999999999902</v>
      </c>
      <c r="AD1728">
        <v>-1.1026842424859999</v>
      </c>
      <c r="AE1728">
        <v>-6.3800000000014706E-2</v>
      </c>
      <c r="AF1728">
        <v>2.4238685467741599</v>
      </c>
      <c r="AG1728">
        <v>-1.1026842424859999</v>
      </c>
      <c r="AH1728">
        <v>4.3343281944150398</v>
      </c>
      <c r="AI1728">
        <v>102.519133254133</v>
      </c>
      <c r="AJ1728">
        <v>60.784949402204198</v>
      </c>
      <c r="AK1728">
        <v>5.0869885165556603</v>
      </c>
      <c r="AL1728">
        <v>90.024132072372197</v>
      </c>
      <c r="AM1728">
        <v>78.054216395594906</v>
      </c>
      <c r="AN1728">
        <v>0.999999986295242</v>
      </c>
    </row>
    <row r="1729" spans="1:40" x14ac:dyDescent="0.25">
      <c r="A1729" t="str">
        <f>"20190312154830082"</f>
        <v>20190312154830082</v>
      </c>
      <c r="B1729" t="str">
        <f>"1552376910077883"</f>
        <v>1552376910077883</v>
      </c>
      <c r="C1729" t="s">
        <v>40</v>
      </c>
      <c r="D1729">
        <v>5.2612389999999998</v>
      </c>
      <c r="E1729">
        <v>0.60465649999999904</v>
      </c>
      <c r="F1729" t="s">
        <v>49</v>
      </c>
      <c r="G1729">
        <v>-206.38249999999999</v>
      </c>
      <c r="H1729" s="1">
        <v>4.8577299999999997E-6</v>
      </c>
      <c r="I1729">
        <v>286.78530000000001</v>
      </c>
      <c r="J1729">
        <v>-201.17830000000001</v>
      </c>
      <c r="K1729">
        <v>1.1027149999999999</v>
      </c>
      <c r="L1729">
        <v>286.79230000000001</v>
      </c>
      <c r="M1729">
        <v>-0.87423930000000005</v>
      </c>
      <c r="N1729">
        <v>0</v>
      </c>
      <c r="O1729">
        <v>-0.4852571</v>
      </c>
      <c r="P1729">
        <v>-0.95550539999999995</v>
      </c>
      <c r="Q1729">
        <v>-1.16367E-2</v>
      </c>
      <c r="R1729">
        <v>-0.29474440000000002</v>
      </c>
      <c r="S1729">
        <v>-3.1269840000000002</v>
      </c>
      <c r="T1729">
        <v>-0.63758119999999996</v>
      </c>
      <c r="U1729">
        <v>-5.963135E-2</v>
      </c>
      <c r="V1729">
        <v>0.20603769999999999</v>
      </c>
      <c r="W1729">
        <v>-4.0480049999999998E-4</v>
      </c>
      <c r="X1729">
        <v>0.97854399999999997</v>
      </c>
      <c r="Y1729">
        <v>0.4500363</v>
      </c>
      <c r="Z1729">
        <v>0.1399214</v>
      </c>
      <c r="AA1729">
        <v>0.8819804</v>
      </c>
      <c r="AB1729">
        <v>20</v>
      </c>
      <c r="AC1729">
        <v>-5.2041999999999797</v>
      </c>
      <c r="AD1729">
        <v>-1.1027101422700001</v>
      </c>
      <c r="AE1729">
        <v>-7.0000000000049996E-3</v>
      </c>
      <c r="AF1729">
        <v>2.4112878321445499</v>
      </c>
      <c r="AG1729">
        <v>-1.1027101422700001</v>
      </c>
      <c r="AH1729">
        <v>4.35798062331203</v>
      </c>
      <c r="AI1729">
        <v>102.483982725045</v>
      </c>
      <c r="AJ1729">
        <v>61.0440719352939</v>
      </c>
      <c r="AK1729">
        <v>5.1012031698881204</v>
      </c>
      <c r="AL1729">
        <v>90.023193360159993</v>
      </c>
      <c r="AM1729">
        <v>78.109747598323807</v>
      </c>
      <c r="AN1729">
        <v>1.0000000288103601</v>
      </c>
    </row>
    <row r="1730" spans="1:40" x14ac:dyDescent="0.25">
      <c r="A1730" t="str">
        <f>"20190312154830104"</f>
        <v>20190312154830104</v>
      </c>
      <c r="B1730" t="str">
        <f>"1552376910097402"</f>
        <v>1552376910097402</v>
      </c>
      <c r="C1730" t="s">
        <v>40</v>
      </c>
      <c r="D1730">
        <v>5.264367</v>
      </c>
      <c r="E1730">
        <v>0.60327779999999998</v>
      </c>
      <c r="F1730" t="s">
        <v>49</v>
      </c>
      <c r="G1730">
        <v>-206.61269999999999</v>
      </c>
      <c r="H1730" s="1">
        <v>4.9732330000000004E-6</v>
      </c>
      <c r="I1730">
        <v>286.63220000000001</v>
      </c>
      <c r="J1730">
        <v>-201.3519</v>
      </c>
      <c r="K1730">
        <v>1.102735</v>
      </c>
      <c r="L1730">
        <v>286.71359999999999</v>
      </c>
      <c r="M1730">
        <v>-0.88051270000000004</v>
      </c>
      <c r="N1730">
        <v>0</v>
      </c>
      <c r="O1730">
        <v>-0.4737789</v>
      </c>
      <c r="P1730">
        <v>-0.95895739999999996</v>
      </c>
      <c r="Q1730">
        <v>-1.1859629999999999E-2</v>
      </c>
      <c r="R1730">
        <v>-0.28330270000000002</v>
      </c>
      <c r="S1730">
        <v>-3.1038060000000001</v>
      </c>
      <c r="T1730">
        <v>-0.62980219999999998</v>
      </c>
      <c r="U1730">
        <v>-9.1461180000000003E-2</v>
      </c>
      <c r="V1730">
        <v>0.20492730000000001</v>
      </c>
      <c r="W1730">
        <v>-5.9999109999999995E-4</v>
      </c>
      <c r="X1730">
        <v>0.97877700000000001</v>
      </c>
      <c r="Y1730">
        <v>0.4299692</v>
      </c>
      <c r="Z1730">
        <v>0.1351195</v>
      </c>
      <c r="AA1730">
        <v>0.89267529999999995</v>
      </c>
      <c r="AB1730">
        <v>19</v>
      </c>
      <c r="AC1730">
        <v>-5.2607999999999802</v>
      </c>
      <c r="AD1730">
        <v>-1.1027300267669999</v>
      </c>
      <c r="AE1730">
        <v>-8.1399999999973702E-2</v>
      </c>
      <c r="AF1730">
        <v>2.3191871079158002</v>
      </c>
      <c r="AG1730">
        <v>-1.1027300267669999</v>
      </c>
      <c r="AH1730">
        <v>4.4747444516600501</v>
      </c>
      <c r="AI1730">
        <v>102.341496467192</v>
      </c>
      <c r="AJ1730">
        <v>62.603028903593398</v>
      </c>
      <c r="AK1730">
        <v>5.15926160037644</v>
      </c>
      <c r="AL1730">
        <v>90.034376960284803</v>
      </c>
      <c r="AM1730">
        <v>78.174754390770602</v>
      </c>
      <c r="AN1730">
        <v>0.99999998700180404</v>
      </c>
    </row>
    <row r="1731" spans="1:40" x14ac:dyDescent="0.25">
      <c r="A1731" t="str">
        <f>"20190312154830127"</f>
        <v>20190312154830127</v>
      </c>
      <c r="B1731" t="str">
        <f>"1552376910117899"</f>
        <v>1552376910117899</v>
      </c>
      <c r="C1731" t="s">
        <v>40</v>
      </c>
      <c r="D1731">
        <v>5.2732020000000004</v>
      </c>
      <c r="E1731">
        <v>0.6025471</v>
      </c>
      <c r="F1731" t="s">
        <v>49</v>
      </c>
      <c r="G1731">
        <v>-206.76900000000001</v>
      </c>
      <c r="H1731" s="1">
        <v>5.0453330000000001E-6</v>
      </c>
      <c r="I1731">
        <v>286.59989999999999</v>
      </c>
      <c r="J1731">
        <v>-201.5401</v>
      </c>
      <c r="K1731">
        <v>1.1027549999999999</v>
      </c>
      <c r="L1731">
        <v>286.63139999999999</v>
      </c>
      <c r="M1731">
        <v>-0.88710449999999996</v>
      </c>
      <c r="N1731">
        <v>0</v>
      </c>
      <c r="O1731">
        <v>-0.46131860000000002</v>
      </c>
      <c r="P1731">
        <v>-0.96229260000000005</v>
      </c>
      <c r="Q1731">
        <v>-1.221996E-2</v>
      </c>
      <c r="R1731">
        <v>-0.27174209999999999</v>
      </c>
      <c r="S1731">
        <v>-3.1013489999999999</v>
      </c>
      <c r="T1731">
        <v>-0.63133430000000001</v>
      </c>
      <c r="U1731">
        <v>-6.5124509999999997E-2</v>
      </c>
      <c r="V1731">
        <v>0.20289860000000001</v>
      </c>
      <c r="W1731">
        <v>-9.1333970000000001E-4</v>
      </c>
      <c r="X1731">
        <v>0.97919929999999999</v>
      </c>
      <c r="Y1731">
        <v>0.42508580000000001</v>
      </c>
      <c r="Z1731">
        <v>0.13286529999999999</v>
      </c>
      <c r="AA1731">
        <v>0.89534849999999999</v>
      </c>
      <c r="AB1731">
        <v>19</v>
      </c>
      <c r="AC1731">
        <v>-5.2289000000000003</v>
      </c>
      <c r="AD1731">
        <v>-1.1027499546670001</v>
      </c>
      <c r="AE1731">
        <v>-3.1499999999993998E-2</v>
      </c>
      <c r="AF1731">
        <v>2.2829840570179698</v>
      </c>
      <c r="AG1731">
        <v>-1.1027499546670001</v>
      </c>
      <c r="AH1731">
        <v>4.4554904954762398</v>
      </c>
      <c r="AI1731">
        <v>102.422217783538</v>
      </c>
      <c r="AJ1731">
        <v>62.869492727792</v>
      </c>
      <c r="AK1731">
        <v>5.1263504779126698</v>
      </c>
      <c r="AL1731">
        <v>90.052330518781403</v>
      </c>
      <c r="AM1731">
        <v>78.293482046329501</v>
      </c>
      <c r="AN1731">
        <v>0.99999997259592799</v>
      </c>
    </row>
    <row r="1732" spans="1:40" x14ac:dyDescent="0.25">
      <c r="A1732" t="str">
        <f>"20190312154830146"</f>
        <v>20190312154830146</v>
      </c>
      <c r="B1732" t="str">
        <f>"1552376910137418"</f>
        <v>1552376910137418</v>
      </c>
      <c r="C1732" t="s">
        <v>40</v>
      </c>
      <c r="D1732">
        <v>5.2908099999999996</v>
      </c>
      <c r="E1732">
        <v>0.60086809999999902</v>
      </c>
      <c r="F1732" t="s">
        <v>49</v>
      </c>
      <c r="G1732">
        <v>-206.99879999999999</v>
      </c>
      <c r="H1732" s="1">
        <v>5.1495030000000003E-6</v>
      </c>
      <c r="I1732">
        <v>286.57420000000002</v>
      </c>
      <c r="J1732">
        <v>-201.70410000000001</v>
      </c>
      <c r="K1732">
        <v>1.1027750000000001</v>
      </c>
      <c r="L1732">
        <v>286.56229999999999</v>
      </c>
      <c r="M1732">
        <v>-0.89267549999999996</v>
      </c>
      <c r="N1732">
        <v>0</v>
      </c>
      <c r="O1732">
        <v>-0.45044380000000001</v>
      </c>
      <c r="P1732">
        <v>-0.96508709999999998</v>
      </c>
      <c r="Q1732">
        <v>-1.1382710000000001E-2</v>
      </c>
      <c r="R1732">
        <v>-0.26168130000000001</v>
      </c>
      <c r="S1732">
        <v>-3.1004179999999999</v>
      </c>
      <c r="T1732">
        <v>-0.62633969999999894</v>
      </c>
      <c r="U1732">
        <v>-3.2501219999999997E-2</v>
      </c>
      <c r="V1732">
        <v>0.20117460000000001</v>
      </c>
      <c r="W1732" s="1">
        <v>-3.6158600000000003E-5</v>
      </c>
      <c r="X1732">
        <v>0.97955539999999997</v>
      </c>
      <c r="Y1732">
        <v>0.42398989999999998</v>
      </c>
      <c r="Z1732">
        <v>0.1298648</v>
      </c>
      <c r="AA1732">
        <v>0.89630779999999999</v>
      </c>
      <c r="AB1732">
        <v>19</v>
      </c>
      <c r="AC1732">
        <v>-5.2946999999999704</v>
      </c>
      <c r="AD1732">
        <v>-1.102769850497</v>
      </c>
      <c r="AE1732">
        <v>1.19000000000255E-2</v>
      </c>
      <c r="AF1732">
        <v>2.29625375422897</v>
      </c>
      <c r="AG1732">
        <v>-1.102769850497</v>
      </c>
      <c r="AH1732">
        <v>4.5253271081604796</v>
      </c>
      <c r="AI1732">
        <v>102.26046318641301</v>
      </c>
      <c r="AJ1732">
        <v>63.095727914575797</v>
      </c>
      <c r="AK1732">
        <v>5.1930210940095298</v>
      </c>
      <c r="AL1732">
        <v>90.002071735170702</v>
      </c>
      <c r="AM1732">
        <v>78.394345162740706</v>
      </c>
      <c r="AN1732">
        <v>1.0000000013308801</v>
      </c>
    </row>
    <row r="1733" spans="1:40" x14ac:dyDescent="0.25">
      <c r="A1733" t="str">
        <f>"20190312154830168"</f>
        <v>20190312154830168</v>
      </c>
      <c r="B1733" t="str">
        <f>"1552376910157916"</f>
        <v>1552376910157916</v>
      </c>
      <c r="C1733" t="s">
        <v>40</v>
      </c>
      <c r="D1733">
        <v>5.1068730000000002</v>
      </c>
      <c r="E1733">
        <v>0.60555829999999999</v>
      </c>
      <c r="F1733" t="s">
        <v>49</v>
      </c>
      <c r="G1733">
        <v>-207.226</v>
      </c>
      <c r="H1733" s="1">
        <v>5.2533519999999999E-6</v>
      </c>
      <c r="I1733">
        <v>286.53859999999997</v>
      </c>
      <c r="J1733">
        <v>-201.88740000000001</v>
      </c>
      <c r="K1733">
        <v>1.1028089999999999</v>
      </c>
      <c r="L1733">
        <v>286.488</v>
      </c>
      <c r="M1733">
        <v>-0.89870879999999997</v>
      </c>
      <c r="N1733">
        <v>0</v>
      </c>
      <c r="O1733">
        <v>-0.43828349999999999</v>
      </c>
      <c r="P1733">
        <v>-0.96809460000000003</v>
      </c>
      <c r="Q1733">
        <v>-1.0633439999999999E-2</v>
      </c>
      <c r="R1733">
        <v>-0.25035950000000001</v>
      </c>
      <c r="S1733">
        <v>-3.0976409999999999</v>
      </c>
      <c r="T1733">
        <v>-0.61863480000000004</v>
      </c>
      <c r="U1733">
        <v>-1.3275149999999999E-2</v>
      </c>
      <c r="V1733">
        <v>0.1993663</v>
      </c>
      <c r="W1733">
        <v>7.5465839999999998E-4</v>
      </c>
      <c r="X1733">
        <v>0.97992469999999998</v>
      </c>
      <c r="Y1733">
        <v>0.41804069999999999</v>
      </c>
      <c r="Z1733">
        <v>0.12566840000000001</v>
      </c>
      <c r="AA1733">
        <v>0.89969409999999905</v>
      </c>
      <c r="AB1733">
        <v>19</v>
      </c>
      <c r="AC1733">
        <v>-5.33859999999998</v>
      </c>
      <c r="AD1733">
        <v>-1.1028037466479901</v>
      </c>
      <c r="AE1733">
        <v>5.0599999999974402E-2</v>
      </c>
      <c r="AF1733">
        <v>2.2879471735242101</v>
      </c>
      <c r="AG1733">
        <v>-1.1028037466479901</v>
      </c>
      <c r="AH1733">
        <v>4.5807667724676797</v>
      </c>
      <c r="AI1733">
        <v>102.15447263765201</v>
      </c>
      <c r="AJ1733">
        <v>63.459331535337299</v>
      </c>
      <c r="AK1733">
        <v>5.2377764935325697</v>
      </c>
      <c r="AL1733">
        <v>89.956761252629093</v>
      </c>
      <c r="AM1733">
        <v>78.500091712499</v>
      </c>
      <c r="AN1733">
        <v>0.99999995437753897</v>
      </c>
    </row>
    <row r="1734" spans="1:40" x14ac:dyDescent="0.25">
      <c r="A1734" t="str">
        <f>"20190312154830190"</f>
        <v>20190312154830190</v>
      </c>
      <c r="B1734" t="str">
        <f>"1552376910177435"</f>
        <v>1552376910177435</v>
      </c>
      <c r="C1734" t="s">
        <v>40</v>
      </c>
      <c r="D1734">
        <v>5.1232259999999998</v>
      </c>
      <c r="E1734">
        <v>0.60677490000000001</v>
      </c>
      <c r="F1734" t="s">
        <v>50</v>
      </c>
      <c r="G1734">
        <v>-210.77629999999999</v>
      </c>
      <c r="H1734" s="1">
        <v>-1.123695E-6</v>
      </c>
      <c r="I1734">
        <v>286.66199999999998</v>
      </c>
      <c r="J1734">
        <v>-202.0694</v>
      </c>
      <c r="K1734">
        <v>1.102841</v>
      </c>
      <c r="L1734">
        <v>286.4169</v>
      </c>
      <c r="M1734">
        <v>-0.90450949999999997</v>
      </c>
      <c r="N1734">
        <v>0</v>
      </c>
      <c r="O1734">
        <v>-0.42618349999999999</v>
      </c>
      <c r="P1734">
        <v>-0.97087939999999995</v>
      </c>
      <c r="Q1734">
        <v>-1.0658880000000001E-2</v>
      </c>
      <c r="R1734">
        <v>-0.2393315</v>
      </c>
      <c r="S1734">
        <v>-3.110382</v>
      </c>
      <c r="T1734">
        <v>-0.38589269999999998</v>
      </c>
      <c r="U1734">
        <v>6.0882569999999997E-2</v>
      </c>
      <c r="V1734">
        <v>0.1973615</v>
      </c>
      <c r="W1734">
        <v>7.7516239999999995E-4</v>
      </c>
      <c r="X1734">
        <v>0.98033049999999999</v>
      </c>
      <c r="Y1734">
        <v>0.4373862</v>
      </c>
      <c r="Z1734">
        <v>7.843116E-2</v>
      </c>
      <c r="AA1734">
        <v>0.89584699999999995</v>
      </c>
      <c r="AB1734">
        <v>19</v>
      </c>
      <c r="AC1734">
        <v>-8.7068999999999903</v>
      </c>
      <c r="AD1734">
        <v>-1.1028421236949999</v>
      </c>
      <c r="AE1734">
        <v>0.24510000000003601</v>
      </c>
      <c r="AF1734">
        <v>3.8708324790946098</v>
      </c>
      <c r="AG1734">
        <v>-1.1028421236949999</v>
      </c>
      <c r="AH1734">
        <v>7.6492864579100299</v>
      </c>
      <c r="AI1734">
        <v>97.330415700339202</v>
      </c>
      <c r="AJ1734">
        <v>63.158839204372697</v>
      </c>
      <c r="AK1734">
        <v>8.6435633940045502</v>
      </c>
      <c r="AL1734">
        <v>89.955586462745003</v>
      </c>
      <c r="AM1734">
        <v>78.617287854398</v>
      </c>
      <c r="AN1734">
        <v>1.00000002589462</v>
      </c>
    </row>
    <row r="1735" spans="1:40" x14ac:dyDescent="0.25">
      <c r="A1735" t="str">
        <f>"20190312154830213"</f>
        <v>20190312154830213</v>
      </c>
      <c r="B1735" t="str">
        <f>"1552376910207691"</f>
        <v>1552376910207691</v>
      </c>
      <c r="C1735" t="s">
        <v>40</v>
      </c>
      <c r="D1735">
        <v>5.1446769999999997</v>
      </c>
      <c r="E1735">
        <v>0.60426709999999995</v>
      </c>
      <c r="F1735" t="s">
        <v>50</v>
      </c>
      <c r="G1735">
        <v>-210.66040000000001</v>
      </c>
      <c r="H1735" s="1">
        <v>-1.1853549999999999E-6</v>
      </c>
      <c r="I1735">
        <v>286.70890000000003</v>
      </c>
      <c r="J1735">
        <v>-202.26159999999999</v>
      </c>
      <c r="K1735">
        <v>1.102862</v>
      </c>
      <c r="L1735">
        <v>286.34500000000003</v>
      </c>
      <c r="M1735">
        <v>-0.91042679999999998</v>
      </c>
      <c r="N1735">
        <v>0</v>
      </c>
      <c r="O1735">
        <v>-0.41339199999999998</v>
      </c>
      <c r="P1735">
        <v>-0.97361640000000005</v>
      </c>
      <c r="Q1735">
        <v>-1.089774E-2</v>
      </c>
      <c r="R1735">
        <v>-0.22793040000000001</v>
      </c>
      <c r="S1735">
        <v>-3.1116489999999999</v>
      </c>
      <c r="T1735">
        <v>-0.39944819999999998</v>
      </c>
      <c r="U1735">
        <v>0.1057434</v>
      </c>
      <c r="V1735">
        <v>0.1950335</v>
      </c>
      <c r="W1735">
        <v>5.877654E-4</v>
      </c>
      <c r="X1735">
        <v>0.98079640000000001</v>
      </c>
      <c r="Y1735">
        <v>0.43728739999999999</v>
      </c>
      <c r="Z1735">
        <v>7.96375E-2</v>
      </c>
      <c r="AA1735">
        <v>0.89578880000000005</v>
      </c>
      <c r="AB1735">
        <v>19</v>
      </c>
      <c r="AC1735">
        <v>-8.3988000000000191</v>
      </c>
      <c r="AD1735">
        <v>-1.1028631853549999</v>
      </c>
      <c r="AE1735">
        <v>0.363900000000001</v>
      </c>
      <c r="AF1735">
        <v>3.73938193130014</v>
      </c>
      <c r="AG1735">
        <v>-1.1028631853549999</v>
      </c>
      <c r="AH1735">
        <v>7.37007884434641</v>
      </c>
      <c r="AI1735">
        <v>97.601027752608502</v>
      </c>
      <c r="AJ1735">
        <v>63.097975003704498</v>
      </c>
      <c r="AK1735">
        <v>8.3377063156258906</v>
      </c>
      <c r="AL1735">
        <v>89.9663235211261</v>
      </c>
      <c r="AM1735">
        <v>78.753317398880299</v>
      </c>
      <c r="AN1735">
        <v>0.99999999492168701</v>
      </c>
    </row>
    <row r="1736" spans="1:40" x14ac:dyDescent="0.25">
      <c r="A1736" t="str">
        <f>"20190312154830235"</f>
        <v>20190312154830235</v>
      </c>
      <c r="B1736" t="str">
        <f>"1552376910227211"</f>
        <v>1552376910227211</v>
      </c>
      <c r="C1736" t="s">
        <v>40</v>
      </c>
      <c r="D1736">
        <v>5.1884600000000001</v>
      </c>
      <c r="E1736">
        <v>0.60350319999999902</v>
      </c>
      <c r="F1736" t="s">
        <v>50</v>
      </c>
      <c r="G1736">
        <v>-210.81790000000001</v>
      </c>
      <c r="H1736" s="1">
        <v>-1.101525E-6</v>
      </c>
      <c r="I1736">
        <v>286.68389999999999</v>
      </c>
      <c r="J1736">
        <v>-202.44630000000001</v>
      </c>
      <c r="K1736">
        <v>1.1028929999999999</v>
      </c>
      <c r="L1736">
        <v>286.27870000000001</v>
      </c>
      <c r="M1736">
        <v>-0.91591549999999999</v>
      </c>
      <c r="N1736">
        <v>0</v>
      </c>
      <c r="O1736">
        <v>-0.40108450000000001</v>
      </c>
      <c r="P1736">
        <v>-0.97618400000000005</v>
      </c>
      <c r="Q1736">
        <v>-1.1282149999999999E-2</v>
      </c>
      <c r="R1736">
        <v>-0.21665119999999999</v>
      </c>
      <c r="S1736">
        <v>-3.1056370000000002</v>
      </c>
      <c r="T1736">
        <v>-0.40029880000000001</v>
      </c>
      <c r="U1736">
        <v>0.12298580000000001</v>
      </c>
      <c r="V1736">
        <v>0.19315360000000001</v>
      </c>
      <c r="W1736">
        <v>2.4539599999999999E-4</v>
      </c>
      <c r="X1736">
        <v>0.9811685</v>
      </c>
      <c r="Y1736">
        <v>0.43031409999999998</v>
      </c>
      <c r="Z1736">
        <v>7.8047640000000001E-2</v>
      </c>
      <c r="AA1736">
        <v>0.89929879999999995</v>
      </c>
      <c r="AB1736">
        <v>19</v>
      </c>
      <c r="AC1736">
        <v>-8.3716000000000008</v>
      </c>
      <c r="AD1736">
        <v>-1.102894101525</v>
      </c>
      <c r="AE1736">
        <v>0.40519999999997902</v>
      </c>
      <c r="AF1736">
        <v>3.6658017865330299</v>
      </c>
      <c r="AG1736">
        <v>-1.102894101525</v>
      </c>
      <c r="AH1736">
        <v>7.37826392529717</v>
      </c>
      <c r="AI1736">
        <v>97.624672626837096</v>
      </c>
      <c r="AJ1736">
        <v>63.580068120495802</v>
      </c>
      <c r="AK1736">
        <v>8.3122353605194004</v>
      </c>
      <c r="AL1736">
        <v>89.985939844740997</v>
      </c>
      <c r="AM1736">
        <v>78.863117466007793</v>
      </c>
      <c r="AN1736">
        <v>0.99999999940220297</v>
      </c>
    </row>
    <row r="1737" spans="1:40" x14ac:dyDescent="0.25">
      <c r="A1737" t="str">
        <f>"20190312154830257"</f>
        <v>20190312154830257</v>
      </c>
      <c r="B1737" t="str">
        <f>"1552376910247707"</f>
        <v>1552376910247707</v>
      </c>
      <c r="C1737" t="s">
        <v>40</v>
      </c>
      <c r="D1737">
        <v>5.1672900000000004</v>
      </c>
      <c r="E1737">
        <v>0.58014509999999997</v>
      </c>
      <c r="F1737" t="s">
        <v>50</v>
      </c>
      <c r="G1737">
        <v>-210.91480000000001</v>
      </c>
      <c r="H1737" s="1">
        <v>-1.049995E-6</v>
      </c>
      <c r="I1737">
        <v>286.69600000000003</v>
      </c>
      <c r="J1737">
        <v>-202.626</v>
      </c>
      <c r="K1737">
        <v>1.102927</v>
      </c>
      <c r="L1737">
        <v>286.21690000000001</v>
      </c>
      <c r="M1737">
        <v>-0.92107150000000004</v>
      </c>
      <c r="N1737">
        <v>0</v>
      </c>
      <c r="O1737">
        <v>-0.38909860000000002</v>
      </c>
      <c r="P1737">
        <v>-0.97853020000000002</v>
      </c>
      <c r="Q1737">
        <v>-1.070364E-2</v>
      </c>
      <c r="R1737">
        <v>-0.20582600000000001</v>
      </c>
      <c r="S1737">
        <v>-3.1024479999999999</v>
      </c>
      <c r="T1737">
        <v>-0.40404689999999999</v>
      </c>
      <c r="U1737">
        <v>0.15286250000000001</v>
      </c>
      <c r="V1737">
        <v>0.1912297</v>
      </c>
      <c r="W1737">
        <v>8.6766879999999999E-4</v>
      </c>
      <c r="X1737">
        <v>0.98154490000000005</v>
      </c>
      <c r="Y1737">
        <v>0.42722880000000002</v>
      </c>
      <c r="Z1737">
        <v>7.7205019999999999E-2</v>
      </c>
      <c r="AA1737">
        <v>0.90084120000000001</v>
      </c>
      <c r="AB1737">
        <v>19</v>
      </c>
      <c r="AC1737">
        <v>-8.2888000000000304</v>
      </c>
      <c r="AD1737">
        <v>-1.102928049995</v>
      </c>
      <c r="AE1737">
        <v>0.479099999999959</v>
      </c>
      <c r="AF1737">
        <v>3.6032808880706102</v>
      </c>
      <c r="AG1737">
        <v>-1.102928049995</v>
      </c>
      <c r="AH1737">
        <v>7.3198445935741203</v>
      </c>
      <c r="AI1737">
        <v>97.698853307761198</v>
      </c>
      <c r="AJ1737">
        <v>63.790732112552597</v>
      </c>
      <c r="AK1737">
        <v>8.2328736365789705</v>
      </c>
      <c r="AL1737">
        <v>89.950286232058502</v>
      </c>
      <c r="AM1737">
        <v>78.975438691406495</v>
      </c>
      <c r="AN1737">
        <v>0.99999997086362202</v>
      </c>
    </row>
    <row r="1738" spans="1:40" x14ac:dyDescent="0.25">
      <c r="A1738" t="str">
        <f>"20190312154830280"</f>
        <v>20190312154830280</v>
      </c>
      <c r="B1738" t="str">
        <f>"1552376910267231"</f>
        <v>1552376910267231</v>
      </c>
      <c r="C1738" t="s">
        <v>40</v>
      </c>
      <c r="D1738">
        <v>5.128679</v>
      </c>
      <c r="E1738">
        <v>0.57874329999999996</v>
      </c>
      <c r="F1738" t="s">
        <v>50</v>
      </c>
      <c r="G1738">
        <v>-211.17</v>
      </c>
      <c r="H1738" s="1">
        <v>-9.1416420000000002E-7</v>
      </c>
      <c r="I1738">
        <v>286.22980000000001</v>
      </c>
      <c r="J1738">
        <v>-202.82210000000001</v>
      </c>
      <c r="K1738">
        <v>1.1029599999999999</v>
      </c>
      <c r="L1738">
        <v>286.1524</v>
      </c>
      <c r="M1738">
        <v>-0.92649360000000003</v>
      </c>
      <c r="N1738">
        <v>0</v>
      </c>
      <c r="O1738">
        <v>-0.37600620000000001</v>
      </c>
      <c r="P1738">
        <v>-0.98097069999999997</v>
      </c>
      <c r="Q1738">
        <v>-1.0407629999999999E-2</v>
      </c>
      <c r="R1738">
        <v>-0.1938781</v>
      </c>
      <c r="S1738">
        <v>-3.0624690000000001</v>
      </c>
      <c r="T1738">
        <v>-0.39532539999999999</v>
      </c>
      <c r="U1738">
        <v>4.6081539999999997E-3</v>
      </c>
      <c r="V1738">
        <v>0.18929480000000001</v>
      </c>
      <c r="W1738">
        <v>1.20813E-3</v>
      </c>
      <c r="X1738">
        <v>0.9819196</v>
      </c>
      <c r="Y1738">
        <v>0.37136010000000003</v>
      </c>
      <c r="Z1738">
        <v>7.129125E-2</v>
      </c>
      <c r="AA1738">
        <v>0.92574789999999996</v>
      </c>
      <c r="AB1738">
        <v>19</v>
      </c>
      <c r="AC1738">
        <v>-8.3478999999999797</v>
      </c>
      <c r="AD1738">
        <v>-1.1029609141641901</v>
      </c>
      <c r="AE1738">
        <v>7.7400000000011404E-2</v>
      </c>
      <c r="AF1738">
        <v>3.15585383248537</v>
      </c>
      <c r="AG1738">
        <v>-1.1029609141641901</v>
      </c>
      <c r="AH1738">
        <v>7.5738510493099902</v>
      </c>
      <c r="AI1738">
        <v>97.656081731611394</v>
      </c>
      <c r="AJ1738">
        <v>67.379602870345806</v>
      </c>
      <c r="AK1738">
        <v>8.2788378355491794</v>
      </c>
      <c r="AL1738">
        <v>89.9307792358873</v>
      </c>
      <c r="AM1738">
        <v>79.088359988420706</v>
      </c>
      <c r="AN1738">
        <v>1.0000000408746399</v>
      </c>
    </row>
    <row r="1739" spans="1:40" x14ac:dyDescent="0.25">
      <c r="A1739" t="str">
        <f>"20190312154830303"</f>
        <v>20190312154830303</v>
      </c>
      <c r="B1739" t="str">
        <f>"1552376910297483"</f>
        <v>1552376910297483</v>
      </c>
      <c r="C1739" t="s">
        <v>40</v>
      </c>
      <c r="D1739">
        <v>5.1428310000000002</v>
      </c>
      <c r="E1739">
        <v>0.57665909999999998</v>
      </c>
      <c r="F1739" t="s">
        <v>50</v>
      </c>
      <c r="G1739">
        <v>-212.1011</v>
      </c>
      <c r="H1739" s="1">
        <v>-4.1866789999999998E-7</v>
      </c>
      <c r="I1739">
        <v>286.24810000000002</v>
      </c>
      <c r="J1739">
        <v>-203.01439999999999</v>
      </c>
      <c r="K1739">
        <v>1.1029960000000001</v>
      </c>
      <c r="L1739">
        <v>286.09199999999998</v>
      </c>
      <c r="M1739">
        <v>-0.9315987</v>
      </c>
      <c r="N1739">
        <v>0</v>
      </c>
      <c r="O1739">
        <v>-0.36317339999999998</v>
      </c>
      <c r="P1739">
        <v>-0.98314199999999996</v>
      </c>
      <c r="Q1739">
        <v>-1.0564240000000001E-2</v>
      </c>
      <c r="R1739">
        <v>-0.1825388</v>
      </c>
      <c r="S1739">
        <v>-3.060562</v>
      </c>
      <c r="T1739">
        <v>-0.36379600000000001</v>
      </c>
      <c r="U1739">
        <v>3.1555180000000002E-2</v>
      </c>
      <c r="V1739">
        <v>0.1870658</v>
      </c>
      <c r="W1739">
        <v>1.1032259999999999E-3</v>
      </c>
      <c r="X1739">
        <v>0.98234679999999996</v>
      </c>
      <c r="Y1739">
        <v>0.36774190000000001</v>
      </c>
      <c r="Z1739">
        <v>6.4056959999999996E-2</v>
      </c>
      <c r="AA1739">
        <v>0.92771899999999996</v>
      </c>
      <c r="AB1739">
        <v>19</v>
      </c>
      <c r="AC1739">
        <v>-9.0867000000000004</v>
      </c>
      <c r="AD1739">
        <v>-1.10299641866789</v>
      </c>
      <c r="AE1739">
        <v>0.15610000000003699</v>
      </c>
      <c r="AF1739">
        <v>3.3958434264983599</v>
      </c>
      <c r="AG1739">
        <v>-1.10299641866789</v>
      </c>
      <c r="AH1739">
        <v>8.2873551111705392</v>
      </c>
      <c r="AI1739">
        <v>97.020946222295393</v>
      </c>
      <c r="AJ1739">
        <v>67.718044501295907</v>
      </c>
      <c r="AK1739">
        <v>9.0237801621898406</v>
      </c>
      <c r="AL1739">
        <v>89.936789795617898</v>
      </c>
      <c r="AM1739">
        <v>79.218396790499597</v>
      </c>
      <c r="AN1739">
        <v>1.00000003305374</v>
      </c>
    </row>
    <row r="1740" spans="1:40" x14ac:dyDescent="0.25">
      <c r="A1740" t="str">
        <f>"20190312154830326"</f>
        <v>20190312154830326</v>
      </c>
      <c r="B1740" t="str">
        <f>"1552376910317979"</f>
        <v>1552376910317979</v>
      </c>
      <c r="C1740" t="s">
        <v>40</v>
      </c>
      <c r="D1740">
        <v>5.1147499999999999</v>
      </c>
      <c r="E1740">
        <v>0.57508800000000004</v>
      </c>
      <c r="F1740" t="s">
        <v>50</v>
      </c>
      <c r="G1740">
        <v>-212.0284</v>
      </c>
      <c r="H1740" s="1">
        <v>-4.5738240000000001E-7</v>
      </c>
      <c r="I1740">
        <v>286.2423</v>
      </c>
      <c r="J1740">
        <v>-203.20769999999999</v>
      </c>
      <c r="K1740">
        <v>1.1030409999999999</v>
      </c>
      <c r="L1740">
        <v>286.03429999999997</v>
      </c>
      <c r="M1740">
        <v>-0.93651960000000001</v>
      </c>
      <c r="N1740">
        <v>0</v>
      </c>
      <c r="O1740">
        <v>-0.35028930000000003</v>
      </c>
      <c r="P1740">
        <v>-0.98508700000000005</v>
      </c>
      <c r="Q1740">
        <v>-1.025592E-2</v>
      </c>
      <c r="R1740">
        <v>-0.17175179999999901</v>
      </c>
      <c r="S1740">
        <v>-3.0568849999999999</v>
      </c>
      <c r="T1740">
        <v>-0.37405460000000001</v>
      </c>
      <c r="U1740">
        <v>5.096436E-2</v>
      </c>
      <c r="V1740">
        <v>0.18428910000000001</v>
      </c>
      <c r="W1740">
        <v>1.475636E-3</v>
      </c>
      <c r="X1740">
        <v>0.98287089999999999</v>
      </c>
      <c r="Y1740">
        <v>0.3606702</v>
      </c>
      <c r="Z1740">
        <v>6.4018649999999996E-2</v>
      </c>
      <c r="AA1740">
        <v>0.93049380000000004</v>
      </c>
      <c r="AB1740">
        <v>19</v>
      </c>
      <c r="AC1740">
        <v>-8.8207000000000093</v>
      </c>
      <c r="AD1740">
        <v>-1.1030414573823999</v>
      </c>
      <c r="AE1740">
        <v>0.208000000000026</v>
      </c>
      <c r="AF1740">
        <v>3.23441686675655</v>
      </c>
      <c r="AG1740">
        <v>-1.1030414573823999</v>
      </c>
      <c r="AH1740">
        <v>8.0628184384391304</v>
      </c>
      <c r="AI1740">
        <v>97.236160411650005</v>
      </c>
      <c r="AJ1740">
        <v>68.141705606971598</v>
      </c>
      <c r="AK1740">
        <v>8.7571224780687906</v>
      </c>
      <c r="AL1740">
        <v>89.915452248328904</v>
      </c>
      <c r="AM1740">
        <v>79.380299320284493</v>
      </c>
      <c r="AN1740">
        <v>0.99999992797360904</v>
      </c>
    </row>
    <row r="1741" spans="1:40" x14ac:dyDescent="0.25">
      <c r="A1741" t="str">
        <f>"20190312154830346"</f>
        <v>20190312154830346</v>
      </c>
      <c r="B1741" t="str">
        <f>"1552376910337500"</f>
        <v>1552376910337500</v>
      </c>
      <c r="C1741" t="s">
        <v>40</v>
      </c>
      <c r="D1741">
        <v>5.0894380000000004</v>
      </c>
      <c r="E1741">
        <v>0.57345069999999998</v>
      </c>
      <c r="F1741" t="s">
        <v>50</v>
      </c>
      <c r="G1741">
        <v>-212.21190000000001</v>
      </c>
      <c r="H1741" s="1">
        <v>-3.5969880000000001E-7</v>
      </c>
      <c r="I1741">
        <v>286.24669999999998</v>
      </c>
      <c r="J1741">
        <v>-203.37739999999999</v>
      </c>
      <c r="K1741">
        <v>1.103094</v>
      </c>
      <c r="L1741">
        <v>285.98599999999999</v>
      </c>
      <c r="M1741">
        <v>-0.940666</v>
      </c>
      <c r="N1741">
        <v>0</v>
      </c>
      <c r="O1741">
        <v>-0.33899750000000001</v>
      </c>
      <c r="P1741">
        <v>-0.9866298</v>
      </c>
      <c r="Q1741">
        <v>-9.4609929999999991E-3</v>
      </c>
      <c r="R1741">
        <v>-0.16270299999999999</v>
      </c>
      <c r="S1741">
        <v>-3.0540620000000001</v>
      </c>
      <c r="T1741">
        <v>-0.3741276</v>
      </c>
      <c r="U1741">
        <v>7.2052000000000005E-2</v>
      </c>
      <c r="V1741">
        <v>0.18150189999999999</v>
      </c>
      <c r="W1741">
        <v>2.334418E-3</v>
      </c>
      <c r="X1741">
        <v>0.98338780000000003</v>
      </c>
      <c r="Y1741">
        <v>0.35600490000000001</v>
      </c>
      <c r="Z1741">
        <v>6.2501230000000005E-2</v>
      </c>
      <c r="AA1741">
        <v>0.93239159999999999</v>
      </c>
      <c r="AB1741">
        <v>19</v>
      </c>
      <c r="AC1741">
        <v>-8.8345000000000198</v>
      </c>
      <c r="AD1741">
        <v>-1.1030943596988001</v>
      </c>
      <c r="AE1741">
        <v>0.260699999999985</v>
      </c>
      <c r="AF1741">
        <v>3.19077214793248</v>
      </c>
      <c r="AG1741">
        <v>-1.1030943596988001</v>
      </c>
      <c r="AH1741">
        <v>8.0967523179040004</v>
      </c>
      <c r="AI1741">
        <v>97.223828008885206</v>
      </c>
      <c r="AJ1741">
        <v>68.491567672429198</v>
      </c>
      <c r="AK1741">
        <v>8.7724137022774293</v>
      </c>
      <c r="AL1741">
        <v>89.866247576449993</v>
      </c>
      <c r="AM1741">
        <v>79.542717481820404</v>
      </c>
      <c r="AN1741">
        <v>0.99999997719992395</v>
      </c>
    </row>
    <row r="1742" spans="1:40" x14ac:dyDescent="0.25">
      <c r="A1742" t="str">
        <f>"20190312154830368"</f>
        <v>20190312154830368</v>
      </c>
      <c r="B1742" t="str">
        <f>"1552376910357019"</f>
        <v>1552376910357019</v>
      </c>
      <c r="C1742" t="s">
        <v>40</v>
      </c>
      <c r="D1742">
        <v>5.0401040000000004</v>
      </c>
      <c r="E1742">
        <v>0.56247219999999998</v>
      </c>
      <c r="F1742" t="s">
        <v>50</v>
      </c>
      <c r="G1742">
        <v>-212.4682</v>
      </c>
      <c r="H1742" s="1">
        <v>-2.2331640000000001E-7</v>
      </c>
      <c r="I1742">
        <v>286.24630000000002</v>
      </c>
      <c r="J1742">
        <v>-203.5703</v>
      </c>
      <c r="K1742">
        <v>1.1031580000000001</v>
      </c>
      <c r="L1742">
        <v>285.93380000000002</v>
      </c>
      <c r="M1742">
        <v>-0.94518100000000005</v>
      </c>
      <c r="N1742">
        <v>0</v>
      </c>
      <c r="O1742">
        <v>-0.32619819999999999</v>
      </c>
      <c r="P1742">
        <v>-0.98834880000000003</v>
      </c>
      <c r="Q1742">
        <v>-9.634508E-3</v>
      </c>
      <c r="R1742">
        <v>-0.15190139999999999</v>
      </c>
      <c r="S1742">
        <v>-3.051498</v>
      </c>
      <c r="T1742">
        <v>-0.37027310000000002</v>
      </c>
      <c r="U1742">
        <v>8.7371829999999998E-2</v>
      </c>
      <c r="V1742">
        <v>0.17890590000000001</v>
      </c>
      <c r="W1742">
        <v>2.2218839999999999E-3</v>
      </c>
      <c r="X1742">
        <v>0.98386370000000001</v>
      </c>
      <c r="Y1742">
        <v>0.348269</v>
      </c>
      <c r="Z1742">
        <v>5.9970889999999999E-2</v>
      </c>
      <c r="AA1742">
        <v>0.93547429999999998</v>
      </c>
      <c r="AB1742">
        <v>19</v>
      </c>
      <c r="AC1742">
        <v>-8.8978999999999893</v>
      </c>
      <c r="AD1742">
        <v>-1.1031582233163999</v>
      </c>
      <c r="AE1742">
        <v>0.3125</v>
      </c>
      <c r="AF1742">
        <v>3.1498554132074199</v>
      </c>
      <c r="AG1742">
        <v>-1.1031582233163999</v>
      </c>
      <c r="AH1742">
        <v>8.1835015735851098</v>
      </c>
      <c r="AI1742">
        <v>97.170447237538497</v>
      </c>
      <c r="AJ1742">
        <v>68.948128061347404</v>
      </c>
      <c r="AK1742">
        <v>8.83788691909173</v>
      </c>
      <c r="AL1742">
        <v>89.872695321905397</v>
      </c>
      <c r="AM1742">
        <v>79.693936414303394</v>
      </c>
      <c r="AN1742">
        <v>1.0000000190005001</v>
      </c>
    </row>
    <row r="1743" spans="1:40" x14ac:dyDescent="0.25">
      <c r="A1743" t="str">
        <f>"20190312154830392"</f>
        <v>20190312154830392</v>
      </c>
      <c r="B1743" t="str">
        <f>"1552376910387276"</f>
        <v>1552376910387276</v>
      </c>
      <c r="C1743" t="s">
        <v>40</v>
      </c>
      <c r="D1743">
        <v>4.9783710000000001</v>
      </c>
      <c r="E1743">
        <v>0.56345579999999995</v>
      </c>
      <c r="F1743" t="s">
        <v>50</v>
      </c>
      <c r="G1743">
        <v>-212.90100000000001</v>
      </c>
      <c r="H1743" s="1">
        <v>6.9814449999999903E-9</v>
      </c>
      <c r="I1743">
        <v>286.03910000000002</v>
      </c>
      <c r="J1743">
        <v>-203.76159999999999</v>
      </c>
      <c r="K1743">
        <v>1.103221</v>
      </c>
      <c r="L1743">
        <v>285.88470000000001</v>
      </c>
      <c r="M1743">
        <v>-0.94945489999999999</v>
      </c>
      <c r="N1743">
        <v>0</v>
      </c>
      <c r="O1743">
        <v>-0.31354100000000001</v>
      </c>
      <c r="P1743">
        <v>-0.9900061</v>
      </c>
      <c r="Q1743">
        <v>-8.7645309999999903E-3</v>
      </c>
      <c r="R1743">
        <v>-0.14075170000000001</v>
      </c>
      <c r="S1743">
        <v>-3.0371549999999998</v>
      </c>
      <c r="T1743">
        <v>-0.35907909999999998</v>
      </c>
      <c r="U1743">
        <v>3.4271240000000001E-2</v>
      </c>
      <c r="V1743">
        <v>0.17686660000000001</v>
      </c>
      <c r="W1743">
        <v>3.1416999999999999E-3</v>
      </c>
      <c r="X1743">
        <v>0.98422980000000004</v>
      </c>
      <c r="Y1743">
        <v>0.31991209999999998</v>
      </c>
      <c r="Z1743">
        <v>5.5325920000000001E-2</v>
      </c>
      <c r="AA1743">
        <v>0.94583050000000002</v>
      </c>
      <c r="AB1743">
        <v>19</v>
      </c>
      <c r="AC1743">
        <v>-9.1393999999999895</v>
      </c>
      <c r="AD1743">
        <v>-1.1032209930185499</v>
      </c>
      <c r="AE1743">
        <v>0.154400000000009</v>
      </c>
      <c r="AF1743">
        <v>2.9692622398205</v>
      </c>
      <c r="AG1743">
        <v>-1.1032209930185499</v>
      </c>
      <c r="AH1743">
        <v>8.5061115440650994</v>
      </c>
      <c r="AI1743">
        <v>96.9811905480544</v>
      </c>
      <c r="AJ1743">
        <v>70.757234097487796</v>
      </c>
      <c r="AK1743">
        <v>9.0767586950594996</v>
      </c>
      <c r="AL1743">
        <v>89.8199935501152</v>
      </c>
      <c r="AM1743">
        <v>79.812647970365504</v>
      </c>
      <c r="AN1743">
        <v>0.99999998184124494</v>
      </c>
    </row>
    <row r="1744" spans="1:40" x14ac:dyDescent="0.25">
      <c r="A1744" t="str">
        <f>"20190312154830414"</f>
        <v>20190312154830414</v>
      </c>
      <c r="B1744" t="str">
        <f>"1552376910407771"</f>
        <v>1552376910407771</v>
      </c>
      <c r="C1744" t="s">
        <v>40</v>
      </c>
      <c r="D1744">
        <v>4.905405</v>
      </c>
      <c r="E1744">
        <v>0.56263369999999902</v>
      </c>
      <c r="F1744" t="s">
        <v>50</v>
      </c>
      <c r="G1744">
        <v>-214.3349</v>
      </c>
      <c r="H1744" s="1">
        <v>7.7003850000000004E-7</v>
      </c>
      <c r="I1744">
        <v>286.15039999999999</v>
      </c>
      <c r="J1744">
        <v>-203.9545</v>
      </c>
      <c r="K1744">
        <v>1.1032979999999999</v>
      </c>
      <c r="L1744">
        <v>285.83789999999999</v>
      </c>
      <c r="M1744">
        <v>-0.95355699999999999</v>
      </c>
      <c r="N1744">
        <v>0</v>
      </c>
      <c r="O1744">
        <v>-0.3008364</v>
      </c>
      <c r="P1744">
        <v>-0.99132949999999997</v>
      </c>
      <c r="Q1744">
        <v>-6.8769440000000003E-3</v>
      </c>
      <c r="R1744">
        <v>-0.13122039999999999</v>
      </c>
      <c r="S1744">
        <v>-3.0383450000000001</v>
      </c>
      <c r="T1744">
        <v>-0.31702180000000002</v>
      </c>
      <c r="U1744">
        <v>7.6354980000000003E-2</v>
      </c>
      <c r="V1744">
        <v>0.17322870000000001</v>
      </c>
      <c r="W1744">
        <v>5.1095899999999998E-3</v>
      </c>
      <c r="X1744">
        <v>0.98486830000000003</v>
      </c>
      <c r="Y1744">
        <v>0.32139040000000002</v>
      </c>
      <c r="Z1744">
        <v>4.7679350000000002E-2</v>
      </c>
      <c r="AA1744">
        <v>0.94574570000000002</v>
      </c>
      <c r="AB1744">
        <v>19</v>
      </c>
      <c r="AC1744">
        <v>-10.3804</v>
      </c>
      <c r="AD1744">
        <v>-1.10329722996149</v>
      </c>
      <c r="AE1744">
        <v>0.3125</v>
      </c>
      <c r="AF1744">
        <v>3.3829936884230301</v>
      </c>
      <c r="AG1744">
        <v>-1.10329722996149</v>
      </c>
      <c r="AH1744">
        <v>9.6959676828857901</v>
      </c>
      <c r="AI1744">
        <v>96.132194496819295</v>
      </c>
      <c r="AJ1744">
        <v>70.765748611907398</v>
      </c>
      <c r="AK1744">
        <v>10.328296102509601</v>
      </c>
      <c r="AL1744">
        <v>89.707240763384704</v>
      </c>
      <c r="AM1744">
        <v>80.024271884792697</v>
      </c>
      <c r="AN1744">
        <v>0.99999992937927096</v>
      </c>
    </row>
    <row r="1745" spans="1:40" x14ac:dyDescent="0.25">
      <c r="A1745" t="str">
        <f>"20190312154830436"</f>
        <v>20190312154830436</v>
      </c>
      <c r="B1745" t="str">
        <f>"1552376910427291"</f>
        <v>1552376910427291</v>
      </c>
      <c r="C1745" t="s">
        <v>40</v>
      </c>
      <c r="D1745">
        <v>4.8594879999999998</v>
      </c>
      <c r="E1745">
        <v>0.56170089999999995</v>
      </c>
      <c r="F1745" t="s">
        <v>50</v>
      </c>
      <c r="G1745">
        <v>-215.03960000000001</v>
      </c>
      <c r="H1745" s="1">
        <v>1.145051E-6</v>
      </c>
      <c r="I1745">
        <v>286.19970000000001</v>
      </c>
      <c r="J1745">
        <v>-204.13820000000001</v>
      </c>
      <c r="K1745">
        <v>1.103389</v>
      </c>
      <c r="L1745">
        <v>285.79559999999998</v>
      </c>
      <c r="M1745">
        <v>-0.95727070000000003</v>
      </c>
      <c r="N1745">
        <v>0</v>
      </c>
      <c r="O1745">
        <v>-0.28880260000000002</v>
      </c>
      <c r="P1745">
        <v>-0.99240629999999996</v>
      </c>
      <c r="Q1745">
        <v>-5.0100780000000003E-3</v>
      </c>
      <c r="R1745">
        <v>-0.12290239999999999</v>
      </c>
      <c r="S1745">
        <v>-3.037277</v>
      </c>
      <c r="T1745">
        <v>-0.3022977</v>
      </c>
      <c r="U1745">
        <v>9.9151610000000001E-2</v>
      </c>
      <c r="V1745">
        <v>0.16911489999999901</v>
      </c>
      <c r="W1745">
        <v>7.0641100000000002E-3</v>
      </c>
      <c r="X1745">
        <v>0.98557099999999997</v>
      </c>
      <c r="Y1745">
        <v>0.31695240000000002</v>
      </c>
      <c r="Z1745">
        <v>4.411996E-2</v>
      </c>
      <c r="AA1745">
        <v>0.94741470000000005</v>
      </c>
      <c r="AB1745">
        <v>19</v>
      </c>
      <c r="AC1745">
        <v>-10.901399999999899</v>
      </c>
      <c r="AD1745">
        <v>-1.1033878549489999</v>
      </c>
      <c r="AE1745">
        <v>0.40410000000002799</v>
      </c>
      <c r="AF1745">
        <v>3.4997806647340801</v>
      </c>
      <c r="AG1745">
        <v>-1.1033878549489999</v>
      </c>
      <c r="AH1745">
        <v>10.2155414443863</v>
      </c>
      <c r="AI1745">
        <v>95.834265254995003</v>
      </c>
      <c r="AJ1745">
        <v>71.088860511287294</v>
      </c>
      <c r="AK1745">
        <v>10.854640319313599</v>
      </c>
      <c r="AL1745">
        <v>89.595252933971395</v>
      </c>
      <c r="AM1745">
        <v>80.263392964473098</v>
      </c>
      <c r="AN1745">
        <v>0.99999997354655001</v>
      </c>
    </row>
    <row r="1746" spans="1:40" x14ac:dyDescent="0.25">
      <c r="A1746" t="str">
        <f>"20190312154830459"</f>
        <v>20190312154830459</v>
      </c>
      <c r="B1746" t="str">
        <f>"1552376910447787"</f>
        <v>1552376910447787</v>
      </c>
      <c r="C1746" t="s">
        <v>40</v>
      </c>
      <c r="D1746">
        <v>4.8590960000000001</v>
      </c>
      <c r="E1746">
        <v>0.56054119999999996</v>
      </c>
      <c r="F1746" t="s">
        <v>50</v>
      </c>
      <c r="G1746">
        <v>-215.6327</v>
      </c>
      <c r="H1746" s="1">
        <v>1.460666E-6</v>
      </c>
      <c r="I1746">
        <v>286.24090000000001</v>
      </c>
      <c r="J1746">
        <v>-204.334</v>
      </c>
      <c r="K1746">
        <v>1.1034900000000001</v>
      </c>
      <c r="L1746">
        <v>285.75319999999999</v>
      </c>
      <c r="M1746">
        <v>-0.9610204</v>
      </c>
      <c r="N1746">
        <v>0</v>
      </c>
      <c r="O1746">
        <v>-0.27607029999999999</v>
      </c>
      <c r="P1746">
        <v>-0.99356330000000004</v>
      </c>
      <c r="Q1746">
        <v>-4.0221570000000002E-3</v>
      </c>
      <c r="R1746">
        <v>-0.1132089</v>
      </c>
      <c r="S1746">
        <v>-3.0360719999999999</v>
      </c>
      <c r="T1746">
        <v>-0.29143970000000002</v>
      </c>
      <c r="U1746">
        <v>0.1176147</v>
      </c>
      <c r="V1746">
        <v>0.1656675</v>
      </c>
      <c r="W1746">
        <v>8.1283789999999998E-3</v>
      </c>
      <c r="X1746">
        <v>0.98614820000000003</v>
      </c>
      <c r="Y1746">
        <v>0.31042570000000003</v>
      </c>
      <c r="Z1746">
        <v>4.1065320000000002E-2</v>
      </c>
      <c r="AA1746">
        <v>0.94971019999999995</v>
      </c>
      <c r="AB1746">
        <v>19</v>
      </c>
      <c r="AC1746">
        <v>-11.298699999999901</v>
      </c>
      <c r="AD1746">
        <v>-1.1034885393339999</v>
      </c>
      <c r="AE1746">
        <v>0.48770000000001701</v>
      </c>
      <c r="AF1746">
        <v>3.554487502587</v>
      </c>
      <c r="AG1746">
        <v>-1.1034885393339999</v>
      </c>
      <c r="AH1746">
        <v>10.623702798942601</v>
      </c>
      <c r="AI1746">
        <v>95.625670044819699</v>
      </c>
      <c r="AJ1746">
        <v>71.500745623547999</v>
      </c>
      <c r="AK1746">
        <v>11.2567814904061</v>
      </c>
      <c r="AL1746">
        <v>89.534273075228</v>
      </c>
      <c r="AM1746">
        <v>80.463669237295704</v>
      </c>
      <c r="AN1746">
        <v>1.0000000317323201</v>
      </c>
    </row>
    <row r="1747" spans="1:40" x14ac:dyDescent="0.25">
      <c r="A1747" t="str">
        <f>"20190312154830481"</f>
        <v>20190312154830481</v>
      </c>
      <c r="B1747" t="str">
        <f>"1552376910467307"</f>
        <v>1552376910467307</v>
      </c>
      <c r="C1747" t="s">
        <v>40</v>
      </c>
      <c r="D1747">
        <v>4.8974900000000003</v>
      </c>
      <c r="E1747">
        <v>0.55951309999999999</v>
      </c>
      <c r="F1747" t="s">
        <v>50</v>
      </c>
      <c r="G1747">
        <v>-216.00319999999999</v>
      </c>
      <c r="H1747" s="1">
        <v>1.6578179999999999E-6</v>
      </c>
      <c r="I1747">
        <v>286.28359999999998</v>
      </c>
      <c r="J1747">
        <v>-204.5257</v>
      </c>
      <c r="K1747">
        <v>1.1035999999999999</v>
      </c>
      <c r="L1747">
        <v>285.71409999999997</v>
      </c>
      <c r="M1747">
        <v>-0.96448060000000002</v>
      </c>
      <c r="N1747">
        <v>0</v>
      </c>
      <c r="O1747">
        <v>-0.26372869999999998</v>
      </c>
      <c r="P1747">
        <v>-0.99458429999999998</v>
      </c>
      <c r="Q1747">
        <v>-4.0821670000000003E-3</v>
      </c>
      <c r="R1747">
        <v>-0.10385229999999999</v>
      </c>
      <c r="S1747">
        <v>-3.0339969999999998</v>
      </c>
      <c r="T1747">
        <v>-0.28690729999999998</v>
      </c>
      <c r="U1747">
        <v>0.1379089</v>
      </c>
      <c r="V1747">
        <v>0.16230359999999999</v>
      </c>
      <c r="W1747">
        <v>8.14316E-3</v>
      </c>
      <c r="X1747">
        <v>0.98670729999999995</v>
      </c>
      <c r="Y1747">
        <v>0.30476839999999999</v>
      </c>
      <c r="Z1747">
        <v>3.9057069999999999E-2</v>
      </c>
      <c r="AA1747">
        <v>0.95162530000000001</v>
      </c>
      <c r="AB1747">
        <v>19</v>
      </c>
      <c r="AC1747">
        <v>-11.4774999999999</v>
      </c>
      <c r="AD1747">
        <v>-1.1035983421819999</v>
      </c>
      <c r="AE1747">
        <v>0.569500000000005</v>
      </c>
      <c r="AF1747">
        <v>3.5439343235835499</v>
      </c>
      <c r="AG1747">
        <v>-1.1035983421819999</v>
      </c>
      <c r="AH1747">
        <v>10.8210579729625</v>
      </c>
      <c r="AI1747">
        <v>95.535859571870006</v>
      </c>
      <c r="AJ1747">
        <v>71.866197632737894</v>
      </c>
      <c r="AK1747">
        <v>11.4399604651832</v>
      </c>
      <c r="AL1747">
        <v>89.533426158783399</v>
      </c>
      <c r="AM1747">
        <v>80.659057055143506</v>
      </c>
      <c r="AN1747">
        <v>1.0000000327505101</v>
      </c>
    </row>
    <row r="1748" spans="1:40" x14ac:dyDescent="0.25">
      <c r="A1748" t="str">
        <f>"20190312154830506"</f>
        <v>20190312154830506</v>
      </c>
      <c r="B1748" t="str">
        <f>"1552376910497563"</f>
        <v>1552376910497563</v>
      </c>
      <c r="C1748" t="s">
        <v>40</v>
      </c>
      <c r="D1748">
        <v>4.906104</v>
      </c>
      <c r="E1748">
        <v>0.55821750000000003</v>
      </c>
      <c r="F1748" t="s">
        <v>50</v>
      </c>
      <c r="G1748">
        <v>-216.15209999999999</v>
      </c>
      <c r="H1748" s="1">
        <v>1.7370390000000001E-6</v>
      </c>
      <c r="I1748">
        <v>286.3202</v>
      </c>
      <c r="J1748">
        <v>-204.7313</v>
      </c>
      <c r="K1748">
        <v>1.1037360000000001</v>
      </c>
      <c r="L1748">
        <v>285.67469999999997</v>
      </c>
      <c r="M1748">
        <v>-0.96796400000000005</v>
      </c>
      <c r="N1748">
        <v>0</v>
      </c>
      <c r="O1748">
        <v>-0.25064429999999999</v>
      </c>
      <c r="P1748">
        <v>-0.99562539999999999</v>
      </c>
      <c r="Q1748">
        <v>-4.0448960000000001E-3</v>
      </c>
      <c r="R1748">
        <v>-9.3349000000000001E-2</v>
      </c>
      <c r="S1748">
        <v>-3.031647</v>
      </c>
      <c r="T1748">
        <v>-0.2877691</v>
      </c>
      <c r="U1748">
        <v>0.15805050000000001</v>
      </c>
      <c r="V1748">
        <v>0.15935339999999901</v>
      </c>
      <c r="W1748">
        <v>8.2509219999999904E-3</v>
      </c>
      <c r="X1748">
        <v>0.98718709999999998</v>
      </c>
      <c r="Y1748">
        <v>0.2982823</v>
      </c>
      <c r="Z1748">
        <v>3.7686240000000003E-2</v>
      </c>
      <c r="AA1748">
        <v>0.95373339999999995</v>
      </c>
      <c r="AB1748">
        <v>19</v>
      </c>
      <c r="AC1748">
        <v>-11.4207999999999</v>
      </c>
      <c r="AD1748">
        <v>-1.1037342629610001</v>
      </c>
      <c r="AE1748">
        <v>0.64550000000002605</v>
      </c>
      <c r="AF1748">
        <v>3.4555966250107599</v>
      </c>
      <c r="AG1748">
        <v>-1.1037342629610001</v>
      </c>
      <c r="AH1748">
        <v>10.793856768538401</v>
      </c>
      <c r="AI1748">
        <v>95.562311231366607</v>
      </c>
      <c r="AJ1748">
        <v>72.247805268991797</v>
      </c>
      <c r="AK1748">
        <v>11.387129633834</v>
      </c>
      <c r="AL1748">
        <v>89.527251617443397</v>
      </c>
      <c r="AM1748">
        <v>80.830317716118003</v>
      </c>
      <c r="AN1748">
        <v>0.99999997710590904</v>
      </c>
    </row>
    <row r="1749" spans="1:40" x14ac:dyDescent="0.25">
      <c r="A1749" t="str">
        <f>"20190312154830527"</f>
        <v>20190312154830527</v>
      </c>
      <c r="B1749" t="str">
        <f>"1552376910517083"</f>
        <v>1552376910517083</v>
      </c>
      <c r="C1749" t="s">
        <v>40</v>
      </c>
      <c r="D1749">
        <v>4.8424069999999997</v>
      </c>
      <c r="E1749">
        <v>0.54858669999999998</v>
      </c>
      <c r="F1749" t="s">
        <v>50</v>
      </c>
      <c r="G1749">
        <v>-216.29150000000001</v>
      </c>
      <c r="H1749" s="1">
        <v>1.8112079999999999E-6</v>
      </c>
      <c r="I1749">
        <v>286.35939999999999</v>
      </c>
      <c r="J1749">
        <v>-204.91749999999999</v>
      </c>
      <c r="K1749">
        <v>1.103882</v>
      </c>
      <c r="L1749">
        <v>285.64139999999998</v>
      </c>
      <c r="M1749">
        <v>-0.97090430000000005</v>
      </c>
      <c r="N1749">
        <v>0</v>
      </c>
      <c r="O1749">
        <v>-0.23900370000000001</v>
      </c>
      <c r="P1749">
        <v>-0.99642779999999997</v>
      </c>
      <c r="Q1749">
        <v>-3.070911E-3</v>
      </c>
      <c r="R1749">
        <v>-8.4394449999999996E-2</v>
      </c>
      <c r="S1749">
        <v>-3.0288089999999999</v>
      </c>
      <c r="T1749">
        <v>-0.2891841</v>
      </c>
      <c r="U1749">
        <v>0.17941279999999901</v>
      </c>
      <c r="V1749">
        <v>0.1563862</v>
      </c>
      <c r="W1749">
        <v>9.2946780000000007E-3</v>
      </c>
      <c r="X1749">
        <v>0.98765219999999998</v>
      </c>
      <c r="Y1749">
        <v>0.29362319999999997</v>
      </c>
      <c r="Z1749">
        <v>3.6596410000000003E-2</v>
      </c>
      <c r="AA1749">
        <v>0.95522050000000003</v>
      </c>
      <c r="AB1749">
        <v>19</v>
      </c>
      <c r="AC1749">
        <v>-11.374000000000001</v>
      </c>
      <c r="AD1749">
        <v>-1.103880188792</v>
      </c>
      <c r="AE1749">
        <v>0.71800000000001696</v>
      </c>
      <c r="AF1749">
        <v>3.3841668084377701</v>
      </c>
      <c r="AG1749">
        <v>-1.103880188792</v>
      </c>
      <c r="AH1749">
        <v>10.7716101376719</v>
      </c>
      <c r="AI1749">
        <v>95.583997071643793</v>
      </c>
      <c r="AJ1749">
        <v>72.5586033977754</v>
      </c>
      <c r="AK1749">
        <v>11.344545888511099</v>
      </c>
      <c r="AL1749">
        <v>89.467446484609297</v>
      </c>
      <c r="AM1749">
        <v>81.002407511356793</v>
      </c>
      <c r="AN1749">
        <v>0.99999995137719999</v>
      </c>
    </row>
    <row r="1750" spans="1:40" x14ac:dyDescent="0.25">
      <c r="A1750" t="str">
        <f>"20190312154830549"</f>
        <v>20190312154830549</v>
      </c>
      <c r="B1750" t="str">
        <f>"1552376910537579"</f>
        <v>1552376910537579</v>
      </c>
      <c r="C1750" t="s">
        <v>40</v>
      </c>
      <c r="D1750">
        <v>4.8862839999999998</v>
      </c>
      <c r="E1750">
        <v>0.54785069999999902</v>
      </c>
      <c r="F1750" t="s">
        <v>50</v>
      </c>
      <c r="G1750">
        <v>-216.79429999999999</v>
      </c>
      <c r="H1750" s="1">
        <v>2.0787830000000001E-6</v>
      </c>
      <c r="I1750">
        <v>286.15359999999998</v>
      </c>
      <c r="J1750">
        <v>-205.1001</v>
      </c>
      <c r="K1750">
        <v>1.104023</v>
      </c>
      <c r="L1750">
        <v>285.61079999999998</v>
      </c>
      <c r="M1750">
        <v>-0.97360829999999998</v>
      </c>
      <c r="N1750">
        <v>0</v>
      </c>
      <c r="O1750">
        <v>-0.22774140000000001</v>
      </c>
      <c r="P1750">
        <v>-0.99709910000000002</v>
      </c>
      <c r="Q1750">
        <v>-2.5753569999999999E-3</v>
      </c>
      <c r="R1750">
        <v>-7.6073009999999996E-2</v>
      </c>
      <c r="S1750">
        <v>-3.020905</v>
      </c>
      <c r="T1750">
        <v>-0.28077609999999997</v>
      </c>
      <c r="U1750">
        <v>0.13027949999999999</v>
      </c>
      <c r="V1750">
        <v>0.153194</v>
      </c>
      <c r="W1750">
        <v>9.8587510000000007E-3</v>
      </c>
      <c r="X1750">
        <v>0.988147</v>
      </c>
      <c r="Y1750">
        <v>0.26738610000000002</v>
      </c>
      <c r="Z1750">
        <v>3.3392949999999998E-2</v>
      </c>
      <c r="AA1750">
        <v>0.9630107</v>
      </c>
      <c r="AB1750">
        <v>19</v>
      </c>
      <c r="AC1750">
        <v>-11.694199999999899</v>
      </c>
      <c r="AD1750">
        <v>-1.104020921217</v>
      </c>
      <c r="AE1750">
        <v>0.54279999999999895</v>
      </c>
      <c r="AF1750">
        <v>3.1639414680418301</v>
      </c>
      <c r="AG1750">
        <v>-1.104020921217</v>
      </c>
      <c r="AH1750">
        <v>11.163907667352699</v>
      </c>
      <c r="AI1750">
        <v>95.435031815382501</v>
      </c>
      <c r="AJ1750">
        <v>74.176842520148099</v>
      </c>
      <c r="AK1750">
        <v>11.6559951189444</v>
      </c>
      <c r="AL1750">
        <v>89.435126051173896</v>
      </c>
      <c r="AM1750">
        <v>81.187499545121895</v>
      </c>
      <c r="AN1750">
        <v>1.0000000451081299</v>
      </c>
    </row>
    <row r="1751" spans="1:40" x14ac:dyDescent="0.25">
      <c r="A1751" t="str">
        <f>"20190312154830570"</f>
        <v>20190312154830570</v>
      </c>
      <c r="B1751" t="str">
        <f>"1552376910557099"</f>
        <v>1552376910557099</v>
      </c>
      <c r="C1751" t="s">
        <v>40</v>
      </c>
      <c r="D1751">
        <v>4.8561579999999998</v>
      </c>
      <c r="E1751">
        <v>0.54674579999999995</v>
      </c>
      <c r="F1751" t="s">
        <v>50</v>
      </c>
      <c r="G1751">
        <v>-216.89840000000001</v>
      </c>
      <c r="H1751" s="1">
        <v>2.1342019999999999E-6</v>
      </c>
      <c r="I1751">
        <v>286.19439999999997</v>
      </c>
      <c r="J1751">
        <v>-205.28469999999999</v>
      </c>
      <c r="K1751">
        <v>1.104171</v>
      </c>
      <c r="L1751">
        <v>285.58179999999999</v>
      </c>
      <c r="M1751">
        <v>-0.97616139999999996</v>
      </c>
      <c r="N1751">
        <v>0</v>
      </c>
      <c r="O1751">
        <v>-0.2165395</v>
      </c>
      <c r="P1751">
        <v>-0.99770389999999998</v>
      </c>
      <c r="Q1751">
        <v>-2.8719470000000001E-3</v>
      </c>
      <c r="R1751">
        <v>-6.7666829999999997E-2</v>
      </c>
      <c r="S1751">
        <v>-3.0193940000000001</v>
      </c>
      <c r="T1751">
        <v>-0.28253830000000002</v>
      </c>
      <c r="U1751">
        <v>0.14935300000000001</v>
      </c>
      <c r="V1751">
        <v>0.15015870000000001</v>
      </c>
      <c r="W1751">
        <v>9.6246360000000006E-3</v>
      </c>
      <c r="X1751">
        <v>0.98861500000000002</v>
      </c>
      <c r="Y1751">
        <v>0.26244889999999998</v>
      </c>
      <c r="Z1751">
        <v>3.235888E-2</v>
      </c>
      <c r="AA1751">
        <v>0.96440320000000002</v>
      </c>
      <c r="AB1751">
        <v>19</v>
      </c>
      <c r="AC1751">
        <v>-11.6137</v>
      </c>
      <c r="AD1751">
        <v>-1.104168865798</v>
      </c>
      <c r="AE1751">
        <v>0.61259999999998604</v>
      </c>
      <c r="AF1751">
        <v>3.085351343658</v>
      </c>
      <c r="AG1751">
        <v>-1.104168865798</v>
      </c>
      <c r="AH1751">
        <v>11.105319160419601</v>
      </c>
      <c r="AI1751">
        <v>95.472151611264493</v>
      </c>
      <c r="AJ1751">
        <v>74.473300349827696</v>
      </c>
      <c r="AK1751">
        <v>11.578717349205499</v>
      </c>
      <c r="AL1751">
        <v>89.448540432527693</v>
      </c>
      <c r="AM1751">
        <v>81.363472860887995</v>
      </c>
      <c r="AN1751">
        <v>0.99999994351440902</v>
      </c>
    </row>
    <row r="1752" spans="1:40" x14ac:dyDescent="0.25">
      <c r="A1752" t="str">
        <f>"20190312154830592"</f>
        <v>20190312154830592</v>
      </c>
      <c r="B1752" t="str">
        <f>"1552376910577596"</f>
        <v>1552376910577596</v>
      </c>
      <c r="C1752" t="s">
        <v>40</v>
      </c>
      <c r="D1752">
        <v>4.8548460000000002</v>
      </c>
      <c r="E1752">
        <v>0.54598400000000002</v>
      </c>
      <c r="F1752" t="s">
        <v>50</v>
      </c>
      <c r="G1752">
        <v>-217.07409999999999</v>
      </c>
      <c r="H1752" s="1">
        <v>2.227699E-6</v>
      </c>
      <c r="I1752">
        <v>286.23070000000001</v>
      </c>
      <c r="J1752">
        <v>-205.47069999999999</v>
      </c>
      <c r="K1752">
        <v>1.104317</v>
      </c>
      <c r="L1752">
        <v>285.55450000000002</v>
      </c>
      <c r="M1752">
        <v>-0.97855099999999995</v>
      </c>
      <c r="N1752">
        <v>0</v>
      </c>
      <c r="O1752">
        <v>-0.2054744</v>
      </c>
      <c r="P1752">
        <v>-0.99824630000000003</v>
      </c>
      <c r="Q1752">
        <v>-3.5813960000000001E-3</v>
      </c>
      <c r="R1752">
        <v>-5.9087479999999998E-2</v>
      </c>
      <c r="S1752">
        <v>-3.017334</v>
      </c>
      <c r="T1752">
        <v>-0.28259620000000002</v>
      </c>
      <c r="U1752">
        <v>0.16607669999999999</v>
      </c>
      <c r="V1752">
        <v>0.14744969999999999</v>
      </c>
      <c r="W1752">
        <v>8.9699659999999994E-3</v>
      </c>
      <c r="X1752">
        <v>0.98902889999999999</v>
      </c>
      <c r="Y1752">
        <v>0.2569572</v>
      </c>
      <c r="Z1752">
        <v>3.1111E-2</v>
      </c>
      <c r="AA1752">
        <v>0.9659219</v>
      </c>
      <c r="AB1752">
        <v>19</v>
      </c>
      <c r="AC1752">
        <v>-11.603399999999899</v>
      </c>
      <c r="AD1752">
        <v>-1.1043147723010001</v>
      </c>
      <c r="AE1752">
        <v>0.67619999999999403</v>
      </c>
      <c r="AF1752">
        <v>3.0189779428654502</v>
      </c>
      <c r="AG1752">
        <v>-1.1043147723010001</v>
      </c>
      <c r="AH1752">
        <v>11.116452690681101</v>
      </c>
      <c r="AI1752">
        <v>95.476103007559502</v>
      </c>
      <c r="AJ1752">
        <v>74.806217916727206</v>
      </c>
      <c r="AK1752">
        <v>11.5719168403502</v>
      </c>
      <c r="AL1752">
        <v>89.486051923711898</v>
      </c>
      <c r="AM1752">
        <v>81.520494777249397</v>
      </c>
      <c r="AN1752">
        <v>1.0000000196776699</v>
      </c>
    </row>
    <row r="1753" spans="1:40" x14ac:dyDescent="0.25">
      <c r="A1753" t="str">
        <f>"20190312154830615"</f>
        <v>20190312154830615</v>
      </c>
      <c r="B1753" t="str">
        <f>"1552376910607852"</f>
        <v>1552376910607852</v>
      </c>
      <c r="C1753" t="s">
        <v>40</v>
      </c>
      <c r="D1753">
        <v>4.872509</v>
      </c>
      <c r="E1753">
        <v>0.54010559999999996</v>
      </c>
      <c r="F1753" t="s">
        <v>50</v>
      </c>
      <c r="G1753">
        <v>-217.14279999999999</v>
      </c>
      <c r="H1753" s="1">
        <v>2.2642330000000001E-6</v>
      </c>
      <c r="I1753">
        <v>286.27289999999999</v>
      </c>
      <c r="J1753">
        <v>-205.673</v>
      </c>
      <c r="K1753">
        <v>1.104501</v>
      </c>
      <c r="L1753">
        <v>285.52690000000001</v>
      </c>
      <c r="M1753">
        <v>-0.98094210000000004</v>
      </c>
      <c r="N1753">
        <v>0</v>
      </c>
      <c r="O1753">
        <v>-0.1937431</v>
      </c>
      <c r="P1753">
        <v>-0.99875749999999996</v>
      </c>
      <c r="Q1753">
        <v>-3.9087169999999999E-3</v>
      </c>
      <c r="R1753">
        <v>-4.9683890000000001E-2</v>
      </c>
      <c r="S1753">
        <v>-3.015228</v>
      </c>
      <c r="T1753">
        <v>-0.28527669999999999</v>
      </c>
      <c r="U1753">
        <v>0.1855774</v>
      </c>
      <c r="V1753">
        <v>0.1449117</v>
      </c>
      <c r="W1753">
        <v>8.6953180000000005E-3</v>
      </c>
      <c r="X1753">
        <v>0.98940640000000002</v>
      </c>
      <c r="Y1753">
        <v>0.25168489999999999</v>
      </c>
      <c r="Z1753">
        <v>3.008253E-2</v>
      </c>
      <c r="AA1753">
        <v>0.96734160000000002</v>
      </c>
      <c r="AB1753">
        <v>19</v>
      </c>
      <c r="AC1753">
        <v>-11.4697999999999</v>
      </c>
      <c r="AD1753">
        <v>-1.104498735767</v>
      </c>
      <c r="AE1753">
        <v>0.74599999999998001</v>
      </c>
      <c r="AF1753">
        <v>2.92726669702878</v>
      </c>
      <c r="AG1753">
        <v>-1.104498735767</v>
      </c>
      <c r="AH1753">
        <v>11.0062475578377</v>
      </c>
      <c r="AI1753">
        <v>95.539252536904101</v>
      </c>
      <c r="AJ1753">
        <v>75.106171165595299</v>
      </c>
      <c r="AK1753">
        <v>11.442302787343699</v>
      </c>
      <c r="AL1753">
        <v>89.501788707166895</v>
      </c>
      <c r="AM1753">
        <v>81.667516926048506</v>
      </c>
      <c r="AN1753">
        <v>1.00000001685648</v>
      </c>
    </row>
    <row r="1754" spans="1:40" x14ac:dyDescent="0.25">
      <c r="A1754" t="str">
        <f>"20190312154830638"</f>
        <v>20190312154830638</v>
      </c>
      <c r="B1754" t="str">
        <f>"1552376910627372"</f>
        <v>1552376910627372</v>
      </c>
      <c r="C1754" t="s">
        <v>40</v>
      </c>
      <c r="D1754">
        <v>4.8371649999999997</v>
      </c>
      <c r="E1754">
        <v>0.53875280000000003</v>
      </c>
      <c r="F1754" t="s">
        <v>50</v>
      </c>
      <c r="G1754">
        <v>-217.52019999999999</v>
      </c>
      <c r="H1754" s="1">
        <v>2.4651119999999998E-6</v>
      </c>
      <c r="I1754">
        <v>286.18459999999999</v>
      </c>
      <c r="J1754">
        <v>-205.8563</v>
      </c>
      <c r="K1754">
        <v>1.1047009999999999</v>
      </c>
      <c r="L1754">
        <v>285.50369999999998</v>
      </c>
      <c r="M1754">
        <v>-0.98292550000000001</v>
      </c>
      <c r="N1754">
        <v>0</v>
      </c>
      <c r="O1754">
        <v>-0.183419</v>
      </c>
      <c r="P1754">
        <v>-0.99911170000000005</v>
      </c>
      <c r="Q1754">
        <v>-4.3970789999999999E-3</v>
      </c>
      <c r="R1754">
        <v>-4.1911400000000001E-2</v>
      </c>
      <c r="S1754">
        <v>-3.0109249999999999</v>
      </c>
      <c r="T1754">
        <v>-0.28070309999999998</v>
      </c>
      <c r="U1754">
        <v>0.16714479999999901</v>
      </c>
      <c r="V1754">
        <v>0.14219509999999999</v>
      </c>
      <c r="W1754">
        <v>8.2614119999999992E-3</v>
      </c>
      <c r="X1754">
        <v>0.98980409999999996</v>
      </c>
      <c r="Y1754">
        <v>0.23583319999999999</v>
      </c>
      <c r="Z1754">
        <v>2.7961179999999999E-2</v>
      </c>
      <c r="AA1754">
        <v>0.97139120000000001</v>
      </c>
      <c r="AB1754">
        <v>19</v>
      </c>
      <c r="AC1754">
        <v>-11.6638999999999</v>
      </c>
      <c r="AD1754">
        <v>-1.1046985348880001</v>
      </c>
      <c r="AE1754">
        <v>0.68090000000000805</v>
      </c>
      <c r="AF1754">
        <v>2.7840680235497901</v>
      </c>
      <c r="AG1754">
        <v>-1.1046985348880001</v>
      </c>
      <c r="AH1754">
        <v>11.240586223343101</v>
      </c>
      <c r="AI1754">
        <v>95.449251551427594</v>
      </c>
      <c r="AJ1754">
        <v>76.088933471431005</v>
      </c>
      <c r="AK1754">
        <v>11.6328058634684</v>
      </c>
      <c r="AL1754">
        <v>89.526650540444194</v>
      </c>
      <c r="AM1754">
        <v>81.824831306950699</v>
      </c>
      <c r="AN1754">
        <v>0.99999992688452399</v>
      </c>
    </row>
    <row r="1755" spans="1:40" x14ac:dyDescent="0.25">
      <c r="A1755" t="str">
        <f>"20190312154830661"</f>
        <v>20190312154830661</v>
      </c>
      <c r="B1755" t="str">
        <f>"1552376910647868"</f>
        <v>1552376910647868</v>
      </c>
      <c r="C1755" t="s">
        <v>40</v>
      </c>
      <c r="D1755">
        <v>4.8991339999999903</v>
      </c>
      <c r="E1755">
        <v>0.530869699999999</v>
      </c>
      <c r="F1755" t="s">
        <v>50</v>
      </c>
      <c r="G1755">
        <v>-217.55090000000001</v>
      </c>
      <c r="H1755" s="1">
        <v>2.4814259999999999E-6</v>
      </c>
      <c r="I1755">
        <v>286.20159999999998</v>
      </c>
      <c r="J1755">
        <v>-206.05799999999999</v>
      </c>
      <c r="K1755">
        <v>1.1049549999999999</v>
      </c>
      <c r="L1755">
        <v>285.47989999999999</v>
      </c>
      <c r="M1755">
        <v>-0.98491379999999995</v>
      </c>
      <c r="N1755">
        <v>0</v>
      </c>
      <c r="O1755">
        <v>-0.17243049999999999</v>
      </c>
      <c r="P1755">
        <v>-0.99942730000000002</v>
      </c>
      <c r="Q1755">
        <v>-4.9444650000000003E-3</v>
      </c>
      <c r="R1755">
        <v>-3.3481610000000002E-2</v>
      </c>
      <c r="S1755">
        <v>-3.0089419999999998</v>
      </c>
      <c r="T1755">
        <v>-0.28423090000000001</v>
      </c>
      <c r="U1755">
        <v>0.17956539999999999</v>
      </c>
      <c r="V1755">
        <v>0.13947699999999999</v>
      </c>
      <c r="W1755">
        <v>7.7741009999999899E-3</v>
      </c>
      <c r="X1755">
        <v>0.99019480000000004</v>
      </c>
      <c r="Y1755">
        <v>0.22904160000000001</v>
      </c>
      <c r="Z1755">
        <v>2.6983139999999999E-2</v>
      </c>
      <c r="AA1755">
        <v>0.97304250000000003</v>
      </c>
      <c r="AB1755">
        <v>19</v>
      </c>
      <c r="AC1755">
        <v>-11.492900000000001</v>
      </c>
      <c r="AD1755">
        <v>-1.1049525185739999</v>
      </c>
      <c r="AE1755">
        <v>0.72169999999999801</v>
      </c>
      <c r="AF1755">
        <v>2.66825825845764</v>
      </c>
      <c r="AG1755">
        <v>-1.1049525185739999</v>
      </c>
      <c r="AH1755">
        <v>11.0941188402655</v>
      </c>
      <c r="AI1755">
        <v>95.5310842785902</v>
      </c>
      <c r="AJ1755">
        <v>76.4765832268357</v>
      </c>
      <c r="AK1755">
        <v>11.4638560285824</v>
      </c>
      <c r="AL1755">
        <v>89.554572339122203</v>
      </c>
      <c r="AM1755">
        <v>81.982172535146205</v>
      </c>
      <c r="AN1755">
        <v>1.00000000606119</v>
      </c>
    </row>
    <row r="1756" spans="1:40" x14ac:dyDescent="0.25">
      <c r="A1756" t="str">
        <f>"20190312154830683"</f>
        <v>20190312154830683</v>
      </c>
      <c r="B1756" t="str">
        <f>"1552376910677148"</f>
        <v>1552376910677148</v>
      </c>
      <c r="C1756" t="s">
        <v>40</v>
      </c>
      <c r="D1756">
        <v>4.8670920000000004</v>
      </c>
      <c r="E1756">
        <v>0.53046890000000002</v>
      </c>
      <c r="F1756" t="s">
        <v>41</v>
      </c>
      <c r="G1756">
        <v>-206.834</v>
      </c>
      <c r="H1756">
        <v>1.02146</v>
      </c>
      <c r="I1756">
        <v>285.51659999999998</v>
      </c>
      <c r="J1756">
        <v>-206.239</v>
      </c>
      <c r="K1756">
        <v>1.105218</v>
      </c>
      <c r="L1756">
        <v>285.45999999999998</v>
      </c>
      <c r="M1756">
        <v>-0.98652600000000001</v>
      </c>
      <c r="N1756">
        <v>0</v>
      </c>
      <c r="O1756">
        <v>-0.16295970000000001</v>
      </c>
      <c r="P1756">
        <v>-0.99965020000000004</v>
      </c>
      <c r="Q1756">
        <v>-3.8985579999999999E-3</v>
      </c>
      <c r="R1756">
        <v>-2.6165109999999998E-2</v>
      </c>
      <c r="S1756">
        <v>-3.0048680000000001</v>
      </c>
      <c r="T1756">
        <v>-0.32312449999999998</v>
      </c>
      <c r="U1756">
        <v>0.1416626</v>
      </c>
      <c r="V1756">
        <v>0.13721820000000001</v>
      </c>
      <c r="W1756">
        <v>8.8746019999999901E-3</v>
      </c>
      <c r="X1756">
        <v>0.99050110000000002</v>
      </c>
      <c r="Y1756">
        <v>0.2071317</v>
      </c>
      <c r="Z1756">
        <v>2.8522019999999999E-2</v>
      </c>
      <c r="AA1756">
        <v>0.97789720000000002</v>
      </c>
      <c r="AB1756">
        <v>19</v>
      </c>
      <c r="AC1756">
        <v>-0.59499999999999797</v>
      </c>
      <c r="AD1756">
        <v>-8.3757999999999999E-2</v>
      </c>
      <c r="AE1756">
        <v>5.6600000000003002E-2</v>
      </c>
      <c r="AF1756">
        <v>0.14987125060312101</v>
      </c>
      <c r="AG1756">
        <v>-8.3757999999999999E-2</v>
      </c>
      <c r="AH1756">
        <v>0.56669137488556398</v>
      </c>
      <c r="AI1756">
        <v>98.131902283764305</v>
      </c>
      <c r="AJ1756">
        <v>75.186303680049704</v>
      </c>
      <c r="AK1756">
        <v>0.59212828735928003</v>
      </c>
      <c r="AL1756">
        <v>89.491516091427798</v>
      </c>
      <c r="AM1756">
        <v>82.112780235786701</v>
      </c>
      <c r="AN1756">
        <v>1.0000000110365499</v>
      </c>
    </row>
    <row r="1757" spans="1:40" x14ac:dyDescent="0.25">
      <c r="A1757" t="str">
        <f>"20190312154830707"</f>
        <v>20190312154830707</v>
      </c>
      <c r="B1757" t="str">
        <f>"1552376910697643"</f>
        <v>1552376910697643</v>
      </c>
      <c r="C1757" t="s">
        <v>40</v>
      </c>
      <c r="D1757">
        <v>4.7486959999999998</v>
      </c>
      <c r="E1757">
        <v>0.53035359999999998</v>
      </c>
      <c r="F1757" t="s">
        <v>41</v>
      </c>
      <c r="G1757">
        <v>-207.0061</v>
      </c>
      <c r="H1757">
        <v>1.02657</v>
      </c>
      <c r="I1757">
        <v>285.50099999999998</v>
      </c>
      <c r="J1757">
        <v>-206.4443</v>
      </c>
      <c r="K1757">
        <v>1.105545</v>
      </c>
      <c r="L1757">
        <v>285.43900000000002</v>
      </c>
      <c r="M1757">
        <v>-0.98816729999999997</v>
      </c>
      <c r="N1757">
        <v>0</v>
      </c>
      <c r="O1757">
        <v>-0.1526989</v>
      </c>
      <c r="P1757">
        <v>-0.99983979999999995</v>
      </c>
      <c r="Q1757">
        <v>-3.3863840000000001E-3</v>
      </c>
      <c r="R1757">
        <v>-1.7583339999999999E-2</v>
      </c>
      <c r="S1757">
        <v>-3.0040589999999998</v>
      </c>
      <c r="T1757">
        <v>-0.30749609999999999</v>
      </c>
      <c r="U1757">
        <v>0.16018679999999999</v>
      </c>
      <c r="V1757">
        <v>0.13542470000000001</v>
      </c>
      <c r="W1757">
        <v>9.4396299999999992E-3</v>
      </c>
      <c r="X1757">
        <v>0.99074269999999998</v>
      </c>
      <c r="Y1757">
        <v>0.20326749999999999</v>
      </c>
      <c r="Z1757">
        <v>2.5918799999999999E-2</v>
      </c>
      <c r="AA1757">
        <v>0.97878019999999999</v>
      </c>
      <c r="AB1757">
        <v>19</v>
      </c>
      <c r="AC1757">
        <v>-0.56180000000000496</v>
      </c>
      <c r="AD1757">
        <v>-7.8975000000000004E-2</v>
      </c>
      <c r="AE1757">
        <v>6.1999999999954897E-2</v>
      </c>
      <c r="AF1757">
        <v>0.14425164088310699</v>
      </c>
      <c r="AG1757">
        <v>-7.8975000000000004E-2</v>
      </c>
      <c r="AH1757">
        <v>0.53529116180710801</v>
      </c>
      <c r="AI1757">
        <v>98.107497712247493</v>
      </c>
      <c r="AJ1757">
        <v>74.918060354573299</v>
      </c>
      <c r="AK1757">
        <v>0.55998411980276097</v>
      </c>
      <c r="AL1757">
        <v>89.459141022772002</v>
      </c>
      <c r="AM1757">
        <v>82.216472330320698</v>
      </c>
      <c r="AN1757">
        <v>1.0000000267939499</v>
      </c>
    </row>
    <row r="1758" spans="1:40" x14ac:dyDescent="0.25">
      <c r="A1758" t="str">
        <f>"20190312154830859"</f>
        <v>20190312154830859</v>
      </c>
      <c r="B1758" t="str">
        <f>"1552376910847947"</f>
        <v>1552376910847947</v>
      </c>
      <c r="C1758" t="s">
        <v>40</v>
      </c>
      <c r="D1758">
        <v>4.6572209999999998</v>
      </c>
      <c r="E1758">
        <v>0.52697799999999995</v>
      </c>
      <c r="F1758" t="s">
        <v>41</v>
      </c>
      <c r="G1758">
        <v>-208.2885</v>
      </c>
      <c r="H1758">
        <v>0.90828350000000002</v>
      </c>
      <c r="I1758">
        <v>285.41390000000001</v>
      </c>
      <c r="J1758">
        <v>-207.73060000000001</v>
      </c>
      <c r="K1758">
        <v>1.1074759999999999</v>
      </c>
      <c r="L1758">
        <v>285.33640000000003</v>
      </c>
      <c r="M1758">
        <v>-0.99475659999999999</v>
      </c>
      <c r="N1758">
        <v>0</v>
      </c>
      <c r="O1758">
        <v>-0.1013167</v>
      </c>
      <c r="P1758">
        <v>-0.99986269999999999</v>
      </c>
      <c r="Q1758">
        <v>-7.0265630000000004E-3</v>
      </c>
      <c r="R1758">
        <v>1.502624E-2</v>
      </c>
      <c r="S1758">
        <v>-2.9927220000000001</v>
      </c>
      <c r="T1758">
        <v>-0.79243299999999905</v>
      </c>
      <c r="U1758">
        <v>0.25683590000000001</v>
      </c>
      <c r="V1758">
        <v>0.1163013</v>
      </c>
      <c r="W1758">
        <v>6.107594E-3</v>
      </c>
      <c r="X1758">
        <v>0.99319519999999994</v>
      </c>
      <c r="Y1758">
        <v>0.17650350000000001</v>
      </c>
      <c r="Z1758">
        <v>4.9255069999999998E-2</v>
      </c>
      <c r="AA1758">
        <v>0.98306689999999997</v>
      </c>
      <c r="AB1758">
        <v>19</v>
      </c>
      <c r="AC1758">
        <v>-0.55789999999998896</v>
      </c>
      <c r="AD1758">
        <v>-0.19919249999999999</v>
      </c>
      <c r="AE1758">
        <v>7.7499999999986302E-2</v>
      </c>
      <c r="AF1758">
        <v>0.11877652848386799</v>
      </c>
      <c r="AG1758">
        <v>-0.19919249999999999</v>
      </c>
      <c r="AH1758">
        <v>0.48635080518769702</v>
      </c>
      <c r="AI1758">
        <v>111.696229242811</v>
      </c>
      <c r="AJ1758">
        <v>76.275874203976102</v>
      </c>
      <c r="AK1758">
        <v>0.538815943974981</v>
      </c>
      <c r="AL1758">
        <v>89.650058465238004</v>
      </c>
      <c r="AM1758">
        <v>83.321187137575393</v>
      </c>
      <c r="AN1758">
        <v>1.0000000001945899</v>
      </c>
    </row>
    <row r="1759" spans="1:40" x14ac:dyDescent="0.25">
      <c r="A1759" t="str">
        <f>"20190312154830873"</f>
        <v>20190312154830873</v>
      </c>
      <c r="B1759" t="str">
        <f>"1552376910867468"</f>
        <v>1552376910867468</v>
      </c>
      <c r="C1759" t="s">
        <v>40</v>
      </c>
      <c r="D1759">
        <v>4.9050050000000001</v>
      </c>
      <c r="E1759">
        <v>0.52194399999999996</v>
      </c>
      <c r="F1759" t="s">
        <v>41</v>
      </c>
      <c r="G1759">
        <v>-208.45</v>
      </c>
      <c r="H1759">
        <v>0.90095519999999996</v>
      </c>
      <c r="I1759">
        <v>285.39339999999999</v>
      </c>
      <c r="J1759">
        <v>-207.8425</v>
      </c>
      <c r="K1759">
        <v>1.1076999999999999</v>
      </c>
      <c r="L1759">
        <v>285.32900000000001</v>
      </c>
      <c r="M1759">
        <v>-0.99508490000000005</v>
      </c>
      <c r="N1759">
        <v>0</v>
      </c>
      <c r="O1759">
        <v>-9.8046320000000006E-2</v>
      </c>
      <c r="P1759">
        <v>-0.99984470000000003</v>
      </c>
      <c r="Q1759">
        <v>-7.3783950000000003E-3</v>
      </c>
      <c r="R1759">
        <v>1.6022160000000001E-2</v>
      </c>
      <c r="S1759">
        <v>-2.990799</v>
      </c>
      <c r="T1759">
        <v>-0.85853869999999899</v>
      </c>
      <c r="U1759">
        <v>0.23706050000000001</v>
      </c>
      <c r="V1759">
        <v>0.11401989999999899</v>
      </c>
      <c r="W1759">
        <v>5.7957490000000002E-3</v>
      </c>
      <c r="X1759">
        <v>0.9934615</v>
      </c>
      <c r="Y1759">
        <v>0.16578229999999999</v>
      </c>
      <c r="Z1759">
        <v>5.08317E-2</v>
      </c>
      <c r="AA1759">
        <v>0.98485140000000004</v>
      </c>
      <c r="AB1759">
        <v>19</v>
      </c>
      <c r="AC1759">
        <v>-0.60749999999998705</v>
      </c>
      <c r="AD1759">
        <v>-0.20674479999999901</v>
      </c>
      <c r="AE1759">
        <v>6.4399999999977794E-2</v>
      </c>
      <c r="AF1759">
        <v>0.11095117977684001</v>
      </c>
      <c r="AG1759">
        <v>-0.20674479999999901</v>
      </c>
      <c r="AH1759">
        <v>0.536779662498446</v>
      </c>
      <c r="AI1759">
        <v>110.665698961823</v>
      </c>
      <c r="AJ1759">
        <v>78.321550982741797</v>
      </c>
      <c r="AK1759">
        <v>0.58582077693852597</v>
      </c>
      <c r="AL1759">
        <v>89.6679261641887</v>
      </c>
      <c r="AM1759">
        <v>83.452791540478202</v>
      </c>
      <c r="AN1759">
        <v>0.99999994014236304</v>
      </c>
    </row>
    <row r="1760" spans="1:40" x14ac:dyDescent="0.25">
      <c r="A1760" t="str">
        <f>"20190312154830895"</f>
        <v>20190312154830895</v>
      </c>
      <c r="B1760" t="str">
        <f>"1552376910887964"</f>
        <v>1552376910887964</v>
      </c>
      <c r="C1760" t="s">
        <v>40</v>
      </c>
      <c r="D1760">
        <v>5.1801190000000004</v>
      </c>
      <c r="E1760">
        <v>0.51986399999999999</v>
      </c>
      <c r="F1760" t="s">
        <v>41</v>
      </c>
      <c r="G1760">
        <v>-208.61770000000001</v>
      </c>
      <c r="H1760">
        <v>0.905497</v>
      </c>
      <c r="I1760">
        <v>285.3811</v>
      </c>
      <c r="J1760">
        <v>-208.02969999999999</v>
      </c>
      <c r="K1760">
        <v>1.1080779999999999</v>
      </c>
      <c r="L1760">
        <v>285.31689999999998</v>
      </c>
      <c r="M1760">
        <v>-0.99556250000000002</v>
      </c>
      <c r="N1760">
        <v>0</v>
      </c>
      <c r="O1760">
        <v>-9.3080479999999993E-2</v>
      </c>
      <c r="P1760">
        <v>-0.99982300000000002</v>
      </c>
      <c r="Q1760">
        <v>-8.5839530000000001E-3</v>
      </c>
      <c r="R1760">
        <v>1.674906E-2</v>
      </c>
      <c r="S1760">
        <v>-2.991501</v>
      </c>
      <c r="T1760">
        <v>-0.7803291</v>
      </c>
      <c r="U1760">
        <v>0.20068359999999999</v>
      </c>
      <c r="V1760">
        <v>0.1097722</v>
      </c>
      <c r="W1760">
        <v>4.6599379999999998E-3</v>
      </c>
      <c r="X1760">
        <v>0.99394579999999999</v>
      </c>
      <c r="Y1760">
        <v>0.15137400000000001</v>
      </c>
      <c r="Z1760">
        <v>4.3246340000000001E-2</v>
      </c>
      <c r="AA1760">
        <v>0.98753009999999997</v>
      </c>
      <c r="AB1760">
        <v>18</v>
      </c>
      <c r="AC1760">
        <v>-0.58800000000002195</v>
      </c>
      <c r="AD1760">
        <v>-0.20258100000000001</v>
      </c>
      <c r="AE1760">
        <v>6.4200000000027999E-2</v>
      </c>
      <c r="AF1760">
        <v>0.10620051989901901</v>
      </c>
      <c r="AG1760">
        <v>-0.20258100000000001</v>
      </c>
      <c r="AH1760">
        <v>0.51863482106524095</v>
      </c>
      <c r="AI1760">
        <v>110.940051863657</v>
      </c>
      <c r="AJ1760">
        <v>78.427556149853501</v>
      </c>
      <c r="AK1760">
        <v>0.56683303503694704</v>
      </c>
      <c r="AL1760">
        <v>89.733004240716099</v>
      </c>
      <c r="AM1760">
        <v>83.697746923774602</v>
      </c>
      <c r="AN1760">
        <v>0.99999995212631998</v>
      </c>
    </row>
    <row r="1761" spans="1:40" x14ac:dyDescent="0.25">
      <c r="A1761" t="str">
        <f>"20190312154830918"</f>
        <v>20190312154830918</v>
      </c>
      <c r="B1761" t="str">
        <f>"1552376910907484"</f>
        <v>1552376910907484</v>
      </c>
      <c r="C1761" t="s">
        <v>40</v>
      </c>
      <c r="D1761">
        <v>4.9789139999999996</v>
      </c>
      <c r="E1761">
        <v>0.51810749999999905</v>
      </c>
      <c r="F1761" t="s">
        <v>41</v>
      </c>
      <c r="G1761">
        <v>-208.79599999999999</v>
      </c>
      <c r="H1761">
        <v>0.93446370000000001</v>
      </c>
      <c r="I1761">
        <v>285.36500000000001</v>
      </c>
      <c r="J1761">
        <v>-208.215</v>
      </c>
      <c r="K1761">
        <v>1.1084350000000001</v>
      </c>
      <c r="L1761">
        <v>285.30509999999998</v>
      </c>
      <c r="M1761">
        <v>-0.99595429999999996</v>
      </c>
      <c r="N1761">
        <v>0</v>
      </c>
      <c r="O1761">
        <v>-8.8800850000000001E-2</v>
      </c>
      <c r="P1761">
        <v>-0.99985040000000003</v>
      </c>
      <c r="Q1761">
        <v>-1.1619590000000001E-2</v>
      </c>
      <c r="R1761">
        <v>1.2822149999999999E-2</v>
      </c>
      <c r="S1761">
        <v>-2.9915769999999999</v>
      </c>
      <c r="T1761">
        <v>-0.67771969999999904</v>
      </c>
      <c r="U1761">
        <v>0.18731690000000001</v>
      </c>
      <c r="V1761">
        <v>0.1015745</v>
      </c>
      <c r="W1761">
        <v>1.706901E-3</v>
      </c>
      <c r="X1761">
        <v>0.99482649999999995</v>
      </c>
      <c r="Y1761">
        <v>0.1449761</v>
      </c>
      <c r="Z1761">
        <v>3.6043289999999999E-2</v>
      </c>
      <c r="AA1761">
        <v>0.9887785</v>
      </c>
      <c r="AB1761">
        <v>18</v>
      </c>
      <c r="AC1761">
        <v>-0.58099999999998797</v>
      </c>
      <c r="AD1761">
        <v>-0.1739713</v>
      </c>
      <c r="AE1761">
        <v>5.9900000000027299E-2</v>
      </c>
      <c r="AF1761">
        <v>0.102194975243599</v>
      </c>
      <c r="AG1761">
        <v>-0.1739713</v>
      </c>
      <c r="AH1761">
        <v>0.52666040265356195</v>
      </c>
      <c r="AI1761">
        <v>107.96687038098</v>
      </c>
      <c r="AJ1761">
        <v>79.018601835611605</v>
      </c>
      <c r="AK1761">
        <v>0.56398670721209498</v>
      </c>
      <c r="AL1761">
        <v>89.902201731983595</v>
      </c>
      <c r="AM1761">
        <v>84.170147243196197</v>
      </c>
      <c r="AN1761">
        <v>1.0000000288317601</v>
      </c>
    </row>
    <row r="1762" spans="1:40" x14ac:dyDescent="0.25">
      <c r="A1762" t="str">
        <f>"20190312154830938"</f>
        <v>20190312154830938</v>
      </c>
      <c r="B1762" t="str">
        <f>"1552376910927980"</f>
        <v>1552376910927980</v>
      </c>
      <c r="C1762" t="s">
        <v>40</v>
      </c>
      <c r="D1762">
        <v>4.933192</v>
      </c>
      <c r="E1762">
        <v>0.51669639999999994</v>
      </c>
      <c r="F1762" t="s">
        <v>41</v>
      </c>
      <c r="G1762">
        <v>-208.97309999999999</v>
      </c>
      <c r="H1762">
        <v>0.96086899999999997</v>
      </c>
      <c r="I1762">
        <v>285.3467</v>
      </c>
      <c r="J1762">
        <v>-208.3912</v>
      </c>
      <c r="K1762">
        <v>1.1087549999999999</v>
      </c>
      <c r="L1762">
        <v>285.29379999999998</v>
      </c>
      <c r="M1762">
        <v>-0.99625949999999996</v>
      </c>
      <c r="N1762">
        <v>0</v>
      </c>
      <c r="O1762">
        <v>-8.5315500000000002E-2</v>
      </c>
      <c r="P1762">
        <v>-0.99984340000000005</v>
      </c>
      <c r="Q1762">
        <v>-1.427295E-2</v>
      </c>
      <c r="R1762">
        <v>1.0487099999999999E-2</v>
      </c>
      <c r="S1762">
        <v>-2.9915769999999999</v>
      </c>
      <c r="T1762">
        <v>-0.58223340000000001</v>
      </c>
      <c r="U1762">
        <v>0.16369629999999999</v>
      </c>
      <c r="V1762">
        <v>9.5757010000000004E-2</v>
      </c>
      <c r="W1762">
        <v>-8.946011E-4</v>
      </c>
      <c r="X1762">
        <v>0.99540439999999997</v>
      </c>
      <c r="Y1762">
        <v>0.13550110000000001</v>
      </c>
      <c r="Z1762">
        <v>2.9487929999999999E-2</v>
      </c>
      <c r="AA1762">
        <v>0.9903383</v>
      </c>
      <c r="AB1762">
        <v>18</v>
      </c>
      <c r="AC1762">
        <v>-0.58189999999998998</v>
      </c>
      <c r="AD1762">
        <v>-0.14788599999999899</v>
      </c>
      <c r="AE1762">
        <v>5.2900000000022297E-2</v>
      </c>
      <c r="AF1762">
        <v>9.6194678458589297E-2</v>
      </c>
      <c r="AG1762">
        <v>-0.14788599999999899</v>
      </c>
      <c r="AH1762">
        <v>0.54063181312725295</v>
      </c>
      <c r="AI1762">
        <v>105.072882271708</v>
      </c>
      <c r="AJ1762">
        <v>79.910941588596302</v>
      </c>
      <c r="AK1762">
        <v>0.568688352724946</v>
      </c>
      <c r="AL1762">
        <v>90.051256871015795</v>
      </c>
      <c r="AM1762">
        <v>84.505106204978205</v>
      </c>
      <c r="AN1762">
        <v>1.00000006240731</v>
      </c>
    </row>
    <row r="1763" spans="1:40" x14ac:dyDescent="0.25">
      <c r="A1763" t="str">
        <f>"20190312154830960"</f>
        <v>20190312154830960</v>
      </c>
      <c r="B1763" t="str">
        <f>"1552376910947500"</f>
        <v>1552376910947500</v>
      </c>
      <c r="C1763" t="s">
        <v>40</v>
      </c>
      <c r="D1763">
        <v>4.9482309999999998</v>
      </c>
      <c r="E1763">
        <v>0.51549979999999995</v>
      </c>
      <c r="F1763" t="s">
        <v>41</v>
      </c>
      <c r="G1763">
        <v>-209.14699999999999</v>
      </c>
      <c r="H1763">
        <v>0.97996640000000002</v>
      </c>
      <c r="I1763">
        <v>285.33109999999999</v>
      </c>
      <c r="J1763">
        <v>-208.56379999999999</v>
      </c>
      <c r="K1763">
        <v>1.109043</v>
      </c>
      <c r="L1763">
        <v>285.28280000000001</v>
      </c>
      <c r="M1763">
        <v>-0.99650139999999998</v>
      </c>
      <c r="N1763">
        <v>0</v>
      </c>
      <c r="O1763">
        <v>-8.2451499999999997E-2</v>
      </c>
      <c r="P1763">
        <v>-0.99984660000000003</v>
      </c>
      <c r="Q1763">
        <v>-1.5528729999999999E-2</v>
      </c>
      <c r="R1763">
        <v>8.1446260000000003E-3</v>
      </c>
      <c r="S1763">
        <v>-2.9916529999999999</v>
      </c>
      <c r="T1763">
        <v>-0.50979589999999997</v>
      </c>
      <c r="U1763">
        <v>0.14746090000000001</v>
      </c>
      <c r="V1763">
        <v>9.0559219999999996E-2</v>
      </c>
      <c r="W1763">
        <v>-2.1137349999999998E-3</v>
      </c>
      <c r="X1763">
        <v>0.99588880000000002</v>
      </c>
      <c r="Y1763">
        <v>0.12838939999999999</v>
      </c>
      <c r="Z1763">
        <v>2.47922E-2</v>
      </c>
      <c r="AA1763">
        <v>0.99141389999999996</v>
      </c>
      <c r="AB1763">
        <v>18</v>
      </c>
      <c r="AC1763">
        <v>-0.58320000000003303</v>
      </c>
      <c r="AD1763">
        <v>-0.12907660000000001</v>
      </c>
      <c r="AE1763">
        <v>4.8299999999983301E-2</v>
      </c>
      <c r="AF1763">
        <v>9.1761434680091999E-2</v>
      </c>
      <c r="AG1763">
        <v>-0.12907660000000001</v>
      </c>
      <c r="AH1763">
        <v>0.55045112667166296</v>
      </c>
      <c r="AI1763">
        <v>103.023515676006</v>
      </c>
      <c r="AJ1763">
        <v>80.535694804209598</v>
      </c>
      <c r="AK1763">
        <v>0.57278038759738603</v>
      </c>
      <c r="AL1763">
        <v>90.121108188193801</v>
      </c>
      <c r="AM1763">
        <v>84.804208796216798</v>
      </c>
      <c r="AN1763">
        <v>0.99999997108404903</v>
      </c>
    </row>
    <row r="1764" spans="1:40" x14ac:dyDescent="0.25">
      <c r="A1764" t="str">
        <f>"20190312154830984"</f>
        <v>20190312154830984</v>
      </c>
      <c r="B1764" t="str">
        <f>"1552376910977756"</f>
        <v>1552376910977756</v>
      </c>
      <c r="C1764" t="s">
        <v>40</v>
      </c>
      <c r="D1764">
        <v>4.9527060000000001</v>
      </c>
      <c r="E1764">
        <v>0.51431289999999996</v>
      </c>
      <c r="F1764" t="s">
        <v>41</v>
      </c>
      <c r="G1764">
        <v>-209.31790000000001</v>
      </c>
      <c r="H1764">
        <v>0.99317599999999995</v>
      </c>
      <c r="I1764">
        <v>285.31630000000001</v>
      </c>
      <c r="J1764">
        <v>-208.7662</v>
      </c>
      <c r="K1764">
        <v>1.109359</v>
      </c>
      <c r="L1764">
        <v>285.2697</v>
      </c>
      <c r="M1764">
        <v>-0.99672380000000005</v>
      </c>
      <c r="N1764">
        <v>0</v>
      </c>
      <c r="O1764">
        <v>-7.9726889999999995E-2</v>
      </c>
      <c r="P1764">
        <v>-0.99986160000000002</v>
      </c>
      <c r="Q1764">
        <v>-1.518829E-2</v>
      </c>
      <c r="R1764">
        <v>6.8095489999999998E-3</v>
      </c>
      <c r="S1764">
        <v>-2.9922490000000002</v>
      </c>
      <c r="T1764">
        <v>-0.45973530000000001</v>
      </c>
      <c r="U1764">
        <v>0.13253779999999901</v>
      </c>
      <c r="V1764">
        <v>8.6508500000000002E-2</v>
      </c>
      <c r="W1764">
        <v>-1.746002E-3</v>
      </c>
      <c r="X1764">
        <v>0.99624959999999996</v>
      </c>
      <c r="Y1764">
        <v>0.1214094</v>
      </c>
      <c r="Z1764">
        <v>2.1436730000000001E-2</v>
      </c>
      <c r="AA1764">
        <v>0.992371</v>
      </c>
      <c r="AB1764">
        <v>18</v>
      </c>
      <c r="AC1764">
        <v>-0.55170000000001096</v>
      </c>
      <c r="AD1764">
        <v>-0.116182999999999</v>
      </c>
      <c r="AE1764">
        <v>4.6600000000012097E-2</v>
      </c>
      <c r="AF1764">
        <v>8.6626491236387396E-2</v>
      </c>
      <c r="AG1764">
        <v>-0.116182999999999</v>
      </c>
      <c r="AH1764">
        <v>0.52318953705480098</v>
      </c>
      <c r="AI1764">
        <v>102.35734858185801</v>
      </c>
      <c r="AJ1764">
        <v>80.598611651599796</v>
      </c>
      <c r="AK1764">
        <v>0.54289034818879001</v>
      </c>
      <c r="AL1764">
        <v>90.100038594719294</v>
      </c>
      <c r="AM1764">
        <v>85.0372173808464</v>
      </c>
      <c r="AN1764">
        <v>1.0000000172976899</v>
      </c>
    </row>
    <row r="1765" spans="1:40" x14ac:dyDescent="0.25">
      <c r="A1765" t="str">
        <f>"20190312154831005"</f>
        <v>20190312154831005</v>
      </c>
      <c r="B1765" t="str">
        <f>"1552376910997276"</f>
        <v>1552376910997276</v>
      </c>
      <c r="C1765" t="s">
        <v>40</v>
      </c>
      <c r="D1765">
        <v>4.9670180000000004</v>
      </c>
      <c r="E1765">
        <v>0.51348229999999995</v>
      </c>
      <c r="F1765" t="s">
        <v>41</v>
      </c>
      <c r="G1765">
        <v>-209.4914</v>
      </c>
      <c r="H1765">
        <v>1.0128490000000001</v>
      </c>
      <c r="I1765">
        <v>285.29899999999998</v>
      </c>
      <c r="J1765">
        <v>-208.9348</v>
      </c>
      <c r="K1765">
        <v>1.1096140000000001</v>
      </c>
      <c r="L1765">
        <v>285.25869999999998</v>
      </c>
      <c r="M1765">
        <v>-0.99686110000000006</v>
      </c>
      <c r="N1765">
        <v>0</v>
      </c>
      <c r="O1765">
        <v>-7.7996480000000007E-2</v>
      </c>
      <c r="P1765">
        <v>-0.99988759999999999</v>
      </c>
      <c r="Q1765">
        <v>-1.4001980000000001E-2</v>
      </c>
      <c r="R1765">
        <v>5.3510559999999999E-3</v>
      </c>
      <c r="S1765">
        <v>-2.9935299999999998</v>
      </c>
      <c r="T1765">
        <v>-0.39835599999999999</v>
      </c>
      <c r="U1765">
        <v>0.1207275</v>
      </c>
      <c r="V1765">
        <v>8.3329120000000007E-2</v>
      </c>
      <c r="W1765">
        <v>-5.3964460000000003E-4</v>
      </c>
      <c r="X1765">
        <v>0.99652189999999996</v>
      </c>
      <c r="Y1765">
        <v>0.11640300000000001</v>
      </c>
      <c r="Z1765">
        <v>1.803449E-2</v>
      </c>
      <c r="AA1765">
        <v>0.99303830000000004</v>
      </c>
      <c r="AB1765">
        <v>18</v>
      </c>
      <c r="AC1765">
        <v>-0.55660000000000298</v>
      </c>
      <c r="AD1765">
        <v>-9.6765000000000004E-2</v>
      </c>
      <c r="AE1765">
        <v>4.0300000000058803E-2</v>
      </c>
      <c r="AF1765">
        <v>8.1154055776604894E-2</v>
      </c>
      <c r="AG1765">
        <v>-9.6765000000000004E-2</v>
      </c>
      <c r="AH1765">
        <v>0.53565537664924501</v>
      </c>
      <c r="AI1765">
        <v>100.12679297887</v>
      </c>
      <c r="AJ1765">
        <v>81.384963489545896</v>
      </c>
      <c r="AK1765">
        <v>0.55034182880028004</v>
      </c>
      <c r="AL1765">
        <v>90.030919360590005</v>
      </c>
      <c r="AM1765">
        <v>85.220049537799596</v>
      </c>
      <c r="AN1765">
        <v>0.999999965317938</v>
      </c>
    </row>
    <row r="1766" spans="1:40" x14ac:dyDescent="0.25">
      <c r="A1766" t="str">
        <f>"20190312154831028"</f>
        <v>20190312154831028</v>
      </c>
      <c r="B1766" t="str">
        <f>"1552376911017771"</f>
        <v>1552376911017771</v>
      </c>
      <c r="C1766" t="s">
        <v>40</v>
      </c>
      <c r="D1766">
        <v>5.0122080000000002</v>
      </c>
      <c r="E1766">
        <v>0.51237900000000003</v>
      </c>
      <c r="F1766" t="s">
        <v>41</v>
      </c>
      <c r="G1766">
        <v>-209.65870000000001</v>
      </c>
      <c r="H1766">
        <v>1.0198769999999999</v>
      </c>
      <c r="I1766">
        <v>285.28559999999999</v>
      </c>
      <c r="J1766">
        <v>-209.12629999999999</v>
      </c>
      <c r="K1766">
        <v>1.1098950000000001</v>
      </c>
      <c r="L1766">
        <v>285.24579999999997</v>
      </c>
      <c r="M1766">
        <v>-0.99697139999999995</v>
      </c>
      <c r="N1766">
        <v>0</v>
      </c>
      <c r="O1766">
        <v>-7.6580389999999998E-2</v>
      </c>
      <c r="P1766">
        <v>-0.99991479999999999</v>
      </c>
      <c r="Q1766">
        <v>-1.246015E-2</v>
      </c>
      <c r="R1766">
        <v>3.904467E-3</v>
      </c>
      <c r="S1766">
        <v>-2.9945529999999998</v>
      </c>
      <c r="T1766">
        <v>-0.37125039999999998</v>
      </c>
      <c r="U1766">
        <v>0.11071780000000001</v>
      </c>
      <c r="V1766">
        <v>8.0474190000000001E-2</v>
      </c>
      <c r="W1766">
        <v>1.0250249999999999E-3</v>
      </c>
      <c r="X1766">
        <v>0.99675610000000003</v>
      </c>
      <c r="Y1766">
        <v>0.111933</v>
      </c>
      <c r="Z1766">
        <v>1.6361569999999999E-2</v>
      </c>
      <c r="AA1766">
        <v>0.99358109999999999</v>
      </c>
      <c r="AB1766">
        <v>18</v>
      </c>
      <c r="AC1766">
        <v>-0.53240000000002397</v>
      </c>
      <c r="AD1766">
        <v>-9.0017999999999904E-2</v>
      </c>
      <c r="AE1766">
        <v>3.9800000000013797E-2</v>
      </c>
      <c r="AF1766">
        <v>7.8234120810325894E-2</v>
      </c>
      <c r="AG1766">
        <v>-9.0017999999999904E-2</v>
      </c>
      <c r="AH1766">
        <v>0.51319835118656199</v>
      </c>
      <c r="AI1766">
        <v>99.837414830598405</v>
      </c>
      <c r="AJ1766">
        <v>81.332322062400394</v>
      </c>
      <c r="AK1766">
        <v>0.52687414592440396</v>
      </c>
      <c r="AL1766">
        <v>89.941270379468193</v>
      </c>
      <c r="AM1766">
        <v>85.384174562990793</v>
      </c>
      <c r="AN1766">
        <v>0.99999993440980595</v>
      </c>
    </row>
    <row r="1767" spans="1:40" x14ac:dyDescent="0.25">
      <c r="A1767" t="str">
        <f>"20190312154831049"</f>
        <v>20190312154831049</v>
      </c>
      <c r="B1767" t="str">
        <f>"1552376911037291"</f>
        <v>1552376911037291</v>
      </c>
      <c r="C1767" t="s">
        <v>40</v>
      </c>
      <c r="D1767">
        <v>5.0133340000000004</v>
      </c>
      <c r="E1767">
        <v>0.51137630000000001</v>
      </c>
      <c r="F1767" t="s">
        <v>41</v>
      </c>
      <c r="G1767">
        <v>-209.98230000000001</v>
      </c>
      <c r="H1767">
        <v>1.011088</v>
      </c>
      <c r="I1767">
        <v>285.27420000000001</v>
      </c>
      <c r="J1767">
        <v>-209.30240000000001</v>
      </c>
      <c r="K1767">
        <v>1.1101259999999999</v>
      </c>
      <c r="L1767">
        <v>285.23360000000002</v>
      </c>
      <c r="M1767">
        <v>-0.99703960000000003</v>
      </c>
      <c r="N1767">
        <v>0</v>
      </c>
      <c r="O1767">
        <v>-7.5692759999999998E-2</v>
      </c>
      <c r="P1767">
        <v>-0.99992639999999999</v>
      </c>
      <c r="Q1767">
        <v>-1.20245E-2</v>
      </c>
      <c r="R1767">
        <v>1.606945E-3</v>
      </c>
      <c r="S1767">
        <v>-2.9955599999999998</v>
      </c>
      <c r="T1767">
        <v>-0.34594809999999998</v>
      </c>
      <c r="U1767">
        <v>9.8388669999999998E-2</v>
      </c>
      <c r="V1767">
        <v>7.7295849999999999E-2</v>
      </c>
      <c r="W1767">
        <v>1.4789740000000001E-3</v>
      </c>
      <c r="X1767">
        <v>0.99700710000000003</v>
      </c>
      <c r="Y1767">
        <v>0.1071776</v>
      </c>
      <c r="Z1767">
        <v>1.4874119999999999E-2</v>
      </c>
      <c r="AA1767">
        <v>0.99412860000000003</v>
      </c>
      <c r="AB1767">
        <v>18</v>
      </c>
      <c r="AC1767">
        <v>-0.67990000000000295</v>
      </c>
      <c r="AD1767">
        <v>-9.9037999999999904E-2</v>
      </c>
      <c r="AE1767">
        <v>4.0599999999983503E-2</v>
      </c>
      <c r="AF1767">
        <v>9.00478265126054E-2</v>
      </c>
      <c r="AG1767">
        <v>-9.9037999999999904E-2</v>
      </c>
      <c r="AH1767">
        <v>0.66090223781727198</v>
      </c>
      <c r="AI1767">
        <v>98.445621686849094</v>
      </c>
      <c r="AJ1767">
        <v>82.241234902731605</v>
      </c>
      <c r="AK1767">
        <v>0.67432106926561497</v>
      </c>
      <c r="AL1767">
        <v>89.915261000611494</v>
      </c>
      <c r="AM1767">
        <v>85.566847235437294</v>
      </c>
      <c r="AN1767">
        <v>0.99999999662086203</v>
      </c>
    </row>
    <row r="1768" spans="1:40" x14ac:dyDescent="0.25">
      <c r="A1768" t="str">
        <f>"20190312154831072"</f>
        <v>20190312154831072</v>
      </c>
      <c r="B1768" t="str">
        <f>"1552376911067548"</f>
        <v>1552376911067548</v>
      </c>
      <c r="C1768" t="s">
        <v>40</v>
      </c>
      <c r="D1768">
        <v>5.0436480000000001</v>
      </c>
      <c r="E1768">
        <v>0.50986549999999997</v>
      </c>
      <c r="F1768" t="s">
        <v>41</v>
      </c>
      <c r="G1768">
        <v>-210.14840000000001</v>
      </c>
      <c r="H1768">
        <v>1.0180169999999999</v>
      </c>
      <c r="I1768">
        <v>285.25779999999997</v>
      </c>
      <c r="J1768">
        <v>-209.48609999999999</v>
      </c>
      <c r="K1768">
        <v>1.110304</v>
      </c>
      <c r="L1768">
        <v>285.22059999999999</v>
      </c>
      <c r="M1768">
        <v>-0.99708430000000003</v>
      </c>
      <c r="N1768">
        <v>0</v>
      </c>
      <c r="O1768">
        <v>-7.5105450000000004E-2</v>
      </c>
      <c r="P1768">
        <v>-0.99991810000000003</v>
      </c>
      <c r="Q1768">
        <v>-1.2760260000000001E-2</v>
      </c>
      <c r="R1768">
        <v>-1.038918E-3</v>
      </c>
      <c r="S1768">
        <v>-2.9961549999999999</v>
      </c>
      <c r="T1768">
        <v>-0.32631739999999998</v>
      </c>
      <c r="U1768">
        <v>8.5083010000000001E-2</v>
      </c>
      <c r="V1768">
        <v>7.4069659999999996E-2</v>
      </c>
      <c r="W1768">
        <v>7.5370470000000003E-4</v>
      </c>
      <c r="X1768">
        <v>0.99725280000000005</v>
      </c>
      <c r="Y1768">
        <v>0.10233929999999999</v>
      </c>
      <c r="Z1768">
        <v>1.370673E-2</v>
      </c>
      <c r="AA1768">
        <v>0.99465510000000001</v>
      </c>
      <c r="AB1768">
        <v>18</v>
      </c>
      <c r="AC1768">
        <v>-0.66230000000001599</v>
      </c>
      <c r="AD1768">
        <v>-9.2287000000000202E-2</v>
      </c>
      <c r="AE1768">
        <v>3.7199999999984301E-2</v>
      </c>
      <c r="AF1768">
        <v>8.5192834692227395E-2</v>
      </c>
      <c r="AG1768">
        <v>-9.2287000000000202E-2</v>
      </c>
      <c r="AH1768">
        <v>0.64514774600256497</v>
      </c>
      <c r="AI1768">
        <v>98.071674388968006</v>
      </c>
      <c r="AJ1768">
        <v>82.477520145096804</v>
      </c>
      <c r="AK1768">
        <v>0.65725970789641996</v>
      </c>
      <c r="AL1768">
        <v>89.956815898243704</v>
      </c>
      <c r="AM1768">
        <v>85.752229792248002</v>
      </c>
      <c r="AN1768">
        <v>1.0000000148555599</v>
      </c>
    </row>
    <row r="1769" spans="1:40" x14ac:dyDescent="0.25">
      <c r="A1769" t="str">
        <f>"20190312154831095"</f>
        <v>20190312154831095</v>
      </c>
      <c r="B1769" t="str">
        <f>"1552376911088044"</f>
        <v>1552376911088044</v>
      </c>
      <c r="C1769" t="s">
        <v>40</v>
      </c>
      <c r="D1769">
        <v>5.0748369999999996</v>
      </c>
      <c r="E1769">
        <v>0.50897009999999998</v>
      </c>
      <c r="F1769" t="s">
        <v>41</v>
      </c>
      <c r="G1769">
        <v>-210.3143</v>
      </c>
      <c r="H1769">
        <v>1.025606</v>
      </c>
      <c r="I1769">
        <v>285.23910000000001</v>
      </c>
      <c r="J1769">
        <v>-209.67089999999999</v>
      </c>
      <c r="K1769">
        <v>1.1104290000000001</v>
      </c>
      <c r="L1769">
        <v>285.2072</v>
      </c>
      <c r="M1769">
        <v>-0.99710540000000003</v>
      </c>
      <c r="N1769">
        <v>0</v>
      </c>
      <c r="O1769">
        <v>-7.4828909999999998E-2</v>
      </c>
      <c r="P1769">
        <v>-0.99991609999999997</v>
      </c>
      <c r="Q1769">
        <v>-1.259619E-2</v>
      </c>
      <c r="R1769">
        <v>-3.0731339999999999E-3</v>
      </c>
      <c r="S1769">
        <v>-2.9963989999999998</v>
      </c>
      <c r="T1769">
        <v>-0.30651689999999998</v>
      </c>
      <c r="U1769">
        <v>6.6436770000000006E-2</v>
      </c>
      <c r="V1769">
        <v>7.1764010000000003E-2</v>
      </c>
      <c r="W1769">
        <v>9.1869019999999996E-4</v>
      </c>
      <c r="X1769">
        <v>0.99742120000000001</v>
      </c>
      <c r="Y1769">
        <v>9.6030850000000001E-2</v>
      </c>
      <c r="Z1769">
        <v>1.252904E-2</v>
      </c>
      <c r="AA1769">
        <v>0.9952995</v>
      </c>
      <c r="AB1769">
        <v>18</v>
      </c>
      <c r="AC1769">
        <v>-0.64340000000001396</v>
      </c>
      <c r="AD1769">
        <v>-8.4822999999999996E-2</v>
      </c>
      <c r="AE1769">
        <v>3.1900000000007298E-2</v>
      </c>
      <c r="AF1769">
        <v>7.8597121385501206E-2</v>
      </c>
      <c r="AG1769">
        <v>-8.4822999999999996E-2</v>
      </c>
      <c r="AH1769">
        <v>0.62831484919368996</v>
      </c>
      <c r="AI1769">
        <v>97.629737378986704</v>
      </c>
      <c r="AJ1769">
        <v>82.869797160858795</v>
      </c>
      <c r="AK1769">
        <v>0.638867747297026</v>
      </c>
      <c r="AL1769">
        <v>89.947362920595907</v>
      </c>
      <c r="AM1769">
        <v>85.8846857710395</v>
      </c>
      <c r="AN1769">
        <v>0.99999998366620102</v>
      </c>
    </row>
    <row r="1770" spans="1:40" x14ac:dyDescent="0.25">
      <c r="A1770" t="str">
        <f>"20190312154831118"</f>
        <v>20190312154831118</v>
      </c>
      <c r="B1770" t="str">
        <f>"1552376911107564"</f>
        <v>1552376911107564</v>
      </c>
      <c r="C1770" t="s">
        <v>40</v>
      </c>
      <c r="D1770">
        <v>5.1196070000000002</v>
      </c>
      <c r="E1770">
        <v>0.50815779999999999</v>
      </c>
      <c r="F1770" t="s">
        <v>41</v>
      </c>
      <c r="G1770">
        <v>-210.47909999999999</v>
      </c>
      <c r="H1770">
        <v>1.031199</v>
      </c>
      <c r="I1770">
        <v>285.22190000000001</v>
      </c>
      <c r="J1770">
        <v>-209.85470000000001</v>
      </c>
      <c r="K1770">
        <v>1.1105100000000001</v>
      </c>
      <c r="L1770">
        <v>285.19349999999997</v>
      </c>
      <c r="M1770">
        <v>-0.99710460000000001</v>
      </c>
      <c r="N1770">
        <v>0</v>
      </c>
      <c r="O1770">
        <v>-7.4843859999999998E-2</v>
      </c>
      <c r="P1770">
        <v>-0.99990000000000001</v>
      </c>
      <c r="Q1770">
        <v>-1.3175549999999999E-2</v>
      </c>
      <c r="R1770">
        <v>-5.1727580000000004E-3</v>
      </c>
      <c r="S1770">
        <v>-2.9967190000000001</v>
      </c>
      <c r="T1770">
        <v>-0.29388049999999999</v>
      </c>
      <c r="U1770">
        <v>5.4138180000000001E-2</v>
      </c>
      <c r="V1770">
        <v>6.9684709999999997E-2</v>
      </c>
      <c r="W1770">
        <v>3.3551840000000001E-4</v>
      </c>
      <c r="X1770">
        <v>0.99756900000000004</v>
      </c>
      <c r="Y1770">
        <v>9.2050480000000004E-2</v>
      </c>
      <c r="Z1770">
        <v>1.182074E-2</v>
      </c>
      <c r="AA1770">
        <v>0.99568420000000002</v>
      </c>
      <c r="AB1770">
        <v>18</v>
      </c>
      <c r="AC1770">
        <v>-0.62439999999997997</v>
      </c>
      <c r="AD1770">
        <v>-7.9311000000000104E-2</v>
      </c>
      <c r="AE1770">
        <v>2.8400000000033201E-2</v>
      </c>
      <c r="AF1770">
        <v>7.3867743746499098E-2</v>
      </c>
      <c r="AG1770">
        <v>-7.9311000000000104E-2</v>
      </c>
      <c r="AH1770">
        <v>0.61069013744168299</v>
      </c>
      <c r="AI1770">
        <v>97.346691866266596</v>
      </c>
      <c r="AJ1770">
        <v>83.103133096625896</v>
      </c>
      <c r="AK1770">
        <v>0.62023311928317704</v>
      </c>
      <c r="AL1770">
        <v>89.980776211188996</v>
      </c>
      <c r="AM1770">
        <v>86.004121526776601</v>
      </c>
      <c r="AN1770">
        <v>0.99999999057069</v>
      </c>
    </row>
    <row r="1771" spans="1:40" x14ac:dyDescent="0.25">
      <c r="A1771" t="str">
        <f>"20190312154831140"</f>
        <v>20190312154831140</v>
      </c>
      <c r="B1771" t="str">
        <f>"1552376911128061"</f>
        <v>1552376911128061</v>
      </c>
      <c r="C1771" t="s">
        <v>40</v>
      </c>
      <c r="D1771">
        <v>5.0763569999999998</v>
      </c>
      <c r="E1771">
        <v>0.50737909999999997</v>
      </c>
      <c r="F1771" t="s">
        <v>41</v>
      </c>
      <c r="G1771">
        <v>-210.6429</v>
      </c>
      <c r="H1771">
        <v>1.0354749999999999</v>
      </c>
      <c r="I1771">
        <v>285.20479999999998</v>
      </c>
      <c r="J1771">
        <v>-210.03630000000001</v>
      </c>
      <c r="K1771">
        <v>1.11056</v>
      </c>
      <c r="L1771">
        <v>285.1798</v>
      </c>
      <c r="M1771">
        <v>-0.99708640000000004</v>
      </c>
      <c r="N1771">
        <v>0</v>
      </c>
      <c r="O1771">
        <v>-7.5088920000000003E-2</v>
      </c>
      <c r="P1771">
        <v>-0.99987519999999996</v>
      </c>
      <c r="Q1771">
        <v>-1.437854E-2</v>
      </c>
      <c r="R1771">
        <v>-6.5640550000000001E-3</v>
      </c>
      <c r="S1771">
        <v>-2.9967649999999999</v>
      </c>
      <c r="T1771">
        <v>-0.2853926</v>
      </c>
      <c r="U1771">
        <v>4.2175289999999997E-2</v>
      </c>
      <c r="V1771">
        <v>6.8542119999999998E-2</v>
      </c>
      <c r="W1771">
        <v>-8.7228860000000002E-4</v>
      </c>
      <c r="X1771">
        <v>0.99764779999999997</v>
      </c>
      <c r="Y1771">
        <v>8.8381520000000005E-2</v>
      </c>
      <c r="Z1771">
        <v>1.1329759999999999E-2</v>
      </c>
      <c r="AA1771">
        <v>0.99602230000000003</v>
      </c>
      <c r="AB1771">
        <v>18</v>
      </c>
      <c r="AC1771">
        <v>-0.60659999999998604</v>
      </c>
      <c r="AD1771">
        <v>-7.5084999999999999E-2</v>
      </c>
      <c r="AE1771">
        <v>2.49999999999772E-2</v>
      </c>
      <c r="AF1771">
        <v>6.9420630141357104E-2</v>
      </c>
      <c r="AG1771">
        <v>-7.5084999999999999E-2</v>
      </c>
      <c r="AH1771">
        <v>0.59392536759678505</v>
      </c>
      <c r="AI1771">
        <v>97.156988219608294</v>
      </c>
      <c r="AJ1771">
        <v>83.333265688407195</v>
      </c>
      <c r="AK1771">
        <v>0.60266435383984596</v>
      </c>
      <c r="AL1771">
        <v>90.049978463735798</v>
      </c>
      <c r="AM1771">
        <v>86.069742631050104</v>
      </c>
      <c r="AN1771">
        <v>0.99999995797316699</v>
      </c>
    </row>
    <row r="1772" spans="1:40" x14ac:dyDescent="0.25">
      <c r="A1772" t="str">
        <f>"20190312154831161"</f>
        <v>20190312154831161</v>
      </c>
      <c r="B1772" t="str">
        <f>"1552376911147583"</f>
        <v>1552376911147583</v>
      </c>
      <c r="C1772" t="s">
        <v>40</v>
      </c>
      <c r="D1772">
        <v>5.1305889999999996</v>
      </c>
      <c r="E1772">
        <v>0.50672850000000003</v>
      </c>
      <c r="F1772" t="s">
        <v>41</v>
      </c>
      <c r="G1772">
        <v>-210.80609999999999</v>
      </c>
      <c r="H1772">
        <v>1.0387379999999999</v>
      </c>
      <c r="I1772">
        <v>285.18830000000003</v>
      </c>
      <c r="J1772">
        <v>-210.20189999999999</v>
      </c>
      <c r="K1772">
        <v>1.110598</v>
      </c>
      <c r="L1772">
        <v>285.16699999999997</v>
      </c>
      <c r="M1772">
        <v>-0.99705860000000002</v>
      </c>
      <c r="N1772">
        <v>0</v>
      </c>
      <c r="O1772">
        <v>-7.5456510000000004E-2</v>
      </c>
      <c r="P1772">
        <v>-0.9998184</v>
      </c>
      <c r="Q1772">
        <v>-1.7171450000000001E-2</v>
      </c>
      <c r="R1772">
        <v>-8.2620609999999994E-3</v>
      </c>
      <c r="S1772">
        <v>-2.9965820000000001</v>
      </c>
      <c r="T1772">
        <v>-0.27969379999999999</v>
      </c>
      <c r="U1772">
        <v>3.2745360000000001E-2</v>
      </c>
      <c r="V1772">
        <v>6.7216699999999893E-2</v>
      </c>
      <c r="W1772">
        <v>-3.6695E-3</v>
      </c>
      <c r="X1772">
        <v>0.99773160000000005</v>
      </c>
      <c r="Y1772">
        <v>8.5654690000000006E-2</v>
      </c>
      <c r="Z1772">
        <v>1.10124E-2</v>
      </c>
      <c r="AA1772">
        <v>0.99626400000000004</v>
      </c>
      <c r="AB1772">
        <v>18</v>
      </c>
      <c r="AC1772">
        <v>-0.60419999999999097</v>
      </c>
      <c r="AD1772">
        <v>-7.1859999999999993E-2</v>
      </c>
      <c r="AE1772">
        <v>2.1299999999996499E-2</v>
      </c>
      <c r="AF1772">
        <v>6.5903138049226595E-2</v>
      </c>
      <c r="AG1772">
        <v>-7.1859999999999993E-2</v>
      </c>
      <c r="AH1772">
        <v>0.59249911184173398</v>
      </c>
      <c r="AI1772">
        <v>96.873244993570296</v>
      </c>
      <c r="AJ1772">
        <v>83.653130986663598</v>
      </c>
      <c r="AK1772">
        <v>0.60046838446164597</v>
      </c>
      <c r="AL1772">
        <v>90.210247345735198</v>
      </c>
      <c r="AM1772">
        <v>86.145834642760093</v>
      </c>
      <c r="AN1772">
        <v>0.99999994781384804</v>
      </c>
    </row>
    <row r="1773" spans="1:40" x14ac:dyDescent="0.25">
      <c r="A1773" t="str">
        <f>"20190312154831184"</f>
        <v>20190312154831184</v>
      </c>
      <c r="B1773" t="str">
        <f>"1552376911178062"</f>
        <v>1552376911178062</v>
      </c>
      <c r="C1773" t="s">
        <v>40</v>
      </c>
      <c r="D1773">
        <v>5.1887800000000004</v>
      </c>
      <c r="E1773">
        <v>0.50586220000000004</v>
      </c>
      <c r="F1773" t="s">
        <v>41</v>
      </c>
      <c r="G1773">
        <v>-210.9675</v>
      </c>
      <c r="H1773">
        <v>1.0388489999999999</v>
      </c>
      <c r="I1773">
        <v>285.17309999999998</v>
      </c>
      <c r="J1773">
        <v>-210.3972</v>
      </c>
      <c r="K1773">
        <v>1.1106279999999999</v>
      </c>
      <c r="L1773">
        <v>285.15159999999997</v>
      </c>
      <c r="M1773">
        <v>-0.99701790000000001</v>
      </c>
      <c r="N1773">
        <v>0</v>
      </c>
      <c r="O1773">
        <v>-7.5996149999999998E-2</v>
      </c>
      <c r="P1773">
        <v>-0.99976299999999996</v>
      </c>
      <c r="Q1773">
        <v>-1.9577890000000001E-2</v>
      </c>
      <c r="R1773">
        <v>-9.52888E-3</v>
      </c>
      <c r="S1773">
        <v>-2.995911</v>
      </c>
      <c r="T1773">
        <v>-0.28100510000000001</v>
      </c>
      <c r="U1773">
        <v>2.3651120000000001E-2</v>
      </c>
      <c r="V1773">
        <v>6.6493419999999998E-2</v>
      </c>
      <c r="W1773">
        <v>-6.0808360000000001E-3</v>
      </c>
      <c r="X1773">
        <v>0.99776830000000005</v>
      </c>
      <c r="Y1773">
        <v>8.3173769999999994E-2</v>
      </c>
      <c r="Z1773">
        <v>1.100054E-2</v>
      </c>
      <c r="AA1773">
        <v>0.99647430000000004</v>
      </c>
      <c r="AB1773">
        <v>18</v>
      </c>
      <c r="AC1773">
        <v>-0.57030000000000303</v>
      </c>
      <c r="AD1773">
        <v>-7.1779000000000204E-2</v>
      </c>
      <c r="AE1773">
        <v>2.15000000000031E-2</v>
      </c>
      <c r="AF1773">
        <v>6.3773501393327894E-2</v>
      </c>
      <c r="AG1773">
        <v>-7.1779000000000204E-2</v>
      </c>
      <c r="AH1773">
        <v>0.55818659843243801</v>
      </c>
      <c r="AI1773">
        <v>97.280781648460703</v>
      </c>
      <c r="AJ1773">
        <v>83.482148996324696</v>
      </c>
      <c r="AK1773">
        <v>0.56638464226225405</v>
      </c>
      <c r="AL1773">
        <v>90.348408397745303</v>
      </c>
      <c r="AM1773">
        <v>86.187323923509894</v>
      </c>
      <c r="AN1773">
        <v>0.99999996597732199</v>
      </c>
    </row>
    <row r="1774" spans="1:40" x14ac:dyDescent="0.25">
      <c r="A1774" t="str">
        <f>"20190312154831206"</f>
        <v>20190312154831206</v>
      </c>
      <c r="B1774" t="str">
        <f>"1552376911197583"</f>
        <v>1552376911197583</v>
      </c>
      <c r="C1774" t="s">
        <v>40</v>
      </c>
      <c r="D1774">
        <v>5.1870349999999998</v>
      </c>
      <c r="E1774">
        <v>0.50536890000000001</v>
      </c>
      <c r="F1774" t="s">
        <v>41</v>
      </c>
      <c r="G1774">
        <v>-211.13040000000001</v>
      </c>
      <c r="H1774">
        <v>1.0429550000000001</v>
      </c>
      <c r="I1774">
        <v>285.1551</v>
      </c>
      <c r="J1774">
        <v>-210.56819999999999</v>
      </c>
      <c r="K1774">
        <v>1.110635</v>
      </c>
      <c r="L1774">
        <v>285.13780000000003</v>
      </c>
      <c r="M1774">
        <v>-0.99697599999999997</v>
      </c>
      <c r="N1774">
        <v>0</v>
      </c>
      <c r="O1774">
        <v>-7.6543079999999999E-2</v>
      </c>
      <c r="P1774">
        <v>-0.99973029999999996</v>
      </c>
      <c r="Q1774">
        <v>-2.0446039999999999E-2</v>
      </c>
      <c r="R1774">
        <v>-1.100571E-2</v>
      </c>
      <c r="S1774">
        <v>-2.995422</v>
      </c>
      <c r="T1774">
        <v>-0.27656999999999998</v>
      </c>
      <c r="U1774">
        <v>1.4068600000000001E-2</v>
      </c>
      <c r="V1774">
        <v>6.5567039999999993E-2</v>
      </c>
      <c r="W1774">
        <v>-6.9569289999999997E-3</v>
      </c>
      <c r="X1774">
        <v>0.99782389999999999</v>
      </c>
      <c r="Y1774">
        <v>8.0564150000000001E-2</v>
      </c>
      <c r="Z1774">
        <v>1.0759380000000001E-2</v>
      </c>
      <c r="AA1774">
        <v>0.99669129999999995</v>
      </c>
      <c r="AB1774">
        <v>18</v>
      </c>
      <c r="AC1774">
        <v>-0.56220000000001802</v>
      </c>
      <c r="AD1774">
        <v>-6.7680000000000101E-2</v>
      </c>
      <c r="AE1774">
        <v>1.7299999999977399E-2</v>
      </c>
      <c r="AF1774">
        <v>5.94252337308128E-2</v>
      </c>
      <c r="AG1774">
        <v>-6.7680000000000101E-2</v>
      </c>
      <c r="AH1774">
        <v>0.55124476967507796</v>
      </c>
      <c r="AI1774">
        <v>96.959630763838405</v>
      </c>
      <c r="AJ1774">
        <v>83.847167204774706</v>
      </c>
      <c r="AK1774">
        <v>0.55855414858193597</v>
      </c>
      <c r="AL1774">
        <v>90.398605891239896</v>
      </c>
      <c r="AM1774">
        <v>86.240497238826094</v>
      </c>
      <c r="AN1774">
        <v>0.99999998550334102</v>
      </c>
    </row>
    <row r="1775" spans="1:40" x14ac:dyDescent="0.25">
      <c r="A1775" t="str">
        <f>"20190312154831228"</f>
        <v>20190312154831228</v>
      </c>
      <c r="B1775" t="str">
        <f>"1552376911218078"</f>
        <v>1552376911218078</v>
      </c>
      <c r="C1775" t="s">
        <v>40</v>
      </c>
      <c r="D1775">
        <v>5.1827110000000003</v>
      </c>
      <c r="E1775">
        <v>0.50491209999999997</v>
      </c>
      <c r="F1775" t="s">
        <v>41</v>
      </c>
      <c r="G1775">
        <v>-211.44669999999999</v>
      </c>
      <c r="H1775">
        <v>1.0300560000000001</v>
      </c>
      <c r="I1775">
        <v>285.13990000000001</v>
      </c>
      <c r="J1775">
        <v>-210.74870000000001</v>
      </c>
      <c r="K1775">
        <v>1.1105989999999999</v>
      </c>
      <c r="L1775">
        <v>285.12310000000002</v>
      </c>
      <c r="M1775">
        <v>-0.99692820000000004</v>
      </c>
      <c r="N1775">
        <v>0</v>
      </c>
      <c r="O1775">
        <v>-7.7165020000000001E-2</v>
      </c>
      <c r="P1775">
        <v>-0.99968219999999997</v>
      </c>
      <c r="Q1775">
        <v>-2.0932940000000001E-2</v>
      </c>
      <c r="R1775">
        <v>-1.4051839999999999E-2</v>
      </c>
      <c r="S1775">
        <v>-2.9952549999999998</v>
      </c>
      <c r="T1775">
        <v>-0.27484629999999999</v>
      </c>
      <c r="U1775">
        <v>6.6528319999999896E-3</v>
      </c>
      <c r="V1775">
        <v>6.3148899999999994E-2</v>
      </c>
      <c r="W1775">
        <v>-7.4581119999999898E-3</v>
      </c>
      <c r="X1775">
        <v>0.99797619999999998</v>
      </c>
      <c r="Y1775">
        <v>7.8731750000000003E-2</v>
      </c>
      <c r="Z1775">
        <v>1.066601E-2</v>
      </c>
      <c r="AA1775">
        <v>0.99683869999999997</v>
      </c>
      <c r="AB1775">
        <v>18</v>
      </c>
      <c r="AC1775">
        <v>-0.69799999999997897</v>
      </c>
      <c r="AD1775">
        <v>-8.0543000000000003E-2</v>
      </c>
      <c r="AE1775">
        <v>1.6799999999989199E-2</v>
      </c>
      <c r="AF1775">
        <v>6.9688550205250499E-2</v>
      </c>
      <c r="AG1775">
        <v>-8.0543000000000003E-2</v>
      </c>
      <c r="AH1775">
        <v>0.68549971454584302</v>
      </c>
      <c r="AI1775">
        <v>96.667208340272097</v>
      </c>
      <c r="AJ1775">
        <v>84.195199412320804</v>
      </c>
      <c r="AK1775">
        <v>0.69372438873167896</v>
      </c>
      <c r="AL1775">
        <v>90.427322323094799</v>
      </c>
      <c r="AM1775">
        <v>86.379324470951104</v>
      </c>
      <c r="AN1775">
        <v>0.99999995138612596</v>
      </c>
    </row>
    <row r="1776" spans="1:40" x14ac:dyDescent="0.25">
      <c r="A1776" t="str">
        <f>"20190312154831251"</f>
        <v>20190312154831251</v>
      </c>
      <c r="B1776" t="str">
        <f>"1552376911237599"</f>
        <v>1552376911237599</v>
      </c>
      <c r="C1776" t="s">
        <v>40</v>
      </c>
      <c r="D1776">
        <v>5.1805159999999999</v>
      </c>
      <c r="E1776">
        <v>0.50453939999999997</v>
      </c>
      <c r="F1776" t="s">
        <v>41</v>
      </c>
      <c r="G1776">
        <v>-211.60810000000001</v>
      </c>
      <c r="H1776">
        <v>1.032543</v>
      </c>
      <c r="I1776">
        <v>285.12189999999998</v>
      </c>
      <c r="J1776">
        <v>-210.92789999999999</v>
      </c>
      <c r="K1776">
        <v>1.11053</v>
      </c>
      <c r="L1776">
        <v>285.10840000000002</v>
      </c>
      <c r="M1776">
        <v>-0.99687919999999997</v>
      </c>
      <c r="N1776">
        <v>0</v>
      </c>
      <c r="O1776">
        <v>-7.7799160000000006E-2</v>
      </c>
      <c r="P1776">
        <v>-0.99959370000000003</v>
      </c>
      <c r="Q1776">
        <v>-2.1752130000000001E-2</v>
      </c>
      <c r="R1776">
        <v>-1.8429040000000001E-2</v>
      </c>
      <c r="S1776">
        <v>-2.995193</v>
      </c>
      <c r="T1776">
        <v>-0.27230379999999998</v>
      </c>
      <c r="U1776">
        <v>-5.1574709999999899E-3</v>
      </c>
      <c r="V1776">
        <v>5.9412640000000003E-2</v>
      </c>
      <c r="W1776">
        <v>-8.2956379999999993E-3</v>
      </c>
      <c r="X1776">
        <v>0.99819899999999995</v>
      </c>
      <c r="Y1776">
        <v>7.5457769999999993E-2</v>
      </c>
      <c r="Z1776">
        <v>1.0476600000000001E-2</v>
      </c>
      <c r="AA1776">
        <v>0.99709400000000004</v>
      </c>
      <c r="AB1776">
        <v>18</v>
      </c>
      <c r="AC1776">
        <v>-0.68020000000001302</v>
      </c>
      <c r="AD1776">
        <v>-7.7987000000000001E-2</v>
      </c>
      <c r="AE1776">
        <v>1.3499999999964899E-2</v>
      </c>
      <c r="AF1776">
        <v>6.5521837974522601E-2</v>
      </c>
      <c r="AG1776">
        <v>-7.7987000000000001E-2</v>
      </c>
      <c r="AH1776">
        <v>0.66830595970248197</v>
      </c>
      <c r="AI1776">
        <v>96.6244677819667</v>
      </c>
      <c r="AJ1776">
        <v>84.400520903689298</v>
      </c>
      <c r="AK1776">
        <v>0.67602362325174403</v>
      </c>
      <c r="AL1776">
        <v>90.475310515795897</v>
      </c>
      <c r="AM1776">
        <v>86.593783151758601</v>
      </c>
      <c r="AN1776">
        <v>0.999999961501297</v>
      </c>
    </row>
    <row r="1777" spans="1:40" x14ac:dyDescent="0.25">
      <c r="A1777" t="str">
        <f>"20190312154831273"</f>
        <v>20190312154831273</v>
      </c>
      <c r="B1777" t="str">
        <f>"1552376911267854"</f>
        <v>1552376911267854</v>
      </c>
      <c r="C1777" t="s">
        <v>40</v>
      </c>
      <c r="D1777">
        <v>5.1626219999999998</v>
      </c>
      <c r="E1777">
        <v>0.50379669999999999</v>
      </c>
      <c r="F1777" t="s">
        <v>41</v>
      </c>
      <c r="G1777">
        <v>-211.76900000000001</v>
      </c>
      <c r="H1777">
        <v>1.034462</v>
      </c>
      <c r="I1777">
        <v>285.10250000000002</v>
      </c>
      <c r="J1777">
        <v>-211.10730000000001</v>
      </c>
      <c r="K1777">
        <v>1.110436</v>
      </c>
      <c r="L1777">
        <v>285.09359999999998</v>
      </c>
      <c r="M1777">
        <v>-0.99683149999999998</v>
      </c>
      <c r="N1777">
        <v>0</v>
      </c>
      <c r="O1777">
        <v>-7.8407969999999994E-2</v>
      </c>
      <c r="P1777">
        <v>-0.99946349999999995</v>
      </c>
      <c r="Q1777">
        <v>-2.3227910000000001E-2</v>
      </c>
      <c r="R1777">
        <v>-2.3100530000000001E-2</v>
      </c>
      <c r="S1777">
        <v>-2.9949490000000001</v>
      </c>
      <c r="T1777">
        <v>-0.27082610000000001</v>
      </c>
      <c r="U1777">
        <v>-2.0721440000000001E-2</v>
      </c>
      <c r="V1777">
        <v>5.5355090000000003E-2</v>
      </c>
      <c r="W1777">
        <v>-9.7908660000000005E-3</v>
      </c>
      <c r="X1777">
        <v>0.99841869999999999</v>
      </c>
      <c r="Y1777">
        <v>7.0907120000000004E-2</v>
      </c>
      <c r="Z1777">
        <v>1.0269830000000001E-2</v>
      </c>
      <c r="AA1777">
        <v>0.99743000000000004</v>
      </c>
      <c r="AB1777">
        <v>18</v>
      </c>
      <c r="AC1777">
        <v>-0.66169999999999596</v>
      </c>
      <c r="AD1777">
        <v>-7.5973999999999903E-2</v>
      </c>
      <c r="AE1777">
        <v>8.9000000000396505E-3</v>
      </c>
      <c r="AF1777">
        <v>5.9969375541926599E-2</v>
      </c>
      <c r="AG1777">
        <v>-7.5973999999999903E-2</v>
      </c>
      <c r="AH1777">
        <v>0.65039216228885099</v>
      </c>
      <c r="AI1777">
        <v>96.634782590740897</v>
      </c>
      <c r="AJ1777">
        <v>84.7319411733001</v>
      </c>
      <c r="AK1777">
        <v>0.65755481858599096</v>
      </c>
      <c r="AL1777">
        <v>90.560984277289606</v>
      </c>
      <c r="AM1777">
        <v>86.826612650761007</v>
      </c>
      <c r="AN1777">
        <v>0.99999997377781302</v>
      </c>
    </row>
    <row r="1778" spans="1:40" x14ac:dyDescent="0.25">
      <c r="A1778" t="str">
        <f>"20190312154831296"</f>
        <v>20190312154831296</v>
      </c>
      <c r="B1778" t="str">
        <f>"1552376911287640"</f>
        <v>1552376911287640</v>
      </c>
      <c r="C1778" t="s">
        <v>40</v>
      </c>
      <c r="D1778">
        <v>5.1582889999999999</v>
      </c>
      <c r="E1778">
        <v>0.50338289999999997</v>
      </c>
      <c r="F1778" t="s">
        <v>41</v>
      </c>
      <c r="G1778">
        <v>-211.92949999999999</v>
      </c>
      <c r="H1778">
        <v>1.036195</v>
      </c>
      <c r="I1778">
        <v>285.08240000000001</v>
      </c>
      <c r="J1778">
        <v>-211.28710000000001</v>
      </c>
      <c r="K1778">
        <v>1.110336</v>
      </c>
      <c r="L1778">
        <v>285.07870000000003</v>
      </c>
      <c r="M1778">
        <v>-0.99678909999999998</v>
      </c>
      <c r="N1778">
        <v>0</v>
      </c>
      <c r="O1778">
        <v>-7.8945929999999997E-2</v>
      </c>
      <c r="P1778">
        <v>-0.99931650000000005</v>
      </c>
      <c r="Q1778">
        <v>-2.4663500000000001E-2</v>
      </c>
      <c r="R1778">
        <v>-2.754728E-2</v>
      </c>
      <c r="S1778">
        <v>-2.994354</v>
      </c>
      <c r="T1778">
        <v>-0.27052379999999998</v>
      </c>
      <c r="U1778">
        <v>-4.110718E-2</v>
      </c>
      <c r="V1778">
        <v>5.1448399999999998E-2</v>
      </c>
      <c r="W1778">
        <v>-1.1245420000000001E-2</v>
      </c>
      <c r="X1778">
        <v>0.99861230000000001</v>
      </c>
      <c r="Y1778">
        <v>6.4677280000000004E-2</v>
      </c>
      <c r="Z1778">
        <v>1.002716E-2</v>
      </c>
      <c r="AA1778">
        <v>0.99785579999999996</v>
      </c>
      <c r="AB1778">
        <v>18</v>
      </c>
      <c r="AC1778">
        <v>-0.64239999999997999</v>
      </c>
      <c r="AD1778">
        <v>-7.4140999999999999E-2</v>
      </c>
      <c r="AE1778">
        <v>3.69999999998071E-3</v>
      </c>
      <c r="AF1778">
        <v>5.3692690120894601E-2</v>
      </c>
      <c r="AG1778">
        <v>-7.4140999999999999E-2</v>
      </c>
      <c r="AH1778">
        <v>0.63168867450180199</v>
      </c>
      <c r="AI1778">
        <v>96.670317405016405</v>
      </c>
      <c r="AJ1778">
        <v>85.141613374031806</v>
      </c>
      <c r="AK1778">
        <v>0.63828706265070201</v>
      </c>
      <c r="AL1778">
        <v>90.644328710375902</v>
      </c>
      <c r="AM1778">
        <v>87.050735070227802</v>
      </c>
      <c r="AN1778">
        <v>0.999999961522412</v>
      </c>
    </row>
    <row r="1779" spans="1:40" x14ac:dyDescent="0.25">
      <c r="A1779" t="str">
        <f>"20190312154831319"</f>
        <v>20190312154831319</v>
      </c>
      <c r="B1779" t="str">
        <f>"1552376911308135"</f>
        <v>1552376911308135</v>
      </c>
      <c r="C1779" t="s">
        <v>40</v>
      </c>
      <c r="D1779">
        <v>5.2303249999999997</v>
      </c>
      <c r="E1779">
        <v>0.50296439999999998</v>
      </c>
      <c r="F1779" t="s">
        <v>41</v>
      </c>
      <c r="G1779">
        <v>-212.08969999999999</v>
      </c>
      <c r="H1779">
        <v>1.0375289999999999</v>
      </c>
      <c r="I1779">
        <v>285.06330000000003</v>
      </c>
      <c r="J1779">
        <v>-211.4796</v>
      </c>
      <c r="K1779">
        <v>1.1102270000000001</v>
      </c>
      <c r="L1779">
        <v>285.06279999999998</v>
      </c>
      <c r="M1779">
        <v>-0.99675320000000001</v>
      </c>
      <c r="N1779">
        <v>0</v>
      </c>
      <c r="O1779">
        <v>-7.9399280000000003E-2</v>
      </c>
      <c r="P1779">
        <v>-0.99918600000000002</v>
      </c>
      <c r="Q1779">
        <v>-2.569391E-2</v>
      </c>
      <c r="R1779">
        <v>-3.110315E-2</v>
      </c>
      <c r="S1779">
        <v>-2.9937589999999998</v>
      </c>
      <c r="T1779">
        <v>-0.27162740000000002</v>
      </c>
      <c r="U1779">
        <v>-5.7647709999999998E-2</v>
      </c>
      <c r="V1779">
        <v>4.8345249999999999E-2</v>
      </c>
      <c r="W1779">
        <v>-1.2294859999999999E-2</v>
      </c>
      <c r="X1779">
        <v>0.99875499999999995</v>
      </c>
      <c r="Y1779">
        <v>5.9629910000000001E-2</v>
      </c>
      <c r="Z1779">
        <v>9.8814969999999995E-3</v>
      </c>
      <c r="AA1779">
        <v>0.99817160000000005</v>
      </c>
      <c r="AB1779">
        <v>18</v>
      </c>
      <c r="AC1779">
        <v>-0.61009999999998799</v>
      </c>
      <c r="AD1779">
        <v>-7.2697999999999902E-2</v>
      </c>
      <c r="AE1779">
        <v>5.0000000004501999E-4</v>
      </c>
      <c r="AF1779">
        <v>4.8259047180120501E-2</v>
      </c>
      <c r="AG1779">
        <v>-7.2697999999999902E-2</v>
      </c>
      <c r="AH1779">
        <v>0.59962009289412999</v>
      </c>
      <c r="AI1779">
        <v>96.890740976898201</v>
      </c>
      <c r="AJ1779">
        <v>85.398598703803202</v>
      </c>
      <c r="AK1779">
        <v>0.60593579745802995</v>
      </c>
      <c r="AL1779">
        <v>90.704461344784704</v>
      </c>
      <c r="AM1779">
        <v>87.228731389773301</v>
      </c>
      <c r="AN1779">
        <v>0.99999998840249005</v>
      </c>
    </row>
    <row r="1780" spans="1:40" x14ac:dyDescent="0.25">
      <c r="A1780" t="str">
        <f>"20190312154831341"</f>
        <v>20190312154831341</v>
      </c>
      <c r="B1780" t="str">
        <f>"1552376911337415"</f>
        <v>1552376911337415</v>
      </c>
      <c r="C1780" t="s">
        <v>40</v>
      </c>
      <c r="D1780">
        <v>5.193047</v>
      </c>
      <c r="E1780">
        <v>0.50225410000000004</v>
      </c>
      <c r="F1780" t="s">
        <v>41</v>
      </c>
      <c r="G1780">
        <v>-212.25030000000001</v>
      </c>
      <c r="H1780">
        <v>1.039987</v>
      </c>
      <c r="I1780">
        <v>285.04450000000003</v>
      </c>
      <c r="J1780">
        <v>-211.64670000000001</v>
      </c>
      <c r="K1780">
        <v>1.1101160000000001</v>
      </c>
      <c r="L1780">
        <v>285.04899999999998</v>
      </c>
      <c r="M1780">
        <v>-0.99673210000000001</v>
      </c>
      <c r="N1780">
        <v>0</v>
      </c>
      <c r="O1780">
        <v>-7.9662319999999995E-2</v>
      </c>
      <c r="P1780">
        <v>-0.99911530000000004</v>
      </c>
      <c r="Q1780">
        <v>-2.6068359999999999E-2</v>
      </c>
      <c r="R1780">
        <v>-3.2998359999999997E-2</v>
      </c>
      <c r="S1780">
        <v>-2.9932099999999999</v>
      </c>
      <c r="T1780">
        <v>-0.2730728</v>
      </c>
      <c r="U1780">
        <v>-7.1716310000000005E-2</v>
      </c>
      <c r="V1780">
        <v>4.6710990000000001E-2</v>
      </c>
      <c r="W1780">
        <v>-1.2685119999999999E-2</v>
      </c>
      <c r="X1780">
        <v>0.99882789999999999</v>
      </c>
      <c r="Y1780">
        <v>5.5210919999999997E-2</v>
      </c>
      <c r="Z1780">
        <v>9.75759E-3</v>
      </c>
      <c r="AA1780">
        <v>0.99842699999999995</v>
      </c>
      <c r="AB1780">
        <v>18</v>
      </c>
      <c r="AC1780">
        <v>-0.60360000000000003</v>
      </c>
      <c r="AD1780">
        <v>-7.0128999999999803E-2</v>
      </c>
      <c r="AE1780">
        <v>-4.5000000000072699E-3</v>
      </c>
      <c r="AF1780">
        <v>4.3022069043862403E-2</v>
      </c>
      <c r="AG1780">
        <v>-7.0128999999999803E-2</v>
      </c>
      <c r="AH1780">
        <v>0.59402170636227203</v>
      </c>
      <c r="AI1780">
        <v>96.715629335829206</v>
      </c>
      <c r="AJ1780">
        <v>85.857581405742906</v>
      </c>
      <c r="AK1780">
        <v>0.59969222330738903</v>
      </c>
      <c r="AL1780">
        <v>90.726823330998997</v>
      </c>
      <c r="AM1780">
        <v>87.322467613960697</v>
      </c>
      <c r="AN1780">
        <v>1.0000000013373</v>
      </c>
    </row>
    <row r="1781" spans="1:40" x14ac:dyDescent="0.25">
      <c r="A1781" t="str">
        <f>"20190312154831362"</f>
        <v>20190312154831362</v>
      </c>
      <c r="B1781" t="str">
        <f>"1552376911357912"</f>
        <v>1552376911357912</v>
      </c>
      <c r="C1781" t="s">
        <v>40</v>
      </c>
      <c r="D1781">
        <v>5.1628069999999999</v>
      </c>
      <c r="E1781">
        <v>0.50178519999999904</v>
      </c>
      <c r="F1781" t="s">
        <v>41</v>
      </c>
      <c r="G1781">
        <v>-212.40979999999999</v>
      </c>
      <c r="H1781">
        <v>1.0403009999999999</v>
      </c>
      <c r="I1781">
        <v>285.02789999999999</v>
      </c>
      <c r="J1781">
        <v>-211.81700000000001</v>
      </c>
      <c r="K1781">
        <v>1.1100129999999999</v>
      </c>
      <c r="L1781">
        <v>285.0351</v>
      </c>
      <c r="M1781">
        <v>-0.99672059999999996</v>
      </c>
      <c r="N1781">
        <v>0</v>
      </c>
      <c r="O1781">
        <v>-7.9805500000000001E-2</v>
      </c>
      <c r="P1781">
        <v>-0.99908629999999998</v>
      </c>
      <c r="Q1781">
        <v>-2.7208070000000001E-2</v>
      </c>
      <c r="R1781">
        <v>-3.2957819999999999E-2</v>
      </c>
      <c r="S1781">
        <v>-2.9927980000000001</v>
      </c>
      <c r="T1781">
        <v>-0.2737117</v>
      </c>
      <c r="U1781">
        <v>-8.2763669999999998E-2</v>
      </c>
      <c r="V1781">
        <v>4.6889519999999997E-2</v>
      </c>
      <c r="W1781">
        <v>-1.384108E-2</v>
      </c>
      <c r="X1781">
        <v>0.99880420000000003</v>
      </c>
      <c r="Y1781">
        <v>5.1679099999999902E-2</v>
      </c>
      <c r="Z1781">
        <v>9.6328249999999994E-3</v>
      </c>
      <c r="AA1781">
        <v>0.99861730000000004</v>
      </c>
      <c r="AB1781">
        <v>18</v>
      </c>
      <c r="AC1781">
        <v>-0.59279999999998201</v>
      </c>
      <c r="AD1781">
        <v>-6.9711999999999996E-2</v>
      </c>
      <c r="AE1781">
        <v>-7.2000000000116398E-3</v>
      </c>
      <c r="AF1781">
        <v>3.9588508256334101E-2</v>
      </c>
      <c r="AG1781">
        <v>-6.9711999999999996E-2</v>
      </c>
      <c r="AH1781">
        <v>0.58341652500609198</v>
      </c>
      <c r="AI1781">
        <v>96.798436138365602</v>
      </c>
      <c r="AJ1781">
        <v>86.118069080274395</v>
      </c>
      <c r="AK1781">
        <v>0.58889884919241098</v>
      </c>
      <c r="AL1781">
        <v>90.793060778217594</v>
      </c>
      <c r="AM1781">
        <v>87.312185346491901</v>
      </c>
      <c r="AN1781">
        <v>1.00000001625951</v>
      </c>
    </row>
    <row r="1782" spans="1:40" x14ac:dyDescent="0.25">
      <c r="A1782" t="str">
        <f>"20190312154831385"</f>
        <v>20190312154831385</v>
      </c>
      <c r="B1782" t="str">
        <f>"1552376911377432"</f>
        <v>1552376911377432</v>
      </c>
      <c r="C1782" t="s">
        <v>40</v>
      </c>
      <c r="D1782">
        <v>5.203754</v>
      </c>
      <c r="E1782">
        <v>0.50138629999999995</v>
      </c>
      <c r="F1782" t="s">
        <v>41</v>
      </c>
      <c r="G1782">
        <v>-212.5692</v>
      </c>
      <c r="H1782">
        <v>1.0403690000000001</v>
      </c>
      <c r="I1782">
        <v>285.0136</v>
      </c>
      <c r="J1782">
        <v>-211.9967</v>
      </c>
      <c r="K1782">
        <v>1.1099049999999999</v>
      </c>
      <c r="L1782">
        <v>285.02050000000003</v>
      </c>
      <c r="M1782">
        <v>-0.99671909999999997</v>
      </c>
      <c r="N1782">
        <v>0</v>
      </c>
      <c r="O1782">
        <v>-7.9826380000000002E-2</v>
      </c>
      <c r="P1782">
        <v>-0.99913459999999998</v>
      </c>
      <c r="Q1782">
        <v>-2.679691E-2</v>
      </c>
      <c r="R1782">
        <v>-3.1808200000000002E-2</v>
      </c>
      <c r="S1782">
        <v>-2.9923549999999999</v>
      </c>
      <c r="T1782">
        <v>-0.27724290000000001</v>
      </c>
      <c r="U1782">
        <v>-8.612061E-2</v>
      </c>
      <c r="V1782">
        <v>4.8056509999999997E-2</v>
      </c>
      <c r="W1782">
        <v>-1.3446680000000001E-2</v>
      </c>
      <c r="X1782">
        <v>0.99875409999999998</v>
      </c>
      <c r="Y1782">
        <v>5.0566850000000003E-2</v>
      </c>
      <c r="Z1782">
        <v>9.7082939999999993E-3</v>
      </c>
      <c r="AA1782">
        <v>0.99867349999999999</v>
      </c>
      <c r="AB1782">
        <v>18</v>
      </c>
      <c r="AC1782">
        <v>-0.57249999999999002</v>
      </c>
      <c r="AD1782">
        <v>-6.9535999999999806E-2</v>
      </c>
      <c r="AE1782">
        <v>-6.9000000000300999E-3</v>
      </c>
      <c r="AF1782">
        <v>3.8262325114500902E-2</v>
      </c>
      <c r="AG1782">
        <v>-6.9535999999999806E-2</v>
      </c>
      <c r="AH1782">
        <v>0.56292022400824704</v>
      </c>
      <c r="AI1782">
        <v>97.025869712430406</v>
      </c>
      <c r="AJ1782">
        <v>86.111521974114197</v>
      </c>
      <c r="AK1782">
        <v>0.56848785335894603</v>
      </c>
      <c r="AL1782">
        <v>90.770461234369705</v>
      </c>
      <c r="AM1782">
        <v>87.245254626548402</v>
      </c>
      <c r="AN1782">
        <v>0.99999999681160601</v>
      </c>
    </row>
    <row r="1783" spans="1:40" x14ac:dyDescent="0.25">
      <c r="A1783" t="str">
        <f>"20190312154831409"</f>
        <v>20190312154831409</v>
      </c>
      <c r="B1783" t="str">
        <f>"1552376911397928"</f>
        <v>1552376911397928</v>
      </c>
      <c r="C1783" t="s">
        <v>40</v>
      </c>
      <c r="D1783">
        <v>5.181724</v>
      </c>
      <c r="E1783">
        <v>0.50100259999999996</v>
      </c>
      <c r="F1783" t="s">
        <v>41</v>
      </c>
      <c r="G1783">
        <v>-212.7294</v>
      </c>
      <c r="H1783">
        <v>1.0424979999999999</v>
      </c>
      <c r="I1783">
        <v>284.99979999999999</v>
      </c>
      <c r="J1783">
        <v>-212.18709999999999</v>
      </c>
      <c r="K1783">
        <v>1.1098049999999999</v>
      </c>
      <c r="L1783">
        <v>285.00529999999998</v>
      </c>
      <c r="M1783">
        <v>-0.99673060000000002</v>
      </c>
      <c r="N1783">
        <v>0</v>
      </c>
      <c r="O1783">
        <v>-7.9684179999999993E-2</v>
      </c>
      <c r="P1783">
        <v>-0.99917109999999998</v>
      </c>
      <c r="Q1783">
        <v>-2.6319370000000002E-2</v>
      </c>
      <c r="R1783">
        <v>-3.1057729999999999E-2</v>
      </c>
      <c r="S1783">
        <v>-2.9925079999999999</v>
      </c>
      <c r="T1783">
        <v>-0.27546989999999999</v>
      </c>
      <c r="U1783">
        <v>-8.5479739999999999E-2</v>
      </c>
      <c r="V1783">
        <v>4.866202E-2</v>
      </c>
      <c r="W1783">
        <v>-1.2985439999999999E-2</v>
      </c>
      <c r="X1783">
        <v>0.99873089999999998</v>
      </c>
      <c r="Y1783">
        <v>5.0646919999999998E-2</v>
      </c>
      <c r="Z1783">
        <v>9.6366790000000004E-3</v>
      </c>
      <c r="AA1783">
        <v>0.99867010000000001</v>
      </c>
      <c r="AB1783">
        <v>18</v>
      </c>
      <c r="AC1783">
        <v>-0.542300000000011</v>
      </c>
      <c r="AD1783">
        <v>-6.7307000000000006E-2</v>
      </c>
      <c r="AE1783">
        <v>-5.4999999999836204E-3</v>
      </c>
      <c r="AF1783">
        <v>3.7161691204011402E-2</v>
      </c>
      <c r="AG1783">
        <v>-6.7307000000000006E-2</v>
      </c>
      <c r="AH1783">
        <v>0.53280690659184604</v>
      </c>
      <c r="AI1783">
        <v>97.182504715758697</v>
      </c>
      <c r="AJ1783">
        <v>86.010251617856596</v>
      </c>
      <c r="AK1783">
        <v>0.53832557365790701</v>
      </c>
      <c r="AL1783">
        <v>90.744031808999495</v>
      </c>
      <c r="AM1783">
        <v>87.210534735634695</v>
      </c>
      <c r="AN1783">
        <v>1.0000000122286401</v>
      </c>
    </row>
    <row r="1784" spans="1:40" x14ac:dyDescent="0.25">
      <c r="A1784" t="str">
        <f>"20190312154831429"</f>
        <v>20190312154831429</v>
      </c>
      <c r="B1784" t="str">
        <f>"1552376911417451"</f>
        <v>1552376911417451</v>
      </c>
      <c r="C1784" t="s">
        <v>40</v>
      </c>
      <c r="D1784">
        <v>5.1969699999999897</v>
      </c>
      <c r="E1784">
        <v>0.50064920000000002</v>
      </c>
      <c r="F1784" t="s">
        <v>41</v>
      </c>
      <c r="G1784">
        <v>-213.04259999999999</v>
      </c>
      <c r="H1784">
        <v>1.0317000000000001</v>
      </c>
      <c r="I1784">
        <v>284.98090000000002</v>
      </c>
      <c r="J1784">
        <v>-212.3519</v>
      </c>
      <c r="K1784">
        <v>1.109729</v>
      </c>
      <c r="L1784">
        <v>284.9923</v>
      </c>
      <c r="M1784">
        <v>-0.99674980000000002</v>
      </c>
      <c r="N1784">
        <v>0</v>
      </c>
      <c r="O1784">
        <v>-7.9444020000000004E-2</v>
      </c>
      <c r="P1784">
        <v>-0.99918249999999997</v>
      </c>
      <c r="Q1784">
        <v>-2.6272460000000001E-2</v>
      </c>
      <c r="R1784">
        <v>-3.072569E-2</v>
      </c>
      <c r="S1784">
        <v>-2.9925989999999998</v>
      </c>
      <c r="T1784">
        <v>-0.27339770000000002</v>
      </c>
      <c r="U1784">
        <v>-8.5998539999999998E-2</v>
      </c>
      <c r="V1784">
        <v>4.8750719999999997E-2</v>
      </c>
      <c r="W1784">
        <v>-1.2951259999999999E-2</v>
      </c>
      <c r="X1784">
        <v>0.99872700000000003</v>
      </c>
      <c r="Y1784">
        <v>5.0245079999999998E-2</v>
      </c>
      <c r="Z1784">
        <v>9.5240199999999994E-3</v>
      </c>
      <c r="AA1784">
        <v>0.99869149999999995</v>
      </c>
      <c r="AB1784">
        <v>18</v>
      </c>
      <c r="AC1784">
        <v>-0.69069999999999199</v>
      </c>
      <c r="AD1784">
        <v>-7.8029000000000098E-2</v>
      </c>
      <c r="AE1784">
        <v>-1.13999999999805E-2</v>
      </c>
      <c r="AF1784">
        <v>4.2964735406497499E-2</v>
      </c>
      <c r="AG1784">
        <v>-7.8029000000000098E-2</v>
      </c>
      <c r="AH1784">
        <v>0.68073679128200004</v>
      </c>
      <c r="AI1784">
        <v>96.526079171489997</v>
      </c>
      <c r="AJ1784">
        <v>86.388564425609701</v>
      </c>
      <c r="AK1784">
        <v>0.68653992770593097</v>
      </c>
      <c r="AL1784">
        <v>90.742073287973597</v>
      </c>
      <c r="AM1784">
        <v>87.205447320462298</v>
      </c>
      <c r="AN1784">
        <v>0.99999999418255303</v>
      </c>
    </row>
    <row r="1785" spans="1:40" x14ac:dyDescent="0.25">
      <c r="A1785" t="str">
        <f>"20190312154831451"</f>
        <v>20190312154831451</v>
      </c>
      <c r="B1785" t="str">
        <f>"1552376911437943"</f>
        <v>1552376911437943</v>
      </c>
      <c r="C1785" t="s">
        <v>40</v>
      </c>
      <c r="D1785">
        <v>5.1932320000000001</v>
      </c>
      <c r="E1785">
        <v>0.50035909999999995</v>
      </c>
      <c r="F1785" t="s">
        <v>41</v>
      </c>
      <c r="G1785">
        <v>-213.20140000000001</v>
      </c>
      <c r="H1785">
        <v>1.032033</v>
      </c>
      <c r="I1785">
        <v>284.96749999999997</v>
      </c>
      <c r="J1785">
        <v>-212.52709999999999</v>
      </c>
      <c r="K1785">
        <v>1.1096629999999901</v>
      </c>
      <c r="L1785">
        <v>284.9787</v>
      </c>
      <c r="M1785">
        <v>-0.99677800000000005</v>
      </c>
      <c r="N1785">
        <v>0</v>
      </c>
      <c r="O1785">
        <v>-7.9089380000000001E-2</v>
      </c>
      <c r="P1785">
        <v>-0.99919259999999999</v>
      </c>
      <c r="Q1785">
        <v>-2.6364100000000001E-2</v>
      </c>
      <c r="R1785">
        <v>-3.0313940000000001E-2</v>
      </c>
      <c r="S1785">
        <v>-2.9925380000000001</v>
      </c>
      <c r="T1785">
        <v>-0.27374579999999998</v>
      </c>
      <c r="U1785">
        <v>-8.7829589999999999E-2</v>
      </c>
      <c r="V1785">
        <v>4.8804470000000003E-2</v>
      </c>
      <c r="W1785">
        <v>-1.305422E-2</v>
      </c>
      <c r="X1785">
        <v>0.99872300000000003</v>
      </c>
      <c r="Y1785">
        <v>4.9282699999999999E-2</v>
      </c>
      <c r="Z1785">
        <v>9.4599709999999993E-3</v>
      </c>
      <c r="AA1785">
        <v>0.99874010000000002</v>
      </c>
      <c r="AB1785">
        <v>18</v>
      </c>
      <c r="AC1785">
        <v>-0.674300000000016</v>
      </c>
      <c r="AD1785">
        <v>-7.7629999999999796E-2</v>
      </c>
      <c r="AE1785">
        <v>-1.1200000000030699E-2</v>
      </c>
      <c r="AF1785">
        <v>4.1618353921409702E-2</v>
      </c>
      <c r="AG1785">
        <v>-7.7629999999999796E-2</v>
      </c>
      <c r="AH1785">
        <v>0.66427133385426396</v>
      </c>
      <c r="AI1785">
        <v>96.652702898899406</v>
      </c>
      <c r="AJ1785">
        <v>86.4149540084439</v>
      </c>
      <c r="AK1785">
        <v>0.67008574769476403</v>
      </c>
      <c r="AL1785">
        <v>90.747972985911204</v>
      </c>
      <c r="AM1785">
        <v>87.2023598977175</v>
      </c>
      <c r="AN1785">
        <v>0.99999995984039303</v>
      </c>
    </row>
    <row r="1786" spans="1:40" x14ac:dyDescent="0.25">
      <c r="A1786" t="str">
        <f>"20190312154831475"</f>
        <v>20190312154831475</v>
      </c>
      <c r="B1786" t="str">
        <f>"1552376911467224"</f>
        <v>1552376911467224</v>
      </c>
      <c r="C1786" t="s">
        <v>40</v>
      </c>
      <c r="D1786">
        <v>5.15862</v>
      </c>
      <c r="E1786">
        <v>0.49997510000000001</v>
      </c>
      <c r="F1786" t="s">
        <v>41</v>
      </c>
      <c r="G1786">
        <v>-213.36070000000001</v>
      </c>
      <c r="H1786">
        <v>1.033536</v>
      </c>
      <c r="I1786">
        <v>284.95389999999998</v>
      </c>
      <c r="J1786">
        <v>-212.7081</v>
      </c>
      <c r="K1786">
        <v>1.109607</v>
      </c>
      <c r="L1786">
        <v>284.96480000000003</v>
      </c>
      <c r="M1786">
        <v>-0.99681399999999998</v>
      </c>
      <c r="N1786">
        <v>0</v>
      </c>
      <c r="O1786">
        <v>-7.8635189999999994E-2</v>
      </c>
      <c r="P1786">
        <v>-0.99920989999999998</v>
      </c>
      <c r="Q1786">
        <v>-2.7043979999999999E-2</v>
      </c>
      <c r="R1786">
        <v>-2.912534E-2</v>
      </c>
      <c r="S1786">
        <v>-2.9924930000000001</v>
      </c>
      <c r="T1786">
        <v>-0.27328520000000001</v>
      </c>
      <c r="U1786">
        <v>-8.9172360000000006E-2</v>
      </c>
      <c r="V1786">
        <v>4.9533580000000001E-2</v>
      </c>
      <c r="W1786">
        <v>-1.3744839999999999E-2</v>
      </c>
      <c r="X1786">
        <v>0.99867779999999995</v>
      </c>
      <c r="Y1786">
        <v>4.8386770000000003E-2</v>
      </c>
      <c r="Z1786">
        <v>9.3620869999999998E-3</v>
      </c>
      <c r="AA1786">
        <v>0.99878480000000003</v>
      </c>
      <c r="AB1786">
        <v>18</v>
      </c>
      <c r="AC1786">
        <v>-0.65260000000000595</v>
      </c>
      <c r="AD1786">
        <v>-7.6071E-2</v>
      </c>
      <c r="AE1786">
        <v>-1.09000000000492E-2</v>
      </c>
      <c r="AF1786">
        <v>3.99134814508941E-2</v>
      </c>
      <c r="AG1786">
        <v>-7.6071E-2</v>
      </c>
      <c r="AH1786">
        <v>0.642705617785712</v>
      </c>
      <c r="AI1786">
        <v>96.737296565107599</v>
      </c>
      <c r="AJ1786">
        <v>86.446365442388895</v>
      </c>
      <c r="AK1786">
        <v>0.64842146338307205</v>
      </c>
      <c r="AL1786">
        <v>90.787546181974506</v>
      </c>
      <c r="AM1786">
        <v>87.160504397483393</v>
      </c>
      <c r="AN1786">
        <v>0.99999992219353795</v>
      </c>
    </row>
    <row r="1787" spans="1:40" x14ac:dyDescent="0.25">
      <c r="A1787" t="str">
        <f>"20190312154831498"</f>
        <v>20190312154831498</v>
      </c>
      <c r="B1787" t="str">
        <f>"1552376911487720"</f>
        <v>1552376911487720</v>
      </c>
      <c r="C1787" t="s">
        <v>40</v>
      </c>
      <c r="D1787">
        <v>5.158671</v>
      </c>
      <c r="E1787">
        <v>0.4997067</v>
      </c>
      <c r="F1787" t="s">
        <v>41</v>
      </c>
      <c r="G1787">
        <v>-213.5197</v>
      </c>
      <c r="H1787">
        <v>1.035021</v>
      </c>
      <c r="I1787">
        <v>284.94069999999999</v>
      </c>
      <c r="J1787">
        <v>-212.8931</v>
      </c>
      <c r="K1787">
        <v>1.109564</v>
      </c>
      <c r="L1787">
        <v>284.95080000000002</v>
      </c>
      <c r="M1787">
        <v>-0.99685679999999999</v>
      </c>
      <c r="N1787">
        <v>0</v>
      </c>
      <c r="O1787">
        <v>-7.8092410000000001E-2</v>
      </c>
      <c r="P1787">
        <v>-0.9992065</v>
      </c>
      <c r="Q1787">
        <v>-2.8114070000000001E-2</v>
      </c>
      <c r="R1787">
        <v>-2.8222270000000001E-2</v>
      </c>
      <c r="S1787">
        <v>-2.9923549999999999</v>
      </c>
      <c r="T1787">
        <v>-0.27503359999999999</v>
      </c>
      <c r="U1787">
        <v>-8.9111330000000002E-2</v>
      </c>
      <c r="V1787">
        <v>4.9887580000000001E-2</v>
      </c>
      <c r="W1787">
        <v>-1.4823619999999999E-2</v>
      </c>
      <c r="X1787">
        <v>0.9986448</v>
      </c>
      <c r="Y1787">
        <v>4.7859579999999999E-2</v>
      </c>
      <c r="Z1787">
        <v>9.3483650000000008E-3</v>
      </c>
      <c r="AA1787">
        <v>0.99881039999999999</v>
      </c>
      <c r="AB1787">
        <v>18</v>
      </c>
      <c r="AC1787">
        <v>-0.62659999999999605</v>
      </c>
      <c r="AD1787">
        <v>-7.4542999999999998E-2</v>
      </c>
      <c r="AE1787">
        <v>-1.01000000000226E-2</v>
      </c>
      <c r="AF1787">
        <v>3.8325649087369303E-2</v>
      </c>
      <c r="AG1787">
        <v>-7.4542999999999998E-2</v>
      </c>
      <c r="AH1787">
        <v>0.61674864022917897</v>
      </c>
      <c r="AI1787">
        <v>96.878455499093903</v>
      </c>
      <c r="AJ1787">
        <v>86.444130074937405</v>
      </c>
      <c r="AK1787">
        <v>0.62241818695432605</v>
      </c>
      <c r="AL1787">
        <v>90.849361994013904</v>
      </c>
      <c r="AM1787">
        <v>87.1401506917516</v>
      </c>
      <c r="AN1787">
        <v>0.99999997345760006</v>
      </c>
    </row>
    <row r="1788" spans="1:40" x14ac:dyDescent="0.25">
      <c r="A1788" t="str">
        <f>"20190312154831521"</f>
        <v>20190312154831521</v>
      </c>
      <c r="B1788" t="str">
        <f>"1552376911507240"</f>
        <v>1552376911507240</v>
      </c>
      <c r="C1788" t="s">
        <v>40</v>
      </c>
      <c r="D1788">
        <v>5.1677379999999999</v>
      </c>
      <c r="E1788">
        <v>0.49946869999999999</v>
      </c>
      <c r="F1788" t="s">
        <v>41</v>
      </c>
      <c r="G1788">
        <v>-213.67859999999999</v>
      </c>
      <c r="H1788">
        <v>1.03664</v>
      </c>
      <c r="I1788">
        <v>284.92759999999998</v>
      </c>
      <c r="J1788">
        <v>-213.0813</v>
      </c>
      <c r="K1788">
        <v>1.109532</v>
      </c>
      <c r="L1788">
        <v>284.93680000000001</v>
      </c>
      <c r="M1788">
        <v>-0.99690489999999998</v>
      </c>
      <c r="N1788">
        <v>0</v>
      </c>
      <c r="O1788">
        <v>-7.7475210000000003E-2</v>
      </c>
      <c r="P1788">
        <v>-0.99922979999999995</v>
      </c>
      <c r="Q1788">
        <v>-2.9310079999999999E-2</v>
      </c>
      <c r="R1788">
        <v>-2.6096169999999998E-2</v>
      </c>
      <c r="S1788">
        <v>-2.9920650000000002</v>
      </c>
      <c r="T1788">
        <v>-0.27787210000000001</v>
      </c>
      <c r="U1788">
        <v>-8.9050290000000004E-2</v>
      </c>
      <c r="V1788">
        <v>5.1388830000000003E-2</v>
      </c>
      <c r="W1788">
        <v>-1.6028690000000002E-2</v>
      </c>
      <c r="X1788">
        <v>0.9985501</v>
      </c>
      <c r="Y1788">
        <v>4.7252809999999999E-2</v>
      </c>
      <c r="Z1788">
        <v>9.3602149999999999E-3</v>
      </c>
      <c r="AA1788">
        <v>0.99883909999999998</v>
      </c>
      <c r="AB1788">
        <v>18</v>
      </c>
      <c r="AC1788">
        <v>-0.59729999999998995</v>
      </c>
      <c r="AD1788">
        <v>-7.2891999999999901E-2</v>
      </c>
      <c r="AE1788">
        <v>-9.2000000000211895E-3</v>
      </c>
      <c r="AF1788">
        <v>3.6563325458936598E-2</v>
      </c>
      <c r="AG1788">
        <v>-7.2891999999999901E-2</v>
      </c>
      <c r="AH1788">
        <v>0.58747022948172201</v>
      </c>
      <c r="AI1788">
        <v>97.059462390470401</v>
      </c>
      <c r="AJ1788">
        <v>86.438584626446797</v>
      </c>
      <c r="AK1788">
        <v>0.59310318744711099</v>
      </c>
      <c r="AL1788">
        <v>90.9184156022378</v>
      </c>
      <c r="AM1788">
        <v>87.053960710162499</v>
      </c>
      <c r="AN1788">
        <v>1.0000000164809399</v>
      </c>
    </row>
    <row r="1789" spans="1:40" x14ac:dyDescent="0.25">
      <c r="A1789" t="str">
        <f>"20190312154831543"</f>
        <v>20190312154831543</v>
      </c>
      <c r="B1789" t="str">
        <f>"1552376911527735"</f>
        <v>1552376911527735</v>
      </c>
      <c r="C1789" t="s">
        <v>40</v>
      </c>
      <c r="D1789">
        <v>5.1595829999999996</v>
      </c>
      <c r="E1789">
        <v>0.49921490000000002</v>
      </c>
      <c r="F1789" t="s">
        <v>41</v>
      </c>
      <c r="G1789">
        <v>-213.83750000000001</v>
      </c>
      <c r="H1789">
        <v>1.0385679999999999</v>
      </c>
      <c r="I1789">
        <v>284.91539999999998</v>
      </c>
      <c r="J1789">
        <v>-213.2473</v>
      </c>
      <c r="K1789">
        <v>1.1095219999999999</v>
      </c>
      <c r="L1789">
        <v>284.9246</v>
      </c>
      <c r="M1789">
        <v>-0.99695009999999995</v>
      </c>
      <c r="N1789">
        <v>0</v>
      </c>
      <c r="O1789">
        <v>-7.6892940000000007E-2</v>
      </c>
      <c r="P1789">
        <v>-0.99928570000000005</v>
      </c>
      <c r="Q1789">
        <v>-2.954323E-2</v>
      </c>
      <c r="R1789">
        <v>-2.357078E-2</v>
      </c>
      <c r="S1789">
        <v>-2.9918369999999999</v>
      </c>
      <c r="T1789">
        <v>-0.28093980000000002</v>
      </c>
      <c r="U1789">
        <v>-8.4930420000000006E-2</v>
      </c>
      <c r="V1789">
        <v>5.3327010000000001E-2</v>
      </c>
      <c r="W1789">
        <v>-1.626911E-2</v>
      </c>
      <c r="X1789">
        <v>0.99844460000000002</v>
      </c>
      <c r="Y1789">
        <v>4.8028559999999998E-2</v>
      </c>
      <c r="Z1789">
        <v>9.4460440000000007E-3</v>
      </c>
      <c r="AA1789">
        <v>0.9988013</v>
      </c>
      <c r="AB1789">
        <v>18</v>
      </c>
      <c r="AC1789">
        <v>-0.59020000000000905</v>
      </c>
      <c r="AD1789">
        <v>-7.0953999999999906E-2</v>
      </c>
      <c r="AE1789">
        <v>-9.2000000000211895E-3</v>
      </c>
      <c r="AF1789">
        <v>3.56976847781083E-2</v>
      </c>
      <c r="AG1789">
        <v>-7.0953999999999906E-2</v>
      </c>
      <c r="AH1789">
        <v>0.58076804359072898</v>
      </c>
      <c r="AI1789">
        <v>96.952468640855798</v>
      </c>
      <c r="AJ1789">
        <v>86.482663434173801</v>
      </c>
      <c r="AK1789">
        <v>0.58617430451250596</v>
      </c>
      <c r="AL1789">
        <v>90.932192431123994</v>
      </c>
      <c r="AM1789">
        <v>86.942732484220002</v>
      </c>
      <c r="AN1789">
        <v>1.00000003660244</v>
      </c>
    </row>
    <row r="1790" spans="1:40" x14ac:dyDescent="0.25">
      <c r="A1790" t="str">
        <f>"20190312154831564"</f>
        <v>20190312154831564</v>
      </c>
      <c r="B1790" t="str">
        <f>"1552376911557992"</f>
        <v>1552376911557992</v>
      </c>
      <c r="C1790" t="s">
        <v>40</v>
      </c>
      <c r="D1790">
        <v>5.1674610000000003</v>
      </c>
      <c r="E1790">
        <v>0.49878450000000002</v>
      </c>
      <c r="F1790" t="s">
        <v>41</v>
      </c>
      <c r="G1790">
        <v>-213.9956</v>
      </c>
      <c r="H1790">
        <v>1.039026</v>
      </c>
      <c r="I1790">
        <v>284.90449999999998</v>
      </c>
      <c r="J1790">
        <v>-213.41890000000001</v>
      </c>
      <c r="K1790">
        <v>1.1095219999999999</v>
      </c>
      <c r="L1790">
        <v>284.91210000000001</v>
      </c>
      <c r="M1790">
        <v>-0.99699760000000004</v>
      </c>
      <c r="N1790">
        <v>0</v>
      </c>
      <c r="O1790">
        <v>-7.6274030000000007E-2</v>
      </c>
      <c r="P1790">
        <v>-0.99937240000000005</v>
      </c>
      <c r="Q1790">
        <v>-2.9013359999999998E-2</v>
      </c>
      <c r="R1790">
        <v>-2.0332929999999999E-2</v>
      </c>
      <c r="S1790">
        <v>-2.9919129999999998</v>
      </c>
      <c r="T1790">
        <v>-0.2819276</v>
      </c>
      <c r="U1790">
        <v>-8.0017089999999999E-2</v>
      </c>
      <c r="V1790">
        <v>5.5943100000000003E-2</v>
      </c>
      <c r="W1790">
        <v>-1.5746030000000001E-2</v>
      </c>
      <c r="X1790">
        <v>0.99830980000000002</v>
      </c>
      <c r="Y1790">
        <v>4.9042580000000002E-2</v>
      </c>
      <c r="Z1790">
        <v>9.4688310000000005E-3</v>
      </c>
      <c r="AA1790">
        <v>0.99875179999999997</v>
      </c>
      <c r="AB1790">
        <v>18</v>
      </c>
      <c r="AC1790">
        <v>-0.576699999999988</v>
      </c>
      <c r="AD1790">
        <v>-7.0495999999999795E-2</v>
      </c>
      <c r="AE1790">
        <v>-7.6000000000249202E-3</v>
      </c>
      <c r="AF1790">
        <v>3.5877282972575399E-2</v>
      </c>
      <c r="AG1790">
        <v>-7.0495999999999795E-2</v>
      </c>
      <c r="AH1790">
        <v>0.56712651652936996</v>
      </c>
      <c r="AI1790">
        <v>97.071746284001406</v>
      </c>
      <c r="AJ1790">
        <v>86.380205836713799</v>
      </c>
      <c r="AK1790">
        <v>0.57261623379033899</v>
      </c>
      <c r="AL1790">
        <v>90.902218336861594</v>
      </c>
      <c r="AM1790">
        <v>86.792624200411694</v>
      </c>
      <c r="AN1790">
        <v>1.0000000123371999</v>
      </c>
    </row>
    <row r="1791" spans="1:40" x14ac:dyDescent="0.25">
      <c r="A1791" t="str">
        <f>"20190312154831585"</f>
        <v>20190312154831585</v>
      </c>
      <c r="B1791" t="str">
        <f>"1552376911578012"</f>
        <v>1552376911578012</v>
      </c>
      <c r="C1791" t="s">
        <v>40</v>
      </c>
      <c r="D1791">
        <v>5.1627859999999997</v>
      </c>
      <c r="E1791">
        <v>0.49852449999999998</v>
      </c>
      <c r="F1791" t="s">
        <v>41</v>
      </c>
      <c r="G1791">
        <v>-214.154</v>
      </c>
      <c r="H1791">
        <v>1.0405409999999999</v>
      </c>
      <c r="I1791">
        <v>284.89409999999998</v>
      </c>
      <c r="J1791">
        <v>-213.58680000000001</v>
      </c>
      <c r="K1791">
        <v>1.1095330000000001</v>
      </c>
      <c r="L1791">
        <v>284.89999999999998</v>
      </c>
      <c r="M1791">
        <v>-0.99704409999999999</v>
      </c>
      <c r="N1791">
        <v>0</v>
      </c>
      <c r="O1791">
        <v>-7.5665659999999996E-2</v>
      </c>
      <c r="P1791">
        <v>-0.99943349999999997</v>
      </c>
      <c r="Q1791">
        <v>-2.9090660000000001E-2</v>
      </c>
      <c r="R1791">
        <v>-1.693946E-2</v>
      </c>
      <c r="S1791">
        <v>-2.9922179999999998</v>
      </c>
      <c r="T1791">
        <v>-0.28091539999999998</v>
      </c>
      <c r="U1791">
        <v>-7.4096679999999998E-2</v>
      </c>
      <c r="V1791">
        <v>5.8722879999999998E-2</v>
      </c>
      <c r="W1791">
        <v>-1.5828979999999999E-2</v>
      </c>
      <c r="X1791">
        <v>0.99814879999999995</v>
      </c>
      <c r="Y1791">
        <v>5.0411289999999997E-2</v>
      </c>
      <c r="Z1791">
        <v>9.4416599999999993E-3</v>
      </c>
      <c r="AA1791">
        <v>0.99868389999999996</v>
      </c>
      <c r="AB1791">
        <v>18</v>
      </c>
      <c r="AC1791">
        <v>-0.56720000000001303</v>
      </c>
      <c r="AD1791">
        <v>-6.8992000000000095E-2</v>
      </c>
      <c r="AE1791">
        <v>-5.8999999999968999E-3</v>
      </c>
      <c r="AF1791">
        <v>3.6498347337996603E-2</v>
      </c>
      <c r="AG1791">
        <v>-6.8992000000000095E-2</v>
      </c>
      <c r="AH1791">
        <v>0.55776866830328597</v>
      </c>
      <c r="AI1791">
        <v>97.036365800976697</v>
      </c>
      <c r="AJ1791">
        <v>86.256110745511194</v>
      </c>
      <c r="AK1791">
        <v>0.56320326061132298</v>
      </c>
      <c r="AL1791">
        <v>90.906971643365495</v>
      </c>
      <c r="AM1791">
        <v>86.633067705784995</v>
      </c>
      <c r="AN1791">
        <v>0.999999980092387</v>
      </c>
    </row>
    <row r="1792" spans="1:40" x14ac:dyDescent="0.25">
      <c r="A1792" t="str">
        <f>"20190312154831609"</f>
        <v>20190312154831609</v>
      </c>
      <c r="B1792" t="str">
        <f>"1552376911597532"</f>
        <v>1552376911597532</v>
      </c>
      <c r="C1792" t="s">
        <v>40</v>
      </c>
      <c r="D1792">
        <v>5.3557519999999998</v>
      </c>
      <c r="E1792">
        <v>0.49834850000000003</v>
      </c>
      <c r="F1792" t="s">
        <v>41</v>
      </c>
      <c r="G1792">
        <v>-214.46260000000001</v>
      </c>
      <c r="H1792">
        <v>1.0274559999999999</v>
      </c>
      <c r="I1792">
        <v>284.88060000000002</v>
      </c>
      <c r="J1792">
        <v>-213.7671</v>
      </c>
      <c r="K1792">
        <v>1.1095549999999901</v>
      </c>
      <c r="L1792">
        <v>284.88720000000001</v>
      </c>
      <c r="M1792">
        <v>-0.99709289999999995</v>
      </c>
      <c r="N1792">
        <v>0</v>
      </c>
      <c r="O1792">
        <v>-7.5019790000000003E-2</v>
      </c>
      <c r="P1792">
        <v>-0.99944169999999999</v>
      </c>
      <c r="Q1792">
        <v>-3.0597599999999999E-2</v>
      </c>
      <c r="R1792">
        <v>-1.342693E-2</v>
      </c>
      <c r="S1792">
        <v>-2.9924010000000001</v>
      </c>
      <c r="T1792">
        <v>-0.280570599999999</v>
      </c>
      <c r="U1792">
        <v>-6.6558839999999994E-2</v>
      </c>
      <c r="V1792">
        <v>6.1578979999999998E-2</v>
      </c>
      <c r="W1792">
        <v>-1.734051E-2</v>
      </c>
      <c r="X1792">
        <v>0.99795160000000005</v>
      </c>
      <c r="Y1792">
        <v>5.2276099999999999E-2</v>
      </c>
      <c r="Z1792">
        <v>9.4569489999999992E-3</v>
      </c>
      <c r="AA1792">
        <v>0.99858789999999997</v>
      </c>
      <c r="AB1792">
        <v>18</v>
      </c>
      <c r="AC1792">
        <v>-0.695500000000009</v>
      </c>
      <c r="AD1792">
        <v>-8.2098999999999894E-2</v>
      </c>
      <c r="AE1792">
        <v>-6.5999999999917201E-3</v>
      </c>
      <c r="AF1792">
        <v>4.4972900191537497E-2</v>
      </c>
      <c r="AG1792">
        <v>-8.2098999999999894E-2</v>
      </c>
      <c r="AH1792">
        <v>0.68449787911736604</v>
      </c>
      <c r="AI1792">
        <v>96.824835731640405</v>
      </c>
      <c r="AJ1792">
        <v>86.240953725702099</v>
      </c>
      <c r="AK1792">
        <v>0.69086912948025803</v>
      </c>
      <c r="AL1792">
        <v>90.993587806231702</v>
      </c>
      <c r="AM1792">
        <v>86.469019232711602</v>
      </c>
      <c r="AN1792">
        <v>1.0000000300037299</v>
      </c>
    </row>
    <row r="1793" spans="1:40" x14ac:dyDescent="0.25">
      <c r="A1793" t="str">
        <f>"20190312154831630"</f>
        <v>20190312154831630</v>
      </c>
      <c r="B1793" t="str">
        <f>"1552376911618028"</f>
        <v>1552376911618028</v>
      </c>
      <c r="C1793" t="s">
        <v>40</v>
      </c>
      <c r="D1793">
        <v>5.1562769999999896</v>
      </c>
      <c r="E1793">
        <v>0.49808590000000003</v>
      </c>
      <c r="F1793" t="s">
        <v>41</v>
      </c>
      <c r="G1793">
        <v>-214.62010000000001</v>
      </c>
      <c r="H1793">
        <v>1.0283910000000001</v>
      </c>
      <c r="I1793">
        <v>284.8707</v>
      </c>
      <c r="J1793">
        <v>-213.94120000000001</v>
      </c>
      <c r="K1793">
        <v>1.1095790000000001</v>
      </c>
      <c r="L1793">
        <v>284.87490000000003</v>
      </c>
      <c r="M1793">
        <v>-0.99713870000000004</v>
      </c>
      <c r="N1793">
        <v>0</v>
      </c>
      <c r="O1793">
        <v>-7.440948E-2</v>
      </c>
      <c r="P1793">
        <v>-0.99942240000000004</v>
      </c>
      <c r="Q1793">
        <v>-3.2399869999999997E-2</v>
      </c>
      <c r="R1793">
        <v>-1.02693E-2</v>
      </c>
      <c r="S1793">
        <v>-2.9922029999999999</v>
      </c>
      <c r="T1793">
        <v>-0.28465600000000002</v>
      </c>
      <c r="U1793">
        <v>-5.7922359999999999E-2</v>
      </c>
      <c r="V1793">
        <v>6.4115519999999995E-2</v>
      </c>
      <c r="W1793">
        <v>-1.9146239999999998E-2</v>
      </c>
      <c r="X1793">
        <v>0.99775879999999995</v>
      </c>
      <c r="Y1793">
        <v>5.4520440000000003E-2</v>
      </c>
      <c r="Z1793">
        <v>9.6438670000000004E-3</v>
      </c>
      <c r="AA1793">
        <v>0.99846610000000002</v>
      </c>
      <c r="AB1793">
        <v>18</v>
      </c>
      <c r="AC1793">
        <v>-0.67889999999999795</v>
      </c>
      <c r="AD1793">
        <v>-8.1187999999999996E-2</v>
      </c>
      <c r="AE1793">
        <v>-4.20000000002573E-3</v>
      </c>
      <c r="AF1793">
        <v>4.5679483135916799E-2</v>
      </c>
      <c r="AG1793">
        <v>-8.1187999999999996E-2</v>
      </c>
      <c r="AH1793">
        <v>0.66778045977082001</v>
      </c>
      <c r="AI1793">
        <v>96.915930954429001</v>
      </c>
      <c r="AJ1793">
        <v>86.086781593709205</v>
      </c>
      <c r="AK1793">
        <v>0.67424687539156802</v>
      </c>
      <c r="AL1793">
        <v>91.097065778534898</v>
      </c>
      <c r="AM1793">
        <v>86.323254871344702</v>
      </c>
      <c r="AN1793">
        <v>1.00000000069422</v>
      </c>
    </row>
    <row r="1794" spans="1:40" x14ac:dyDescent="0.25">
      <c r="A1794" t="str">
        <f>"20190312154831655"</f>
        <v>20190312154831655</v>
      </c>
      <c r="B1794" t="str">
        <f>"1552376911647308"</f>
        <v>1552376911647308</v>
      </c>
      <c r="C1794" t="s">
        <v>40</v>
      </c>
      <c r="D1794">
        <v>5.1668289999999999</v>
      </c>
      <c r="E1794">
        <v>0.49766110000000002</v>
      </c>
      <c r="F1794" t="s">
        <v>41</v>
      </c>
      <c r="G1794">
        <v>-214.77699999999999</v>
      </c>
      <c r="H1794">
        <v>1.0287109999999999</v>
      </c>
      <c r="I1794">
        <v>284.86079999999998</v>
      </c>
      <c r="J1794">
        <v>-214.1293</v>
      </c>
      <c r="K1794">
        <v>1.109605</v>
      </c>
      <c r="L1794">
        <v>284.86160000000001</v>
      </c>
      <c r="M1794">
        <v>-0.99718580000000001</v>
      </c>
      <c r="N1794">
        <v>0</v>
      </c>
      <c r="O1794">
        <v>-7.3773110000000003E-2</v>
      </c>
      <c r="P1794">
        <v>-0.99942039999999999</v>
      </c>
      <c r="Q1794">
        <v>-3.3213140000000002E-2</v>
      </c>
      <c r="R1794">
        <v>-7.45948599999999E-3</v>
      </c>
      <c r="S1794">
        <v>-2.991806</v>
      </c>
      <c r="T1794">
        <v>-0.28960249999999998</v>
      </c>
      <c r="U1794">
        <v>-5.1055910000000003E-2</v>
      </c>
      <c r="V1794">
        <v>6.6281419999999994E-2</v>
      </c>
      <c r="W1794">
        <v>-1.99615E-2</v>
      </c>
      <c r="X1794">
        <v>0.99760130000000002</v>
      </c>
      <c r="Y1794">
        <v>5.614624E-2</v>
      </c>
      <c r="Z1794">
        <v>9.8295159999999999E-3</v>
      </c>
      <c r="AA1794">
        <v>0.99837419999999999</v>
      </c>
      <c r="AB1794">
        <v>18</v>
      </c>
      <c r="AC1794">
        <v>-0.64770000000001404</v>
      </c>
      <c r="AD1794">
        <v>-8.0893999999999799E-2</v>
      </c>
      <c r="AE1794">
        <v>-8.0000000002655703E-4</v>
      </c>
      <c r="AF1794">
        <v>4.6267570238597303E-2</v>
      </c>
      <c r="AG1794">
        <v>-8.0893999999999799E-2</v>
      </c>
      <c r="AH1794">
        <v>0.63607196109123698</v>
      </c>
      <c r="AI1794">
        <v>97.228925493579396</v>
      </c>
      <c r="AJ1794">
        <v>85.839659583036095</v>
      </c>
      <c r="AK1794">
        <v>0.64286240127902605</v>
      </c>
      <c r="AL1794">
        <v>91.143785646461893</v>
      </c>
      <c r="AM1794">
        <v>86.1988097867508</v>
      </c>
      <c r="AN1794">
        <v>1.0000000209405699</v>
      </c>
    </row>
    <row r="1795" spans="1:40" x14ac:dyDescent="0.25">
      <c r="A1795" t="str">
        <f>"20190312154831676"</f>
        <v>20190312154831676</v>
      </c>
      <c r="B1795" t="str">
        <f>"1552376911667804"</f>
        <v>1552376911667804</v>
      </c>
      <c r="C1795" t="s">
        <v>40</v>
      </c>
      <c r="D1795">
        <v>5.1644399999999999</v>
      </c>
      <c r="E1795">
        <v>0.48527290000000001</v>
      </c>
      <c r="F1795" t="s">
        <v>41</v>
      </c>
      <c r="G1795">
        <v>-214.93469999999999</v>
      </c>
      <c r="H1795">
        <v>1.031358</v>
      </c>
      <c r="I1795">
        <v>284.8492</v>
      </c>
      <c r="J1795">
        <v>-214.2946</v>
      </c>
      <c r="K1795">
        <v>1.1096299999999999</v>
      </c>
      <c r="L1795">
        <v>284.8501</v>
      </c>
      <c r="M1795">
        <v>-0.99722549999999999</v>
      </c>
      <c r="N1795">
        <v>0</v>
      </c>
      <c r="O1795">
        <v>-7.3237750000000004E-2</v>
      </c>
      <c r="P1795">
        <v>-0.99943340000000003</v>
      </c>
      <c r="Q1795">
        <v>-3.3257549999999997E-2</v>
      </c>
      <c r="R1795">
        <v>-5.1972069999999997E-3</v>
      </c>
      <c r="S1795">
        <v>-2.991714</v>
      </c>
      <c r="T1795">
        <v>-0.29070269999999998</v>
      </c>
      <c r="U1795">
        <v>-4.6264649999999997E-2</v>
      </c>
      <c r="V1795">
        <v>6.8004350000000005E-2</v>
      </c>
      <c r="W1795">
        <v>-2.0007239999999999E-2</v>
      </c>
      <c r="X1795">
        <v>0.99748440000000005</v>
      </c>
      <c r="Y1795">
        <v>5.7201019999999998E-2</v>
      </c>
      <c r="Z1795">
        <v>9.8665569999999998E-3</v>
      </c>
      <c r="AA1795">
        <v>0.99831389999999998</v>
      </c>
      <c r="AB1795">
        <v>18</v>
      </c>
      <c r="AC1795">
        <v>-0.64009999999998901</v>
      </c>
      <c r="AD1795">
        <v>-7.8271999999999897E-2</v>
      </c>
      <c r="AE1795">
        <v>-9.0000000000145497E-4</v>
      </c>
      <c r="AF1795">
        <v>4.5308582514706902E-2</v>
      </c>
      <c r="AG1795">
        <v>-7.8271999999999897E-2</v>
      </c>
      <c r="AH1795">
        <v>0.62904084388743997</v>
      </c>
      <c r="AI1795">
        <v>97.074756236152595</v>
      </c>
      <c r="AJ1795">
        <v>85.880211698511602</v>
      </c>
      <c r="AK1795">
        <v>0.63550905336754604</v>
      </c>
      <c r="AL1795">
        <v>91.146406897396901</v>
      </c>
      <c r="AM1795">
        <v>86.099846445946199</v>
      </c>
      <c r="AN1795">
        <v>1.0000000047573501</v>
      </c>
    </row>
    <row r="1796" spans="1:40" x14ac:dyDescent="0.25">
      <c r="A1796" t="str">
        <f>"20190312154831699"</f>
        <v>20190312154831699</v>
      </c>
      <c r="B1796" t="str">
        <f>"1552376911687324"</f>
        <v>1552376911687324</v>
      </c>
      <c r="C1796" t="s">
        <v>40</v>
      </c>
      <c r="D1796">
        <v>5.1513470000000003</v>
      </c>
      <c r="E1796">
        <v>0.48580250000000003</v>
      </c>
      <c r="F1796" t="s">
        <v>41</v>
      </c>
      <c r="G1796">
        <v>-215.09010000000001</v>
      </c>
      <c r="H1796">
        <v>1.032648</v>
      </c>
      <c r="I1796">
        <v>284.81349999999998</v>
      </c>
      <c r="J1796">
        <v>-214.4735</v>
      </c>
      <c r="K1796">
        <v>1.1096429999999999</v>
      </c>
      <c r="L1796">
        <v>284.83769999999998</v>
      </c>
      <c r="M1796">
        <v>-0.99726610000000004</v>
      </c>
      <c r="N1796">
        <v>0</v>
      </c>
      <c r="O1796">
        <v>-7.2682830000000004E-2</v>
      </c>
      <c r="P1796">
        <v>-0.9994461</v>
      </c>
      <c r="Q1796">
        <v>-3.3092040000000003E-2</v>
      </c>
      <c r="R1796">
        <v>-3.5636779999999998E-3</v>
      </c>
      <c r="S1796">
        <v>-2.9913639999999999</v>
      </c>
      <c r="T1796">
        <v>-0.28961310000000001</v>
      </c>
      <c r="U1796">
        <v>-0.1383057</v>
      </c>
      <c r="V1796">
        <v>6.9080730000000007E-2</v>
      </c>
      <c r="W1796">
        <v>-1.984207E-2</v>
      </c>
      <c r="X1796">
        <v>0.99741380000000002</v>
      </c>
      <c r="Y1796">
        <v>2.6088199999999999E-2</v>
      </c>
      <c r="Z1796">
        <v>8.2690560000000003E-3</v>
      </c>
      <c r="AA1796">
        <v>0.9996254</v>
      </c>
      <c r="AB1796">
        <v>18</v>
      </c>
      <c r="AC1796">
        <v>-0.61660000000000503</v>
      </c>
      <c r="AD1796">
        <v>-7.6994999999999897E-2</v>
      </c>
      <c r="AE1796">
        <v>-2.42000000000075E-2</v>
      </c>
      <c r="AF1796">
        <v>2.0367141623709499E-2</v>
      </c>
      <c r="AG1796">
        <v>-7.6994999999999897E-2</v>
      </c>
      <c r="AH1796">
        <v>0.60727354992759797</v>
      </c>
      <c r="AI1796">
        <v>97.221845270370295</v>
      </c>
      <c r="AJ1796">
        <v>88.079096305421004</v>
      </c>
      <c r="AK1796">
        <v>0.61247384835973795</v>
      </c>
      <c r="AL1796">
        <v>91.136941398357706</v>
      </c>
      <c r="AM1796">
        <v>86.038029925442004</v>
      </c>
      <c r="AN1796">
        <v>1.0000000717148201</v>
      </c>
    </row>
    <row r="1797" spans="1:40" x14ac:dyDescent="0.25">
      <c r="A1797" t="str">
        <f>"20190312154831721"</f>
        <v>20190312154831721</v>
      </c>
      <c r="B1797" t="str">
        <f>"1552376911707819"</f>
        <v>1552376911707819</v>
      </c>
      <c r="C1797" t="s">
        <v>40</v>
      </c>
      <c r="D1797">
        <v>5.1985460000000003</v>
      </c>
      <c r="E1797">
        <v>0.48789969999999999</v>
      </c>
      <c r="F1797" t="s">
        <v>41</v>
      </c>
      <c r="G1797">
        <v>-215.24870000000001</v>
      </c>
      <c r="H1797">
        <v>1.0377160000000001</v>
      </c>
      <c r="I1797">
        <v>284.80439999999999</v>
      </c>
      <c r="J1797">
        <v>-214.6482</v>
      </c>
      <c r="K1797">
        <v>1.1096600000000001</v>
      </c>
      <c r="L1797">
        <v>284.82569999999998</v>
      </c>
      <c r="M1797">
        <v>-0.99730399999999997</v>
      </c>
      <c r="N1797">
        <v>0</v>
      </c>
      <c r="O1797">
        <v>-7.2161349999999999E-2</v>
      </c>
      <c r="P1797">
        <v>-0.99944189999999999</v>
      </c>
      <c r="Q1797">
        <v>-3.3319340000000003E-2</v>
      </c>
      <c r="R1797">
        <v>-2.4974279999999999E-3</v>
      </c>
      <c r="S1797">
        <v>-2.9920040000000001</v>
      </c>
      <c r="T1797">
        <v>-0.2777386</v>
      </c>
      <c r="U1797">
        <v>-0.12908939999999999</v>
      </c>
      <c r="V1797">
        <v>6.962351E-2</v>
      </c>
      <c r="W1797">
        <v>-2.0069429999999999E-2</v>
      </c>
      <c r="X1797">
        <v>0.99737140000000002</v>
      </c>
      <c r="Y1797">
        <v>2.8676400000000001E-2</v>
      </c>
      <c r="Z1797">
        <v>8.0021940000000007E-3</v>
      </c>
      <c r="AA1797">
        <v>0.99955669999999996</v>
      </c>
      <c r="AB1797">
        <v>17</v>
      </c>
      <c r="AC1797">
        <v>-0.60050000000001003</v>
      </c>
      <c r="AD1797">
        <v>-7.1943999999999994E-2</v>
      </c>
      <c r="AE1797">
        <v>-2.1299999999996499E-2</v>
      </c>
      <c r="AF1797">
        <v>2.17800450578262E-2</v>
      </c>
      <c r="AG1797">
        <v>-7.1943999999999994E-2</v>
      </c>
      <c r="AH1797">
        <v>0.591984892267163</v>
      </c>
      <c r="AI1797">
        <v>96.924543605464706</v>
      </c>
      <c r="AJ1797">
        <v>87.892949515655104</v>
      </c>
      <c r="AK1797">
        <v>0.59673815209963299</v>
      </c>
      <c r="AL1797">
        <v>91.149970886275298</v>
      </c>
      <c r="AM1797">
        <v>86.006831104577302</v>
      </c>
      <c r="AN1797">
        <v>0.99999996235160105</v>
      </c>
    </row>
    <row r="1798" spans="1:40" x14ac:dyDescent="0.25">
      <c r="A1798" t="str">
        <f>"20190312154831745"</f>
        <v>20190312154831745</v>
      </c>
      <c r="B1798" t="str">
        <f>"1552376911738076"</f>
        <v>1552376911738076</v>
      </c>
      <c r="C1798" t="s">
        <v>40</v>
      </c>
      <c r="D1798">
        <v>5.1341320000000001</v>
      </c>
      <c r="E1798">
        <v>0.52401209999999998</v>
      </c>
      <c r="F1798" t="s">
        <v>41</v>
      </c>
      <c r="G1798">
        <v>-215.405</v>
      </c>
      <c r="H1798">
        <v>1.0380180000000001</v>
      </c>
      <c r="I1798">
        <v>284.79809999999998</v>
      </c>
      <c r="J1798">
        <v>-214.83420000000001</v>
      </c>
      <c r="K1798">
        <v>1.109675</v>
      </c>
      <c r="L1798">
        <v>284.81290000000001</v>
      </c>
      <c r="M1798">
        <v>-0.99734290000000003</v>
      </c>
      <c r="N1798">
        <v>0</v>
      </c>
      <c r="O1798">
        <v>-7.1621470000000007E-2</v>
      </c>
      <c r="P1798">
        <v>-0.99942790000000004</v>
      </c>
      <c r="Q1798">
        <v>-3.3768060000000003E-2</v>
      </c>
      <c r="R1798">
        <v>-1.9479720000000001E-3</v>
      </c>
      <c r="S1798">
        <v>-2.9919739999999999</v>
      </c>
      <c r="T1798">
        <v>-0.28330029999999901</v>
      </c>
      <c r="U1798">
        <v>-0.1096497</v>
      </c>
      <c r="V1798">
        <v>6.9631299999999993E-2</v>
      </c>
      <c r="W1798">
        <v>-2.0517980000000002E-2</v>
      </c>
      <c r="X1798">
        <v>0.99736179999999997</v>
      </c>
      <c r="Y1798">
        <v>3.4576830000000003E-2</v>
      </c>
      <c r="Z1798">
        <v>8.3910319999999997E-3</v>
      </c>
      <c r="AA1798">
        <v>0.9993668</v>
      </c>
      <c r="AB1798">
        <v>17</v>
      </c>
      <c r="AC1798">
        <v>-0.57079999999999098</v>
      </c>
      <c r="AD1798">
        <v>-7.1656999999999804E-2</v>
      </c>
      <c r="AE1798">
        <v>-1.4800000000036499E-2</v>
      </c>
      <c r="AF1798">
        <v>2.5718139614857E-2</v>
      </c>
      <c r="AG1798">
        <v>-7.1656999999999804E-2</v>
      </c>
      <c r="AH1798">
        <v>0.561550009269421</v>
      </c>
      <c r="AI1798">
        <v>97.264436339091404</v>
      </c>
      <c r="AJ1798">
        <v>87.377772458484401</v>
      </c>
      <c r="AK1798">
        <v>0.56668735760094002</v>
      </c>
      <c r="AL1798">
        <v>91.175676120270296</v>
      </c>
      <c r="AM1798">
        <v>86.006347448796504</v>
      </c>
      <c r="AN1798">
        <v>1.0000000327711001</v>
      </c>
    </row>
    <row r="1799" spans="1:40" x14ac:dyDescent="0.25">
      <c r="A1799" t="str">
        <f>"20190312154831764"</f>
        <v>20190312154831764</v>
      </c>
      <c r="B1799" t="str">
        <f>"1552376911757596"</f>
        <v>1552376911757596</v>
      </c>
      <c r="C1799" t="s">
        <v>40</v>
      </c>
      <c r="D1799">
        <v>5.133375</v>
      </c>
      <c r="E1799">
        <v>0.52591529999999997</v>
      </c>
      <c r="F1799" t="s">
        <v>41</v>
      </c>
      <c r="G1799">
        <v>-215.6626</v>
      </c>
      <c r="H1799">
        <v>0.91642590000000002</v>
      </c>
      <c r="I1799">
        <v>284.85939999999999</v>
      </c>
      <c r="J1799">
        <v>-214.98390000000001</v>
      </c>
      <c r="K1799">
        <v>1.1096870000000001</v>
      </c>
      <c r="L1799">
        <v>284.80270000000002</v>
      </c>
      <c r="M1799">
        <v>-0.99737330000000002</v>
      </c>
      <c r="N1799">
        <v>0</v>
      </c>
      <c r="O1799">
        <v>-7.1196759999999998E-2</v>
      </c>
      <c r="P1799">
        <v>-0.99942770000000003</v>
      </c>
      <c r="Q1799">
        <v>-3.3785969999999999E-2</v>
      </c>
      <c r="R1799">
        <v>-1.763412E-3</v>
      </c>
      <c r="S1799">
        <v>-2.978561</v>
      </c>
      <c r="T1799">
        <v>-0.69484599999999996</v>
      </c>
      <c r="U1799">
        <v>0.166626</v>
      </c>
      <c r="V1799">
        <v>6.9391399999999895E-2</v>
      </c>
      <c r="W1799">
        <v>-2.053576E-2</v>
      </c>
      <c r="X1799">
        <v>0.99737810000000005</v>
      </c>
      <c r="Y1799">
        <v>0.12164</v>
      </c>
      <c r="Z1799">
        <v>3.0365360000000001E-2</v>
      </c>
      <c r="AA1799">
        <v>0.99210969999999998</v>
      </c>
      <c r="AB1799">
        <v>17</v>
      </c>
      <c r="AC1799">
        <v>-0.67869999999999198</v>
      </c>
      <c r="AD1799">
        <v>-0.19326109999999999</v>
      </c>
      <c r="AE1799">
        <v>5.66999999999779E-2</v>
      </c>
      <c r="AF1799">
        <v>9.7065724664064199E-2</v>
      </c>
      <c r="AG1799">
        <v>-0.19326109999999999</v>
      </c>
      <c r="AH1799">
        <v>0.62279190441555798</v>
      </c>
      <c r="AI1799">
        <v>107.04619226769</v>
      </c>
      <c r="AJ1799">
        <v>81.1413904197573</v>
      </c>
      <c r="AK1799">
        <v>0.65927336051392804</v>
      </c>
      <c r="AL1799">
        <v>91.176695117052205</v>
      </c>
      <c r="AM1799">
        <v>86.020127279846093</v>
      </c>
      <c r="AN1799">
        <v>0.999999979096173</v>
      </c>
    </row>
    <row r="1800" spans="1:40" x14ac:dyDescent="0.25">
      <c r="A1800" t="str">
        <f>"20190312154831787"</f>
        <v>20190312154831787</v>
      </c>
      <c r="B1800" t="str">
        <f>"1552376911777116"</f>
        <v>1552376911777116</v>
      </c>
      <c r="C1800" t="s">
        <v>40</v>
      </c>
      <c r="D1800">
        <v>5.136425</v>
      </c>
      <c r="E1800">
        <v>0.52699459999999998</v>
      </c>
      <c r="F1800" t="s">
        <v>41</v>
      </c>
      <c r="G1800">
        <v>-215.67330000000001</v>
      </c>
      <c r="H1800">
        <v>0.94202439999999998</v>
      </c>
      <c r="I1800">
        <v>284.84460000000001</v>
      </c>
      <c r="J1800">
        <v>-215.1593</v>
      </c>
      <c r="K1800">
        <v>1.1096809999999999</v>
      </c>
      <c r="L1800">
        <v>284.79079999999999</v>
      </c>
      <c r="M1800">
        <v>-0.99740839999999997</v>
      </c>
      <c r="N1800">
        <v>0</v>
      </c>
      <c r="O1800">
        <v>-7.0704039999999996E-2</v>
      </c>
      <c r="P1800">
        <v>-0.99941250000000004</v>
      </c>
      <c r="Q1800">
        <v>-3.4225699999999998E-2</v>
      </c>
      <c r="R1800">
        <v>-1.8127639999999999E-3</v>
      </c>
      <c r="S1800">
        <v>-2.9775390000000002</v>
      </c>
      <c r="T1800">
        <v>-0.72413549999999904</v>
      </c>
      <c r="U1800">
        <v>0.1805725</v>
      </c>
      <c r="V1800">
        <v>6.8848419999999994E-2</v>
      </c>
      <c r="W1800">
        <v>-2.098334E-2</v>
      </c>
      <c r="X1800">
        <v>0.99740640000000003</v>
      </c>
      <c r="Y1800">
        <v>0.1252675</v>
      </c>
      <c r="Z1800">
        <v>3.193344E-2</v>
      </c>
      <c r="AA1800">
        <v>0.99160899999999996</v>
      </c>
      <c r="AB1800">
        <v>17</v>
      </c>
      <c r="AC1800">
        <v>-0.51400000000001</v>
      </c>
      <c r="AD1800">
        <v>-0.16765659999999899</v>
      </c>
      <c r="AE1800">
        <v>5.3800000000023801E-2</v>
      </c>
      <c r="AF1800">
        <v>8.1439679891533001E-2</v>
      </c>
      <c r="AG1800">
        <v>-0.16765659999999899</v>
      </c>
      <c r="AH1800">
        <v>0.46045107934266599</v>
      </c>
      <c r="AI1800">
        <v>109.725234560126</v>
      </c>
      <c r="AJ1800">
        <v>79.969864755007194</v>
      </c>
      <c r="AK1800">
        <v>0.49674576339634902</v>
      </c>
      <c r="AL1800">
        <v>91.202345106030506</v>
      </c>
      <c r="AM1800">
        <v>86.051282121056502</v>
      </c>
      <c r="AN1800">
        <v>0.99999996612750497</v>
      </c>
    </row>
    <row r="1801" spans="1:40" x14ac:dyDescent="0.25">
      <c r="A1801" t="str">
        <f>"20190312154831810"</f>
        <v>20190312154831810</v>
      </c>
      <c r="B1801" t="str">
        <f>"1552376911797615"</f>
        <v>1552376911797615</v>
      </c>
      <c r="C1801" t="s">
        <v>40</v>
      </c>
      <c r="D1801">
        <v>5.1555629999999999</v>
      </c>
      <c r="E1801">
        <v>0.52721870000000004</v>
      </c>
      <c r="F1801" t="s">
        <v>41</v>
      </c>
      <c r="G1801">
        <v>-215.96969999999999</v>
      </c>
      <c r="H1801">
        <v>0.90828819999999999</v>
      </c>
      <c r="I1801">
        <v>284.84210000000002</v>
      </c>
      <c r="J1801">
        <v>-215.33600000000001</v>
      </c>
      <c r="K1801">
        <v>1.109653</v>
      </c>
      <c r="L1801">
        <v>284.77890000000002</v>
      </c>
      <c r="M1801">
        <v>-0.99744480000000002</v>
      </c>
      <c r="N1801">
        <v>0</v>
      </c>
      <c r="O1801">
        <v>-7.0210159999999994E-2</v>
      </c>
      <c r="P1801">
        <v>-0.99939909999999998</v>
      </c>
      <c r="Q1801">
        <v>-3.463869E-2</v>
      </c>
      <c r="R1801">
        <v>-1.3781399999999999E-3</v>
      </c>
      <c r="S1801">
        <v>-2.9767610000000002</v>
      </c>
      <c r="T1801">
        <v>-0.73974139999999999</v>
      </c>
      <c r="U1801">
        <v>0.18771360000000001</v>
      </c>
      <c r="V1801">
        <v>6.8787109999999999E-2</v>
      </c>
      <c r="W1801">
        <v>-2.1505929999999999E-2</v>
      </c>
      <c r="X1801">
        <v>0.99739949999999999</v>
      </c>
      <c r="Y1801">
        <v>0.1268811</v>
      </c>
      <c r="Z1801">
        <v>3.2684480000000002E-2</v>
      </c>
      <c r="AA1801">
        <v>0.99137929999999996</v>
      </c>
      <c r="AB1801">
        <v>17</v>
      </c>
      <c r="AC1801">
        <v>-0.63370000000000404</v>
      </c>
      <c r="AD1801">
        <v>-0.20136479999999901</v>
      </c>
      <c r="AE1801">
        <v>6.3199999999994802E-2</v>
      </c>
      <c r="AF1801">
        <v>9.7765716462340099E-2</v>
      </c>
      <c r="AG1801">
        <v>-0.20136479999999901</v>
      </c>
      <c r="AH1801">
        <v>0.57064653257923104</v>
      </c>
      <c r="AI1801">
        <v>109.17787205929299</v>
      </c>
      <c r="AJ1801">
        <v>80.278215673436904</v>
      </c>
      <c r="AK1801">
        <v>0.612979104977595</v>
      </c>
      <c r="AL1801">
        <v>91.232294066911194</v>
      </c>
      <c r="AM1801">
        <v>86.054760166128503</v>
      </c>
      <c r="AN1801">
        <v>0.99999996706378202</v>
      </c>
    </row>
    <row r="1802" spans="1:40" x14ac:dyDescent="0.25">
      <c r="A1802" t="str">
        <f>"20190312154831831"</f>
        <v>20190312154831831</v>
      </c>
      <c r="B1802" t="str">
        <f>"1552376911817132"</f>
        <v>1552376911817132</v>
      </c>
      <c r="C1802" t="s">
        <v>40</v>
      </c>
      <c r="D1802">
        <v>5.1456220000000004</v>
      </c>
      <c r="E1802">
        <v>0.52739879999999995</v>
      </c>
      <c r="F1802" t="s">
        <v>41</v>
      </c>
      <c r="G1802">
        <v>-216.126</v>
      </c>
      <c r="H1802">
        <v>0.91107510000000003</v>
      </c>
      <c r="I1802">
        <v>284.8295</v>
      </c>
      <c r="J1802">
        <v>-215.5042</v>
      </c>
      <c r="K1802">
        <v>1.1096010000000001</v>
      </c>
      <c r="L1802">
        <v>284.76760000000002</v>
      </c>
      <c r="M1802">
        <v>-0.99747989999999997</v>
      </c>
      <c r="N1802">
        <v>0</v>
      </c>
      <c r="O1802">
        <v>-6.9747420000000004E-2</v>
      </c>
      <c r="P1802">
        <v>-0.99942140000000002</v>
      </c>
      <c r="Q1802">
        <v>-3.4001759999999999E-2</v>
      </c>
      <c r="R1802">
        <v>-8.4084519999999996E-4</v>
      </c>
      <c r="S1802">
        <v>-2.9761199999999999</v>
      </c>
      <c r="T1802">
        <v>-0.74797760000000002</v>
      </c>
      <c r="U1802">
        <v>0.19018550000000001</v>
      </c>
      <c r="V1802">
        <v>6.8862179999999995E-2</v>
      </c>
      <c r="W1802">
        <v>-2.107115E-2</v>
      </c>
      <c r="X1802">
        <v>0.99740359999999995</v>
      </c>
      <c r="Y1802">
        <v>0.1271273</v>
      </c>
      <c r="Z1802">
        <v>3.295973E-2</v>
      </c>
      <c r="AA1802">
        <v>0.99133870000000002</v>
      </c>
      <c r="AB1802">
        <v>17</v>
      </c>
      <c r="AC1802">
        <v>-0.62179999999997904</v>
      </c>
      <c r="AD1802">
        <v>-0.19852590000000001</v>
      </c>
      <c r="AE1802">
        <v>6.1899999999979999E-2</v>
      </c>
      <c r="AF1802">
        <v>9.5483980644089805E-2</v>
      </c>
      <c r="AG1802">
        <v>-0.19852590000000001</v>
      </c>
      <c r="AH1802">
        <v>0.559494104578943</v>
      </c>
      <c r="AI1802">
        <v>109.278510237988</v>
      </c>
      <c r="AJ1802">
        <v>80.315134321893396</v>
      </c>
      <c r="AK1802">
        <v>0.60130140245058805</v>
      </c>
      <c r="AL1802">
        <v>91.207377359868701</v>
      </c>
      <c r="AM1802">
        <v>86.050484377898698</v>
      </c>
      <c r="AN1802">
        <v>0.99999996724481599</v>
      </c>
    </row>
    <row r="1803" spans="1:40" x14ac:dyDescent="0.25">
      <c r="A1803" t="str">
        <f>"20190312154831854"</f>
        <v>20190312154831854</v>
      </c>
      <c r="B1803" t="str">
        <f>"1552376911847388"</f>
        <v>1552376911847388</v>
      </c>
      <c r="C1803" t="s">
        <v>40</v>
      </c>
      <c r="D1803">
        <v>5.15787</v>
      </c>
      <c r="E1803">
        <v>0.52763559999999998</v>
      </c>
      <c r="F1803" t="s">
        <v>41</v>
      </c>
      <c r="G1803">
        <v>-216.28290000000001</v>
      </c>
      <c r="H1803">
        <v>0.91344809999999999</v>
      </c>
      <c r="I1803">
        <v>284.8184</v>
      </c>
      <c r="J1803">
        <v>-215.68209999999999</v>
      </c>
      <c r="K1803">
        <v>1.1095389999999901</v>
      </c>
      <c r="L1803">
        <v>284.75580000000002</v>
      </c>
      <c r="M1803">
        <v>-0.99751860000000003</v>
      </c>
      <c r="N1803">
        <v>0</v>
      </c>
      <c r="O1803">
        <v>-6.9256470000000001E-2</v>
      </c>
      <c r="P1803">
        <v>-0.99947039999999998</v>
      </c>
      <c r="Q1803">
        <v>-3.2546770000000003E-2</v>
      </c>
      <c r="R1803">
        <v>1.7942279999999999E-4</v>
      </c>
      <c r="S1803">
        <v>-2.9763950000000001</v>
      </c>
      <c r="T1803">
        <v>-0.74982309999999996</v>
      </c>
      <c r="U1803">
        <v>0.19311519999999999</v>
      </c>
      <c r="V1803">
        <v>6.9393200000000002E-2</v>
      </c>
      <c r="W1803">
        <v>-1.994922E-2</v>
      </c>
      <c r="X1803">
        <v>0.99738990000000005</v>
      </c>
      <c r="Y1803">
        <v>0.1275782</v>
      </c>
      <c r="Z1803">
        <v>3.296901E-2</v>
      </c>
      <c r="AA1803">
        <v>0.99128039999999995</v>
      </c>
      <c r="AB1803">
        <v>17</v>
      </c>
      <c r="AC1803">
        <v>-0.60080000000001998</v>
      </c>
      <c r="AD1803">
        <v>-0.19609089999999901</v>
      </c>
      <c r="AE1803">
        <v>6.2599999999974898E-2</v>
      </c>
      <c r="AF1803">
        <v>9.4141488674339802E-2</v>
      </c>
      <c r="AG1803">
        <v>-0.19609089999999901</v>
      </c>
      <c r="AH1803">
        <v>0.53829490262249102</v>
      </c>
      <c r="AI1803">
        <v>109.73977453009999</v>
      </c>
      <c r="AJ1803">
        <v>80.079963522951104</v>
      </c>
      <c r="AK1803">
        <v>0.58058217604572404</v>
      </c>
      <c r="AL1803">
        <v>91.143081937993102</v>
      </c>
      <c r="AM1803">
        <v>86.020071309751003</v>
      </c>
      <c r="AN1803">
        <v>1.0000000001034199</v>
      </c>
    </row>
    <row r="1804" spans="1:40" x14ac:dyDescent="0.25">
      <c r="A1804" t="str">
        <f>"20190312154831875"</f>
        <v>20190312154831875</v>
      </c>
      <c r="B1804" t="str">
        <f>"1552376911867884"</f>
        <v>1552376911867884</v>
      </c>
      <c r="C1804" t="s">
        <v>40</v>
      </c>
      <c r="D1804">
        <v>5.1543510000000001</v>
      </c>
      <c r="E1804">
        <v>0.5275244</v>
      </c>
      <c r="F1804" t="s">
        <v>41</v>
      </c>
      <c r="G1804">
        <v>-216.44149999999999</v>
      </c>
      <c r="H1804">
        <v>0.91845690000000002</v>
      </c>
      <c r="I1804">
        <v>284.80630000000002</v>
      </c>
      <c r="J1804">
        <v>-215.8511</v>
      </c>
      <c r="K1804">
        <v>1.1094539999999999</v>
      </c>
      <c r="L1804">
        <v>284.74470000000002</v>
      </c>
      <c r="M1804">
        <v>-0.997556</v>
      </c>
      <c r="N1804">
        <v>0</v>
      </c>
      <c r="O1804">
        <v>-6.8791679999999994E-2</v>
      </c>
      <c r="P1804">
        <v>-0.99951000000000001</v>
      </c>
      <c r="Q1804">
        <v>-3.1281780000000002E-2</v>
      </c>
      <c r="R1804">
        <v>1.206663E-3</v>
      </c>
      <c r="S1804">
        <v>-2.9771580000000002</v>
      </c>
      <c r="T1804">
        <v>-0.74920699999999996</v>
      </c>
      <c r="U1804">
        <v>0.197876</v>
      </c>
      <c r="V1804">
        <v>6.9956530000000003E-2</v>
      </c>
      <c r="W1804">
        <v>-1.9107499999999999E-2</v>
      </c>
      <c r="X1804">
        <v>0.997367</v>
      </c>
      <c r="Y1804">
        <v>0.12867200000000001</v>
      </c>
      <c r="Z1804">
        <v>3.2953469999999999E-2</v>
      </c>
      <c r="AA1804">
        <v>0.99113949999999995</v>
      </c>
      <c r="AB1804">
        <v>17</v>
      </c>
      <c r="AC1804">
        <v>-0.59039999999998805</v>
      </c>
      <c r="AD1804">
        <v>-0.1909971</v>
      </c>
      <c r="AE1804">
        <v>6.1599999999998503E-2</v>
      </c>
      <c r="AF1804">
        <v>9.2495778044284299E-2</v>
      </c>
      <c r="AG1804">
        <v>-0.1909971</v>
      </c>
      <c r="AH1804">
        <v>0.52990333677831503</v>
      </c>
      <c r="AI1804">
        <v>109.54837360737601</v>
      </c>
      <c r="AJ1804">
        <v>80.098652628758899</v>
      </c>
      <c r="AK1804">
        <v>0.57081775330942497</v>
      </c>
      <c r="AL1804">
        <v>91.094845764602098</v>
      </c>
      <c r="AM1804">
        <v>85.987775749576898</v>
      </c>
      <c r="AN1804">
        <v>0.999999972667445</v>
      </c>
    </row>
    <row r="1805" spans="1:40" x14ac:dyDescent="0.25">
      <c r="A1805" t="str">
        <f>"20190312154831898"</f>
        <v>20190312154831898</v>
      </c>
      <c r="B1805" t="str">
        <f>"1552376911887404"</f>
        <v>1552376911887404</v>
      </c>
      <c r="C1805" t="s">
        <v>40</v>
      </c>
      <c r="D1805">
        <v>5.1766389999999998</v>
      </c>
      <c r="E1805">
        <v>0.52791480000000002</v>
      </c>
      <c r="F1805" t="s">
        <v>41</v>
      </c>
      <c r="G1805">
        <v>-216.6001</v>
      </c>
      <c r="H1805">
        <v>0.92179540000000004</v>
      </c>
      <c r="I1805">
        <v>284.79509999999999</v>
      </c>
      <c r="J1805">
        <v>-216.02969999999999</v>
      </c>
      <c r="K1805">
        <v>1.109351</v>
      </c>
      <c r="L1805">
        <v>284.73289999999997</v>
      </c>
      <c r="M1805">
        <v>-0.99759529999999996</v>
      </c>
      <c r="N1805">
        <v>0</v>
      </c>
      <c r="O1805">
        <v>-6.8310259999999998E-2</v>
      </c>
      <c r="P1805">
        <v>-0.99952039999999998</v>
      </c>
      <c r="Q1805">
        <v>-3.0851509999999999E-2</v>
      </c>
      <c r="R1805">
        <v>2.63825E-3</v>
      </c>
      <c r="S1805">
        <v>-2.9778899999999999</v>
      </c>
      <c r="T1805">
        <v>-0.74615290000000001</v>
      </c>
      <c r="U1805">
        <v>0.19973750000000001</v>
      </c>
      <c r="V1805">
        <v>7.0904110000000006E-2</v>
      </c>
      <c r="W1805">
        <v>-1.920036E-2</v>
      </c>
      <c r="X1805">
        <v>0.99729829999999997</v>
      </c>
      <c r="Y1805">
        <v>0.12885569999999999</v>
      </c>
      <c r="Z1805">
        <v>3.271872E-2</v>
      </c>
      <c r="AA1805">
        <v>0.99112339999999999</v>
      </c>
      <c r="AB1805">
        <v>18</v>
      </c>
      <c r="AC1805">
        <v>-0.57040000000000601</v>
      </c>
      <c r="AD1805">
        <v>-0.18755559999999999</v>
      </c>
      <c r="AE1805">
        <v>6.22000000000184E-2</v>
      </c>
      <c r="AF1805">
        <v>9.1269548435844394E-2</v>
      </c>
      <c r="AG1805">
        <v>-0.18755559999999999</v>
      </c>
      <c r="AH1805">
        <v>0.51029421870625602</v>
      </c>
      <c r="AI1805">
        <v>109.890256331488</v>
      </c>
      <c r="AJ1805">
        <v>79.8594884530321</v>
      </c>
      <c r="AK1805">
        <v>0.55127799086130003</v>
      </c>
      <c r="AL1805">
        <v>91.100167226807301</v>
      </c>
      <c r="AM1805">
        <v>85.933331016671701</v>
      </c>
      <c r="AN1805">
        <v>0.99999997291095499</v>
      </c>
    </row>
    <row r="1806" spans="1:40" x14ac:dyDescent="0.25">
      <c r="A1806" t="str">
        <f>"20190312154831922"</f>
        <v>20190312154831922</v>
      </c>
      <c r="B1806" t="str">
        <f>"1552376911917660"</f>
        <v>1552376911917660</v>
      </c>
      <c r="C1806" t="s">
        <v>40</v>
      </c>
      <c r="D1806">
        <v>5.176075</v>
      </c>
      <c r="E1806">
        <v>0.52839459999999905</v>
      </c>
      <c r="F1806" t="s">
        <v>41</v>
      </c>
      <c r="G1806">
        <v>-216.7595</v>
      </c>
      <c r="H1806">
        <v>0.92511699999999997</v>
      </c>
      <c r="I1806">
        <v>284.78339999999997</v>
      </c>
      <c r="J1806">
        <v>-216.2165</v>
      </c>
      <c r="K1806">
        <v>1.109253</v>
      </c>
      <c r="L1806">
        <v>284.72070000000002</v>
      </c>
      <c r="M1806">
        <v>-0.99763489999999999</v>
      </c>
      <c r="N1806">
        <v>0</v>
      </c>
      <c r="O1806">
        <v>-6.7827750000000006E-2</v>
      </c>
      <c r="P1806">
        <v>-0.99952079999999999</v>
      </c>
      <c r="Q1806">
        <v>-3.0709520000000001E-2</v>
      </c>
      <c r="R1806">
        <v>3.9371629999999996E-3</v>
      </c>
      <c r="S1806">
        <v>-2.9776919999999998</v>
      </c>
      <c r="T1806">
        <v>-0.75165199999999999</v>
      </c>
      <c r="U1806">
        <v>0.20626829999999999</v>
      </c>
      <c r="V1806">
        <v>7.1717639999999999E-2</v>
      </c>
      <c r="W1806">
        <v>-1.9637410000000001E-2</v>
      </c>
      <c r="X1806">
        <v>0.99723170000000005</v>
      </c>
      <c r="Y1806">
        <v>0.130421699999999</v>
      </c>
      <c r="Z1806">
        <v>3.3027220000000003E-2</v>
      </c>
      <c r="AA1806">
        <v>0.99090840000000002</v>
      </c>
      <c r="AB1806">
        <v>18</v>
      </c>
      <c r="AC1806">
        <v>-0.54300000000000603</v>
      </c>
      <c r="AD1806">
        <v>-0.18413599999999999</v>
      </c>
      <c r="AE1806">
        <v>6.2699999999949796E-2</v>
      </c>
      <c r="AF1806">
        <v>8.9259075802172697E-2</v>
      </c>
      <c r="AG1806">
        <v>-0.18413599999999999</v>
      </c>
      <c r="AH1806">
        <v>0.48271680057001298</v>
      </c>
      <c r="AI1806">
        <v>110.56101248387699</v>
      </c>
      <c r="AJ1806">
        <v>79.523777987101298</v>
      </c>
      <c r="AK1806">
        <v>0.52429834890223304</v>
      </c>
      <c r="AL1806">
        <v>91.125212977795101</v>
      </c>
      <c r="AM1806">
        <v>85.886556905155402</v>
      </c>
      <c r="AN1806">
        <v>1.0000000556217801</v>
      </c>
    </row>
    <row r="1807" spans="1:40" x14ac:dyDescent="0.25">
      <c r="A1807" t="str">
        <f>"20190312154831956"</f>
        <v>20190312154831956</v>
      </c>
      <c r="B1807" t="str">
        <f>"1552376911947916"</f>
        <v>1552376911947916</v>
      </c>
      <c r="C1807" t="s">
        <v>40</v>
      </c>
      <c r="D1807">
        <v>5.1547839999999896</v>
      </c>
      <c r="E1807">
        <v>0.52873999999999999</v>
      </c>
      <c r="F1807" t="s">
        <v>41</v>
      </c>
      <c r="G1807">
        <v>-216.92009999999999</v>
      </c>
      <c r="H1807">
        <v>0.92914649999999999</v>
      </c>
      <c r="I1807">
        <v>284.77140000000003</v>
      </c>
      <c r="J1807">
        <v>-216.48920000000001</v>
      </c>
      <c r="K1807">
        <v>1.1091709999999999</v>
      </c>
      <c r="L1807">
        <v>284.7029</v>
      </c>
      <c r="M1807">
        <v>-0.99768699999999999</v>
      </c>
      <c r="N1807">
        <v>0</v>
      </c>
      <c r="O1807">
        <v>-6.7189330000000005E-2</v>
      </c>
      <c r="P1807">
        <v>-0.99957700000000005</v>
      </c>
      <c r="Q1807">
        <v>-2.857502E-2</v>
      </c>
      <c r="R1807">
        <v>5.4276569999999998E-3</v>
      </c>
      <c r="S1807">
        <v>-2.9771730000000001</v>
      </c>
      <c r="T1807">
        <v>-0.76220810000000006</v>
      </c>
      <c r="U1807">
        <v>0.21313480000000001</v>
      </c>
      <c r="V1807">
        <v>7.2571289999999997E-2</v>
      </c>
      <c r="W1807">
        <v>-1.831547E-2</v>
      </c>
      <c r="X1807">
        <v>0.9971951</v>
      </c>
      <c r="Y1807">
        <v>0.1318734</v>
      </c>
      <c r="Z1807">
        <v>3.3501999999999997E-2</v>
      </c>
      <c r="AA1807">
        <v>0.99070020000000003</v>
      </c>
      <c r="AB1807">
        <v>18</v>
      </c>
      <c r="AC1807">
        <v>-0.43089999999997902</v>
      </c>
      <c r="AD1807">
        <v>-0.180024499999999</v>
      </c>
      <c r="AE1807">
        <v>6.8500000000028594E-2</v>
      </c>
      <c r="AF1807">
        <v>8.3143877145496495E-2</v>
      </c>
      <c r="AG1807">
        <v>-0.180024499999999</v>
      </c>
      <c r="AH1807">
        <v>0.36344857097923899</v>
      </c>
      <c r="AI1807">
        <v>115.773565413298</v>
      </c>
      <c r="AJ1807">
        <v>77.114523921528502</v>
      </c>
      <c r="AK1807">
        <v>0.41402486477733003</v>
      </c>
      <c r="AL1807">
        <v>91.049457750044894</v>
      </c>
      <c r="AM1807">
        <v>85.837613721821498</v>
      </c>
      <c r="AN1807">
        <v>1.00000005801879</v>
      </c>
    </row>
    <row r="1808" spans="1:40" x14ac:dyDescent="0.25">
      <c r="A1808" t="str">
        <f>"20190312154831977"</f>
        <v>20190312154831977</v>
      </c>
      <c r="B1808" t="str">
        <f>"1552376911967438"</f>
        <v>1552376911967438</v>
      </c>
      <c r="C1808" t="s">
        <v>40</v>
      </c>
      <c r="D1808">
        <v>5.1840679999999999</v>
      </c>
      <c r="E1808">
        <v>0.52886610000000001</v>
      </c>
      <c r="F1808" t="s">
        <v>41</v>
      </c>
      <c r="G1808">
        <v>-217.23570000000001</v>
      </c>
      <c r="H1808">
        <v>0.91777039999999999</v>
      </c>
      <c r="I1808">
        <v>284.75810000000001</v>
      </c>
      <c r="J1808">
        <v>-216.65889999999999</v>
      </c>
      <c r="K1808">
        <v>1.1091470000000001</v>
      </c>
      <c r="L1808">
        <v>284.69200000000001</v>
      </c>
      <c r="M1808">
        <v>-0.99771540000000003</v>
      </c>
      <c r="N1808">
        <v>0</v>
      </c>
      <c r="O1808">
        <v>-6.6836010000000001E-2</v>
      </c>
      <c r="P1808">
        <v>-0.99963250000000003</v>
      </c>
      <c r="Q1808">
        <v>-2.6287330000000001E-2</v>
      </c>
      <c r="R1808">
        <v>6.6188189999999997E-3</v>
      </c>
      <c r="S1808">
        <v>-2.978256</v>
      </c>
      <c r="T1808">
        <v>-0.76356950000000001</v>
      </c>
      <c r="U1808">
        <v>0.21966550000000001</v>
      </c>
      <c r="V1808">
        <v>7.3411669999999998E-2</v>
      </c>
      <c r="W1808">
        <v>-1.6491510000000001E-2</v>
      </c>
      <c r="X1808">
        <v>0.99716539999999998</v>
      </c>
      <c r="Y1808">
        <v>0.13359660000000001</v>
      </c>
      <c r="Z1808">
        <v>3.3673979999999999E-2</v>
      </c>
      <c r="AA1808">
        <v>0.9904636</v>
      </c>
      <c r="AB1808">
        <v>18</v>
      </c>
      <c r="AC1808">
        <v>-0.57680000000001996</v>
      </c>
      <c r="AD1808">
        <v>-0.19137659999999901</v>
      </c>
      <c r="AE1808">
        <v>6.6100000000005807E-2</v>
      </c>
      <c r="AF1808">
        <v>9.4262688318616797E-2</v>
      </c>
      <c r="AG1808">
        <v>-0.19137659999999901</v>
      </c>
      <c r="AH1808">
        <v>0.51512023600147006</v>
      </c>
      <c r="AI1808">
        <v>110.07482963575799</v>
      </c>
      <c r="AJ1808">
        <v>79.630085202044398</v>
      </c>
      <c r="AK1808">
        <v>0.55754758987446396</v>
      </c>
      <c r="AL1808">
        <v>90.944936719564197</v>
      </c>
      <c r="AM1808">
        <v>85.789460431951994</v>
      </c>
      <c r="AN1808">
        <v>1.00000003907571</v>
      </c>
    </row>
    <row r="1809" spans="1:40" x14ac:dyDescent="0.25">
      <c r="A1809" t="str">
        <f>"20190312154831999"</f>
        <v>20190312154831999</v>
      </c>
      <c r="B1809" t="str">
        <f>"1552376911987932"</f>
        <v>1552376911987932</v>
      </c>
      <c r="C1809" t="s">
        <v>40</v>
      </c>
      <c r="D1809">
        <v>5.1521739999999996</v>
      </c>
      <c r="E1809">
        <v>0.52897629999999995</v>
      </c>
      <c r="F1809" t="s">
        <v>41</v>
      </c>
      <c r="G1809">
        <v>-217.39830000000001</v>
      </c>
      <c r="H1809">
        <v>0.9202785</v>
      </c>
      <c r="I1809">
        <v>284.74759999999998</v>
      </c>
      <c r="J1809">
        <v>-216.83930000000001</v>
      </c>
      <c r="K1809">
        <v>1.109135</v>
      </c>
      <c r="L1809">
        <v>284.68029999999999</v>
      </c>
      <c r="M1809">
        <v>-0.99774220000000002</v>
      </c>
      <c r="N1809">
        <v>0</v>
      </c>
      <c r="O1809">
        <v>-6.6501469999999993E-2</v>
      </c>
      <c r="P1809">
        <v>-0.99967320000000004</v>
      </c>
      <c r="Q1809">
        <v>-2.4045279999999999E-2</v>
      </c>
      <c r="R1809">
        <v>8.6897290000000002E-3</v>
      </c>
      <c r="S1809">
        <v>-2.9795989999999999</v>
      </c>
      <c r="T1809">
        <v>-0.7611462</v>
      </c>
      <c r="U1809">
        <v>0.223999</v>
      </c>
      <c r="V1809">
        <v>7.5147779999999997E-2</v>
      </c>
      <c r="W1809">
        <v>-1.4701469999999999E-2</v>
      </c>
      <c r="X1809">
        <v>0.99706410000000001</v>
      </c>
      <c r="Y1809">
        <v>0.13468659999999999</v>
      </c>
      <c r="Z1809">
        <v>3.3607070000000003E-2</v>
      </c>
      <c r="AA1809">
        <v>0.99031820000000004</v>
      </c>
      <c r="AB1809">
        <v>18</v>
      </c>
      <c r="AC1809">
        <v>-0.55899999999999705</v>
      </c>
      <c r="AD1809">
        <v>-0.18885650000000001</v>
      </c>
      <c r="AE1809">
        <v>6.7299999999988799E-2</v>
      </c>
      <c r="AF1809">
        <v>9.3776217807233497E-2</v>
      </c>
      <c r="AG1809">
        <v>-0.18885650000000001</v>
      </c>
      <c r="AH1809">
        <v>0.49733196141587299</v>
      </c>
      <c r="AI1809">
        <v>110.46373696633501</v>
      </c>
      <c r="AJ1809">
        <v>79.321762652496901</v>
      </c>
      <c r="AK1809">
        <v>0.54018500207265996</v>
      </c>
      <c r="AL1809">
        <v>90.842362469620795</v>
      </c>
      <c r="AM1809">
        <v>85.6898201762951</v>
      </c>
      <c r="AN1809">
        <v>1.00000007078394</v>
      </c>
    </row>
    <row r="1810" spans="1:40" x14ac:dyDescent="0.25">
      <c r="A1810" t="str">
        <f>"20190312154832021"</f>
        <v>20190312154832021</v>
      </c>
      <c r="B1810" t="str">
        <f>"1552376912017214"</f>
        <v>1552376912017214</v>
      </c>
      <c r="C1810" t="s">
        <v>40</v>
      </c>
      <c r="D1810">
        <v>5.1044409999999996</v>
      </c>
      <c r="E1810">
        <v>0.52916839999999998</v>
      </c>
      <c r="F1810" t="s">
        <v>41</v>
      </c>
      <c r="G1810">
        <v>-217.56280000000001</v>
      </c>
      <c r="H1810">
        <v>0.92514300000000005</v>
      </c>
      <c r="I1810">
        <v>284.73649999999998</v>
      </c>
      <c r="J1810">
        <v>-217.0163</v>
      </c>
      <c r="K1810">
        <v>1.109148</v>
      </c>
      <c r="L1810">
        <v>284.66879999999998</v>
      </c>
      <c r="M1810">
        <v>-0.99776430000000005</v>
      </c>
      <c r="N1810">
        <v>0</v>
      </c>
      <c r="O1810">
        <v>-6.6224000000000005E-2</v>
      </c>
      <c r="P1810">
        <v>-0.99970130000000001</v>
      </c>
      <c r="Q1810">
        <v>-2.2365019999999999E-2</v>
      </c>
      <c r="R1810">
        <v>9.8775470000000004E-3</v>
      </c>
      <c r="S1810">
        <v>-2.9807589999999999</v>
      </c>
      <c r="T1810">
        <v>-0.75814689999999996</v>
      </c>
      <c r="U1810">
        <v>0.2307129</v>
      </c>
      <c r="V1810">
        <v>7.6058829999999994E-2</v>
      </c>
      <c r="W1810">
        <v>-1.3420690000000001E-2</v>
      </c>
      <c r="X1810">
        <v>0.99701300000000004</v>
      </c>
      <c r="Y1810">
        <v>0.13660359999999999</v>
      </c>
      <c r="Z1810">
        <v>3.3633940000000001E-2</v>
      </c>
      <c r="AA1810">
        <v>0.99005469999999896</v>
      </c>
      <c r="AB1810">
        <v>18</v>
      </c>
      <c r="AC1810">
        <v>-0.54650000000000798</v>
      </c>
      <c r="AD1810">
        <v>-0.184005</v>
      </c>
      <c r="AE1810">
        <v>6.7700000000001995E-2</v>
      </c>
      <c r="AF1810">
        <v>9.3324430597473501E-2</v>
      </c>
      <c r="AG1810">
        <v>-0.184005</v>
      </c>
      <c r="AH1810">
        <v>0.48649836485699999</v>
      </c>
      <c r="AI1810">
        <v>110.377545796993</v>
      </c>
      <c r="AJ1810">
        <v>79.140931496954593</v>
      </c>
      <c r="AK1810">
        <v>0.528439162420687</v>
      </c>
      <c r="AL1810">
        <v>90.768971986867498</v>
      </c>
      <c r="AM1810">
        <v>85.637543728371398</v>
      </c>
      <c r="AN1810">
        <v>0.99999999135502204</v>
      </c>
    </row>
    <row r="1811" spans="1:40" x14ac:dyDescent="0.25">
      <c r="A1811" t="str">
        <f>"20190312154832043"</f>
        <v>20190312154832043</v>
      </c>
      <c r="B1811" t="str">
        <f>"1552376912037708"</f>
        <v>1552376912037708</v>
      </c>
      <c r="C1811" t="s">
        <v>40</v>
      </c>
      <c r="D1811">
        <v>5.1115180000000002</v>
      </c>
      <c r="E1811">
        <v>0.52946719999999903</v>
      </c>
      <c r="F1811" t="s">
        <v>41</v>
      </c>
      <c r="G1811">
        <v>-217.72730000000001</v>
      </c>
      <c r="H1811">
        <v>0.92831350000000001</v>
      </c>
      <c r="I1811">
        <v>284.7251</v>
      </c>
      <c r="J1811">
        <v>-217.20160000000001</v>
      </c>
      <c r="K1811">
        <v>1.109164</v>
      </c>
      <c r="L1811">
        <v>284.65679999999998</v>
      </c>
      <c r="M1811">
        <v>-0.99778290000000003</v>
      </c>
      <c r="N1811">
        <v>0</v>
      </c>
      <c r="O1811">
        <v>-6.5994670000000005E-2</v>
      </c>
      <c r="P1811">
        <v>-0.99972669999999997</v>
      </c>
      <c r="Q1811">
        <v>-2.0428809999999999E-2</v>
      </c>
      <c r="R1811">
        <v>1.1361629999999999E-2</v>
      </c>
      <c r="S1811">
        <v>-2.9816280000000002</v>
      </c>
      <c r="T1811">
        <v>-0.75833329999999999</v>
      </c>
      <c r="U1811">
        <v>0.2351685</v>
      </c>
      <c r="V1811">
        <v>7.7313300000000001E-2</v>
      </c>
      <c r="W1811">
        <v>-1.1858179999999999E-2</v>
      </c>
      <c r="X1811">
        <v>0.9969363</v>
      </c>
      <c r="Y1811">
        <v>0.1377949</v>
      </c>
      <c r="Z1811">
        <v>3.3722349999999998E-2</v>
      </c>
      <c r="AA1811">
        <v>0.9898865</v>
      </c>
      <c r="AB1811">
        <v>18</v>
      </c>
      <c r="AC1811">
        <v>-0.52569999999999995</v>
      </c>
      <c r="AD1811">
        <v>-0.1808505</v>
      </c>
      <c r="AE1811">
        <v>6.8300000000021996E-2</v>
      </c>
      <c r="AF1811">
        <v>9.2124000265543002E-2</v>
      </c>
      <c r="AG1811">
        <v>-0.1808505</v>
      </c>
      <c r="AH1811">
        <v>0.46583093098328199</v>
      </c>
      <c r="AI1811">
        <v>110.849627025058</v>
      </c>
      <c r="AJ1811">
        <v>78.813375851112795</v>
      </c>
      <c r="AK1811">
        <v>0.50812615661460203</v>
      </c>
      <c r="AL1811">
        <v>90.679439608046494</v>
      </c>
      <c r="AM1811">
        <v>85.565536769010095</v>
      </c>
      <c r="AN1811">
        <v>0.99999997452374501</v>
      </c>
    </row>
    <row r="1812" spans="1:40" x14ac:dyDescent="0.25">
      <c r="A1812" t="str">
        <f>"20190312154832243"</f>
        <v>20190312154832243</v>
      </c>
      <c r="B1812" t="str">
        <f>"1552376912237788"</f>
        <v>1552376912237788</v>
      </c>
      <c r="C1812" t="s">
        <v>40</v>
      </c>
      <c r="D1812">
        <v>5.1162330000000003</v>
      </c>
      <c r="E1812">
        <v>0.52828739999999996</v>
      </c>
      <c r="F1812" t="s">
        <v>41</v>
      </c>
      <c r="G1812">
        <v>-219.41220000000001</v>
      </c>
      <c r="H1812">
        <v>0.93058929999999995</v>
      </c>
      <c r="I1812">
        <v>284.61250000000001</v>
      </c>
      <c r="J1812">
        <v>-218.89570000000001</v>
      </c>
      <c r="K1812">
        <v>1.1089869999999999</v>
      </c>
      <c r="L1812">
        <v>284.54509999999999</v>
      </c>
      <c r="M1812">
        <v>-0.99779870000000004</v>
      </c>
      <c r="N1812">
        <v>0</v>
      </c>
      <c r="O1812">
        <v>-6.6068719999999997E-2</v>
      </c>
      <c r="P1812">
        <v>-0.99987060000000005</v>
      </c>
      <c r="Q1812">
        <v>-1.5798510000000002E-2</v>
      </c>
      <c r="R1812">
        <v>3.1113080000000001E-3</v>
      </c>
      <c r="S1812">
        <v>-2.9875340000000001</v>
      </c>
      <c r="T1812">
        <v>-0.74975369999999997</v>
      </c>
      <c r="U1812">
        <v>0.22790530000000001</v>
      </c>
      <c r="V1812">
        <v>6.9167119999999999E-2</v>
      </c>
      <c r="W1812">
        <v>-1.0065080000000001E-2</v>
      </c>
      <c r="X1812">
        <v>0.9975543</v>
      </c>
      <c r="Y1812">
        <v>0.13555420000000001</v>
      </c>
      <c r="Z1812">
        <v>3.3032680000000002E-2</v>
      </c>
      <c r="AA1812">
        <v>0.99021910000000002</v>
      </c>
      <c r="AB1812">
        <v>19</v>
      </c>
      <c r="AC1812">
        <v>-0.51650000000000695</v>
      </c>
      <c r="AD1812">
        <v>-0.17839769999999999</v>
      </c>
      <c r="AE1812">
        <v>6.7400000000020499E-2</v>
      </c>
      <c r="AF1812">
        <v>9.0734466374721406E-2</v>
      </c>
      <c r="AG1812">
        <v>-0.17839769999999999</v>
      </c>
      <c r="AH1812">
        <v>0.457278726632869</v>
      </c>
      <c r="AI1812">
        <v>110.940279714257</v>
      </c>
      <c r="AJ1812">
        <v>78.776992181185506</v>
      </c>
      <c r="AK1812">
        <v>0.49916161369297402</v>
      </c>
      <c r="AL1812">
        <v>90.576696348267802</v>
      </c>
      <c r="AM1812">
        <v>86.033647963641798</v>
      </c>
      <c r="AN1812">
        <v>0.99999998888649499</v>
      </c>
    </row>
    <row r="1813" spans="1:40" x14ac:dyDescent="0.25">
      <c r="A1813" t="str">
        <f>"20190312154832266"</f>
        <v>20190312154832266</v>
      </c>
      <c r="B1813" t="str">
        <f>"1552376912257312"</f>
        <v>1552376912257312</v>
      </c>
      <c r="C1813" t="s">
        <v>40</v>
      </c>
      <c r="D1813">
        <v>5.1922280000000001</v>
      </c>
      <c r="E1813">
        <v>0.52741340000000003</v>
      </c>
      <c r="F1813" t="s">
        <v>41</v>
      </c>
      <c r="G1813">
        <v>-219.58840000000001</v>
      </c>
      <c r="H1813">
        <v>0.93410210000000005</v>
      </c>
      <c r="I1813">
        <v>284.59460000000001</v>
      </c>
      <c r="J1813">
        <v>-219.09280000000001</v>
      </c>
      <c r="K1813">
        <v>1.108905</v>
      </c>
      <c r="L1813">
        <v>284.53199999999998</v>
      </c>
      <c r="M1813">
        <v>-0.99779640000000003</v>
      </c>
      <c r="N1813">
        <v>0</v>
      </c>
      <c r="O1813">
        <v>-6.6140599999999994E-2</v>
      </c>
      <c r="P1813">
        <v>-0.99986589999999997</v>
      </c>
      <c r="Q1813">
        <v>-1.6386979999999999E-2</v>
      </c>
      <c r="R1813" s="1">
        <v>-6.0792309999999998E-5</v>
      </c>
      <c r="S1813">
        <v>-2.9878230000000001</v>
      </c>
      <c r="T1813">
        <v>-0.75449650000000001</v>
      </c>
      <c r="U1813">
        <v>0.21224979999999999</v>
      </c>
      <c r="V1813">
        <v>6.607333E-2</v>
      </c>
      <c r="W1813">
        <v>-1.109547E-2</v>
      </c>
      <c r="X1813">
        <v>0.99775309999999995</v>
      </c>
      <c r="Y1813">
        <v>0.13053139999999999</v>
      </c>
      <c r="Z1813">
        <v>3.2631769999999997E-2</v>
      </c>
      <c r="AA1813">
        <v>0.99090699999999998</v>
      </c>
      <c r="AB1813">
        <v>19</v>
      </c>
      <c r="AC1813">
        <v>-0.49559999999999599</v>
      </c>
      <c r="AD1813">
        <v>-0.17480289999999901</v>
      </c>
      <c r="AE1813">
        <v>6.26000000000317E-2</v>
      </c>
      <c r="AF1813">
        <v>8.4852439272309205E-2</v>
      </c>
      <c r="AG1813">
        <v>-0.17480289999999901</v>
      </c>
      <c r="AH1813">
        <v>0.43687835321308199</v>
      </c>
      <c r="AI1813">
        <v>111.44381719502699</v>
      </c>
      <c r="AJ1813">
        <v>79.0086075456218</v>
      </c>
      <c r="AK1813">
        <v>0.47814086397739097</v>
      </c>
      <c r="AL1813">
        <v>90.635736633714203</v>
      </c>
      <c r="AM1813">
        <v>86.211283601863599</v>
      </c>
      <c r="AN1813">
        <v>1.0000000214757001</v>
      </c>
    </row>
    <row r="1814" spans="1:40" x14ac:dyDescent="0.25">
      <c r="A1814" t="str">
        <f>"20190312154832289"</f>
        <v>20190312154832289</v>
      </c>
      <c r="B1814" t="str">
        <f>"1552376912277805"</f>
        <v>1552376912277805</v>
      </c>
      <c r="C1814" t="s">
        <v>40</v>
      </c>
      <c r="D1814">
        <v>5.2480669999999998</v>
      </c>
      <c r="E1814">
        <v>0.52646630000000005</v>
      </c>
      <c r="F1814" t="s">
        <v>41</v>
      </c>
      <c r="G1814">
        <v>-219.93100000000001</v>
      </c>
      <c r="H1814">
        <v>0.90183880000000005</v>
      </c>
      <c r="I1814">
        <v>284.58710000000002</v>
      </c>
      <c r="J1814">
        <v>-219.2989</v>
      </c>
      <c r="K1814">
        <v>1.108811</v>
      </c>
      <c r="L1814">
        <v>284.51819999999998</v>
      </c>
      <c r="M1814">
        <v>-0.99779439999999997</v>
      </c>
      <c r="N1814">
        <v>0</v>
      </c>
      <c r="O1814">
        <v>-6.6208500000000003E-2</v>
      </c>
      <c r="P1814">
        <v>-0.99985880000000005</v>
      </c>
      <c r="Q1814">
        <v>-1.669294E-2</v>
      </c>
      <c r="R1814">
        <v>-1.9933429999999999E-3</v>
      </c>
      <c r="S1814">
        <v>-2.9882970000000002</v>
      </c>
      <c r="T1814">
        <v>-0.73832169999999997</v>
      </c>
      <c r="U1814">
        <v>0.1959534</v>
      </c>
      <c r="V1814">
        <v>6.4212229999999995E-2</v>
      </c>
      <c r="W1814">
        <v>-1.1903520000000001E-2</v>
      </c>
      <c r="X1814">
        <v>0.99786529999999996</v>
      </c>
      <c r="Y1814">
        <v>0.1256091</v>
      </c>
      <c r="Z1814">
        <v>3.1370839999999997E-2</v>
      </c>
      <c r="AA1814">
        <v>0.99158369999999996</v>
      </c>
      <c r="AB1814">
        <v>20</v>
      </c>
      <c r="AC1814">
        <v>-0.63209999999997901</v>
      </c>
      <c r="AD1814">
        <v>-0.206972199999999</v>
      </c>
      <c r="AE1814">
        <v>6.89000000000419E-2</v>
      </c>
      <c r="AF1814">
        <v>0.100003754437304</v>
      </c>
      <c r="AG1814">
        <v>-0.206972199999999</v>
      </c>
      <c r="AH1814">
        <v>0.56616319029550699</v>
      </c>
      <c r="AI1814">
        <v>109.79872972492799</v>
      </c>
      <c r="AJ1814">
        <v>79.982932028268294</v>
      </c>
      <c r="AK1814">
        <v>0.611047461757254</v>
      </c>
      <c r="AL1814">
        <v>90.682037543867807</v>
      </c>
      <c r="AM1814">
        <v>86.318116142285803</v>
      </c>
      <c r="AN1814">
        <v>1.00000003060702</v>
      </c>
    </row>
    <row r="1815" spans="1:40" x14ac:dyDescent="0.25">
      <c r="A1815" t="str">
        <f>"20190312154832310"</f>
        <v>20190312154832310</v>
      </c>
      <c r="B1815" t="str">
        <f>"1552376912308060"</f>
        <v>1552376912308060</v>
      </c>
      <c r="C1815" t="s">
        <v>40</v>
      </c>
      <c r="D1815">
        <v>5.0751239999999997</v>
      </c>
      <c r="E1815">
        <v>0.50707269999999904</v>
      </c>
      <c r="F1815" t="s">
        <v>41</v>
      </c>
      <c r="G1815">
        <v>-220.11619999999999</v>
      </c>
      <c r="H1815">
        <v>0.91540980000000005</v>
      </c>
      <c r="I1815">
        <v>284.56849999999997</v>
      </c>
      <c r="J1815">
        <v>-219.4957</v>
      </c>
      <c r="K1815">
        <v>1.1087320000000001</v>
      </c>
      <c r="L1815">
        <v>284.50510000000003</v>
      </c>
      <c r="M1815">
        <v>-0.99779240000000002</v>
      </c>
      <c r="N1815">
        <v>0</v>
      </c>
      <c r="O1815">
        <v>-6.6269030000000007E-2</v>
      </c>
      <c r="P1815">
        <v>-0.99986059999999999</v>
      </c>
      <c r="Q1815">
        <v>-1.6544860000000002E-2</v>
      </c>
      <c r="R1815">
        <v>-2.1516619999999999E-3</v>
      </c>
      <c r="S1815">
        <v>-2.988998</v>
      </c>
      <c r="T1815">
        <v>-0.70731140000000003</v>
      </c>
      <c r="U1815">
        <v>0.1834412</v>
      </c>
      <c r="V1815">
        <v>6.4114409999999997E-2</v>
      </c>
      <c r="W1815">
        <v>-1.2247630000000001E-2</v>
      </c>
      <c r="X1815">
        <v>0.99786739999999996</v>
      </c>
      <c r="Y1815">
        <v>0.1220816</v>
      </c>
      <c r="Z1815">
        <v>2.96885E-2</v>
      </c>
      <c r="AA1815">
        <v>0.99207590000000001</v>
      </c>
      <c r="AB1815">
        <v>20</v>
      </c>
      <c r="AC1815">
        <v>-0.62049999999999195</v>
      </c>
      <c r="AD1815">
        <v>-0.1933222</v>
      </c>
      <c r="AE1815">
        <v>6.3399999999944598E-2</v>
      </c>
      <c r="AF1815">
        <v>9.5232363428323696E-2</v>
      </c>
      <c r="AG1815">
        <v>-0.1933222</v>
      </c>
      <c r="AH1815">
        <v>0.56103786352266904</v>
      </c>
      <c r="AI1815">
        <v>108.763662461114</v>
      </c>
      <c r="AJ1815">
        <v>80.3662554540945</v>
      </c>
      <c r="AK1815">
        <v>0.60100429313197501</v>
      </c>
      <c r="AL1815">
        <v>90.701755049672698</v>
      </c>
      <c r="AM1815">
        <v>86.323717393977702</v>
      </c>
      <c r="AN1815">
        <v>1.0000000049965101</v>
      </c>
    </row>
    <row r="1816" spans="1:40" x14ac:dyDescent="0.25">
      <c r="A1816" t="str">
        <f>"20190312154832336"</f>
        <v>20190312154832336</v>
      </c>
      <c r="B1816" t="str">
        <f>"1552376912327580"</f>
        <v>1552376912327580</v>
      </c>
      <c r="C1816" t="s">
        <v>40</v>
      </c>
      <c r="D1816">
        <v>5.050535</v>
      </c>
      <c r="E1816">
        <v>0.51004139999999998</v>
      </c>
      <c r="F1816" t="s">
        <v>48</v>
      </c>
      <c r="G1816">
        <v>0</v>
      </c>
      <c r="H1816">
        <v>0</v>
      </c>
      <c r="I1816">
        <v>0</v>
      </c>
      <c r="J1816">
        <v>-219.72059999999999</v>
      </c>
      <c r="K1816">
        <v>1.1086549999999999</v>
      </c>
      <c r="L1816">
        <v>284.49009999999998</v>
      </c>
      <c r="M1816">
        <v>-0.99779059999999997</v>
      </c>
      <c r="N1816">
        <v>0</v>
      </c>
      <c r="O1816">
        <v>-6.6334580000000004E-2</v>
      </c>
      <c r="P1816">
        <v>-0.99986600000000003</v>
      </c>
      <c r="Q1816">
        <v>-1.6306600000000001E-2</v>
      </c>
      <c r="R1816">
        <v>-1.5296699999999999E-3</v>
      </c>
      <c r="S1816">
        <v>-3.0014799999999999</v>
      </c>
      <c r="T1816">
        <v>5.8823470000000003E-2</v>
      </c>
      <c r="U1816">
        <v>5.3558349999999998E-2</v>
      </c>
      <c r="V1816">
        <v>6.4800869999999997E-2</v>
      </c>
      <c r="W1816">
        <v>-1.256084E-2</v>
      </c>
      <c r="X1816">
        <v>0.99781920000000002</v>
      </c>
      <c r="Y1816">
        <v>8.4097450000000004E-2</v>
      </c>
      <c r="Z1816">
        <v>-2.1232239999999999E-3</v>
      </c>
      <c r="AA1816">
        <v>0.99645530000000004</v>
      </c>
      <c r="AB1816">
        <v>20</v>
      </c>
      <c r="AC1816">
        <v>-3.0014799999999999</v>
      </c>
      <c r="AD1816">
        <v>5.8823470000000003E-2</v>
      </c>
      <c r="AE1816">
        <v>5.3558349999999998E-2</v>
      </c>
      <c r="AF1816">
        <v>0.25244672515966499</v>
      </c>
      <c r="AG1816">
        <v>5.8823470000000003E-2</v>
      </c>
      <c r="AH1816">
        <v>2.99016804222066</v>
      </c>
      <c r="AI1816">
        <v>88.876999907165199</v>
      </c>
      <c r="AJ1816">
        <v>85.1742133953327</v>
      </c>
      <c r="AK1816">
        <v>3.0013820933670599</v>
      </c>
      <c r="AL1816">
        <v>90.719702015121797</v>
      </c>
      <c r="AM1816">
        <v>86.284286879821096</v>
      </c>
      <c r="AN1816">
        <v>1.0000000416714501</v>
      </c>
    </row>
    <row r="1817" spans="1:40" x14ac:dyDescent="0.25">
      <c r="A1817" t="str">
        <f>"20190312154832357"</f>
        <v>20190312154832357</v>
      </c>
      <c r="B1817" t="str">
        <f>"1552376912348077"</f>
        <v>1552376912348077</v>
      </c>
      <c r="C1817" t="s">
        <v>40</v>
      </c>
      <c r="D1817">
        <v>5.0802239999999896</v>
      </c>
      <c r="E1817">
        <v>0.5115613</v>
      </c>
      <c r="F1817" t="s">
        <v>50</v>
      </c>
      <c r="G1817">
        <v>-337.09660000000002</v>
      </c>
      <c r="H1817" s="1">
        <v>2.114998E-6</v>
      </c>
      <c r="I1817">
        <v>287.46789999999999</v>
      </c>
      <c r="J1817">
        <v>-219.922</v>
      </c>
      <c r="K1817">
        <v>1.1085830000000001</v>
      </c>
      <c r="L1817">
        <v>284.47660000000002</v>
      </c>
      <c r="M1817">
        <v>-0.99778840000000002</v>
      </c>
      <c r="N1817">
        <v>0</v>
      </c>
      <c r="O1817">
        <v>-6.6390160000000004E-2</v>
      </c>
      <c r="P1817">
        <v>-0.99986830000000004</v>
      </c>
      <c r="Q1817">
        <v>-1.6215770000000001E-2</v>
      </c>
      <c r="R1817">
        <v>-6.2796059999999999E-4</v>
      </c>
      <c r="S1817">
        <v>-3.0000610000000001</v>
      </c>
      <c r="T1817">
        <v>-2.833652E-2</v>
      </c>
      <c r="U1817">
        <v>7.6110839999999999E-2</v>
      </c>
      <c r="V1817">
        <v>6.5756159999999994E-2</v>
      </c>
      <c r="W1817">
        <v>-1.293804E-2</v>
      </c>
      <c r="X1817">
        <v>0.99775179999999997</v>
      </c>
      <c r="Y1817">
        <v>9.1667780000000004E-2</v>
      </c>
      <c r="Z1817">
        <v>1.0595870000000001E-3</v>
      </c>
      <c r="AA1817">
        <v>0.99578909999999998</v>
      </c>
      <c r="AB1817">
        <v>20</v>
      </c>
      <c r="AC1817">
        <v>-117.1746</v>
      </c>
      <c r="AD1817">
        <v>-1.108580885002</v>
      </c>
      <c r="AE1817">
        <v>2.9912999999999599</v>
      </c>
      <c r="AF1817">
        <v>10.7630194685844</v>
      </c>
      <c r="AG1817">
        <v>-1.108580885002</v>
      </c>
      <c r="AH1817">
        <v>116.70704605706101</v>
      </c>
      <c r="AI1817">
        <v>90.541927217446698</v>
      </c>
      <c r="AJ1817">
        <v>84.730942095377003</v>
      </c>
      <c r="AK1817">
        <v>117.207534480615</v>
      </c>
      <c r="AL1817">
        <v>90.741315799688607</v>
      </c>
      <c r="AM1817">
        <v>86.229412984974402</v>
      </c>
      <c r="AN1817">
        <v>0.99999995993011204</v>
      </c>
    </row>
    <row r="1818" spans="1:40" x14ac:dyDescent="0.25">
      <c r="A1818" t="str">
        <f>"20190312154832378"</f>
        <v>20190312154832378</v>
      </c>
      <c r="B1818" t="str">
        <f>"1552376912367600"</f>
        <v>1552376912367600</v>
      </c>
      <c r="C1818" t="s">
        <v>40</v>
      </c>
      <c r="D1818">
        <v>5.0964539999999996</v>
      </c>
      <c r="E1818">
        <v>0.51162299999999905</v>
      </c>
      <c r="F1818" t="s">
        <v>51</v>
      </c>
      <c r="G1818">
        <v>-289.32569999999998</v>
      </c>
      <c r="H1818" s="1">
        <v>3.8632830000000001E-6</v>
      </c>
      <c r="I1818">
        <v>286.56880000000001</v>
      </c>
      <c r="J1818">
        <v>-220.12379999999999</v>
      </c>
      <c r="K1818">
        <v>1.1085179999999999</v>
      </c>
      <c r="L1818">
        <v>284.4631</v>
      </c>
      <c r="M1818">
        <v>-0.99778619999999996</v>
      </c>
      <c r="N1818">
        <v>0</v>
      </c>
      <c r="O1818">
        <v>-6.644506E-2</v>
      </c>
      <c r="P1818">
        <v>-0.9998745</v>
      </c>
      <c r="Q1818">
        <v>-1.5845689999999999E-2</v>
      </c>
      <c r="R1818">
        <v>-3.9931189999999999E-4</v>
      </c>
      <c r="S1818">
        <v>-2.9996800000000001</v>
      </c>
      <c r="T1818">
        <v>-4.7913669999999998E-2</v>
      </c>
      <c r="U1818">
        <v>9.0423580000000003E-2</v>
      </c>
      <c r="V1818">
        <v>6.6039410000000007E-2</v>
      </c>
      <c r="W1818">
        <v>-1.3002379999999999E-2</v>
      </c>
      <c r="X1818">
        <v>0.99773230000000002</v>
      </c>
      <c r="Y1818">
        <v>9.6458530000000001E-2</v>
      </c>
      <c r="Z1818">
        <v>1.8308350000000001E-3</v>
      </c>
      <c r="AA1818">
        <v>0.99533530000000003</v>
      </c>
      <c r="AB1818">
        <v>21</v>
      </c>
      <c r="AC1818">
        <v>-69.201899999999995</v>
      </c>
      <c r="AD1818">
        <v>-1.1085141367169999</v>
      </c>
      <c r="AE1818">
        <v>2.1057000000000099</v>
      </c>
      <c r="AF1818">
        <v>6.6974718275643301</v>
      </c>
      <c r="AG1818">
        <v>-1.1085141367169999</v>
      </c>
      <c r="AH1818">
        <v>68.8913938365977</v>
      </c>
      <c r="AI1818">
        <v>90.917527486162896</v>
      </c>
      <c r="AJ1818">
        <v>84.447278255658006</v>
      </c>
      <c r="AK1818">
        <v>69.225061048882694</v>
      </c>
      <c r="AL1818">
        <v>90.745002487563497</v>
      </c>
      <c r="AM1818">
        <v>86.2131442366437</v>
      </c>
      <c r="AN1818">
        <v>1.0000000040110499</v>
      </c>
    </row>
    <row r="1819" spans="1:40" x14ac:dyDescent="0.25">
      <c r="A1819" t="str">
        <f>"20190312154832399"</f>
        <v>20190312154832399</v>
      </c>
      <c r="B1819" t="str">
        <f>"1552376912388093"</f>
        <v>1552376912388093</v>
      </c>
      <c r="C1819" t="s">
        <v>40</v>
      </c>
      <c r="D1819">
        <v>5.12425</v>
      </c>
      <c r="E1819">
        <v>0.50982759999999905</v>
      </c>
      <c r="F1819" t="s">
        <v>50</v>
      </c>
      <c r="G1819">
        <v>-275.28109999999998</v>
      </c>
      <c r="H1819" s="1">
        <v>1.2069700000000001E-6</v>
      </c>
      <c r="I1819">
        <v>286.14</v>
      </c>
      <c r="J1819">
        <v>-220.3246</v>
      </c>
      <c r="K1819">
        <v>1.1084670000000001</v>
      </c>
      <c r="L1819">
        <v>284.44970000000001</v>
      </c>
      <c r="M1819">
        <v>-0.99778359999999999</v>
      </c>
      <c r="N1819">
        <v>0</v>
      </c>
      <c r="O1819">
        <v>-6.6498199999999993E-2</v>
      </c>
      <c r="P1819">
        <v>-0.99988010000000005</v>
      </c>
      <c r="Q1819">
        <v>-1.548416E-2</v>
      </c>
      <c r="R1819">
        <v>-3.4807259999999999E-4</v>
      </c>
      <c r="S1819">
        <v>-2.9994809999999998</v>
      </c>
      <c r="T1819">
        <v>-6.0281630000000003E-2</v>
      </c>
      <c r="U1819">
        <v>9.1186519999999993E-2</v>
      </c>
      <c r="V1819">
        <v>6.6143779999999999E-2</v>
      </c>
      <c r="W1819">
        <v>-1.30344E-2</v>
      </c>
      <c r="X1819">
        <v>0.99772499999999997</v>
      </c>
      <c r="Y1819">
        <v>9.6754240000000005E-2</v>
      </c>
      <c r="Z1819">
        <v>2.3075249999999999E-3</v>
      </c>
      <c r="AA1819">
        <v>0.99530569999999896</v>
      </c>
      <c r="AB1819">
        <v>21</v>
      </c>
      <c r="AC1819">
        <v>-54.956499999999899</v>
      </c>
      <c r="AD1819">
        <v>-1.1084657930299999</v>
      </c>
      <c r="AE1819">
        <v>1.6902999999999699</v>
      </c>
      <c r="AF1819">
        <v>5.3389076995803597</v>
      </c>
      <c r="AG1819">
        <v>-1.1084657930299999</v>
      </c>
      <c r="AH1819">
        <v>54.700220981703303</v>
      </c>
      <c r="AI1819">
        <v>91.155415372089493</v>
      </c>
      <c r="AJ1819">
        <v>84.4254149800215</v>
      </c>
      <c r="AK1819">
        <v>54.971327137755502</v>
      </c>
      <c r="AL1819">
        <v>90.746837230440406</v>
      </c>
      <c r="AM1819">
        <v>86.207149199496399</v>
      </c>
      <c r="AN1819">
        <v>1.0000000354205201</v>
      </c>
    </row>
    <row r="1820" spans="1:40" x14ac:dyDescent="0.25">
      <c r="A1820" t="str">
        <f>"20190312154832424"</f>
        <v>20190312154832424</v>
      </c>
      <c r="B1820" t="str">
        <f>"1552376912417373"</f>
        <v>1552376912417373</v>
      </c>
      <c r="C1820" t="s">
        <v>40</v>
      </c>
      <c r="D1820">
        <v>5.1078869999999998</v>
      </c>
      <c r="E1820">
        <v>0.50928689999999999</v>
      </c>
      <c r="F1820" t="s">
        <v>50</v>
      </c>
      <c r="G1820">
        <v>-263.20780000000002</v>
      </c>
      <c r="H1820" s="1">
        <v>1.7023899999999999E-7</v>
      </c>
      <c r="I1820">
        <v>285.5401</v>
      </c>
      <c r="J1820">
        <v>-220.55549999999999</v>
      </c>
      <c r="K1820">
        <v>1.108411</v>
      </c>
      <c r="L1820">
        <v>284.43419999999998</v>
      </c>
      <c r="M1820">
        <v>-0.99778040000000001</v>
      </c>
      <c r="N1820">
        <v>0</v>
      </c>
      <c r="O1820">
        <v>-6.6559389999999996E-2</v>
      </c>
      <c r="P1820">
        <v>-0.99989119999999998</v>
      </c>
      <c r="Q1820">
        <v>-1.4740029999999999E-2</v>
      </c>
      <c r="R1820">
        <v>-8.0935009999999995E-4</v>
      </c>
      <c r="S1820">
        <v>-2.9991910000000002</v>
      </c>
      <c r="T1820">
        <v>-7.7524540000000003E-2</v>
      </c>
      <c r="U1820">
        <v>7.6263429999999993E-2</v>
      </c>
      <c r="V1820">
        <v>6.5745479999999995E-2</v>
      </c>
      <c r="W1820">
        <v>-1.2695390000000001E-2</v>
      </c>
      <c r="X1820">
        <v>0.99775559999999996</v>
      </c>
      <c r="Y1820">
        <v>9.1848540000000006E-2</v>
      </c>
      <c r="Z1820">
        <v>2.9059889999999999E-3</v>
      </c>
      <c r="AA1820">
        <v>0.99576869999999995</v>
      </c>
      <c r="AB1820">
        <v>21</v>
      </c>
      <c r="AC1820">
        <v>-42.652299999999997</v>
      </c>
      <c r="AD1820">
        <v>-1.108410829761</v>
      </c>
      <c r="AE1820">
        <v>1.1059000000000101</v>
      </c>
      <c r="AF1820">
        <v>3.93970572017929</v>
      </c>
      <c r="AG1820">
        <v>-1.108410829761</v>
      </c>
      <c r="AH1820">
        <v>42.455456245078402</v>
      </c>
      <c r="AI1820">
        <v>91.489121722345104</v>
      </c>
      <c r="AJ1820">
        <v>84.698351379667798</v>
      </c>
      <c r="AK1820">
        <v>42.652263957578</v>
      </c>
      <c r="AL1820">
        <v>90.727411851242707</v>
      </c>
      <c r="AM1820">
        <v>86.230037947608906</v>
      </c>
      <c r="AN1820">
        <v>0.99999993919951902</v>
      </c>
    </row>
    <row r="1821" spans="1:40" x14ac:dyDescent="0.25">
      <c r="A1821" t="str">
        <f>"20190312154832445"</f>
        <v>20190312154832445</v>
      </c>
      <c r="B1821" t="str">
        <f>"1552376912437869"</f>
        <v>1552376912437869</v>
      </c>
      <c r="C1821" t="s">
        <v>40</v>
      </c>
      <c r="D1821">
        <v>5.1240870000000003</v>
      </c>
      <c r="E1821">
        <v>0.50832520000000003</v>
      </c>
      <c r="F1821" t="s">
        <v>50</v>
      </c>
      <c r="G1821">
        <v>-260.60379999999998</v>
      </c>
      <c r="H1821" s="1">
        <v>-1.215461E-6</v>
      </c>
      <c r="I1821">
        <v>285.37349999999998</v>
      </c>
      <c r="J1821">
        <v>-220.76439999999999</v>
      </c>
      <c r="K1821">
        <v>1.108379</v>
      </c>
      <c r="L1821">
        <v>284.42020000000002</v>
      </c>
      <c r="M1821">
        <v>-0.99777740000000004</v>
      </c>
      <c r="N1821">
        <v>0</v>
      </c>
      <c r="O1821">
        <v>-6.6614399999999893E-2</v>
      </c>
      <c r="P1821">
        <v>-0.99990029999999996</v>
      </c>
      <c r="Q1821">
        <v>-1.407514E-2</v>
      </c>
      <c r="R1821">
        <v>-1.2202139999999901E-3</v>
      </c>
      <c r="S1821">
        <v>-2.9991759999999998</v>
      </c>
      <c r="T1821">
        <v>-8.3007689999999995E-2</v>
      </c>
      <c r="U1821">
        <v>7.0343020000000006E-2</v>
      </c>
      <c r="V1821">
        <v>6.5391089999999999E-2</v>
      </c>
      <c r="W1821">
        <v>-1.235055E-2</v>
      </c>
      <c r="X1821">
        <v>0.99778330000000004</v>
      </c>
      <c r="Y1821">
        <v>8.9931849999999994E-2</v>
      </c>
      <c r="Z1821">
        <v>3.086512E-3</v>
      </c>
      <c r="AA1821">
        <v>0.99594309999999997</v>
      </c>
      <c r="AB1821">
        <v>21</v>
      </c>
      <c r="AC1821">
        <v>-39.839399999999898</v>
      </c>
      <c r="AD1821">
        <v>-1.1083802154610001</v>
      </c>
      <c r="AE1821">
        <v>0.95329999999995496</v>
      </c>
      <c r="AF1821">
        <v>3.6022772993680801</v>
      </c>
      <c r="AG1821">
        <v>-1.1083802154610001</v>
      </c>
      <c r="AH1821">
        <v>39.6567271241451</v>
      </c>
      <c r="AI1821">
        <v>91.594402689550407</v>
      </c>
      <c r="AJ1821">
        <v>84.809697604998604</v>
      </c>
      <c r="AK1821">
        <v>39.835422862603998</v>
      </c>
      <c r="AL1821">
        <v>90.707652365119003</v>
      </c>
      <c r="AM1821">
        <v>86.250404966323501</v>
      </c>
      <c r="AN1821">
        <v>1.0000000222477901</v>
      </c>
    </row>
    <row r="1822" spans="1:40" x14ac:dyDescent="0.25">
      <c r="A1822" t="str">
        <f>"20190312154832468"</f>
        <v>20190312154832468</v>
      </c>
      <c r="B1822" t="str">
        <f>"1552376912457389"</f>
        <v>1552376912457389</v>
      </c>
      <c r="C1822" t="s">
        <v>40</v>
      </c>
      <c r="D1822">
        <v>5.136647</v>
      </c>
      <c r="E1822">
        <v>0.50771599999999995</v>
      </c>
      <c r="F1822" t="s">
        <v>50</v>
      </c>
      <c r="G1822">
        <v>-256.86689999999999</v>
      </c>
      <c r="H1822" s="1">
        <v>2.117461E-6</v>
      </c>
      <c r="I1822">
        <v>285.15679999999998</v>
      </c>
      <c r="J1822">
        <v>-220.9821</v>
      </c>
      <c r="K1822">
        <v>1.108347</v>
      </c>
      <c r="L1822">
        <v>284.40559999999999</v>
      </c>
      <c r="M1822">
        <v>-0.9977741</v>
      </c>
      <c r="N1822">
        <v>0</v>
      </c>
      <c r="O1822">
        <v>-6.6671889999999998E-2</v>
      </c>
      <c r="P1822">
        <v>-0.99991169999999996</v>
      </c>
      <c r="Q1822">
        <v>-1.326008E-2</v>
      </c>
      <c r="R1822">
        <v>-1.0019E-3</v>
      </c>
      <c r="S1822">
        <v>-2.9990839999999999</v>
      </c>
      <c r="T1822">
        <v>-9.2074160000000002E-2</v>
      </c>
      <c r="U1822">
        <v>6.1187739999999997E-2</v>
      </c>
      <c r="V1822">
        <v>6.56669E-2</v>
      </c>
      <c r="W1822">
        <v>-1.182569E-2</v>
      </c>
      <c r="X1822">
        <v>0.99777150000000003</v>
      </c>
      <c r="Y1822">
        <v>8.6938260000000003E-2</v>
      </c>
      <c r="Z1822">
        <v>3.3794749999999998E-3</v>
      </c>
      <c r="AA1822">
        <v>0.99620799999999998</v>
      </c>
      <c r="AB1822">
        <v>22</v>
      </c>
      <c r="AC1822">
        <v>-35.884799999999899</v>
      </c>
      <c r="AD1822">
        <v>-1.1083448825390001</v>
      </c>
      <c r="AE1822">
        <v>0.75119999999998199</v>
      </c>
      <c r="AF1822">
        <v>3.1390448179462198</v>
      </c>
      <c r="AG1822">
        <v>-1.1083448825390001</v>
      </c>
      <c r="AH1822">
        <v>35.720809382692998</v>
      </c>
      <c r="AI1822">
        <v>91.770384343127901</v>
      </c>
      <c r="AJ1822">
        <v>84.977908175930196</v>
      </c>
      <c r="AK1822">
        <v>35.875594123337002</v>
      </c>
      <c r="AL1822">
        <v>90.677577935598805</v>
      </c>
      <c r="AM1822">
        <v>86.234590724940901</v>
      </c>
      <c r="AN1822">
        <v>0.99999997745591696</v>
      </c>
    </row>
    <row r="1823" spans="1:40" x14ac:dyDescent="0.25">
      <c r="A1823" t="str">
        <f>"20190312154832489"</f>
        <v>20190312154832489</v>
      </c>
      <c r="B1823" t="str">
        <f>"1552376912477884"</f>
        <v>1552376912477884</v>
      </c>
      <c r="C1823" t="s">
        <v>40</v>
      </c>
      <c r="D1823">
        <v>5.1014220000000003</v>
      </c>
      <c r="E1823">
        <v>0.50720069999999995</v>
      </c>
      <c r="F1823" t="s">
        <v>50</v>
      </c>
      <c r="G1823">
        <v>-256.79250000000002</v>
      </c>
      <c r="H1823" s="1">
        <v>2.0778490000000001E-6</v>
      </c>
      <c r="I1823">
        <v>285.08409999999998</v>
      </c>
      <c r="J1823">
        <v>-221.19649999999999</v>
      </c>
      <c r="K1823">
        <v>1.1083270000000001</v>
      </c>
      <c r="L1823">
        <v>284.39120000000003</v>
      </c>
      <c r="M1823">
        <v>-0.9977705</v>
      </c>
      <c r="N1823">
        <v>0</v>
      </c>
      <c r="O1823">
        <v>-6.6729540000000004E-2</v>
      </c>
      <c r="P1823">
        <v>-0.99992219999999998</v>
      </c>
      <c r="Q1823">
        <v>-1.249013E-2</v>
      </c>
      <c r="R1823">
        <v>-3.218834E-4</v>
      </c>
      <c r="S1823">
        <v>-2.9990999999999999</v>
      </c>
      <c r="T1823">
        <v>-9.2823269999999999E-2</v>
      </c>
      <c r="U1823">
        <v>5.6823730000000003E-2</v>
      </c>
      <c r="V1823">
        <v>6.6403760000000006E-2</v>
      </c>
      <c r="W1823">
        <v>-1.130683E-2</v>
      </c>
      <c r="X1823">
        <v>0.99772879999999997</v>
      </c>
      <c r="Y1823">
        <v>8.554602E-2</v>
      </c>
      <c r="Z1823">
        <v>3.3872049999999999E-3</v>
      </c>
      <c r="AA1823">
        <v>0.99632849999999995</v>
      </c>
      <c r="AB1823">
        <v>22</v>
      </c>
      <c r="AC1823">
        <v>-35.595999999999997</v>
      </c>
      <c r="AD1823">
        <v>-1.1083249221510001</v>
      </c>
      <c r="AE1823">
        <v>0.692899999999951</v>
      </c>
      <c r="AF1823">
        <v>3.0636927063694102</v>
      </c>
      <c r="AG1823">
        <v>-1.1083249221510001</v>
      </c>
      <c r="AH1823">
        <v>35.436082060608697</v>
      </c>
      <c r="AI1823">
        <v>91.784787167580205</v>
      </c>
      <c r="AJ1823">
        <v>85.058673640932696</v>
      </c>
      <c r="AK1823">
        <v>35.5855379183498</v>
      </c>
      <c r="AL1823">
        <v>90.647847423001707</v>
      </c>
      <c r="AM1823">
        <v>86.192299521817105</v>
      </c>
      <c r="AN1823">
        <v>1.0000000310481101</v>
      </c>
    </row>
    <row r="1824" spans="1:40" x14ac:dyDescent="0.25">
      <c r="A1824" t="str">
        <f>"20190312154832513"</f>
        <v>20190312154832513</v>
      </c>
      <c r="B1824" t="str">
        <f>"1552376912508141"</f>
        <v>1552376912508141</v>
      </c>
      <c r="C1824" t="s">
        <v>40</v>
      </c>
      <c r="D1824">
        <v>5.1252519999999997</v>
      </c>
      <c r="E1824">
        <v>0.50659549999999998</v>
      </c>
      <c r="F1824" t="s">
        <v>50</v>
      </c>
      <c r="G1824">
        <v>-256.90690000000001</v>
      </c>
      <c r="H1824" s="1">
        <v>2.138718E-6</v>
      </c>
      <c r="I1824">
        <v>285.04349999999999</v>
      </c>
      <c r="J1824">
        <v>-221.4271</v>
      </c>
      <c r="K1824">
        <v>1.108309</v>
      </c>
      <c r="L1824">
        <v>284.37580000000003</v>
      </c>
      <c r="M1824">
        <v>-0.99776659999999995</v>
      </c>
      <c r="N1824">
        <v>0</v>
      </c>
      <c r="O1824">
        <v>-6.6791530000000002E-2</v>
      </c>
      <c r="P1824">
        <v>-0.99992780000000003</v>
      </c>
      <c r="Q1824">
        <v>-1.200676E-2</v>
      </c>
      <c r="R1824">
        <v>8.3562939999999998E-4</v>
      </c>
      <c r="S1824">
        <v>-2.9990839999999999</v>
      </c>
      <c r="T1824">
        <v>-9.3081120000000003E-2</v>
      </c>
      <c r="U1824">
        <v>5.4779050000000003E-2</v>
      </c>
      <c r="V1824">
        <v>6.7621130000000002E-2</v>
      </c>
      <c r="W1824">
        <v>-1.105857E-2</v>
      </c>
      <c r="X1824">
        <v>0.99764980000000003</v>
      </c>
      <c r="Y1824">
        <v>8.4928829999999997E-2</v>
      </c>
      <c r="Z1824">
        <v>3.3889829999999999E-3</v>
      </c>
      <c r="AA1824">
        <v>0.99638130000000003</v>
      </c>
      <c r="AB1824">
        <v>22</v>
      </c>
      <c r="AC1824">
        <v>-35.479799999999997</v>
      </c>
      <c r="AD1824">
        <v>-1.108306861282</v>
      </c>
      <c r="AE1824">
        <v>0.66769999999996799</v>
      </c>
      <c r="AF1824">
        <v>3.0330014188404699</v>
      </c>
      <c r="AG1824">
        <v>-1.108306861282</v>
      </c>
      <c r="AH1824">
        <v>35.321520853613201</v>
      </c>
      <c r="AI1824">
        <v>91.790633060414606</v>
      </c>
      <c r="AJ1824">
        <v>85.092143674902601</v>
      </c>
      <c r="AK1824">
        <v>35.468821197182301</v>
      </c>
      <c r="AL1824">
        <v>90.633622293045207</v>
      </c>
      <c r="AM1824">
        <v>86.1223984510939</v>
      </c>
      <c r="AN1824">
        <v>1.0000000163164799</v>
      </c>
    </row>
    <row r="1825" spans="1:40" x14ac:dyDescent="0.25">
      <c r="A1825" t="str">
        <f>"20190312154832535"</f>
        <v>20190312154832535</v>
      </c>
      <c r="B1825" t="str">
        <f>"1552376912527660"</f>
        <v>1552376912527660</v>
      </c>
      <c r="C1825" t="s">
        <v>40</v>
      </c>
      <c r="D1825">
        <v>5.1693879999999996</v>
      </c>
      <c r="E1825">
        <v>0.50620129999999997</v>
      </c>
      <c r="F1825" t="s">
        <v>50</v>
      </c>
      <c r="G1825">
        <v>-256.36099999999999</v>
      </c>
      <c r="H1825" s="1">
        <v>1.8482130000000001E-6</v>
      </c>
      <c r="I1825">
        <v>284.9957</v>
      </c>
      <c r="J1825">
        <v>-221.65389999999999</v>
      </c>
      <c r="K1825">
        <v>1.108293</v>
      </c>
      <c r="L1825">
        <v>284.3605</v>
      </c>
      <c r="M1825">
        <v>-0.9977627</v>
      </c>
      <c r="N1825">
        <v>0</v>
      </c>
      <c r="O1825">
        <v>-6.685236E-2</v>
      </c>
      <c r="P1825">
        <v>-0.99992689999999995</v>
      </c>
      <c r="Q1825">
        <v>-1.1930049999999999E-2</v>
      </c>
      <c r="R1825">
        <v>2.0322560000000001E-3</v>
      </c>
      <c r="S1825">
        <v>-2.9990540000000001</v>
      </c>
      <c r="T1825">
        <v>-9.5147490000000001E-2</v>
      </c>
      <c r="U1825">
        <v>5.3222659999999998E-2</v>
      </c>
      <c r="V1825">
        <v>6.8875829999999999E-2</v>
      </c>
      <c r="W1825">
        <v>-1.1182539999999999E-2</v>
      </c>
      <c r="X1825">
        <v>0.99756259999999997</v>
      </c>
      <c r="Y1825">
        <v>8.4469740000000001E-2</v>
      </c>
      <c r="Z1825">
        <v>3.4588679999999999E-3</v>
      </c>
      <c r="AA1825">
        <v>0.99641999999999997</v>
      </c>
      <c r="AB1825">
        <v>22</v>
      </c>
      <c r="AC1825">
        <v>-34.707099999999997</v>
      </c>
      <c r="AD1825">
        <v>-1.108291151787</v>
      </c>
      <c r="AE1825">
        <v>0.63519999999999699</v>
      </c>
      <c r="AF1825">
        <v>2.9510227962167801</v>
      </c>
      <c r="AG1825">
        <v>-1.108291151787</v>
      </c>
      <c r="AH1825">
        <v>34.551770815752803</v>
      </c>
      <c r="AI1825">
        <v>91.830543787276596</v>
      </c>
      <c r="AJ1825">
        <v>85.118287477845897</v>
      </c>
      <c r="AK1825">
        <v>34.695269293164799</v>
      </c>
      <c r="AL1825">
        <v>90.640725677964198</v>
      </c>
      <c r="AM1825">
        <v>86.050331614106796</v>
      </c>
      <c r="AN1825">
        <v>1.00000003503889</v>
      </c>
    </row>
    <row r="1826" spans="1:40" x14ac:dyDescent="0.25">
      <c r="A1826" t="str">
        <f>"20190312154832558"</f>
        <v>20190312154832558</v>
      </c>
      <c r="B1826" t="str">
        <f>"1552376912547181"</f>
        <v>1552376912547181</v>
      </c>
      <c r="C1826" t="s">
        <v>40</v>
      </c>
      <c r="D1826">
        <v>5.1752919999999998</v>
      </c>
      <c r="E1826">
        <v>0.50589479999999998</v>
      </c>
      <c r="F1826" t="s">
        <v>50</v>
      </c>
      <c r="G1826">
        <v>-255.79650000000001</v>
      </c>
      <c r="H1826" s="1">
        <v>1.5478199999999999E-6</v>
      </c>
      <c r="I1826">
        <v>284.9699</v>
      </c>
      <c r="J1826">
        <v>-221.88810000000001</v>
      </c>
      <c r="K1826">
        <v>1.1082749999999999</v>
      </c>
      <c r="L1826">
        <v>284.34480000000002</v>
      </c>
      <c r="M1826">
        <v>-0.99775840000000005</v>
      </c>
      <c r="N1826">
        <v>0</v>
      </c>
      <c r="O1826">
        <v>-6.6915240000000001E-2</v>
      </c>
      <c r="P1826">
        <v>-0.99992460000000005</v>
      </c>
      <c r="Q1826">
        <v>-1.197728E-2</v>
      </c>
      <c r="R1826">
        <v>2.7156979999999999E-3</v>
      </c>
      <c r="S1826">
        <v>-2.9989780000000001</v>
      </c>
      <c r="T1826">
        <v>-9.734893E-2</v>
      </c>
      <c r="U1826">
        <v>5.3527829999999998E-2</v>
      </c>
      <c r="V1826">
        <v>6.9620459999999995E-2</v>
      </c>
      <c r="W1826">
        <v>-1.1408639999999999E-2</v>
      </c>
      <c r="X1826">
        <v>0.99750830000000001</v>
      </c>
      <c r="Y1826">
        <v>8.463068E-2</v>
      </c>
      <c r="Z1826">
        <v>3.5435929999999998E-3</v>
      </c>
      <c r="AA1826">
        <v>0.99640609999999996</v>
      </c>
      <c r="AB1826">
        <v>23</v>
      </c>
      <c r="AC1826">
        <v>-33.9084</v>
      </c>
      <c r="AD1826">
        <v>-1.10827345218</v>
      </c>
      <c r="AE1826">
        <v>0.62509999999997401</v>
      </c>
      <c r="AF1826">
        <v>2.8896024461308301</v>
      </c>
      <c r="AG1826">
        <v>-1.10827345218</v>
      </c>
      <c r="AH1826">
        <v>33.754524550154898</v>
      </c>
      <c r="AI1826">
        <v>91.873687519266397</v>
      </c>
      <c r="AJ1826">
        <v>85.107045405648293</v>
      </c>
      <c r="AK1826">
        <v>33.896105970280701</v>
      </c>
      <c r="AL1826">
        <v>90.653681111179594</v>
      </c>
      <c r="AM1826">
        <v>86.007551701757507</v>
      </c>
      <c r="AN1826">
        <v>0.99999998704307502</v>
      </c>
    </row>
    <row r="1827" spans="1:40" x14ac:dyDescent="0.25">
      <c r="A1827" t="str">
        <f>"20190312154832579"</f>
        <v>20190312154832579</v>
      </c>
      <c r="B1827" t="str">
        <f>"1552376912567676"</f>
        <v>1552376912567676</v>
      </c>
      <c r="C1827" t="s">
        <v>40</v>
      </c>
      <c r="D1827">
        <v>5.1838329999999999</v>
      </c>
      <c r="E1827">
        <v>0.50557540000000001</v>
      </c>
      <c r="F1827" t="s">
        <v>50</v>
      </c>
      <c r="G1827">
        <v>-255.4016</v>
      </c>
      <c r="H1827" s="1">
        <v>1.337697E-6</v>
      </c>
      <c r="I1827">
        <v>284.93889999999999</v>
      </c>
      <c r="J1827">
        <v>-222.10550000000001</v>
      </c>
      <c r="K1827">
        <v>1.108257</v>
      </c>
      <c r="L1827">
        <v>284.33010000000002</v>
      </c>
      <c r="M1827">
        <v>-0.99775469999999999</v>
      </c>
      <c r="N1827">
        <v>0</v>
      </c>
      <c r="O1827">
        <v>-6.6973619999999998E-2</v>
      </c>
      <c r="P1827">
        <v>-0.99992159999999997</v>
      </c>
      <c r="Q1827">
        <v>-1.2150019999999999E-2</v>
      </c>
      <c r="R1827">
        <v>3.0397039999999998E-3</v>
      </c>
      <c r="S1827">
        <v>-2.998901</v>
      </c>
      <c r="T1827">
        <v>-9.9171880000000004E-2</v>
      </c>
      <c r="U1827">
        <v>5.316162E-2</v>
      </c>
      <c r="V1827">
        <v>7.0001949999999993E-2</v>
      </c>
      <c r="W1827">
        <v>-1.1724689999999999E-2</v>
      </c>
      <c r="X1827">
        <v>0.99747790000000003</v>
      </c>
      <c r="Y1827">
        <v>8.4564769999999997E-2</v>
      </c>
      <c r="Z1827">
        <v>3.6108440000000002E-3</v>
      </c>
      <c r="AA1827">
        <v>0.99641139999999995</v>
      </c>
      <c r="AB1827">
        <v>23</v>
      </c>
      <c r="AC1827">
        <v>-33.296100000000003</v>
      </c>
      <c r="AD1827">
        <v>-1.108255662303</v>
      </c>
      <c r="AE1827">
        <v>0.60879999999997303</v>
      </c>
      <c r="AF1827">
        <v>2.8342545741004401</v>
      </c>
      <c r="AG1827">
        <v>-1.108255662303</v>
      </c>
      <c r="AH1827">
        <v>33.1438610794185</v>
      </c>
      <c r="AI1827">
        <v>91.908168632980704</v>
      </c>
      <c r="AJ1827">
        <v>85.112315981493893</v>
      </c>
      <c r="AK1827">
        <v>33.283280440119299</v>
      </c>
      <c r="AL1827">
        <v>90.671790678160406</v>
      </c>
      <c r="AM1827">
        <v>85.985624197420904</v>
      </c>
      <c r="AN1827">
        <v>0.99999995117390295</v>
      </c>
    </row>
    <row r="1828" spans="1:40" x14ac:dyDescent="0.25">
      <c r="A1828" t="str">
        <f>"20190312154832602"</f>
        <v>20190312154832602</v>
      </c>
      <c r="B1828" t="str">
        <f>"1552376912597933"</f>
        <v>1552376912597933</v>
      </c>
      <c r="C1828" t="s">
        <v>40</v>
      </c>
      <c r="D1828">
        <v>5.2083459999999997</v>
      </c>
      <c r="E1828">
        <v>0.47396250000000001</v>
      </c>
      <c r="F1828" t="s">
        <v>50</v>
      </c>
      <c r="G1828">
        <v>-254.66329999999999</v>
      </c>
      <c r="H1828" s="1">
        <v>9.447917E-7</v>
      </c>
      <c r="I1828">
        <v>284.88810000000001</v>
      </c>
      <c r="J1828">
        <v>-222.34129999999999</v>
      </c>
      <c r="K1828">
        <v>1.108239</v>
      </c>
      <c r="L1828">
        <v>284.3143</v>
      </c>
      <c r="M1828">
        <v>-0.99775049999999998</v>
      </c>
      <c r="N1828">
        <v>0</v>
      </c>
      <c r="O1828">
        <v>-6.7038449999999999E-2</v>
      </c>
      <c r="P1828">
        <v>-0.99991770000000002</v>
      </c>
      <c r="Q1828">
        <v>-1.245724E-2</v>
      </c>
      <c r="R1828">
        <v>3.1311170000000001E-3</v>
      </c>
      <c r="S1828">
        <v>-2.99884</v>
      </c>
      <c r="T1828">
        <v>-0.1020794</v>
      </c>
      <c r="U1828">
        <v>5.1391600000000003E-2</v>
      </c>
      <c r="V1828">
        <v>7.0157709999999998E-2</v>
      </c>
      <c r="W1828">
        <v>-1.216594E-2</v>
      </c>
      <c r="X1828">
        <v>0.99746170000000001</v>
      </c>
      <c r="Y1828">
        <v>8.4037239999999999E-2</v>
      </c>
      <c r="Z1828">
        <v>3.7099569999999998E-3</v>
      </c>
      <c r="AA1828">
        <v>0.99645569999999895</v>
      </c>
      <c r="AB1828">
        <v>23</v>
      </c>
      <c r="AC1828">
        <v>-32.321999999999903</v>
      </c>
      <c r="AD1828">
        <v>-1.1082380552083</v>
      </c>
      <c r="AE1828">
        <v>0.57380000000000497</v>
      </c>
      <c r="AF1828">
        <v>2.7361100923282402</v>
      </c>
      <c r="AG1828">
        <v>-1.1082380552083</v>
      </c>
      <c r="AH1828">
        <v>32.173009998676299</v>
      </c>
      <c r="AI1828">
        <v>91.965751882005705</v>
      </c>
      <c r="AJ1828">
        <v>85.139054262672801</v>
      </c>
      <c r="AK1828">
        <v>32.3081578304811</v>
      </c>
      <c r="AL1828">
        <v>90.697074227071596</v>
      </c>
      <c r="AM1828">
        <v>85.976656059014502</v>
      </c>
      <c r="AN1828">
        <v>0.99999997866770796</v>
      </c>
    </row>
    <row r="1829" spans="1:40" x14ac:dyDescent="0.25">
      <c r="A1829" t="str">
        <f>"20190312154832625"</f>
        <v>20190312154832625</v>
      </c>
      <c r="B1829" t="str">
        <f>"1552376912617453"</f>
        <v>1552376912617453</v>
      </c>
      <c r="C1829" t="s">
        <v>40</v>
      </c>
      <c r="D1829">
        <v>5.1889799999999999</v>
      </c>
      <c r="E1829">
        <v>0.46652529999999998</v>
      </c>
      <c r="F1829" t="s">
        <v>51</v>
      </c>
      <c r="G1829">
        <v>-294.78160000000003</v>
      </c>
      <c r="H1829" s="1">
        <v>3.5256990000000002E-6</v>
      </c>
      <c r="I1829">
        <v>279.51830000000001</v>
      </c>
      <c r="J1829">
        <v>-222.5789</v>
      </c>
      <c r="K1829">
        <v>1.108222</v>
      </c>
      <c r="L1829">
        <v>284.29820000000001</v>
      </c>
      <c r="M1829">
        <v>-0.99774589999999996</v>
      </c>
      <c r="N1829">
        <v>0</v>
      </c>
      <c r="O1829">
        <v>-6.7106020000000002E-2</v>
      </c>
      <c r="P1829">
        <v>-0.9999207</v>
      </c>
      <c r="Q1829">
        <v>-1.226445E-2</v>
      </c>
      <c r="R1829">
        <v>2.8965979999999998E-3</v>
      </c>
      <c r="S1829">
        <v>-3.0003199999999999</v>
      </c>
      <c r="T1829">
        <v>-4.5900700000000003E-2</v>
      </c>
      <c r="U1829">
        <v>-0.19863890000000001</v>
      </c>
      <c r="V1829">
        <v>6.9991490000000003E-2</v>
      </c>
      <c r="W1829">
        <v>-1.208819E-2</v>
      </c>
      <c r="X1829">
        <v>0.99747439999999998</v>
      </c>
      <c r="Y1829">
        <v>1.0391409999999999E-3</v>
      </c>
      <c r="Z1829">
        <v>1.0322389999999999E-3</v>
      </c>
      <c r="AA1829">
        <v>0.99999890000000002</v>
      </c>
      <c r="AB1829">
        <v>23</v>
      </c>
      <c r="AC1829">
        <v>-72.202699999999993</v>
      </c>
      <c r="AD1829">
        <v>-1.108218474301</v>
      </c>
      <c r="AE1829">
        <v>-4.7798999999999898</v>
      </c>
      <c r="AF1829">
        <v>7.6092351238409905E-2</v>
      </c>
      <c r="AG1829">
        <v>-1.108218474301</v>
      </c>
      <c r="AH1829">
        <v>72.343735795266099</v>
      </c>
      <c r="AI1829">
        <v>90.877632865559306</v>
      </c>
      <c r="AJ1829">
        <v>89.939735363075997</v>
      </c>
      <c r="AK1829">
        <v>72.352263593117598</v>
      </c>
      <c r="AL1829">
        <v>90.692619099063407</v>
      </c>
      <c r="AM1829">
        <v>85.9862080446714</v>
      </c>
      <c r="AN1829">
        <v>1.0000000558326201</v>
      </c>
    </row>
    <row r="1830" spans="1:40" x14ac:dyDescent="0.25">
      <c r="A1830" t="str">
        <f>"20190312154832648"</f>
        <v>20190312154832648</v>
      </c>
      <c r="B1830" t="str">
        <f>"1552376912637949"</f>
        <v>1552376912637949</v>
      </c>
      <c r="C1830" t="s">
        <v>40</v>
      </c>
      <c r="D1830">
        <v>5.2053469999999997</v>
      </c>
      <c r="E1830">
        <v>0.4636865</v>
      </c>
      <c r="F1830" t="s">
        <v>42</v>
      </c>
      <c r="G1830">
        <v>-429.95780000000002</v>
      </c>
      <c r="H1830">
        <v>3.6695959999999998E-3</v>
      </c>
      <c r="I1830">
        <v>266.48340000000002</v>
      </c>
      <c r="J1830">
        <v>-222.8245</v>
      </c>
      <c r="K1830">
        <v>1.1082069999999999</v>
      </c>
      <c r="L1830">
        <v>284.28160000000003</v>
      </c>
      <c r="M1830">
        <v>-0.99774079999999998</v>
      </c>
      <c r="N1830">
        <v>0</v>
      </c>
      <c r="O1830">
        <v>-6.7181359999999996E-2</v>
      </c>
      <c r="P1830">
        <v>-0.99991540000000001</v>
      </c>
      <c r="Q1830">
        <v>-1.274173E-2</v>
      </c>
      <c r="R1830">
        <v>2.6470729999999998E-3</v>
      </c>
      <c r="S1830">
        <v>-3.0007929999999998</v>
      </c>
      <c r="T1830">
        <v>-1.5982989999999999E-2</v>
      </c>
      <c r="U1830">
        <v>-0.25778200000000001</v>
      </c>
      <c r="V1830">
        <v>6.9817829999999997E-2</v>
      </c>
      <c r="W1830">
        <v>-1.2663829999999999E-2</v>
      </c>
      <c r="X1830">
        <v>0.99747940000000002</v>
      </c>
      <c r="Y1830">
        <v>-1.8461869999999998E-2</v>
      </c>
      <c r="Z1830">
        <v>3.0763029999999997E-4</v>
      </c>
      <c r="AA1830">
        <v>0.99982950000000004</v>
      </c>
      <c r="AB1830">
        <v>23</v>
      </c>
      <c r="AC1830">
        <v>-207.13329999999999</v>
      </c>
      <c r="AD1830">
        <v>-1.104537404</v>
      </c>
      <c r="AE1830">
        <v>-17.798200000000001</v>
      </c>
      <c r="AF1830">
        <v>-3.8423849767393401</v>
      </c>
      <c r="AG1830">
        <v>-1.104537404</v>
      </c>
      <c r="AH1830">
        <v>207.855180516085</v>
      </c>
      <c r="AI1830">
        <v>90.304413513435094</v>
      </c>
      <c r="AJ1830">
        <v>91.059042019725794</v>
      </c>
      <c r="AK1830">
        <v>207.89362662804399</v>
      </c>
      <c r="AL1830">
        <v>90.725603386735003</v>
      </c>
      <c r="AM1830">
        <v>85.996154474638701</v>
      </c>
      <c r="AN1830">
        <v>1.0000000277002601</v>
      </c>
    </row>
    <row r="1831" spans="1:40" x14ac:dyDescent="0.25">
      <c r="A1831" t="str">
        <f>"20190312154832671"</f>
        <v>20190312154832671</v>
      </c>
      <c r="B1831" t="str">
        <f>"1552376912667229"</f>
        <v>1552376912667229</v>
      </c>
      <c r="C1831" t="s">
        <v>40</v>
      </c>
      <c r="D1831">
        <v>5.132333</v>
      </c>
      <c r="E1831">
        <v>0.46148489999999998</v>
      </c>
      <c r="F1831" t="s">
        <v>52</v>
      </c>
      <c r="G1831">
        <v>-440.40789999999998</v>
      </c>
      <c r="H1831">
        <v>0.42730279999999998</v>
      </c>
      <c r="I1831">
        <v>263.91809999999998</v>
      </c>
      <c r="J1831">
        <v>-223.06540000000001</v>
      </c>
      <c r="K1831">
        <v>1.1081939999999999</v>
      </c>
      <c r="L1831">
        <v>284.26530000000002</v>
      </c>
      <c r="M1831">
        <v>-0.9977355</v>
      </c>
      <c r="N1831">
        <v>0</v>
      </c>
      <c r="O1831">
        <v>-6.7261100000000004E-2</v>
      </c>
      <c r="P1831">
        <v>-0.99991569999999996</v>
      </c>
      <c r="Q1831">
        <v>-1.2704170000000001E-2</v>
      </c>
      <c r="R1831">
        <v>2.7236199999999999E-3</v>
      </c>
      <c r="S1831">
        <v>-3.0009000000000001</v>
      </c>
      <c r="T1831">
        <v>-9.3909500000000003E-3</v>
      </c>
      <c r="U1831">
        <v>-0.28085329999999997</v>
      </c>
      <c r="V1831">
        <v>6.9973919999999995E-2</v>
      </c>
      <c r="W1831">
        <v>-1.2706769999999999E-2</v>
      </c>
      <c r="X1831">
        <v>0.99746789999999996</v>
      </c>
      <c r="Y1831">
        <v>-2.6003209999999999E-2</v>
      </c>
      <c r="Z1831">
        <v>1.6914419999999999E-4</v>
      </c>
      <c r="AA1831">
        <v>0.99966189999999999</v>
      </c>
      <c r="AB1831">
        <v>24</v>
      </c>
      <c r="AC1831">
        <v>-217.3425</v>
      </c>
      <c r="AD1831">
        <v>-0.68089119999999903</v>
      </c>
      <c r="AE1831">
        <v>-20.347200000000001</v>
      </c>
      <c r="AF1831">
        <v>-5.6823723325487103</v>
      </c>
      <c r="AG1831">
        <v>-0.68089119999999903</v>
      </c>
      <c r="AH1831">
        <v>218.21675986652201</v>
      </c>
      <c r="AI1831">
        <v>90.178716087503503</v>
      </c>
      <c r="AJ1831">
        <v>91.491647081441798</v>
      </c>
      <c r="AK1831">
        <v>218.291793832922</v>
      </c>
      <c r="AL1831">
        <v>90.728063877203695</v>
      </c>
      <c r="AM1831">
        <v>85.987186272997803</v>
      </c>
      <c r="AN1831">
        <v>1.0000000115072001</v>
      </c>
    </row>
    <row r="1832" spans="1:40" x14ac:dyDescent="0.25">
      <c r="A1832" t="str">
        <f>"20190312154832690"</f>
        <v>20190312154832690</v>
      </c>
      <c r="B1832" t="str">
        <f>"1552376912687725"</f>
        <v>1552376912687725</v>
      </c>
      <c r="C1832" t="s">
        <v>40</v>
      </c>
      <c r="D1832">
        <v>5.1168969999999998</v>
      </c>
      <c r="E1832">
        <v>0.46071790000000001</v>
      </c>
      <c r="F1832" t="s">
        <v>53</v>
      </c>
      <c r="G1832">
        <v>-385.31319999999999</v>
      </c>
      <c r="H1832">
        <v>0.91596789999999995</v>
      </c>
      <c r="I1832">
        <v>268.1558</v>
      </c>
      <c r="J1832">
        <v>-223.2835</v>
      </c>
      <c r="K1832">
        <v>1.1081890000000001</v>
      </c>
      <c r="L1832">
        <v>284.25049999999999</v>
      </c>
      <c r="M1832">
        <v>-0.99773029999999996</v>
      </c>
      <c r="N1832">
        <v>0</v>
      </c>
      <c r="O1832">
        <v>-6.7337750000000002E-2</v>
      </c>
      <c r="P1832">
        <v>-0.99992800000000004</v>
      </c>
      <c r="Q1832">
        <v>-1.161189E-2</v>
      </c>
      <c r="R1832">
        <v>3.0749639999999999E-3</v>
      </c>
      <c r="S1832">
        <v>-3.0010530000000002</v>
      </c>
      <c r="T1832">
        <v>-3.5542249999999998E-3</v>
      </c>
      <c r="U1832">
        <v>-0.29797360000000001</v>
      </c>
      <c r="V1832">
        <v>7.0402119999999999E-2</v>
      </c>
      <c r="W1832">
        <v>-1.167605E-2</v>
      </c>
      <c r="X1832">
        <v>0.99745039999999996</v>
      </c>
      <c r="Y1832">
        <v>-3.1571380000000003E-2</v>
      </c>
      <c r="Z1832" s="1">
        <v>6.0793279999999998E-5</v>
      </c>
      <c r="AA1832">
        <v>0.99950150000000004</v>
      </c>
      <c r="AB1832">
        <v>24</v>
      </c>
      <c r="AC1832">
        <v>-162.02969999999999</v>
      </c>
      <c r="AD1832">
        <v>-0.19222109999999901</v>
      </c>
      <c r="AE1832">
        <v>-16.0946999999999</v>
      </c>
      <c r="AF1832">
        <v>-5.1474469351440399</v>
      </c>
      <c r="AG1832">
        <v>-0.19222109999999901</v>
      </c>
      <c r="AH1832">
        <v>162.74548516773501</v>
      </c>
      <c r="AI1832">
        <v>90.067639037333393</v>
      </c>
      <c r="AJ1832">
        <v>91.811593708970506</v>
      </c>
      <c r="AK1832">
        <v>162.82698210487999</v>
      </c>
      <c r="AL1832">
        <v>90.669003558056502</v>
      </c>
      <c r="AM1832">
        <v>85.962640527563494</v>
      </c>
      <c r="AN1832">
        <v>1.00000004455212</v>
      </c>
    </row>
    <row r="1833" spans="1:40" x14ac:dyDescent="0.25">
      <c r="A1833" t="str">
        <f>"20190312154832714"</f>
        <v>20190312154832714</v>
      </c>
      <c r="B1833" t="str">
        <f>"1552376912707245"</f>
        <v>1552376912707245</v>
      </c>
      <c r="C1833" t="s">
        <v>40</v>
      </c>
      <c r="D1833">
        <v>5.1053709999999999</v>
      </c>
      <c r="E1833">
        <v>0.45993240000000002</v>
      </c>
      <c r="F1833" t="s">
        <v>53</v>
      </c>
      <c r="G1833">
        <v>-385.31319999999999</v>
      </c>
      <c r="H1833">
        <v>1.0992949999999999</v>
      </c>
      <c r="I1833">
        <v>267.8929</v>
      </c>
      <c r="J1833">
        <v>-223.5326</v>
      </c>
      <c r="K1833">
        <v>1.1081890000000001</v>
      </c>
      <c r="L1833">
        <v>284.23360000000002</v>
      </c>
      <c r="M1833">
        <v>-0.99772400000000006</v>
      </c>
      <c r="N1833">
        <v>0</v>
      </c>
      <c r="O1833">
        <v>-6.7430499999999893E-2</v>
      </c>
      <c r="P1833">
        <v>-0.99994309999999997</v>
      </c>
      <c r="Q1833">
        <v>-1.010846E-2</v>
      </c>
      <c r="R1833">
        <v>3.3928589999999998E-3</v>
      </c>
      <c r="S1833">
        <v>-3.001144</v>
      </c>
      <c r="T1833">
        <v>-1.6343590000000001E-4</v>
      </c>
      <c r="U1833">
        <v>-0.30297849999999998</v>
      </c>
      <c r="V1833">
        <v>7.0812739999999999E-2</v>
      </c>
      <c r="W1833">
        <v>-1.023103E-2</v>
      </c>
      <c r="X1833">
        <v>0.99743720000000002</v>
      </c>
      <c r="Y1833">
        <v>-3.3125679999999998E-2</v>
      </c>
      <c r="Z1833" s="1">
        <v>2.7579319999999999E-6</v>
      </c>
      <c r="AA1833">
        <v>0.99945119999999998</v>
      </c>
      <c r="AB1833">
        <v>24</v>
      </c>
      <c r="AC1833">
        <v>-161.78059999999999</v>
      </c>
      <c r="AD1833">
        <v>-8.8939999999997302E-3</v>
      </c>
      <c r="AE1833">
        <v>-16.340699999999998</v>
      </c>
      <c r="AF1833">
        <v>-5.3945616607364499</v>
      </c>
      <c r="AG1833">
        <v>-8.8939999999997302E-3</v>
      </c>
      <c r="AH1833">
        <v>162.51424417303201</v>
      </c>
      <c r="AI1833">
        <v>90.0031339292578</v>
      </c>
      <c r="AJ1833">
        <v>91.901200526939206</v>
      </c>
      <c r="AK1833">
        <v>162.60375436547201</v>
      </c>
      <c r="AL1833">
        <v>90.586205040883996</v>
      </c>
      <c r="AM1833">
        <v>85.939117639906101</v>
      </c>
      <c r="AN1833">
        <v>1.0000000430325</v>
      </c>
    </row>
    <row r="1834" spans="1:40" x14ac:dyDescent="0.25">
      <c r="A1834" t="str">
        <f>"20190312154832736"</f>
        <v>20190312154832736</v>
      </c>
      <c r="B1834" t="str">
        <f>"1552376912727741"</f>
        <v>1552376912727741</v>
      </c>
      <c r="C1834" t="s">
        <v>40</v>
      </c>
      <c r="D1834">
        <v>5.1071059999999999</v>
      </c>
      <c r="E1834">
        <v>0.45962639999999999</v>
      </c>
      <c r="F1834" t="s">
        <v>53</v>
      </c>
      <c r="G1834">
        <v>-383.08150000000001</v>
      </c>
      <c r="H1834">
        <v>1.5100420000000001</v>
      </c>
      <c r="I1834">
        <v>267.85000000000002</v>
      </c>
      <c r="J1834">
        <v>-223.78630000000001</v>
      </c>
      <c r="K1834">
        <v>1.1081890000000001</v>
      </c>
      <c r="L1834">
        <v>284.21640000000002</v>
      </c>
      <c r="M1834">
        <v>-0.99771730000000003</v>
      </c>
      <c r="N1834">
        <v>0</v>
      </c>
      <c r="O1834">
        <v>-6.7529919999999993E-2</v>
      </c>
      <c r="P1834">
        <v>-0.99995089999999998</v>
      </c>
      <c r="Q1834">
        <v>-9.2902249999999992E-3</v>
      </c>
      <c r="R1834">
        <v>3.4569269999999998E-3</v>
      </c>
      <c r="S1834">
        <v>-3.001312</v>
      </c>
      <c r="T1834">
        <v>7.5609680000000004E-3</v>
      </c>
      <c r="U1834">
        <v>-0.308197</v>
      </c>
      <c r="V1834">
        <v>7.097676E-2</v>
      </c>
      <c r="W1834">
        <v>-9.4613379999999997E-3</v>
      </c>
      <c r="X1834">
        <v>0.99743309999999996</v>
      </c>
      <c r="Y1834">
        <v>-3.4740529999999999E-2</v>
      </c>
      <c r="Z1834">
        <v>-1.2578829999999999E-4</v>
      </c>
      <c r="AA1834">
        <v>0.99939639999999996</v>
      </c>
      <c r="AB1834">
        <v>24</v>
      </c>
      <c r="AC1834">
        <v>-159.29519999999999</v>
      </c>
      <c r="AD1834">
        <v>0.40185300000000002</v>
      </c>
      <c r="AE1834">
        <v>-16.366399999999999</v>
      </c>
      <c r="AF1834">
        <v>-5.5718129369442702</v>
      </c>
      <c r="AG1834">
        <v>0.40185300000000002</v>
      </c>
      <c r="AH1834">
        <v>160.035782636194</v>
      </c>
      <c r="AI1834">
        <v>89.856216589606007</v>
      </c>
      <c r="AJ1834">
        <v>91.994006988844902</v>
      </c>
      <c r="AK1834">
        <v>160.13325172873101</v>
      </c>
      <c r="AL1834">
        <v>90.542102822325504</v>
      </c>
      <c r="AM1834">
        <v>85.929726524202806</v>
      </c>
      <c r="AN1834">
        <v>1.00000000317622</v>
      </c>
    </row>
    <row r="1835" spans="1:40" x14ac:dyDescent="0.25">
      <c r="A1835" t="str">
        <f>"20190312154832760"</f>
        <v>20190312154832760</v>
      </c>
      <c r="B1835" t="str">
        <f>"1552376912757997"</f>
        <v>1552376912757997</v>
      </c>
      <c r="C1835" t="s">
        <v>40</v>
      </c>
      <c r="D1835">
        <v>5.0363170000000004</v>
      </c>
      <c r="E1835">
        <v>0.4592348</v>
      </c>
      <c r="F1835" t="s">
        <v>53</v>
      </c>
      <c r="G1835">
        <v>-381.97859999999997</v>
      </c>
      <c r="H1835">
        <v>1.6700269999999999</v>
      </c>
      <c r="I1835">
        <v>267.85000000000002</v>
      </c>
      <c r="J1835">
        <v>-224.04820000000001</v>
      </c>
      <c r="K1835">
        <v>1.1081890000000001</v>
      </c>
      <c r="L1835">
        <v>284.1986</v>
      </c>
      <c r="M1835">
        <v>-0.99770999999999999</v>
      </c>
      <c r="N1835">
        <v>0</v>
      </c>
      <c r="O1835">
        <v>-6.7636849999999998E-2</v>
      </c>
      <c r="P1835">
        <v>-0.99995999999999996</v>
      </c>
      <c r="Q1835">
        <v>-8.1931729999999998E-3</v>
      </c>
      <c r="R1835">
        <v>3.6222649999999999E-3</v>
      </c>
      <c r="S1835">
        <v>-3.0013429999999999</v>
      </c>
      <c r="T1835">
        <v>1.0660889999999999E-2</v>
      </c>
      <c r="U1835">
        <v>-0.31051640000000003</v>
      </c>
      <c r="V1835">
        <v>7.1249399999999893E-2</v>
      </c>
      <c r="W1835">
        <v>-8.4044489999999996E-3</v>
      </c>
      <c r="X1835">
        <v>0.99742310000000001</v>
      </c>
      <c r="Y1835">
        <v>-3.5396650000000002E-2</v>
      </c>
      <c r="Z1835">
        <v>-1.76565E-4</v>
      </c>
      <c r="AA1835">
        <v>0.99937330000000002</v>
      </c>
      <c r="AB1835">
        <v>25</v>
      </c>
      <c r="AC1835">
        <v>-157.930399999999</v>
      </c>
      <c r="AD1835">
        <v>0.56183799999999995</v>
      </c>
      <c r="AE1835">
        <v>-16.348599999999902</v>
      </c>
      <c r="AF1835">
        <v>-5.6291764791329202</v>
      </c>
      <c r="AG1835">
        <v>0.56183799999999995</v>
      </c>
      <c r="AH1835">
        <v>158.67252133330399</v>
      </c>
      <c r="AI1835">
        <v>89.797251767176206</v>
      </c>
      <c r="AJ1835">
        <v>92.031812710537693</v>
      </c>
      <c r="AK1835">
        <v>158.773336288053</v>
      </c>
      <c r="AL1835">
        <v>90.481545137432093</v>
      </c>
      <c r="AM1835">
        <v>85.914103582506399</v>
      </c>
      <c r="AN1835">
        <v>0.99999997608848101</v>
      </c>
    </row>
    <row r="1836" spans="1:40" x14ac:dyDescent="0.25">
      <c r="A1836" t="str">
        <f>"20190312154832783"</f>
        <v>20190312154832783</v>
      </c>
      <c r="B1836" t="str">
        <f>"1552376912777517"</f>
        <v>1552376912777517</v>
      </c>
      <c r="C1836" t="s">
        <v>40</v>
      </c>
      <c r="D1836">
        <v>5.040762</v>
      </c>
      <c r="E1836">
        <v>0.45906380000000002</v>
      </c>
      <c r="F1836" t="s">
        <v>53</v>
      </c>
      <c r="G1836">
        <v>-380.7921</v>
      </c>
      <c r="H1836">
        <v>1.9052770000000001</v>
      </c>
      <c r="I1836">
        <v>267.85000000000002</v>
      </c>
      <c r="J1836">
        <v>-224.30160000000001</v>
      </c>
      <c r="K1836">
        <v>1.1081829999999999</v>
      </c>
      <c r="L1836">
        <v>284.18130000000002</v>
      </c>
      <c r="M1836">
        <v>-0.99770289999999995</v>
      </c>
      <c r="N1836">
        <v>0</v>
      </c>
      <c r="O1836">
        <v>-6.7742819999999995E-2</v>
      </c>
      <c r="P1836">
        <v>-0.99996810000000003</v>
      </c>
      <c r="Q1836">
        <v>-6.9850470000000003E-3</v>
      </c>
      <c r="R1836">
        <v>3.889319E-3</v>
      </c>
      <c r="S1836">
        <v>-3.0013890000000001</v>
      </c>
      <c r="T1836">
        <v>1.5264389999999999E-2</v>
      </c>
      <c r="U1836">
        <v>-0.31304929999999997</v>
      </c>
      <c r="V1836">
        <v>7.1621969999999993E-2</v>
      </c>
      <c r="W1836">
        <v>-7.2269880000000002E-3</v>
      </c>
      <c r="X1836">
        <v>0.9974056</v>
      </c>
      <c r="Y1836">
        <v>-3.6123530000000001E-2</v>
      </c>
      <c r="Z1836">
        <v>-2.5148199999999998E-4</v>
      </c>
      <c r="AA1836">
        <v>0.99934730000000005</v>
      </c>
      <c r="AB1836">
        <v>25</v>
      </c>
      <c r="AC1836">
        <v>-156.4905</v>
      </c>
      <c r="AD1836">
        <v>0.79709399999999997</v>
      </c>
      <c r="AE1836">
        <v>-16.331299999999999</v>
      </c>
      <c r="AF1836">
        <v>-5.69253102614441</v>
      </c>
      <c r="AG1836">
        <v>0.79709399999999997</v>
      </c>
      <c r="AH1836">
        <v>157.23330554206399</v>
      </c>
      <c r="AI1836">
        <v>89.709731792116301</v>
      </c>
      <c r="AJ1836">
        <v>92.073451352518305</v>
      </c>
      <c r="AK1836">
        <v>157.33833811252899</v>
      </c>
      <c r="AL1836">
        <v>90.414079543129802</v>
      </c>
      <c r="AM1836">
        <v>85.892739147251106</v>
      </c>
      <c r="AN1836">
        <v>0.99999993342679405</v>
      </c>
    </row>
    <row r="1837" spans="1:40" x14ac:dyDescent="0.25">
      <c r="A1837" t="str">
        <f>"20190312154832803"</f>
        <v>20190312154832803</v>
      </c>
      <c r="B1837" t="str">
        <f>"1552376912798012"</f>
        <v>1552376912798012</v>
      </c>
      <c r="C1837" t="s">
        <v>40</v>
      </c>
      <c r="D1837">
        <v>5.0222480000000003</v>
      </c>
      <c r="E1837">
        <v>0.45869199999999999</v>
      </c>
      <c r="F1837" t="s">
        <v>53</v>
      </c>
      <c r="G1837">
        <v>-380.59429999999998</v>
      </c>
      <c r="H1837">
        <v>2.1480100000000002</v>
      </c>
      <c r="I1837">
        <v>267.85000000000002</v>
      </c>
      <c r="J1837">
        <v>-224.54499999999999</v>
      </c>
      <c r="K1837">
        <v>1.1081799999999999</v>
      </c>
      <c r="L1837">
        <v>284.16469999999998</v>
      </c>
      <c r="M1837">
        <v>-0.99769580000000002</v>
      </c>
      <c r="N1837">
        <v>0</v>
      </c>
      <c r="O1837">
        <v>-6.7846420000000005E-2</v>
      </c>
      <c r="P1837">
        <v>-0.99996879999999999</v>
      </c>
      <c r="Q1837">
        <v>-6.523966E-3</v>
      </c>
      <c r="R1837">
        <v>4.4583610000000001E-3</v>
      </c>
      <c r="S1837">
        <v>-3.001465</v>
      </c>
      <c r="T1837">
        <v>1.9970419999999999E-2</v>
      </c>
      <c r="U1837">
        <v>-0.3136292</v>
      </c>
      <c r="V1837">
        <v>7.2293289999999996E-2</v>
      </c>
      <c r="W1837">
        <v>-6.7886379999999996E-3</v>
      </c>
      <c r="X1837">
        <v>0.99736029999999998</v>
      </c>
      <c r="Y1837">
        <v>-3.6208400000000002E-2</v>
      </c>
      <c r="Z1837">
        <v>-3.294037E-4</v>
      </c>
      <c r="AA1837">
        <v>0.99934420000000002</v>
      </c>
      <c r="AB1837">
        <v>25</v>
      </c>
      <c r="AC1837">
        <v>-156.04929999999999</v>
      </c>
      <c r="AD1837">
        <v>1.03982999999999</v>
      </c>
      <c r="AE1837">
        <v>-16.314699999999899</v>
      </c>
      <c r="AF1837">
        <v>-5.6894712971355199</v>
      </c>
      <c r="AG1837">
        <v>1.03982999999999</v>
      </c>
      <c r="AH1837">
        <v>156.78973509941099</v>
      </c>
      <c r="AI1837">
        <v>89.620269705285907</v>
      </c>
      <c r="AJ1837">
        <v>92.078195519320303</v>
      </c>
      <c r="AK1837">
        <v>156.896374599968</v>
      </c>
      <c r="AL1837">
        <v>90.3889632988557</v>
      </c>
      <c r="AM1837">
        <v>85.854187339202099</v>
      </c>
      <c r="AN1837">
        <v>0.99999998670050405</v>
      </c>
    </row>
    <row r="1838" spans="1:40" x14ac:dyDescent="0.25">
      <c r="A1838" t="str">
        <f>"20190312154832825"</f>
        <v>20190312154832825</v>
      </c>
      <c r="B1838" t="str">
        <f>"1552376912817533"</f>
        <v>1552376912817533</v>
      </c>
      <c r="C1838" t="s">
        <v>40</v>
      </c>
      <c r="D1838">
        <v>5.026993</v>
      </c>
      <c r="E1838">
        <v>0.45816000000000001</v>
      </c>
      <c r="F1838" t="s">
        <v>53</v>
      </c>
      <c r="G1838">
        <v>-380.1438</v>
      </c>
      <c r="H1838">
        <v>2.2497389999999999</v>
      </c>
      <c r="I1838">
        <v>267.85000000000002</v>
      </c>
      <c r="J1838">
        <v>-224.7809</v>
      </c>
      <c r="K1838">
        <v>1.108174</v>
      </c>
      <c r="L1838">
        <v>284.14859999999999</v>
      </c>
      <c r="M1838">
        <v>-0.99768889999999999</v>
      </c>
      <c r="N1838">
        <v>0</v>
      </c>
      <c r="O1838">
        <v>-6.7946919999999994E-2</v>
      </c>
      <c r="P1838">
        <v>-0.99996910000000006</v>
      </c>
      <c r="Q1838">
        <v>-5.9086479999999999E-3</v>
      </c>
      <c r="R1838">
        <v>5.2080470000000004E-3</v>
      </c>
      <c r="S1838">
        <v>-3.0016630000000002</v>
      </c>
      <c r="T1838">
        <v>2.20232E-2</v>
      </c>
      <c r="U1838">
        <v>-0.3147278</v>
      </c>
      <c r="V1838">
        <v>7.3141919999999999E-2</v>
      </c>
      <c r="W1838">
        <v>-6.1899709999999998E-3</v>
      </c>
      <c r="X1838">
        <v>0.99730240000000003</v>
      </c>
      <c r="Y1838">
        <v>-3.6462849999999998E-2</v>
      </c>
      <c r="Z1838">
        <v>-3.630323E-4</v>
      </c>
      <c r="AA1838">
        <v>0.99933490000000003</v>
      </c>
      <c r="AB1838">
        <v>25</v>
      </c>
      <c r="AC1838">
        <v>-155.3629</v>
      </c>
      <c r="AD1838">
        <v>1.1415649999999999</v>
      </c>
      <c r="AE1838">
        <v>-16.298599999999901</v>
      </c>
      <c r="AF1838">
        <v>-5.7041973693479404</v>
      </c>
      <c r="AG1838">
        <v>1.1415649999999999</v>
      </c>
      <c r="AH1838">
        <v>156.10295019057699</v>
      </c>
      <c r="AI1838">
        <v>89.581288701622995</v>
      </c>
      <c r="AJ1838">
        <v>92.092728448581695</v>
      </c>
      <c r="AK1838">
        <v>156.211305917592</v>
      </c>
      <c r="AL1838">
        <v>90.354661454856497</v>
      </c>
      <c r="AM1838">
        <v>85.805450884145898</v>
      </c>
      <c r="AN1838">
        <v>1.0000000666240101</v>
      </c>
    </row>
    <row r="1839" spans="1:40" x14ac:dyDescent="0.25">
      <c r="A1839" t="str">
        <f>"20190312154832848"</f>
        <v>20190312154832848</v>
      </c>
      <c r="B1839" t="str">
        <f>"1552376912838029"</f>
        <v>1552376912838029</v>
      </c>
      <c r="C1839" t="s">
        <v>40</v>
      </c>
      <c r="D1839">
        <v>5.1533680000000004</v>
      </c>
      <c r="E1839">
        <v>0.42714639999999998</v>
      </c>
      <c r="F1839" t="s">
        <v>53</v>
      </c>
      <c r="G1839">
        <v>-379.20359999999999</v>
      </c>
      <c r="H1839">
        <v>2.3240590000000001</v>
      </c>
      <c r="I1839">
        <v>267.85000000000002</v>
      </c>
      <c r="J1839">
        <v>-225.05160000000001</v>
      </c>
      <c r="K1839">
        <v>1.108166</v>
      </c>
      <c r="L1839">
        <v>284.13</v>
      </c>
      <c r="M1839">
        <v>-0.99768109999999999</v>
      </c>
      <c r="N1839">
        <v>0</v>
      </c>
      <c r="O1839">
        <v>-6.8062310000000001E-2</v>
      </c>
      <c r="P1839">
        <v>-0.99997009999999997</v>
      </c>
      <c r="Q1839">
        <v>-5.3451499999999999E-3</v>
      </c>
      <c r="R1839">
        <v>5.6142329999999997E-3</v>
      </c>
      <c r="S1839">
        <v>-3.0018769999999999</v>
      </c>
      <c r="T1839">
        <v>2.3637410000000001E-2</v>
      </c>
      <c r="U1839">
        <v>-0.31683349999999999</v>
      </c>
      <c r="V1839">
        <v>7.3662359999999996E-2</v>
      </c>
      <c r="W1839">
        <v>-5.6396880000000003E-3</v>
      </c>
      <c r="X1839">
        <v>0.99726729999999997</v>
      </c>
      <c r="Y1839">
        <v>-3.7033320000000002E-2</v>
      </c>
      <c r="Z1839">
        <v>-3.882585E-4</v>
      </c>
      <c r="AA1839">
        <v>0.99931400000000004</v>
      </c>
      <c r="AB1839">
        <v>25</v>
      </c>
      <c r="AC1839">
        <v>-154.15199999999999</v>
      </c>
      <c r="AD1839">
        <v>1.2158929999999999</v>
      </c>
      <c r="AE1839">
        <v>-16.279999999999902</v>
      </c>
      <c r="AF1839">
        <v>-5.7499531526083896</v>
      </c>
      <c r="AG1839">
        <v>1.2158929999999999</v>
      </c>
      <c r="AH1839">
        <v>154.89305673281501</v>
      </c>
      <c r="AI1839">
        <v>89.5505534008241</v>
      </c>
      <c r="AJ1839">
        <v>92.125962571350399</v>
      </c>
      <c r="AK1839">
        <v>155.004514066784</v>
      </c>
      <c r="AL1839">
        <v>90.323132030364803</v>
      </c>
      <c r="AM1839">
        <v>85.775564167078102</v>
      </c>
      <c r="AN1839">
        <v>1.0000000085053899</v>
      </c>
    </row>
    <row r="1840" spans="1:40" x14ac:dyDescent="0.25">
      <c r="A1840" t="str">
        <f>"20190312154832869"</f>
        <v>20190312154832869</v>
      </c>
      <c r="B1840" t="str">
        <f>"1552376912857549"</f>
        <v>1552376912857549</v>
      </c>
      <c r="C1840" t="s">
        <v>40</v>
      </c>
      <c r="D1840">
        <v>5.1386690000000002</v>
      </c>
      <c r="E1840">
        <v>0.42015950000000002</v>
      </c>
      <c r="F1840" t="s">
        <v>54</v>
      </c>
      <c r="G1840">
        <v>-326.04340000000002</v>
      </c>
      <c r="H1840">
        <v>0.72920319999999905</v>
      </c>
      <c r="I1840">
        <v>265.14659999999998</v>
      </c>
      <c r="J1840">
        <v>-225.29910000000001</v>
      </c>
      <c r="K1840">
        <v>1.1081529999999999</v>
      </c>
      <c r="L1840">
        <v>284.11309999999997</v>
      </c>
      <c r="M1840">
        <v>-0.99767399999999995</v>
      </c>
      <c r="N1840">
        <v>0</v>
      </c>
      <c r="O1840">
        <v>-6.8167220000000001E-2</v>
      </c>
      <c r="P1840">
        <v>-0.99997080000000005</v>
      </c>
      <c r="Q1840">
        <v>-4.7778079999999997E-3</v>
      </c>
      <c r="R1840">
        <v>5.9711010000000004E-3</v>
      </c>
      <c r="S1840">
        <v>-3.0032040000000002</v>
      </c>
      <c r="T1840">
        <v>-1.126742E-2</v>
      </c>
      <c r="U1840">
        <v>-0.56451419999999997</v>
      </c>
      <c r="V1840">
        <v>7.4123090000000003E-2</v>
      </c>
      <c r="W1840">
        <v>-5.0798960000000004E-3</v>
      </c>
      <c r="X1840">
        <v>0.99723609999999896</v>
      </c>
      <c r="Y1840">
        <v>-0.1173114</v>
      </c>
      <c r="Z1840" s="1">
        <v>3.4826629999999998E-5</v>
      </c>
      <c r="AA1840">
        <v>0.99309519999999996</v>
      </c>
      <c r="AB1840">
        <v>26</v>
      </c>
      <c r="AC1840">
        <v>-100.7443</v>
      </c>
      <c r="AD1840">
        <v>-0.3789498</v>
      </c>
      <c r="AE1840">
        <v>-18.9665</v>
      </c>
      <c r="AF1840">
        <v>-12.0547592501044</v>
      </c>
      <c r="AG1840">
        <v>-0.3789498</v>
      </c>
      <c r="AH1840">
        <v>101.80146209238301</v>
      </c>
      <c r="AI1840">
        <v>90.211799357589996</v>
      </c>
      <c r="AJ1840">
        <v>96.753198248441294</v>
      </c>
      <c r="AK1840">
        <v>102.513406477766</v>
      </c>
      <c r="AL1840">
        <v>90.291057870888807</v>
      </c>
      <c r="AM1840">
        <v>85.749105974670897</v>
      </c>
      <c r="AN1840">
        <v>0.99999993847886204</v>
      </c>
    </row>
    <row r="1841" spans="1:40" x14ac:dyDescent="0.25">
      <c r="A1841" t="str">
        <f>"20190312154832892"</f>
        <v>20190312154832892</v>
      </c>
      <c r="B1841" t="str">
        <f>"1552376912887474"</f>
        <v>1552376912887474</v>
      </c>
      <c r="C1841" t="s">
        <v>40</v>
      </c>
      <c r="D1841">
        <v>5.0786730000000002</v>
      </c>
      <c r="E1841">
        <v>0.41624870000000003</v>
      </c>
      <c r="F1841" t="s">
        <v>54</v>
      </c>
      <c r="G1841">
        <v>-328.86880000000002</v>
      </c>
      <c r="H1841">
        <v>1.022186</v>
      </c>
      <c r="I1841">
        <v>262.77780000000001</v>
      </c>
      <c r="J1841">
        <v>-225.5669</v>
      </c>
      <c r="K1841">
        <v>1.1081490000000001</v>
      </c>
      <c r="L1841">
        <v>284.09460000000001</v>
      </c>
      <c r="M1841">
        <v>-0.99766619999999995</v>
      </c>
      <c r="N1841">
        <v>0</v>
      </c>
      <c r="O1841">
        <v>-6.8280110000000005E-2</v>
      </c>
      <c r="P1841">
        <v>-0.99997519999999995</v>
      </c>
      <c r="Q1841">
        <v>-4.0542190000000004E-3</v>
      </c>
      <c r="R1841">
        <v>5.7446260000000001E-3</v>
      </c>
      <c r="S1841">
        <v>-3.0037690000000001</v>
      </c>
      <c r="T1841">
        <v>-2.491474E-3</v>
      </c>
      <c r="U1841">
        <v>-0.61877439999999995</v>
      </c>
      <c r="V1841">
        <v>7.4010279999999998E-2</v>
      </c>
      <c r="W1841">
        <v>-4.3604769999999998E-3</v>
      </c>
      <c r="X1841">
        <v>0.99724789999999996</v>
      </c>
      <c r="Y1841">
        <v>-0.13441610000000001</v>
      </c>
      <c r="Z1841" s="1">
        <v>7.5008939999999895E-7</v>
      </c>
      <c r="AA1841">
        <v>0.99092499999999994</v>
      </c>
      <c r="AB1841">
        <v>26</v>
      </c>
      <c r="AC1841">
        <v>-103.3019</v>
      </c>
      <c r="AD1841">
        <v>-8.5962999999999998E-2</v>
      </c>
      <c r="AE1841">
        <v>-21.316800000000001</v>
      </c>
      <c r="AF1841">
        <v>-14.2135761739021</v>
      </c>
      <c r="AG1841">
        <v>-8.5962999999999998E-2</v>
      </c>
      <c r="AH1841">
        <v>104.516257007886</v>
      </c>
      <c r="AI1841">
        <v>90.046695060224906</v>
      </c>
      <c r="AJ1841">
        <v>97.744368879861995</v>
      </c>
      <c r="AK1841">
        <v>105.47834429980099</v>
      </c>
      <c r="AL1841">
        <v>90.249837731816598</v>
      </c>
      <c r="AM1841">
        <v>85.755601907161704</v>
      </c>
      <c r="AN1841">
        <v>0.99999995467987601</v>
      </c>
    </row>
    <row r="1842" spans="1:40" x14ac:dyDescent="0.25">
      <c r="A1842" t="str">
        <f>"20190312154832914"</f>
        <v>20190312154832914</v>
      </c>
      <c r="B1842" t="str">
        <f>"1552376912907970"</f>
        <v>1552376912907970</v>
      </c>
      <c r="C1842" t="s">
        <v>40</v>
      </c>
      <c r="D1842">
        <v>5.0362330000000002</v>
      </c>
      <c r="E1842">
        <v>0.41481220000000002</v>
      </c>
      <c r="F1842" t="s">
        <v>54</v>
      </c>
      <c r="G1842">
        <v>-323.52690000000001</v>
      </c>
      <c r="H1842">
        <v>0.45239829999999998</v>
      </c>
      <c r="I1842">
        <v>262.85090000000002</v>
      </c>
      <c r="J1842">
        <v>-225.83439999999999</v>
      </c>
      <c r="K1842">
        <v>1.1081449999999999</v>
      </c>
      <c r="L1842">
        <v>284.07619999999997</v>
      </c>
      <c r="M1842">
        <v>-0.99765859999999995</v>
      </c>
      <c r="N1842">
        <v>0</v>
      </c>
      <c r="O1842">
        <v>-6.8393120000000002E-2</v>
      </c>
      <c r="P1842">
        <v>-0.99997979999999997</v>
      </c>
      <c r="Q1842">
        <v>-3.1125860000000001E-3</v>
      </c>
      <c r="R1842">
        <v>5.5727800000000003E-3</v>
      </c>
      <c r="S1842">
        <v>-3.0037379999999998</v>
      </c>
      <c r="T1842">
        <v>-2.0105359999999999E-2</v>
      </c>
      <c r="U1842">
        <v>-0.65139769999999997</v>
      </c>
      <c r="V1842">
        <v>7.3952149999999994E-2</v>
      </c>
      <c r="W1842">
        <v>-3.4192950000000001E-3</v>
      </c>
      <c r="X1842">
        <v>0.99725589999999997</v>
      </c>
      <c r="Y1842">
        <v>-0.14459859999999999</v>
      </c>
      <c r="Z1842" s="1">
        <v>-2.6936789999999999E-5</v>
      </c>
      <c r="AA1842">
        <v>0.98949039999999999</v>
      </c>
      <c r="AB1842">
        <v>26</v>
      </c>
      <c r="AC1842">
        <v>-97.692499999999995</v>
      </c>
      <c r="AD1842">
        <v>-0.65574670000000002</v>
      </c>
      <c r="AE1842">
        <v>-21.225299999999901</v>
      </c>
      <c r="AF1842">
        <v>-14.4934824472587</v>
      </c>
      <c r="AG1842">
        <v>-0.65574670000000002</v>
      </c>
      <c r="AH1842">
        <v>98.911156756561496</v>
      </c>
      <c r="AI1842">
        <v>90.375832374319899</v>
      </c>
      <c r="AJ1842">
        <v>98.336243284496106</v>
      </c>
      <c r="AK1842">
        <v>99.969535200002994</v>
      </c>
      <c r="AL1842">
        <v>90.195911559830506</v>
      </c>
      <c r="AM1842">
        <v>85.758957320249493</v>
      </c>
      <c r="AN1842">
        <v>0.99999997107636396</v>
      </c>
    </row>
    <row r="1843" spans="1:40" x14ac:dyDescent="0.25">
      <c r="A1843" t="str">
        <f>"20190312154832937"</f>
        <v>20190312154832937</v>
      </c>
      <c r="B1843" t="str">
        <f>"1552376912927489"</f>
        <v>1552376912927489</v>
      </c>
      <c r="C1843" t="s">
        <v>40</v>
      </c>
      <c r="D1843">
        <v>4.9448569999999998</v>
      </c>
      <c r="E1843">
        <v>0.41403679999999898</v>
      </c>
      <c r="F1843" t="s">
        <v>54</v>
      </c>
      <c r="G1843">
        <v>-322.62279999999998</v>
      </c>
      <c r="H1843">
        <v>0.33418550000000002</v>
      </c>
      <c r="I1843">
        <v>262.69290000000001</v>
      </c>
      <c r="J1843">
        <v>-226.0986</v>
      </c>
      <c r="K1843">
        <v>1.108131</v>
      </c>
      <c r="L1843">
        <v>284.05799999999999</v>
      </c>
      <c r="M1843">
        <v>-0.99765090000000001</v>
      </c>
      <c r="N1843">
        <v>0</v>
      </c>
      <c r="O1843">
        <v>-6.8503980000000006E-2</v>
      </c>
      <c r="P1843">
        <v>-0.99998379999999998</v>
      </c>
      <c r="Q1843">
        <v>-2.4656779999999998E-3</v>
      </c>
      <c r="R1843">
        <v>5.1409810000000002E-3</v>
      </c>
      <c r="S1843">
        <v>-3.0036930000000002</v>
      </c>
      <c r="T1843">
        <v>-2.4016860000000001E-2</v>
      </c>
      <c r="U1843">
        <v>-0.66360469999999905</v>
      </c>
      <c r="V1843">
        <v>7.3632219999999998E-2</v>
      </c>
      <c r="W1843">
        <v>-2.769657E-3</v>
      </c>
      <c r="X1843">
        <v>0.99728159999999999</v>
      </c>
      <c r="Y1843">
        <v>-0.1483274</v>
      </c>
      <c r="Z1843" s="1">
        <v>-4.6040050000000003E-5</v>
      </c>
      <c r="AA1843">
        <v>0.98893830000000005</v>
      </c>
      <c r="AB1843">
        <v>26</v>
      </c>
      <c r="AC1843">
        <v>-96.524199999999894</v>
      </c>
      <c r="AD1843">
        <v>-0.77394549999999995</v>
      </c>
      <c r="AE1843">
        <v>-21.365099999999899</v>
      </c>
      <c r="AF1843">
        <v>-14.7017175034073</v>
      </c>
      <c r="AG1843">
        <v>-0.77394549999999995</v>
      </c>
      <c r="AH1843">
        <v>97.755052621079798</v>
      </c>
      <c r="AI1843">
        <v>90.448567876953206</v>
      </c>
      <c r="AJ1843">
        <v>98.552810091748995</v>
      </c>
      <c r="AK1843">
        <v>98.857421583495906</v>
      </c>
      <c r="AL1843">
        <v>90.158689862499401</v>
      </c>
      <c r="AM1843">
        <v>85.7773467317447</v>
      </c>
      <c r="AN1843">
        <v>0.99999998226029196</v>
      </c>
    </row>
    <row r="1844" spans="1:40" x14ac:dyDescent="0.25">
      <c r="A1844" t="str">
        <f>"20190312154832996"</f>
        <v>20190312154832996</v>
      </c>
      <c r="B1844" t="str">
        <f>"1552376912987587"</f>
        <v>1552376912987587</v>
      </c>
      <c r="C1844" t="s">
        <v>40</v>
      </c>
      <c r="D1844">
        <v>4.9160279999999998</v>
      </c>
      <c r="E1844">
        <v>0.41307060000000001</v>
      </c>
      <c r="F1844" t="s">
        <v>54</v>
      </c>
      <c r="G1844">
        <v>-322.59840000000003</v>
      </c>
      <c r="H1844">
        <v>0.3669577</v>
      </c>
      <c r="I1844">
        <v>262.4984</v>
      </c>
      <c r="J1844">
        <v>-226.80709999999999</v>
      </c>
      <c r="K1844">
        <v>1.1081190000000001</v>
      </c>
      <c r="L1844">
        <v>284.00889999999998</v>
      </c>
      <c r="M1844">
        <v>-0.99763049999999998</v>
      </c>
      <c r="N1844">
        <v>0</v>
      </c>
      <c r="O1844">
        <v>-6.8800330000000007E-2</v>
      </c>
      <c r="P1844">
        <v>-0.99999369999999999</v>
      </c>
      <c r="Q1844">
        <v>-9.852572999999999E-4</v>
      </c>
      <c r="R1844">
        <v>3.4155240000000001E-3</v>
      </c>
      <c r="S1844">
        <v>-3.0034480000000001</v>
      </c>
      <c r="T1844">
        <v>-2.3066280000000002E-2</v>
      </c>
      <c r="U1844">
        <v>-0.67102050000000002</v>
      </c>
      <c r="V1844">
        <v>7.220741E-2</v>
      </c>
      <c r="W1844">
        <v>-1.2691499999999999E-3</v>
      </c>
      <c r="X1844">
        <v>0.99738879999999996</v>
      </c>
      <c r="Y1844">
        <v>-0.15037729999999999</v>
      </c>
      <c r="Z1844" s="1">
        <v>-4.976022E-5</v>
      </c>
      <c r="AA1844">
        <v>0.98862870000000003</v>
      </c>
      <c r="AB1844">
        <v>27</v>
      </c>
      <c r="AC1844">
        <v>-95.791300000000007</v>
      </c>
      <c r="AD1844">
        <v>-0.74116130000000002</v>
      </c>
      <c r="AE1844">
        <v>-21.510499999999901</v>
      </c>
      <c r="AF1844">
        <v>-14.8682097183474</v>
      </c>
      <c r="AG1844">
        <v>-0.74116130000000002</v>
      </c>
      <c r="AH1844">
        <v>97.038716806634298</v>
      </c>
      <c r="AI1844">
        <v>90.432556858916001</v>
      </c>
      <c r="AJ1844">
        <v>98.711076458826994</v>
      </c>
      <c r="AK1844">
        <v>98.173955506435405</v>
      </c>
      <c r="AL1844">
        <v>90.072716960302202</v>
      </c>
      <c r="AM1844">
        <v>85.859213081884107</v>
      </c>
      <c r="AN1844">
        <v>0.99999996958303405</v>
      </c>
    </row>
    <row r="1845" spans="1:40" x14ac:dyDescent="0.25">
      <c r="A1845" t="str">
        <f>"20190312154833015"</f>
        <v>20190312154833015</v>
      </c>
      <c r="B1845" t="str">
        <f>"1552376913008083"</f>
        <v>1552376913008083</v>
      </c>
      <c r="C1845" t="s">
        <v>40</v>
      </c>
      <c r="D1845">
        <v>4.9222950000000001</v>
      </c>
      <c r="E1845">
        <v>0.41280650000000002</v>
      </c>
      <c r="F1845" t="s">
        <v>55</v>
      </c>
      <c r="G1845">
        <v>-320.69830000000002</v>
      </c>
      <c r="H1845">
        <v>0.352747599999999</v>
      </c>
      <c r="I1845">
        <v>262.61500000000001</v>
      </c>
      <c r="J1845">
        <v>-227.04929999999999</v>
      </c>
      <c r="K1845">
        <v>1.1081209999999999</v>
      </c>
      <c r="L1845">
        <v>283.99220000000003</v>
      </c>
      <c r="M1845">
        <v>-0.99762360000000005</v>
      </c>
      <c r="N1845">
        <v>0</v>
      </c>
      <c r="O1845">
        <v>-6.8901180000000006E-2</v>
      </c>
      <c r="P1845">
        <v>-0.99999660000000001</v>
      </c>
      <c r="Q1845" s="1">
        <v>-9.5963479999999996E-5</v>
      </c>
      <c r="R1845">
        <v>2.687091E-3</v>
      </c>
      <c r="S1845">
        <v>-3.0023499999999999</v>
      </c>
      <c r="T1845">
        <v>-2.4152989999999999E-2</v>
      </c>
      <c r="U1845">
        <v>-0.68411250000000001</v>
      </c>
      <c r="V1845">
        <v>7.1581779999999998E-2</v>
      </c>
      <c r="W1845">
        <v>-3.694921E-4</v>
      </c>
      <c r="X1845">
        <v>0.99743470000000001</v>
      </c>
      <c r="Y1845">
        <v>-0.154454799999999</v>
      </c>
      <c r="Z1845" s="1">
        <v>-6.7515120000000001E-5</v>
      </c>
      <c r="AA1845">
        <v>0.98799990000000004</v>
      </c>
      <c r="AB1845">
        <v>27</v>
      </c>
      <c r="AC1845">
        <v>-93.649000000000001</v>
      </c>
      <c r="AD1845">
        <v>-0.75537339999999997</v>
      </c>
      <c r="AE1845">
        <v>-21.377199999999998</v>
      </c>
      <c r="AF1845">
        <v>-14.872951263526501</v>
      </c>
      <c r="AG1845">
        <v>-0.75537339999999997</v>
      </c>
      <c r="AH1845">
        <v>94.893488340611995</v>
      </c>
      <c r="AI1845">
        <v>90.450577125969303</v>
      </c>
      <c r="AJ1845">
        <v>98.907677475171496</v>
      </c>
      <c r="AK1845">
        <v>96.054929065147505</v>
      </c>
      <c r="AL1845">
        <v>90.021170337649806</v>
      </c>
      <c r="AM1845">
        <v>85.895155369628299</v>
      </c>
      <c r="AN1845">
        <v>1.00000003425823</v>
      </c>
    </row>
    <row r="1846" spans="1:40" x14ac:dyDescent="0.25">
      <c r="A1846" t="str">
        <f>"20190312154833037"</f>
        <v>20190312154833037</v>
      </c>
      <c r="B1846" t="str">
        <f>"1552376913027603"</f>
        <v>1552376913027603</v>
      </c>
      <c r="C1846" t="s">
        <v>40</v>
      </c>
      <c r="D1846">
        <v>4.915286</v>
      </c>
      <c r="E1846">
        <v>0.41269610000000001</v>
      </c>
      <c r="F1846" t="s">
        <v>55</v>
      </c>
      <c r="G1846">
        <v>-320.7525</v>
      </c>
      <c r="H1846">
        <v>0.40969250000000001</v>
      </c>
      <c r="I1846">
        <v>262.50130000000001</v>
      </c>
      <c r="J1846">
        <v>-227.31989999999999</v>
      </c>
      <c r="K1846">
        <v>1.108133</v>
      </c>
      <c r="L1846">
        <v>283.97340000000003</v>
      </c>
      <c r="M1846">
        <v>-0.9976159</v>
      </c>
      <c r="N1846">
        <v>0</v>
      </c>
      <c r="O1846">
        <v>-6.9012519999999994E-2</v>
      </c>
      <c r="P1846">
        <v>-0.99999850000000001</v>
      </c>
      <c r="Q1846">
        <v>9.5323290000000002E-4</v>
      </c>
      <c r="R1846">
        <v>1.573629E-3</v>
      </c>
      <c r="S1846">
        <v>-3.001862</v>
      </c>
      <c r="T1846">
        <v>-2.2375579999999999E-2</v>
      </c>
      <c r="U1846">
        <v>-0.68847659999999999</v>
      </c>
      <c r="V1846">
        <v>7.0582240000000004E-2</v>
      </c>
      <c r="W1846">
        <v>6.9314649999999904E-4</v>
      </c>
      <c r="X1846">
        <v>0.99750570000000005</v>
      </c>
      <c r="Y1846">
        <v>-0.15574449999999901</v>
      </c>
      <c r="Z1846" s="1">
        <v>-6.6483449999999998E-5</v>
      </c>
      <c r="AA1846">
        <v>0.98779740000000005</v>
      </c>
      <c r="AB1846">
        <v>27</v>
      </c>
      <c r="AC1846">
        <v>-93.432599999999994</v>
      </c>
      <c r="AD1846">
        <v>-0.69844050000000002</v>
      </c>
      <c r="AE1846">
        <v>-21.472100000000001</v>
      </c>
      <c r="AF1846">
        <v>-14.9720929235363</v>
      </c>
      <c r="AG1846">
        <v>-0.69844050000000002</v>
      </c>
      <c r="AH1846">
        <v>94.686655311432403</v>
      </c>
      <c r="AI1846">
        <v>90.417439051621798</v>
      </c>
      <c r="AJ1846">
        <v>98.985359945944893</v>
      </c>
      <c r="AK1846">
        <v>95.865604257778799</v>
      </c>
      <c r="AL1846">
        <v>89.960285626883802</v>
      </c>
      <c r="AM1846">
        <v>85.952569101193205</v>
      </c>
      <c r="AN1846">
        <v>0.99999997729398804</v>
      </c>
    </row>
    <row r="1847" spans="1:40" x14ac:dyDescent="0.25">
      <c r="A1847" t="str">
        <f>"20190312154833059"</f>
        <v>20190312154833059</v>
      </c>
      <c r="B1847" t="str">
        <f>"1552376913048113"</f>
        <v>1552376913048113</v>
      </c>
      <c r="C1847" t="s">
        <v>40</v>
      </c>
      <c r="D1847">
        <v>4.8908440000000004</v>
      </c>
      <c r="E1847">
        <v>0.41264339999999999</v>
      </c>
      <c r="F1847" t="s">
        <v>54</v>
      </c>
      <c r="G1847">
        <v>-323.33839999999998</v>
      </c>
      <c r="H1847">
        <v>0.45779890000000001</v>
      </c>
      <c r="I1847">
        <v>261.81040000000002</v>
      </c>
      <c r="J1847">
        <v>-227.59909999999999</v>
      </c>
      <c r="K1847">
        <v>1.108131</v>
      </c>
      <c r="L1847">
        <v>283.95389999999998</v>
      </c>
      <c r="M1847">
        <v>-0.9976081</v>
      </c>
      <c r="N1847">
        <v>0</v>
      </c>
      <c r="O1847">
        <v>-6.9125290000000006E-2</v>
      </c>
      <c r="P1847">
        <v>-0.99999959999999999</v>
      </c>
      <c r="Q1847">
        <v>8.9825129999999997E-4</v>
      </c>
      <c r="R1847">
        <v>7.8947449999999895E-4</v>
      </c>
      <c r="S1847">
        <v>-3.0011139999999998</v>
      </c>
      <c r="T1847">
        <v>-2.0324709999999999E-2</v>
      </c>
      <c r="U1847">
        <v>-0.69271850000000001</v>
      </c>
      <c r="V1847">
        <v>6.9913050000000004E-2</v>
      </c>
      <c r="W1847">
        <v>6.5309180000000001E-4</v>
      </c>
      <c r="X1847">
        <v>0.99755289999999996</v>
      </c>
      <c r="Y1847">
        <v>-0.15701270000000001</v>
      </c>
      <c r="Z1847" s="1">
        <v>-6.388981E-5</v>
      </c>
      <c r="AA1847">
        <v>0.98759660000000005</v>
      </c>
      <c r="AB1847">
        <v>28</v>
      </c>
      <c r="AC1847">
        <v>-95.7393</v>
      </c>
      <c r="AD1847">
        <v>-0.65033209999999997</v>
      </c>
      <c r="AE1847">
        <v>-22.1434999999999</v>
      </c>
      <c r="AF1847">
        <v>-15.4718486890684</v>
      </c>
      <c r="AG1847">
        <v>-0.65033209999999997</v>
      </c>
      <c r="AH1847">
        <v>97.036715972717502</v>
      </c>
      <c r="AI1847">
        <v>90.379196260350298</v>
      </c>
      <c r="AJ1847">
        <v>99.059170649744402</v>
      </c>
      <c r="AK1847">
        <v>98.264567777340602</v>
      </c>
      <c r="AL1847">
        <v>89.962580594489296</v>
      </c>
      <c r="AM1847">
        <v>85.991006128106903</v>
      </c>
      <c r="AN1847">
        <v>1.0000000246937999</v>
      </c>
    </row>
    <row r="1848" spans="1:40" x14ac:dyDescent="0.25">
      <c r="A1848" t="str">
        <f>"20190312154833083"</f>
        <v>20190312154833083</v>
      </c>
      <c r="B1848" t="str">
        <f>"1552376913077380"</f>
        <v>1552376913077380</v>
      </c>
      <c r="C1848" t="s">
        <v>40</v>
      </c>
      <c r="D1848">
        <v>4.8803519999999896</v>
      </c>
      <c r="E1848">
        <v>0.41230339999999999</v>
      </c>
      <c r="F1848" t="s">
        <v>54</v>
      </c>
      <c r="G1848">
        <v>-323.33179999999999</v>
      </c>
      <c r="H1848">
        <v>0.43354680000000001</v>
      </c>
      <c r="I1848">
        <v>261.7577</v>
      </c>
      <c r="J1848">
        <v>-227.88910000000001</v>
      </c>
      <c r="K1848">
        <v>1.10812</v>
      </c>
      <c r="L1848">
        <v>283.93369999999999</v>
      </c>
      <c r="M1848">
        <v>-0.9976003</v>
      </c>
      <c r="N1848">
        <v>0</v>
      </c>
      <c r="O1848">
        <v>-6.9237590000000002E-2</v>
      </c>
      <c r="P1848">
        <v>-1</v>
      </c>
      <c r="Q1848">
        <v>6.3537619999999996E-4</v>
      </c>
      <c r="R1848">
        <v>3.7747639999999999E-4</v>
      </c>
      <c r="S1848">
        <v>-3.0005950000000001</v>
      </c>
      <c r="T1848">
        <v>-2.114189E-2</v>
      </c>
      <c r="U1848">
        <v>-0.69570919999999903</v>
      </c>
      <c r="V1848">
        <v>6.9614280000000001E-2</v>
      </c>
      <c r="W1848">
        <v>4.0752079999999998E-4</v>
      </c>
      <c r="X1848">
        <v>0.99757390000000001</v>
      </c>
      <c r="Y1848">
        <v>-0.15787309999999999</v>
      </c>
      <c r="Z1848" s="1">
        <v>-6.8681400000000003E-5</v>
      </c>
      <c r="AA1848">
        <v>0.98745939999999999</v>
      </c>
      <c r="AB1848">
        <v>28</v>
      </c>
      <c r="AC1848">
        <v>-95.442699999999903</v>
      </c>
      <c r="AD1848">
        <v>-0.67457319999999998</v>
      </c>
      <c r="AE1848">
        <v>-22.175999999999899</v>
      </c>
      <c r="AF1848">
        <v>-15.513824864584601</v>
      </c>
      <c r="AG1848">
        <v>-0.67457319999999998</v>
      </c>
      <c r="AH1848">
        <v>96.744483894713696</v>
      </c>
      <c r="AI1848">
        <v>90.394462118912799</v>
      </c>
      <c r="AJ1848">
        <v>99.110317796043006</v>
      </c>
      <c r="AK1848">
        <v>97.982799383288096</v>
      </c>
      <c r="AL1848">
        <v>89.976650777450004</v>
      </c>
      <c r="AM1848">
        <v>86.008166623151894</v>
      </c>
      <c r="AN1848">
        <v>1.0000000000071601</v>
      </c>
    </row>
    <row r="1849" spans="1:40" x14ac:dyDescent="0.25">
      <c r="A1849" t="str">
        <f>"20190312154833104"</f>
        <v>20190312154833104</v>
      </c>
      <c r="B1849" t="str">
        <f>"1552376913097877"</f>
        <v>1552376913097877</v>
      </c>
      <c r="C1849" t="s">
        <v>40</v>
      </c>
      <c r="D1849">
        <v>4.8419210000000001</v>
      </c>
      <c r="E1849">
        <v>0.412157</v>
      </c>
      <c r="F1849" t="s">
        <v>54</v>
      </c>
      <c r="G1849">
        <v>-323.32249999999999</v>
      </c>
      <c r="H1849">
        <v>0.50892970000000004</v>
      </c>
      <c r="I1849">
        <v>261.68310000000002</v>
      </c>
      <c r="J1849">
        <v>-228.1634</v>
      </c>
      <c r="K1849">
        <v>1.1081099999999999</v>
      </c>
      <c r="L1849">
        <v>283.91460000000001</v>
      </c>
      <c r="M1849">
        <v>-0.99759350000000002</v>
      </c>
      <c r="N1849">
        <v>0</v>
      </c>
      <c r="O1849">
        <v>-6.9335820000000006E-2</v>
      </c>
      <c r="P1849">
        <v>-1</v>
      </c>
      <c r="Q1849" s="1">
        <v>-1.979433E-5</v>
      </c>
      <c r="R1849">
        <v>5.1099730000000001E-4</v>
      </c>
      <c r="S1849">
        <v>-3.0002749999999998</v>
      </c>
      <c r="T1849">
        <v>-1.8835660000000001E-2</v>
      </c>
      <c r="U1849">
        <v>-0.69952389999999998</v>
      </c>
      <c r="V1849">
        <v>6.9845589999999999E-2</v>
      </c>
      <c r="W1849">
        <v>-2.308678E-4</v>
      </c>
      <c r="X1849">
        <v>0.99755780000000005</v>
      </c>
      <c r="Y1849">
        <v>-0.15899050000000001</v>
      </c>
      <c r="Z1849" s="1">
        <v>-6.4047780000000006E-5</v>
      </c>
      <c r="AA1849">
        <v>0.98728009999999999</v>
      </c>
      <c r="AB1849">
        <v>28</v>
      </c>
      <c r="AC1849">
        <v>-95.159099999999995</v>
      </c>
      <c r="AD1849">
        <v>-0.599180299999999</v>
      </c>
      <c r="AE1849">
        <v>-22.231499999999901</v>
      </c>
      <c r="AF1849">
        <v>-15.5794780240791</v>
      </c>
      <c r="AG1849">
        <v>-0.599180299999999</v>
      </c>
      <c r="AH1849">
        <v>96.467900236210895</v>
      </c>
      <c r="AI1849">
        <v>90.351318374699503</v>
      </c>
      <c r="AJ1849">
        <v>99.1740048264206</v>
      </c>
      <c r="AK1849">
        <v>97.719675237478199</v>
      </c>
      <c r="AL1849">
        <v>90.013227750523697</v>
      </c>
      <c r="AM1849">
        <v>85.994881471758902</v>
      </c>
      <c r="AN1849">
        <v>1.0000000120416099</v>
      </c>
    </row>
    <row r="1850" spans="1:40" x14ac:dyDescent="0.25">
      <c r="A1850" t="str">
        <f>"20190312154833128"</f>
        <v>20190312154833128</v>
      </c>
      <c r="B1850" t="str">
        <f>"1552376913117395"</f>
        <v>1552376913117395</v>
      </c>
      <c r="C1850" t="s">
        <v>40</v>
      </c>
      <c r="D1850">
        <v>4.9079420000000002</v>
      </c>
      <c r="E1850">
        <v>0.41204190000000002</v>
      </c>
      <c r="F1850" t="s">
        <v>54</v>
      </c>
      <c r="G1850">
        <v>-323.32639999999998</v>
      </c>
      <c r="H1850">
        <v>0.48313080000000003</v>
      </c>
      <c r="I1850">
        <v>261.714</v>
      </c>
      <c r="J1850">
        <v>-228.45949999999999</v>
      </c>
      <c r="K1850">
        <v>1.1080950000000001</v>
      </c>
      <c r="L1850">
        <v>283.89389999999997</v>
      </c>
      <c r="M1850">
        <v>-0.997587</v>
      </c>
      <c r="N1850">
        <v>0</v>
      </c>
      <c r="O1850">
        <v>-6.9427970000000006E-2</v>
      </c>
      <c r="P1850">
        <v>-0.99999959999999999</v>
      </c>
      <c r="Q1850">
        <v>-8.3979780000000004E-4</v>
      </c>
      <c r="R1850">
        <v>3.6532090000000001E-4</v>
      </c>
      <c r="S1850">
        <v>-3.0003359999999999</v>
      </c>
      <c r="T1850">
        <v>-1.9702669999999999E-2</v>
      </c>
      <c r="U1850">
        <v>-0.6999512</v>
      </c>
      <c r="V1850">
        <v>6.9792510000000002E-2</v>
      </c>
      <c r="W1850">
        <v>-1.0318219999999999E-3</v>
      </c>
      <c r="X1850">
        <v>0.99756100000000003</v>
      </c>
      <c r="Y1850">
        <v>-0.159028</v>
      </c>
      <c r="Z1850" s="1">
        <v>-6.652184E-5</v>
      </c>
      <c r="AA1850">
        <v>0.98727410000000004</v>
      </c>
      <c r="AB1850">
        <v>28</v>
      </c>
      <c r="AC1850">
        <v>-94.866900000000001</v>
      </c>
      <c r="AD1850">
        <v>-0.62496419999999997</v>
      </c>
      <c r="AE1850">
        <v>-22.1798999999999</v>
      </c>
      <c r="AF1850">
        <v>-15.539323664999699</v>
      </c>
      <c r="AG1850">
        <v>-0.62496419999999997</v>
      </c>
      <c r="AH1850">
        <v>96.173930913559005</v>
      </c>
      <c r="AI1850">
        <v>90.367551515587394</v>
      </c>
      <c r="AJ1850">
        <v>99.178255651743399</v>
      </c>
      <c r="AK1850">
        <v>97.423232073170894</v>
      </c>
      <c r="AL1850">
        <v>90.059119056067502</v>
      </c>
      <c r="AM1850">
        <v>85.997928111970197</v>
      </c>
      <c r="AN1850">
        <v>1.00000000391487</v>
      </c>
    </row>
    <row r="1851" spans="1:40" x14ac:dyDescent="0.25">
      <c r="A1851" t="str">
        <f>"20190312154833149"</f>
        <v>20190312154833149</v>
      </c>
      <c r="B1851" t="str">
        <f>"1552376913137891"</f>
        <v>1552376913137891</v>
      </c>
      <c r="C1851" t="s">
        <v>40</v>
      </c>
      <c r="D1851">
        <v>4.6459330000000003</v>
      </c>
      <c r="E1851">
        <v>0.411775</v>
      </c>
      <c r="F1851" t="s">
        <v>54</v>
      </c>
      <c r="G1851">
        <v>-323.32679999999999</v>
      </c>
      <c r="H1851">
        <v>0.4777941</v>
      </c>
      <c r="I1851">
        <v>261.71719999999999</v>
      </c>
      <c r="J1851">
        <v>-228.74600000000001</v>
      </c>
      <c r="K1851">
        <v>1.1080779999999999</v>
      </c>
      <c r="L1851">
        <v>283.87380000000002</v>
      </c>
      <c r="M1851">
        <v>-0.99758199999999997</v>
      </c>
      <c r="N1851">
        <v>0</v>
      </c>
      <c r="O1851">
        <v>-6.9500210000000007E-2</v>
      </c>
      <c r="P1851">
        <v>-0.99999919999999998</v>
      </c>
      <c r="Q1851">
        <v>-1.2945910000000001E-3</v>
      </c>
      <c r="R1851">
        <v>-6.9154350000000004E-4</v>
      </c>
      <c r="S1851">
        <v>-3.0002439999999999</v>
      </c>
      <c r="T1851">
        <v>-1.9931790000000001E-2</v>
      </c>
      <c r="U1851">
        <v>-0.70135499999999995</v>
      </c>
      <c r="V1851">
        <v>6.8810540000000003E-2</v>
      </c>
      <c r="W1851">
        <v>-1.467706E-3</v>
      </c>
      <c r="X1851">
        <v>0.99762870000000003</v>
      </c>
      <c r="Y1851">
        <v>-0.15940119999999999</v>
      </c>
      <c r="Z1851" s="1">
        <v>-6.8048039999999999E-5</v>
      </c>
      <c r="AA1851">
        <v>0.98721389999999998</v>
      </c>
      <c r="AB1851">
        <v>29</v>
      </c>
      <c r="AC1851">
        <v>-94.580799999999996</v>
      </c>
      <c r="AD1851">
        <v>-0.63028390000000001</v>
      </c>
      <c r="AE1851">
        <v>-22.156600000000001</v>
      </c>
      <c r="AF1851">
        <v>-15.5289851583131</v>
      </c>
      <c r="AG1851">
        <v>-0.63028390000000001</v>
      </c>
      <c r="AH1851">
        <v>95.887949225814793</v>
      </c>
      <c r="AI1851">
        <v>90.371763614098896</v>
      </c>
      <c r="AJ1851">
        <v>99.199141896921702</v>
      </c>
      <c r="AK1851">
        <v>97.139309471367696</v>
      </c>
      <c r="AL1851">
        <v>90.084093386713803</v>
      </c>
      <c r="AM1851">
        <v>86.054324441368394</v>
      </c>
      <c r="AN1851">
        <v>1.00000003381984</v>
      </c>
    </row>
    <row r="1852" spans="1:40" x14ac:dyDescent="0.25">
      <c r="A1852" t="str">
        <f>"20190312154833328"</f>
        <v>20190312154833328</v>
      </c>
      <c r="B1852" t="str">
        <f>"1552376913317512"</f>
        <v>1552376913317512</v>
      </c>
      <c r="C1852" t="s">
        <v>40</v>
      </c>
      <c r="D1852">
        <v>3.1646100000000001</v>
      </c>
      <c r="E1852">
        <v>0.3782161</v>
      </c>
      <c r="F1852" t="s">
        <v>54</v>
      </c>
      <c r="G1852">
        <v>-322.5093</v>
      </c>
      <c r="H1852">
        <v>0.37915890000000002</v>
      </c>
      <c r="I1852">
        <v>261.78559999999999</v>
      </c>
      <c r="J1852">
        <v>-231.11519999999999</v>
      </c>
      <c r="K1852">
        <v>1.1078460000000001</v>
      </c>
      <c r="L1852">
        <v>283.70870000000002</v>
      </c>
      <c r="M1852">
        <v>-0.99760219999999999</v>
      </c>
      <c r="N1852">
        <v>0</v>
      </c>
      <c r="O1852">
        <v>-6.9209010000000001E-2</v>
      </c>
      <c r="P1852">
        <v>-0.99994419999999995</v>
      </c>
      <c r="Q1852">
        <v>-4.4214900000000001E-3</v>
      </c>
      <c r="R1852">
        <v>-9.5862759999999995E-3</v>
      </c>
      <c r="S1852">
        <v>-2.9994809999999998</v>
      </c>
      <c r="T1852">
        <v>-2.3316139999999999E-2</v>
      </c>
      <c r="U1852">
        <v>-0.70660400000000001</v>
      </c>
      <c r="V1852">
        <v>5.964034E-2</v>
      </c>
      <c r="W1852">
        <v>-4.419765E-3</v>
      </c>
      <c r="X1852">
        <v>0.99821009999999999</v>
      </c>
      <c r="Y1852">
        <v>-0.16138129999999901</v>
      </c>
      <c r="Z1852" s="1">
        <v>-8.9426229999999996E-5</v>
      </c>
      <c r="AA1852">
        <v>0.98689210000000005</v>
      </c>
      <c r="AB1852">
        <v>30</v>
      </c>
      <c r="AC1852">
        <v>-91.394099999999995</v>
      </c>
      <c r="AD1852">
        <v>-0.72868709999999903</v>
      </c>
      <c r="AE1852">
        <v>-21.923100000000002</v>
      </c>
      <c r="AF1852">
        <v>-15.5443029529157</v>
      </c>
      <c r="AG1852">
        <v>-0.72868709999999903</v>
      </c>
      <c r="AH1852">
        <v>92.686658155820496</v>
      </c>
      <c r="AI1852">
        <v>90.444236884781404</v>
      </c>
      <c r="AJ1852">
        <v>99.520369194671801</v>
      </c>
      <c r="AK1852">
        <v>93.983897233918</v>
      </c>
      <c r="AL1852">
        <v>90.253234717026601</v>
      </c>
      <c r="AM1852">
        <v>86.580797609636207</v>
      </c>
      <c r="AN1852">
        <v>0.99999995410998899</v>
      </c>
    </row>
    <row r="1853" spans="1:40" x14ac:dyDescent="0.25">
      <c r="A1853" t="str">
        <f>"20190312154833349"</f>
        <v>20190312154833349</v>
      </c>
      <c r="B1853" t="str">
        <f>"1552376913347769"</f>
        <v>1552376913347769</v>
      </c>
      <c r="C1853" t="s">
        <v>40</v>
      </c>
      <c r="D1853">
        <v>4.7218309999999999</v>
      </c>
      <c r="E1853">
        <v>0.55526009999999903</v>
      </c>
      <c r="F1853" t="s">
        <v>50</v>
      </c>
      <c r="G1853">
        <v>-236.6713</v>
      </c>
      <c r="H1853" s="1">
        <v>2.1355379999999999E-6</v>
      </c>
      <c r="I1853">
        <v>281.82130000000001</v>
      </c>
      <c r="J1853">
        <v>-231.42230000000001</v>
      </c>
      <c r="K1853">
        <v>1.1077779999999999</v>
      </c>
      <c r="L1853">
        <v>283.68759999999997</v>
      </c>
      <c r="M1853">
        <v>-0.99762229999999996</v>
      </c>
      <c r="N1853">
        <v>0</v>
      </c>
      <c r="O1853">
        <v>-6.8919229999999998E-2</v>
      </c>
      <c r="P1853">
        <v>-0.99994249999999996</v>
      </c>
      <c r="Q1853">
        <v>-4.7370110000000002E-3</v>
      </c>
      <c r="R1853">
        <v>-9.6215350000000005E-3</v>
      </c>
      <c r="S1853">
        <v>-2.9878079999999998</v>
      </c>
      <c r="T1853">
        <v>-0.59574439999999995</v>
      </c>
      <c r="U1853">
        <v>-1.0149539999999999</v>
      </c>
      <c r="V1853">
        <v>5.9314190000000003E-2</v>
      </c>
      <c r="W1853">
        <v>-4.7147350000000003E-3</v>
      </c>
      <c r="X1853">
        <v>0.99822829999999996</v>
      </c>
      <c r="Y1853">
        <v>-0.25240119999999999</v>
      </c>
      <c r="Z1853">
        <v>-1.105489E-2</v>
      </c>
      <c r="AA1853">
        <v>0.96755950000000002</v>
      </c>
      <c r="AB1853">
        <v>31</v>
      </c>
      <c r="AC1853">
        <v>-5.2489999999999899</v>
      </c>
      <c r="AD1853">
        <v>-1.1077758644619999</v>
      </c>
      <c r="AE1853">
        <v>-1.8662999999999601</v>
      </c>
      <c r="AF1853">
        <v>-1.4430454767243599</v>
      </c>
      <c r="AG1853">
        <v>-1.1077758644619999</v>
      </c>
      <c r="AH1853">
        <v>5.1610677632106796</v>
      </c>
      <c r="AI1853">
        <v>101.67926930138501</v>
      </c>
      <c r="AJ1853">
        <v>105.621104650015</v>
      </c>
      <c r="AK1853">
        <v>5.4723092082074096</v>
      </c>
      <c r="AL1853">
        <v>90.270135398807994</v>
      </c>
      <c r="AM1853">
        <v>86.599513762869904</v>
      </c>
      <c r="AN1853">
        <v>1.00000007039118</v>
      </c>
    </row>
    <row r="1854" spans="1:40" x14ac:dyDescent="0.25">
      <c r="A1854" t="str">
        <f>"20190312154833375"</f>
        <v>20190312154833375</v>
      </c>
      <c r="B1854" t="str">
        <f>"1552376913368264"</f>
        <v>1552376913368264</v>
      </c>
      <c r="C1854" t="s">
        <v>40</v>
      </c>
      <c r="D1854">
        <v>4.9200350000000004</v>
      </c>
      <c r="E1854">
        <v>0.55171990000000004</v>
      </c>
      <c r="F1854" t="s">
        <v>41</v>
      </c>
      <c r="G1854">
        <v>-232.29239999999999</v>
      </c>
      <c r="H1854">
        <v>0.85676529999999995</v>
      </c>
      <c r="I1854">
        <v>283.80110000000002</v>
      </c>
      <c r="J1854">
        <v>-231.7628</v>
      </c>
      <c r="K1854">
        <v>1.1077079999999999</v>
      </c>
      <c r="L1854">
        <v>283.6644</v>
      </c>
      <c r="M1854">
        <v>-0.99765040000000005</v>
      </c>
      <c r="N1854">
        <v>0</v>
      </c>
      <c r="O1854">
        <v>-6.8511810000000006E-2</v>
      </c>
      <c r="P1854">
        <v>-0.99994430000000001</v>
      </c>
      <c r="Q1854">
        <v>-5.3379179999999997E-3</v>
      </c>
      <c r="R1854">
        <v>-9.1295479999999995E-3</v>
      </c>
      <c r="S1854">
        <v>-2.9998469999999999</v>
      </c>
      <c r="T1854">
        <v>-0.86537379999999997</v>
      </c>
      <c r="U1854">
        <v>0.39059450000000001</v>
      </c>
      <c r="V1854">
        <v>5.9396549999999999E-2</v>
      </c>
      <c r="W1854">
        <v>-5.2923090000000002E-3</v>
      </c>
      <c r="X1854">
        <v>0.99822040000000001</v>
      </c>
      <c r="Y1854">
        <v>0.18650120000000001</v>
      </c>
      <c r="Z1854">
        <v>4.5560030000000001E-2</v>
      </c>
      <c r="AA1854">
        <v>0.98139770000000004</v>
      </c>
      <c r="AB1854">
        <v>31</v>
      </c>
      <c r="AC1854">
        <v>-0.52959999999998697</v>
      </c>
      <c r="AD1854">
        <v>-0.25094269999999902</v>
      </c>
      <c r="AE1854">
        <v>0.136700000000018</v>
      </c>
      <c r="AF1854">
        <v>0.14263808581986601</v>
      </c>
      <c r="AG1854">
        <v>-0.25094269999999902</v>
      </c>
      <c r="AH1854">
        <v>0.42874209631277199</v>
      </c>
      <c r="AI1854">
        <v>119.046539208425</v>
      </c>
      <c r="AJ1854">
        <v>71.598246536927704</v>
      </c>
      <c r="AK1854">
        <v>0.51685360341233499</v>
      </c>
      <c r="AL1854">
        <v>90.303228396358094</v>
      </c>
      <c r="AM1854">
        <v>86.5947762762857</v>
      </c>
      <c r="AN1854">
        <v>0.99999996283130599</v>
      </c>
    </row>
    <row r="1855" spans="1:40" x14ac:dyDescent="0.25">
      <c r="A1855" t="str">
        <f>"20190312154833396"</f>
        <v>20190312154833396</v>
      </c>
      <c r="B1855" t="str">
        <f>"1552376913387784"</f>
        <v>1552376913387784</v>
      </c>
      <c r="C1855" t="s">
        <v>40</v>
      </c>
      <c r="D1855">
        <v>4.8895989999999996</v>
      </c>
      <c r="E1855">
        <v>0.54679849999999997</v>
      </c>
      <c r="F1855" t="s">
        <v>41</v>
      </c>
      <c r="G1855">
        <v>-232.59299999999999</v>
      </c>
      <c r="H1855">
        <v>0.91380479999999997</v>
      </c>
      <c r="I1855">
        <v>283.7663</v>
      </c>
      <c r="J1855">
        <v>-232.07239999999999</v>
      </c>
      <c r="K1855">
        <v>1.1076469999999901</v>
      </c>
      <c r="L1855">
        <v>283.64359999999999</v>
      </c>
      <c r="M1855">
        <v>-0.99768100000000004</v>
      </c>
      <c r="N1855">
        <v>0</v>
      </c>
      <c r="O1855">
        <v>-6.8063150000000003E-2</v>
      </c>
      <c r="P1855">
        <v>-0.99995089999999998</v>
      </c>
      <c r="Q1855">
        <v>-5.538655E-3</v>
      </c>
      <c r="R1855">
        <v>-8.2166840000000001E-3</v>
      </c>
      <c r="S1855">
        <v>-2.9998019999999999</v>
      </c>
      <c r="T1855">
        <v>-0.70062469999999999</v>
      </c>
      <c r="U1855">
        <v>0.36752319999999999</v>
      </c>
      <c r="V1855">
        <v>5.9857710000000001E-2</v>
      </c>
      <c r="W1855">
        <v>-5.4714580000000002E-3</v>
      </c>
      <c r="X1855">
        <v>0.99819199999999997</v>
      </c>
      <c r="Y1855">
        <v>0.1822329</v>
      </c>
      <c r="Z1855">
        <v>3.6559420000000002E-2</v>
      </c>
      <c r="AA1855">
        <v>0.98257550000000005</v>
      </c>
      <c r="AB1855">
        <v>31</v>
      </c>
      <c r="AC1855">
        <v>-0.52060000000000095</v>
      </c>
      <c r="AD1855">
        <v>-0.19384219999999899</v>
      </c>
      <c r="AE1855">
        <v>0.122700000000008</v>
      </c>
      <c r="AF1855">
        <v>0.13952357540419899</v>
      </c>
      <c r="AG1855">
        <v>-0.19384219999999899</v>
      </c>
      <c r="AH1855">
        <v>0.45171182417660399</v>
      </c>
      <c r="AI1855">
        <v>112.29435179875</v>
      </c>
      <c r="AJ1855">
        <v>72.835263237666396</v>
      </c>
      <c r="AK1855">
        <v>0.51096496816843195</v>
      </c>
      <c r="AL1855">
        <v>90.313492991667502</v>
      </c>
      <c r="AM1855">
        <v>86.568303359133907</v>
      </c>
      <c r="AN1855">
        <v>1.0000000755815399</v>
      </c>
    </row>
    <row r="1856" spans="1:40" x14ac:dyDescent="0.25">
      <c r="A1856" t="str">
        <f>"20190312154833417"</f>
        <v>20190312154833417</v>
      </c>
      <c r="B1856" t="str">
        <f>"1552376913407312"</f>
        <v>1552376913407312</v>
      </c>
      <c r="C1856" t="s">
        <v>40</v>
      </c>
      <c r="D1856">
        <v>4.8098320000000001</v>
      </c>
      <c r="E1856">
        <v>0.5475757</v>
      </c>
      <c r="F1856" t="s">
        <v>50</v>
      </c>
      <c r="G1856">
        <v>-253.52600000000001</v>
      </c>
      <c r="H1856" s="1">
        <v>3.3957620000000001E-7</v>
      </c>
      <c r="I1856">
        <v>286.10879999999997</v>
      </c>
      <c r="J1856">
        <v>-232.36439999999999</v>
      </c>
      <c r="K1856">
        <v>1.107586</v>
      </c>
      <c r="L1856">
        <v>283.6241</v>
      </c>
      <c r="M1856">
        <v>-0.99771489999999996</v>
      </c>
      <c r="N1856">
        <v>0</v>
      </c>
      <c r="O1856">
        <v>-6.7567879999999997E-2</v>
      </c>
      <c r="P1856">
        <v>-0.99995990000000001</v>
      </c>
      <c r="Q1856">
        <v>-6.0403480000000001E-3</v>
      </c>
      <c r="R1856">
        <v>-6.6360100000000003E-3</v>
      </c>
      <c r="S1856">
        <v>-3.0021360000000001</v>
      </c>
      <c r="T1856">
        <v>-0.1549999</v>
      </c>
      <c r="U1856">
        <v>0.34497070000000002</v>
      </c>
      <c r="V1856">
        <v>6.093875E-2</v>
      </c>
      <c r="W1856">
        <v>-5.953285E-3</v>
      </c>
      <c r="X1856">
        <v>0.99812380000000001</v>
      </c>
      <c r="Y1856">
        <v>0.18069560000000001</v>
      </c>
      <c r="Z1856">
        <v>8.1224450000000007E-3</v>
      </c>
      <c r="AA1856">
        <v>0.98350550000000003</v>
      </c>
      <c r="AB1856">
        <v>31</v>
      </c>
      <c r="AC1856">
        <v>-21.1616</v>
      </c>
      <c r="AD1856">
        <v>-1.1075856604237999</v>
      </c>
      <c r="AE1856">
        <v>2.4846999999999699</v>
      </c>
      <c r="AF1856">
        <v>3.8983318818136699</v>
      </c>
      <c r="AG1856">
        <v>-1.1075856604237999</v>
      </c>
      <c r="AH1856">
        <v>20.888907919875699</v>
      </c>
      <c r="AI1856">
        <v>92.983715039905505</v>
      </c>
      <c r="AJ1856">
        <v>79.428944053779702</v>
      </c>
      <c r="AK1856">
        <v>21.278397767242399</v>
      </c>
      <c r="AL1856">
        <v>90.341100103756602</v>
      </c>
      <c r="AM1856">
        <v>86.506240383741897</v>
      </c>
      <c r="AN1856">
        <v>1.00000004649014</v>
      </c>
    </row>
    <row r="1857" spans="1:40" x14ac:dyDescent="0.25">
      <c r="A1857" t="str">
        <f>"20190312154833439"</f>
        <v>20190312154833439</v>
      </c>
      <c r="B1857" t="str">
        <f>"1552376913427801"</f>
        <v>1552376913427801</v>
      </c>
      <c r="C1857" t="s">
        <v>40</v>
      </c>
      <c r="D1857">
        <v>4.793075</v>
      </c>
      <c r="E1857">
        <v>0.54581389999999996</v>
      </c>
      <c r="F1857" t="s">
        <v>50</v>
      </c>
      <c r="G1857">
        <v>-257.88240000000002</v>
      </c>
      <c r="H1857" s="1">
        <v>2.657824E-6</v>
      </c>
      <c r="I1857">
        <v>286.65480000000002</v>
      </c>
      <c r="J1857">
        <v>-232.684</v>
      </c>
      <c r="K1857">
        <v>1.1075219999999999</v>
      </c>
      <c r="L1857">
        <v>283.60289999999998</v>
      </c>
      <c r="M1857">
        <v>-0.99775670000000005</v>
      </c>
      <c r="N1857">
        <v>0</v>
      </c>
      <c r="O1857">
        <v>-6.6944480000000001E-2</v>
      </c>
      <c r="P1857">
        <v>-0.9999692</v>
      </c>
      <c r="Q1857">
        <v>-5.9920679999999997E-3</v>
      </c>
      <c r="R1857">
        <v>-5.0817070000000004E-3</v>
      </c>
      <c r="S1857">
        <v>-3.0016940000000001</v>
      </c>
      <c r="T1857">
        <v>-0.13028589999999901</v>
      </c>
      <c r="U1857">
        <v>0.3565063</v>
      </c>
      <c r="V1857">
        <v>6.1865580000000003E-2</v>
      </c>
      <c r="W1857">
        <v>-5.8833409999999899E-3</v>
      </c>
      <c r="X1857">
        <v>0.99806709999999998</v>
      </c>
      <c r="Y1857">
        <v>0.1839189</v>
      </c>
      <c r="Z1857">
        <v>6.870976E-3</v>
      </c>
      <c r="AA1857">
        <v>0.98291740000000005</v>
      </c>
      <c r="AB1857">
        <v>31</v>
      </c>
      <c r="AC1857">
        <v>-25.1983999999999</v>
      </c>
      <c r="AD1857">
        <v>-1.1075193421759999</v>
      </c>
      <c r="AE1857">
        <v>3.0519000000000398</v>
      </c>
      <c r="AF1857">
        <v>4.7229556751331998</v>
      </c>
      <c r="AG1857">
        <v>-1.1075193421759999</v>
      </c>
      <c r="AH1857">
        <v>24.890177494530001</v>
      </c>
      <c r="AI1857">
        <v>92.503159050630401</v>
      </c>
      <c r="AJ1857">
        <v>79.255759545844796</v>
      </c>
      <c r="AK1857">
        <v>25.358506365947001</v>
      </c>
      <c r="AL1857">
        <v>90.337092570315306</v>
      </c>
      <c r="AM1857">
        <v>86.453036727735196</v>
      </c>
      <c r="AN1857">
        <v>0.99999994989623298</v>
      </c>
    </row>
    <row r="1858" spans="1:40" x14ac:dyDescent="0.25">
      <c r="A1858" t="str">
        <f>"20190312154833460"</f>
        <v>20190312154833460</v>
      </c>
      <c r="B1858" t="str">
        <f>"1552376913458056"</f>
        <v>1552376913458056</v>
      </c>
      <c r="C1858" t="s">
        <v>40</v>
      </c>
      <c r="D1858">
        <v>4.7716370000000001</v>
      </c>
      <c r="E1858">
        <v>0.54486319999999999</v>
      </c>
      <c r="F1858" t="s">
        <v>50</v>
      </c>
      <c r="G1858">
        <v>-264.75880000000001</v>
      </c>
      <c r="H1858" s="1">
        <v>9.9558139999999992E-7</v>
      </c>
      <c r="I1858">
        <v>287.32159999999999</v>
      </c>
      <c r="J1858">
        <v>-232.99109999999999</v>
      </c>
      <c r="K1858">
        <v>1.1074520000000001</v>
      </c>
      <c r="L1858">
        <v>283.5829</v>
      </c>
      <c r="M1858">
        <v>-0.99780179999999996</v>
      </c>
      <c r="N1858">
        <v>0</v>
      </c>
      <c r="O1858">
        <v>-6.6270899999999994E-2</v>
      </c>
      <c r="P1858">
        <v>-0.99998220000000004</v>
      </c>
      <c r="Q1858">
        <v>-5.3681270000000003E-3</v>
      </c>
      <c r="R1858">
        <v>-2.7136439999999999E-3</v>
      </c>
      <c r="S1858">
        <v>-3.001236</v>
      </c>
      <c r="T1858">
        <v>-0.1036309</v>
      </c>
      <c r="U1858">
        <v>0.34796139999999998</v>
      </c>
      <c r="V1858">
        <v>6.3555479999999998E-2</v>
      </c>
      <c r="W1858">
        <v>-5.2398499999999999E-3</v>
      </c>
      <c r="X1858">
        <v>0.99796459999999998</v>
      </c>
      <c r="Y1858">
        <v>0.18059929999999999</v>
      </c>
      <c r="Z1858">
        <v>5.3875850000000003E-3</v>
      </c>
      <c r="AA1858">
        <v>0.98354200000000003</v>
      </c>
      <c r="AB1858">
        <v>32</v>
      </c>
      <c r="AC1858">
        <v>-31.767700000000001</v>
      </c>
      <c r="AD1858">
        <v>-1.1074510044185999</v>
      </c>
      <c r="AE1858">
        <v>3.7386999999999899</v>
      </c>
      <c r="AF1858">
        <v>5.8287680565992597</v>
      </c>
      <c r="AG1858">
        <v>-1.1074510044185999</v>
      </c>
      <c r="AH1858">
        <v>31.4124435819223</v>
      </c>
      <c r="AI1858">
        <v>91.985275615393604</v>
      </c>
      <c r="AJ1858">
        <v>79.487981484721601</v>
      </c>
      <c r="AK1858">
        <v>31.9678369079341</v>
      </c>
      <c r="AL1858">
        <v>90.300222649413698</v>
      </c>
      <c r="AM1858">
        <v>86.356033359119806</v>
      </c>
      <c r="AN1858">
        <v>1.0000000489595999</v>
      </c>
    </row>
    <row r="1859" spans="1:40" x14ac:dyDescent="0.25">
      <c r="A1859" t="str">
        <f>"20190312154833484"</f>
        <v>20190312154833484</v>
      </c>
      <c r="B1859" t="str">
        <f>"1552376913477577"</f>
        <v>1552376913477577</v>
      </c>
      <c r="C1859" t="s">
        <v>40</v>
      </c>
      <c r="D1859">
        <v>4.8191610000000003</v>
      </c>
      <c r="E1859">
        <v>0.54285919999999999</v>
      </c>
      <c r="F1859" t="s">
        <v>50</v>
      </c>
      <c r="G1859">
        <v>-264.5283</v>
      </c>
      <c r="H1859" s="1">
        <v>8.7295709999999997E-7</v>
      </c>
      <c r="I1859">
        <v>287.23349999999999</v>
      </c>
      <c r="J1859">
        <v>-233.31899999999999</v>
      </c>
      <c r="K1859">
        <v>1.10738</v>
      </c>
      <c r="L1859">
        <v>283.56180000000001</v>
      </c>
      <c r="M1859">
        <v>-0.99785380000000001</v>
      </c>
      <c r="N1859">
        <v>0</v>
      </c>
      <c r="O1859">
        <v>-6.5480979999999994E-2</v>
      </c>
      <c r="P1859">
        <v>-0.99998500000000001</v>
      </c>
      <c r="Q1859">
        <v>-5.4099350000000003E-3</v>
      </c>
      <c r="R1859">
        <v>-7.6597380000000004E-4</v>
      </c>
      <c r="S1859">
        <v>-3.0004430000000002</v>
      </c>
      <c r="T1859">
        <v>-0.1053627</v>
      </c>
      <c r="U1859">
        <v>0.34732059999999998</v>
      </c>
      <c r="V1859">
        <v>6.4708050000000003E-2</v>
      </c>
      <c r="W1859">
        <v>-5.2597429999999999E-3</v>
      </c>
      <c r="X1859">
        <v>0.99789039999999996</v>
      </c>
      <c r="Y1859">
        <v>0.1796391</v>
      </c>
      <c r="Z1859">
        <v>5.4346189999999999E-3</v>
      </c>
      <c r="AA1859">
        <v>0.98371759999999997</v>
      </c>
      <c r="AB1859">
        <v>32</v>
      </c>
      <c r="AC1859">
        <v>-31.209299999999899</v>
      </c>
      <c r="AD1859">
        <v>-1.1073791270428901</v>
      </c>
      <c r="AE1859">
        <v>3.67169999999998</v>
      </c>
      <c r="AF1859">
        <v>5.7003566928879401</v>
      </c>
      <c r="AG1859">
        <v>-1.1073791270428901</v>
      </c>
      <c r="AH1859">
        <v>30.863565976527699</v>
      </c>
      <c r="AI1859">
        <v>92.020732734437104</v>
      </c>
      <c r="AJ1859">
        <v>79.535661068331095</v>
      </c>
      <c r="AK1859">
        <v>31.405096079213699</v>
      </c>
      <c r="AL1859">
        <v>90.301362457672596</v>
      </c>
      <c r="AM1859">
        <v>86.289858344924795</v>
      </c>
      <c r="AN1859">
        <v>1.0000000235216899</v>
      </c>
    </row>
    <row r="1860" spans="1:40" x14ac:dyDescent="0.25">
      <c r="A1860" t="str">
        <f>"20190312154833507"</f>
        <v>20190312154833507</v>
      </c>
      <c r="B1860" t="str">
        <f>"1552376913498072"</f>
        <v>1552376913498072</v>
      </c>
      <c r="C1860" t="s">
        <v>40</v>
      </c>
      <c r="D1860">
        <v>4.8496819999999996</v>
      </c>
      <c r="E1860">
        <v>0.54084080000000001</v>
      </c>
      <c r="F1860" t="s">
        <v>50</v>
      </c>
      <c r="G1860">
        <v>-263.12040000000002</v>
      </c>
      <c r="H1860" s="1">
        <v>1.237487E-7</v>
      </c>
      <c r="I1860">
        <v>286.90989999999999</v>
      </c>
      <c r="J1860">
        <v>-233.65539999999999</v>
      </c>
      <c r="K1860">
        <v>1.1073139999999999</v>
      </c>
      <c r="L1860">
        <v>283.54050000000001</v>
      </c>
      <c r="M1860">
        <v>-0.99791110000000005</v>
      </c>
      <c r="N1860">
        <v>0</v>
      </c>
      <c r="O1860">
        <v>-6.4603209999999994E-2</v>
      </c>
      <c r="P1860">
        <v>-0.99998390000000004</v>
      </c>
      <c r="Q1860">
        <v>-5.4966030000000001E-3</v>
      </c>
      <c r="R1860">
        <v>1.5642659999999999E-3</v>
      </c>
      <c r="S1860">
        <v>-2.9997099999999999</v>
      </c>
      <c r="T1860">
        <v>-0.11146499999999999</v>
      </c>
      <c r="U1860">
        <v>0.33700560000000002</v>
      </c>
      <c r="V1860">
        <v>6.6155050000000007E-2</v>
      </c>
      <c r="W1860">
        <v>-5.3232599999999998E-3</v>
      </c>
      <c r="X1860">
        <v>0.99779519999999999</v>
      </c>
      <c r="Y1860">
        <v>0.17544599999999999</v>
      </c>
      <c r="Z1860">
        <v>5.6414639999999997E-3</v>
      </c>
      <c r="AA1860">
        <v>0.98447289999999998</v>
      </c>
      <c r="AB1860">
        <v>32</v>
      </c>
      <c r="AC1860">
        <v>-29.465</v>
      </c>
      <c r="AD1860">
        <v>-1.1073138762513</v>
      </c>
      <c r="AE1860">
        <v>3.3693999999999802</v>
      </c>
      <c r="AF1860">
        <v>5.2585640428867997</v>
      </c>
      <c r="AG1860">
        <v>-1.1073138762513</v>
      </c>
      <c r="AH1860">
        <v>29.145143952692401</v>
      </c>
      <c r="AI1860">
        <v>92.1412558768004</v>
      </c>
      <c r="AJ1860">
        <v>79.772343577136397</v>
      </c>
      <c r="AK1860">
        <v>29.636431226395</v>
      </c>
      <c r="AL1860">
        <v>90.305001758185298</v>
      </c>
      <c r="AM1860">
        <v>86.206770948732796</v>
      </c>
      <c r="AN1860">
        <v>1.0000000444402799</v>
      </c>
    </row>
    <row r="1861" spans="1:40" x14ac:dyDescent="0.25">
      <c r="A1861" t="str">
        <f>"20190312154833529"</f>
        <v>20190312154833529</v>
      </c>
      <c r="B1861" t="str">
        <f>"1552376913517596"</f>
        <v>1552376913517596</v>
      </c>
      <c r="C1861" t="s">
        <v>40</v>
      </c>
      <c r="D1861">
        <v>4.8418599999999996</v>
      </c>
      <c r="E1861">
        <v>0.53915150000000001</v>
      </c>
      <c r="F1861" t="s">
        <v>50</v>
      </c>
      <c r="G1861">
        <v>-262.2303</v>
      </c>
      <c r="H1861" s="1">
        <v>-3.499559E-7</v>
      </c>
      <c r="I1861">
        <v>286.66239999999999</v>
      </c>
      <c r="J1861">
        <v>-233.97120000000001</v>
      </c>
      <c r="K1861">
        <v>1.107259</v>
      </c>
      <c r="L1861">
        <v>283.52080000000001</v>
      </c>
      <c r="M1861">
        <v>-0.99796680000000004</v>
      </c>
      <c r="N1861">
        <v>0</v>
      </c>
      <c r="O1861">
        <v>-6.3736150000000005E-2</v>
      </c>
      <c r="P1861">
        <v>-0.9999787</v>
      </c>
      <c r="Q1861">
        <v>-5.5082830000000001E-3</v>
      </c>
      <c r="R1861">
        <v>3.5537149999999998E-3</v>
      </c>
      <c r="S1861">
        <v>-2.998901</v>
      </c>
      <c r="T1861">
        <v>-0.1162113</v>
      </c>
      <c r="U1861">
        <v>0.3276367</v>
      </c>
      <c r="V1861">
        <v>6.7272390000000001E-2</v>
      </c>
      <c r="W1861">
        <v>-5.3116830000000002E-3</v>
      </c>
      <c r="X1861">
        <v>0.99772050000000001</v>
      </c>
      <c r="Y1861">
        <v>0.17156959999999999</v>
      </c>
      <c r="Z1861">
        <v>5.7756800000000001E-3</v>
      </c>
      <c r="AA1861">
        <v>0.98515509999999995</v>
      </c>
      <c r="AB1861">
        <v>32</v>
      </c>
      <c r="AC1861">
        <v>-28.259099999999901</v>
      </c>
      <c r="AD1861">
        <v>-1.10725934995589</v>
      </c>
      <c r="AE1861">
        <v>3.14159999999998</v>
      </c>
      <c r="AF1861">
        <v>4.9288639499932199</v>
      </c>
      <c r="AG1861">
        <v>-1.10725934995589</v>
      </c>
      <c r="AH1861">
        <v>27.9590093457752</v>
      </c>
      <c r="AI1861">
        <v>92.233492168445693</v>
      </c>
      <c r="AJ1861">
        <v>80.002114203567402</v>
      </c>
      <c r="AK1861">
        <v>28.411721642708599</v>
      </c>
      <c r="AL1861">
        <v>90.304338451473001</v>
      </c>
      <c r="AM1861">
        <v>86.142608262693898</v>
      </c>
      <c r="AN1861">
        <v>0.999999992276427</v>
      </c>
    </row>
    <row r="1862" spans="1:40" x14ac:dyDescent="0.25">
      <c r="A1862" t="str">
        <f>"20190312154833552"</f>
        <v>20190312154833552</v>
      </c>
      <c r="B1862" t="str">
        <f>"1552376913538092"</f>
        <v>1552376913538092</v>
      </c>
      <c r="C1862" t="s">
        <v>40</v>
      </c>
      <c r="D1862">
        <v>4.8444000000000003</v>
      </c>
      <c r="E1862">
        <v>0.53784290000000001</v>
      </c>
      <c r="F1862" t="s">
        <v>50</v>
      </c>
      <c r="G1862">
        <v>-261.78149999999999</v>
      </c>
      <c r="H1862" s="1">
        <v>-5.8875799999999998E-7</v>
      </c>
      <c r="I1862">
        <v>286.48869999999999</v>
      </c>
      <c r="J1862">
        <v>-234.31399999999999</v>
      </c>
      <c r="K1862">
        <v>1.1072109999999999</v>
      </c>
      <c r="L1862">
        <v>283.49979999999999</v>
      </c>
      <c r="M1862">
        <v>-0.99802849999999999</v>
      </c>
      <c r="N1862">
        <v>0</v>
      </c>
      <c r="O1862">
        <v>-6.2765000000000001E-2</v>
      </c>
      <c r="P1862">
        <v>-0.99996949999999996</v>
      </c>
      <c r="Q1862">
        <v>-5.4717730000000001E-3</v>
      </c>
      <c r="R1862">
        <v>5.6276649999999996E-3</v>
      </c>
      <c r="S1862">
        <v>-2.998291</v>
      </c>
      <c r="T1862">
        <v>-0.1193762</v>
      </c>
      <c r="U1862">
        <v>0.31997680000000001</v>
      </c>
      <c r="V1862">
        <v>6.8370310000000004E-2</v>
      </c>
      <c r="W1862">
        <v>-5.2480890000000001E-3</v>
      </c>
      <c r="X1862">
        <v>0.99764620000000004</v>
      </c>
      <c r="Y1862">
        <v>0.16813739999999999</v>
      </c>
      <c r="Z1862">
        <v>5.8281579999999999E-3</v>
      </c>
      <c r="AA1862">
        <v>0.98574629999999996</v>
      </c>
      <c r="AB1862">
        <v>33</v>
      </c>
      <c r="AC1862">
        <v>-27.467499999999902</v>
      </c>
      <c r="AD1862">
        <v>-1.1072115887580001</v>
      </c>
      <c r="AE1862">
        <v>2.9889000000000001</v>
      </c>
      <c r="AF1862">
        <v>4.69945751549223</v>
      </c>
      <c r="AG1862">
        <v>-1.1072115887580001</v>
      </c>
      <c r="AH1862">
        <v>27.182094049071299</v>
      </c>
      <c r="AI1862">
        <v>92.298485728260204</v>
      </c>
      <c r="AJ1862">
        <v>80.191210103768199</v>
      </c>
      <c r="AK1862">
        <v>27.6075543164322</v>
      </c>
      <c r="AL1862">
        <v>90.300694733221704</v>
      </c>
      <c r="AM1862">
        <v>86.079557319864506</v>
      </c>
      <c r="AN1862">
        <v>0.99999999105104398</v>
      </c>
    </row>
    <row r="1863" spans="1:40" x14ac:dyDescent="0.25">
      <c r="A1863" t="str">
        <f>"20190312154833577"</f>
        <v>20190312154833577</v>
      </c>
      <c r="B1863" t="str">
        <f>"1552376913567369"</f>
        <v>1552376913567369</v>
      </c>
      <c r="C1863" t="s">
        <v>40</v>
      </c>
      <c r="D1863">
        <v>4.8096350000000001</v>
      </c>
      <c r="E1863">
        <v>0.53688440000000004</v>
      </c>
      <c r="F1863" t="s">
        <v>50</v>
      </c>
      <c r="G1863">
        <v>-261.36930000000001</v>
      </c>
      <c r="H1863" s="1">
        <v>-8.0810049999999995E-7</v>
      </c>
      <c r="I1863">
        <v>286.34589999999997</v>
      </c>
      <c r="J1863">
        <v>-234.6677</v>
      </c>
      <c r="K1863">
        <v>1.107172</v>
      </c>
      <c r="L1863">
        <v>283.47840000000002</v>
      </c>
      <c r="M1863">
        <v>-0.99809210000000004</v>
      </c>
      <c r="N1863">
        <v>0</v>
      </c>
      <c r="O1863">
        <v>-6.174354E-2</v>
      </c>
      <c r="P1863">
        <v>-0.99995579999999995</v>
      </c>
      <c r="Q1863">
        <v>-5.5981759999999998E-3</v>
      </c>
      <c r="R1863">
        <v>7.5610579999999998E-3</v>
      </c>
      <c r="S1863">
        <v>-2.9976500000000001</v>
      </c>
      <c r="T1863">
        <v>-0.1226759</v>
      </c>
      <c r="U1863">
        <v>0.31533810000000001</v>
      </c>
      <c r="V1863">
        <v>6.9277420000000006E-2</v>
      </c>
      <c r="W1863">
        <v>-5.3445319999999999E-3</v>
      </c>
      <c r="X1863">
        <v>0.99758309999999994</v>
      </c>
      <c r="Y1863">
        <v>0.16563449999999999</v>
      </c>
      <c r="Z1863">
        <v>5.8981229999999999E-3</v>
      </c>
      <c r="AA1863">
        <v>0.98616959999999998</v>
      </c>
      <c r="AB1863">
        <v>33</v>
      </c>
      <c r="AC1863">
        <v>-26.701599999999999</v>
      </c>
      <c r="AD1863">
        <v>-1.1071728081004999</v>
      </c>
      <c r="AE1863">
        <v>2.86749999999995</v>
      </c>
      <c r="AF1863">
        <v>4.5030263031078501</v>
      </c>
      <c r="AG1863">
        <v>-1.1071728081004999</v>
      </c>
      <c r="AH1863">
        <v>26.428683777854001</v>
      </c>
      <c r="AI1863">
        <v>92.364839242907095</v>
      </c>
      <c r="AJ1863">
        <v>80.330569401001895</v>
      </c>
      <c r="AK1863">
        <v>26.832413304495802</v>
      </c>
      <c r="AL1863">
        <v>90.306220590051893</v>
      </c>
      <c r="AM1863">
        <v>86.027457427081401</v>
      </c>
      <c r="AN1863">
        <v>0.99999998317488203</v>
      </c>
    </row>
    <row r="1864" spans="1:40" x14ac:dyDescent="0.25">
      <c r="A1864" t="str">
        <f>"20190312154833596"</f>
        <v>20190312154833596</v>
      </c>
      <c r="B1864" t="str">
        <f>"1552376913587865"</f>
        <v>1552376913587865</v>
      </c>
      <c r="C1864" t="s">
        <v>40</v>
      </c>
      <c r="D1864">
        <v>4.904954</v>
      </c>
      <c r="E1864">
        <v>0.53393649999999904</v>
      </c>
      <c r="F1864" t="s">
        <v>50</v>
      </c>
      <c r="G1864">
        <v>-260.34039999999999</v>
      </c>
      <c r="H1864" s="1">
        <v>-1.3556429999999999E-6</v>
      </c>
      <c r="I1864">
        <v>286.16149999999999</v>
      </c>
      <c r="J1864">
        <v>-234.9709</v>
      </c>
      <c r="K1864">
        <v>1.1071470000000001</v>
      </c>
      <c r="L1864">
        <v>283.46039999999999</v>
      </c>
      <c r="M1864">
        <v>-0.99814639999999999</v>
      </c>
      <c r="N1864">
        <v>0</v>
      </c>
      <c r="O1864">
        <v>-6.0860459999999998E-2</v>
      </c>
      <c r="P1864">
        <v>-0.99994329999999998</v>
      </c>
      <c r="Q1864">
        <v>-5.4459740000000001E-3</v>
      </c>
      <c r="R1864">
        <v>9.1800500000000004E-3</v>
      </c>
      <c r="S1864">
        <v>-2.997055</v>
      </c>
      <c r="T1864">
        <v>-0.1292526</v>
      </c>
      <c r="U1864">
        <v>0.31323240000000002</v>
      </c>
      <c r="V1864">
        <v>7.0010130000000004E-2</v>
      </c>
      <c r="W1864">
        <v>-5.1655750000000004E-3</v>
      </c>
      <c r="X1864">
        <v>0.99753289999999994</v>
      </c>
      <c r="Y1864">
        <v>0.16407820000000001</v>
      </c>
      <c r="Z1864">
        <v>6.144053E-3</v>
      </c>
      <c r="AA1864">
        <v>0.98642819999999998</v>
      </c>
      <c r="AB1864">
        <v>33</v>
      </c>
      <c r="AC1864">
        <v>-25.369499999999899</v>
      </c>
      <c r="AD1864">
        <v>-1.107148355643</v>
      </c>
      <c r="AE1864">
        <v>2.7010999999999901</v>
      </c>
      <c r="AF1864">
        <v>4.2321223321728301</v>
      </c>
      <c r="AG1864">
        <v>-1.107148355643</v>
      </c>
      <c r="AH1864">
        <v>25.1107937907775</v>
      </c>
      <c r="AI1864">
        <v>92.489502046480098</v>
      </c>
      <c r="AJ1864">
        <v>80.433389278897593</v>
      </c>
      <c r="AK1864">
        <v>25.488989813620101</v>
      </c>
      <c r="AL1864">
        <v>90.295966964259193</v>
      </c>
      <c r="AM1864">
        <v>85.985377274616795</v>
      </c>
      <c r="AN1864">
        <v>0.99999999402505302</v>
      </c>
    </row>
    <row r="1865" spans="1:40" x14ac:dyDescent="0.25">
      <c r="A1865" t="str">
        <f>"20190312154833621"</f>
        <v>20190312154833621</v>
      </c>
      <c r="B1865" t="str">
        <f>"1552376913607385"</f>
        <v>1552376913607385</v>
      </c>
      <c r="C1865" t="s">
        <v>40</v>
      </c>
      <c r="D1865">
        <v>4.8998670000000004</v>
      </c>
      <c r="E1865">
        <v>0.53271400000000002</v>
      </c>
      <c r="F1865" t="s">
        <v>41</v>
      </c>
      <c r="G1865">
        <v>-235.7801</v>
      </c>
      <c r="H1865">
        <v>0.93496939999999995</v>
      </c>
      <c r="I1865">
        <v>283.53530000000001</v>
      </c>
      <c r="J1865">
        <v>-235.3252</v>
      </c>
      <c r="K1865">
        <v>1.1071340000000001</v>
      </c>
      <c r="L1865">
        <v>283.43970000000002</v>
      </c>
      <c r="M1865">
        <v>-0.99820889999999995</v>
      </c>
      <c r="N1865">
        <v>0</v>
      </c>
      <c r="O1865">
        <v>-5.9824179999999998E-2</v>
      </c>
      <c r="P1865">
        <v>-0.99992930000000002</v>
      </c>
      <c r="Q1865">
        <v>-4.6086369999999996E-3</v>
      </c>
      <c r="R1865">
        <v>1.0969619999999999E-2</v>
      </c>
      <c r="S1865">
        <v>-2.9941710000000001</v>
      </c>
      <c r="T1865">
        <v>-0.63706960000000001</v>
      </c>
      <c r="U1865">
        <v>0.27703860000000002</v>
      </c>
      <c r="V1865">
        <v>7.0761450000000004E-2</v>
      </c>
      <c r="W1865">
        <v>-4.2958199999999997E-3</v>
      </c>
      <c r="X1865">
        <v>0.99748400000000004</v>
      </c>
      <c r="Y1865">
        <v>0.146942299999999</v>
      </c>
      <c r="Z1865">
        <v>2.7992389999999999E-2</v>
      </c>
      <c r="AA1865">
        <v>0.98874890000000004</v>
      </c>
      <c r="AB1865">
        <v>33</v>
      </c>
      <c r="AC1865">
        <v>-0.45490000000000902</v>
      </c>
      <c r="AD1865">
        <v>-0.1721646</v>
      </c>
      <c r="AE1865">
        <v>9.5599999999990304E-2</v>
      </c>
      <c r="AF1865">
        <v>0.10784831021616401</v>
      </c>
      <c r="AG1865">
        <v>-0.1721646</v>
      </c>
      <c r="AH1865">
        <v>0.39427934835819101</v>
      </c>
      <c r="AI1865">
        <v>112.840050167553</v>
      </c>
      <c r="AJ1865">
        <v>74.701935237969707</v>
      </c>
      <c r="AK1865">
        <v>0.44354042888039202</v>
      </c>
      <c r="AL1865">
        <v>90.246133116623099</v>
      </c>
      <c r="AM1865">
        <v>85.942238881502405</v>
      </c>
      <c r="AN1865">
        <v>0.99999998356578701</v>
      </c>
    </row>
    <row r="1866" spans="1:40" x14ac:dyDescent="0.25">
      <c r="A1866" t="str">
        <f>"20190312154833641"</f>
        <v>20190312154833641</v>
      </c>
      <c r="B1866" t="str">
        <f>"1552376913627881"</f>
        <v>1552376913627881</v>
      </c>
      <c r="C1866" t="s">
        <v>40</v>
      </c>
      <c r="D1866">
        <v>4.9651959999999997</v>
      </c>
      <c r="E1866">
        <v>0.53225059999999902</v>
      </c>
      <c r="F1866" t="s">
        <v>41</v>
      </c>
      <c r="G1866">
        <v>-236.07749999999999</v>
      </c>
      <c r="H1866">
        <v>0.93228529999999998</v>
      </c>
      <c r="I1866">
        <v>283.50779999999997</v>
      </c>
      <c r="J1866">
        <v>-235.63300000000001</v>
      </c>
      <c r="K1866">
        <v>1.1071200000000001</v>
      </c>
      <c r="L1866">
        <v>283.42200000000003</v>
      </c>
      <c r="M1866">
        <v>-0.99826239999999999</v>
      </c>
      <c r="N1866">
        <v>0</v>
      </c>
      <c r="O1866">
        <v>-5.8923330000000003E-2</v>
      </c>
      <c r="P1866">
        <v>-0.9999133</v>
      </c>
      <c r="Q1866">
        <v>-3.1055369999999998E-3</v>
      </c>
      <c r="R1866">
        <v>1.28015E-2</v>
      </c>
      <c r="S1866">
        <v>-2.9940190000000002</v>
      </c>
      <c r="T1866">
        <v>-0.69582679999999997</v>
      </c>
      <c r="U1866">
        <v>0.27053829999999901</v>
      </c>
      <c r="V1866">
        <v>7.1691870000000005E-2</v>
      </c>
      <c r="W1866">
        <v>-2.7644380000000001E-3</v>
      </c>
      <c r="X1866">
        <v>0.99742299999999995</v>
      </c>
      <c r="Y1866">
        <v>0.14317199999999999</v>
      </c>
      <c r="Z1866">
        <v>2.9876650000000001E-2</v>
      </c>
      <c r="AA1866">
        <v>0.98924679999999998</v>
      </c>
      <c r="AB1866">
        <v>33</v>
      </c>
      <c r="AC1866">
        <v>-0.444500000000005</v>
      </c>
      <c r="AD1866">
        <v>-0.17483470000000001</v>
      </c>
      <c r="AE1866">
        <v>8.5799999999949195E-2</v>
      </c>
      <c r="AF1866">
        <v>9.7326114123637994E-2</v>
      </c>
      <c r="AG1866">
        <v>-0.17483470000000001</v>
      </c>
      <c r="AH1866">
        <v>0.38173597631683898</v>
      </c>
      <c r="AI1866">
        <v>113.931738822086</v>
      </c>
      <c r="AJ1866">
        <v>75.696781935512504</v>
      </c>
      <c r="AK1866">
        <v>0.43100104458001898</v>
      </c>
      <c r="AL1866">
        <v>90.158390831290404</v>
      </c>
      <c r="AM1866">
        <v>85.888815848349296</v>
      </c>
      <c r="AN1866">
        <v>1.0000000036352701</v>
      </c>
    </row>
    <row r="1867" spans="1:40" x14ac:dyDescent="0.25">
      <c r="A1867" t="str">
        <f>"20190312154833666"</f>
        <v>20190312154833666</v>
      </c>
      <c r="B1867" t="str">
        <f>"1552376913658137"</f>
        <v>1552376913658137</v>
      </c>
      <c r="C1867" t="s">
        <v>40</v>
      </c>
      <c r="D1867">
        <v>4.9484440000000003</v>
      </c>
      <c r="E1867">
        <v>0.53161139999999996</v>
      </c>
      <c r="F1867" t="s">
        <v>41</v>
      </c>
      <c r="G1867">
        <v>-236.37739999999999</v>
      </c>
      <c r="H1867">
        <v>0.92927559999999998</v>
      </c>
      <c r="I1867">
        <v>283.48970000000003</v>
      </c>
      <c r="J1867">
        <v>-236.0163</v>
      </c>
      <c r="K1867">
        <v>1.1071040000000001</v>
      </c>
      <c r="L1867">
        <v>283.40030000000002</v>
      </c>
      <c r="M1867">
        <v>-0.99832799999999999</v>
      </c>
      <c r="N1867">
        <v>0</v>
      </c>
      <c r="O1867">
        <v>-5.780312E-2</v>
      </c>
      <c r="P1867">
        <v>-0.99989150000000004</v>
      </c>
      <c r="Q1867">
        <v>-2.258623E-3</v>
      </c>
      <c r="R1867">
        <v>1.4573910000000001E-2</v>
      </c>
      <c r="S1867">
        <v>-2.9945680000000001</v>
      </c>
      <c r="T1867">
        <v>-0.71546030000000005</v>
      </c>
      <c r="U1867">
        <v>0.27178960000000002</v>
      </c>
      <c r="V1867">
        <v>7.2342569999999995E-2</v>
      </c>
      <c r="W1867">
        <v>-1.8805759999999999E-3</v>
      </c>
      <c r="X1867">
        <v>0.99737810000000005</v>
      </c>
      <c r="Y1867">
        <v>0.14221449999999999</v>
      </c>
      <c r="Z1867">
        <v>3.031503E-2</v>
      </c>
      <c r="AA1867">
        <v>0.98937149999999996</v>
      </c>
      <c r="AB1867">
        <v>34</v>
      </c>
      <c r="AC1867">
        <v>-0.36109999999999298</v>
      </c>
      <c r="AD1867">
        <v>-0.1778284</v>
      </c>
      <c r="AE1867">
        <v>8.9400000000011901E-2</v>
      </c>
      <c r="AF1867">
        <v>8.9639430242358098E-2</v>
      </c>
      <c r="AG1867">
        <v>-0.1778284</v>
      </c>
      <c r="AH1867">
        <v>0.28923467877562598</v>
      </c>
      <c r="AI1867">
        <v>120.424308802845</v>
      </c>
      <c r="AJ1867">
        <v>72.780778481595107</v>
      </c>
      <c r="AK1867">
        <v>0.35116216582538301</v>
      </c>
      <c r="AL1867">
        <v>90.107749128219794</v>
      </c>
      <c r="AM1867">
        <v>85.851444917862295</v>
      </c>
      <c r="AN1867">
        <v>1.00000002917995</v>
      </c>
    </row>
    <row r="1868" spans="1:40" x14ac:dyDescent="0.25">
      <c r="A1868" t="str">
        <f>"20190312154833686"</f>
        <v>20190312154833686</v>
      </c>
      <c r="B1868" t="str">
        <f>"1552376913677657"</f>
        <v>1552376913677657</v>
      </c>
      <c r="C1868" t="s">
        <v>40</v>
      </c>
      <c r="D1868">
        <v>5.0193240000000001</v>
      </c>
      <c r="E1868">
        <v>0.53131850000000003</v>
      </c>
      <c r="F1868" t="s">
        <v>41</v>
      </c>
      <c r="G1868">
        <v>-236.96610000000001</v>
      </c>
      <c r="H1868">
        <v>0.87635909999999995</v>
      </c>
      <c r="I1868">
        <v>283.48669999999998</v>
      </c>
      <c r="J1868">
        <v>-236.32499999999999</v>
      </c>
      <c r="K1868">
        <v>1.107092</v>
      </c>
      <c r="L1868">
        <v>283.38319999999999</v>
      </c>
      <c r="M1868">
        <v>-0.99837980000000004</v>
      </c>
      <c r="N1868">
        <v>0</v>
      </c>
      <c r="O1868">
        <v>-5.690166E-2</v>
      </c>
      <c r="P1868">
        <v>-0.99987009999999998</v>
      </c>
      <c r="Q1868">
        <v>-1.8289129999999999E-3</v>
      </c>
      <c r="R1868">
        <v>1.6029129999999999E-2</v>
      </c>
      <c r="S1868">
        <v>-2.9947360000000001</v>
      </c>
      <c r="T1868">
        <v>-0.72755059999999905</v>
      </c>
      <c r="U1868">
        <v>0.27160640000000003</v>
      </c>
      <c r="V1868">
        <v>7.2894589999999995E-2</v>
      </c>
      <c r="W1868">
        <v>-1.4207899999999999E-3</v>
      </c>
      <c r="X1868">
        <v>0.99733870000000002</v>
      </c>
      <c r="Y1868">
        <v>0.14112669999999999</v>
      </c>
      <c r="Z1868">
        <v>3.0466E-2</v>
      </c>
      <c r="AA1868">
        <v>0.98952260000000003</v>
      </c>
      <c r="AB1868">
        <v>34</v>
      </c>
      <c r="AC1868">
        <v>-0.64110000000002199</v>
      </c>
      <c r="AD1868">
        <v>-0.23073289999999899</v>
      </c>
      <c r="AE1868">
        <v>0.103499999999996</v>
      </c>
      <c r="AF1868">
        <v>0.124140585602609</v>
      </c>
      <c r="AG1868">
        <v>-0.23073289999999899</v>
      </c>
      <c r="AH1868">
        <v>0.56308829009413597</v>
      </c>
      <c r="AI1868">
        <v>111.809017932885</v>
      </c>
      <c r="AJ1868">
        <v>77.567236813566296</v>
      </c>
      <c r="AK1868">
        <v>0.62106117136503203</v>
      </c>
      <c r="AL1868">
        <v>90.081405292979895</v>
      </c>
      <c r="AM1868">
        <v>85.819736031369402</v>
      </c>
      <c r="AN1868">
        <v>1.00000006120658</v>
      </c>
    </row>
    <row r="1869" spans="1:40" x14ac:dyDescent="0.25">
      <c r="A1869" t="str">
        <f>"20190312154833708"</f>
        <v>20190312154833708</v>
      </c>
      <c r="B1869" t="str">
        <f>"1552376913698153"</f>
        <v>1552376913698153</v>
      </c>
      <c r="C1869" t="s">
        <v>40</v>
      </c>
      <c r="D1869">
        <v>4.9806480000000004</v>
      </c>
      <c r="E1869">
        <v>0.53091239999999995</v>
      </c>
      <c r="F1869" t="s">
        <v>41</v>
      </c>
      <c r="G1869">
        <v>-237.27209999999999</v>
      </c>
      <c r="H1869">
        <v>0.87557940000000001</v>
      </c>
      <c r="I1869">
        <v>283.46980000000002</v>
      </c>
      <c r="J1869">
        <v>-236.66579999999999</v>
      </c>
      <c r="K1869">
        <v>1.1070799999999901</v>
      </c>
      <c r="L1869">
        <v>283.3646</v>
      </c>
      <c r="M1869">
        <v>-0.99843590000000004</v>
      </c>
      <c r="N1869">
        <v>0</v>
      </c>
      <c r="O1869">
        <v>-5.5907690000000003E-2</v>
      </c>
      <c r="P1869">
        <v>-0.99985380000000001</v>
      </c>
      <c r="Q1869">
        <v>-1.5946790000000001E-3</v>
      </c>
      <c r="R1869">
        <v>1.7034069999999998E-2</v>
      </c>
      <c r="S1869">
        <v>-2.994675</v>
      </c>
      <c r="T1869">
        <v>-0.73200200000000004</v>
      </c>
      <c r="U1869">
        <v>0.27319339999999998</v>
      </c>
      <c r="V1869">
        <v>7.2904800000000006E-2</v>
      </c>
      <c r="W1869">
        <v>-1.1515309999999999E-3</v>
      </c>
      <c r="X1869">
        <v>0.99733819999999995</v>
      </c>
      <c r="Y1869">
        <v>0.14063809999999999</v>
      </c>
      <c r="Z1869">
        <v>3.0349359999999999E-2</v>
      </c>
      <c r="AA1869">
        <v>0.98959580000000003</v>
      </c>
      <c r="AB1869">
        <v>34</v>
      </c>
      <c r="AC1869">
        <v>-0.60630000000000395</v>
      </c>
      <c r="AD1869">
        <v>-0.231500599999999</v>
      </c>
      <c r="AE1869">
        <v>0.105200000000024</v>
      </c>
      <c r="AF1869">
        <v>0.121707139569235</v>
      </c>
      <c r="AG1869">
        <v>-0.231500599999999</v>
      </c>
      <c r="AH1869">
        <v>0.52514648261010199</v>
      </c>
      <c r="AI1869">
        <v>113.241013077771</v>
      </c>
      <c r="AJ1869">
        <v>76.951582053198607</v>
      </c>
      <c r="AK1869">
        <v>0.58667195588356502</v>
      </c>
      <c r="AL1869">
        <v>90.065977883463802</v>
      </c>
      <c r="AM1869">
        <v>85.819150509051596</v>
      </c>
      <c r="AN1869">
        <v>0.99999996053296103</v>
      </c>
    </row>
    <row r="1870" spans="1:40" x14ac:dyDescent="0.25">
      <c r="A1870" t="str">
        <f>"20190312154833729"</f>
        <v>20190312154833729</v>
      </c>
      <c r="B1870" t="str">
        <f>"1552376913717672"</f>
        <v>1552376913717672</v>
      </c>
      <c r="C1870" t="s">
        <v>40</v>
      </c>
      <c r="D1870">
        <v>4.9924379999999999</v>
      </c>
      <c r="E1870">
        <v>0.53066040000000003</v>
      </c>
      <c r="F1870" t="s">
        <v>41</v>
      </c>
      <c r="G1870">
        <v>-237.58250000000001</v>
      </c>
      <c r="H1870">
        <v>0.88257359999999896</v>
      </c>
      <c r="I1870">
        <v>283.44810000000001</v>
      </c>
      <c r="J1870">
        <v>-236.9854</v>
      </c>
      <c r="K1870">
        <v>1.1070719999999901</v>
      </c>
      <c r="L1870">
        <v>283.34750000000003</v>
      </c>
      <c r="M1870">
        <v>-0.99848760000000003</v>
      </c>
      <c r="N1870">
        <v>0</v>
      </c>
      <c r="O1870">
        <v>-5.4977140000000001E-2</v>
      </c>
      <c r="P1870">
        <v>-0.99983379999999999</v>
      </c>
      <c r="Q1870">
        <v>-1.2421999999999999E-3</v>
      </c>
      <c r="R1870">
        <v>1.8206670000000001E-2</v>
      </c>
      <c r="S1870">
        <v>-2.9946290000000002</v>
      </c>
      <c r="T1870">
        <v>-0.73348329999999995</v>
      </c>
      <c r="U1870">
        <v>0.27227780000000001</v>
      </c>
      <c r="V1870">
        <v>7.3145779999999994E-2</v>
      </c>
      <c r="W1870">
        <v>-7.663088E-4</v>
      </c>
      <c r="X1870">
        <v>0.99732100000000001</v>
      </c>
      <c r="Y1870">
        <v>0.1394561</v>
      </c>
      <c r="Z1870">
        <v>3.004331E-2</v>
      </c>
      <c r="AA1870">
        <v>0.9897724</v>
      </c>
      <c r="AB1870">
        <v>34</v>
      </c>
      <c r="AC1870">
        <v>-0.59710000000001096</v>
      </c>
      <c r="AD1870">
        <v>-0.22449839999999999</v>
      </c>
      <c r="AE1870">
        <v>0.10059999999998499</v>
      </c>
      <c r="AF1870">
        <v>0.117168698058919</v>
      </c>
      <c r="AG1870">
        <v>-0.22449839999999999</v>
      </c>
      <c r="AH1870">
        <v>0.51928530704758802</v>
      </c>
      <c r="AI1870">
        <v>112.866128578211</v>
      </c>
      <c r="AJ1870">
        <v>77.285016957618495</v>
      </c>
      <c r="AK1870">
        <v>0.57774152137689605</v>
      </c>
      <c r="AL1870">
        <v>90.043906262817302</v>
      </c>
      <c r="AM1870">
        <v>85.805308263736805</v>
      </c>
      <c r="AN1870">
        <v>1.0000000347009901</v>
      </c>
    </row>
    <row r="1871" spans="1:40" x14ac:dyDescent="0.25">
      <c r="A1871" t="str">
        <f>"20190312154833752"</f>
        <v>20190312154833752</v>
      </c>
      <c r="B1871" t="str">
        <f>"1552376913747928"</f>
        <v>1552376913747928</v>
      </c>
      <c r="C1871" t="s">
        <v>40</v>
      </c>
      <c r="D1871">
        <v>5.0258839999999996</v>
      </c>
      <c r="E1871">
        <v>0.53046569999999904</v>
      </c>
      <c r="F1871" t="s">
        <v>41</v>
      </c>
      <c r="G1871">
        <v>-237.89259999999999</v>
      </c>
      <c r="H1871">
        <v>0.88394899999999998</v>
      </c>
      <c r="I1871">
        <v>283.43029999999999</v>
      </c>
      <c r="J1871">
        <v>-237.34100000000001</v>
      </c>
      <c r="K1871">
        <v>1.107064</v>
      </c>
      <c r="L1871">
        <v>283.3288</v>
      </c>
      <c r="M1871">
        <v>-0.99854399999999999</v>
      </c>
      <c r="N1871">
        <v>0</v>
      </c>
      <c r="O1871">
        <v>-5.394156E-2</v>
      </c>
      <c r="P1871">
        <v>-0.99981589999999998</v>
      </c>
      <c r="Q1871">
        <v>-3.6754460000000002E-4</v>
      </c>
      <c r="R1871">
        <v>1.9196950000000001E-2</v>
      </c>
      <c r="S1871">
        <v>-2.9946139999999999</v>
      </c>
      <c r="T1871">
        <v>-0.73646350000000005</v>
      </c>
      <c r="U1871">
        <v>0.27282709999999999</v>
      </c>
      <c r="V1871">
        <v>7.3101219999999995E-2</v>
      </c>
      <c r="W1871">
        <v>1.4621400000000001E-4</v>
      </c>
      <c r="X1871">
        <v>0.99732449999999995</v>
      </c>
      <c r="Y1871">
        <v>0.1386201</v>
      </c>
      <c r="Z1871">
        <v>2.9810239999999998E-2</v>
      </c>
      <c r="AA1871">
        <v>0.98989689999999997</v>
      </c>
      <c r="AB1871">
        <v>34</v>
      </c>
      <c r="AC1871">
        <v>-0.55160000000000697</v>
      </c>
      <c r="AD1871">
        <v>-0.22311500000000001</v>
      </c>
      <c r="AE1871">
        <v>0.101499999999987</v>
      </c>
      <c r="AF1871">
        <v>0.113193387405794</v>
      </c>
      <c r="AG1871">
        <v>-0.22311500000000001</v>
      </c>
      <c r="AH1871">
        <v>0.470814782376617</v>
      </c>
      <c r="AI1871">
        <v>114.738447146002</v>
      </c>
      <c r="AJ1871">
        <v>76.481504061419898</v>
      </c>
      <c r="AK1871">
        <v>0.53316001864519003</v>
      </c>
      <c r="AL1871">
        <v>89.991622554730498</v>
      </c>
      <c r="AM1871">
        <v>85.807869192954996</v>
      </c>
      <c r="AN1871">
        <v>0.99999998402213597</v>
      </c>
    </row>
    <row r="1872" spans="1:40" x14ac:dyDescent="0.25">
      <c r="A1872" t="str">
        <f>"20190312154833776"</f>
        <v>20190312154833776</v>
      </c>
      <c r="B1872" t="str">
        <f>"1552376913767448"</f>
        <v>1552376913767448</v>
      </c>
      <c r="C1872" t="s">
        <v>40</v>
      </c>
      <c r="D1872">
        <v>5.0141470000000004</v>
      </c>
      <c r="E1872">
        <v>0.53037780000000001</v>
      </c>
      <c r="F1872" t="s">
        <v>41</v>
      </c>
      <c r="G1872">
        <v>-238.2073</v>
      </c>
      <c r="H1872">
        <v>0.89337310000000003</v>
      </c>
      <c r="I1872">
        <v>283.40800000000002</v>
      </c>
      <c r="J1872">
        <v>-237.70339999999999</v>
      </c>
      <c r="K1872">
        <v>1.1070549999999999</v>
      </c>
      <c r="L1872">
        <v>283.31009999999998</v>
      </c>
      <c r="M1872">
        <v>-0.99860040000000005</v>
      </c>
      <c r="N1872">
        <v>0</v>
      </c>
      <c r="O1872">
        <v>-5.2887740000000003E-2</v>
      </c>
      <c r="P1872">
        <v>-0.9997817</v>
      </c>
      <c r="Q1872">
        <v>3.5673379999999998E-4</v>
      </c>
      <c r="R1872">
        <v>2.0894260000000001E-2</v>
      </c>
      <c r="S1872">
        <v>-2.9950410000000001</v>
      </c>
      <c r="T1872">
        <v>-0.73880990000000002</v>
      </c>
      <c r="U1872">
        <v>0.27297969999999999</v>
      </c>
      <c r="V1872">
        <v>7.3743499999999906E-2</v>
      </c>
      <c r="W1872">
        <v>9.0724640000000004E-4</v>
      </c>
      <c r="X1872">
        <v>0.99727679999999996</v>
      </c>
      <c r="Y1872">
        <v>0.1376394</v>
      </c>
      <c r="Z1872">
        <v>2.952372E-2</v>
      </c>
      <c r="AA1872">
        <v>0.99004230000000004</v>
      </c>
      <c r="AB1872">
        <v>35</v>
      </c>
      <c r="AC1872">
        <v>-0.503900000000015</v>
      </c>
      <c r="AD1872">
        <v>-0.21368189999999901</v>
      </c>
      <c r="AE1872">
        <v>9.7900000000038206E-2</v>
      </c>
      <c r="AF1872">
        <v>0.106038474554789</v>
      </c>
      <c r="AG1872">
        <v>-0.21368189999999901</v>
      </c>
      <c r="AH1872">
        <v>0.42446463869053702</v>
      </c>
      <c r="AI1872">
        <v>116.031132523715</v>
      </c>
      <c r="AJ1872">
        <v>75.973626340088302</v>
      </c>
      <c r="AK1872">
        <v>0.48690280546758502</v>
      </c>
      <c r="AL1872">
        <v>89.948018601681497</v>
      </c>
      <c r="AM1872">
        <v>85.770967911862897</v>
      </c>
      <c r="AN1872">
        <v>0.99999997135325902</v>
      </c>
    </row>
    <row r="1873" spans="1:40" x14ac:dyDescent="0.25">
      <c r="A1873" t="str">
        <f>"20190312154833798"</f>
        <v>20190312154833798</v>
      </c>
      <c r="B1873" t="str">
        <f>"1552376913787945"</f>
        <v>1552376913787945</v>
      </c>
      <c r="C1873" t="s">
        <v>40</v>
      </c>
      <c r="D1873">
        <v>4.9669290000000004</v>
      </c>
      <c r="E1873">
        <v>0.53040710000000002</v>
      </c>
      <c r="F1873" t="s">
        <v>41</v>
      </c>
      <c r="G1873">
        <v>-238.52420000000001</v>
      </c>
      <c r="H1873">
        <v>0.90417650000000005</v>
      </c>
      <c r="I1873">
        <v>283.38600000000002</v>
      </c>
      <c r="J1873">
        <v>-238.06209999999999</v>
      </c>
      <c r="K1873">
        <v>1.107043</v>
      </c>
      <c r="L1873">
        <v>283.2919</v>
      </c>
      <c r="M1873">
        <v>-0.99865490000000001</v>
      </c>
      <c r="N1873">
        <v>0</v>
      </c>
      <c r="O1873">
        <v>-5.184536E-2</v>
      </c>
      <c r="P1873">
        <v>-0.99975130000000001</v>
      </c>
      <c r="Q1873">
        <v>8.1217850000000005E-4</v>
      </c>
      <c r="R1873">
        <v>2.2284490000000001E-2</v>
      </c>
      <c r="S1873">
        <v>-2.9951479999999999</v>
      </c>
      <c r="T1873">
        <v>-0.74034169999999999</v>
      </c>
      <c r="U1873">
        <v>0.27648929999999999</v>
      </c>
      <c r="V1873">
        <v>7.4090390000000006E-2</v>
      </c>
      <c r="W1873">
        <v>1.400295E-3</v>
      </c>
      <c r="X1873">
        <v>0.99725059999999999</v>
      </c>
      <c r="Y1873">
        <v>0.1377591</v>
      </c>
      <c r="Z1873">
        <v>2.9341900000000001E-2</v>
      </c>
      <c r="AA1873">
        <v>0.99003110000000005</v>
      </c>
      <c r="AB1873">
        <v>35</v>
      </c>
      <c r="AC1873">
        <v>-0.46210000000001999</v>
      </c>
      <c r="AD1873">
        <v>-0.20286650000000001</v>
      </c>
      <c r="AE1873">
        <v>9.4099999999969E-2</v>
      </c>
      <c r="AF1873">
        <v>9.9515296461772207E-2</v>
      </c>
      <c r="AG1873">
        <v>-0.20286650000000001</v>
      </c>
      <c r="AH1873">
        <v>0.38529816789531801</v>
      </c>
      <c r="AI1873">
        <v>117.011981961546</v>
      </c>
      <c r="AJ1873">
        <v>75.518063375808296</v>
      </c>
      <c r="AK1873">
        <v>0.44666854516029297</v>
      </c>
      <c r="AL1873">
        <v>89.9197689844557</v>
      </c>
      <c r="AM1873">
        <v>85.751035975739896</v>
      </c>
      <c r="AN1873">
        <v>1.0000000529583899</v>
      </c>
    </row>
    <row r="1874" spans="1:40" x14ac:dyDescent="0.25">
      <c r="A1874" t="str">
        <f>"20190312154833820"</f>
        <v>20190312154833820</v>
      </c>
      <c r="B1874" t="str">
        <f>"1552376913807465"</f>
        <v>1552376913807465</v>
      </c>
      <c r="C1874" t="s">
        <v>40</v>
      </c>
      <c r="D1874">
        <v>4.9622549999999999</v>
      </c>
      <c r="E1874">
        <v>0.53042500000000004</v>
      </c>
      <c r="F1874" t="s">
        <v>41</v>
      </c>
      <c r="G1874">
        <v>-238.84229999999999</v>
      </c>
      <c r="H1874">
        <v>0.91355249999999999</v>
      </c>
      <c r="I1874">
        <v>283.36520000000002</v>
      </c>
      <c r="J1874">
        <v>-238.40770000000001</v>
      </c>
      <c r="K1874">
        <v>1.107027</v>
      </c>
      <c r="L1874">
        <v>283.27480000000003</v>
      </c>
      <c r="M1874">
        <v>-0.99870650000000005</v>
      </c>
      <c r="N1874">
        <v>0</v>
      </c>
      <c r="O1874">
        <v>-5.0841959999999999E-2</v>
      </c>
      <c r="P1874">
        <v>-0.99970910000000002</v>
      </c>
      <c r="Q1874">
        <v>1.113471E-3</v>
      </c>
      <c r="R1874">
        <v>2.4097299999999999E-2</v>
      </c>
      <c r="S1874">
        <v>-2.995117</v>
      </c>
      <c r="T1874">
        <v>-0.74276390000000003</v>
      </c>
      <c r="U1874">
        <v>0.28054810000000002</v>
      </c>
      <c r="V1874">
        <v>7.4897530000000004E-2</v>
      </c>
      <c r="W1874">
        <v>1.736942E-3</v>
      </c>
      <c r="X1874">
        <v>0.99718969999999996</v>
      </c>
      <c r="Y1874">
        <v>0.13808049999999999</v>
      </c>
      <c r="Z1874">
        <v>2.9228259999999999E-2</v>
      </c>
      <c r="AA1874">
        <v>0.98998960000000003</v>
      </c>
      <c r="AB1874">
        <v>35</v>
      </c>
      <c r="AC1874">
        <v>-0.434599999999989</v>
      </c>
      <c r="AD1874">
        <v>-0.19347449999999999</v>
      </c>
      <c r="AE1874">
        <v>9.0399999999988198E-2</v>
      </c>
      <c r="AF1874">
        <v>9.4438955079827594E-2</v>
      </c>
      <c r="AG1874">
        <v>-0.19347449999999999</v>
      </c>
      <c r="AH1874">
        <v>0.36088623671568099</v>
      </c>
      <c r="AI1874">
        <v>117.41329102457</v>
      </c>
      <c r="AJ1874">
        <v>75.335325257995905</v>
      </c>
      <c r="AK1874">
        <v>0.42022609894868002</v>
      </c>
      <c r="AL1874">
        <v>89.900480501848307</v>
      </c>
      <c r="AM1874">
        <v>85.704658764589396</v>
      </c>
      <c r="AN1874">
        <v>0.99999997737684998</v>
      </c>
    </row>
    <row r="1875" spans="1:40" x14ac:dyDescent="0.25">
      <c r="A1875" t="str">
        <f>"20190312154833841"</f>
        <v>20190312154833841</v>
      </c>
      <c r="B1875" t="str">
        <f>"1552376913837720"</f>
        <v>1552376913837720</v>
      </c>
      <c r="C1875" t="s">
        <v>40</v>
      </c>
      <c r="D1875">
        <v>4.8700380000000001</v>
      </c>
      <c r="E1875">
        <v>0.53036179999999999</v>
      </c>
      <c r="F1875" t="s">
        <v>41</v>
      </c>
      <c r="G1875">
        <v>-239.161</v>
      </c>
      <c r="H1875">
        <v>0.91963989999999995</v>
      </c>
      <c r="I1875">
        <v>283.34699999999998</v>
      </c>
      <c r="J1875">
        <v>-238.75110000000001</v>
      </c>
      <c r="K1875">
        <v>1.107013</v>
      </c>
      <c r="L1875">
        <v>283.25810000000001</v>
      </c>
      <c r="M1875">
        <v>-0.99875659999999999</v>
      </c>
      <c r="N1875">
        <v>0</v>
      </c>
      <c r="O1875">
        <v>-4.9846080000000001E-2</v>
      </c>
      <c r="P1875">
        <v>-0.99967249999999996</v>
      </c>
      <c r="Q1875">
        <v>9.7520280000000005E-4</v>
      </c>
      <c r="R1875">
        <v>2.5576809999999998E-2</v>
      </c>
      <c r="S1875">
        <v>-2.9947659999999998</v>
      </c>
      <c r="T1875">
        <v>-0.74491479999999999</v>
      </c>
      <c r="U1875">
        <v>0.28625489999999998</v>
      </c>
      <c r="V1875">
        <v>7.5378699999999896E-2</v>
      </c>
      <c r="W1875">
        <v>1.634899E-3</v>
      </c>
      <c r="X1875">
        <v>0.99715359999999997</v>
      </c>
      <c r="Y1875">
        <v>0.13894570000000001</v>
      </c>
      <c r="Z1875">
        <v>2.9173600000000001E-2</v>
      </c>
      <c r="AA1875">
        <v>0.98987020000000003</v>
      </c>
      <c r="AB1875">
        <v>35</v>
      </c>
      <c r="AC1875">
        <v>-0.40989999999996402</v>
      </c>
      <c r="AD1875">
        <v>-0.18737309999999999</v>
      </c>
      <c r="AE1875">
        <v>8.8899999999966894E-2</v>
      </c>
      <c r="AF1875">
        <v>9.1050428180358398E-2</v>
      </c>
      <c r="AG1875">
        <v>-0.18737309999999999</v>
      </c>
      <c r="AH1875">
        <v>0.33758678935724401</v>
      </c>
      <c r="AI1875">
        <v>118.186315373469</v>
      </c>
      <c r="AJ1875">
        <v>74.905929373799296</v>
      </c>
      <c r="AK1875">
        <v>0.39669093690676799</v>
      </c>
      <c r="AL1875">
        <v>89.9063271420479</v>
      </c>
      <c r="AM1875">
        <v>85.677012233763193</v>
      </c>
      <c r="AN1875">
        <v>0.99999996165069405</v>
      </c>
    </row>
    <row r="1876" spans="1:40" x14ac:dyDescent="0.25">
      <c r="A1876" t="str">
        <f>"20190312154833865"</f>
        <v>20190312154833865</v>
      </c>
      <c r="B1876" t="str">
        <f>"1552376913858217"</f>
        <v>1552376913858217</v>
      </c>
      <c r="C1876" t="s">
        <v>40</v>
      </c>
      <c r="D1876">
        <v>4.8130769999999998</v>
      </c>
      <c r="E1876">
        <v>0.530192</v>
      </c>
      <c r="F1876" t="s">
        <v>41</v>
      </c>
      <c r="G1876">
        <v>-239.4812</v>
      </c>
      <c r="H1876">
        <v>0.92458739999999995</v>
      </c>
      <c r="I1876">
        <v>283.32909999999998</v>
      </c>
      <c r="J1876">
        <v>-239.1232</v>
      </c>
      <c r="K1876">
        <v>1.1070040000000001</v>
      </c>
      <c r="L1876">
        <v>283.24040000000002</v>
      </c>
      <c r="M1876">
        <v>-0.99880990000000003</v>
      </c>
      <c r="N1876">
        <v>0</v>
      </c>
      <c r="O1876">
        <v>-4.8767699999999997E-2</v>
      </c>
      <c r="P1876">
        <v>-0.99964810000000004</v>
      </c>
      <c r="Q1876">
        <v>1.0262559999999999E-3</v>
      </c>
      <c r="R1876">
        <v>2.6512330000000001E-2</v>
      </c>
      <c r="S1876">
        <v>-2.994278</v>
      </c>
      <c r="T1876">
        <v>-0.74814759999999902</v>
      </c>
      <c r="U1876">
        <v>0.29022219999999999</v>
      </c>
      <c r="V1876">
        <v>7.5235659999999996E-2</v>
      </c>
      <c r="W1876">
        <v>1.726928E-3</v>
      </c>
      <c r="X1876">
        <v>0.9971643</v>
      </c>
      <c r="Y1876">
        <v>0.1391684</v>
      </c>
      <c r="Z1876">
        <v>2.906191E-2</v>
      </c>
      <c r="AA1876">
        <v>0.98984220000000001</v>
      </c>
      <c r="AB1876">
        <v>35</v>
      </c>
      <c r="AC1876">
        <v>-0.35800000000000398</v>
      </c>
      <c r="AD1876">
        <v>-0.18241660000000001</v>
      </c>
      <c r="AE1876">
        <v>8.86999999999602E-2</v>
      </c>
      <c r="AF1876">
        <v>8.5209510833121296E-2</v>
      </c>
      <c r="AG1876">
        <v>-0.18241660000000001</v>
      </c>
      <c r="AH1876">
        <v>0.283820660837526</v>
      </c>
      <c r="AI1876">
        <v>121.615381451804</v>
      </c>
      <c r="AJ1876">
        <v>73.289030694969796</v>
      </c>
      <c r="AK1876">
        <v>0.34798081011778498</v>
      </c>
      <c r="AL1876">
        <v>89.901054266282003</v>
      </c>
      <c r="AM1876">
        <v>85.685230729639699</v>
      </c>
      <c r="AN1876">
        <v>1.0000000140052201</v>
      </c>
    </row>
    <row r="1877" spans="1:40" x14ac:dyDescent="0.25">
      <c r="A1877" t="str">
        <f>"20190312154833887"</f>
        <v>20190312154833887</v>
      </c>
      <c r="B1877" t="str">
        <f>"1552376913878713"</f>
        <v>1552376913878713</v>
      </c>
      <c r="C1877" t="s">
        <v>40</v>
      </c>
      <c r="D1877">
        <v>4.6732100000000001</v>
      </c>
      <c r="E1877">
        <v>0.51400729999999994</v>
      </c>
      <c r="F1877" t="s">
        <v>41</v>
      </c>
      <c r="G1877">
        <v>-239.8056</v>
      </c>
      <c r="H1877">
        <v>0.9363513</v>
      </c>
      <c r="I1877">
        <v>283.30700000000002</v>
      </c>
      <c r="J1877">
        <v>-239.476</v>
      </c>
      <c r="K1877">
        <v>1.1069929999999999</v>
      </c>
      <c r="L1877">
        <v>283.22410000000002</v>
      </c>
      <c r="M1877">
        <v>-0.9988591</v>
      </c>
      <c r="N1877">
        <v>0</v>
      </c>
      <c r="O1877">
        <v>-4.7746539999999997E-2</v>
      </c>
      <c r="P1877">
        <v>-0.99962759999999995</v>
      </c>
      <c r="Q1877">
        <v>1.1516530000000001E-3</v>
      </c>
      <c r="R1877">
        <v>2.726744E-2</v>
      </c>
      <c r="S1877">
        <v>-2.9940950000000002</v>
      </c>
      <c r="T1877">
        <v>-0.74875440000000004</v>
      </c>
      <c r="U1877">
        <v>0.29156490000000002</v>
      </c>
      <c r="V1877">
        <v>7.4969919999999995E-2</v>
      </c>
      <c r="W1877">
        <v>1.8914369999999999E-3</v>
      </c>
      <c r="X1877">
        <v>0.99718399999999996</v>
      </c>
      <c r="Y1877">
        <v>0.13864019999999999</v>
      </c>
      <c r="Z1877">
        <v>2.877004E-2</v>
      </c>
      <c r="AA1877">
        <v>0.98992480000000005</v>
      </c>
      <c r="AB1877">
        <v>36</v>
      </c>
      <c r="AC1877">
        <v>-0.329599999999999</v>
      </c>
      <c r="AD1877">
        <v>-0.17064170000000001</v>
      </c>
      <c r="AE1877">
        <v>8.2899999999995005E-2</v>
      </c>
      <c r="AF1877">
        <v>7.8702563962921801E-2</v>
      </c>
      <c r="AG1877">
        <v>-0.17064170000000001</v>
      </c>
      <c r="AH1877">
        <v>0.25977830549035802</v>
      </c>
      <c r="AI1877">
        <v>122.155806976021</v>
      </c>
      <c r="AJ1877">
        <v>73.145264628214903</v>
      </c>
      <c r="AK1877">
        <v>0.32062041631291899</v>
      </c>
      <c r="AL1877">
        <v>89.891628577867195</v>
      </c>
      <c r="AM1877">
        <v>85.7004983049233</v>
      </c>
      <c r="AN1877">
        <v>0.99999999814736495</v>
      </c>
    </row>
    <row r="1878" spans="1:40" x14ac:dyDescent="0.25">
      <c r="A1878" t="str">
        <f>"20190312154833909"</f>
        <v>20190312154833909</v>
      </c>
      <c r="B1878" t="str">
        <f>"1552376913898234"</f>
        <v>1552376913898234</v>
      </c>
      <c r="C1878" t="s">
        <v>40</v>
      </c>
      <c r="D1878">
        <v>4.6971579999999999</v>
      </c>
      <c r="E1878">
        <v>0.51217029999999997</v>
      </c>
      <c r="F1878" t="s">
        <v>41</v>
      </c>
      <c r="G1878">
        <v>-240.4605</v>
      </c>
      <c r="H1878">
        <v>0.9581672</v>
      </c>
      <c r="I1878">
        <v>283.28199999999998</v>
      </c>
      <c r="J1878">
        <v>-239.8366</v>
      </c>
      <c r="K1878">
        <v>1.1069830000000001</v>
      </c>
      <c r="L1878">
        <v>283.20760000000001</v>
      </c>
      <c r="M1878">
        <v>-0.99890829999999997</v>
      </c>
      <c r="N1878">
        <v>0</v>
      </c>
      <c r="O1878">
        <v>-4.6704040000000002E-2</v>
      </c>
      <c r="P1878">
        <v>-0.99962329999999999</v>
      </c>
      <c r="Q1878">
        <v>7.4350459999999996E-4</v>
      </c>
      <c r="R1878">
        <v>2.7436840000000001E-2</v>
      </c>
      <c r="S1878">
        <v>-2.9968110000000001</v>
      </c>
      <c r="T1878">
        <v>-0.45302389999999998</v>
      </c>
      <c r="U1878">
        <v>0.17623900000000001</v>
      </c>
      <c r="V1878">
        <v>7.4097239999999995E-2</v>
      </c>
      <c r="W1878">
        <v>1.52570299999999E-3</v>
      </c>
      <c r="X1878">
        <v>0.99724979999999996</v>
      </c>
      <c r="Y1878">
        <v>0.10356460000000001</v>
      </c>
      <c r="Z1878">
        <v>1.479186E-2</v>
      </c>
      <c r="AA1878">
        <v>0.99451270000000003</v>
      </c>
      <c r="AB1878">
        <v>36</v>
      </c>
      <c r="AC1878">
        <v>-0.62389999999999102</v>
      </c>
      <c r="AD1878">
        <v>-0.1488158</v>
      </c>
      <c r="AE1878">
        <v>7.43999999999687E-2</v>
      </c>
      <c r="AF1878">
        <v>9.7962143954963998E-2</v>
      </c>
      <c r="AG1878">
        <v>-0.1488158</v>
      </c>
      <c r="AH1878">
        <v>0.58682554391721098</v>
      </c>
      <c r="AI1878">
        <v>104.043429832548</v>
      </c>
      <c r="AJ1878">
        <v>80.522679534275895</v>
      </c>
      <c r="AK1878">
        <v>0.61327558484878797</v>
      </c>
      <c r="AL1878">
        <v>89.912583618689894</v>
      </c>
      <c r="AM1878">
        <v>85.750641181823795</v>
      </c>
      <c r="AN1878">
        <v>0.99999994617264898</v>
      </c>
    </row>
    <row r="1879" spans="1:40" x14ac:dyDescent="0.25">
      <c r="A1879" t="str">
        <f>"20190312154833931"</f>
        <v>20190312154833931</v>
      </c>
      <c r="B1879" t="str">
        <f>"1552376913927513"</f>
        <v>1552376913927513</v>
      </c>
      <c r="C1879" t="s">
        <v>40</v>
      </c>
      <c r="D1879">
        <v>4.6398060000000001</v>
      </c>
      <c r="E1879">
        <v>0.51045640000000003</v>
      </c>
      <c r="F1879" t="s">
        <v>41</v>
      </c>
      <c r="G1879">
        <v>-240.8124</v>
      </c>
      <c r="H1879">
        <v>1.015995</v>
      </c>
      <c r="I1879">
        <v>283.26280000000003</v>
      </c>
      <c r="J1879">
        <v>-240.19489999999999</v>
      </c>
      <c r="K1879">
        <v>1.1069709999999999</v>
      </c>
      <c r="L1879">
        <v>283.19170000000003</v>
      </c>
      <c r="M1879">
        <v>-0.99895610000000001</v>
      </c>
      <c r="N1879">
        <v>0</v>
      </c>
      <c r="O1879">
        <v>-4.5670009999999997E-2</v>
      </c>
      <c r="P1879">
        <v>-0.99962379999999995</v>
      </c>
      <c r="Q1879">
        <v>-1.2912040000000001E-4</v>
      </c>
      <c r="R1879">
        <v>2.7429450000000001E-2</v>
      </c>
      <c r="S1879">
        <v>-2.9967039999999998</v>
      </c>
      <c r="T1879">
        <v>-0.27957219999999999</v>
      </c>
      <c r="U1879">
        <v>0.1687622</v>
      </c>
      <c r="V1879">
        <v>7.3055809999999999E-2</v>
      </c>
      <c r="W1879">
        <v>6.9743789999999995E-4</v>
      </c>
      <c r="X1879">
        <v>0.99732759999999998</v>
      </c>
      <c r="Y1879">
        <v>0.1011302</v>
      </c>
      <c r="Z1879">
        <v>8.9518419999999998E-3</v>
      </c>
      <c r="AA1879">
        <v>0.99483290000000002</v>
      </c>
      <c r="AB1879">
        <v>36</v>
      </c>
      <c r="AC1879">
        <v>-0.61750000000000604</v>
      </c>
      <c r="AD1879">
        <v>-9.0975999999999904E-2</v>
      </c>
      <c r="AE1879">
        <v>7.1100000000001204E-2</v>
      </c>
      <c r="AF1879">
        <v>9.7145996655241998E-2</v>
      </c>
      <c r="AG1879">
        <v>-9.0975999999999904E-2</v>
      </c>
      <c r="AH1879">
        <v>0.60073951098180201</v>
      </c>
      <c r="AI1879">
        <v>98.502629362044601</v>
      </c>
      <c r="AJ1879">
        <v>80.814180297408697</v>
      </c>
      <c r="AK1879">
        <v>0.61530637677241296</v>
      </c>
      <c r="AL1879">
        <v>89.9600397482087</v>
      </c>
      <c r="AM1879">
        <v>85.810477017927894</v>
      </c>
      <c r="AN1879">
        <v>0.99999998975807003</v>
      </c>
    </row>
    <row r="1880" spans="1:40" x14ac:dyDescent="0.25">
      <c r="A1880" t="str">
        <f>"20190312154833952"</f>
        <v>20190312154833952</v>
      </c>
      <c r="B1880" t="str">
        <f>"1552376913948008"</f>
        <v>1552376913948008</v>
      </c>
      <c r="C1880" t="s">
        <v>40</v>
      </c>
      <c r="D1880">
        <v>4.5800320000000001</v>
      </c>
      <c r="E1880">
        <v>0.51074049999999904</v>
      </c>
      <c r="F1880" t="s">
        <v>41</v>
      </c>
      <c r="G1880">
        <v>-241.15379999999999</v>
      </c>
      <c r="H1880">
        <v>1.0482359999999999</v>
      </c>
      <c r="I1880">
        <v>283.24259999999998</v>
      </c>
      <c r="J1880">
        <v>-240.55109999999999</v>
      </c>
      <c r="K1880">
        <v>1.1069599999999999</v>
      </c>
      <c r="L1880">
        <v>283.17619999999999</v>
      </c>
      <c r="M1880">
        <v>-0.99900250000000002</v>
      </c>
      <c r="N1880">
        <v>0</v>
      </c>
      <c r="O1880">
        <v>-4.4643479999999999E-2</v>
      </c>
      <c r="P1880">
        <v>-0.99961789999999995</v>
      </c>
      <c r="Q1880">
        <v>-1.2067309999999999E-3</v>
      </c>
      <c r="R1880">
        <v>2.7622529999999999E-2</v>
      </c>
      <c r="S1880">
        <v>-2.99675</v>
      </c>
      <c r="T1880">
        <v>-0.18367539999999999</v>
      </c>
      <c r="U1880">
        <v>0.1585693</v>
      </c>
      <c r="V1880">
        <v>7.2220939999999997E-2</v>
      </c>
      <c r="W1880">
        <v>-3.2711289999999999E-4</v>
      </c>
      <c r="X1880">
        <v>0.99738859999999996</v>
      </c>
      <c r="Y1880">
        <v>9.7102930000000004E-2</v>
      </c>
      <c r="Z1880">
        <v>5.7028540000000003E-3</v>
      </c>
      <c r="AA1880">
        <v>0.99525799999999998</v>
      </c>
      <c r="AB1880">
        <v>36</v>
      </c>
      <c r="AC1880">
        <v>-0.60269999999999802</v>
      </c>
      <c r="AD1880">
        <v>-5.87239999999997E-2</v>
      </c>
      <c r="AE1880">
        <v>6.6399999999987303E-2</v>
      </c>
      <c r="AF1880">
        <v>9.2373995290767494E-2</v>
      </c>
      <c r="AG1880">
        <v>-5.87239999999997E-2</v>
      </c>
      <c r="AH1880">
        <v>0.59356728104311396</v>
      </c>
      <c r="AI1880">
        <v>95.583340413032801</v>
      </c>
      <c r="AJ1880">
        <v>81.154292395297702</v>
      </c>
      <c r="AK1880">
        <v>0.60357566245409</v>
      </c>
      <c r="AL1880">
        <v>90.018742189016706</v>
      </c>
      <c r="AM1880">
        <v>85.8584390660926</v>
      </c>
      <c r="AN1880">
        <v>0.99999999529364603</v>
      </c>
    </row>
    <row r="1881" spans="1:40" x14ac:dyDescent="0.25">
      <c r="A1881" t="str">
        <f>"20190312154833978"</f>
        <v>20190312154833978</v>
      </c>
      <c r="B1881" t="str">
        <f>"1552376913967529"</f>
        <v>1552376913967529</v>
      </c>
      <c r="C1881" t="s">
        <v>40</v>
      </c>
      <c r="D1881">
        <v>4.5607100000000003</v>
      </c>
      <c r="E1881">
        <v>0.51103370000000004</v>
      </c>
      <c r="F1881" t="s">
        <v>41</v>
      </c>
      <c r="G1881">
        <v>-241.48910000000001</v>
      </c>
      <c r="H1881">
        <v>1.0572969999999999</v>
      </c>
      <c r="I1881">
        <v>283.22719999999998</v>
      </c>
      <c r="J1881">
        <v>-240.94929999999999</v>
      </c>
      <c r="K1881">
        <v>1.106954</v>
      </c>
      <c r="L1881">
        <v>283.15940000000001</v>
      </c>
      <c r="M1881">
        <v>-0.99905299999999997</v>
      </c>
      <c r="N1881">
        <v>0</v>
      </c>
      <c r="O1881">
        <v>-4.3497719999999997E-2</v>
      </c>
      <c r="P1881">
        <v>-0.99960320000000003</v>
      </c>
      <c r="Q1881">
        <v>-1.734406E-3</v>
      </c>
      <c r="R1881">
        <v>2.8118250000000001E-2</v>
      </c>
      <c r="S1881">
        <v>-2.9965060000000001</v>
      </c>
      <c r="T1881">
        <v>-0.1587296</v>
      </c>
      <c r="U1881">
        <v>0.162323</v>
      </c>
      <c r="V1881">
        <v>7.1570449999999994E-2</v>
      </c>
      <c r="W1881">
        <v>-7.7549050000000005E-4</v>
      </c>
      <c r="X1881">
        <v>0.99743530000000002</v>
      </c>
      <c r="Y1881">
        <v>9.7277429999999998E-2</v>
      </c>
      <c r="Z1881">
        <v>4.8737579999999997E-3</v>
      </c>
      <c r="AA1881">
        <v>0.99524539999999995</v>
      </c>
      <c r="AB1881">
        <v>36</v>
      </c>
      <c r="AC1881">
        <v>-0.53980000000001305</v>
      </c>
      <c r="AD1881">
        <v>-4.9657E-2</v>
      </c>
      <c r="AE1881">
        <v>6.7799999999976907E-2</v>
      </c>
      <c r="AF1881">
        <v>9.0462269163839606E-2</v>
      </c>
      <c r="AG1881">
        <v>-4.9657E-2</v>
      </c>
      <c r="AH1881">
        <v>0.53190861363175101</v>
      </c>
      <c r="AI1881">
        <v>95.258388452418203</v>
      </c>
      <c r="AJ1881">
        <v>80.347996875012399</v>
      </c>
      <c r="AK1881">
        <v>0.54182655254880396</v>
      </c>
      <c r="AL1881">
        <v>90.044432334748095</v>
      </c>
      <c r="AM1881">
        <v>85.895805326499698</v>
      </c>
      <c r="AN1881">
        <v>1.0000000541923999</v>
      </c>
    </row>
    <row r="1882" spans="1:40" x14ac:dyDescent="0.25">
      <c r="A1882" t="str">
        <f>"20190312154834000"</f>
        <v>20190312154834000</v>
      </c>
      <c r="B1882" t="str">
        <f>"1552376913988024"</f>
        <v>1552376913988024</v>
      </c>
      <c r="C1882" t="s">
        <v>40</v>
      </c>
      <c r="D1882">
        <v>4.5117269999999996</v>
      </c>
      <c r="E1882">
        <v>0.51115549999999998</v>
      </c>
      <c r="F1882" t="s">
        <v>50</v>
      </c>
      <c r="G1882">
        <v>-264.31020000000001</v>
      </c>
      <c r="H1882" s="1">
        <v>7.5686630000000005E-7</v>
      </c>
      <c r="I1882">
        <v>284.46019999999999</v>
      </c>
      <c r="J1882">
        <v>-241.3254</v>
      </c>
      <c r="K1882">
        <v>1.106948</v>
      </c>
      <c r="L1882">
        <v>283.14389999999997</v>
      </c>
      <c r="M1882">
        <v>-0.99909930000000002</v>
      </c>
      <c r="N1882">
        <v>0</v>
      </c>
      <c r="O1882">
        <v>-4.2417870000000003E-2</v>
      </c>
      <c r="P1882">
        <v>-0.99958089999999999</v>
      </c>
      <c r="Q1882">
        <v>-2.3385490000000001E-3</v>
      </c>
      <c r="R1882">
        <v>2.8861870000000001E-2</v>
      </c>
      <c r="S1882">
        <v>-2.9962460000000002</v>
      </c>
      <c r="T1882">
        <v>-0.14197699999999999</v>
      </c>
      <c r="U1882">
        <v>0.1668396</v>
      </c>
      <c r="V1882">
        <v>7.1233119999999997E-2</v>
      </c>
      <c r="W1882">
        <v>-1.2767799999999999E-3</v>
      </c>
      <c r="X1882">
        <v>0.99745890000000004</v>
      </c>
      <c r="Y1882">
        <v>9.7742140000000005E-2</v>
      </c>
      <c r="Z1882">
        <v>4.3200959999999998E-3</v>
      </c>
      <c r="AA1882">
        <v>0.99520240000000004</v>
      </c>
      <c r="AB1882">
        <v>37</v>
      </c>
      <c r="AC1882">
        <v>-22.9848</v>
      </c>
      <c r="AD1882">
        <v>-1.1069472431337</v>
      </c>
      <c r="AE1882">
        <v>1.31630000000001</v>
      </c>
      <c r="AF1882">
        <v>2.2848001679396699</v>
      </c>
      <c r="AG1882">
        <v>-1.1069472431337</v>
      </c>
      <c r="AH1882">
        <v>22.855440765307101</v>
      </c>
      <c r="AI1882">
        <v>92.759083144866096</v>
      </c>
      <c r="AJ1882">
        <v>84.291253291579594</v>
      </c>
      <c r="AK1882">
        <v>22.996017406998099</v>
      </c>
      <c r="AL1882">
        <v>90.073154123605704</v>
      </c>
      <c r="AM1882">
        <v>85.9151801390081</v>
      </c>
      <c r="AN1882">
        <v>1.00000002237065</v>
      </c>
    </row>
    <row r="1883" spans="1:40" x14ac:dyDescent="0.25">
      <c r="A1883" t="str">
        <f>"20190312154834032"</f>
        <v>20190312154834032</v>
      </c>
      <c r="B1883" t="str">
        <f>"1552376914028041"</f>
        <v>1552376914028041</v>
      </c>
      <c r="C1883" t="s">
        <v>40</v>
      </c>
      <c r="D1883">
        <v>4.436591</v>
      </c>
      <c r="E1883">
        <v>0.51160729999999999</v>
      </c>
      <c r="F1883" t="s">
        <v>50</v>
      </c>
      <c r="G1883">
        <v>-266.95299999999997</v>
      </c>
      <c r="H1883" s="1">
        <v>2.1632549999999999E-6</v>
      </c>
      <c r="I1883">
        <v>284.60390000000001</v>
      </c>
      <c r="J1883">
        <v>-241.86150000000001</v>
      </c>
      <c r="K1883">
        <v>1.1069639999999901</v>
      </c>
      <c r="L1883">
        <v>283.12240000000003</v>
      </c>
      <c r="M1883">
        <v>-0.99916269999999996</v>
      </c>
      <c r="N1883">
        <v>0</v>
      </c>
      <c r="O1883">
        <v>-4.0887689999999997E-2</v>
      </c>
      <c r="P1883">
        <v>-0.99952779999999997</v>
      </c>
      <c r="Q1883">
        <v>-3.7663150000000001E-3</v>
      </c>
      <c r="R1883">
        <v>3.050075E-2</v>
      </c>
      <c r="S1883">
        <v>-2.9960330000000002</v>
      </c>
      <c r="T1883">
        <v>-0.1294091</v>
      </c>
      <c r="U1883">
        <v>0.1706848</v>
      </c>
      <c r="V1883">
        <v>7.1337659999999997E-2</v>
      </c>
      <c r="W1883">
        <v>-2.4643360000000001E-3</v>
      </c>
      <c r="X1883">
        <v>0.99744920000000004</v>
      </c>
      <c r="Y1883">
        <v>9.7523330000000005E-2</v>
      </c>
      <c r="Z1883">
        <v>3.8674780000000001E-3</v>
      </c>
      <c r="AA1883">
        <v>0.99522569999999999</v>
      </c>
      <c r="AB1883">
        <v>37</v>
      </c>
      <c r="AC1883">
        <v>-25.0914999999999</v>
      </c>
      <c r="AD1883">
        <v>-1.10696183674499</v>
      </c>
      <c r="AE1883">
        <v>1.4814999999999801</v>
      </c>
      <c r="AF1883">
        <v>2.5013441614530301</v>
      </c>
      <c r="AG1883">
        <v>-1.10696183674499</v>
      </c>
      <c r="AH1883">
        <v>24.961527886685801</v>
      </c>
      <c r="AI1883">
        <v>92.526578791020398</v>
      </c>
      <c r="AJ1883">
        <v>84.277608999168194</v>
      </c>
      <c r="AK1883">
        <v>25.110953019745001</v>
      </c>
      <c r="AL1883">
        <v>90.141196192101901</v>
      </c>
      <c r="AM1883">
        <v>85.909166046566199</v>
      </c>
      <c r="AN1883">
        <v>1.0000000206334101</v>
      </c>
    </row>
    <row r="1884" spans="1:40" x14ac:dyDescent="0.25">
      <c r="A1884" t="str">
        <f>"20190312154834054"</f>
        <v>20190312154834054</v>
      </c>
      <c r="B1884" t="str">
        <f>"1552376914047561"</f>
        <v>1552376914047561</v>
      </c>
      <c r="C1884" t="s">
        <v>40</v>
      </c>
      <c r="D1884">
        <v>4.3779960000000004</v>
      </c>
      <c r="E1884">
        <v>0.51162619999999903</v>
      </c>
      <c r="F1884" t="s">
        <v>50</v>
      </c>
      <c r="G1884">
        <v>-270.90699999999998</v>
      </c>
      <c r="H1884" s="1">
        <v>-1.0650880000000001E-6</v>
      </c>
      <c r="I1884">
        <v>284.86680000000001</v>
      </c>
      <c r="J1884">
        <v>-242.2234</v>
      </c>
      <c r="K1884">
        <v>1.106992</v>
      </c>
      <c r="L1884">
        <v>283.10849999999999</v>
      </c>
      <c r="M1884">
        <v>-0.99920359999999997</v>
      </c>
      <c r="N1884">
        <v>0</v>
      </c>
      <c r="O1884">
        <v>-3.9866550000000001E-2</v>
      </c>
      <c r="P1884">
        <v>-0.99947949999999997</v>
      </c>
      <c r="Q1884">
        <v>-4.5897680000000001E-3</v>
      </c>
      <c r="R1884">
        <v>3.1936029999999997E-2</v>
      </c>
      <c r="S1884">
        <v>-2.995514</v>
      </c>
      <c r="T1884">
        <v>-0.1141635</v>
      </c>
      <c r="U1884">
        <v>0.17990110000000001</v>
      </c>
      <c r="V1884">
        <v>7.1748870000000006E-2</v>
      </c>
      <c r="W1884">
        <v>-3.0429680000000001E-3</v>
      </c>
      <c r="X1884">
        <v>0.99741809999999997</v>
      </c>
      <c r="Y1884">
        <v>9.9595169999999997E-2</v>
      </c>
      <c r="Z1884">
        <v>3.4130779999999999E-3</v>
      </c>
      <c r="AA1884">
        <v>0.99502219999999997</v>
      </c>
      <c r="AB1884">
        <v>37</v>
      </c>
      <c r="AC1884">
        <v>-28.683599999999899</v>
      </c>
      <c r="AD1884">
        <v>-1.106993065088</v>
      </c>
      <c r="AE1884">
        <v>1.75830000000001</v>
      </c>
      <c r="AF1884">
        <v>2.8961225116810398</v>
      </c>
      <c r="AG1884">
        <v>-1.106993065088</v>
      </c>
      <c r="AH1884">
        <v>28.548337592696999</v>
      </c>
      <c r="AI1884">
        <v>92.209266371579204</v>
      </c>
      <c r="AJ1884">
        <v>84.207373651024795</v>
      </c>
      <c r="AK1884">
        <v>28.716206897071501</v>
      </c>
      <c r="AL1884">
        <v>90.174349490378702</v>
      </c>
      <c r="AM1884">
        <v>85.885538249947601</v>
      </c>
      <c r="AN1884">
        <v>1.0000000131040601</v>
      </c>
    </row>
    <row r="1885" spans="1:40" x14ac:dyDescent="0.25">
      <c r="A1885" t="str">
        <f>"20190312154834075"</f>
        <v>20190312154834075</v>
      </c>
      <c r="B1885" t="str">
        <f>"1552376914068057"</f>
        <v>1552376914068057</v>
      </c>
      <c r="C1885" t="s">
        <v>40</v>
      </c>
      <c r="D1885">
        <v>4.3420779999999999</v>
      </c>
      <c r="E1885">
        <v>0.5117294</v>
      </c>
      <c r="F1885" t="s">
        <v>50</v>
      </c>
      <c r="G1885">
        <v>-272.52109999999999</v>
      </c>
      <c r="H1885" s="1">
        <v>-2.1102709999999999E-7</v>
      </c>
      <c r="I1885">
        <v>284.97859999999997</v>
      </c>
      <c r="J1885">
        <v>-242.58449999999999</v>
      </c>
      <c r="K1885">
        <v>1.1070489999999999</v>
      </c>
      <c r="L1885">
        <v>283.0949</v>
      </c>
      <c r="M1885">
        <v>-0.99924259999999998</v>
      </c>
      <c r="N1885">
        <v>0</v>
      </c>
      <c r="O1885">
        <v>-3.8858520000000001E-2</v>
      </c>
      <c r="P1885">
        <v>-0.99941329999999995</v>
      </c>
      <c r="Q1885">
        <v>-5.1154349999999998E-3</v>
      </c>
      <c r="R1885">
        <v>3.3865979999999997E-2</v>
      </c>
      <c r="S1885">
        <v>-2.9951479999999999</v>
      </c>
      <c r="T1885">
        <v>-0.109434199999999</v>
      </c>
      <c r="U1885">
        <v>0.1848755</v>
      </c>
      <c r="V1885">
        <v>7.2668029999999995E-2</v>
      </c>
      <c r="W1885">
        <v>-3.248239E-3</v>
      </c>
      <c r="X1885">
        <v>0.99735090000000004</v>
      </c>
      <c r="Y1885">
        <v>0.1002535</v>
      </c>
      <c r="Z1885">
        <v>3.2472600000000001E-3</v>
      </c>
      <c r="AA1885">
        <v>0.99495659999999997</v>
      </c>
      <c r="AB1885">
        <v>37</v>
      </c>
      <c r="AC1885">
        <v>-29.936599999999999</v>
      </c>
      <c r="AD1885">
        <v>-1.1070492110271</v>
      </c>
      <c r="AE1885">
        <v>1.88369999999997</v>
      </c>
      <c r="AF1885">
        <v>3.0414289481077299</v>
      </c>
      <c r="AG1885">
        <v>-1.1070492110271</v>
      </c>
      <c r="AH1885">
        <v>29.800200305598398</v>
      </c>
      <c r="AI1885">
        <v>92.116520988517706</v>
      </c>
      <c r="AJ1885">
        <v>84.172531138078995</v>
      </c>
      <c r="AK1885">
        <v>29.975453061727201</v>
      </c>
      <c r="AL1885">
        <v>90.186110711769999</v>
      </c>
      <c r="AM1885">
        <v>85.832733451889794</v>
      </c>
      <c r="AN1885">
        <v>1.0000000056857401</v>
      </c>
    </row>
    <row r="1886" spans="1:40" x14ac:dyDescent="0.25">
      <c r="A1886" t="str">
        <f>"20190312154834098"</f>
        <v>20190312154834098</v>
      </c>
      <c r="B1886" t="str">
        <f>"1552376914087581"</f>
        <v>1552376914087581</v>
      </c>
      <c r="C1886" t="s">
        <v>40</v>
      </c>
      <c r="D1886">
        <v>4.2712089999999998</v>
      </c>
      <c r="E1886">
        <v>0.51178089999999998</v>
      </c>
      <c r="F1886" t="s">
        <v>50</v>
      </c>
      <c r="G1886">
        <v>-274.1447</v>
      </c>
      <c r="H1886" s="1">
        <v>6.4704719999999896E-7</v>
      </c>
      <c r="I1886">
        <v>285.1146</v>
      </c>
      <c r="J1886">
        <v>-242.9599</v>
      </c>
      <c r="K1886">
        <v>1.107138</v>
      </c>
      <c r="L1886">
        <v>283.08120000000002</v>
      </c>
      <c r="M1886">
        <v>-0.99928099999999997</v>
      </c>
      <c r="N1886">
        <v>0</v>
      </c>
      <c r="O1886">
        <v>-3.7830839999999998E-2</v>
      </c>
      <c r="P1886">
        <v>-0.99934290000000003</v>
      </c>
      <c r="Q1886">
        <v>-5.6089199999999999E-3</v>
      </c>
      <c r="R1886">
        <v>3.5812049999999998E-2</v>
      </c>
      <c r="S1886">
        <v>-2.99472</v>
      </c>
      <c r="T1886">
        <v>-0.10504670000000001</v>
      </c>
      <c r="U1886">
        <v>0.1916504</v>
      </c>
      <c r="V1886">
        <v>7.3584189999999994E-2</v>
      </c>
      <c r="W1886">
        <v>-3.2763359999999999E-3</v>
      </c>
      <c r="X1886">
        <v>0.99728360000000005</v>
      </c>
      <c r="Y1886">
        <v>0.1014881</v>
      </c>
      <c r="Z1886">
        <v>3.1030099999999998E-3</v>
      </c>
      <c r="AA1886">
        <v>0.99483189999999999</v>
      </c>
      <c r="AB1886">
        <v>37</v>
      </c>
      <c r="AC1886">
        <v>-31.184799999999999</v>
      </c>
      <c r="AD1886">
        <v>-1.1071373529527999</v>
      </c>
      <c r="AE1886">
        <v>2.0333999999999701</v>
      </c>
      <c r="AF1886">
        <v>3.2076693879757299</v>
      </c>
      <c r="AG1886">
        <v>-1.1071373529527999</v>
      </c>
      <c r="AH1886">
        <v>31.046584756413601</v>
      </c>
      <c r="AI1886">
        <v>92.0315269014216</v>
      </c>
      <c r="AJ1886">
        <v>84.101247232051406</v>
      </c>
      <c r="AK1886">
        <v>31.231479648874</v>
      </c>
      <c r="AL1886">
        <v>90.187720565959097</v>
      </c>
      <c r="AM1886">
        <v>85.780099630314396</v>
      </c>
      <c r="AN1886">
        <v>0.99999997311224997</v>
      </c>
    </row>
    <row r="1887" spans="1:40" x14ac:dyDescent="0.25">
      <c r="A1887" t="str">
        <f>"20190312154834120"</f>
        <v>20190312154834120</v>
      </c>
      <c r="B1887" t="str">
        <f>"1552376914108073"</f>
        <v>1552376914108073</v>
      </c>
      <c r="C1887" t="s">
        <v>40</v>
      </c>
      <c r="D1887">
        <v>4.2307930000000002</v>
      </c>
      <c r="E1887">
        <v>0.51174699999999995</v>
      </c>
      <c r="F1887" t="s">
        <v>50</v>
      </c>
      <c r="G1887">
        <v>-275.97219999999999</v>
      </c>
      <c r="H1887" s="1">
        <v>1.612982E-6</v>
      </c>
      <c r="I1887">
        <v>285.26510000000002</v>
      </c>
      <c r="J1887">
        <v>-243.33699999999999</v>
      </c>
      <c r="K1887">
        <v>1.107264</v>
      </c>
      <c r="L1887">
        <v>283.0677</v>
      </c>
      <c r="M1887">
        <v>-0.99931689999999995</v>
      </c>
      <c r="N1887">
        <v>0</v>
      </c>
      <c r="O1887">
        <v>-3.6821890000000003E-2</v>
      </c>
      <c r="P1887">
        <v>-0.99928079999999997</v>
      </c>
      <c r="Q1887">
        <v>-5.789766E-3</v>
      </c>
      <c r="R1887">
        <v>3.7478789999999998E-2</v>
      </c>
      <c r="S1887">
        <v>-2.9943080000000002</v>
      </c>
      <c r="T1887">
        <v>-0.10042040000000001</v>
      </c>
      <c r="U1887">
        <v>0.1980896</v>
      </c>
      <c r="V1887">
        <v>7.4241909999999994E-2</v>
      </c>
      <c r="W1887">
        <v>-2.8233350000000002E-3</v>
      </c>
      <c r="X1887">
        <v>0.99723629999999996</v>
      </c>
      <c r="Y1887">
        <v>0.10263</v>
      </c>
      <c r="Z1887">
        <v>2.9519709999999998E-3</v>
      </c>
      <c r="AA1887">
        <v>0.99471520000000002</v>
      </c>
      <c r="AB1887">
        <v>37</v>
      </c>
      <c r="AC1887">
        <v>-32.635199999999898</v>
      </c>
      <c r="AD1887">
        <v>-1.1072623870180001</v>
      </c>
      <c r="AE1887">
        <v>2.1974000000000098</v>
      </c>
      <c r="AF1887">
        <v>3.3937164728694298</v>
      </c>
      <c r="AG1887">
        <v>-1.1072623870180001</v>
      </c>
      <c r="AH1887">
        <v>32.494917799174502</v>
      </c>
      <c r="AI1887">
        <v>91.941046164405904</v>
      </c>
      <c r="AJ1887">
        <v>84.037736635968102</v>
      </c>
      <c r="AK1887">
        <v>32.690411809382901</v>
      </c>
      <c r="AL1887">
        <v>90.161765388864396</v>
      </c>
      <c r="AM1887">
        <v>85.742317641011297</v>
      </c>
      <c r="AN1887">
        <v>1.0000000352293199</v>
      </c>
    </row>
    <row r="1888" spans="1:40" x14ac:dyDescent="0.25">
      <c r="A1888" t="str">
        <f>"20190312154834142"</f>
        <v>20190312154834142</v>
      </c>
      <c r="B1888" t="str">
        <f>"1552376914137353"</f>
        <v>1552376914137353</v>
      </c>
      <c r="C1888" t="s">
        <v>40</v>
      </c>
      <c r="D1888">
        <v>4.2068409999999998</v>
      </c>
      <c r="E1888">
        <v>0.51173619999999997</v>
      </c>
      <c r="F1888" t="s">
        <v>50</v>
      </c>
      <c r="G1888">
        <v>-277.99639999999999</v>
      </c>
      <c r="H1888" s="1">
        <v>2.68343E-6</v>
      </c>
      <c r="I1888">
        <v>285.41809999999998</v>
      </c>
      <c r="J1888">
        <v>-243.7139</v>
      </c>
      <c r="K1888">
        <v>1.1074219999999999</v>
      </c>
      <c r="L1888">
        <v>283.05470000000003</v>
      </c>
      <c r="M1888">
        <v>-0.99934979999999995</v>
      </c>
      <c r="N1888">
        <v>0</v>
      </c>
      <c r="O1888">
        <v>-3.5838889999999998E-2</v>
      </c>
      <c r="P1888">
        <v>-0.99921020000000005</v>
      </c>
      <c r="Q1888">
        <v>-6.3138269999999897E-3</v>
      </c>
      <c r="R1888">
        <v>3.923633E-2</v>
      </c>
      <c r="S1888">
        <v>-2.9939879999999999</v>
      </c>
      <c r="T1888">
        <v>-9.5648880000000006E-2</v>
      </c>
      <c r="U1888">
        <v>0.2030334</v>
      </c>
      <c r="V1888">
        <v>7.5015719999999994E-2</v>
      </c>
      <c r="W1888">
        <v>-2.5389060000000001E-3</v>
      </c>
      <c r="X1888">
        <v>0.99717909999999998</v>
      </c>
      <c r="Y1888">
        <v>0.1033012</v>
      </c>
      <c r="Z1888">
        <v>2.791282E-3</v>
      </c>
      <c r="AA1888">
        <v>0.99464620000000004</v>
      </c>
      <c r="AB1888">
        <v>38</v>
      </c>
      <c r="AC1888">
        <v>-34.282499999999999</v>
      </c>
      <c r="AD1888">
        <v>-1.1074193165699999</v>
      </c>
      <c r="AE1888">
        <v>2.3633999999999502</v>
      </c>
      <c r="AF1888">
        <v>3.5868129606371402</v>
      </c>
      <c r="AG1888">
        <v>-1.1074193165699999</v>
      </c>
      <c r="AH1888">
        <v>34.140317794724503</v>
      </c>
      <c r="AI1888">
        <v>91.847706065715002</v>
      </c>
      <c r="AJ1888">
        <v>84.002455068208803</v>
      </c>
      <c r="AK1888">
        <v>34.346075523734797</v>
      </c>
      <c r="AL1888">
        <v>90.145468757444505</v>
      </c>
      <c r="AM1888">
        <v>85.697860486788201</v>
      </c>
      <c r="AN1888">
        <v>0.99999998088380204</v>
      </c>
    </row>
    <row r="1889" spans="1:40" x14ac:dyDescent="0.25">
      <c r="A1889" t="str">
        <f>"20190312154834165"</f>
        <v>20190312154834165</v>
      </c>
      <c r="B1889" t="str">
        <f>"1552376914157849"</f>
        <v>1552376914157849</v>
      </c>
      <c r="C1889" t="s">
        <v>40</v>
      </c>
      <c r="D1889">
        <v>4.1686550000000002</v>
      </c>
      <c r="E1889">
        <v>0.51169819999999999</v>
      </c>
      <c r="F1889" t="s">
        <v>51</v>
      </c>
      <c r="G1889">
        <v>-280.62240000000003</v>
      </c>
      <c r="H1889" s="1">
        <v>7.9183259999999995E-6</v>
      </c>
      <c r="I1889">
        <v>285.62270000000001</v>
      </c>
      <c r="J1889">
        <v>-244.09180000000001</v>
      </c>
      <c r="K1889">
        <v>1.1076140000000001</v>
      </c>
      <c r="L1889">
        <v>283.0421</v>
      </c>
      <c r="M1889">
        <v>-0.99937869999999995</v>
      </c>
      <c r="N1889">
        <v>0</v>
      </c>
      <c r="O1889">
        <v>-3.4893019999999997E-2</v>
      </c>
      <c r="P1889">
        <v>-0.99914999999999998</v>
      </c>
      <c r="Q1889">
        <v>-7.5443649999999999E-3</v>
      </c>
      <c r="R1889">
        <v>4.0527300000000002E-2</v>
      </c>
      <c r="S1889">
        <v>-2.9936219999999998</v>
      </c>
      <c r="T1889">
        <v>-8.9821579999999998E-2</v>
      </c>
      <c r="U1889">
        <v>0.20828250000000001</v>
      </c>
      <c r="V1889">
        <v>7.5359590000000004E-2</v>
      </c>
      <c r="W1889">
        <v>-2.7922250000000002E-3</v>
      </c>
      <c r="X1889">
        <v>0.9971525</v>
      </c>
      <c r="Y1889">
        <v>0.10411239999999999</v>
      </c>
      <c r="Z1889">
        <v>2.6052890000000002E-3</v>
      </c>
      <c r="AA1889">
        <v>0.9945621</v>
      </c>
      <c r="AB1889">
        <v>38</v>
      </c>
      <c r="AC1889">
        <v>-36.5306</v>
      </c>
      <c r="AD1889">
        <v>-1.1076060816740001</v>
      </c>
      <c r="AE1889">
        <v>2.5806</v>
      </c>
      <c r="AF1889">
        <v>3.8501853078522998</v>
      </c>
      <c r="AG1889">
        <v>-1.1076060816740001</v>
      </c>
      <c r="AH1889">
        <v>36.3850255711777</v>
      </c>
      <c r="AI1889">
        <v>91.733942503682101</v>
      </c>
      <c r="AJ1889">
        <v>83.959562432813598</v>
      </c>
      <c r="AK1889">
        <v>36.604928683883699</v>
      </c>
      <c r="AL1889">
        <v>90.159982918029598</v>
      </c>
      <c r="AM1889">
        <v>85.678099294500299</v>
      </c>
      <c r="AN1889">
        <v>0.99999998629083398</v>
      </c>
    </row>
    <row r="1890" spans="1:40" x14ac:dyDescent="0.25">
      <c r="A1890" t="str">
        <f>"20190312154834189"</f>
        <v>20190312154834189</v>
      </c>
      <c r="B1890" t="str">
        <f>"1552376914177369"</f>
        <v>1552376914177369</v>
      </c>
      <c r="C1890" t="s">
        <v>40</v>
      </c>
      <c r="D1890">
        <v>4.1495620000000004</v>
      </c>
      <c r="E1890">
        <v>0.51163449999999999</v>
      </c>
      <c r="F1890" t="s">
        <v>51</v>
      </c>
      <c r="G1890">
        <v>-281.0883</v>
      </c>
      <c r="H1890" s="1">
        <v>7.7031449999999904E-6</v>
      </c>
      <c r="I1890">
        <v>285.66390000000001</v>
      </c>
      <c r="J1890">
        <v>-244.4923</v>
      </c>
      <c r="K1890">
        <v>1.107828</v>
      </c>
      <c r="L1890">
        <v>283.02910000000003</v>
      </c>
      <c r="M1890">
        <v>-0.99940600000000002</v>
      </c>
      <c r="N1890">
        <v>0</v>
      </c>
      <c r="O1890">
        <v>-3.3921800000000002E-2</v>
      </c>
      <c r="P1890">
        <v>-0.99909490000000001</v>
      </c>
      <c r="Q1890">
        <v>-9.5530500000000004E-3</v>
      </c>
      <c r="R1890">
        <v>4.1449840000000002E-2</v>
      </c>
      <c r="S1890">
        <v>-2.993271</v>
      </c>
      <c r="T1890">
        <v>-8.9612720000000007E-2</v>
      </c>
      <c r="U1890">
        <v>0.2121277</v>
      </c>
      <c r="V1890">
        <v>7.5308940000000005E-2</v>
      </c>
      <c r="W1890">
        <v>-3.6917859999999999E-3</v>
      </c>
      <c r="X1890">
        <v>0.99715339999999997</v>
      </c>
      <c r="Y1890">
        <v>0.10442609999999999</v>
      </c>
      <c r="Z1890">
        <v>2.5750830000000001E-3</v>
      </c>
      <c r="AA1890">
        <v>0.99452929999999995</v>
      </c>
      <c r="AB1890">
        <v>37</v>
      </c>
      <c r="AC1890">
        <v>-36.595999999999997</v>
      </c>
      <c r="AD1890">
        <v>-1.1078202968549999</v>
      </c>
      <c r="AE1890">
        <v>2.6347999999999798</v>
      </c>
      <c r="AF1890">
        <v>3.87117958058551</v>
      </c>
      <c r="AG1890">
        <v>-1.1078202968549999</v>
      </c>
      <c r="AH1890">
        <v>36.452327449610401</v>
      </c>
      <c r="AI1890">
        <v>91.731008588037497</v>
      </c>
      <c r="AJ1890">
        <v>83.937999896195194</v>
      </c>
      <c r="AK1890">
        <v>36.674043595557997</v>
      </c>
      <c r="AL1890">
        <v>90.211524240448099</v>
      </c>
      <c r="AM1890">
        <v>85.680996979335205</v>
      </c>
      <c r="AN1890">
        <v>0.99999998442967597</v>
      </c>
    </row>
    <row r="1891" spans="1:40" x14ac:dyDescent="0.25">
      <c r="A1891" t="str">
        <f>"20190312154834210"</f>
        <v>20190312154834210</v>
      </c>
      <c r="B1891" t="str">
        <f>"1552376914197865"</f>
        <v>1552376914197865</v>
      </c>
      <c r="C1891" t="s">
        <v>40</v>
      </c>
      <c r="D1891">
        <v>4.1056780000000002</v>
      </c>
      <c r="E1891">
        <v>0.51159889999999997</v>
      </c>
      <c r="F1891" t="s">
        <v>51</v>
      </c>
      <c r="G1891">
        <v>-280.27109999999999</v>
      </c>
      <c r="H1891" s="1">
        <v>8.0803749999999997E-6</v>
      </c>
      <c r="I1891">
        <v>285.59230000000002</v>
      </c>
      <c r="J1891">
        <v>-244.84549999999999</v>
      </c>
      <c r="K1891">
        <v>1.107982</v>
      </c>
      <c r="L1891">
        <v>283.0179</v>
      </c>
      <c r="M1891">
        <v>-0.99942830000000005</v>
      </c>
      <c r="N1891">
        <v>0</v>
      </c>
      <c r="O1891">
        <v>-3.3081069999999997E-2</v>
      </c>
      <c r="P1891">
        <v>-0.99905080000000002</v>
      </c>
      <c r="Q1891">
        <v>-1.1823200000000001E-2</v>
      </c>
      <c r="R1891">
        <v>4.1932839999999999E-2</v>
      </c>
      <c r="S1891">
        <v>-2.99295</v>
      </c>
      <c r="T1891">
        <v>-9.2670799999999998E-2</v>
      </c>
      <c r="U1891">
        <v>0.21441650000000001</v>
      </c>
      <c r="V1891">
        <v>7.4948470000000003E-2</v>
      </c>
      <c r="W1891">
        <v>-5.017306E-3</v>
      </c>
      <c r="X1891">
        <v>0.99717480000000003</v>
      </c>
      <c r="Y1891">
        <v>0.10435</v>
      </c>
      <c r="Z1891">
        <v>2.6359669999999999E-3</v>
      </c>
      <c r="AA1891">
        <v>0.99453709999999995</v>
      </c>
      <c r="AB1891">
        <v>37</v>
      </c>
      <c r="AC1891">
        <v>-35.425600000000003</v>
      </c>
      <c r="AD1891">
        <v>-1.107973919625</v>
      </c>
      <c r="AE1891">
        <v>2.5744000000000198</v>
      </c>
      <c r="AF1891">
        <v>3.7412957045050899</v>
      </c>
      <c r="AG1891">
        <v>-1.107973919625</v>
      </c>
      <c r="AH1891">
        <v>35.286707748071599</v>
      </c>
      <c r="AI1891">
        <v>91.788432372826705</v>
      </c>
      <c r="AJ1891">
        <v>83.947789344645201</v>
      </c>
      <c r="AK1891">
        <v>35.501783665795401</v>
      </c>
      <c r="AL1891">
        <v>90.287471660375402</v>
      </c>
      <c r="AM1891">
        <v>85.701684337348695</v>
      </c>
      <c r="AN1891">
        <v>1.0000000141349299</v>
      </c>
    </row>
    <row r="1892" spans="1:40" x14ac:dyDescent="0.25">
      <c r="A1892" t="str">
        <f>"20190312154834233"</f>
        <v>20190312154834233</v>
      </c>
      <c r="B1892" t="str">
        <f>"1552376914228122"</f>
        <v>1552376914228122</v>
      </c>
      <c r="C1892" t="s">
        <v>40</v>
      </c>
      <c r="D1892">
        <v>4.1185070000000001</v>
      </c>
      <c r="E1892">
        <v>0.51157399999999997</v>
      </c>
      <c r="F1892" t="s">
        <v>50</v>
      </c>
      <c r="G1892">
        <v>-279.2894</v>
      </c>
      <c r="H1892" s="1">
        <v>3.3678199999999999E-6</v>
      </c>
      <c r="I1892">
        <v>285.50330000000002</v>
      </c>
      <c r="J1892">
        <v>-245.22540000000001</v>
      </c>
      <c r="K1892">
        <v>1.108115</v>
      </c>
      <c r="L1892">
        <v>283.0061</v>
      </c>
      <c r="M1892">
        <v>-0.99944980000000005</v>
      </c>
      <c r="N1892">
        <v>0</v>
      </c>
      <c r="O1892">
        <v>-3.220017E-2</v>
      </c>
      <c r="P1892">
        <v>-0.99901640000000003</v>
      </c>
      <c r="Q1892">
        <v>-1.3856149999999999E-2</v>
      </c>
      <c r="R1892">
        <v>4.2123180000000003E-2</v>
      </c>
      <c r="S1892">
        <v>-2.992645</v>
      </c>
      <c r="T1892">
        <v>-9.6266030000000002E-2</v>
      </c>
      <c r="U1892">
        <v>0.21594240000000001</v>
      </c>
      <c r="V1892">
        <v>7.4256840000000005E-2</v>
      </c>
      <c r="W1892">
        <v>-6.1075979999999997E-3</v>
      </c>
      <c r="X1892">
        <v>0.99722049999999995</v>
      </c>
      <c r="Y1892">
        <v>0.1039808</v>
      </c>
      <c r="Z1892">
        <v>2.70419E-3</v>
      </c>
      <c r="AA1892">
        <v>0.9945756</v>
      </c>
      <c r="AB1892">
        <v>37</v>
      </c>
      <c r="AC1892">
        <v>-34.063999999999901</v>
      </c>
      <c r="AD1892">
        <v>-1.10811163218</v>
      </c>
      <c r="AE1892">
        <v>2.4972000000000198</v>
      </c>
      <c r="AF1892">
        <v>3.5890285713729</v>
      </c>
      <c r="AG1892">
        <v>-1.10811163218</v>
      </c>
      <c r="AH1892">
        <v>33.930208176521298</v>
      </c>
      <c r="AI1892">
        <v>91.8601625065658</v>
      </c>
      <c r="AJ1892">
        <v>83.961889047639005</v>
      </c>
      <c r="AK1892">
        <v>34.137487669387397</v>
      </c>
      <c r="AL1892">
        <v>90.349941745354698</v>
      </c>
      <c r="AM1892">
        <v>85.741397349192596</v>
      </c>
      <c r="AN1892">
        <v>1.00000005333018</v>
      </c>
    </row>
    <row r="1893" spans="1:40" x14ac:dyDescent="0.25">
      <c r="A1893" t="str">
        <f>"20190312154834254"</f>
        <v>20190312154834254</v>
      </c>
      <c r="B1893" t="str">
        <f>"1552376914247641"</f>
        <v>1552376914247641</v>
      </c>
      <c r="C1893" t="s">
        <v>40</v>
      </c>
      <c r="D1893">
        <v>4.0959079999999997</v>
      </c>
      <c r="E1893">
        <v>0.51158999999999999</v>
      </c>
      <c r="F1893" t="s">
        <v>50</v>
      </c>
      <c r="G1893">
        <v>-278.96699999999998</v>
      </c>
      <c r="H1893" s="1">
        <v>3.1986569999999998E-6</v>
      </c>
      <c r="I1893">
        <v>285.44819999999999</v>
      </c>
      <c r="J1893">
        <v>-245.58189999999999</v>
      </c>
      <c r="K1893">
        <v>1.10822</v>
      </c>
      <c r="L1893">
        <v>282.99549999999999</v>
      </c>
      <c r="M1893">
        <v>-0.99946860000000004</v>
      </c>
      <c r="N1893">
        <v>0</v>
      </c>
      <c r="O1893">
        <v>-3.1401940000000003E-2</v>
      </c>
      <c r="P1893">
        <v>-0.99900429999999996</v>
      </c>
      <c r="Q1893">
        <v>-1.4974380000000001E-2</v>
      </c>
      <c r="R1893">
        <v>4.2026199999999903E-2</v>
      </c>
      <c r="S1893">
        <v>-2.9924620000000002</v>
      </c>
      <c r="T1893">
        <v>-9.8275779999999993E-2</v>
      </c>
      <c r="U1893">
        <v>0.21658330000000001</v>
      </c>
      <c r="V1893">
        <v>7.3362800000000006E-2</v>
      </c>
      <c r="W1893">
        <v>-6.4163229999999998E-3</v>
      </c>
      <c r="X1893">
        <v>0.99728470000000002</v>
      </c>
      <c r="Y1893">
        <v>0.1034007</v>
      </c>
      <c r="Z1893">
        <v>2.72508E-3</v>
      </c>
      <c r="AA1893">
        <v>0.99463610000000002</v>
      </c>
      <c r="AB1893">
        <v>37</v>
      </c>
      <c r="AC1893">
        <v>-33.385099999999902</v>
      </c>
      <c r="AD1893">
        <v>-1.1082168013429901</v>
      </c>
      <c r="AE1893">
        <v>2.4526999999999899</v>
      </c>
      <c r="AF1893">
        <v>3.4960556633002899</v>
      </c>
      <c r="AG1893">
        <v>-1.1082168013429901</v>
      </c>
      <c r="AH1893">
        <v>33.255164671800699</v>
      </c>
      <c r="AI1893">
        <v>91.898202729591205</v>
      </c>
      <c r="AJ1893">
        <v>83.998641824422506</v>
      </c>
      <c r="AK1893">
        <v>33.456785963810901</v>
      </c>
      <c r="AL1893">
        <v>90.367630742624499</v>
      </c>
      <c r="AM1893">
        <v>85.792754852458799</v>
      </c>
      <c r="AN1893">
        <v>1.00000002123938</v>
      </c>
    </row>
    <row r="1894" spans="1:40" x14ac:dyDescent="0.25">
      <c r="A1894" t="str">
        <f>"20190312154834276"</f>
        <v>20190312154834276</v>
      </c>
      <c r="B1894" t="str">
        <f>"1552376914268141"</f>
        <v>1552376914268141</v>
      </c>
      <c r="C1894" t="s">
        <v>40</v>
      </c>
      <c r="D1894">
        <v>4.0867879999999897</v>
      </c>
      <c r="E1894">
        <v>0.51156210000000002</v>
      </c>
      <c r="F1894" t="s">
        <v>50</v>
      </c>
      <c r="G1894">
        <v>-279.25869999999998</v>
      </c>
      <c r="H1894" s="1">
        <v>3.3546219999999998E-6</v>
      </c>
      <c r="I1894">
        <v>285.43049999999999</v>
      </c>
      <c r="J1894">
        <v>-245.94569999999999</v>
      </c>
      <c r="K1894">
        <v>1.108306</v>
      </c>
      <c r="L1894">
        <v>282.98489999999998</v>
      </c>
      <c r="M1894">
        <v>-0.99948610000000004</v>
      </c>
      <c r="N1894">
        <v>0</v>
      </c>
      <c r="O1894">
        <v>-3.0615690000000001E-2</v>
      </c>
      <c r="P1894">
        <v>-0.99901059999999997</v>
      </c>
      <c r="Q1894">
        <v>-1.5229120000000001E-2</v>
      </c>
      <c r="R1894">
        <v>4.1786539999999997E-2</v>
      </c>
      <c r="S1894">
        <v>-2.9924469999999999</v>
      </c>
      <c r="T1894">
        <v>-9.8473790000000005E-2</v>
      </c>
      <c r="U1894">
        <v>0.2163696</v>
      </c>
      <c r="V1894">
        <v>7.2340630000000003E-2</v>
      </c>
      <c r="W1894">
        <v>-5.9199550000000002E-3</v>
      </c>
      <c r="X1894">
        <v>0.99736239999999998</v>
      </c>
      <c r="Y1894">
        <v>0.1025488</v>
      </c>
      <c r="Z1894">
        <v>2.6907609999999998E-3</v>
      </c>
      <c r="AA1894">
        <v>0.99472430000000001</v>
      </c>
      <c r="AB1894">
        <v>37</v>
      </c>
      <c r="AC1894">
        <v>-33.312999999999903</v>
      </c>
      <c r="AD1894">
        <v>-1.1083026453780001</v>
      </c>
      <c r="AE1894">
        <v>2.44560000000001</v>
      </c>
      <c r="AF1894">
        <v>3.46059013620718</v>
      </c>
      <c r="AG1894">
        <v>-1.1083026453780001</v>
      </c>
      <c r="AH1894">
        <v>33.185970314305102</v>
      </c>
      <c r="AI1894">
        <v>91.902472155191603</v>
      </c>
      <c r="AJ1894">
        <v>84.046786384122697</v>
      </c>
      <c r="AK1894">
        <v>33.384317344323698</v>
      </c>
      <c r="AL1894">
        <v>90.339190422794999</v>
      </c>
      <c r="AM1894">
        <v>85.851490705817199</v>
      </c>
      <c r="AN1894">
        <v>0.99999998477487895</v>
      </c>
    </row>
    <row r="1895" spans="1:40" x14ac:dyDescent="0.25">
      <c r="A1895" t="str">
        <f>"20190312154834298"</f>
        <v>20190312154834298</v>
      </c>
      <c r="B1895" t="str">
        <f>"1552376914287661"</f>
        <v>1552376914287661</v>
      </c>
      <c r="C1895" t="s">
        <v>40</v>
      </c>
      <c r="D1895">
        <v>4.1137119999999996</v>
      </c>
      <c r="E1895">
        <v>0.51159920000000003</v>
      </c>
      <c r="F1895" t="s">
        <v>51</v>
      </c>
      <c r="G1895">
        <v>-280.27499999999998</v>
      </c>
      <c r="H1895" s="1">
        <v>8.1066249999999997E-6</v>
      </c>
      <c r="I1895">
        <v>285.45690000000002</v>
      </c>
      <c r="J1895">
        <v>-246.31809999999999</v>
      </c>
      <c r="K1895">
        <v>1.1083769999999999</v>
      </c>
      <c r="L1895">
        <v>282.97430000000003</v>
      </c>
      <c r="M1895">
        <v>-0.99950289999999997</v>
      </c>
      <c r="N1895">
        <v>0</v>
      </c>
      <c r="O1895">
        <v>-2.9837820000000001E-2</v>
      </c>
      <c r="P1895">
        <v>-0.99897309999999995</v>
      </c>
      <c r="Q1895">
        <v>-1.5973540000000001E-2</v>
      </c>
      <c r="R1895">
        <v>4.2400899999999998E-2</v>
      </c>
      <c r="S1895">
        <v>-2.9924770000000001</v>
      </c>
      <c r="T1895">
        <v>-9.6610070000000006E-2</v>
      </c>
      <c r="U1895">
        <v>0.2154846</v>
      </c>
      <c r="V1895">
        <v>7.2178039999999999E-2</v>
      </c>
      <c r="W1895">
        <v>-5.9752709999999999E-3</v>
      </c>
      <c r="X1895">
        <v>0.99737390000000004</v>
      </c>
      <c r="Y1895">
        <v>0.10148500000000001</v>
      </c>
      <c r="Z1895">
        <v>2.5976440000000001E-3</v>
      </c>
      <c r="AA1895">
        <v>0.99483359999999998</v>
      </c>
      <c r="AB1895">
        <v>37</v>
      </c>
      <c r="AC1895">
        <v>-33.956899999999898</v>
      </c>
      <c r="AD1895">
        <v>-1.108368893375</v>
      </c>
      <c r="AE1895">
        <v>2.4825999999999899</v>
      </c>
      <c r="AF1895">
        <v>3.4910473161932898</v>
      </c>
      <c r="AG1895">
        <v>-1.108368893375</v>
      </c>
      <c r="AH1895">
        <v>33.831847213584503</v>
      </c>
      <c r="AI1895">
        <v>91.866498584516606</v>
      </c>
      <c r="AJ1895">
        <v>84.1086029180222</v>
      </c>
      <c r="AK1895">
        <v>34.029542736437499</v>
      </c>
      <c r="AL1895">
        <v>90.342359835093703</v>
      </c>
      <c r="AM1895">
        <v>85.860829851039099</v>
      </c>
      <c r="AN1895">
        <v>1.0000000348614799</v>
      </c>
    </row>
    <row r="1896" spans="1:40" x14ac:dyDescent="0.25">
      <c r="A1896" t="str">
        <f>"20190312154834320"</f>
        <v>20190312154834320</v>
      </c>
      <c r="B1896" t="str">
        <f>"1552376914308153"</f>
        <v>1552376914308153</v>
      </c>
      <c r="C1896" t="s">
        <v>40</v>
      </c>
      <c r="D1896">
        <v>4.1017270000000003</v>
      </c>
      <c r="E1896">
        <v>0.51159079999999901</v>
      </c>
      <c r="F1896" t="s">
        <v>51</v>
      </c>
      <c r="G1896">
        <v>-280.6651</v>
      </c>
      <c r="H1896" s="1">
        <v>7.9304529999999995E-6</v>
      </c>
      <c r="I1896">
        <v>285.47219999999999</v>
      </c>
      <c r="J1896">
        <v>-246.68369999999999</v>
      </c>
      <c r="K1896">
        <v>1.1084560000000001</v>
      </c>
      <c r="L1896">
        <v>282.96409999999997</v>
      </c>
      <c r="M1896">
        <v>-0.99951849999999998</v>
      </c>
      <c r="N1896">
        <v>0</v>
      </c>
      <c r="O1896">
        <v>-2.910068E-2</v>
      </c>
      <c r="P1896">
        <v>-0.99890699999999999</v>
      </c>
      <c r="Q1896">
        <v>-1.7124980000000001E-2</v>
      </c>
      <c r="R1896">
        <v>4.3494199999999997E-2</v>
      </c>
      <c r="S1896">
        <v>-2.9923099999999998</v>
      </c>
      <c r="T1896">
        <v>-9.6560960000000001E-2</v>
      </c>
      <c r="U1896">
        <v>0.2176208</v>
      </c>
      <c r="V1896">
        <v>7.2533039999999993E-2</v>
      </c>
      <c r="W1896">
        <v>-6.5246490000000004E-3</v>
      </c>
      <c r="X1896">
        <v>0.99734469999999997</v>
      </c>
      <c r="Y1896">
        <v>0.1014625</v>
      </c>
      <c r="Z1896">
        <v>2.5722919999999999E-3</v>
      </c>
      <c r="AA1896">
        <v>0.99483600000000005</v>
      </c>
      <c r="AB1896">
        <v>37</v>
      </c>
      <c r="AC1896">
        <v>-33.981400000000001</v>
      </c>
      <c r="AD1896">
        <v>-1.10844806954699</v>
      </c>
      <c r="AE1896">
        <v>2.50810000000001</v>
      </c>
      <c r="AF1896">
        <v>3.4922811171883201</v>
      </c>
      <c r="AG1896">
        <v>-1.10844806954699</v>
      </c>
      <c r="AH1896">
        <v>33.858184610361199</v>
      </c>
      <c r="AI1896">
        <v>91.865189183850802</v>
      </c>
      <c r="AJ1896">
        <v>84.111087583340293</v>
      </c>
      <c r="AK1896">
        <v>34.055856319195001</v>
      </c>
      <c r="AL1896">
        <v>90.373837491098698</v>
      </c>
      <c r="AM1896">
        <v>85.840421709881795</v>
      </c>
      <c r="AN1896">
        <v>1.00000003177715</v>
      </c>
    </row>
    <row r="1897" spans="1:40" x14ac:dyDescent="0.25">
      <c r="A1897" t="str">
        <f>"20190312154834343"</f>
        <v>20190312154834343</v>
      </c>
      <c r="B1897" t="str">
        <f>"1552376914337433"</f>
        <v>1552376914337433</v>
      </c>
      <c r="C1897" t="s">
        <v>40</v>
      </c>
      <c r="D1897">
        <v>4.1214740000000001</v>
      </c>
      <c r="E1897">
        <v>0.51158689999999996</v>
      </c>
      <c r="F1897" t="s">
        <v>51</v>
      </c>
      <c r="G1897">
        <v>-280.51850000000002</v>
      </c>
      <c r="H1897" s="1">
        <v>7.9973819999999998E-6</v>
      </c>
      <c r="I1897">
        <v>285.46300000000002</v>
      </c>
      <c r="J1897">
        <v>-247.06219999999999</v>
      </c>
      <c r="K1897">
        <v>1.1085259999999999</v>
      </c>
      <c r="L1897">
        <v>282.95389999999998</v>
      </c>
      <c r="M1897">
        <v>-0.99953360000000002</v>
      </c>
      <c r="N1897">
        <v>0</v>
      </c>
      <c r="O1897">
        <v>-2.836754E-2</v>
      </c>
      <c r="P1897">
        <v>-0.99881339999999996</v>
      </c>
      <c r="Q1897">
        <v>-1.8122409999999999E-2</v>
      </c>
      <c r="R1897">
        <v>4.5204630000000003E-2</v>
      </c>
      <c r="S1897">
        <v>-2.9920040000000001</v>
      </c>
      <c r="T1897">
        <v>-9.8019960000000003E-2</v>
      </c>
      <c r="U1897">
        <v>0.2209778</v>
      </c>
      <c r="V1897">
        <v>7.3508340000000005E-2</v>
      </c>
      <c r="W1897">
        <v>-6.9716789999999997E-3</v>
      </c>
      <c r="X1897">
        <v>0.9972702</v>
      </c>
      <c r="Y1897">
        <v>0.1018486</v>
      </c>
      <c r="Z1897">
        <v>2.593634E-3</v>
      </c>
      <c r="AA1897">
        <v>0.99479649999999997</v>
      </c>
      <c r="AB1897">
        <v>37</v>
      </c>
      <c r="AC1897">
        <v>-33.456299999999999</v>
      </c>
      <c r="AD1897">
        <v>-1.1085180026179999</v>
      </c>
      <c r="AE1897">
        <v>2.5090999999999801</v>
      </c>
      <c r="AF1897">
        <v>3.4534536672273002</v>
      </c>
      <c r="AG1897">
        <v>-1.1085180026179999</v>
      </c>
      <c r="AH1897">
        <v>33.335261278252702</v>
      </c>
      <c r="AI1897">
        <v>91.894458538605903</v>
      </c>
      <c r="AJ1897">
        <v>84.085392935801707</v>
      </c>
      <c r="AK1897">
        <v>33.531996643253898</v>
      </c>
      <c r="AL1897">
        <v>90.399451032252998</v>
      </c>
      <c r="AM1897">
        <v>85.784377341959299</v>
      </c>
      <c r="AN1897">
        <v>0.99999996608283603</v>
      </c>
    </row>
    <row r="1898" spans="1:40" x14ac:dyDescent="0.25">
      <c r="A1898" t="str">
        <f>"20190312154834365"</f>
        <v>20190312154834365</v>
      </c>
      <c r="B1898" t="str">
        <f>"1552376914357929"</f>
        <v>1552376914357929</v>
      </c>
      <c r="C1898" t="s">
        <v>40</v>
      </c>
      <c r="D1898">
        <v>4.1511829999999996</v>
      </c>
      <c r="E1898">
        <v>0.51157969999999997</v>
      </c>
      <c r="F1898" t="s">
        <v>51</v>
      </c>
      <c r="G1898">
        <v>-280.76389999999998</v>
      </c>
      <c r="H1898" s="1">
        <v>7.8806429999999997E-6</v>
      </c>
      <c r="I1898">
        <v>285.50110000000001</v>
      </c>
      <c r="J1898">
        <v>-247.42660000000001</v>
      </c>
      <c r="K1898">
        <v>1.10859</v>
      </c>
      <c r="L1898">
        <v>282.9443</v>
      </c>
      <c r="M1898">
        <v>-0.99954690000000002</v>
      </c>
      <c r="N1898">
        <v>0</v>
      </c>
      <c r="O1898">
        <v>-2.7696419999999999E-2</v>
      </c>
      <c r="P1898">
        <v>-0.99872669999999997</v>
      </c>
      <c r="Q1898">
        <v>-1.805081E-2</v>
      </c>
      <c r="R1898">
        <v>4.711009E-2</v>
      </c>
      <c r="S1898">
        <v>-2.9915470000000002</v>
      </c>
      <c r="T1898">
        <v>-9.8397849999999995E-2</v>
      </c>
      <c r="U1898">
        <v>0.22610469999999999</v>
      </c>
      <c r="V1898">
        <v>7.4743190000000001E-2</v>
      </c>
      <c r="W1898">
        <v>-6.4363320000000003E-3</v>
      </c>
      <c r="X1898">
        <v>0.99718209999999996</v>
      </c>
      <c r="Y1898">
        <v>0.1028867</v>
      </c>
      <c r="Z1898">
        <v>2.5988690000000002E-3</v>
      </c>
      <c r="AA1898">
        <v>0.99468970000000001</v>
      </c>
      <c r="AB1898">
        <v>37</v>
      </c>
      <c r="AC1898">
        <v>-33.3372999999999</v>
      </c>
      <c r="AD1898">
        <v>-1.108582119357</v>
      </c>
      <c r="AE1898">
        <v>2.5568</v>
      </c>
      <c r="AF1898">
        <v>3.4753864267613102</v>
      </c>
      <c r="AG1898">
        <v>-1.108582119357</v>
      </c>
      <c r="AH1898">
        <v>33.217173648999101</v>
      </c>
      <c r="AI1898">
        <v>91.901097059628199</v>
      </c>
      <c r="AJ1898">
        <v>84.027091872468503</v>
      </c>
      <c r="AK1898">
        <v>33.416880320557098</v>
      </c>
      <c r="AL1898">
        <v>90.368777184820601</v>
      </c>
      <c r="AM1898">
        <v>85.713444524636301</v>
      </c>
      <c r="AN1898">
        <v>1.0000000556906901</v>
      </c>
    </row>
    <row r="1899" spans="1:40" x14ac:dyDescent="0.25">
      <c r="A1899" t="str">
        <f>"20190312154834389"</f>
        <v>20190312154834389</v>
      </c>
      <c r="B1899" t="str">
        <f>"1552376914377449"</f>
        <v>1552376914377449</v>
      </c>
      <c r="C1899" t="s">
        <v>40</v>
      </c>
      <c r="D1899">
        <v>4.1342549999999996</v>
      </c>
      <c r="E1899">
        <v>0.51151579999999996</v>
      </c>
      <c r="F1899" t="s">
        <v>51</v>
      </c>
      <c r="G1899">
        <v>-281.70800000000003</v>
      </c>
      <c r="H1899" s="1">
        <v>7.4413430000000004E-6</v>
      </c>
      <c r="I1899">
        <v>285.60109999999997</v>
      </c>
      <c r="J1899">
        <v>-247.81800000000001</v>
      </c>
      <c r="K1899">
        <v>1.1086510000000001</v>
      </c>
      <c r="L1899">
        <v>282.9341</v>
      </c>
      <c r="M1899">
        <v>-0.99956040000000002</v>
      </c>
      <c r="N1899">
        <v>0</v>
      </c>
      <c r="O1899">
        <v>-2.701889E-2</v>
      </c>
      <c r="P1899">
        <v>-0.99865289999999995</v>
      </c>
      <c r="Q1899">
        <v>-1.7429E-2</v>
      </c>
      <c r="R1899">
        <v>4.8875630000000003E-2</v>
      </c>
      <c r="S1899">
        <v>-2.9911189999999999</v>
      </c>
      <c r="T1899">
        <v>-9.6725939999999996E-2</v>
      </c>
      <c r="U1899">
        <v>0.2318115</v>
      </c>
      <c r="V1899">
        <v>7.583289E-2</v>
      </c>
      <c r="W1899">
        <v>-5.3828030000000002E-3</v>
      </c>
      <c r="X1899">
        <v>0.99710600000000005</v>
      </c>
      <c r="Y1899">
        <v>0.104111999999999</v>
      </c>
      <c r="Z1899">
        <v>2.5528220000000002E-3</v>
      </c>
      <c r="AA1899">
        <v>0.99456230000000001</v>
      </c>
      <c r="AB1899">
        <v>37</v>
      </c>
      <c r="AC1899">
        <v>-33.889999999999901</v>
      </c>
      <c r="AD1899">
        <v>-1.108643558657</v>
      </c>
      <c r="AE1899">
        <v>2.6669999999999701</v>
      </c>
      <c r="AF1899">
        <v>3.5779592439242802</v>
      </c>
      <c r="AG1899">
        <v>-1.108643558657</v>
      </c>
      <c r="AH1899">
        <v>33.7696451214143</v>
      </c>
      <c r="AI1899">
        <v>91.869862959379006</v>
      </c>
      <c r="AJ1899">
        <v>83.951965310092206</v>
      </c>
      <c r="AK1899">
        <v>33.976754031508001</v>
      </c>
      <c r="AL1899">
        <v>90.308413386765295</v>
      </c>
      <c r="AM1899">
        <v>85.650857141178605</v>
      </c>
      <c r="AN1899">
        <v>0.99999998850494398</v>
      </c>
    </row>
    <row r="1900" spans="1:40" x14ac:dyDescent="0.25">
      <c r="A1900" t="str">
        <f>"20190312154834413"</f>
        <v>20190312154834413</v>
      </c>
      <c r="B1900" t="str">
        <f>"1552376914407935"</f>
        <v>1552376914407935</v>
      </c>
      <c r="C1900" t="s">
        <v>40</v>
      </c>
      <c r="D1900">
        <v>4.1426660000000002</v>
      </c>
      <c r="E1900">
        <v>0.51143530000000004</v>
      </c>
      <c r="F1900" t="s">
        <v>51</v>
      </c>
      <c r="G1900">
        <v>-283.35390000000001</v>
      </c>
      <c r="H1900" s="1">
        <v>6.6811640000000004E-6</v>
      </c>
      <c r="I1900">
        <v>285.74759999999998</v>
      </c>
      <c r="J1900">
        <v>-248.21559999999999</v>
      </c>
      <c r="K1900">
        <v>1.108711</v>
      </c>
      <c r="L1900">
        <v>282.92410000000001</v>
      </c>
      <c r="M1900">
        <v>-0.99957309999999999</v>
      </c>
      <c r="N1900">
        <v>0</v>
      </c>
      <c r="O1900">
        <v>-2.6367410000000001E-2</v>
      </c>
      <c r="P1900">
        <v>-0.99859319999999896</v>
      </c>
      <c r="Q1900">
        <v>-1.7814219999999999E-2</v>
      </c>
      <c r="R1900">
        <v>4.9946230000000001E-2</v>
      </c>
      <c r="S1900">
        <v>-2.9908139999999999</v>
      </c>
      <c r="T1900">
        <v>-9.3306780000000006E-2</v>
      </c>
      <c r="U1900">
        <v>0.23678589999999999</v>
      </c>
      <c r="V1900">
        <v>7.6252589999999995E-2</v>
      </c>
      <c r="W1900">
        <v>-5.3865500000000004E-3</v>
      </c>
      <c r="X1900">
        <v>0.99707400000000002</v>
      </c>
      <c r="Y1900">
        <v>0.1051203</v>
      </c>
      <c r="Z1900">
        <v>2.4581310000000001E-3</v>
      </c>
      <c r="AA1900">
        <v>0.99445649999999997</v>
      </c>
      <c r="AB1900">
        <v>37</v>
      </c>
      <c r="AC1900">
        <v>-35.138300000000001</v>
      </c>
      <c r="AD1900">
        <v>-1.108704318836</v>
      </c>
      <c r="AE1900">
        <v>2.8234999999999602</v>
      </c>
      <c r="AF1900">
        <v>3.74539264507048</v>
      </c>
      <c r="AG1900">
        <v>-1.108704318836</v>
      </c>
      <c r="AH1900">
        <v>35.016988812677901</v>
      </c>
      <c r="AI1900">
        <v>91.803208844756796</v>
      </c>
      <c r="AJ1900">
        <v>83.894894269851406</v>
      </c>
      <c r="AK1900">
        <v>35.234169450117101</v>
      </c>
      <c r="AL1900">
        <v>90.308628068390306</v>
      </c>
      <c r="AM1900">
        <v>85.626739957848997</v>
      </c>
      <c r="AN1900">
        <v>1.0000000169393</v>
      </c>
    </row>
    <row r="1901" spans="1:40" x14ac:dyDescent="0.25">
      <c r="A1901" t="str">
        <f>"20190312154834434"</f>
        <v>20190312154834434</v>
      </c>
      <c r="B1901" t="str">
        <f>"1552376914427456"</f>
        <v>1552376914427456</v>
      </c>
      <c r="C1901" t="s">
        <v>40</v>
      </c>
      <c r="D1901">
        <v>4.1403480000000004</v>
      </c>
      <c r="E1901">
        <v>0.51137730000000003</v>
      </c>
      <c r="F1901" t="s">
        <v>51</v>
      </c>
      <c r="G1901">
        <v>-284.07530000000003</v>
      </c>
      <c r="H1901" s="1">
        <v>6.3516850000000003E-6</v>
      </c>
      <c r="I1901">
        <v>285.79410000000001</v>
      </c>
      <c r="J1901">
        <v>-248.55510000000001</v>
      </c>
      <c r="K1901">
        <v>1.1087530000000001</v>
      </c>
      <c r="L1901">
        <v>282.91570000000002</v>
      </c>
      <c r="M1901">
        <v>-0.99958320000000001</v>
      </c>
      <c r="N1901">
        <v>0</v>
      </c>
      <c r="O1901">
        <v>-2.583997E-2</v>
      </c>
      <c r="P1901">
        <v>-0.99855819999999995</v>
      </c>
      <c r="Q1901">
        <v>-1.8537769999999999E-2</v>
      </c>
      <c r="R1901">
        <v>5.0379439999999998E-2</v>
      </c>
      <c r="S1901">
        <v>-2.9906009999999998</v>
      </c>
      <c r="T1901">
        <v>-9.2463139999999999E-2</v>
      </c>
      <c r="U1901">
        <v>0.23934939999999999</v>
      </c>
      <c r="V1901">
        <v>7.6158519999999993E-2</v>
      </c>
      <c r="W1901">
        <v>-5.8248500000000003E-3</v>
      </c>
      <c r="X1901">
        <v>0.99707869999999998</v>
      </c>
      <c r="Y1901">
        <v>0.1054495</v>
      </c>
      <c r="Z1901">
        <v>2.424809E-3</v>
      </c>
      <c r="AA1901">
        <v>0.99442169999999996</v>
      </c>
      <c r="AB1901">
        <v>37</v>
      </c>
      <c r="AC1901">
        <v>-35.520200000000003</v>
      </c>
      <c r="AD1901">
        <v>-1.1087466483149999</v>
      </c>
      <c r="AE1901">
        <v>2.8783999999999899</v>
      </c>
      <c r="AF1901">
        <v>3.7916853689938801</v>
      </c>
      <c r="AG1901">
        <v>-1.1087466483149999</v>
      </c>
      <c r="AH1901">
        <v>35.399687056657498</v>
      </c>
      <c r="AI1901">
        <v>91.783766908382802</v>
      </c>
      <c r="AJ1901">
        <v>83.886317824006696</v>
      </c>
      <c r="AK1901">
        <v>35.619433470745598</v>
      </c>
      <c r="AL1901">
        <v>90.333741211389196</v>
      </c>
      <c r="AM1901">
        <v>85.632134705049793</v>
      </c>
      <c r="AN1901">
        <v>0.99999999151990104</v>
      </c>
    </row>
    <row r="1902" spans="1:40" x14ac:dyDescent="0.25">
      <c r="A1902" t="str">
        <f>"20190312154834456"</f>
        <v>20190312154834456</v>
      </c>
      <c r="B1902" t="str">
        <f>"1552376914447951"</f>
        <v>1552376914447951</v>
      </c>
      <c r="C1902" t="s">
        <v>40</v>
      </c>
      <c r="D1902">
        <v>4.2018690000000003</v>
      </c>
      <c r="E1902">
        <v>0.51129409999999997</v>
      </c>
      <c r="F1902" t="s">
        <v>51</v>
      </c>
      <c r="G1902">
        <v>-284.04379999999998</v>
      </c>
      <c r="H1902" s="1">
        <v>6.3715979999999996E-6</v>
      </c>
      <c r="I1902">
        <v>285.76519999999999</v>
      </c>
      <c r="J1902">
        <v>-248.9177</v>
      </c>
      <c r="K1902">
        <v>1.1088009999999999</v>
      </c>
      <c r="L1902">
        <v>282.90690000000001</v>
      </c>
      <c r="M1902">
        <v>-0.99959370000000003</v>
      </c>
      <c r="N1902">
        <v>0</v>
      </c>
      <c r="O1902">
        <v>-2.5307E-2</v>
      </c>
      <c r="P1902">
        <v>-0.9985269</v>
      </c>
      <c r="Q1902">
        <v>-1.8934900000000001E-2</v>
      </c>
      <c r="R1902">
        <v>5.0853170000000003E-2</v>
      </c>
      <c r="S1902">
        <v>-2.9904790000000001</v>
      </c>
      <c r="T1902">
        <v>-9.3429090000000006E-2</v>
      </c>
      <c r="U1902">
        <v>0.2401123</v>
      </c>
      <c r="V1902">
        <v>7.6100070000000006E-2</v>
      </c>
      <c r="W1902">
        <v>-5.9557630000000002E-3</v>
      </c>
      <c r="X1902">
        <v>0.99708240000000004</v>
      </c>
      <c r="Y1902">
        <v>0.1051738</v>
      </c>
      <c r="Z1902">
        <v>2.4292810000000001E-3</v>
      </c>
      <c r="AA1902">
        <v>0.99445090000000003</v>
      </c>
      <c r="AB1902">
        <v>37</v>
      </c>
      <c r="AC1902">
        <v>-35.126099999999902</v>
      </c>
      <c r="AD1902">
        <v>-1.1087946284019901</v>
      </c>
      <c r="AE1902">
        <v>2.8582999999999799</v>
      </c>
      <c r="AF1902">
        <v>3.7426923101643998</v>
      </c>
      <c r="AG1902">
        <v>-1.1087946284019901</v>
      </c>
      <c r="AH1902">
        <v>35.007853824541101</v>
      </c>
      <c r="AI1902">
        <v>91.803835268586994</v>
      </c>
      <c r="AJ1902">
        <v>83.897682770238106</v>
      </c>
      <c r="AK1902">
        <v>35.224806609220401</v>
      </c>
      <c r="AL1902">
        <v>90.341242100363999</v>
      </c>
      <c r="AM1902">
        <v>85.6354901217438</v>
      </c>
      <c r="AN1902">
        <v>1.00000000207833</v>
      </c>
    </row>
    <row r="1903" spans="1:40" x14ac:dyDescent="0.25">
      <c r="A1903" t="str">
        <f>"20190312154834477"</f>
        <v>20190312154834477</v>
      </c>
      <c r="B1903" t="str">
        <f>"1552376914467478"</f>
        <v>1552376914467478</v>
      </c>
      <c r="C1903" t="s">
        <v>40</v>
      </c>
      <c r="D1903">
        <v>4.3030150000000003</v>
      </c>
      <c r="E1903">
        <v>0.51110199999999995</v>
      </c>
      <c r="F1903" t="s">
        <v>51</v>
      </c>
      <c r="G1903">
        <v>-284.32479999999998</v>
      </c>
      <c r="H1903" s="1">
        <v>6.2478369999999899E-6</v>
      </c>
      <c r="I1903">
        <v>285.7611</v>
      </c>
      <c r="J1903">
        <v>-249.2671</v>
      </c>
      <c r="K1903">
        <v>1.1088439999999999</v>
      </c>
      <c r="L1903">
        <v>282.89850000000001</v>
      </c>
      <c r="M1903">
        <v>-0.99960280000000001</v>
      </c>
      <c r="N1903">
        <v>0</v>
      </c>
      <c r="O1903">
        <v>-2.481935E-2</v>
      </c>
      <c r="P1903">
        <v>-0.99853250000000005</v>
      </c>
      <c r="Q1903">
        <v>-1.8432230000000001E-2</v>
      </c>
      <c r="R1903">
        <v>5.0923610000000001E-2</v>
      </c>
      <c r="S1903">
        <v>-2.9903719999999998</v>
      </c>
      <c r="T1903">
        <v>-9.3645220000000001E-2</v>
      </c>
      <c r="U1903">
        <v>0.2410583</v>
      </c>
      <c r="V1903">
        <v>7.5685760000000005E-2</v>
      </c>
      <c r="W1903">
        <v>-5.2286670000000002E-3</v>
      </c>
      <c r="X1903">
        <v>0.99711799999999995</v>
      </c>
      <c r="Y1903">
        <v>0.10500420000000001</v>
      </c>
      <c r="Z1903">
        <v>2.4170580000000001E-3</v>
      </c>
      <c r="AA1903">
        <v>0.99446889999999999</v>
      </c>
      <c r="AB1903">
        <v>37</v>
      </c>
      <c r="AC1903">
        <v>-35.057699999999897</v>
      </c>
      <c r="AD1903">
        <v>-1.108837752163</v>
      </c>
      <c r="AE1903">
        <v>2.86259999999998</v>
      </c>
      <c r="AF1903">
        <v>3.7281999576929201</v>
      </c>
      <c r="AG1903">
        <v>-1.108837752163</v>
      </c>
      <c r="AH1903">
        <v>34.941121211463603</v>
      </c>
      <c r="AI1903">
        <v>91.807388464555402</v>
      </c>
      <c r="AJ1903">
        <v>83.909612136421003</v>
      </c>
      <c r="AK1903">
        <v>35.156947358941103</v>
      </c>
      <c r="AL1903">
        <v>90.299581919756093</v>
      </c>
      <c r="AM1903">
        <v>85.659315050224606</v>
      </c>
      <c r="AN1903">
        <v>0.99999998957468705</v>
      </c>
    </row>
    <row r="1904" spans="1:40" x14ac:dyDescent="0.25">
      <c r="A1904" t="str">
        <f>"20190312154834499"</f>
        <v>20190312154834499</v>
      </c>
      <c r="B1904" t="str">
        <f>"1552376914487967"</f>
        <v>1552376914487967</v>
      </c>
      <c r="C1904" t="s">
        <v>40</v>
      </c>
      <c r="D1904">
        <v>4.3193530000000004</v>
      </c>
      <c r="E1904">
        <v>0.51105049999999996</v>
      </c>
      <c r="F1904" t="s">
        <v>51</v>
      </c>
      <c r="G1904">
        <v>-285.04739999999998</v>
      </c>
      <c r="H1904" s="1">
        <v>5.9267689999999999E-6</v>
      </c>
      <c r="I1904">
        <v>285.76409999999998</v>
      </c>
      <c r="J1904">
        <v>-249.63310000000001</v>
      </c>
      <c r="K1904">
        <v>1.108889</v>
      </c>
      <c r="L1904">
        <v>282.89</v>
      </c>
      <c r="M1904">
        <v>-0.99961219999999995</v>
      </c>
      <c r="N1904">
        <v>0</v>
      </c>
      <c r="O1904">
        <v>-2.4330770000000002E-2</v>
      </c>
      <c r="P1904">
        <v>-0.99855170000000004</v>
      </c>
      <c r="Q1904">
        <v>-1.8135209999999999E-2</v>
      </c>
      <c r="R1904">
        <v>5.0653539999999997E-2</v>
      </c>
      <c r="S1904">
        <v>-2.9904790000000001</v>
      </c>
      <c r="T1904">
        <v>-9.2675450000000006E-2</v>
      </c>
      <c r="U1904">
        <v>0.23950199999999999</v>
      </c>
      <c r="V1904">
        <v>7.4929949999999995E-2</v>
      </c>
      <c r="W1904">
        <v>-4.7262119999999996E-3</v>
      </c>
      <c r="X1904">
        <v>0.9971776</v>
      </c>
      <c r="Y1904">
        <v>0.104003</v>
      </c>
      <c r="Z1904">
        <v>2.361401E-3</v>
      </c>
      <c r="AA1904">
        <v>0.99457419999999996</v>
      </c>
      <c r="AB1904">
        <v>37</v>
      </c>
      <c r="AC1904">
        <v>-35.414299999999898</v>
      </c>
      <c r="AD1904">
        <v>-1.108883073231</v>
      </c>
      <c r="AE1904">
        <v>2.8740999999999901</v>
      </c>
      <c r="AF1904">
        <v>3.73135087326646</v>
      </c>
      <c r="AG1904">
        <v>-1.108883073231</v>
      </c>
      <c r="AH1904">
        <v>35.299496610419403</v>
      </c>
      <c r="AI1904">
        <v>91.789310805283705</v>
      </c>
      <c r="AJ1904">
        <v>83.965928714271101</v>
      </c>
      <c r="AK1904">
        <v>35.513477187661202</v>
      </c>
      <c r="AL1904">
        <v>90.270793008753202</v>
      </c>
      <c r="AM1904">
        <v>85.702754506568795</v>
      </c>
      <c r="AN1904">
        <v>1.0000000002143099</v>
      </c>
    </row>
    <row r="1905" spans="1:40" x14ac:dyDescent="0.25">
      <c r="A1905" t="str">
        <f>"20190312154834522"</f>
        <v>20190312154834522</v>
      </c>
      <c r="B1905" t="str">
        <f>"1552376914518223"</f>
        <v>1552376914518223</v>
      </c>
      <c r="C1905" t="s">
        <v>40</v>
      </c>
      <c r="D1905">
        <v>4.3748360000000002</v>
      </c>
      <c r="E1905">
        <v>0.47497780000000001</v>
      </c>
      <c r="F1905" t="s">
        <v>51</v>
      </c>
      <c r="G1905">
        <v>-285.82769999999999</v>
      </c>
      <c r="H1905" s="1">
        <v>5.5781799999999997E-6</v>
      </c>
      <c r="I1905">
        <v>285.77640000000002</v>
      </c>
      <c r="J1905">
        <v>-250.00020000000001</v>
      </c>
      <c r="K1905">
        <v>1.10893</v>
      </c>
      <c r="L1905">
        <v>282.88150000000002</v>
      </c>
      <c r="M1905">
        <v>-0.99962130000000005</v>
      </c>
      <c r="N1905">
        <v>0</v>
      </c>
      <c r="O1905">
        <v>-2.385775E-2</v>
      </c>
      <c r="P1905">
        <v>-0.99855649999999996</v>
      </c>
      <c r="Q1905">
        <v>-1.8459819999999998E-2</v>
      </c>
      <c r="R1905">
        <v>5.0443599999999998E-2</v>
      </c>
      <c r="S1905">
        <v>-2.9905849999999998</v>
      </c>
      <c r="T1905">
        <v>-9.1621519999999998E-2</v>
      </c>
      <c r="U1905">
        <v>0.23849490000000001</v>
      </c>
      <c r="V1905">
        <v>7.4248649999999999E-2</v>
      </c>
      <c r="W1905">
        <v>-4.8725840000000001E-3</v>
      </c>
      <c r="X1905">
        <v>0.9972278</v>
      </c>
      <c r="Y1905">
        <v>0.10319879999999999</v>
      </c>
      <c r="Z1905">
        <v>2.3077420000000002E-3</v>
      </c>
      <c r="AA1905">
        <v>0.99465809999999999</v>
      </c>
      <c r="AB1905">
        <v>37</v>
      </c>
      <c r="AC1905">
        <v>-35.827499999999901</v>
      </c>
      <c r="AD1905">
        <v>-1.1089244218200001</v>
      </c>
      <c r="AE1905">
        <v>2.8948999999999998</v>
      </c>
      <c r="AF1905">
        <v>3.7453549547177301</v>
      </c>
      <c r="AG1905">
        <v>-1.1089244218200001</v>
      </c>
      <c r="AH1905">
        <v>35.714235238081798</v>
      </c>
      <c r="AI1905">
        <v>91.768765024846005</v>
      </c>
      <c r="AJ1905">
        <v>84.0132694503789</v>
      </c>
      <c r="AK1905">
        <v>35.927204118205204</v>
      </c>
      <c r="AL1905">
        <v>90.279179618715006</v>
      </c>
      <c r="AM1905">
        <v>85.741896371177901</v>
      </c>
      <c r="AN1905">
        <v>0.99999994459724795</v>
      </c>
    </row>
    <row r="1906" spans="1:40" x14ac:dyDescent="0.25">
      <c r="A1906" t="str">
        <f>"20190312154834544"</f>
        <v>20190312154834544</v>
      </c>
      <c r="B1906" t="str">
        <f>"1552376914537743"</f>
        <v>1552376914537743</v>
      </c>
      <c r="C1906" t="s">
        <v>40</v>
      </c>
      <c r="D1906">
        <v>4.4002520000000001</v>
      </c>
      <c r="E1906">
        <v>0.4695262</v>
      </c>
      <c r="F1906" t="s">
        <v>51</v>
      </c>
      <c r="G1906">
        <v>-319.47030000000001</v>
      </c>
      <c r="H1906" s="1">
        <v>6.6649539999999997E-6</v>
      </c>
      <c r="I1906">
        <v>281.77629999999999</v>
      </c>
      <c r="J1906">
        <v>-250.36510000000001</v>
      </c>
      <c r="K1906">
        <v>1.1089639999999901</v>
      </c>
      <c r="L1906">
        <v>282.87329999999997</v>
      </c>
      <c r="M1906">
        <v>-0.99962989999999996</v>
      </c>
      <c r="N1906">
        <v>0</v>
      </c>
      <c r="O1906">
        <v>-2.3400500000000001E-2</v>
      </c>
      <c r="P1906">
        <v>-0.99855640000000001</v>
      </c>
      <c r="Q1906">
        <v>-1.8689669999999999E-2</v>
      </c>
      <c r="R1906">
        <v>5.0358029999999998E-2</v>
      </c>
      <c r="S1906">
        <v>-3.0058750000000001</v>
      </c>
      <c r="T1906">
        <v>-4.7981620000000003E-2</v>
      </c>
      <c r="U1906">
        <v>-4.7821040000000002E-2</v>
      </c>
      <c r="V1906">
        <v>7.3707129999999996E-2</v>
      </c>
      <c r="W1906">
        <v>-4.9500819999999997E-3</v>
      </c>
      <c r="X1906">
        <v>0.99726769999999998</v>
      </c>
      <c r="Y1906">
        <v>7.4930329999999996E-3</v>
      </c>
      <c r="Z1906">
        <v>4.3327539999999998E-4</v>
      </c>
      <c r="AA1906">
        <v>0.99997179999999997</v>
      </c>
      <c r="AB1906">
        <v>37</v>
      </c>
      <c r="AC1906">
        <v>-69.105199999999996</v>
      </c>
      <c r="AD1906">
        <v>-1.10895733504599</v>
      </c>
      <c r="AE1906">
        <v>-1.09699999999998</v>
      </c>
      <c r="AF1906">
        <v>0.52041834904684803</v>
      </c>
      <c r="AG1906">
        <v>-1.10895733504599</v>
      </c>
      <c r="AH1906">
        <v>69.094157622425101</v>
      </c>
      <c r="AI1906">
        <v>90.919489003930394</v>
      </c>
      <c r="AJ1906">
        <v>89.568455392467698</v>
      </c>
      <c r="AK1906">
        <v>69.105016020412705</v>
      </c>
      <c r="AL1906">
        <v>90.283619949553895</v>
      </c>
      <c r="AM1906">
        <v>85.773007661166105</v>
      </c>
      <c r="AN1906">
        <v>1.00000005489396</v>
      </c>
    </row>
    <row r="1907" spans="1:40" x14ac:dyDescent="0.25">
      <c r="A1907" t="str">
        <f>"20190312154834567"</f>
        <v>20190312154834567</v>
      </c>
      <c r="B1907" t="str">
        <f>"1552376914557265"</f>
        <v>1552376914557265</v>
      </c>
      <c r="C1907" t="s">
        <v>40</v>
      </c>
      <c r="D1907">
        <v>4.4601800000000003</v>
      </c>
      <c r="E1907">
        <v>0.46700770000000003</v>
      </c>
      <c r="F1907" t="s">
        <v>51</v>
      </c>
      <c r="G1907">
        <v>-306.41140000000001</v>
      </c>
      <c r="H1907" s="1">
        <v>3.1297369999999998E-6</v>
      </c>
      <c r="I1907">
        <v>281.15710000000001</v>
      </c>
      <c r="J1907">
        <v>-250.7345</v>
      </c>
      <c r="K1907">
        <v>1.109</v>
      </c>
      <c r="L1907">
        <v>282.86509999999998</v>
      </c>
      <c r="M1907">
        <v>-0.99963869999999999</v>
      </c>
      <c r="N1907">
        <v>0</v>
      </c>
      <c r="O1907">
        <v>-2.2947249999999999E-2</v>
      </c>
      <c r="P1907">
        <v>-0.99855459999999996</v>
      </c>
      <c r="Q1907">
        <v>-1.9003619999999999E-2</v>
      </c>
      <c r="R1907">
        <v>5.0278629999999998E-2</v>
      </c>
      <c r="S1907">
        <v>-3.0078740000000002</v>
      </c>
      <c r="T1907">
        <v>-5.9515360000000003E-2</v>
      </c>
      <c r="U1907">
        <v>-9.2102050000000005E-2</v>
      </c>
      <c r="V1907">
        <v>7.3175740000000003E-2</v>
      </c>
      <c r="W1907">
        <v>-5.1325650000000004E-3</v>
      </c>
      <c r="X1907">
        <v>0.99730589999999997</v>
      </c>
      <c r="Y1907">
        <v>-7.6621559999999998E-3</v>
      </c>
      <c r="Z1907">
        <v>3.780918E-4</v>
      </c>
      <c r="AA1907">
        <v>0.99997060000000004</v>
      </c>
      <c r="AB1907">
        <v>37</v>
      </c>
      <c r="AC1907">
        <v>-55.676900000000003</v>
      </c>
      <c r="AD1907">
        <v>-1.108996870263</v>
      </c>
      <c r="AE1907">
        <v>-1.70799999999997</v>
      </c>
      <c r="AF1907">
        <v>-0.42962296477239598</v>
      </c>
      <c r="AG1907">
        <v>-1.108996870263</v>
      </c>
      <c r="AH1907">
        <v>55.679364178202398</v>
      </c>
      <c r="AI1907">
        <v>91.141007085997202</v>
      </c>
      <c r="AJ1907">
        <v>90.442086480907804</v>
      </c>
      <c r="AK1907">
        <v>55.6920644727685</v>
      </c>
      <c r="AL1907">
        <v>90.294075590455094</v>
      </c>
      <c r="AM1907">
        <v>85.803532973879499</v>
      </c>
      <c r="AN1907">
        <v>1.0000000451614099</v>
      </c>
    </row>
    <row r="1908" spans="1:40" x14ac:dyDescent="0.25">
      <c r="A1908" t="str">
        <f>"20190312154834579"</f>
        <v>20190312154834579</v>
      </c>
      <c r="B1908" t="str">
        <f>"1552376914567999"</f>
        <v>1552376914567999</v>
      </c>
      <c r="C1908" t="s">
        <v>40</v>
      </c>
      <c r="D1908">
        <v>4.4586259999999998</v>
      </c>
      <c r="E1908">
        <v>0.46620339999999999</v>
      </c>
      <c r="F1908" t="s">
        <v>51</v>
      </c>
      <c r="G1908">
        <v>-300.03410000000002</v>
      </c>
      <c r="H1908" s="1">
        <v>4.2730520000000002E-6</v>
      </c>
      <c r="I1908">
        <v>281.01889999999997</v>
      </c>
      <c r="J1908">
        <v>-250.95750000000001</v>
      </c>
      <c r="K1908">
        <v>1.109019</v>
      </c>
      <c r="L1908">
        <v>282.86020000000002</v>
      </c>
      <c r="M1908">
        <v>-0.99964399999999998</v>
      </c>
      <c r="N1908">
        <v>0</v>
      </c>
      <c r="O1908">
        <v>-2.2676600000000002E-2</v>
      </c>
      <c r="P1908">
        <v>-0.99853769999999997</v>
      </c>
      <c r="Q1908">
        <v>-1.8715240000000001E-2</v>
      </c>
      <c r="R1908">
        <v>5.0721269999999999E-2</v>
      </c>
      <c r="S1908">
        <v>-3.0087280000000001</v>
      </c>
      <c r="T1908">
        <v>-6.7681430000000001E-2</v>
      </c>
      <c r="U1908">
        <v>-0.11267089999999901</v>
      </c>
      <c r="V1908">
        <v>7.3348460000000004E-2</v>
      </c>
      <c r="W1908">
        <v>-4.7757390000000002E-3</v>
      </c>
      <c r="X1908">
        <v>0.99729500000000004</v>
      </c>
      <c r="Y1908">
        <v>-1.4751210000000001E-2</v>
      </c>
      <c r="Z1908">
        <v>3.4399590000000002E-4</v>
      </c>
      <c r="AA1908">
        <v>0.99989119999999998</v>
      </c>
      <c r="AB1908">
        <v>37</v>
      </c>
      <c r="AC1908">
        <v>-49.076599999999999</v>
      </c>
      <c r="AD1908">
        <v>-1.109014726948</v>
      </c>
      <c r="AE1908">
        <v>-1.8413000000000399</v>
      </c>
      <c r="AF1908">
        <v>-0.72745504405488004</v>
      </c>
      <c r="AG1908">
        <v>-1.109014726948</v>
      </c>
      <c r="AH1908">
        <v>49.080708178765398</v>
      </c>
      <c r="AI1908">
        <v>91.294277936853206</v>
      </c>
      <c r="AJ1908">
        <v>90.849153438538295</v>
      </c>
      <c r="AK1908">
        <v>49.098625437326099</v>
      </c>
      <c r="AL1908">
        <v>90.273630712315097</v>
      </c>
      <c r="AM1908">
        <v>85.793617565316197</v>
      </c>
      <c r="AN1908">
        <v>1.0000000606461801</v>
      </c>
    </row>
    <row r="1909" spans="1:40" x14ac:dyDescent="0.25">
      <c r="A1909" t="str">
        <f>"20190312154834601"</f>
        <v>20190312154834601</v>
      </c>
      <c r="B1909" t="str">
        <f>"1552376914587519"</f>
        <v>1552376914587519</v>
      </c>
      <c r="C1909" t="s">
        <v>40</v>
      </c>
      <c r="D1909">
        <v>4.471438</v>
      </c>
      <c r="E1909">
        <v>0.46502589999999999</v>
      </c>
      <c r="F1909" t="s">
        <v>51</v>
      </c>
      <c r="G1909">
        <v>-298.68540000000002</v>
      </c>
      <c r="H1909" s="1">
        <v>4.063432E-6</v>
      </c>
      <c r="I1909">
        <v>280.98989999999998</v>
      </c>
      <c r="J1909">
        <v>-251.3015</v>
      </c>
      <c r="K1909">
        <v>1.109048</v>
      </c>
      <c r="L1909">
        <v>282.8528</v>
      </c>
      <c r="M1909">
        <v>-0.99965199999999999</v>
      </c>
      <c r="N1909">
        <v>0</v>
      </c>
      <c r="O1909">
        <v>-2.2261199999999998E-2</v>
      </c>
      <c r="P1909">
        <v>-0.99852839999999998</v>
      </c>
      <c r="Q1909">
        <v>-1.7978069999999999E-2</v>
      </c>
      <c r="R1909">
        <v>5.1167549999999999E-2</v>
      </c>
      <c r="S1909">
        <v>-3.0090789999999998</v>
      </c>
      <c r="T1909">
        <v>-6.9919590000000004E-2</v>
      </c>
      <c r="U1909">
        <v>-0.11791989999999899</v>
      </c>
      <c r="V1909">
        <v>7.3381119999999994E-2</v>
      </c>
      <c r="W1909">
        <v>-3.943195E-3</v>
      </c>
      <c r="X1909">
        <v>0.99729619999999997</v>
      </c>
      <c r="Y1909">
        <v>-1.6903379999999999E-2</v>
      </c>
      <c r="Z1909">
        <v>3.2067769999999997E-4</v>
      </c>
      <c r="AA1909">
        <v>0.99985710000000005</v>
      </c>
      <c r="AB1909">
        <v>37</v>
      </c>
      <c r="AC1909">
        <v>-47.383899999999997</v>
      </c>
      <c r="AD1909">
        <v>-1.109043936568</v>
      </c>
      <c r="AE1909">
        <v>-1.86290000000002</v>
      </c>
      <c r="AF1909">
        <v>-0.80706867551271799</v>
      </c>
      <c r="AG1909">
        <v>-1.109043936568</v>
      </c>
      <c r="AH1909">
        <v>47.387710175604902</v>
      </c>
      <c r="AI1909">
        <v>91.340489552536795</v>
      </c>
      <c r="AJ1909">
        <v>90.975720466853403</v>
      </c>
      <c r="AK1909">
        <v>47.407556507242198</v>
      </c>
      <c r="AL1909">
        <v>90.225929011353699</v>
      </c>
      <c r="AM1909">
        <v>85.791756354501302</v>
      </c>
      <c r="AN1909">
        <v>1.0000000240468501</v>
      </c>
    </row>
    <row r="1910" spans="1:40" x14ac:dyDescent="0.25">
      <c r="A1910" t="str">
        <f>"20190312154834624"</f>
        <v>20190312154834624</v>
      </c>
      <c r="B1910" t="str">
        <f>"1552376914617775"</f>
        <v>1552376914617775</v>
      </c>
      <c r="C1910" t="s">
        <v>40</v>
      </c>
      <c r="D1910">
        <v>4.4797849999999997</v>
      </c>
      <c r="E1910">
        <v>0.46388760000000001</v>
      </c>
      <c r="F1910" t="s">
        <v>51</v>
      </c>
      <c r="G1910">
        <v>-298.30070000000001</v>
      </c>
      <c r="H1910" s="1">
        <v>4.0046090000000002E-6</v>
      </c>
      <c r="I1910">
        <v>280.88220000000001</v>
      </c>
      <c r="J1910">
        <v>-251.67529999999999</v>
      </c>
      <c r="K1910">
        <v>1.109075</v>
      </c>
      <c r="L1910">
        <v>282.84500000000003</v>
      </c>
      <c r="M1910">
        <v>-0.99966069999999996</v>
      </c>
      <c r="N1910">
        <v>0</v>
      </c>
      <c r="O1910">
        <v>-2.1810820000000002E-2</v>
      </c>
      <c r="P1910">
        <v>-0.99850930000000004</v>
      </c>
      <c r="Q1910">
        <v>-1.72354999999999E-2</v>
      </c>
      <c r="R1910">
        <v>5.178808E-2</v>
      </c>
      <c r="S1910">
        <v>-3.0096129999999999</v>
      </c>
      <c r="T1910">
        <v>-7.1018100000000001E-2</v>
      </c>
      <c r="U1910">
        <v>-0.1261902</v>
      </c>
      <c r="V1910">
        <v>7.3552690000000004E-2</v>
      </c>
      <c r="W1910">
        <v>-3.1117089999999998E-3</v>
      </c>
      <c r="X1910">
        <v>0.99728649999999996</v>
      </c>
      <c r="Y1910">
        <v>-2.008886E-2</v>
      </c>
      <c r="Z1910">
        <v>2.7745480000000001E-4</v>
      </c>
      <c r="AA1910">
        <v>0.99979819999999997</v>
      </c>
      <c r="AB1910">
        <v>37</v>
      </c>
      <c r="AC1910">
        <v>-46.625399999999999</v>
      </c>
      <c r="AD1910">
        <v>-1.1090709953910001</v>
      </c>
      <c r="AE1910">
        <v>-1.9628000000000101</v>
      </c>
      <c r="AF1910">
        <v>-0.944758048296366</v>
      </c>
      <c r="AG1910">
        <v>-1.1090709953910001</v>
      </c>
      <c r="AH1910">
        <v>46.630783254635098</v>
      </c>
      <c r="AI1910">
        <v>91.362191968377601</v>
      </c>
      <c r="AJ1910">
        <v>91.160676280640601</v>
      </c>
      <c r="AK1910">
        <v>46.653537413398702</v>
      </c>
      <c r="AL1910">
        <v>90.178288076568705</v>
      </c>
      <c r="AM1910">
        <v>85.781911789856906</v>
      </c>
      <c r="AN1910">
        <v>1.0000000220106899</v>
      </c>
    </row>
    <row r="1911" spans="1:40" x14ac:dyDescent="0.25">
      <c r="A1911" t="str">
        <f>"20190312154834647"</f>
        <v>20190312154834647</v>
      </c>
      <c r="B1911" t="str">
        <f>"1552376914637295"</f>
        <v>1552376914637295</v>
      </c>
      <c r="C1911" t="s">
        <v>40</v>
      </c>
      <c r="D1911">
        <v>4.5308719999999996</v>
      </c>
      <c r="E1911">
        <v>0.46328140000000001</v>
      </c>
      <c r="F1911" t="s">
        <v>51</v>
      </c>
      <c r="G1911">
        <v>-298.05329999999998</v>
      </c>
      <c r="H1911" s="1">
        <v>3.9688750000000002E-6</v>
      </c>
      <c r="I1911">
        <v>280.78879999999998</v>
      </c>
      <c r="J1911">
        <v>-252.03030000000001</v>
      </c>
      <c r="K1911">
        <v>1.1090979999999999</v>
      </c>
      <c r="L1911">
        <v>282.83760000000001</v>
      </c>
      <c r="M1911">
        <v>-0.99966900000000003</v>
      </c>
      <c r="N1911">
        <v>0</v>
      </c>
      <c r="O1911">
        <v>-2.1383550000000001E-2</v>
      </c>
      <c r="P1911">
        <v>-0.99846780000000002</v>
      </c>
      <c r="Q1911">
        <v>-1.72339E-2</v>
      </c>
      <c r="R1911">
        <v>5.2587130000000003E-2</v>
      </c>
      <c r="S1911">
        <v>-3.010132</v>
      </c>
      <c r="T1911">
        <v>-7.1983580000000005E-2</v>
      </c>
      <c r="U1911">
        <v>-0.1334534</v>
      </c>
      <c r="V1911">
        <v>7.3924649999999995E-2</v>
      </c>
      <c r="W1911">
        <v>-3.0390450000000002E-3</v>
      </c>
      <c r="X1911">
        <v>0.99725920000000001</v>
      </c>
      <c r="Y1911">
        <v>-2.2915899999999999E-2</v>
      </c>
      <c r="Z1911">
        <v>2.3717049999999999E-4</v>
      </c>
      <c r="AA1911">
        <v>0.9997374</v>
      </c>
      <c r="AB1911">
        <v>37</v>
      </c>
      <c r="AC1911">
        <v>-46.022999999999897</v>
      </c>
      <c r="AD1911">
        <v>-1.1090940311249999</v>
      </c>
      <c r="AE1911">
        <v>-2.0488000000000199</v>
      </c>
      <c r="AF1911">
        <v>-1.0634792156071</v>
      </c>
      <c r="AG1911">
        <v>-1.1090940311249999</v>
      </c>
      <c r="AH1911">
        <v>46.029610909498501</v>
      </c>
      <c r="AI1911">
        <v>91.379919753066602</v>
      </c>
      <c r="AJ1911">
        <v>91.323540017222001</v>
      </c>
      <c r="AK1911">
        <v>46.0552511456807</v>
      </c>
      <c r="AL1911">
        <v>90.174124720136803</v>
      </c>
      <c r="AM1911">
        <v>85.760542629704005</v>
      </c>
      <c r="AN1911">
        <v>1.00000000082838</v>
      </c>
    </row>
    <row r="1912" spans="1:40" x14ac:dyDescent="0.25">
      <c r="A1912" t="str">
        <f>"20190312154834669"</f>
        <v>20190312154834669</v>
      </c>
      <c r="B1912" t="str">
        <f>"1552376914657791"</f>
        <v>1552376914657791</v>
      </c>
      <c r="C1912" t="s">
        <v>40</v>
      </c>
      <c r="D1912">
        <v>4.5534589999999904</v>
      </c>
      <c r="E1912">
        <v>0.46290219999999999</v>
      </c>
      <c r="F1912" t="s">
        <v>51</v>
      </c>
      <c r="G1912">
        <v>-297.80529999999999</v>
      </c>
      <c r="H1912" s="1">
        <v>3.926424E-6</v>
      </c>
      <c r="I1912">
        <v>280.77140000000003</v>
      </c>
      <c r="J1912">
        <v>-252.40369999999999</v>
      </c>
      <c r="K1912">
        <v>1.1091120000000001</v>
      </c>
      <c r="L1912">
        <v>282.83010000000002</v>
      </c>
      <c r="M1912">
        <v>-0.99967740000000005</v>
      </c>
      <c r="N1912">
        <v>0</v>
      </c>
      <c r="O1912">
        <v>-2.093443E-2</v>
      </c>
      <c r="P1912">
        <v>-0.99842470000000005</v>
      </c>
      <c r="Q1912">
        <v>-1.7159799999999999E-2</v>
      </c>
      <c r="R1912">
        <v>5.3419149999999999E-2</v>
      </c>
      <c r="S1912">
        <v>-3.010529</v>
      </c>
      <c r="T1912">
        <v>-7.2942850000000004E-2</v>
      </c>
      <c r="U1912">
        <v>-0.13589479999999901</v>
      </c>
      <c r="V1912">
        <v>7.4307810000000002E-2</v>
      </c>
      <c r="W1912">
        <v>-2.9012199999999999E-3</v>
      </c>
      <c r="X1912">
        <v>0.99723110000000004</v>
      </c>
      <c r="Y1912">
        <v>-2.41678E-2</v>
      </c>
      <c r="Z1912">
        <v>2.1426600000000001E-4</v>
      </c>
      <c r="AA1912">
        <v>0.99970789999999998</v>
      </c>
      <c r="AB1912">
        <v>36</v>
      </c>
      <c r="AC1912">
        <v>-45.401600000000002</v>
      </c>
      <c r="AD1912">
        <v>-1.1091080735759999</v>
      </c>
      <c r="AE1912">
        <v>-2.05869999999998</v>
      </c>
      <c r="AF1912">
        <v>-1.10703452594204</v>
      </c>
      <c r="AG1912">
        <v>-1.1091080735759999</v>
      </c>
      <c r="AH1912">
        <v>45.4077081275571</v>
      </c>
      <c r="AI1912">
        <v>91.398787019193307</v>
      </c>
      <c r="AJ1912">
        <v>91.396587636271406</v>
      </c>
      <c r="AK1912">
        <v>45.434740051615996</v>
      </c>
      <c r="AL1912">
        <v>90.166227900074603</v>
      </c>
      <c r="AM1912">
        <v>85.738530133778497</v>
      </c>
      <c r="AN1912">
        <v>0.99999996725584595</v>
      </c>
    </row>
    <row r="1913" spans="1:40" x14ac:dyDescent="0.25">
      <c r="A1913" t="str">
        <f>"20190312154834690"</f>
        <v>20190312154834690</v>
      </c>
      <c r="B1913" t="str">
        <f>"1552376914677312"</f>
        <v>1552376914677312</v>
      </c>
      <c r="C1913" t="s">
        <v>40</v>
      </c>
      <c r="D1913">
        <v>4.5695449999999997</v>
      </c>
      <c r="E1913">
        <v>0.4624393</v>
      </c>
      <c r="F1913" t="s">
        <v>51</v>
      </c>
      <c r="G1913">
        <v>-297.53300000000002</v>
      </c>
      <c r="H1913" s="1">
        <v>3.8769759999999997E-6</v>
      </c>
      <c r="I1913">
        <v>280.78449999999998</v>
      </c>
      <c r="J1913">
        <v>-252.74010000000001</v>
      </c>
      <c r="K1913">
        <v>1.109135</v>
      </c>
      <c r="L1913">
        <v>282.82350000000002</v>
      </c>
      <c r="M1913">
        <v>-0.99968509999999999</v>
      </c>
      <c r="N1913">
        <v>0</v>
      </c>
      <c r="O1913">
        <v>-2.0532769999999999E-2</v>
      </c>
      <c r="P1913">
        <v>-0.99839319999999998</v>
      </c>
      <c r="Q1913">
        <v>-1.7232440000000002E-2</v>
      </c>
      <c r="R1913">
        <v>5.3982059999999998E-2</v>
      </c>
      <c r="S1913">
        <v>-3.0107270000000002</v>
      </c>
      <c r="T1913">
        <v>-7.3992249999999996E-2</v>
      </c>
      <c r="U1913">
        <v>-0.1364746</v>
      </c>
      <c r="V1913">
        <v>7.4469339999999995E-2</v>
      </c>
      <c r="W1913">
        <v>-2.923901E-3</v>
      </c>
      <c r="X1913">
        <v>0.99721899999999997</v>
      </c>
      <c r="Y1913">
        <v>-2.47583E-2</v>
      </c>
      <c r="Z1913">
        <v>2.002192E-4</v>
      </c>
      <c r="AA1913">
        <v>0.99969350000000001</v>
      </c>
      <c r="AB1913">
        <v>36</v>
      </c>
      <c r="AC1913">
        <v>-44.792900000000003</v>
      </c>
      <c r="AD1913">
        <v>-1.109131123024</v>
      </c>
      <c r="AE1913">
        <v>-2.0390000000000401</v>
      </c>
      <c r="AF1913">
        <v>-1.1180679258995301</v>
      </c>
      <c r="AG1913">
        <v>-1.109131123024</v>
      </c>
      <c r="AH1913">
        <v>44.797915666314601</v>
      </c>
      <c r="AI1913">
        <v>91.417828941046295</v>
      </c>
      <c r="AJ1913">
        <v>91.429693238949</v>
      </c>
      <c r="AK1913">
        <v>44.825589742704103</v>
      </c>
      <c r="AL1913">
        <v>90.167527428586993</v>
      </c>
      <c r="AM1913">
        <v>85.729249177373802</v>
      </c>
      <c r="AN1913">
        <v>0.99999998287904601</v>
      </c>
    </row>
    <row r="1914" spans="1:40" x14ac:dyDescent="0.25">
      <c r="A1914" t="str">
        <f>"20190312154834712"</f>
        <v>20190312154834712</v>
      </c>
      <c r="B1914" t="str">
        <f>"1552376914707570"</f>
        <v>1552376914707570</v>
      </c>
      <c r="C1914" t="s">
        <v>40</v>
      </c>
      <c r="D1914">
        <v>4.6098379999999999</v>
      </c>
      <c r="E1914">
        <v>0.46182190000000001</v>
      </c>
      <c r="F1914" t="s">
        <v>51</v>
      </c>
      <c r="G1914">
        <v>-296.6825</v>
      </c>
      <c r="H1914" s="1">
        <v>3.7248969999999998E-6</v>
      </c>
      <c r="I1914">
        <v>280.79840000000002</v>
      </c>
      <c r="J1914">
        <v>-253.10509999999999</v>
      </c>
      <c r="K1914">
        <v>1.109159</v>
      </c>
      <c r="L1914">
        <v>282.81650000000002</v>
      </c>
      <c r="M1914">
        <v>-0.99969319999999895</v>
      </c>
      <c r="N1914">
        <v>0</v>
      </c>
      <c r="O1914">
        <v>-2.0103119999999999E-2</v>
      </c>
      <c r="P1914">
        <v>-0.99836829999999999</v>
      </c>
      <c r="Q1914">
        <v>-1.6939030000000001E-2</v>
      </c>
      <c r="R1914">
        <v>5.4535170000000001E-2</v>
      </c>
      <c r="S1914">
        <v>-3.0110169999999998</v>
      </c>
      <c r="T1914">
        <v>-7.5999739999999996E-2</v>
      </c>
      <c r="U1914">
        <v>-0.13876340000000001</v>
      </c>
      <c r="V1914">
        <v>7.4593870000000007E-2</v>
      </c>
      <c r="W1914">
        <v>-2.5835049999999998E-3</v>
      </c>
      <c r="X1914">
        <v>0.99721059999999995</v>
      </c>
      <c r="Y1914">
        <v>-2.5941309999999999E-2</v>
      </c>
      <c r="Z1914">
        <v>1.7987189999999999E-4</v>
      </c>
      <c r="AA1914">
        <v>0.99966350000000004</v>
      </c>
      <c r="AB1914">
        <v>36</v>
      </c>
      <c r="AC1914">
        <v>-43.577399999999997</v>
      </c>
      <c r="AD1914">
        <v>-1.109155275103</v>
      </c>
      <c r="AE1914">
        <v>-2.0181</v>
      </c>
      <c r="AF1914">
        <v>-1.14082117775596</v>
      </c>
      <c r="AG1914">
        <v>-1.109155275103</v>
      </c>
      <c r="AH1914">
        <v>43.580993315052197</v>
      </c>
      <c r="AI1914">
        <v>91.457388818399096</v>
      </c>
      <c r="AJ1914">
        <v>91.499491173272702</v>
      </c>
      <c r="AK1914">
        <v>43.610029542646799</v>
      </c>
      <c r="AL1914">
        <v>90.148024104865698</v>
      </c>
      <c r="AM1914">
        <v>85.722098080635007</v>
      </c>
      <c r="AN1914">
        <v>0.99999995034600897</v>
      </c>
    </row>
    <row r="1915" spans="1:40" x14ac:dyDescent="0.25">
      <c r="A1915" t="str">
        <f>"20190312154834734"</f>
        <v>20190312154834734</v>
      </c>
      <c r="B1915" t="str">
        <f>"1552376914728063"</f>
        <v>1552376914728063</v>
      </c>
      <c r="C1915" t="s">
        <v>40</v>
      </c>
      <c r="D1915">
        <v>4.6091709999999999</v>
      </c>
      <c r="E1915">
        <v>0.46150429999999998</v>
      </c>
      <c r="F1915" t="s">
        <v>51</v>
      </c>
      <c r="G1915">
        <v>-295.85419999999999</v>
      </c>
      <c r="H1915" s="1">
        <v>3.5776479999999999E-6</v>
      </c>
      <c r="I1915">
        <v>280.80200000000002</v>
      </c>
      <c r="J1915">
        <v>-253.46960000000001</v>
      </c>
      <c r="K1915">
        <v>1.1091850000000001</v>
      </c>
      <c r="L1915">
        <v>282.80959999999999</v>
      </c>
      <c r="M1915">
        <v>-0.9997009</v>
      </c>
      <c r="N1915">
        <v>0</v>
      </c>
      <c r="O1915">
        <v>-1.9687420000000001E-2</v>
      </c>
      <c r="P1915">
        <v>-0.99836630000000004</v>
      </c>
      <c r="Q1915">
        <v>-1.6365930000000001E-2</v>
      </c>
      <c r="R1915">
        <v>5.4744279999999999E-2</v>
      </c>
      <c r="S1915">
        <v>-3.011368</v>
      </c>
      <c r="T1915">
        <v>-7.8132149999999997E-2</v>
      </c>
      <c r="U1915">
        <v>-0.1419067</v>
      </c>
      <c r="V1915">
        <v>7.438902E-2</v>
      </c>
      <c r="W1915">
        <v>-1.968942E-3</v>
      </c>
      <c r="X1915">
        <v>0.99722739999999999</v>
      </c>
      <c r="Y1915">
        <v>-2.7392059999999999E-2</v>
      </c>
      <c r="Z1915">
        <v>1.5530860000000001E-4</v>
      </c>
      <c r="AA1915">
        <v>0.99962470000000003</v>
      </c>
      <c r="AB1915">
        <v>36</v>
      </c>
      <c r="AC1915">
        <v>-42.384599999999899</v>
      </c>
      <c r="AD1915">
        <v>-1.109181422352</v>
      </c>
      <c r="AE1915">
        <v>-2.0075999999999601</v>
      </c>
      <c r="AF1915">
        <v>-1.17187879282041</v>
      </c>
      <c r="AG1915">
        <v>-1.109181422352</v>
      </c>
      <c r="AH1915">
        <v>42.386948791423599</v>
      </c>
      <c r="AI1915">
        <v>91.498401237716394</v>
      </c>
      <c r="AJ1915">
        <v>91.5836622177344</v>
      </c>
      <c r="AK1915">
        <v>42.417649760206203</v>
      </c>
      <c r="AL1915">
        <v>90.1128121345008</v>
      </c>
      <c r="AM1915">
        <v>85.733874245783895</v>
      </c>
      <c r="AN1915">
        <v>1.00000004516995</v>
      </c>
    </row>
    <row r="1916" spans="1:40" x14ac:dyDescent="0.25">
      <c r="A1916" t="str">
        <f>"20190312154834757"</f>
        <v>20190312154834757</v>
      </c>
      <c r="B1916" t="str">
        <f>"1552376914747587"</f>
        <v>1552376914747587</v>
      </c>
      <c r="C1916" t="s">
        <v>40</v>
      </c>
      <c r="D1916">
        <v>4.6102239999999997</v>
      </c>
      <c r="E1916">
        <v>0.46138170000000001</v>
      </c>
      <c r="F1916" t="s">
        <v>51</v>
      </c>
      <c r="G1916">
        <v>-296.38060000000002</v>
      </c>
      <c r="H1916" s="1">
        <v>3.674685E-6</v>
      </c>
      <c r="I1916">
        <v>280.7602</v>
      </c>
      <c r="J1916">
        <v>-253.8261</v>
      </c>
      <c r="K1916">
        <v>1.10921</v>
      </c>
      <c r="L1916">
        <v>282.80290000000002</v>
      </c>
      <c r="M1916">
        <v>-0.99970789999999998</v>
      </c>
      <c r="N1916">
        <v>0</v>
      </c>
      <c r="O1916">
        <v>-1.9300129999999999E-2</v>
      </c>
      <c r="P1916">
        <v>-0.99835910000000005</v>
      </c>
      <c r="Q1916">
        <v>-1.6007E-2</v>
      </c>
      <c r="R1916">
        <v>5.4981530000000001E-2</v>
      </c>
      <c r="S1916">
        <v>-3.0115050000000001</v>
      </c>
      <c r="T1916">
        <v>-7.7842590000000003E-2</v>
      </c>
      <c r="U1916">
        <v>-0.14382929999999999</v>
      </c>
      <c r="V1916">
        <v>7.4240299999999995E-2</v>
      </c>
      <c r="W1916">
        <v>-1.574511E-3</v>
      </c>
      <c r="X1916">
        <v>0.99723910000000004</v>
      </c>
      <c r="Y1916">
        <v>-2.8413460000000001E-2</v>
      </c>
      <c r="Z1916">
        <v>1.315314E-4</v>
      </c>
      <c r="AA1916">
        <v>0.99959620000000005</v>
      </c>
      <c r="AB1916">
        <v>36</v>
      </c>
      <c r="AC1916">
        <v>-42.554499999999997</v>
      </c>
      <c r="AD1916">
        <v>-1.109206325315</v>
      </c>
      <c r="AE1916">
        <v>-2.0427000000000199</v>
      </c>
      <c r="AF1916">
        <v>-1.22009809343121</v>
      </c>
      <c r="AG1916">
        <v>-1.109206325315</v>
      </c>
      <c r="AH1916">
        <v>42.557153059587399</v>
      </c>
      <c r="AI1916">
        <v>91.492401782246802</v>
      </c>
      <c r="AJ1916">
        <v>91.642199315485797</v>
      </c>
      <c r="AK1916">
        <v>42.589086096873103</v>
      </c>
      <c r="AL1916">
        <v>90.090212875808405</v>
      </c>
      <c r="AM1916">
        <v>85.742421543313398</v>
      </c>
      <c r="AN1916">
        <v>0.99999996189889295</v>
      </c>
    </row>
    <row r="1917" spans="1:40" x14ac:dyDescent="0.25">
      <c r="A1917" t="str">
        <f>"20190312154834779"</f>
        <v>20190312154834779</v>
      </c>
      <c r="B1917" t="str">
        <f>"1552376914768082"</f>
        <v>1552376914768082</v>
      </c>
      <c r="C1917" t="s">
        <v>40</v>
      </c>
      <c r="D1917">
        <v>4.6203699999999897</v>
      </c>
      <c r="E1917">
        <v>0.46111049999999998</v>
      </c>
      <c r="F1917" t="s">
        <v>51</v>
      </c>
      <c r="G1917">
        <v>-297.0231</v>
      </c>
      <c r="H1917" s="1">
        <v>3.790755E-6</v>
      </c>
      <c r="I1917">
        <v>280.73599999999999</v>
      </c>
      <c r="J1917">
        <v>-254.19040000000001</v>
      </c>
      <c r="K1917">
        <v>1.109243</v>
      </c>
      <c r="L1917">
        <v>282.79629999999997</v>
      </c>
      <c r="M1917">
        <v>-0.99971469999999996</v>
      </c>
      <c r="N1917">
        <v>0</v>
      </c>
      <c r="O1917">
        <v>-1.8930180000000001E-2</v>
      </c>
      <c r="P1917">
        <v>-0.99834009999999995</v>
      </c>
      <c r="Q1917">
        <v>-1.59965E-2</v>
      </c>
      <c r="R1917">
        <v>5.5327149999999999E-2</v>
      </c>
      <c r="S1917">
        <v>-3.0116269999999998</v>
      </c>
      <c r="T1917">
        <v>-7.733226E-2</v>
      </c>
      <c r="U1917">
        <v>-0.14410400000000001</v>
      </c>
      <c r="V1917">
        <v>7.4216459999999998E-2</v>
      </c>
      <c r="W1917">
        <v>-1.532245E-3</v>
      </c>
      <c r="X1917">
        <v>0.99724100000000004</v>
      </c>
      <c r="Y1917">
        <v>-2.8872149999999999E-2</v>
      </c>
      <c r="Z1917">
        <v>1.15289E-4</v>
      </c>
      <c r="AA1917">
        <v>0.99958309999999995</v>
      </c>
      <c r="AB1917">
        <v>36</v>
      </c>
      <c r="AC1917">
        <v>-42.832699999999903</v>
      </c>
      <c r="AD1917">
        <v>-1.1092392092450001</v>
      </c>
      <c r="AE1917">
        <v>-2.0602999999999798</v>
      </c>
      <c r="AF1917">
        <v>-1.2481788165449701</v>
      </c>
      <c r="AG1917">
        <v>-1.1092392092450001</v>
      </c>
      <c r="AH1917">
        <v>42.8353676231023</v>
      </c>
      <c r="AI1917">
        <v>91.482736862057706</v>
      </c>
      <c r="AJ1917">
        <v>91.669068150427293</v>
      </c>
      <c r="AK1917">
        <v>42.867902694063801</v>
      </c>
      <c r="AL1917">
        <v>90.087791204154001</v>
      </c>
      <c r="AM1917">
        <v>85.743791788773095</v>
      </c>
      <c r="AN1917">
        <v>1.00000002139533</v>
      </c>
    </row>
    <row r="1918" spans="1:40" x14ac:dyDescent="0.25">
      <c r="A1918" t="str">
        <f>"20190312154834794"</f>
        <v>20190312154834794</v>
      </c>
      <c r="B1918" t="str">
        <f>"1552376914787599"</f>
        <v>1552376914787599</v>
      </c>
      <c r="C1918" t="s">
        <v>40</v>
      </c>
      <c r="D1918">
        <v>4.6033949999999999</v>
      </c>
      <c r="E1918">
        <v>0.4609722</v>
      </c>
      <c r="F1918" t="s">
        <v>51</v>
      </c>
      <c r="G1918">
        <v>-297.13170000000002</v>
      </c>
      <c r="H1918" s="1">
        <v>3.8109760000000002E-6</v>
      </c>
      <c r="I1918">
        <v>280.72519999999997</v>
      </c>
      <c r="J1918">
        <v>-254.42449999999999</v>
      </c>
      <c r="K1918">
        <v>1.109262</v>
      </c>
      <c r="L1918">
        <v>282.7921</v>
      </c>
      <c r="M1918">
        <v>-0.99971849999999995</v>
      </c>
      <c r="N1918">
        <v>0</v>
      </c>
      <c r="O1918">
        <v>-1.8708349999999999E-2</v>
      </c>
      <c r="P1918">
        <v>-0.99832650000000001</v>
      </c>
      <c r="Q1918">
        <v>-1.6066130000000001E-2</v>
      </c>
      <c r="R1918">
        <v>5.55536999999999E-2</v>
      </c>
      <c r="S1918">
        <v>-3.0118100000000001</v>
      </c>
      <c r="T1918">
        <v>-7.7799560000000004E-2</v>
      </c>
      <c r="U1918">
        <v>-0.1452637</v>
      </c>
      <c r="V1918">
        <v>7.4221609999999993E-2</v>
      </c>
      <c r="W1918">
        <v>-1.583596E-3</v>
      </c>
      <c r="X1918">
        <v>0.99724049999999997</v>
      </c>
      <c r="Y1918">
        <v>-2.9474719999999999E-2</v>
      </c>
      <c r="Z1918">
        <v>1.0247570000000001E-4</v>
      </c>
      <c r="AA1918">
        <v>0.9995655</v>
      </c>
      <c r="AB1918">
        <v>36</v>
      </c>
      <c r="AC1918">
        <v>-42.7072</v>
      </c>
      <c r="AD1918">
        <v>-1.1092581890240001</v>
      </c>
      <c r="AE1918">
        <v>-2.0669000000000302</v>
      </c>
      <c r="AF1918">
        <v>-1.2666193661459699</v>
      </c>
      <c r="AG1918">
        <v>-1.1092581890240001</v>
      </c>
      <c r="AH1918">
        <v>42.709650637915601</v>
      </c>
      <c r="AI1918">
        <v>91.487102218146504</v>
      </c>
      <c r="AJ1918">
        <v>91.698695217067595</v>
      </c>
      <c r="AK1918">
        <v>42.742824379788203</v>
      </c>
      <c r="AL1918">
        <v>90.090733406537595</v>
      </c>
      <c r="AM1918">
        <v>85.743495402753098</v>
      </c>
      <c r="AN1918">
        <v>0.99999998500376597</v>
      </c>
    </row>
    <row r="1919" spans="1:40" x14ac:dyDescent="0.25">
      <c r="A1919" t="str">
        <f>"20190312154834813"</f>
        <v>20190312154834813</v>
      </c>
      <c r="B1919" t="str">
        <f>"1552376914808095"</f>
        <v>1552376914808095</v>
      </c>
      <c r="C1919" t="s">
        <v>40</v>
      </c>
      <c r="D1919">
        <v>4.6369400000000001</v>
      </c>
      <c r="E1919">
        <v>0.46074300000000001</v>
      </c>
      <c r="F1919" t="s">
        <v>51</v>
      </c>
      <c r="G1919">
        <v>-297.06139999999999</v>
      </c>
      <c r="H1919" s="1">
        <v>3.7982229999999999E-6</v>
      </c>
      <c r="I1919">
        <v>280.72829999999999</v>
      </c>
      <c r="J1919">
        <v>-254.75139999999999</v>
      </c>
      <c r="K1919">
        <v>1.1092959999999901</v>
      </c>
      <c r="L1919">
        <v>282.78629999999998</v>
      </c>
      <c r="M1919">
        <v>-0.99972369999999999</v>
      </c>
      <c r="N1919">
        <v>0</v>
      </c>
      <c r="O1919">
        <v>-1.8418489999999999E-2</v>
      </c>
      <c r="P1919">
        <v>-0.99830030000000003</v>
      </c>
      <c r="Q1919">
        <v>-1.575913E-2</v>
      </c>
      <c r="R1919">
        <v>5.6112009999999997E-2</v>
      </c>
      <c r="S1919">
        <v>-3.0118710000000002</v>
      </c>
      <c r="T1919">
        <v>-7.8358049999999999E-2</v>
      </c>
      <c r="U1919">
        <v>-0.14578250000000001</v>
      </c>
      <c r="V1919">
        <v>7.4490639999999997E-2</v>
      </c>
      <c r="W1919">
        <v>-1.2539350000000001E-3</v>
      </c>
      <c r="X1919">
        <v>0.99722089999999997</v>
      </c>
      <c r="Y1919">
        <v>-2.9935030000000001E-2</v>
      </c>
      <c r="Z1919" s="1">
        <v>8.9691659999999998E-5</v>
      </c>
      <c r="AA1919">
        <v>0.99955179999999999</v>
      </c>
      <c r="AB1919">
        <v>36</v>
      </c>
      <c r="AC1919">
        <v>-42.31</v>
      </c>
      <c r="AD1919">
        <v>-1.1092922017769999</v>
      </c>
      <c r="AE1919">
        <v>-2.0579999999999901</v>
      </c>
      <c r="AF1919">
        <v>-1.2774053792675699</v>
      </c>
      <c r="AG1919">
        <v>-1.1092922017769999</v>
      </c>
      <c r="AH1919">
        <v>42.311714340034598</v>
      </c>
      <c r="AI1919">
        <v>91.501103915871695</v>
      </c>
      <c r="AJ1919">
        <v>91.729254268163899</v>
      </c>
      <c r="AK1919">
        <v>42.345524723217103</v>
      </c>
      <c r="AL1919">
        <v>90.071845203864498</v>
      </c>
      <c r="AM1919">
        <v>85.728040271914395</v>
      </c>
      <c r="AN1919">
        <v>0.99999997559870102</v>
      </c>
    </row>
    <row r="1920" spans="1:40" x14ac:dyDescent="0.25">
      <c r="A1920" t="str">
        <f>"20190312154834836"</f>
        <v>20190312154834836</v>
      </c>
      <c r="B1920" t="str">
        <f>"1552376914827616"</f>
        <v>1552376914827616</v>
      </c>
      <c r="C1920" t="s">
        <v>40</v>
      </c>
      <c r="D1920">
        <v>4.644997</v>
      </c>
      <c r="E1920">
        <v>0.4605264</v>
      </c>
      <c r="F1920" t="s">
        <v>51</v>
      </c>
      <c r="G1920">
        <v>-297.6277</v>
      </c>
      <c r="H1920" s="1">
        <v>3.9002329999999998E-6</v>
      </c>
      <c r="I1920">
        <v>280.7106</v>
      </c>
      <c r="J1920">
        <v>-255.1046</v>
      </c>
      <c r="K1920">
        <v>1.109337</v>
      </c>
      <c r="L1920">
        <v>282.77999999999997</v>
      </c>
      <c r="M1920">
        <v>-0.99972870000000003</v>
      </c>
      <c r="N1920">
        <v>0</v>
      </c>
      <c r="O1920">
        <v>-1.8130190000000001E-2</v>
      </c>
      <c r="P1920">
        <v>-0.99826610000000005</v>
      </c>
      <c r="Q1920">
        <v>-1.5793160000000001E-2</v>
      </c>
      <c r="R1920">
        <v>5.67065E-2</v>
      </c>
      <c r="S1920">
        <v>-3.0120849999999999</v>
      </c>
      <c r="T1920">
        <v>-7.7928300000000006E-2</v>
      </c>
      <c r="U1920">
        <v>-0.145813</v>
      </c>
      <c r="V1920">
        <v>7.4796829999999995E-2</v>
      </c>
      <c r="W1920">
        <v>-1.266793E-3</v>
      </c>
      <c r="X1920">
        <v>0.99719800000000003</v>
      </c>
      <c r="Y1920">
        <v>-3.0229789999999999E-2</v>
      </c>
      <c r="Z1920" s="1">
        <v>7.7932030000000001E-5</v>
      </c>
      <c r="AA1920">
        <v>0.99954299999999996</v>
      </c>
      <c r="AB1920">
        <v>36</v>
      </c>
      <c r="AC1920">
        <v>-42.523099999999999</v>
      </c>
      <c r="AD1920">
        <v>-1.1093330997669999</v>
      </c>
      <c r="AE1920">
        <v>-2.0693999999999702</v>
      </c>
      <c r="AF1920">
        <v>-1.2971447557510201</v>
      </c>
      <c r="AG1920">
        <v>-1.1093330997669999</v>
      </c>
      <c r="AH1920">
        <v>42.524759023102099</v>
      </c>
      <c r="AI1920">
        <v>91.493627830672494</v>
      </c>
      <c r="AJ1920">
        <v>91.747167623022904</v>
      </c>
      <c r="AK1920">
        <v>42.558998277879098</v>
      </c>
      <c r="AL1920">
        <v>90.072581911040302</v>
      </c>
      <c r="AM1920">
        <v>85.710447866389003</v>
      </c>
      <c r="AN1920">
        <v>1.0000000108732701</v>
      </c>
    </row>
    <row r="1921" spans="1:40" x14ac:dyDescent="0.25">
      <c r="A1921" t="str">
        <f>"20190312154834857"</f>
        <v>20190312154834857</v>
      </c>
      <c r="B1921" t="str">
        <f>"1552376914848115"</f>
        <v>1552376914848115</v>
      </c>
      <c r="C1921" t="s">
        <v>40</v>
      </c>
      <c r="D1921">
        <v>4.5946470000000001</v>
      </c>
      <c r="E1921">
        <v>0.46040560000000003</v>
      </c>
      <c r="F1921" t="s">
        <v>51</v>
      </c>
      <c r="G1921">
        <v>-297.21050000000002</v>
      </c>
      <c r="H1921" s="1">
        <v>3.8234599999999996E-6</v>
      </c>
      <c r="I1921">
        <v>280.74220000000003</v>
      </c>
      <c r="J1921">
        <v>-255.4469</v>
      </c>
      <c r="K1921">
        <v>1.109372</v>
      </c>
      <c r="L1921">
        <v>282.77409999999998</v>
      </c>
      <c r="M1921">
        <v>-0.99973319999999999</v>
      </c>
      <c r="N1921">
        <v>0</v>
      </c>
      <c r="O1921">
        <v>-1.7871359999999999E-2</v>
      </c>
      <c r="P1921">
        <v>-0.99827630000000001</v>
      </c>
      <c r="Q1921">
        <v>-1.56315E-2</v>
      </c>
      <c r="R1921">
        <v>5.6571860000000002E-2</v>
      </c>
      <c r="S1921">
        <v>-3.012238</v>
      </c>
      <c r="T1921">
        <v>-7.9361199999999896E-2</v>
      </c>
      <c r="U1921">
        <v>-0.14578250000000001</v>
      </c>
      <c r="V1921">
        <v>7.4404529999999997E-2</v>
      </c>
      <c r="W1921">
        <v>-1.0866319999999999E-3</v>
      </c>
      <c r="X1921">
        <v>0.99722750000000004</v>
      </c>
      <c r="Y1921">
        <v>-3.047569E-2</v>
      </c>
      <c r="Z1921" s="1">
        <v>6.931138E-5</v>
      </c>
      <c r="AA1921">
        <v>0.99953550000000002</v>
      </c>
      <c r="AB1921">
        <v>36</v>
      </c>
      <c r="AC1921">
        <v>-41.763599999999997</v>
      </c>
      <c r="AD1921">
        <v>-1.1093681765400001</v>
      </c>
      <c r="AE1921">
        <v>-2.0318999999999501</v>
      </c>
      <c r="AF1921">
        <v>-1.28421916728987</v>
      </c>
      <c r="AG1921">
        <v>-1.1093681765400001</v>
      </c>
      <c r="AH1921">
        <v>41.763846622789899</v>
      </c>
      <c r="AI1921">
        <v>91.520864784976396</v>
      </c>
      <c r="AJ1921">
        <v>91.761264022331204</v>
      </c>
      <c r="AK1921">
        <v>41.798310986841003</v>
      </c>
      <c r="AL1921">
        <v>90.062259442799004</v>
      </c>
      <c r="AM1921">
        <v>85.732988476109796</v>
      </c>
      <c r="AN1921">
        <v>0.99999995080493598</v>
      </c>
    </row>
    <row r="1922" spans="1:40" x14ac:dyDescent="0.25">
      <c r="A1922" t="str">
        <f>"20190312154834878"</f>
        <v>20190312154834878</v>
      </c>
      <c r="B1922" t="str">
        <f>"1552376914867635"</f>
        <v>1552376914867635</v>
      </c>
      <c r="C1922" t="s">
        <v>40</v>
      </c>
      <c r="D1922">
        <v>4.6079350000000003</v>
      </c>
      <c r="E1922">
        <v>0.46029320000000001</v>
      </c>
      <c r="F1922" t="s">
        <v>51</v>
      </c>
      <c r="G1922">
        <v>-297.35129999999998</v>
      </c>
      <c r="H1922" s="1">
        <v>3.8499430000000003E-6</v>
      </c>
      <c r="I1922">
        <v>280.72489999999999</v>
      </c>
      <c r="J1922">
        <v>-255.7944</v>
      </c>
      <c r="K1922">
        <v>1.1093999999999999</v>
      </c>
      <c r="L1922">
        <v>282.7681</v>
      </c>
      <c r="M1922">
        <v>-0.9997374</v>
      </c>
      <c r="N1922">
        <v>0</v>
      </c>
      <c r="O1922">
        <v>-1.762377E-2</v>
      </c>
      <c r="P1922">
        <v>-0.99827949999999999</v>
      </c>
      <c r="Q1922">
        <v>-1.5498649999999999E-2</v>
      </c>
      <c r="R1922">
        <v>5.6550309999999999E-2</v>
      </c>
      <c r="S1922">
        <v>-3.0122680000000002</v>
      </c>
      <c r="T1922">
        <v>-7.9746250000000005E-2</v>
      </c>
      <c r="U1922">
        <v>-0.147308299999999</v>
      </c>
      <c r="V1922">
        <v>7.4136300000000002E-2</v>
      </c>
      <c r="W1922">
        <v>-9.3843490000000002E-4</v>
      </c>
      <c r="X1922">
        <v>0.99724769999999896</v>
      </c>
      <c r="Y1922">
        <v>-3.1227459999999999E-2</v>
      </c>
      <c r="Z1922" s="1">
        <v>5.3154159999999997E-5</v>
      </c>
      <c r="AA1922">
        <v>0.99951230000000002</v>
      </c>
      <c r="AB1922">
        <v>36</v>
      </c>
      <c r="AC1922">
        <v>-41.556899999999899</v>
      </c>
      <c r="AD1922">
        <v>-1.109396150057</v>
      </c>
      <c r="AE1922">
        <v>-2.0432000000000099</v>
      </c>
      <c r="AF1922">
        <v>-1.3094838035985199</v>
      </c>
      <c r="AG1922">
        <v>-1.109396150057</v>
      </c>
      <c r="AH1922">
        <v>41.556912288076603</v>
      </c>
      <c r="AI1922">
        <v>91.528436771639207</v>
      </c>
      <c r="AJ1922">
        <v>91.804827975394005</v>
      </c>
      <c r="AK1922">
        <v>41.592336632708502</v>
      </c>
      <c r="AL1922">
        <v>90.053768365751694</v>
      </c>
      <c r="AM1922">
        <v>85.748400444422202</v>
      </c>
      <c r="AN1922">
        <v>1.0000000233965201</v>
      </c>
    </row>
    <row r="1923" spans="1:40" x14ac:dyDescent="0.25">
      <c r="A1923" t="str">
        <f>"20190312154834890"</f>
        <v>20190312154834890</v>
      </c>
      <c r="B1923" t="str">
        <f>"1552376914877391"</f>
        <v>1552376914877391</v>
      </c>
      <c r="C1923" t="s">
        <v>40</v>
      </c>
      <c r="D1923">
        <v>4.6146900000000004</v>
      </c>
      <c r="E1923">
        <v>0.46024219999999999</v>
      </c>
      <c r="F1923" t="s">
        <v>51</v>
      </c>
      <c r="G1923">
        <v>-297.86989999999997</v>
      </c>
      <c r="H1923" s="1">
        <v>3.9443800000000002E-6</v>
      </c>
      <c r="I1923">
        <v>280.69690000000003</v>
      </c>
      <c r="J1923">
        <v>-255.98249999999999</v>
      </c>
      <c r="K1923">
        <v>1.109407</v>
      </c>
      <c r="L1923">
        <v>282.76490000000001</v>
      </c>
      <c r="M1923">
        <v>-0.9997395</v>
      </c>
      <c r="N1923">
        <v>0</v>
      </c>
      <c r="O1923">
        <v>-1.7493999999999999E-2</v>
      </c>
      <c r="P1923">
        <v>-0.99831409999999998</v>
      </c>
      <c r="Q1923">
        <v>-1.5315280000000001E-2</v>
      </c>
      <c r="R1923">
        <v>5.5987019999999998E-2</v>
      </c>
      <c r="S1923">
        <v>-3.0123289999999998</v>
      </c>
      <c r="T1923">
        <v>-7.9425570000000001E-2</v>
      </c>
      <c r="U1923">
        <v>-0.1482849</v>
      </c>
      <c r="V1923">
        <v>7.3444380000000004E-2</v>
      </c>
      <c r="W1923">
        <v>-7.4694959999999999E-4</v>
      </c>
      <c r="X1923">
        <v>0.99729900000000005</v>
      </c>
      <c r="Y1923">
        <v>-3.1679300000000001E-2</v>
      </c>
      <c r="Z1923" s="1">
        <v>4.3568349999999998E-5</v>
      </c>
      <c r="AA1923">
        <v>0.99949809999999994</v>
      </c>
      <c r="AB1923">
        <v>36</v>
      </c>
      <c r="AC1923">
        <v>-41.8873999999999</v>
      </c>
      <c r="AD1923">
        <v>-1.1094030556200001</v>
      </c>
      <c r="AE1923">
        <v>-2.0679999999999801</v>
      </c>
      <c r="AF1923">
        <v>-1.3338931230440301</v>
      </c>
      <c r="AG1923">
        <v>-1.1094030556200001</v>
      </c>
      <c r="AH1923">
        <v>41.887858180891499</v>
      </c>
      <c r="AI1923">
        <v>91.516360046049002</v>
      </c>
      <c r="AJ1923">
        <v>91.823932554781905</v>
      </c>
      <c r="AK1923">
        <v>41.923772599636102</v>
      </c>
      <c r="AL1923">
        <v>90.042797065060299</v>
      </c>
      <c r="AM1923">
        <v>85.788153366838401</v>
      </c>
      <c r="AN1923">
        <v>0.99999996514414402</v>
      </c>
    </row>
    <row r="1924" spans="1:40" x14ac:dyDescent="0.25">
      <c r="A1924" t="str">
        <f>"20190312154834901"</f>
        <v>20190312154834901</v>
      </c>
      <c r="B1924" t="str">
        <f>"1552376914897887"</f>
        <v>1552376914897887</v>
      </c>
      <c r="C1924" t="s">
        <v>40</v>
      </c>
      <c r="D1924">
        <v>4.611688</v>
      </c>
      <c r="E1924">
        <v>0.46015810000000001</v>
      </c>
      <c r="F1924" t="s">
        <v>51</v>
      </c>
      <c r="G1924">
        <v>-298.1422</v>
      </c>
      <c r="H1924" s="1">
        <v>3.9956789999999998E-6</v>
      </c>
      <c r="I1924">
        <v>280.6626</v>
      </c>
      <c r="J1924">
        <v>-256.1739</v>
      </c>
      <c r="K1924">
        <v>1.1094200000000001</v>
      </c>
      <c r="L1924">
        <v>282.76170000000002</v>
      </c>
      <c r="M1924">
        <v>-0.99974180000000001</v>
      </c>
      <c r="N1924">
        <v>0</v>
      </c>
      <c r="O1924">
        <v>-1.7364810000000001E-2</v>
      </c>
      <c r="P1924">
        <v>-0.99832679999999996</v>
      </c>
      <c r="Q1924">
        <v>-1.518416E-2</v>
      </c>
      <c r="R1924">
        <v>5.579423E-2</v>
      </c>
      <c r="S1924">
        <v>-3.0122990000000001</v>
      </c>
      <c r="T1924">
        <v>-7.9266669999999997E-2</v>
      </c>
      <c r="U1924">
        <v>-0.15020749999999999</v>
      </c>
      <c r="V1924">
        <v>7.3122950000000006E-2</v>
      </c>
      <c r="W1924">
        <v>-6.0906090000000001E-4</v>
      </c>
      <c r="X1924">
        <v>0.99732270000000001</v>
      </c>
      <c r="Y1924">
        <v>-3.2445040000000001E-2</v>
      </c>
      <c r="Z1924" s="1">
        <v>3.001708E-5</v>
      </c>
      <c r="AA1924">
        <v>0.99947350000000001</v>
      </c>
      <c r="AB1924">
        <v>36</v>
      </c>
      <c r="AC1924">
        <v>-41.968299999999999</v>
      </c>
      <c r="AD1924">
        <v>-1.109416004321</v>
      </c>
      <c r="AE1924">
        <v>-2.0991000000000199</v>
      </c>
      <c r="AF1924">
        <v>-1.36897935273314</v>
      </c>
      <c r="AG1924">
        <v>-1.109416004321</v>
      </c>
      <c r="AH1924">
        <v>41.969170647973598</v>
      </c>
      <c r="AI1924">
        <v>91.513403509701803</v>
      </c>
      <c r="AJ1924">
        <v>91.868250845595199</v>
      </c>
      <c r="AK1924">
        <v>42.006144707858802</v>
      </c>
      <c r="AL1924">
        <v>90.034896622856607</v>
      </c>
      <c r="AM1924">
        <v>85.806619947334397</v>
      </c>
      <c r="AN1924">
        <v>0.99999995235358496</v>
      </c>
    </row>
    <row r="1925" spans="1:40" x14ac:dyDescent="0.25">
      <c r="A1925" t="str">
        <f>"20190312154834924"</f>
        <v>20190312154834924</v>
      </c>
      <c r="B1925" t="str">
        <f>"1552376914917408"</f>
        <v>1552376914917408</v>
      </c>
      <c r="C1925" t="s">
        <v>40</v>
      </c>
      <c r="D1925">
        <v>4.7784190000000004</v>
      </c>
      <c r="E1925">
        <v>0.46031100000000003</v>
      </c>
      <c r="F1925" t="s">
        <v>51</v>
      </c>
      <c r="G1925">
        <v>-298.32589999999999</v>
      </c>
      <c r="H1925" s="1">
        <v>4.0300450000000001E-6</v>
      </c>
      <c r="I1925">
        <v>280.6422</v>
      </c>
      <c r="J1925">
        <v>-256.51929999999999</v>
      </c>
      <c r="K1925">
        <v>1.1094409999999999</v>
      </c>
      <c r="L1925">
        <v>282.7559</v>
      </c>
      <c r="M1925">
        <v>-0.99974549999999995</v>
      </c>
      <c r="N1925">
        <v>0</v>
      </c>
      <c r="O1925">
        <v>-1.7134940000000001E-2</v>
      </c>
      <c r="P1925">
        <v>-0.99837430000000005</v>
      </c>
      <c r="Q1925">
        <v>-1.467831E-2</v>
      </c>
      <c r="R1925">
        <v>5.5075899999999997E-2</v>
      </c>
      <c r="S1925">
        <v>-3.0122990000000001</v>
      </c>
      <c r="T1925">
        <v>-7.928193E-2</v>
      </c>
      <c r="U1925">
        <v>-0.1514587</v>
      </c>
      <c r="V1925">
        <v>7.2176799999999999E-2</v>
      </c>
      <c r="W1925" s="1">
        <v>-9.2227710000000005E-5</v>
      </c>
      <c r="X1925">
        <v>0.9973919</v>
      </c>
      <c r="Y1925">
        <v>-3.3088640000000002E-2</v>
      </c>
      <c r="Z1925" s="1">
        <v>1.551592E-5</v>
      </c>
      <c r="AA1925">
        <v>0.99945240000000002</v>
      </c>
      <c r="AB1925">
        <v>36</v>
      </c>
      <c r="AC1925">
        <v>-41.806600000000003</v>
      </c>
      <c r="AD1925">
        <v>-1.109436969955</v>
      </c>
      <c r="AE1925">
        <v>-2.1136999999999899</v>
      </c>
      <c r="AF1925">
        <v>-1.3959783061784301</v>
      </c>
      <c r="AG1925">
        <v>-1.109436969955</v>
      </c>
      <c r="AH1925">
        <v>41.807315943411602</v>
      </c>
      <c r="AI1925">
        <v>91.519249870113597</v>
      </c>
      <c r="AJ1925">
        <v>91.912439427212306</v>
      </c>
      <c r="AK1925">
        <v>41.845325571846899</v>
      </c>
      <c r="AL1925">
        <v>90.005284258277399</v>
      </c>
      <c r="AM1925">
        <v>85.860975152759096</v>
      </c>
      <c r="AN1925">
        <v>1.0000000505748901</v>
      </c>
    </row>
    <row r="1926" spans="1:40" x14ac:dyDescent="0.25">
      <c r="A1926" t="str">
        <f>"20190312154834936"</f>
        <v>20190312154834936</v>
      </c>
      <c r="B1926" t="str">
        <f>"1552376914928144"</f>
        <v>1552376914928144</v>
      </c>
      <c r="C1926" t="s">
        <v>40</v>
      </c>
      <c r="D1926">
        <v>4.6760519999999897</v>
      </c>
      <c r="E1926">
        <v>0.47423320000000002</v>
      </c>
      <c r="F1926" t="s">
        <v>51</v>
      </c>
      <c r="G1926">
        <v>-299.37439999999998</v>
      </c>
      <c r="H1926" s="1">
        <v>4.2210879999999998E-6</v>
      </c>
      <c r="I1926">
        <v>280.58449999999999</v>
      </c>
      <c r="J1926">
        <v>-256.7303</v>
      </c>
      <c r="K1926">
        <v>1.10945</v>
      </c>
      <c r="L1926">
        <v>282.75240000000002</v>
      </c>
      <c r="M1926">
        <v>-0.99974810000000003</v>
      </c>
      <c r="N1926">
        <v>0</v>
      </c>
      <c r="O1926">
        <v>-1.6995929999999999E-2</v>
      </c>
      <c r="P1926">
        <v>-0.99838490000000002</v>
      </c>
      <c r="Q1926">
        <v>-1.485123E-2</v>
      </c>
      <c r="R1926">
        <v>5.4840600000000003E-2</v>
      </c>
      <c r="S1926">
        <v>-3.0121150000000001</v>
      </c>
      <c r="T1926">
        <v>-7.7977900000000003E-2</v>
      </c>
      <c r="U1926">
        <v>-0.15261839999999999</v>
      </c>
      <c r="V1926">
        <v>7.1802889999999994E-2</v>
      </c>
      <c r="W1926">
        <v>-2.5989930000000001E-4</v>
      </c>
      <c r="X1926">
        <v>0.99741880000000005</v>
      </c>
      <c r="Y1926">
        <v>-3.3614430000000001E-2</v>
      </c>
      <c r="Z1926" s="1">
        <v>4.8657529999999998E-6</v>
      </c>
      <c r="AA1926">
        <v>0.99943490000000001</v>
      </c>
      <c r="AB1926">
        <v>36</v>
      </c>
      <c r="AC1926">
        <v>-42.644099999999902</v>
      </c>
      <c r="AD1926">
        <v>-1.109445778912</v>
      </c>
      <c r="AE1926">
        <v>-2.1679000000000301</v>
      </c>
      <c r="AF1926">
        <v>-1.4417594358816099</v>
      </c>
      <c r="AG1926">
        <v>-1.109445778912</v>
      </c>
      <c r="AH1926">
        <v>42.645997886613202</v>
      </c>
      <c r="AI1926">
        <v>91.489376683199097</v>
      </c>
      <c r="AJ1926">
        <v>91.936296123609395</v>
      </c>
      <c r="AK1926">
        <v>42.684782721156303</v>
      </c>
      <c r="AL1926">
        <v>90.014891133266502</v>
      </c>
      <c r="AM1926">
        <v>85.882453986490901</v>
      </c>
      <c r="AN1926">
        <v>0.99999999257671901</v>
      </c>
    </row>
    <row r="1927" spans="1:40" x14ac:dyDescent="0.25">
      <c r="A1927" t="str">
        <f>"20190312154834957"</f>
        <v>20190312154834957</v>
      </c>
      <c r="B1927" t="str">
        <f>"1552376914947667"</f>
        <v>1552376914947667</v>
      </c>
      <c r="C1927" t="s">
        <v>40</v>
      </c>
      <c r="D1927">
        <v>4.6766500000000004</v>
      </c>
      <c r="E1927">
        <v>0.475379</v>
      </c>
      <c r="F1927" t="s">
        <v>51</v>
      </c>
      <c r="G1927">
        <v>-289.47890000000001</v>
      </c>
      <c r="H1927" s="1">
        <v>4.6816850000000002E-6</v>
      </c>
      <c r="I1927">
        <v>282.27929999999998</v>
      </c>
      <c r="J1927">
        <v>-257.05419999999998</v>
      </c>
      <c r="K1927">
        <v>1.109461</v>
      </c>
      <c r="L1927">
        <v>282.74720000000002</v>
      </c>
      <c r="M1927">
        <v>-0.99975139999999996</v>
      </c>
      <c r="N1927">
        <v>0</v>
      </c>
      <c r="O1927">
        <v>-1.678209E-2</v>
      </c>
      <c r="P1927">
        <v>-0.99839029999999995</v>
      </c>
      <c r="Q1927">
        <v>-1.5106090000000001E-2</v>
      </c>
      <c r="R1927">
        <v>5.4671009999999999E-2</v>
      </c>
      <c r="S1927">
        <v>-3.0057369999999999</v>
      </c>
      <c r="T1927">
        <v>-0.1018276</v>
      </c>
      <c r="U1927">
        <v>-4.3426510000000001E-2</v>
      </c>
      <c r="V1927">
        <v>7.1419949999999996E-2</v>
      </c>
      <c r="W1927">
        <v>-5.0793589999999895E-4</v>
      </c>
      <c r="X1927">
        <v>0.99744619999999995</v>
      </c>
      <c r="Y1927">
        <v>2.3268590000000001E-3</v>
      </c>
      <c r="Z1927">
        <v>6.0777209999999995E-4</v>
      </c>
      <c r="AA1927">
        <v>0.99999709999999997</v>
      </c>
      <c r="AB1927">
        <v>36</v>
      </c>
      <c r="AC1927">
        <v>-32.424700000000001</v>
      </c>
      <c r="AD1927">
        <v>-1.1094563183149999</v>
      </c>
      <c r="AE1927">
        <v>-0.467900000000042</v>
      </c>
      <c r="AF1927">
        <v>7.6289485599252305E-2</v>
      </c>
      <c r="AG1927">
        <v>-1.1094563183149999</v>
      </c>
      <c r="AH1927">
        <v>32.3900726980022</v>
      </c>
      <c r="AI1927">
        <v>91.961778417548203</v>
      </c>
      <c r="AJ1927">
        <v>89.865049470439203</v>
      </c>
      <c r="AK1927">
        <v>32.409158008034197</v>
      </c>
      <c r="AL1927">
        <v>90.029102584742404</v>
      </c>
      <c r="AM1927">
        <v>85.904450926659905</v>
      </c>
      <c r="AN1927">
        <v>0.99999999457566002</v>
      </c>
    </row>
    <row r="1928" spans="1:40" x14ac:dyDescent="0.25">
      <c r="A1928" t="str">
        <f>"20190312154834979"</f>
        <v>20190312154834979</v>
      </c>
      <c r="B1928" t="str">
        <f>"1552376914968163"</f>
        <v>1552376914968163</v>
      </c>
      <c r="C1928" t="s">
        <v>40</v>
      </c>
      <c r="D1928">
        <v>4.6914030000000002</v>
      </c>
      <c r="E1928">
        <v>0.47589480000000001</v>
      </c>
      <c r="F1928" t="s">
        <v>51</v>
      </c>
      <c r="G1928">
        <v>-291.452</v>
      </c>
      <c r="H1928" s="1">
        <v>2.6611100000000001E-6</v>
      </c>
      <c r="I1928">
        <v>282.35390000000001</v>
      </c>
      <c r="J1928">
        <v>-257.41309999999999</v>
      </c>
      <c r="K1928">
        <v>1.109469</v>
      </c>
      <c r="L1928">
        <v>282.7414</v>
      </c>
      <c r="M1928">
        <v>-0.99975530000000001</v>
      </c>
      <c r="N1928">
        <v>0</v>
      </c>
      <c r="O1928">
        <v>-1.6544280000000001E-2</v>
      </c>
      <c r="P1928">
        <v>-0.99838700000000002</v>
      </c>
      <c r="Q1928">
        <v>-1.5202500000000001E-2</v>
      </c>
      <c r="R1928">
        <v>5.4704639999999999E-2</v>
      </c>
      <c r="S1928">
        <v>-3.0052490000000001</v>
      </c>
      <c r="T1928">
        <v>-9.6930500000000003E-2</v>
      </c>
      <c r="U1928">
        <v>-3.4362789999999997E-2</v>
      </c>
      <c r="V1928">
        <v>7.1216189999999999E-2</v>
      </c>
      <c r="W1928">
        <v>-5.9855569999999999E-4</v>
      </c>
      <c r="X1928">
        <v>0.99746069999999998</v>
      </c>
      <c r="Y1928">
        <v>5.101787E-3</v>
      </c>
      <c r="Z1928">
        <v>6.1573719999999995E-4</v>
      </c>
      <c r="AA1928">
        <v>0.99998679999999995</v>
      </c>
      <c r="AB1928">
        <v>36</v>
      </c>
      <c r="AC1928">
        <v>-34.038899999999998</v>
      </c>
      <c r="AD1928">
        <v>-1.1094663388899999</v>
      </c>
      <c r="AE1928">
        <v>-0.38749999999998802</v>
      </c>
      <c r="AF1928">
        <v>0.17557636086446399</v>
      </c>
      <c r="AG1928">
        <v>-1.1094663388899999</v>
      </c>
      <c r="AH1928">
        <v>34.004530996719502</v>
      </c>
      <c r="AI1928">
        <v>91.868702446588799</v>
      </c>
      <c r="AJ1928">
        <v>89.704166039973103</v>
      </c>
      <c r="AK1928">
        <v>34.023078504486897</v>
      </c>
      <c r="AL1928">
        <v>90.034294718283803</v>
      </c>
      <c r="AM1928">
        <v>85.916155039057401</v>
      </c>
      <c r="AN1928">
        <v>0.99999997601576496</v>
      </c>
    </row>
    <row r="1929" spans="1:40" x14ac:dyDescent="0.25">
      <c r="A1929" t="str">
        <f>"20190312154835004"</f>
        <v>20190312154835004</v>
      </c>
      <c r="B1929" t="str">
        <f>"1552376914997440"</f>
        <v>1552376914997440</v>
      </c>
      <c r="C1929" t="s">
        <v>40</v>
      </c>
      <c r="D1929">
        <v>4.6756479999999998</v>
      </c>
      <c r="E1929">
        <v>0.47600029999999999</v>
      </c>
      <c r="F1929" t="s">
        <v>51</v>
      </c>
      <c r="G1929">
        <v>-293.29059999999998</v>
      </c>
      <c r="H1929" s="1">
        <v>2.9847770000000002E-6</v>
      </c>
      <c r="I1929">
        <v>282.38209999999998</v>
      </c>
      <c r="J1929">
        <v>-257.79149999999998</v>
      </c>
      <c r="K1929">
        <v>1.1094729999999999</v>
      </c>
      <c r="L1929">
        <v>282.73540000000003</v>
      </c>
      <c r="M1929">
        <v>-0.99975939999999996</v>
      </c>
      <c r="N1929">
        <v>0</v>
      </c>
      <c r="O1929">
        <v>-1.6292500000000001E-2</v>
      </c>
      <c r="P1929">
        <v>-0.99838329999999997</v>
      </c>
      <c r="Q1929">
        <v>-1.527181E-2</v>
      </c>
      <c r="R1929">
        <v>5.4751670000000002E-2</v>
      </c>
      <c r="S1929">
        <v>-3.005096</v>
      </c>
      <c r="T1929">
        <v>-9.2928529999999995E-2</v>
      </c>
      <c r="U1929">
        <v>-3.0090329999999998E-2</v>
      </c>
      <c r="V1929">
        <v>7.1011920000000006E-2</v>
      </c>
      <c r="W1929">
        <v>-6.631807E-4</v>
      </c>
      <c r="X1929">
        <v>0.99747529999999995</v>
      </c>
      <c r="Y1929">
        <v>6.2713909999999899E-3</v>
      </c>
      <c r="Z1929">
        <v>6.0065949999999998E-4</v>
      </c>
      <c r="AA1929">
        <v>0.99998019999999999</v>
      </c>
      <c r="AB1929">
        <v>36</v>
      </c>
      <c r="AC1929">
        <v>-35.499099999999999</v>
      </c>
      <c r="AD1929">
        <v>-1.1094700152229999</v>
      </c>
      <c r="AE1929">
        <v>-0.35330000000004702</v>
      </c>
      <c r="AF1929">
        <v>0.22495866393292699</v>
      </c>
      <c r="AG1929">
        <v>-1.1094700152229999</v>
      </c>
      <c r="AH1929">
        <v>35.465505351599802</v>
      </c>
      <c r="AI1929">
        <v>91.791767715789305</v>
      </c>
      <c r="AJ1929">
        <v>89.636576187944797</v>
      </c>
      <c r="AK1929">
        <v>35.483568027461899</v>
      </c>
      <c r="AL1929">
        <v>90.037997455922607</v>
      </c>
      <c r="AM1929">
        <v>85.927888706528194</v>
      </c>
      <c r="AN1929">
        <v>1.0000000533504001</v>
      </c>
    </row>
    <row r="1930" spans="1:40" x14ac:dyDescent="0.25">
      <c r="A1930" t="str">
        <f>"20190312154835025"</f>
        <v>20190312154835025</v>
      </c>
      <c r="B1930" t="str">
        <f>"1552376915017936"</f>
        <v>1552376915017936</v>
      </c>
      <c r="C1930" t="s">
        <v>40</v>
      </c>
      <c r="D1930">
        <v>4.6953230000000001</v>
      </c>
      <c r="E1930">
        <v>0.47606320000000002</v>
      </c>
      <c r="F1930" t="s">
        <v>51</v>
      </c>
      <c r="G1930">
        <v>-293.09750000000003</v>
      </c>
      <c r="H1930" s="1">
        <v>2.9493150000000001E-6</v>
      </c>
      <c r="I1930">
        <v>282.39580000000001</v>
      </c>
      <c r="J1930">
        <v>-258.13920000000002</v>
      </c>
      <c r="K1930">
        <v>1.109486</v>
      </c>
      <c r="L1930">
        <v>282.72989999999999</v>
      </c>
      <c r="M1930">
        <v>-0.99976319999999996</v>
      </c>
      <c r="N1930">
        <v>0</v>
      </c>
      <c r="O1930">
        <v>-1.6059540000000001E-2</v>
      </c>
      <c r="P1930">
        <v>-0.99837319999999996</v>
      </c>
      <c r="Q1930">
        <v>-1.5328690000000001E-2</v>
      </c>
      <c r="R1930">
        <v>5.4920730000000001E-2</v>
      </c>
      <c r="S1930">
        <v>-3.0049739999999998</v>
      </c>
      <c r="T1930">
        <v>-9.4429609999999997E-2</v>
      </c>
      <c r="U1930">
        <v>-2.8900149999999999E-2</v>
      </c>
      <c r="V1930">
        <v>7.0948319999999995E-2</v>
      </c>
      <c r="W1930">
        <v>-7.1705E-4</v>
      </c>
      <c r="X1930">
        <v>0.99747969999999997</v>
      </c>
      <c r="Y1930">
        <v>6.4336760000000002E-3</v>
      </c>
      <c r="Z1930">
        <v>6.0561410000000001E-4</v>
      </c>
      <c r="AA1930">
        <v>0.99997910000000001</v>
      </c>
      <c r="AB1930">
        <v>36</v>
      </c>
      <c r="AC1930">
        <v>-34.958300000000001</v>
      </c>
      <c r="AD1930">
        <v>-1.109483050685</v>
      </c>
      <c r="AE1930">
        <v>-0.33409999999997803</v>
      </c>
      <c r="AF1930">
        <v>0.22718903594105599</v>
      </c>
      <c r="AG1930">
        <v>-1.109483050685</v>
      </c>
      <c r="AH1930">
        <v>34.923982531995399</v>
      </c>
      <c r="AI1930">
        <v>91.819551368297894</v>
      </c>
      <c r="AJ1930">
        <v>89.627282218300607</v>
      </c>
      <c r="AK1930">
        <v>34.942339981645901</v>
      </c>
      <c r="AL1930">
        <v>90.041083943654598</v>
      </c>
      <c r="AM1930">
        <v>85.931541421953199</v>
      </c>
      <c r="AN1930">
        <v>0.999999965091806</v>
      </c>
    </row>
    <row r="1931" spans="1:40" x14ac:dyDescent="0.25">
      <c r="A1931" t="str">
        <f>"20190312154835048"</f>
        <v>20190312154835048</v>
      </c>
      <c r="B1931" t="str">
        <f>"1552376915037456"</f>
        <v>1552376915037456</v>
      </c>
      <c r="C1931" t="s">
        <v>40</v>
      </c>
      <c r="D1931">
        <v>4.7265810000000004</v>
      </c>
      <c r="E1931">
        <v>0.47590159999999998</v>
      </c>
      <c r="F1931" t="s">
        <v>51</v>
      </c>
      <c r="G1931">
        <v>-293.2713</v>
      </c>
      <c r="H1931" s="1">
        <v>2.979728E-6</v>
      </c>
      <c r="I1931">
        <v>282.4006</v>
      </c>
      <c r="J1931">
        <v>-258.49849999999998</v>
      </c>
      <c r="K1931">
        <v>1.1094949999999999</v>
      </c>
      <c r="L1931">
        <v>282.7244</v>
      </c>
      <c r="M1931">
        <v>-0.99976690000000001</v>
      </c>
      <c r="N1931">
        <v>0</v>
      </c>
      <c r="O1931">
        <v>-1.5818329999999999E-2</v>
      </c>
      <c r="P1931">
        <v>-0.99837359999999997</v>
      </c>
      <c r="Q1931">
        <v>-1.524056E-2</v>
      </c>
      <c r="R1931">
        <v>5.4937079999999999E-2</v>
      </c>
      <c r="S1931">
        <v>-3.0049739999999998</v>
      </c>
      <c r="T1931">
        <v>-9.4897990000000002E-2</v>
      </c>
      <c r="U1931">
        <v>-2.816772E-2</v>
      </c>
      <c r="V1931">
        <v>7.0724170000000003E-2</v>
      </c>
      <c r="W1931">
        <v>-6.2646700000000002E-4</v>
      </c>
      <c r="X1931">
        <v>0.99749569999999999</v>
      </c>
      <c r="Y1931">
        <v>6.43613E-3</v>
      </c>
      <c r="Z1931">
        <v>6.0104099999999997E-4</v>
      </c>
      <c r="AA1931">
        <v>0.99997910000000001</v>
      </c>
      <c r="AB1931">
        <v>36</v>
      </c>
      <c r="AC1931">
        <v>-34.772799999999997</v>
      </c>
      <c r="AD1931">
        <v>-1.109492020272</v>
      </c>
      <c r="AE1931">
        <v>-0.32380000000000497</v>
      </c>
      <c r="AF1931">
        <v>0.22611736290781101</v>
      </c>
      <c r="AG1931">
        <v>-1.109492020272</v>
      </c>
      <c r="AH1931">
        <v>34.738208737418503</v>
      </c>
      <c r="AI1931">
        <v>91.829290145388995</v>
      </c>
      <c r="AJ1931">
        <v>89.627056544616494</v>
      </c>
      <c r="AK1931">
        <v>34.7566576052605</v>
      </c>
      <c r="AL1931">
        <v>90.035893917950901</v>
      </c>
      <c r="AM1931">
        <v>85.944416950300905</v>
      </c>
      <c r="AN1931">
        <v>0.99999998610078999</v>
      </c>
    </row>
    <row r="1932" spans="1:40" x14ac:dyDescent="0.25">
      <c r="A1932" t="str">
        <f>"20190312154835068"</f>
        <v>20190312154835068</v>
      </c>
      <c r="B1932" t="str">
        <f>"1552376915057952"</f>
        <v>1552376915057952</v>
      </c>
      <c r="C1932" t="s">
        <v>40</v>
      </c>
      <c r="D1932">
        <v>4.736224</v>
      </c>
      <c r="E1932">
        <v>0.47593400000000002</v>
      </c>
      <c r="F1932" t="s">
        <v>51</v>
      </c>
      <c r="G1932">
        <v>-294.57839999999999</v>
      </c>
      <c r="H1932" s="1">
        <v>3.2137089999999999E-6</v>
      </c>
      <c r="I1932">
        <v>282.37630000000001</v>
      </c>
      <c r="J1932">
        <v>-258.82740000000001</v>
      </c>
      <c r="K1932">
        <v>1.109502</v>
      </c>
      <c r="L1932">
        <v>282.71940000000001</v>
      </c>
      <c r="M1932">
        <v>-0.99977050000000001</v>
      </c>
      <c r="N1932">
        <v>0</v>
      </c>
      <c r="O1932">
        <v>-1.559748E-2</v>
      </c>
      <c r="P1932">
        <v>-0.99837889999999996</v>
      </c>
      <c r="Q1932">
        <v>-1.51621E-2</v>
      </c>
      <c r="R1932">
        <v>5.4863969999999998E-2</v>
      </c>
      <c r="S1932">
        <v>-3.0050659999999998</v>
      </c>
      <c r="T1932">
        <v>-9.2408779999999996E-2</v>
      </c>
      <c r="U1932">
        <v>-2.8991699999999999E-2</v>
      </c>
      <c r="V1932">
        <v>7.0430899999999894E-2</v>
      </c>
      <c r="W1932">
        <v>-5.4651649999999999E-4</v>
      </c>
      <c r="X1932">
        <v>0.99751650000000003</v>
      </c>
      <c r="Y1932">
        <v>5.942269E-3</v>
      </c>
      <c r="Z1932">
        <v>5.708833E-4</v>
      </c>
      <c r="AA1932">
        <v>0.99998220000000004</v>
      </c>
      <c r="AB1932">
        <v>36</v>
      </c>
      <c r="AC1932">
        <v>-35.750999999999898</v>
      </c>
      <c r="AD1932">
        <v>-1.109498786291</v>
      </c>
      <c r="AE1932">
        <v>-0.34309999999999202</v>
      </c>
      <c r="AF1932">
        <v>0.21442090153437801</v>
      </c>
      <c r="AG1932">
        <v>-1.109498786291</v>
      </c>
      <c r="AH1932">
        <v>35.717605169235703</v>
      </c>
      <c r="AI1932">
        <v>91.779179163662604</v>
      </c>
      <c r="AJ1932">
        <v>89.656044545576194</v>
      </c>
      <c r="AK1932">
        <v>35.735476531105697</v>
      </c>
      <c r="AL1932">
        <v>90.031313090785403</v>
      </c>
      <c r="AM1932">
        <v>85.961262295640594</v>
      </c>
      <c r="AN1932">
        <v>0.99999998906367205</v>
      </c>
    </row>
    <row r="1933" spans="1:40" x14ac:dyDescent="0.25">
      <c r="A1933" t="str">
        <f>"20190312154835091"</f>
        <v>20190312154835091</v>
      </c>
      <c r="B1933" t="str">
        <f>"1552376915088208"</f>
        <v>1552376915088208</v>
      </c>
      <c r="C1933" t="s">
        <v>40</v>
      </c>
      <c r="D1933">
        <v>4.7754289999999999</v>
      </c>
      <c r="E1933">
        <v>0.47546729999999998</v>
      </c>
      <c r="F1933" t="s">
        <v>51</v>
      </c>
      <c r="G1933">
        <v>-293.90820000000002</v>
      </c>
      <c r="H1933" s="1">
        <v>3.0948279999999999E-6</v>
      </c>
      <c r="I1933">
        <v>282.37630000000001</v>
      </c>
      <c r="J1933">
        <v>-259.18959999999998</v>
      </c>
      <c r="K1933">
        <v>1.10951</v>
      </c>
      <c r="L1933">
        <v>282.714</v>
      </c>
      <c r="M1933">
        <v>-0.9997741</v>
      </c>
      <c r="N1933">
        <v>0</v>
      </c>
      <c r="O1933">
        <v>-1.5354329999999999E-2</v>
      </c>
      <c r="P1933">
        <v>-0.99841219999999997</v>
      </c>
      <c r="Q1933">
        <v>-1.477848E-2</v>
      </c>
      <c r="R1933">
        <v>5.4358320000000002E-2</v>
      </c>
      <c r="S1933">
        <v>-3.0050349999999999</v>
      </c>
      <c r="T1933">
        <v>-9.5040200000000005E-2</v>
      </c>
      <c r="U1933">
        <v>-2.938843E-2</v>
      </c>
      <c r="V1933">
        <v>6.9683490000000001E-2</v>
      </c>
      <c r="W1933">
        <v>-1.6141739999999999E-4</v>
      </c>
      <c r="X1933">
        <v>0.99756909999999999</v>
      </c>
      <c r="Y1933">
        <v>5.5666869999999999E-3</v>
      </c>
      <c r="Z1933">
        <v>5.7351180000000002E-4</v>
      </c>
      <c r="AA1933">
        <v>0.99998430000000005</v>
      </c>
      <c r="AB1933">
        <v>36</v>
      </c>
      <c r="AC1933">
        <v>-34.718600000000002</v>
      </c>
      <c r="AD1933">
        <v>-1.1095069051719999</v>
      </c>
      <c r="AE1933">
        <v>-0.33769999999998301</v>
      </c>
      <c r="AF1933">
        <v>0.19527882886101799</v>
      </c>
      <c r="AG1933">
        <v>-1.1095069051719999</v>
      </c>
      <c r="AH1933">
        <v>34.684273789758798</v>
      </c>
      <c r="AI1933">
        <v>91.8321671330296</v>
      </c>
      <c r="AJ1933">
        <v>89.677417651320795</v>
      </c>
      <c r="AK1933">
        <v>34.7025645697342</v>
      </c>
      <c r="AL1933">
        <v>90.009248536151006</v>
      </c>
      <c r="AM1933">
        <v>86.004191656970804</v>
      </c>
      <c r="AN1933">
        <v>0.99999996205448205</v>
      </c>
    </row>
    <row r="1934" spans="1:40" x14ac:dyDescent="0.25">
      <c r="A1934" t="str">
        <f>"20190312154835114"</f>
        <v>20190312154835114</v>
      </c>
      <c r="B1934" t="str">
        <f>"1552376915108237"</f>
        <v>1552376915108237</v>
      </c>
      <c r="C1934" t="s">
        <v>40</v>
      </c>
      <c r="D1934">
        <v>4.8122049999999996</v>
      </c>
      <c r="E1934">
        <v>0.47532170000000001</v>
      </c>
      <c r="F1934" t="s">
        <v>51</v>
      </c>
      <c r="G1934">
        <v>-292.05489999999998</v>
      </c>
      <c r="H1934" s="1">
        <v>2.7699060000000001E-6</v>
      </c>
      <c r="I1934">
        <v>282.33249999999998</v>
      </c>
      <c r="J1934">
        <v>-259.54360000000003</v>
      </c>
      <c r="K1934">
        <v>1.1095170000000001</v>
      </c>
      <c r="L1934">
        <v>282.7088</v>
      </c>
      <c r="M1934">
        <v>-0.9997779</v>
      </c>
      <c r="N1934">
        <v>0</v>
      </c>
      <c r="O1934">
        <v>-1.511581E-2</v>
      </c>
      <c r="P1934">
        <v>-0.99842869999999995</v>
      </c>
      <c r="Q1934">
        <v>-1.422201E-2</v>
      </c>
      <c r="R1934">
        <v>5.420266E-2</v>
      </c>
      <c r="S1934">
        <v>-3.005188</v>
      </c>
      <c r="T1934">
        <v>-0.1014531</v>
      </c>
      <c r="U1934">
        <v>-3.4881589999999997E-2</v>
      </c>
      <c r="V1934">
        <v>6.9290320000000002E-2</v>
      </c>
      <c r="W1934">
        <v>3.9559980000000001E-4</v>
      </c>
      <c r="X1934">
        <v>0.99759640000000005</v>
      </c>
      <c r="Y1934">
        <v>3.500806E-3</v>
      </c>
      <c r="Z1934">
        <v>5.6923990000000001E-4</v>
      </c>
      <c r="AA1934">
        <v>0.99999369999999999</v>
      </c>
      <c r="AB1934">
        <v>36</v>
      </c>
      <c r="AC1934">
        <v>-32.511299999999899</v>
      </c>
      <c r="AD1934">
        <v>-1.109514230094</v>
      </c>
      <c r="AE1934">
        <v>-0.37630000000001401</v>
      </c>
      <c r="AF1934">
        <v>0.115096606226574</v>
      </c>
      <c r="AG1934">
        <v>-1.109514230094</v>
      </c>
      <c r="AH1934">
        <v>32.475455845899397</v>
      </c>
      <c r="AI1934">
        <v>91.956719801059506</v>
      </c>
      <c r="AJ1934">
        <v>89.7969382725896</v>
      </c>
      <c r="AK1934">
        <v>32.494607267276002</v>
      </c>
      <c r="AL1934">
        <v>89.977333799157904</v>
      </c>
      <c r="AM1934">
        <v>86.026772879752201</v>
      </c>
      <c r="AN1934">
        <v>0.99999994111892998</v>
      </c>
    </row>
    <row r="1935" spans="1:40" x14ac:dyDescent="0.25">
      <c r="A1935" t="str">
        <f>"20190312154835125"</f>
        <v>20190312154835125</v>
      </c>
      <c r="B1935" t="str">
        <f>"1552376915117997"</f>
        <v>1552376915117997</v>
      </c>
      <c r="C1935" t="s">
        <v>40</v>
      </c>
      <c r="D1935">
        <v>4.7817249999999998</v>
      </c>
      <c r="E1935">
        <v>0.47533069999999999</v>
      </c>
      <c r="F1935" t="s">
        <v>51</v>
      </c>
      <c r="G1935">
        <v>-291.54430000000002</v>
      </c>
      <c r="H1935" s="1">
        <v>2.6803739999999999E-6</v>
      </c>
      <c r="I1935">
        <v>282.32080000000002</v>
      </c>
      <c r="J1935">
        <v>-259.7287</v>
      </c>
      <c r="K1935">
        <v>1.109523</v>
      </c>
      <c r="L1935">
        <v>282.70609999999999</v>
      </c>
      <c r="M1935">
        <v>-0.99977959999999999</v>
      </c>
      <c r="N1935">
        <v>0</v>
      </c>
      <c r="O1935">
        <v>-1.4990409999999999E-2</v>
      </c>
      <c r="P1935">
        <v>-0.99843369999999998</v>
      </c>
      <c r="Q1935">
        <v>-1.4015039999999999E-2</v>
      </c>
      <c r="R1935">
        <v>5.4165360000000003E-2</v>
      </c>
      <c r="S1935">
        <v>-3.0052490000000001</v>
      </c>
      <c r="T1935">
        <v>-0.1041967</v>
      </c>
      <c r="U1935">
        <v>-3.6437990000000003E-2</v>
      </c>
      <c r="V1935">
        <v>6.9128389999999998E-2</v>
      </c>
      <c r="W1935">
        <v>6.0254739999999996E-4</v>
      </c>
      <c r="X1935">
        <v>0.99760760000000004</v>
      </c>
      <c r="Y1935">
        <v>2.8576790000000001E-3</v>
      </c>
      <c r="Z1935">
        <v>5.6911899999999998E-4</v>
      </c>
      <c r="AA1935">
        <v>0.99999579999999999</v>
      </c>
      <c r="AB1935">
        <v>35</v>
      </c>
      <c r="AC1935">
        <v>-31.8156</v>
      </c>
      <c r="AD1935">
        <v>-1.109520319626</v>
      </c>
      <c r="AE1935">
        <v>-0.385299999999972</v>
      </c>
      <c r="AF1935">
        <v>9.1612318214195507E-2</v>
      </c>
      <c r="AG1935">
        <v>-1.109520319626</v>
      </c>
      <c r="AH1935">
        <v>31.7791579408382</v>
      </c>
      <c r="AI1935">
        <v>91.999573333087397</v>
      </c>
      <c r="AJ1935">
        <v>89.834829335174106</v>
      </c>
      <c r="AK1935">
        <v>31.798652606443099</v>
      </c>
      <c r="AL1935">
        <v>89.965476575295895</v>
      </c>
      <c r="AM1935">
        <v>86.036072952342394</v>
      </c>
      <c r="AN1935">
        <v>1.0000000104725599</v>
      </c>
    </row>
    <row r="1936" spans="1:40" x14ac:dyDescent="0.25">
      <c r="A1936" t="str">
        <f>"20190312154835138"</f>
        <v>20190312154835138</v>
      </c>
      <c r="B1936" t="str">
        <f>"1552376915127757"</f>
        <v>1552376915127757</v>
      </c>
      <c r="C1936" t="s">
        <v>40</v>
      </c>
      <c r="D1936">
        <v>4.7893800000000004</v>
      </c>
      <c r="E1936">
        <v>0.47533069999999999</v>
      </c>
      <c r="F1936" t="s">
        <v>51</v>
      </c>
      <c r="G1936">
        <v>-291.9228</v>
      </c>
      <c r="H1936" s="1">
        <v>2.7479750000000001E-6</v>
      </c>
      <c r="I1936">
        <v>282.31540000000001</v>
      </c>
      <c r="J1936">
        <v>-259.93630000000002</v>
      </c>
      <c r="K1936">
        <v>1.1095269999999999</v>
      </c>
      <c r="L1936">
        <v>282.70310000000001</v>
      </c>
      <c r="M1936">
        <v>-0.9997819</v>
      </c>
      <c r="N1936">
        <v>0</v>
      </c>
      <c r="O1936">
        <v>-1.4848429999999999E-2</v>
      </c>
      <c r="P1936">
        <v>-0.99842750000000002</v>
      </c>
      <c r="Q1936">
        <v>-1.3793440000000001E-2</v>
      </c>
      <c r="R1936">
        <v>5.4336370000000002E-2</v>
      </c>
      <c r="S1936">
        <v>-3.00528</v>
      </c>
      <c r="T1936">
        <v>-0.1035722</v>
      </c>
      <c r="U1936">
        <v>-3.6468510000000003E-2</v>
      </c>
      <c r="V1936">
        <v>6.9157620000000003E-2</v>
      </c>
      <c r="W1936">
        <v>8.2332289999999904E-4</v>
      </c>
      <c r="X1936">
        <v>0.99760539999999998</v>
      </c>
      <c r="Y1936">
        <v>2.7059369999999998E-3</v>
      </c>
      <c r="Z1936">
        <v>5.5819919999999996E-4</v>
      </c>
      <c r="AA1936">
        <v>0.9999962</v>
      </c>
      <c r="AB1936">
        <v>35</v>
      </c>
      <c r="AC1936">
        <v>-31.9864999999999</v>
      </c>
      <c r="AD1936">
        <v>-1.1095242520249999</v>
      </c>
      <c r="AE1936">
        <v>-0.38769999999999499</v>
      </c>
      <c r="AF1936">
        <v>8.72383327151319E-2</v>
      </c>
      <c r="AG1936">
        <v>-1.1095242520249999</v>
      </c>
      <c r="AH1936">
        <v>31.950293124061901</v>
      </c>
      <c r="AI1936">
        <v>91.988879546868006</v>
      </c>
      <c r="AJ1936">
        <v>89.843557746544306</v>
      </c>
      <c r="AK1936">
        <v>31.969671335595599</v>
      </c>
      <c r="AL1936">
        <v>89.952827067049796</v>
      </c>
      <c r="AM1936">
        <v>86.034393488843094</v>
      </c>
      <c r="AN1936">
        <v>0.99999999418691099</v>
      </c>
    </row>
    <row r="1937" spans="1:40" x14ac:dyDescent="0.25">
      <c r="A1937" t="str">
        <f>"20190312154835158"</f>
        <v>20190312154835158</v>
      </c>
      <c r="B1937" t="str">
        <f>"1552376915148254"</f>
        <v>1552376915148254</v>
      </c>
      <c r="C1937" t="s">
        <v>40</v>
      </c>
      <c r="D1937">
        <v>4.7757139999999998</v>
      </c>
      <c r="E1937">
        <v>0.47397539999999999</v>
      </c>
      <c r="F1937" t="s">
        <v>51</v>
      </c>
      <c r="G1937">
        <v>-292.34870000000001</v>
      </c>
      <c r="H1937" s="1">
        <v>2.823726E-6</v>
      </c>
      <c r="I1937">
        <v>282.31310000000002</v>
      </c>
      <c r="J1937">
        <v>-260.25290000000001</v>
      </c>
      <c r="K1937">
        <v>1.109529</v>
      </c>
      <c r="L1937">
        <v>282.69869999999997</v>
      </c>
      <c r="M1937">
        <v>-0.99978509999999998</v>
      </c>
      <c r="N1937">
        <v>0</v>
      </c>
      <c r="O1937">
        <v>-1.462919E-2</v>
      </c>
      <c r="P1937">
        <v>-0.99842640000000005</v>
      </c>
      <c r="Q1937">
        <v>-1.335482E-2</v>
      </c>
      <c r="R1937">
        <v>5.4467040000000001E-2</v>
      </c>
      <c r="S1937">
        <v>-3.00528</v>
      </c>
      <c r="T1937">
        <v>-0.1028751</v>
      </c>
      <c r="U1937">
        <v>-3.616333E-2</v>
      </c>
      <c r="V1937">
        <v>6.906988E-2</v>
      </c>
      <c r="W1937">
        <v>1.261536E-3</v>
      </c>
      <c r="X1937">
        <v>0.99761100000000003</v>
      </c>
      <c r="Y1937">
        <v>2.588515E-3</v>
      </c>
      <c r="Z1937">
        <v>5.4493309999999997E-4</v>
      </c>
      <c r="AA1937">
        <v>0.99999649999999995</v>
      </c>
      <c r="AB1937">
        <v>35</v>
      </c>
      <c r="AC1937">
        <v>-32.095799999999997</v>
      </c>
      <c r="AD1937">
        <v>-1.1095261762739901</v>
      </c>
      <c r="AE1937">
        <v>-0.38559999999995398</v>
      </c>
      <c r="AF1937">
        <v>8.3927205373956898E-2</v>
      </c>
      <c r="AG1937">
        <v>-1.1095261762739901</v>
      </c>
      <c r="AH1937">
        <v>32.059699473229898</v>
      </c>
      <c r="AI1937">
        <v>91.982101786778202</v>
      </c>
      <c r="AJ1937">
        <v>89.850009084659305</v>
      </c>
      <c r="AK1937">
        <v>32.079002827791598</v>
      </c>
      <c r="AL1937">
        <v>89.927719290412796</v>
      </c>
      <c r="AM1937">
        <v>86.039430778115204</v>
      </c>
      <c r="AN1937">
        <v>0.999999973558646</v>
      </c>
    </row>
    <row r="1938" spans="1:40" x14ac:dyDescent="0.25">
      <c r="A1938" t="str">
        <f>"20190312154835171"</f>
        <v>20190312154835171</v>
      </c>
      <c r="B1938" t="str">
        <f>"1552376915167773"</f>
        <v>1552376915167773</v>
      </c>
      <c r="C1938" t="s">
        <v>40</v>
      </c>
      <c r="D1938">
        <v>4.7726059999999997</v>
      </c>
      <c r="E1938">
        <v>0.44205739999999999</v>
      </c>
      <c r="F1938" t="s">
        <v>51</v>
      </c>
      <c r="G1938">
        <v>-293.3612</v>
      </c>
      <c r="H1938" s="1">
        <v>3.014411E-6</v>
      </c>
      <c r="I1938">
        <v>282.18639999999999</v>
      </c>
      <c r="J1938">
        <v>-260.44749999999999</v>
      </c>
      <c r="K1938">
        <v>1.109529</v>
      </c>
      <c r="L1938">
        <v>282.69589999999999</v>
      </c>
      <c r="M1938">
        <v>-0.99978699999999998</v>
      </c>
      <c r="N1938">
        <v>0</v>
      </c>
      <c r="O1938">
        <v>-1.4492669999999999E-2</v>
      </c>
      <c r="P1938">
        <v>-0.99841420000000003</v>
      </c>
      <c r="Q1938">
        <v>-1.3177909999999999E-2</v>
      </c>
      <c r="R1938">
        <v>5.4730550000000003E-2</v>
      </c>
      <c r="S1938">
        <v>-3.00589</v>
      </c>
      <c r="T1938">
        <v>-0.1007334</v>
      </c>
      <c r="U1938">
        <v>-4.6508790000000001E-2</v>
      </c>
      <c r="V1938">
        <v>6.9197030000000007E-2</v>
      </c>
      <c r="W1938">
        <v>1.4370120000000001E-3</v>
      </c>
      <c r="X1938">
        <v>0.99760199999999999</v>
      </c>
      <c r="Y1938">
        <v>-9.8415349999999993E-4</v>
      </c>
      <c r="Z1938">
        <v>4.6905450000000001E-4</v>
      </c>
      <c r="AA1938">
        <v>0.99999939999999998</v>
      </c>
      <c r="AB1938">
        <v>35</v>
      </c>
      <c r="AC1938">
        <v>-32.913699999999999</v>
      </c>
      <c r="AD1938">
        <v>-1.1095259855890001</v>
      </c>
      <c r="AE1938">
        <v>-0.50950000000000195</v>
      </c>
      <c r="AF1938">
        <v>-3.23508267739736E-2</v>
      </c>
      <c r="AG1938">
        <v>-1.1095259855890001</v>
      </c>
      <c r="AH1938">
        <v>32.880271972436503</v>
      </c>
      <c r="AI1938">
        <v>91.932679048993805</v>
      </c>
      <c r="AJ1938">
        <v>90.056373172379594</v>
      </c>
      <c r="AK1938">
        <v>32.899002712393603</v>
      </c>
      <c r="AL1938">
        <v>89.917665250779905</v>
      </c>
      <c r="AM1938">
        <v>86.032127393876706</v>
      </c>
      <c r="AN1938">
        <v>1.0000000221841501</v>
      </c>
    </row>
    <row r="1939" spans="1:40" x14ac:dyDescent="0.25">
      <c r="A1939" t="str">
        <f>"20190312154835191"</f>
        <v>20190312154835191</v>
      </c>
      <c r="B1939" t="str">
        <f>"1552376915188270"</f>
        <v>1552376915188270</v>
      </c>
      <c r="C1939" t="s">
        <v>40</v>
      </c>
      <c r="D1939">
        <v>4.7906300000000002</v>
      </c>
      <c r="E1939">
        <v>0.44188939999999999</v>
      </c>
      <c r="F1939" t="s">
        <v>51</v>
      </c>
      <c r="G1939">
        <v>-307.94720000000001</v>
      </c>
      <c r="H1939" s="1">
        <v>3.420786E-6</v>
      </c>
      <c r="I1939">
        <v>277.99709999999999</v>
      </c>
      <c r="J1939">
        <v>-260.77730000000003</v>
      </c>
      <c r="K1939">
        <v>1.109524</v>
      </c>
      <c r="L1939">
        <v>282.69139999999999</v>
      </c>
      <c r="M1939">
        <v>-0.99979050000000003</v>
      </c>
      <c r="N1939">
        <v>0</v>
      </c>
      <c r="O1939">
        <v>-1.4258379999999999E-2</v>
      </c>
      <c r="P1939">
        <v>-0.99839619999999996</v>
      </c>
      <c r="Q1939">
        <v>-1.2791469999999999E-2</v>
      </c>
      <c r="R1939">
        <v>5.5150369999999997E-2</v>
      </c>
      <c r="S1939">
        <v>-3.020203</v>
      </c>
      <c r="T1939">
        <v>-7.0547579999999999E-2</v>
      </c>
      <c r="U1939">
        <v>-0.29876710000000001</v>
      </c>
      <c r="V1939">
        <v>6.9382869999999999E-2</v>
      </c>
      <c r="W1939">
        <v>1.8218189999999999E-3</v>
      </c>
      <c r="X1939">
        <v>0.99758849999999999</v>
      </c>
      <c r="Y1939">
        <v>-8.4222829999999999E-2</v>
      </c>
      <c r="Z1939">
        <v>-6.4896599999999995E-4</v>
      </c>
      <c r="AA1939">
        <v>0.99644670000000002</v>
      </c>
      <c r="AB1939">
        <v>35</v>
      </c>
      <c r="AC1939">
        <v>-47.169899999999899</v>
      </c>
      <c r="AD1939">
        <v>-1.1095205792139999</v>
      </c>
      <c r="AE1939">
        <v>-4.6942999999999904</v>
      </c>
      <c r="AF1939">
        <v>-4.01898200793757</v>
      </c>
      <c r="AG1939">
        <v>-1.1095205792139999</v>
      </c>
      <c r="AH1939">
        <v>47.206182350155999</v>
      </c>
      <c r="AI1939">
        <v>91.341564236300499</v>
      </c>
      <c r="AJ1939">
        <v>94.866243104427099</v>
      </c>
      <c r="AK1939">
        <v>47.389945182200897</v>
      </c>
      <c r="AL1939">
        <v>89.895617408628496</v>
      </c>
      <c r="AM1939">
        <v>86.021451528390799</v>
      </c>
      <c r="AN1939">
        <v>1.0000000585030699</v>
      </c>
    </row>
    <row r="1940" spans="1:40" x14ac:dyDescent="0.25">
      <c r="A1940" t="str">
        <f>"20190312154835215"</f>
        <v>20190312154835215</v>
      </c>
      <c r="B1940" t="str">
        <f>"1552376915208296"</f>
        <v>1552376915208296</v>
      </c>
      <c r="C1940" t="s">
        <v>40</v>
      </c>
      <c r="D1940">
        <v>4.764386</v>
      </c>
      <c r="E1940">
        <v>0.44184079999999898</v>
      </c>
      <c r="F1940" t="s">
        <v>51</v>
      </c>
      <c r="G1940">
        <v>-306.97289999999998</v>
      </c>
      <c r="H1940" s="1">
        <v>3.5621760000000001E-6</v>
      </c>
      <c r="I1940">
        <v>278.11590000000001</v>
      </c>
      <c r="J1940">
        <v>-261.14299999999997</v>
      </c>
      <c r="K1940">
        <v>1.109524</v>
      </c>
      <c r="L1940">
        <v>282.68650000000002</v>
      </c>
      <c r="M1940">
        <v>-0.99979430000000002</v>
      </c>
      <c r="N1940">
        <v>0</v>
      </c>
      <c r="O1940">
        <v>-1.399212E-2</v>
      </c>
      <c r="P1940">
        <v>-0.99838479999999996</v>
      </c>
      <c r="Q1940">
        <v>-1.2897399999999899E-2</v>
      </c>
      <c r="R1940">
        <v>5.5331560000000002E-2</v>
      </c>
      <c r="S1940">
        <v>-3.020416</v>
      </c>
      <c r="T1940">
        <v>-7.25441E-2</v>
      </c>
      <c r="U1940">
        <v>-0.29916379999999998</v>
      </c>
      <c r="V1940">
        <v>6.9298150000000003E-2</v>
      </c>
      <c r="W1940">
        <v>1.7131E-3</v>
      </c>
      <c r="X1940">
        <v>0.99759450000000005</v>
      </c>
      <c r="Y1940">
        <v>-8.4609619999999996E-2</v>
      </c>
      <c r="Z1940">
        <v>-6.7828500000000004E-4</v>
      </c>
      <c r="AA1940">
        <v>0.99641389999999996</v>
      </c>
      <c r="AB1940">
        <v>35</v>
      </c>
      <c r="AC1940">
        <v>-45.829900000000002</v>
      </c>
      <c r="AD1940">
        <v>-1.109520437824</v>
      </c>
      <c r="AE1940">
        <v>-4.5706000000000104</v>
      </c>
      <c r="AF1940">
        <v>-3.9265471836344501</v>
      </c>
      <c r="AG1940">
        <v>-1.109520437824</v>
      </c>
      <c r="AH1940">
        <v>45.862756305551599</v>
      </c>
      <c r="AI1940">
        <v>91.380790609855595</v>
      </c>
      <c r="AJ1940">
        <v>94.893454299647004</v>
      </c>
      <c r="AK1940">
        <v>46.043905398322401</v>
      </c>
      <c r="AL1940">
        <v>89.901846549885903</v>
      </c>
      <c r="AM1940">
        <v>86.026317788293994</v>
      </c>
      <c r="AN1940">
        <v>0.99999997736764101</v>
      </c>
    </row>
    <row r="1941" spans="1:40" x14ac:dyDescent="0.25">
      <c r="A1941" t="str">
        <f>"20190312154835239"</f>
        <v>20190312154835239</v>
      </c>
      <c r="B1941" t="str">
        <f>"1552376915227816"</f>
        <v>1552376915227816</v>
      </c>
      <c r="C1941" t="s">
        <v>40</v>
      </c>
      <c r="D1941">
        <v>4.7761139999999997</v>
      </c>
      <c r="E1941">
        <v>0.44183869999999997</v>
      </c>
      <c r="F1941" t="s">
        <v>51</v>
      </c>
      <c r="G1941">
        <v>-304.66669999999999</v>
      </c>
      <c r="H1941" s="1">
        <v>3.9022499999999998E-6</v>
      </c>
      <c r="I1941">
        <v>278.37639999999999</v>
      </c>
      <c r="J1941">
        <v>-261.51870000000002</v>
      </c>
      <c r="K1941">
        <v>1.1095189999999999</v>
      </c>
      <c r="L1941">
        <v>282.68150000000003</v>
      </c>
      <c r="M1941">
        <v>-0.99979819999999997</v>
      </c>
      <c r="N1941">
        <v>0</v>
      </c>
      <c r="O1941">
        <v>-1.371178E-2</v>
      </c>
      <c r="P1941">
        <v>-0.99836250000000004</v>
      </c>
      <c r="Q1941">
        <v>-1.3097960000000001E-2</v>
      </c>
      <c r="R1941">
        <v>5.568584E-2</v>
      </c>
      <c r="S1941">
        <v>-3.020416</v>
      </c>
      <c r="T1941">
        <v>-7.6997399999999994E-2</v>
      </c>
      <c r="U1941">
        <v>-0.2991028</v>
      </c>
      <c r="V1941">
        <v>6.9372409999999995E-2</v>
      </c>
      <c r="W1941">
        <v>1.509491E-3</v>
      </c>
      <c r="X1941">
        <v>0.99758970000000002</v>
      </c>
      <c r="Y1941">
        <v>-8.4866349999999993E-2</v>
      </c>
      <c r="Z1941">
        <v>-7.3030060000000001E-4</v>
      </c>
      <c r="AA1941">
        <v>0.9963921</v>
      </c>
      <c r="AB1941">
        <v>35</v>
      </c>
      <c r="AC1941">
        <v>-43.147999999999897</v>
      </c>
      <c r="AD1941">
        <v>-1.1095150977499999</v>
      </c>
      <c r="AE1941">
        <v>-4.3051000000000297</v>
      </c>
      <c r="AF1941">
        <v>-3.7105662187313899</v>
      </c>
      <c r="AG1941">
        <v>-1.1095150977499999</v>
      </c>
      <c r="AH1941">
        <v>43.1747131616508</v>
      </c>
      <c r="AI1941">
        <v>91.466673728456001</v>
      </c>
      <c r="AJ1941">
        <v>94.912103420036999</v>
      </c>
      <c r="AK1941">
        <v>43.348070107059499</v>
      </c>
      <c r="AL1941">
        <v>89.913512504480394</v>
      </c>
      <c r="AM1941">
        <v>86.022054169059501</v>
      </c>
      <c r="AN1941">
        <v>1.0000000096891799</v>
      </c>
    </row>
    <row r="1942" spans="1:40" x14ac:dyDescent="0.25">
      <c r="A1942" t="str">
        <f>"20190312154835259"</f>
        <v>20190312154835259</v>
      </c>
      <c r="B1942" t="str">
        <f>"1552376915247336"</f>
        <v>1552376915247336</v>
      </c>
      <c r="C1942" t="s">
        <v>40</v>
      </c>
      <c r="D1942">
        <v>4.7752299999999996</v>
      </c>
      <c r="E1942">
        <v>0.44183440000000002</v>
      </c>
      <c r="F1942" t="s">
        <v>51</v>
      </c>
      <c r="G1942">
        <v>-303.47149999999999</v>
      </c>
      <c r="H1942" s="1">
        <v>4.0703190000000001E-6</v>
      </c>
      <c r="I1942">
        <v>278.54239999999999</v>
      </c>
      <c r="J1942">
        <v>-261.83199999999999</v>
      </c>
      <c r="K1942">
        <v>1.1095139999999999</v>
      </c>
      <c r="L1942">
        <v>282.67739999999998</v>
      </c>
      <c r="M1942">
        <v>-0.99980159999999996</v>
      </c>
      <c r="N1942">
        <v>0</v>
      </c>
      <c r="O1942">
        <v>-1.347198E-2</v>
      </c>
      <c r="P1942">
        <v>-0.9983476</v>
      </c>
      <c r="Q1942">
        <v>-1.332998E-2</v>
      </c>
      <c r="R1942">
        <v>5.5898530000000002E-2</v>
      </c>
      <c r="S1942">
        <v>-3.0204770000000001</v>
      </c>
      <c r="T1942">
        <v>-7.988191E-2</v>
      </c>
      <c r="U1942">
        <v>-0.2980042</v>
      </c>
      <c r="V1942">
        <v>6.9345409999999996E-2</v>
      </c>
      <c r="W1942">
        <v>1.274411E-3</v>
      </c>
      <c r="X1942">
        <v>0.99759189999999998</v>
      </c>
      <c r="Y1942">
        <v>-8.4742670000000006E-2</v>
      </c>
      <c r="Z1942">
        <v>-7.6234049999999998E-4</v>
      </c>
      <c r="AA1942">
        <v>0.99640260000000003</v>
      </c>
      <c r="AB1942">
        <v>35</v>
      </c>
      <c r="AC1942">
        <v>-41.639499999999998</v>
      </c>
      <c r="AD1942">
        <v>-1.10950992968099</v>
      </c>
      <c r="AE1942">
        <v>-4.13499999999999</v>
      </c>
      <c r="AF1942">
        <v>-3.5710870909466901</v>
      </c>
      <c r="AG1942">
        <v>-1.10950992968099</v>
      </c>
      <c r="AH1942">
        <v>41.662142187467197</v>
      </c>
      <c r="AI1942">
        <v>91.519920115033898</v>
      </c>
      <c r="AJ1942">
        <v>94.899155707084702</v>
      </c>
      <c r="AK1942">
        <v>41.829627860452199</v>
      </c>
      <c r="AL1942">
        <v>89.926981608896796</v>
      </c>
      <c r="AM1942">
        <v>86.023606173854404</v>
      </c>
      <c r="AN1942">
        <v>1.00000000447853</v>
      </c>
    </row>
    <row r="1943" spans="1:40" x14ac:dyDescent="0.25">
      <c r="A1943" t="str">
        <f>"20190312154835281"</f>
        <v>20190312154835281</v>
      </c>
      <c r="B1943" t="str">
        <f>"1552376915277592"</f>
        <v>1552376915277592</v>
      </c>
      <c r="C1943" t="s">
        <v>40</v>
      </c>
      <c r="D1943">
        <v>4.8246599999999997</v>
      </c>
      <c r="E1943">
        <v>0.44197769999999997</v>
      </c>
      <c r="F1943" t="s">
        <v>51</v>
      </c>
      <c r="G1943">
        <v>-302.50819999999999</v>
      </c>
      <c r="H1943" s="1">
        <v>4.2072570000000002E-6</v>
      </c>
      <c r="I1943">
        <v>278.6705</v>
      </c>
      <c r="J1943">
        <v>-262.18979999999999</v>
      </c>
      <c r="K1943">
        <v>1.1095139999999999</v>
      </c>
      <c r="L1943">
        <v>282.67290000000003</v>
      </c>
      <c r="M1943">
        <v>-0.99980519999999995</v>
      </c>
      <c r="N1943">
        <v>0</v>
      </c>
      <c r="O1943">
        <v>-1.319127E-2</v>
      </c>
      <c r="P1943">
        <v>-0.99833959999999999</v>
      </c>
      <c r="Q1943">
        <v>-1.3572020000000001E-2</v>
      </c>
      <c r="R1943">
        <v>5.5979429999999997E-2</v>
      </c>
      <c r="S1943">
        <v>-3.0205380000000002</v>
      </c>
      <c r="T1943">
        <v>-8.2390069999999996E-2</v>
      </c>
      <c r="U1943">
        <v>-0.29754639999999999</v>
      </c>
      <c r="V1943">
        <v>6.9146009999999994E-2</v>
      </c>
      <c r="W1943">
        <v>1.029316E-3</v>
      </c>
      <c r="X1943">
        <v>0.99760599999999999</v>
      </c>
      <c r="Y1943">
        <v>-8.4869159999999999E-2</v>
      </c>
      <c r="Z1943">
        <v>-7.9561330000000002E-4</v>
      </c>
      <c r="AA1943">
        <v>0.99639180000000005</v>
      </c>
      <c r="AB1943">
        <v>35</v>
      </c>
      <c r="AC1943">
        <v>-40.318399999999997</v>
      </c>
      <c r="AD1943">
        <v>-1.109509792743</v>
      </c>
      <c r="AE1943">
        <v>-4.0024000000000202</v>
      </c>
      <c r="AF1943">
        <v>-3.46754317924999</v>
      </c>
      <c r="AG1943">
        <v>-1.109509792743</v>
      </c>
      <c r="AH1943">
        <v>40.3374450264239</v>
      </c>
      <c r="AI1943">
        <v>91.569776946743701</v>
      </c>
      <c r="AJ1943">
        <v>94.913260203890701</v>
      </c>
      <c r="AK1943">
        <v>40.5014115672519</v>
      </c>
      <c r="AL1943">
        <v>89.941024525863199</v>
      </c>
      <c r="AM1943">
        <v>86.035059478004897</v>
      </c>
      <c r="AN1943">
        <v>0.99999998071317298</v>
      </c>
    </row>
    <row r="1944" spans="1:40" x14ac:dyDescent="0.25">
      <c r="A1944" t="str">
        <f>"20190312154835294"</f>
        <v>20190312154835294</v>
      </c>
      <c r="B1944" t="str">
        <f>"1552376915287352"</f>
        <v>1552376915287352</v>
      </c>
      <c r="C1944" t="s">
        <v>40</v>
      </c>
      <c r="D1944">
        <v>4.8288219999999997</v>
      </c>
      <c r="E1944">
        <v>0.4421544</v>
      </c>
      <c r="F1944" t="s">
        <v>51</v>
      </c>
      <c r="G1944">
        <v>-299.69060000000002</v>
      </c>
      <c r="H1944" s="1">
        <v>4.5821639999999998E-6</v>
      </c>
      <c r="I1944">
        <v>278.99299999999999</v>
      </c>
      <c r="J1944">
        <v>-262.39089999999999</v>
      </c>
      <c r="K1944">
        <v>1.1095139999999999</v>
      </c>
      <c r="L1944">
        <v>282.67039999999997</v>
      </c>
      <c r="M1944">
        <v>-0.99980740000000001</v>
      </c>
      <c r="N1944">
        <v>0</v>
      </c>
      <c r="O1944">
        <v>-1.3030170000000001E-2</v>
      </c>
      <c r="P1944">
        <v>-0.9983379</v>
      </c>
      <c r="Q1944">
        <v>-1.3210400000000001E-2</v>
      </c>
      <c r="R1944">
        <v>5.6097750000000002E-2</v>
      </c>
      <c r="S1944">
        <v>-3.020416</v>
      </c>
      <c r="T1944">
        <v>-8.9362739999999996E-2</v>
      </c>
      <c r="U1944">
        <v>-0.2963867</v>
      </c>
      <c r="V1944">
        <v>6.9103780000000004E-2</v>
      </c>
      <c r="W1944">
        <v>1.38932799999999E-3</v>
      </c>
      <c r="X1944">
        <v>0.99760850000000001</v>
      </c>
      <c r="Y1944">
        <v>-8.4650110000000001E-2</v>
      </c>
      <c r="Z1944">
        <v>-8.6448899999999997E-4</v>
      </c>
      <c r="AA1944">
        <v>0.99641040000000003</v>
      </c>
      <c r="AB1944">
        <v>35</v>
      </c>
      <c r="AC1944">
        <v>-37.299700000000001</v>
      </c>
      <c r="AD1944">
        <v>-1.1095094178360001</v>
      </c>
      <c r="AE1944">
        <v>-3.6773999999999698</v>
      </c>
      <c r="AF1944">
        <v>-3.1882201345707299</v>
      </c>
      <c r="AG1944">
        <v>-1.1095094178360001</v>
      </c>
      <c r="AH1944">
        <v>37.311758915072602</v>
      </c>
      <c r="AI1944">
        <v>91.6970754727394</v>
      </c>
      <c r="AJ1944">
        <v>94.883953897960495</v>
      </c>
      <c r="AK1944">
        <v>37.464157699209601</v>
      </c>
      <c r="AL1944">
        <v>89.920397342912196</v>
      </c>
      <c r="AM1944">
        <v>86.037483194378297</v>
      </c>
      <c r="AN1944">
        <v>0.99999999095741499</v>
      </c>
    </row>
    <row r="1945" spans="1:40" x14ac:dyDescent="0.25">
      <c r="A1945" t="str">
        <f>"20190312154835306"</f>
        <v>20190312154835306</v>
      </c>
      <c r="B1945" t="str">
        <f>"1552376915297618"</f>
        <v>1552376915297618</v>
      </c>
      <c r="C1945" t="s">
        <v>40</v>
      </c>
      <c r="D1945">
        <v>4.8490669999999998</v>
      </c>
      <c r="E1945">
        <v>0.44229200000000002</v>
      </c>
      <c r="F1945" t="s">
        <v>51</v>
      </c>
      <c r="G1945">
        <v>-299.00229999999999</v>
      </c>
      <c r="H1945" s="1">
        <v>4.4231879999999999E-6</v>
      </c>
      <c r="I1945">
        <v>279.09739999999999</v>
      </c>
      <c r="J1945">
        <v>-262.57780000000002</v>
      </c>
      <c r="K1945">
        <v>1.1095120000000001</v>
      </c>
      <c r="L1945">
        <v>282.66809999999998</v>
      </c>
      <c r="M1945">
        <v>-0.99980930000000001</v>
      </c>
      <c r="N1945">
        <v>0</v>
      </c>
      <c r="O1945">
        <v>-1.287932E-2</v>
      </c>
      <c r="P1945">
        <v>-0.99835059999999998</v>
      </c>
      <c r="Q1945">
        <v>-1.2993309999999999E-2</v>
      </c>
      <c r="R1945">
        <v>5.5920009999999999E-2</v>
      </c>
      <c r="S1945">
        <v>-3.0203549999999999</v>
      </c>
      <c r="T1945">
        <v>-9.1531989999999994E-2</v>
      </c>
      <c r="U1945">
        <v>-0.29476930000000001</v>
      </c>
      <c r="V1945">
        <v>6.877577E-2</v>
      </c>
      <c r="W1945">
        <v>1.60485799999999E-3</v>
      </c>
      <c r="X1945">
        <v>0.99763080000000004</v>
      </c>
      <c r="Y1945">
        <v>-8.4272440000000004E-2</v>
      </c>
      <c r="Z1945">
        <v>-8.8435559999999996E-4</v>
      </c>
      <c r="AA1945">
        <v>0.99644239999999995</v>
      </c>
      <c r="AB1945">
        <v>35</v>
      </c>
      <c r="AC1945">
        <v>-36.424499999999902</v>
      </c>
      <c r="AD1945">
        <v>-1.109507576812</v>
      </c>
      <c r="AE1945">
        <v>-3.57069999999998</v>
      </c>
      <c r="AF1945">
        <v>-3.0983829895127499</v>
      </c>
      <c r="AG1945">
        <v>-1.109507576812</v>
      </c>
      <c r="AH1945">
        <v>36.433988214713096</v>
      </c>
      <c r="AI1945">
        <v>91.737993740710394</v>
      </c>
      <c r="AJ1945">
        <v>94.860795495967196</v>
      </c>
      <c r="AK1945">
        <v>36.582324713480901</v>
      </c>
      <c r="AL1945">
        <v>89.908048365593302</v>
      </c>
      <c r="AM1945">
        <v>86.056320175698801</v>
      </c>
      <c r="AN1945">
        <v>0.999999947608465</v>
      </c>
    </row>
    <row r="1946" spans="1:40" x14ac:dyDescent="0.25">
      <c r="A1946" t="str">
        <f>"20190312154835326"</f>
        <v>20190312154835326</v>
      </c>
      <c r="B1946" t="str">
        <f>"1552376915318118"</f>
        <v>1552376915318118</v>
      </c>
      <c r="C1946" t="s">
        <v>40</v>
      </c>
      <c r="D1946">
        <v>4.8530579999999999</v>
      </c>
      <c r="E1946">
        <v>0.44244159999999999</v>
      </c>
      <c r="F1946" t="s">
        <v>51</v>
      </c>
      <c r="G1946">
        <v>-298.14420000000001</v>
      </c>
      <c r="H1946" s="1">
        <v>4.2345129999999996E-6</v>
      </c>
      <c r="I1946">
        <v>279.20049999999998</v>
      </c>
      <c r="J1946">
        <v>-262.90030000000002</v>
      </c>
      <c r="K1946">
        <v>1.1095109999999999</v>
      </c>
      <c r="L1946">
        <v>282.66419999999999</v>
      </c>
      <c r="M1946">
        <v>-0.99981279999999995</v>
      </c>
      <c r="N1946">
        <v>0</v>
      </c>
      <c r="O1946">
        <v>-1.2615909999999999E-2</v>
      </c>
      <c r="P1946">
        <v>-0.99833939999999999</v>
      </c>
      <c r="Q1946">
        <v>-1.272421E-2</v>
      </c>
      <c r="R1946">
        <v>5.6184999999999999E-2</v>
      </c>
      <c r="S1946">
        <v>-3.0202330000000002</v>
      </c>
      <c r="T1946">
        <v>-9.4217179999999998E-2</v>
      </c>
      <c r="U1946">
        <v>-0.29446409999999901</v>
      </c>
      <c r="V1946">
        <v>6.8778080000000005E-2</v>
      </c>
      <c r="W1946">
        <v>1.8704559999999999E-3</v>
      </c>
      <c r="X1946">
        <v>0.99763020000000002</v>
      </c>
      <c r="Y1946">
        <v>-8.4436990000000003E-2</v>
      </c>
      <c r="Z1946">
        <v>-9.2108149999999998E-4</v>
      </c>
      <c r="AA1946">
        <v>0.99642839999999999</v>
      </c>
      <c r="AB1946">
        <v>35</v>
      </c>
      <c r="AC1946">
        <v>-35.243899999999996</v>
      </c>
      <c r="AD1946">
        <v>-1.1095067654869999</v>
      </c>
      <c r="AE1946">
        <v>-3.46370000000001</v>
      </c>
      <c r="AF1946">
        <v>-3.0157823893076001</v>
      </c>
      <c r="AG1946">
        <v>-1.1095067654869999</v>
      </c>
      <c r="AH1946">
        <v>35.250196753186103</v>
      </c>
      <c r="AI1946">
        <v>91.796243144129605</v>
      </c>
      <c r="AJ1946">
        <v>94.889954728645606</v>
      </c>
      <c r="AK1946">
        <v>35.3963602623299</v>
      </c>
      <c r="AL1946">
        <v>89.892830699667599</v>
      </c>
      <c r="AM1946">
        <v>86.056185771263301</v>
      </c>
      <c r="AN1946">
        <v>0.999999969423086</v>
      </c>
    </row>
    <row r="1947" spans="1:40" x14ac:dyDescent="0.25">
      <c r="A1947" t="str">
        <f>"20190312154835338"</f>
        <v>20190312154835338</v>
      </c>
      <c r="B1947" t="str">
        <f>"1552376915327875"</f>
        <v>1552376915327875</v>
      </c>
      <c r="C1947" t="s">
        <v>40</v>
      </c>
      <c r="D1947">
        <v>4.8146459999999998</v>
      </c>
      <c r="E1947">
        <v>0.44244230000000001</v>
      </c>
      <c r="F1947" t="s">
        <v>51</v>
      </c>
      <c r="G1947">
        <v>-296.57709999999997</v>
      </c>
      <c r="H1947" s="1">
        <v>3.8854629999999999E-6</v>
      </c>
      <c r="I1947">
        <v>279.4015</v>
      </c>
      <c r="J1947">
        <v>-263.09289999999999</v>
      </c>
      <c r="K1947">
        <v>1.1095109999999999</v>
      </c>
      <c r="L1947">
        <v>282.6619</v>
      </c>
      <c r="M1947">
        <v>-0.99981469999999995</v>
      </c>
      <c r="N1947">
        <v>0</v>
      </c>
      <c r="O1947">
        <v>-1.245542E-2</v>
      </c>
      <c r="P1947">
        <v>-0.99833780000000005</v>
      </c>
      <c r="Q1947">
        <v>-1.2545570000000001E-2</v>
      </c>
      <c r="R1947">
        <v>5.6249889999999997E-2</v>
      </c>
      <c r="S1947">
        <v>-3.0201720000000001</v>
      </c>
      <c r="T1947">
        <v>-9.9501969999999995E-2</v>
      </c>
      <c r="U1947">
        <v>-0.29260249999999999</v>
      </c>
      <c r="V1947">
        <v>6.8682919999999995E-2</v>
      </c>
      <c r="W1947">
        <v>2.047363E-3</v>
      </c>
      <c r="X1947">
        <v>0.99763639999999998</v>
      </c>
      <c r="Y1947">
        <v>-8.3986610000000003E-2</v>
      </c>
      <c r="Z1947">
        <v>-9.706402E-4</v>
      </c>
      <c r="AA1947">
        <v>0.99646639999999997</v>
      </c>
      <c r="AB1947">
        <v>35</v>
      </c>
      <c r="AC1947">
        <v>-33.484199999999902</v>
      </c>
      <c r="AD1947">
        <v>-1.1095071145369999</v>
      </c>
      <c r="AE1947">
        <v>-3.2604000000000002</v>
      </c>
      <c r="AF1947">
        <v>-2.8399535004978098</v>
      </c>
      <c r="AG1947">
        <v>-1.1095071145369999</v>
      </c>
      <c r="AH1947">
        <v>33.485795804632197</v>
      </c>
      <c r="AI1947">
        <v>91.890941365267295</v>
      </c>
      <c r="AJ1947">
        <v>94.847693978323704</v>
      </c>
      <c r="AK1947">
        <v>33.624319511206799</v>
      </c>
      <c r="AL1947">
        <v>89.882694654430594</v>
      </c>
      <c r="AM1947">
        <v>86.061649570559993</v>
      </c>
      <c r="AN1947">
        <v>0.99999996089996901</v>
      </c>
    </row>
    <row r="1948" spans="1:40" x14ac:dyDescent="0.25">
      <c r="A1948" t="str">
        <f>"20190312154835360"</f>
        <v>20190312154835360</v>
      </c>
      <c r="B1948" t="str">
        <f>"1552376915347394"</f>
        <v>1552376915347394</v>
      </c>
      <c r="C1948" t="s">
        <v>40</v>
      </c>
      <c r="D1948">
        <v>4.8016899999999998</v>
      </c>
      <c r="E1948">
        <v>0.44247069999999999</v>
      </c>
      <c r="F1948" t="s">
        <v>51</v>
      </c>
      <c r="G1948">
        <v>-296.18290000000002</v>
      </c>
      <c r="H1948" s="1">
        <v>3.7960190000000001E-6</v>
      </c>
      <c r="I1948">
        <v>279.45679999999999</v>
      </c>
      <c r="J1948">
        <v>-263.41669999999999</v>
      </c>
      <c r="K1948">
        <v>1.10951</v>
      </c>
      <c r="L1948">
        <v>282.65809999999999</v>
      </c>
      <c r="M1948">
        <v>-0.99981819999999999</v>
      </c>
      <c r="N1948">
        <v>0</v>
      </c>
      <c r="O1948">
        <v>-1.218379E-2</v>
      </c>
      <c r="P1948">
        <v>-0.99832189999999998</v>
      </c>
      <c r="Q1948">
        <v>-1.2691610000000001E-2</v>
      </c>
      <c r="R1948">
        <v>5.6503530000000003E-2</v>
      </c>
      <c r="S1948">
        <v>-3.020203</v>
      </c>
      <c r="T1948">
        <v>-0.1012672</v>
      </c>
      <c r="U1948">
        <v>-0.29254150000000001</v>
      </c>
      <c r="V1948">
        <v>6.8665400000000001E-2</v>
      </c>
      <c r="W1948">
        <v>1.8976360000000001E-3</v>
      </c>
      <c r="X1948">
        <v>0.99763789999999997</v>
      </c>
      <c r="Y1948">
        <v>-8.4234749999999997E-2</v>
      </c>
      <c r="Z1948">
        <v>-1.0010729999999999E-3</v>
      </c>
      <c r="AA1948">
        <v>0.99644540000000004</v>
      </c>
      <c r="AB1948">
        <v>35</v>
      </c>
      <c r="AC1948">
        <v>-32.766199999999998</v>
      </c>
      <c r="AD1948">
        <v>-1.109506203981</v>
      </c>
      <c r="AE1948">
        <v>-3.2012999999999998</v>
      </c>
      <c r="AF1948">
        <v>-2.7986243572262102</v>
      </c>
      <c r="AG1948">
        <v>-1.109506203981</v>
      </c>
      <c r="AH1948">
        <v>32.765562192439901</v>
      </c>
      <c r="AI1948">
        <v>91.932375808427196</v>
      </c>
      <c r="AJ1948">
        <v>94.881989183239</v>
      </c>
      <c r="AK1948">
        <v>32.903576828305098</v>
      </c>
      <c r="AL1948">
        <v>89.891273396418995</v>
      </c>
      <c r="AM1948">
        <v>86.062656926851304</v>
      </c>
      <c r="AN1948">
        <v>0.99999995884797799</v>
      </c>
    </row>
    <row r="1949" spans="1:40" x14ac:dyDescent="0.25">
      <c r="A1949" t="str">
        <f>"20190312154835382"</f>
        <v>20190312154835382</v>
      </c>
      <c r="B1949" t="str">
        <f>"1552376915377650"</f>
        <v>1552376915377650</v>
      </c>
      <c r="C1949" t="s">
        <v>40</v>
      </c>
      <c r="D1949">
        <v>4.9199599999999997</v>
      </c>
      <c r="E1949">
        <v>0.41761680000000001</v>
      </c>
      <c r="F1949" t="s">
        <v>51</v>
      </c>
      <c r="G1949">
        <v>-295.9554</v>
      </c>
      <c r="H1949" s="1">
        <v>3.7340620000000002E-6</v>
      </c>
      <c r="I1949">
        <v>279.5179</v>
      </c>
      <c r="J1949">
        <v>-263.76240000000001</v>
      </c>
      <c r="K1949">
        <v>1.1095060000000001</v>
      </c>
      <c r="L1949">
        <v>282.6542</v>
      </c>
      <c r="M1949">
        <v>-0.99982179999999998</v>
      </c>
      <c r="N1949">
        <v>0</v>
      </c>
      <c r="O1949">
        <v>-1.189024E-2</v>
      </c>
      <c r="P1949">
        <v>-0.99831420000000004</v>
      </c>
      <c r="Q1949">
        <v>-1.2873000000000001E-2</v>
      </c>
      <c r="R1949">
        <v>5.6599190000000001E-2</v>
      </c>
      <c r="S1949">
        <v>-3.020203</v>
      </c>
      <c r="T1949">
        <v>-0.1029829</v>
      </c>
      <c r="U1949">
        <v>-0.29147339999999999</v>
      </c>
      <c r="V1949">
        <v>6.8468070000000006E-2</v>
      </c>
      <c r="W1949">
        <v>1.7131E-3</v>
      </c>
      <c r="X1949">
        <v>0.99765179999999998</v>
      </c>
      <c r="Y1949">
        <v>-8.4176639999999997E-2</v>
      </c>
      <c r="Z1949">
        <v>-1.0270329999999999E-3</v>
      </c>
      <c r="AA1949">
        <v>0.99645030000000001</v>
      </c>
      <c r="AB1949">
        <v>35</v>
      </c>
      <c r="AC1949">
        <v>-32.192999999999898</v>
      </c>
      <c r="AD1949">
        <v>-1.1095022659379901</v>
      </c>
      <c r="AE1949">
        <v>-3.1362999999999999</v>
      </c>
      <c r="AF1949">
        <v>-2.7500189040791998</v>
      </c>
      <c r="AG1949">
        <v>-1.1095022659379901</v>
      </c>
      <c r="AH1949">
        <v>32.190143996932399</v>
      </c>
      <c r="AI1949">
        <v>91.966881507722604</v>
      </c>
      <c r="AJ1949">
        <v>94.882948821227401</v>
      </c>
      <c r="AK1949">
        <v>32.326443816079703</v>
      </c>
      <c r="AL1949">
        <v>89.901846548444496</v>
      </c>
      <c r="AM1949">
        <v>86.073991120608795</v>
      </c>
      <c r="AN1949">
        <v>0.99999996268218605</v>
      </c>
    </row>
    <row r="1950" spans="1:40" x14ac:dyDescent="0.25">
      <c r="A1950" t="str">
        <f>"20190312154835394"</f>
        <v>20190312154835394</v>
      </c>
      <c r="B1950" t="str">
        <f>"1552376915388387"</f>
        <v>1552376915388387</v>
      </c>
      <c r="C1950" t="s">
        <v>40</v>
      </c>
      <c r="D1950">
        <v>4.9184619999999999</v>
      </c>
      <c r="E1950">
        <v>0.41696699999999998</v>
      </c>
      <c r="F1950" t="s">
        <v>43</v>
      </c>
      <c r="G1950">
        <v>-326.76479999999998</v>
      </c>
      <c r="H1950">
        <v>-0.05</v>
      </c>
      <c r="I1950">
        <v>272.5265</v>
      </c>
      <c r="J1950">
        <v>-263.96449999999999</v>
      </c>
      <c r="K1950">
        <v>1.1095029999999999</v>
      </c>
      <c r="L1950">
        <v>282.65199999999999</v>
      </c>
      <c r="M1950">
        <v>-0.99982369999999998</v>
      </c>
      <c r="N1950">
        <v>0</v>
      </c>
      <c r="O1950">
        <v>-1.1717470000000001E-2</v>
      </c>
      <c r="P1950">
        <v>-0.99829619999999997</v>
      </c>
      <c r="Q1950">
        <v>-1.280133E-2</v>
      </c>
      <c r="R1950">
        <v>5.692879E-2</v>
      </c>
      <c r="S1950">
        <v>-3.0319820000000002</v>
      </c>
      <c r="T1950">
        <v>-5.5801030000000001E-2</v>
      </c>
      <c r="U1950">
        <v>-0.4873962</v>
      </c>
      <c r="V1950">
        <v>6.8624899999999905E-2</v>
      </c>
      <c r="W1950">
        <v>1.7822420000000001E-3</v>
      </c>
      <c r="X1950">
        <v>0.997641</v>
      </c>
      <c r="Y1950">
        <v>-0.14711070000000001</v>
      </c>
      <c r="Z1950">
        <v>-1.1307509999999999E-3</v>
      </c>
      <c r="AA1950">
        <v>0.98911939999999998</v>
      </c>
      <c r="AB1950">
        <v>35</v>
      </c>
      <c r="AC1950">
        <v>-62.800299999999901</v>
      </c>
      <c r="AD1950">
        <v>-1.159503</v>
      </c>
      <c r="AE1950">
        <v>-10.125499999999899</v>
      </c>
      <c r="AF1950">
        <v>-9.3857463840529398</v>
      </c>
      <c r="AG1950">
        <v>-1.159503</v>
      </c>
      <c r="AH1950">
        <v>62.893748816985799</v>
      </c>
      <c r="AI1950">
        <v>91.044614544356804</v>
      </c>
      <c r="AJ1950">
        <v>98.487713829368502</v>
      </c>
      <c r="AK1950">
        <v>63.6007886951638</v>
      </c>
      <c r="AL1950">
        <v>89.897885007302904</v>
      </c>
      <c r="AM1950">
        <v>86.064984128699706</v>
      </c>
      <c r="AN1950">
        <v>1.0000000590837701</v>
      </c>
    </row>
    <row r="1951" spans="1:40" x14ac:dyDescent="0.25">
      <c r="A1951" t="str">
        <f>"20190312154835416"</f>
        <v>20190312154835416</v>
      </c>
      <c r="B1951" t="str">
        <f>"1552376915408414"</f>
        <v>1552376915408414</v>
      </c>
      <c r="C1951" t="s">
        <v>40</v>
      </c>
      <c r="D1951">
        <v>4.883915</v>
      </c>
      <c r="E1951">
        <v>0.41523070000000001</v>
      </c>
      <c r="F1951" t="s">
        <v>51</v>
      </c>
      <c r="G1951">
        <v>-310.10910000000001</v>
      </c>
      <c r="H1951">
        <v>8.0001619999999996E-2</v>
      </c>
      <c r="I1951">
        <v>275.16390000000001</v>
      </c>
      <c r="J1951">
        <v>-264.29640000000001</v>
      </c>
      <c r="K1951">
        <v>1.109502</v>
      </c>
      <c r="L1951">
        <v>282.64839999999998</v>
      </c>
      <c r="M1951">
        <v>-0.99982720000000003</v>
      </c>
      <c r="N1951">
        <v>0</v>
      </c>
      <c r="O1951">
        <v>-1.143192E-2</v>
      </c>
      <c r="P1951">
        <v>-0.99827460000000001</v>
      </c>
      <c r="Q1951">
        <v>-1.283377E-2</v>
      </c>
      <c r="R1951">
        <v>5.7300549999999999E-2</v>
      </c>
      <c r="S1951">
        <v>-3.0323180000000001</v>
      </c>
      <c r="T1951">
        <v>-6.7651989999999995E-2</v>
      </c>
      <c r="U1951">
        <v>-0.49206539999999999</v>
      </c>
      <c r="V1951">
        <v>6.8711530000000007E-2</v>
      </c>
      <c r="W1951">
        <v>1.746002E-3</v>
      </c>
      <c r="X1951">
        <v>0.9976351</v>
      </c>
      <c r="Y1951">
        <v>-0.14884910000000001</v>
      </c>
      <c r="Z1951">
        <v>-1.3961189999999999E-3</v>
      </c>
      <c r="AA1951">
        <v>0.98885889999999999</v>
      </c>
      <c r="AB1951">
        <v>35</v>
      </c>
      <c r="AC1951">
        <v>-45.8127</v>
      </c>
      <c r="AD1951">
        <v>-1.02950038</v>
      </c>
      <c r="AE1951">
        <v>-7.4844999999999597</v>
      </c>
      <c r="AF1951">
        <v>-6.9568056321378</v>
      </c>
      <c r="AG1951">
        <v>-1.02950038</v>
      </c>
      <c r="AH1951">
        <v>45.872714087704502</v>
      </c>
      <c r="AI1951">
        <v>91.271117864572204</v>
      </c>
      <c r="AJ1951">
        <v>98.623455507626403</v>
      </c>
      <c r="AK1951">
        <v>46.408651277623299</v>
      </c>
      <c r="AL1951">
        <v>89.899961409333898</v>
      </c>
      <c r="AM1951">
        <v>86.060009091075301</v>
      </c>
      <c r="AN1951">
        <v>1.0000000578149599</v>
      </c>
    </row>
    <row r="1952" spans="1:40" x14ac:dyDescent="0.25">
      <c r="A1952" t="str">
        <f>"20190312154835439"</f>
        <v>20190312154835439</v>
      </c>
      <c r="B1952" t="str">
        <f>"1552376915427934"</f>
        <v>1552376915427934</v>
      </c>
      <c r="C1952" t="s">
        <v>40</v>
      </c>
      <c r="D1952">
        <v>4.8475609999999998</v>
      </c>
      <c r="E1952">
        <v>0.41534189999999999</v>
      </c>
      <c r="F1952" t="s">
        <v>51</v>
      </c>
      <c r="G1952">
        <v>-307.11239999999998</v>
      </c>
      <c r="H1952" s="1">
        <v>4.2721540000000004E-6</v>
      </c>
      <c r="I1952">
        <v>275.5163</v>
      </c>
      <c r="J1952">
        <v>-264.6515</v>
      </c>
      <c r="K1952">
        <v>1.109499</v>
      </c>
      <c r="L1952">
        <v>282.6447</v>
      </c>
      <c r="M1952">
        <v>-0.99983080000000002</v>
      </c>
      <c r="N1952">
        <v>0</v>
      </c>
      <c r="O1952">
        <v>-1.112312E-2</v>
      </c>
      <c r="P1952">
        <v>-0.99824040000000003</v>
      </c>
      <c r="Q1952">
        <v>-1.250063E-2</v>
      </c>
      <c r="R1952">
        <v>5.7967930000000001E-2</v>
      </c>
      <c r="S1952">
        <v>-3.0331730000000001</v>
      </c>
      <c r="T1952">
        <v>-7.8599100000000005E-2</v>
      </c>
      <c r="U1952">
        <v>-0.50524899999999995</v>
      </c>
      <c r="V1952">
        <v>6.9070580000000006E-2</v>
      </c>
      <c r="W1952">
        <v>2.074542E-3</v>
      </c>
      <c r="X1952">
        <v>0.99760959999999999</v>
      </c>
      <c r="Y1952">
        <v>-0.15328079999999999</v>
      </c>
      <c r="Z1952">
        <v>-1.685906E-3</v>
      </c>
      <c r="AA1952">
        <v>0.98818119999999998</v>
      </c>
      <c r="AB1952">
        <v>35</v>
      </c>
      <c r="AC1952">
        <v>-42.460899999999903</v>
      </c>
      <c r="AD1952">
        <v>-1.1094947278459999</v>
      </c>
      <c r="AE1952">
        <v>-7.1283999999999903</v>
      </c>
      <c r="AF1952">
        <v>-6.6511938031806501</v>
      </c>
      <c r="AG1952">
        <v>-1.1094947278459999</v>
      </c>
      <c r="AH1952">
        <v>42.509342848213201</v>
      </c>
      <c r="AI1952">
        <v>91.477118316525605</v>
      </c>
      <c r="AJ1952">
        <v>98.892643608796703</v>
      </c>
      <c r="AK1952">
        <v>43.040836271447198</v>
      </c>
      <c r="AL1952">
        <v>89.881137411505307</v>
      </c>
      <c r="AM1952">
        <v>86.039385226371294</v>
      </c>
      <c r="AN1952">
        <v>0.99999998137910195</v>
      </c>
    </row>
    <row r="1953" spans="1:40" x14ac:dyDescent="0.25">
      <c r="A1953" t="str">
        <f>"20190312154835460"</f>
        <v>20190312154835460</v>
      </c>
      <c r="B1953" t="str">
        <f>"1552376915458191"</f>
        <v>1552376915458191</v>
      </c>
      <c r="C1953" t="s">
        <v>40</v>
      </c>
      <c r="D1953">
        <v>4.8687969999999998</v>
      </c>
      <c r="E1953">
        <v>0.41520800000000002</v>
      </c>
      <c r="F1953" t="s">
        <v>51</v>
      </c>
      <c r="G1953">
        <v>-299.50130000000001</v>
      </c>
      <c r="H1953" s="1">
        <v>5.3017140000000004E-6</v>
      </c>
      <c r="I1953">
        <v>276.86250000000001</v>
      </c>
      <c r="J1953">
        <v>-264.97930000000002</v>
      </c>
      <c r="K1953">
        <v>1.10949599999999</v>
      </c>
      <c r="L1953">
        <v>282.6413</v>
      </c>
      <c r="M1953">
        <v>-0.999834</v>
      </c>
      <c r="N1953">
        <v>0</v>
      </c>
      <c r="O1953">
        <v>-1.0835890000000001E-2</v>
      </c>
      <c r="P1953">
        <v>-0.99820549999999997</v>
      </c>
      <c r="Q1953">
        <v>-1.2722509999999999E-2</v>
      </c>
      <c r="R1953">
        <v>5.851783E-2</v>
      </c>
      <c r="S1953">
        <v>-3.033264</v>
      </c>
      <c r="T1953">
        <v>-9.6568109999999999E-2</v>
      </c>
      <c r="U1953">
        <v>-0.50326539999999997</v>
      </c>
      <c r="V1953">
        <v>6.9333510000000001E-2</v>
      </c>
      <c r="W1953">
        <v>1.848999E-3</v>
      </c>
      <c r="X1953">
        <v>0.99759189999999998</v>
      </c>
      <c r="Y1953">
        <v>-0.1529073</v>
      </c>
      <c r="Z1953">
        <v>-2.0743789999999999E-3</v>
      </c>
      <c r="AA1953">
        <v>0.98823830000000001</v>
      </c>
      <c r="AB1953">
        <v>35</v>
      </c>
      <c r="AC1953">
        <v>-34.521999999999899</v>
      </c>
      <c r="AD1953">
        <v>-1.10949069828599</v>
      </c>
      <c r="AE1953">
        <v>-5.7787999999999897</v>
      </c>
      <c r="AF1953">
        <v>-5.3989194154326299</v>
      </c>
      <c r="AG1953">
        <v>-1.10949069828599</v>
      </c>
      <c r="AH1953">
        <v>34.547886314697301</v>
      </c>
      <c r="AI1953">
        <v>91.8173551800475</v>
      </c>
      <c r="AJ1953">
        <v>98.881973998943906</v>
      </c>
      <c r="AK1953">
        <v>34.984793114682901</v>
      </c>
      <c r="AL1953">
        <v>89.894060108734493</v>
      </c>
      <c r="AM1953">
        <v>86.024286353400299</v>
      </c>
      <c r="AN1953">
        <v>1.0000000766759101</v>
      </c>
    </row>
    <row r="1954" spans="1:40" x14ac:dyDescent="0.25">
      <c r="A1954" t="str">
        <f>"20190312154835472"</f>
        <v>20190312154835472</v>
      </c>
      <c r="B1954" t="str">
        <f>"1552376915467951"</f>
        <v>1552376915467951</v>
      </c>
      <c r="C1954" t="s">
        <v>40</v>
      </c>
      <c r="D1954">
        <v>4.8146259999999996</v>
      </c>
      <c r="E1954">
        <v>0.41517799999999999</v>
      </c>
      <c r="F1954" t="s">
        <v>51</v>
      </c>
      <c r="G1954">
        <v>-295.87779999999998</v>
      </c>
      <c r="H1954" s="1">
        <v>4.4278299999999998E-6</v>
      </c>
      <c r="I1954">
        <v>277.51639999999998</v>
      </c>
      <c r="J1954">
        <v>-265.17160000000001</v>
      </c>
      <c r="K1954">
        <v>1.109499</v>
      </c>
      <c r="L1954">
        <v>282.63929999999999</v>
      </c>
      <c r="M1954">
        <v>-0.99983580000000005</v>
      </c>
      <c r="N1954">
        <v>0</v>
      </c>
      <c r="O1954">
        <v>-1.0666109999999999E-2</v>
      </c>
      <c r="P1954">
        <v>-0.99818240000000003</v>
      </c>
      <c r="Q1954">
        <v>-1.2823640000000001E-2</v>
      </c>
      <c r="R1954">
        <v>5.8887019999999998E-2</v>
      </c>
      <c r="S1954">
        <v>-3.0335079999999999</v>
      </c>
      <c r="T1954">
        <v>-0.1089258</v>
      </c>
      <c r="U1954">
        <v>-0.50314329999999996</v>
      </c>
      <c r="V1954">
        <v>6.9532739999999996E-2</v>
      </c>
      <c r="W1954">
        <v>1.7450479999999999E-3</v>
      </c>
      <c r="X1954">
        <v>0.99757810000000002</v>
      </c>
      <c r="Y1954">
        <v>-0.15300439999999901</v>
      </c>
      <c r="Z1954">
        <v>-2.3472810000000001E-3</v>
      </c>
      <c r="AA1954">
        <v>0.98822270000000001</v>
      </c>
      <c r="AB1954">
        <v>35</v>
      </c>
      <c r="AC1954">
        <v>-30.7061999999999</v>
      </c>
      <c r="AD1954">
        <v>-1.10949457217</v>
      </c>
      <c r="AE1954">
        <v>-5.1229000000000102</v>
      </c>
      <c r="AF1954">
        <v>-4.7889746694285504</v>
      </c>
      <c r="AG1954">
        <v>-1.10949457217</v>
      </c>
      <c r="AH1954">
        <v>30.720079279204</v>
      </c>
      <c r="AI1954">
        <v>92.043747522299796</v>
      </c>
      <c r="AJ1954">
        <v>98.860562307316599</v>
      </c>
      <c r="AK1954">
        <v>31.1109068898784</v>
      </c>
      <c r="AL1954">
        <v>89.900016059443999</v>
      </c>
      <c r="AM1954">
        <v>86.012843946379903</v>
      </c>
      <c r="AN1954">
        <v>0.99999995636201899</v>
      </c>
    </row>
    <row r="1955" spans="1:40" x14ac:dyDescent="0.25">
      <c r="A1955" t="str">
        <f>"20190312154835486"</f>
        <v>20190312154835486</v>
      </c>
      <c r="B1955" t="str">
        <f>"1552376915478686"</f>
        <v>1552376915478686</v>
      </c>
      <c r="C1955" t="s">
        <v>40</v>
      </c>
      <c r="D1955">
        <v>4.8507059999999997</v>
      </c>
      <c r="E1955">
        <v>0.41517389999999998</v>
      </c>
      <c r="F1955" t="s">
        <v>51</v>
      </c>
      <c r="G1955">
        <v>-296.39280000000002</v>
      </c>
      <c r="H1955" s="1">
        <v>4.5343629999999998E-6</v>
      </c>
      <c r="I1955">
        <v>277.47340000000003</v>
      </c>
      <c r="J1955">
        <v>-265.3777</v>
      </c>
      <c r="K1955">
        <v>1.109497</v>
      </c>
      <c r="L1955">
        <v>282.63729999999998</v>
      </c>
      <c r="M1955">
        <v>-0.9998378</v>
      </c>
      <c r="N1955">
        <v>0</v>
      </c>
      <c r="O1955">
        <v>-1.048346E-2</v>
      </c>
      <c r="P1955">
        <v>-0.9981622</v>
      </c>
      <c r="Q1955">
        <v>-1.272033E-2</v>
      </c>
      <c r="R1955">
        <v>5.9252230000000003E-2</v>
      </c>
      <c r="S1955">
        <v>-3.03363</v>
      </c>
      <c r="T1955">
        <v>-0.10780480000000001</v>
      </c>
      <c r="U1955">
        <v>-0.50195310000000004</v>
      </c>
      <c r="V1955">
        <v>6.9715849999999996E-2</v>
      </c>
      <c r="W1955">
        <v>1.845661E-3</v>
      </c>
      <c r="X1955">
        <v>0.99756520000000004</v>
      </c>
      <c r="Y1955">
        <v>-0.15280299999999999</v>
      </c>
      <c r="Z1955">
        <v>-2.3260080000000001E-3</v>
      </c>
      <c r="AA1955">
        <v>0.98825399999999997</v>
      </c>
      <c r="AB1955">
        <v>35</v>
      </c>
      <c r="AC1955">
        <v>-31.0151</v>
      </c>
      <c r="AD1955">
        <v>-1.109492465637</v>
      </c>
      <c r="AE1955">
        <v>-5.1638999999999502</v>
      </c>
      <c r="AF1955">
        <v>-4.8324185732783</v>
      </c>
      <c r="AG1955">
        <v>-1.109492465637</v>
      </c>
      <c r="AH1955">
        <v>31.028900489144899</v>
      </c>
      <c r="AI1955">
        <v>92.023466449588099</v>
      </c>
      <c r="AJ1955">
        <v>98.852092121210504</v>
      </c>
      <c r="AK1955">
        <v>31.4225382228096</v>
      </c>
      <c r="AL1955">
        <v>89.894251356071706</v>
      </c>
      <c r="AM1955">
        <v>86.002326498393998</v>
      </c>
      <c r="AN1955">
        <v>1.00000001722839</v>
      </c>
    </row>
    <row r="1956" spans="1:40" x14ac:dyDescent="0.25">
      <c r="A1956" t="str">
        <f>"20190312154835504"</f>
        <v>20190312154835504</v>
      </c>
      <c r="B1956" t="str">
        <f>"1552376915498206"</f>
        <v>1552376915498206</v>
      </c>
      <c r="C1956" t="s">
        <v>40</v>
      </c>
      <c r="D1956">
        <v>4.8671230000000003</v>
      </c>
      <c r="E1956">
        <v>0.41522429999999999</v>
      </c>
      <c r="F1956" t="s">
        <v>51</v>
      </c>
      <c r="G1956">
        <v>-296.57299999999998</v>
      </c>
      <c r="H1956" s="1">
        <v>4.5615310000000001E-6</v>
      </c>
      <c r="I1956">
        <v>277.48700000000002</v>
      </c>
      <c r="J1956">
        <v>-265.66849999999999</v>
      </c>
      <c r="K1956">
        <v>1.10949599999999</v>
      </c>
      <c r="L1956">
        <v>282.6345</v>
      </c>
      <c r="M1956">
        <v>-0.99984050000000002</v>
      </c>
      <c r="N1956">
        <v>0</v>
      </c>
      <c r="O1956">
        <v>-1.022474E-2</v>
      </c>
      <c r="P1956">
        <v>-0.99814119999999995</v>
      </c>
      <c r="Q1956">
        <v>-1.2765779999999999E-2</v>
      </c>
      <c r="R1956">
        <v>5.9593640000000003E-2</v>
      </c>
      <c r="S1956">
        <v>-3.0338440000000002</v>
      </c>
      <c r="T1956">
        <v>-0.1079019</v>
      </c>
      <c r="U1956">
        <v>-0.50088500000000002</v>
      </c>
      <c r="V1956">
        <v>6.9798799999999994E-2</v>
      </c>
      <c r="W1956">
        <v>1.7965469999999999E-3</v>
      </c>
      <c r="X1956">
        <v>0.99755950000000004</v>
      </c>
      <c r="Y1956">
        <v>-0.1527086</v>
      </c>
      <c r="Z1956">
        <v>-2.3354740000000001E-3</v>
      </c>
      <c r="AA1956">
        <v>0.98826849999999999</v>
      </c>
      <c r="AB1956">
        <v>35</v>
      </c>
      <c r="AC1956">
        <v>-30.904499999999899</v>
      </c>
      <c r="AD1956">
        <v>-1.10949143846899</v>
      </c>
      <c r="AE1956">
        <v>-5.1474999999999804</v>
      </c>
      <c r="AF1956">
        <v>-4.8251554415604403</v>
      </c>
      <c r="AG1956">
        <v>-1.10949143846899</v>
      </c>
      <c r="AH1956">
        <v>30.9167500294432</v>
      </c>
      <c r="AI1956">
        <v>92.030696637508598</v>
      </c>
      <c r="AJ1956">
        <v>98.870552098253398</v>
      </c>
      <c r="AK1956">
        <v>31.310677550483199</v>
      </c>
      <c r="AL1956">
        <v>89.897065386718793</v>
      </c>
      <c r="AM1956">
        <v>85.9975626015122</v>
      </c>
      <c r="AN1956">
        <v>1.0000000280514001</v>
      </c>
    </row>
    <row r="1957" spans="1:40" x14ac:dyDescent="0.25">
      <c r="A1957" t="str">
        <f>"20190312154835527"</f>
        <v>20190312154835527</v>
      </c>
      <c r="B1957" t="str">
        <f>"1552376915517730"</f>
        <v>1552376915517730</v>
      </c>
      <c r="C1957" t="s">
        <v>40</v>
      </c>
      <c r="D1957">
        <v>6.0874259999999998</v>
      </c>
      <c r="E1957">
        <v>0.41420079999999998</v>
      </c>
      <c r="F1957" t="s">
        <v>51</v>
      </c>
      <c r="G1957">
        <v>-296.57010000000002</v>
      </c>
      <c r="H1957" s="1">
        <v>4.5402390000000002E-6</v>
      </c>
      <c r="I1957">
        <v>277.54579999999999</v>
      </c>
      <c r="J1957">
        <v>-266.01749999999998</v>
      </c>
      <c r="K1957">
        <v>1.10949599999999</v>
      </c>
      <c r="L1957">
        <v>282.63130000000001</v>
      </c>
      <c r="M1957">
        <v>-0.9998437</v>
      </c>
      <c r="N1957">
        <v>0</v>
      </c>
      <c r="O1957">
        <v>-9.9103379999999994E-3</v>
      </c>
      <c r="P1957">
        <v>-0.99811479999999997</v>
      </c>
      <c r="Q1957">
        <v>-1.2936609999999999E-2</v>
      </c>
      <c r="R1957">
        <v>5.9994810000000003E-2</v>
      </c>
      <c r="S1957">
        <v>-3.0340579999999999</v>
      </c>
      <c r="T1957">
        <v>-0.1089348</v>
      </c>
      <c r="U1957">
        <v>-0.49963380000000002</v>
      </c>
      <c r="V1957">
        <v>6.9885840000000005E-2</v>
      </c>
      <c r="W1957">
        <v>1.6220239999999999E-3</v>
      </c>
      <c r="X1957">
        <v>0.99755369999999999</v>
      </c>
      <c r="Y1957">
        <v>-0.15260960000000001</v>
      </c>
      <c r="Z1957">
        <v>-2.3671709999999999E-3</v>
      </c>
      <c r="AA1957">
        <v>0.98828369999999999</v>
      </c>
      <c r="AB1957">
        <v>35</v>
      </c>
      <c r="AC1957">
        <v>-30.552600000000002</v>
      </c>
      <c r="AD1957">
        <v>-1.10949145976099</v>
      </c>
      <c r="AE1957">
        <v>-5.0855000000000201</v>
      </c>
      <c r="AF1957">
        <v>-4.77630236618183</v>
      </c>
      <c r="AG1957">
        <v>-1.10949145976099</v>
      </c>
      <c r="AH1957">
        <v>30.562287228619901</v>
      </c>
      <c r="AI1957">
        <v>92.054162508141602</v>
      </c>
      <c r="AJ1957">
        <v>98.882388508492497</v>
      </c>
      <c r="AK1957">
        <v>30.9531490520292</v>
      </c>
      <c r="AL1957">
        <v>89.907064831916003</v>
      </c>
      <c r="AM1957">
        <v>85.9925645380806</v>
      </c>
      <c r="AN1957">
        <v>1.00000002298902</v>
      </c>
    </row>
    <row r="1958" spans="1:40" x14ac:dyDescent="0.25">
      <c r="A1958" t="str">
        <f>"20190312154835539"</f>
        <v>20190312154835539</v>
      </c>
      <c r="B1958" t="str">
        <f>"1552376915527486"</f>
        <v>1552376915527486</v>
      </c>
      <c r="C1958" t="s">
        <v>40</v>
      </c>
      <c r="D1958">
        <v>4.8887729999999996</v>
      </c>
      <c r="E1958">
        <v>0.41420079999999998</v>
      </c>
      <c r="F1958" t="s">
        <v>51</v>
      </c>
      <c r="G1958">
        <v>-296.3399</v>
      </c>
      <c r="H1958" s="1">
        <v>4.4907309999999998E-6</v>
      </c>
      <c r="I1958">
        <v>277.57029999999997</v>
      </c>
      <c r="J1958">
        <v>-266.21260000000001</v>
      </c>
      <c r="K1958">
        <v>1.109494</v>
      </c>
      <c r="L1958">
        <v>282.62950000000001</v>
      </c>
      <c r="M1958">
        <v>-0.9998456</v>
      </c>
      <c r="N1958">
        <v>0</v>
      </c>
      <c r="O1958">
        <v>-9.7340010000000008E-3</v>
      </c>
      <c r="P1958">
        <v>-0.99810339999999997</v>
      </c>
      <c r="Q1958">
        <v>-1.3013780000000001E-2</v>
      </c>
      <c r="R1958">
        <v>6.0171500000000003E-2</v>
      </c>
      <c r="S1958">
        <v>-3.034637</v>
      </c>
      <c r="T1958">
        <v>-0.1110371</v>
      </c>
      <c r="U1958">
        <v>-0.50650019999999996</v>
      </c>
      <c r="V1958">
        <v>6.9886450000000003E-2</v>
      </c>
      <c r="W1958">
        <v>1.542393E-3</v>
      </c>
      <c r="X1958">
        <v>0.99755380000000005</v>
      </c>
      <c r="Y1958">
        <v>-0.15492449999999999</v>
      </c>
      <c r="Z1958">
        <v>-2.4603799999999999E-3</v>
      </c>
      <c r="AA1958">
        <v>0.98792329999999995</v>
      </c>
      <c r="AB1958">
        <v>35</v>
      </c>
      <c r="AC1958">
        <v>-30.127299999999899</v>
      </c>
      <c r="AD1958">
        <v>-1.109489509269</v>
      </c>
      <c r="AE1958">
        <v>-5.0592000000000299</v>
      </c>
      <c r="AF1958">
        <v>-4.7593920134873704</v>
      </c>
      <c r="AG1958">
        <v>-1.109489509269</v>
      </c>
      <c r="AH1958">
        <v>30.1353749947708</v>
      </c>
      <c r="AI1958">
        <v>92.082706256950601</v>
      </c>
      <c r="AJ1958">
        <v>98.974806096213499</v>
      </c>
      <c r="AK1958">
        <v>30.5290616525416</v>
      </c>
      <c r="AL1958">
        <v>89.911627359190305</v>
      </c>
      <c r="AM1958">
        <v>85.992530073486506</v>
      </c>
      <c r="AN1958">
        <v>1.0000000393821</v>
      </c>
    </row>
    <row r="1959" spans="1:40" x14ac:dyDescent="0.25">
      <c r="A1959" t="str">
        <f>"20190312154835552"</f>
        <v>20190312154835552</v>
      </c>
      <c r="B1959" t="str">
        <f>"1552376915547983"</f>
        <v>1552376915547983</v>
      </c>
      <c r="C1959" t="s">
        <v>40</v>
      </c>
      <c r="D1959">
        <v>4.9469430000000001</v>
      </c>
      <c r="E1959">
        <v>0.41787730000000001</v>
      </c>
      <c r="F1959" t="s">
        <v>51</v>
      </c>
      <c r="G1959">
        <v>-296.5104</v>
      </c>
      <c r="H1959" s="1">
        <v>4.5189159999999996E-6</v>
      </c>
      <c r="I1959">
        <v>277.5761</v>
      </c>
      <c r="J1959">
        <v>-266.41050000000001</v>
      </c>
      <c r="K1959">
        <v>1.1094930000000001</v>
      </c>
      <c r="L1959">
        <v>282.6277</v>
      </c>
      <c r="M1959">
        <v>-0.99984740000000005</v>
      </c>
      <c r="N1959">
        <v>0</v>
      </c>
      <c r="O1959">
        <v>-9.5542100000000005E-3</v>
      </c>
      <c r="P1959">
        <v>-0.99808540000000001</v>
      </c>
      <c r="Q1959">
        <v>-1.329588E-2</v>
      </c>
      <c r="R1959">
        <v>6.0408490000000002E-2</v>
      </c>
      <c r="S1959">
        <v>-3.034729</v>
      </c>
      <c r="T1959">
        <v>-0.111130199999999</v>
      </c>
      <c r="U1959">
        <v>-0.50616459999999996</v>
      </c>
      <c r="V1959">
        <v>6.9943729999999996E-2</v>
      </c>
      <c r="W1959">
        <v>1.2581980000000001E-3</v>
      </c>
      <c r="X1959">
        <v>0.9975501</v>
      </c>
      <c r="Y1959">
        <v>-0.15499070000000001</v>
      </c>
      <c r="Z1959">
        <v>-2.4701279999999998E-3</v>
      </c>
      <c r="AA1959">
        <v>0.98791280000000004</v>
      </c>
      <c r="AB1959">
        <v>35</v>
      </c>
      <c r="AC1959">
        <v>-30.099899999999899</v>
      </c>
      <c r="AD1959">
        <v>-1.109488481084</v>
      </c>
      <c r="AE1959">
        <v>-5.0515999999999996</v>
      </c>
      <c r="AF1959">
        <v>-4.7574710755454399</v>
      </c>
      <c r="AG1959">
        <v>-1.109488481084</v>
      </c>
      <c r="AH1959">
        <v>30.1070100402391</v>
      </c>
      <c r="AI1959">
        <v>92.084637508461199</v>
      </c>
      <c r="AJ1959">
        <v>98.979557189435397</v>
      </c>
      <c r="AK1959">
        <v>30.500763093525499</v>
      </c>
      <c r="AL1959">
        <v>89.927910542559601</v>
      </c>
      <c r="AM1959">
        <v>85.989241377355796</v>
      </c>
      <c r="AN1959">
        <v>0.99999995521926399</v>
      </c>
    </row>
    <row r="1960" spans="1:40" x14ac:dyDescent="0.25">
      <c r="A1960" t="str">
        <f>"20190312154835572"</f>
        <v>20190312154835572</v>
      </c>
      <c r="B1960" t="str">
        <f>"1552376915557743"</f>
        <v>1552376915557743</v>
      </c>
      <c r="C1960" t="s">
        <v>40</v>
      </c>
      <c r="D1960">
        <v>4.8698980000000001</v>
      </c>
      <c r="E1960">
        <v>0.50136559999999997</v>
      </c>
      <c r="F1960" t="s">
        <v>51</v>
      </c>
      <c r="G1960">
        <v>-298.29250000000002</v>
      </c>
      <c r="H1960" s="1">
        <v>4.8170099999999996E-6</v>
      </c>
      <c r="I1960">
        <v>277.62709999999998</v>
      </c>
      <c r="J1960">
        <v>-266.70650000000001</v>
      </c>
      <c r="K1960">
        <v>1.1094919999999999</v>
      </c>
      <c r="L1960">
        <v>282.62520000000001</v>
      </c>
      <c r="M1960">
        <v>-0.99984980000000001</v>
      </c>
      <c r="N1960">
        <v>0</v>
      </c>
      <c r="O1960">
        <v>-9.2836919999999996E-3</v>
      </c>
      <c r="P1960">
        <v>-0.99806329999999999</v>
      </c>
      <c r="Q1960">
        <v>-1.352212E-2</v>
      </c>
      <c r="R1960">
        <v>6.0721360000000002E-2</v>
      </c>
      <c r="S1960">
        <v>-3.033112</v>
      </c>
      <c r="T1960">
        <v>-0.1055517</v>
      </c>
      <c r="U1960">
        <v>-0.47573850000000001</v>
      </c>
      <c r="V1960">
        <v>6.9986320000000005E-2</v>
      </c>
      <c r="W1960">
        <v>1.027886E-3</v>
      </c>
      <c r="X1960">
        <v>0.99754739999999997</v>
      </c>
      <c r="Y1960">
        <v>-0.14569409999999999</v>
      </c>
      <c r="Z1960">
        <v>-2.197928E-3</v>
      </c>
      <c r="AA1960">
        <v>0.98932730000000002</v>
      </c>
      <c r="AB1960">
        <v>35</v>
      </c>
      <c r="AC1960">
        <v>-31.585999999999999</v>
      </c>
      <c r="AD1960">
        <v>-1.1094871829899999</v>
      </c>
      <c r="AE1960">
        <v>-4.9981000000000204</v>
      </c>
      <c r="AF1960">
        <v>-4.6989623627166104</v>
      </c>
      <c r="AG1960">
        <v>-1.1094871829899999</v>
      </c>
      <c r="AH1960">
        <v>31.593016105987701</v>
      </c>
      <c r="AI1960">
        <v>91.989426565752595</v>
      </c>
      <c r="AJ1960">
        <v>98.459824065639197</v>
      </c>
      <c r="AK1960">
        <v>31.959816579083199</v>
      </c>
      <c r="AL1960">
        <v>89.941106458736101</v>
      </c>
      <c r="AM1960">
        <v>85.9867963048315</v>
      </c>
      <c r="AN1960">
        <v>0.99999997839176502</v>
      </c>
    </row>
    <row r="1961" spans="1:40" x14ac:dyDescent="0.25">
      <c r="A1961" t="str">
        <f>"20190312154835584"</f>
        <v>20190312154835584</v>
      </c>
      <c r="B1961" t="str">
        <f>"1552376915578238"</f>
        <v>1552376915578238</v>
      </c>
      <c r="C1961" t="s">
        <v>40</v>
      </c>
      <c r="D1961">
        <v>4.8774949999999997</v>
      </c>
      <c r="E1961">
        <v>0.5144126</v>
      </c>
      <c r="F1961" t="s">
        <v>51</v>
      </c>
      <c r="G1961">
        <v>-297.3485</v>
      </c>
      <c r="H1961" s="1">
        <v>3.5130999999999999E-6</v>
      </c>
      <c r="I1961">
        <v>284.57240000000002</v>
      </c>
      <c r="J1961">
        <v>-266.91239999999999</v>
      </c>
      <c r="K1961">
        <v>1.109491</v>
      </c>
      <c r="L1961">
        <v>282.6234</v>
      </c>
      <c r="M1961">
        <v>-0.99985159999999995</v>
      </c>
      <c r="N1961">
        <v>0</v>
      </c>
      <c r="O1961">
        <v>-9.0948409999999993E-3</v>
      </c>
      <c r="P1961">
        <v>-0.99805029999999995</v>
      </c>
      <c r="Q1961">
        <v>-1.343714E-2</v>
      </c>
      <c r="R1961">
        <v>6.0952230000000003E-2</v>
      </c>
      <c r="S1961">
        <v>-2.9928279999999998</v>
      </c>
      <c r="T1961">
        <v>-0.10836469999999999</v>
      </c>
      <c r="U1961">
        <v>0.19018550000000001</v>
      </c>
      <c r="V1961">
        <v>7.0028580000000007E-2</v>
      </c>
      <c r="W1961">
        <v>1.1103790000000001E-3</v>
      </c>
      <c r="X1961">
        <v>0.99754430000000005</v>
      </c>
      <c r="Y1961">
        <v>7.2440840000000006E-2</v>
      </c>
      <c r="Z1961">
        <v>1.6386479999999999E-3</v>
      </c>
      <c r="AA1961">
        <v>0.99737140000000002</v>
      </c>
      <c r="AB1961">
        <v>35</v>
      </c>
      <c r="AC1961">
        <v>-30.4361</v>
      </c>
      <c r="AD1961">
        <v>-1.1094874869</v>
      </c>
      <c r="AE1961">
        <v>1.9490000000000101</v>
      </c>
      <c r="AF1961">
        <v>2.2228188284854302</v>
      </c>
      <c r="AG1961">
        <v>-1.1094874869</v>
      </c>
      <c r="AH1961">
        <v>30.376912519860198</v>
      </c>
      <c r="AI1961">
        <v>92.086170567850303</v>
      </c>
      <c r="AJ1961">
        <v>85.814862657442603</v>
      </c>
      <c r="AK1961">
        <v>30.4783316516356</v>
      </c>
      <c r="AL1961">
        <v>89.936379952285705</v>
      </c>
      <c r="AM1961">
        <v>85.984368489967693</v>
      </c>
      <c r="AN1961">
        <v>0.99999993271041299</v>
      </c>
    </row>
    <row r="1962" spans="1:40" x14ac:dyDescent="0.25">
      <c r="A1962" t="str">
        <f>"20190312154835605"</f>
        <v>20190312154835605</v>
      </c>
      <c r="B1962" t="str">
        <f>"1552376915597759"</f>
        <v>1552376915597759</v>
      </c>
      <c r="C1962" t="s">
        <v>40</v>
      </c>
      <c r="D1962">
        <v>4.8098289999999997</v>
      </c>
      <c r="E1962">
        <v>0.5188469</v>
      </c>
      <c r="F1962" t="s">
        <v>51</v>
      </c>
      <c r="G1962">
        <v>-301.29899999999998</v>
      </c>
      <c r="H1962" s="1">
        <v>3.6111789999999999E-6</v>
      </c>
      <c r="I1962">
        <v>286.02330000000001</v>
      </c>
      <c r="J1962">
        <v>-267.21969999999999</v>
      </c>
      <c r="K1962">
        <v>1.1094850000000001</v>
      </c>
      <c r="L1962">
        <v>282.62090000000001</v>
      </c>
      <c r="M1962">
        <v>-0.99985420000000003</v>
      </c>
      <c r="N1962">
        <v>0</v>
      </c>
      <c r="O1962">
        <v>-8.8113289999999997E-3</v>
      </c>
      <c r="P1962">
        <v>-0.99803419999999998</v>
      </c>
      <c r="Q1962">
        <v>-1.334809E-2</v>
      </c>
      <c r="R1962">
        <v>6.1236239999999997E-2</v>
      </c>
      <c r="S1962">
        <v>-2.986542</v>
      </c>
      <c r="T1962">
        <v>-9.6361039999999995E-2</v>
      </c>
      <c r="U1962">
        <v>0.2952881</v>
      </c>
      <c r="V1962">
        <v>7.0029880000000003E-2</v>
      </c>
      <c r="W1962">
        <v>1.1962089999999999E-3</v>
      </c>
      <c r="X1962">
        <v>0.99754419999999999</v>
      </c>
      <c r="Y1962">
        <v>0.1070991</v>
      </c>
      <c r="Z1962">
        <v>2.0067259999999999E-3</v>
      </c>
      <c r="AA1962">
        <v>0.99424630000000003</v>
      </c>
      <c r="AB1962">
        <v>35</v>
      </c>
      <c r="AC1962">
        <v>-34.079300000000003</v>
      </c>
      <c r="AD1962">
        <v>-1.109481388821</v>
      </c>
      <c r="AE1962">
        <v>3.4024000000000001</v>
      </c>
      <c r="AF1962">
        <v>3.6987024299350799</v>
      </c>
      <c r="AG1962">
        <v>-1.109481388821</v>
      </c>
      <c r="AH1962">
        <v>34.012300519514703</v>
      </c>
      <c r="AI1962">
        <v>91.857383675313699</v>
      </c>
      <c r="AJ1962">
        <v>83.793699752055403</v>
      </c>
      <c r="AK1962">
        <v>34.230803894257697</v>
      </c>
      <c r="AL1962">
        <v>89.931462258114195</v>
      </c>
      <c r="AM1962">
        <v>85.984293787028903</v>
      </c>
      <c r="AN1962">
        <v>1.00000002298121</v>
      </c>
    </row>
    <row r="1963" spans="1:40" x14ac:dyDescent="0.25">
      <c r="A1963" t="str">
        <f>"20190312154835629"</f>
        <v>20190312154835629</v>
      </c>
      <c r="B1963" t="str">
        <f>"1552376915618255"</f>
        <v>1552376915618255</v>
      </c>
      <c r="C1963" t="s">
        <v>40</v>
      </c>
      <c r="D1963">
        <v>4.7848360000000003</v>
      </c>
      <c r="E1963">
        <v>0.52052410000000005</v>
      </c>
      <c r="F1963" t="s">
        <v>51</v>
      </c>
      <c r="G1963">
        <v>-302.6925</v>
      </c>
      <c r="H1963" s="1">
        <v>3.316886E-6</v>
      </c>
      <c r="I1963">
        <v>286.56209999999999</v>
      </c>
      <c r="J1963">
        <v>-267.59519999999998</v>
      </c>
      <c r="K1963">
        <v>1.109488</v>
      </c>
      <c r="L1963">
        <v>282.61799999999999</v>
      </c>
      <c r="M1963">
        <v>-0.99985740000000001</v>
      </c>
      <c r="N1963">
        <v>0</v>
      </c>
      <c r="O1963">
        <v>-8.4611719999999994E-3</v>
      </c>
      <c r="P1963">
        <v>-0.99799800000000005</v>
      </c>
      <c r="Q1963">
        <v>-1.3408700000000001E-2</v>
      </c>
      <c r="R1963">
        <v>6.1809500000000003E-2</v>
      </c>
      <c r="S1963">
        <v>-2.9843139999999999</v>
      </c>
      <c r="T1963">
        <v>-9.3340279999999998E-2</v>
      </c>
      <c r="U1963">
        <v>0.33157350000000002</v>
      </c>
      <c r="V1963">
        <v>7.0253330000000003E-2</v>
      </c>
      <c r="W1963">
        <v>1.1308830000000001E-3</v>
      </c>
      <c r="X1963">
        <v>0.99752859999999999</v>
      </c>
      <c r="Y1963">
        <v>0.1187708</v>
      </c>
      <c r="Z1963">
        <v>2.1150710000000001E-3</v>
      </c>
      <c r="AA1963">
        <v>0.99291940000000001</v>
      </c>
      <c r="AB1963">
        <v>35</v>
      </c>
      <c r="AC1963">
        <v>-35.097299999999997</v>
      </c>
      <c r="AD1963">
        <v>-1.1094846831139999</v>
      </c>
      <c r="AE1963">
        <v>3.9440999999999899</v>
      </c>
      <c r="AF1963">
        <v>4.2367737945494701</v>
      </c>
      <c r="AG1963">
        <v>-1.1094846831139999</v>
      </c>
      <c r="AH1963">
        <v>35.028101102648897</v>
      </c>
      <c r="AI1963">
        <v>91.801069490478895</v>
      </c>
      <c r="AJ1963">
        <v>83.103372860656407</v>
      </c>
      <c r="AK1963">
        <v>35.300836750785997</v>
      </c>
      <c r="AL1963">
        <v>89.935205166959307</v>
      </c>
      <c r="AM1963">
        <v>85.971459875922207</v>
      </c>
      <c r="AN1963">
        <v>1.0000000585452</v>
      </c>
    </row>
    <row r="1964" spans="1:40" x14ac:dyDescent="0.25">
      <c r="A1964" t="str">
        <f>"20190312154835652"</f>
        <v>20190312154835652</v>
      </c>
      <c r="B1964" t="str">
        <f>"1552376915647535"</f>
        <v>1552376915647535</v>
      </c>
      <c r="C1964" t="s">
        <v>40</v>
      </c>
      <c r="D1964">
        <v>4.8069889999999997</v>
      </c>
      <c r="E1964">
        <v>0.52154009999999995</v>
      </c>
      <c r="F1964" t="s">
        <v>51</v>
      </c>
      <c r="G1964">
        <v>-304.56619999999998</v>
      </c>
      <c r="H1964" s="1">
        <v>2.9537050000000001E-6</v>
      </c>
      <c r="I1964">
        <v>286.91460000000001</v>
      </c>
      <c r="J1964">
        <v>-267.94170000000003</v>
      </c>
      <c r="K1964">
        <v>1.109488</v>
      </c>
      <c r="L1964">
        <v>282.61540000000002</v>
      </c>
      <c r="M1964">
        <v>-0.99985999999999997</v>
      </c>
      <c r="N1964">
        <v>0</v>
      </c>
      <c r="O1964">
        <v>-8.135092E-3</v>
      </c>
      <c r="P1964">
        <v>-0.99797270000000005</v>
      </c>
      <c r="Q1964">
        <v>-1.351572E-2</v>
      </c>
      <c r="R1964">
        <v>6.2195350000000003E-2</v>
      </c>
      <c r="S1964">
        <v>-2.9833069999999999</v>
      </c>
      <c r="T1964">
        <v>-8.952773E-2</v>
      </c>
      <c r="U1964">
        <v>0.34671020000000002</v>
      </c>
      <c r="V1964">
        <v>7.0313760000000003E-2</v>
      </c>
      <c r="W1964">
        <v>1.019303E-3</v>
      </c>
      <c r="X1964">
        <v>0.99752439999999998</v>
      </c>
      <c r="Y1964">
        <v>0.1234591</v>
      </c>
      <c r="Z1964">
        <v>2.0891619999999999E-3</v>
      </c>
      <c r="AA1964">
        <v>0.99234750000000005</v>
      </c>
      <c r="AB1964">
        <v>34</v>
      </c>
      <c r="AC1964">
        <v>-36.624499999999898</v>
      </c>
      <c r="AD1964">
        <v>-1.1094850462950001</v>
      </c>
      <c r="AE1964">
        <v>4.2991999999999804</v>
      </c>
      <c r="AF1964">
        <v>4.5928756587991799</v>
      </c>
      <c r="AG1964">
        <v>-1.1094850462950001</v>
      </c>
      <c r="AH1964">
        <v>36.555219036165198</v>
      </c>
      <c r="AI1964">
        <v>91.724893814946597</v>
      </c>
      <c r="AJ1964">
        <v>82.8387610823263</v>
      </c>
      <c r="AK1964">
        <v>36.859320431434398</v>
      </c>
      <c r="AL1964">
        <v>89.941598229720597</v>
      </c>
      <c r="AM1964">
        <v>85.967989139146397</v>
      </c>
      <c r="AN1964">
        <v>0.99999999620965097</v>
      </c>
    </row>
    <row r="1965" spans="1:40" x14ac:dyDescent="0.25">
      <c r="A1965" t="str">
        <f>"20190312154835673"</f>
        <v>20190312154835673</v>
      </c>
      <c r="B1965" t="str">
        <f>"1552376915668031"</f>
        <v>1552376915668031</v>
      </c>
      <c r="C1965" t="s">
        <v>40</v>
      </c>
      <c r="D1965">
        <v>4.7893220000000003</v>
      </c>
      <c r="E1965">
        <v>0.52202510000000002</v>
      </c>
      <c r="F1965" t="s">
        <v>51</v>
      </c>
      <c r="G1965">
        <v>-307.52379999999999</v>
      </c>
      <c r="H1965" s="1">
        <v>2.39158E-6</v>
      </c>
      <c r="I1965">
        <v>287.34350000000001</v>
      </c>
      <c r="J1965">
        <v>-268.2715</v>
      </c>
      <c r="K1965">
        <v>1.1094900000000001</v>
      </c>
      <c r="L1965">
        <v>282.613</v>
      </c>
      <c r="M1965">
        <v>-0.99986260000000005</v>
      </c>
      <c r="N1965">
        <v>0</v>
      </c>
      <c r="O1965">
        <v>-7.8221339999999997E-3</v>
      </c>
      <c r="P1965">
        <v>-0.99795100000000003</v>
      </c>
      <c r="Q1965">
        <v>-1.322512E-2</v>
      </c>
      <c r="R1965">
        <v>6.2602969999999994E-2</v>
      </c>
      <c r="S1965">
        <v>-2.982758</v>
      </c>
      <c r="T1965">
        <v>-8.3606600000000003E-2</v>
      </c>
      <c r="U1965">
        <v>0.35629270000000002</v>
      </c>
      <c r="V1965">
        <v>7.0409040000000006E-2</v>
      </c>
      <c r="W1965">
        <v>1.305882E-3</v>
      </c>
      <c r="X1965">
        <v>0.99751730000000005</v>
      </c>
      <c r="Y1965">
        <v>0.12631980000000001</v>
      </c>
      <c r="Z1965">
        <v>1.9822389999999998E-3</v>
      </c>
      <c r="AA1965">
        <v>0.99198759999999997</v>
      </c>
      <c r="AB1965">
        <v>34</v>
      </c>
      <c r="AC1965">
        <v>-39.252299999999899</v>
      </c>
      <c r="AD1965">
        <v>-1.1094876084199901</v>
      </c>
      <c r="AE1965">
        <v>4.7305000000000001</v>
      </c>
      <c r="AF1965">
        <v>5.03346092640483</v>
      </c>
      <c r="AG1965">
        <v>-1.1094876084199901</v>
      </c>
      <c r="AH1965">
        <v>39.1832353978984</v>
      </c>
      <c r="AI1965">
        <v>91.608705563085707</v>
      </c>
      <c r="AJ1965">
        <v>82.679899157246396</v>
      </c>
      <c r="AK1965">
        <v>39.520787288438498</v>
      </c>
      <c r="AL1965">
        <v>89.925178447927195</v>
      </c>
      <c r="AM1965">
        <v>85.962514900477302</v>
      </c>
      <c r="AN1965">
        <v>0.99999995102040296</v>
      </c>
    </row>
    <row r="1966" spans="1:40" x14ac:dyDescent="0.25">
      <c r="A1966" t="str">
        <f>"20190312154835695"</f>
        <v>20190312154835695</v>
      </c>
      <c r="B1966" t="str">
        <f>"1552376915687550"</f>
        <v>1552376915687550</v>
      </c>
      <c r="C1966" t="s">
        <v>40</v>
      </c>
      <c r="D1966">
        <v>4.7860620000000003</v>
      </c>
      <c r="E1966">
        <v>0.52253070000000001</v>
      </c>
      <c r="F1966" t="s">
        <v>51</v>
      </c>
      <c r="G1966">
        <v>-310.57459999999998</v>
      </c>
      <c r="H1966" s="1">
        <v>2.198414E-6</v>
      </c>
      <c r="I1966">
        <v>287.74380000000002</v>
      </c>
      <c r="J1966">
        <v>-268.6112</v>
      </c>
      <c r="K1966">
        <v>1.1094930000000001</v>
      </c>
      <c r="L1966">
        <v>282.61070000000001</v>
      </c>
      <c r="M1966">
        <v>-0.99986520000000001</v>
      </c>
      <c r="N1966">
        <v>0</v>
      </c>
      <c r="O1966">
        <v>-7.4971369999999897E-3</v>
      </c>
      <c r="P1966">
        <v>-0.99792020000000003</v>
      </c>
      <c r="Q1966">
        <v>-1.314308E-2</v>
      </c>
      <c r="R1966">
        <v>6.3109579999999998E-2</v>
      </c>
      <c r="S1966">
        <v>-2.9824220000000001</v>
      </c>
      <c r="T1966">
        <v>-7.8220250000000005E-2</v>
      </c>
      <c r="U1966">
        <v>0.36172490000000002</v>
      </c>
      <c r="V1966">
        <v>7.059145E-2</v>
      </c>
      <c r="W1966">
        <v>1.3836059999999999E-3</v>
      </c>
      <c r="X1966">
        <v>0.99750439999999996</v>
      </c>
      <c r="Y1966">
        <v>0.12779740000000001</v>
      </c>
      <c r="Z1966">
        <v>1.865394E-3</v>
      </c>
      <c r="AA1966">
        <v>0.99179850000000003</v>
      </c>
      <c r="AB1966">
        <v>34</v>
      </c>
      <c r="AC1966">
        <v>-41.963399999999901</v>
      </c>
      <c r="AD1966">
        <v>-1.1094908015860001</v>
      </c>
      <c r="AE1966">
        <v>5.1331000000000104</v>
      </c>
      <c r="AF1966">
        <v>5.4438452386713099</v>
      </c>
      <c r="AG1966">
        <v>-1.1094908015860001</v>
      </c>
      <c r="AH1966">
        <v>41.894878035792097</v>
      </c>
      <c r="AI1966">
        <v>91.504353043135296</v>
      </c>
      <c r="AJ1966">
        <v>82.5964351761789</v>
      </c>
      <c r="AK1966">
        <v>42.261651960794197</v>
      </c>
      <c r="AL1966">
        <v>89.920725194170899</v>
      </c>
      <c r="AM1966">
        <v>85.952037465384194</v>
      </c>
      <c r="AN1966">
        <v>1.0000000475990101</v>
      </c>
    </row>
    <row r="1967" spans="1:40" x14ac:dyDescent="0.25">
      <c r="A1967" t="str">
        <f>"20190312154835717"</f>
        <v>20190312154835717</v>
      </c>
      <c r="B1967" t="str">
        <f>"1552376915708046"</f>
        <v>1552376915708046</v>
      </c>
      <c r="C1967" t="s">
        <v>40</v>
      </c>
      <c r="D1967">
        <v>4.7947179999999996</v>
      </c>
      <c r="E1967">
        <v>0.52280939999999998</v>
      </c>
      <c r="F1967" t="s">
        <v>51</v>
      </c>
      <c r="G1967">
        <v>-310.91329999999999</v>
      </c>
      <c r="H1967" s="1">
        <v>2.3419879999999999E-6</v>
      </c>
      <c r="I1967">
        <v>287.81920000000002</v>
      </c>
      <c r="J1967">
        <v>-268.94439999999997</v>
      </c>
      <c r="K1967">
        <v>1.1094949999999999</v>
      </c>
      <c r="L1967">
        <v>282.60860000000002</v>
      </c>
      <c r="M1967">
        <v>-0.99986759999999997</v>
      </c>
      <c r="N1967">
        <v>0</v>
      </c>
      <c r="O1967">
        <v>-7.1754760000000001E-3</v>
      </c>
      <c r="P1967">
        <v>-0.99790140000000005</v>
      </c>
      <c r="Q1967">
        <v>-1.3014960000000001E-2</v>
      </c>
      <c r="R1967">
        <v>6.3433160000000002E-2</v>
      </c>
      <c r="S1967">
        <v>-2.981995</v>
      </c>
      <c r="T1967">
        <v>-7.821119E-2</v>
      </c>
      <c r="U1967">
        <v>0.36715700000000001</v>
      </c>
      <c r="V1967">
        <v>7.0593950000000003E-2</v>
      </c>
      <c r="W1967">
        <v>1.508061E-3</v>
      </c>
      <c r="X1967">
        <v>0.99750399999999995</v>
      </c>
      <c r="Y1967">
        <v>0.1292749</v>
      </c>
      <c r="Z1967">
        <v>1.876132E-3</v>
      </c>
      <c r="AA1967">
        <v>0.99160700000000002</v>
      </c>
      <c r="AB1967">
        <v>34</v>
      </c>
      <c r="AC1967">
        <v>-41.968899999999998</v>
      </c>
      <c r="AD1967">
        <v>-1.1094926580119999</v>
      </c>
      <c r="AE1967">
        <v>5.2106000000000003</v>
      </c>
      <c r="AF1967">
        <v>5.5078539681886101</v>
      </c>
      <c r="AG1967">
        <v>-1.1094926580119999</v>
      </c>
      <c r="AH1967">
        <v>41.901587746369003</v>
      </c>
      <c r="AI1967">
        <v>91.503823710729804</v>
      </c>
      <c r="AJ1967">
        <v>82.511552397142395</v>
      </c>
      <c r="AK1967">
        <v>42.276595001959898</v>
      </c>
      <c r="AL1967">
        <v>89.913594437134194</v>
      </c>
      <c r="AM1967">
        <v>85.951892965271895</v>
      </c>
      <c r="AN1967">
        <v>1.00000000502029</v>
      </c>
    </row>
    <row r="1968" spans="1:40" x14ac:dyDescent="0.25">
      <c r="A1968" t="str">
        <f>"20190312154835729"</f>
        <v>20190312154835729</v>
      </c>
      <c r="B1968" t="str">
        <f>"1552376915717808"</f>
        <v>1552376915717808</v>
      </c>
      <c r="C1968" t="s">
        <v>40</v>
      </c>
      <c r="D1968">
        <v>4.8116029999999999</v>
      </c>
      <c r="E1968">
        <v>0.52304709999999999</v>
      </c>
      <c r="F1968" t="s">
        <v>51</v>
      </c>
      <c r="G1968">
        <v>-311.77960000000002</v>
      </c>
      <c r="H1968" s="1">
        <v>2.7165909999999999E-6</v>
      </c>
      <c r="I1968">
        <v>287.92860000000002</v>
      </c>
      <c r="J1968">
        <v>-269.13709999999998</v>
      </c>
      <c r="K1968">
        <v>1.1094949999999999</v>
      </c>
      <c r="L1968">
        <v>282.60739999999998</v>
      </c>
      <c r="M1968">
        <v>-0.9998688</v>
      </c>
      <c r="N1968">
        <v>0</v>
      </c>
      <c r="O1968">
        <v>-6.9880560000000003E-3</v>
      </c>
      <c r="P1968">
        <v>-0.99789220000000001</v>
      </c>
      <c r="Q1968">
        <v>-1.2867969999999999E-2</v>
      </c>
      <c r="R1968">
        <v>6.3605320000000007E-2</v>
      </c>
      <c r="S1968">
        <v>-2.9817499999999999</v>
      </c>
      <c r="T1968">
        <v>-7.7231530000000007E-2</v>
      </c>
      <c r="U1968">
        <v>0.37033080000000002</v>
      </c>
      <c r="V1968">
        <v>7.0579180000000005E-2</v>
      </c>
      <c r="W1968">
        <v>1.6530189999999999E-3</v>
      </c>
      <c r="X1968">
        <v>0.99750479999999997</v>
      </c>
      <c r="Y1968">
        <v>0.13013939999999999</v>
      </c>
      <c r="Z1968">
        <v>1.8589839999999999E-3</v>
      </c>
      <c r="AA1968">
        <v>0.99149390000000004</v>
      </c>
      <c r="AB1968">
        <v>34</v>
      </c>
      <c r="AC1968">
        <v>-42.642499999999998</v>
      </c>
      <c r="AD1968">
        <v>-1.109492283409</v>
      </c>
      <c r="AE1968">
        <v>5.3212000000000304</v>
      </c>
      <c r="AF1968">
        <v>5.6153469649215397</v>
      </c>
      <c r="AG1968">
        <v>-1.109492283409</v>
      </c>
      <c r="AH1968">
        <v>42.575889507351803</v>
      </c>
      <c r="AI1968">
        <v>91.479932063661295</v>
      </c>
      <c r="AJ1968">
        <v>82.486607303983106</v>
      </c>
      <c r="AK1968">
        <v>42.958927617034703</v>
      </c>
      <c r="AL1968">
        <v>89.905288943724798</v>
      </c>
      <c r="AM1968">
        <v>85.952740349587899</v>
      </c>
      <c r="AN1968">
        <v>0.99999998957216296</v>
      </c>
    </row>
    <row r="1969" spans="1:40" x14ac:dyDescent="0.25">
      <c r="A1969" t="str">
        <f>"20190312154835750"</f>
        <v>20190312154835750</v>
      </c>
      <c r="B1969" t="str">
        <f>"1552376915738306"</f>
        <v>1552376915738306</v>
      </c>
      <c r="C1969" t="s">
        <v>40</v>
      </c>
      <c r="D1969">
        <v>4.8067609999999998</v>
      </c>
      <c r="E1969">
        <v>0.52327539999999995</v>
      </c>
      <c r="F1969" t="s">
        <v>51</v>
      </c>
      <c r="G1969">
        <v>-311.6739</v>
      </c>
      <c r="H1969" s="1">
        <v>2.670114E-6</v>
      </c>
      <c r="I1969">
        <v>287.92430000000002</v>
      </c>
      <c r="J1969">
        <v>-269.4529</v>
      </c>
      <c r="K1969">
        <v>1.109494</v>
      </c>
      <c r="L1969">
        <v>282.60539999999997</v>
      </c>
      <c r="M1969">
        <v>-0.99987110000000001</v>
      </c>
      <c r="N1969">
        <v>0</v>
      </c>
      <c r="O1969">
        <v>-6.6785459999999996E-3</v>
      </c>
      <c r="P1969">
        <v>-0.99787159999999997</v>
      </c>
      <c r="Q1969">
        <v>-1.3013210000000001E-2</v>
      </c>
      <c r="R1969">
        <v>6.3900780000000004E-2</v>
      </c>
      <c r="S1969">
        <v>-2.9815670000000001</v>
      </c>
      <c r="T1969">
        <v>-7.7768450000000003E-2</v>
      </c>
      <c r="U1969">
        <v>0.37268069999999998</v>
      </c>
      <c r="V1969">
        <v>7.0565619999999996E-2</v>
      </c>
      <c r="W1969">
        <v>1.5037690000000001E-3</v>
      </c>
      <c r="X1969">
        <v>0.997506</v>
      </c>
      <c r="Y1969">
        <v>0.13060869999999999</v>
      </c>
      <c r="Z1969">
        <v>1.86998E-3</v>
      </c>
      <c r="AA1969">
        <v>0.99143219999999999</v>
      </c>
      <c r="AB1969">
        <v>34</v>
      </c>
      <c r="AC1969">
        <v>-42.220999999999997</v>
      </c>
      <c r="AD1969">
        <v>-1.1094913298860001</v>
      </c>
      <c r="AE1969">
        <v>5.3189000000000402</v>
      </c>
      <c r="AF1969">
        <v>5.5969817280621097</v>
      </c>
      <c r="AG1969">
        <v>-1.1094913298860001</v>
      </c>
      <c r="AH1969">
        <v>42.155876218232997</v>
      </c>
      <c r="AI1969">
        <v>91.494498525082605</v>
      </c>
      <c r="AJ1969">
        <v>82.437143872793499</v>
      </c>
      <c r="AK1969">
        <v>42.540275918267497</v>
      </c>
      <c r="AL1969">
        <v>89.913840349951499</v>
      </c>
      <c r="AM1969">
        <v>85.953520196387402</v>
      </c>
      <c r="AN1969">
        <v>0.99999999404159401</v>
      </c>
    </row>
    <row r="1970" spans="1:40" x14ac:dyDescent="0.25">
      <c r="A1970" t="str">
        <f>"20190312154835762"</f>
        <v>20190312154835762</v>
      </c>
      <c r="B1970" t="str">
        <f>"1552376915757822"</f>
        <v>1552376915757822</v>
      </c>
      <c r="C1970" t="s">
        <v>40</v>
      </c>
      <c r="D1970">
        <v>4.8057930000000004</v>
      </c>
      <c r="E1970">
        <v>0.52353070000000002</v>
      </c>
      <c r="F1970" t="s">
        <v>51</v>
      </c>
      <c r="G1970">
        <v>-310.63029999999998</v>
      </c>
      <c r="H1970" s="1">
        <v>2.2189559999999999E-6</v>
      </c>
      <c r="I1970">
        <v>287.7912</v>
      </c>
      <c r="J1970">
        <v>-269.64339999999999</v>
      </c>
      <c r="K1970">
        <v>1.1094949999999999</v>
      </c>
      <c r="L1970">
        <v>282.6044</v>
      </c>
      <c r="M1970">
        <v>-0.99987230000000005</v>
      </c>
      <c r="N1970">
        <v>0</v>
      </c>
      <c r="O1970">
        <v>-6.4899279999999998E-3</v>
      </c>
      <c r="P1970">
        <v>-0.99786629999999998</v>
      </c>
      <c r="Q1970">
        <v>-1.298585E-2</v>
      </c>
      <c r="R1970">
        <v>6.3989169999999998E-2</v>
      </c>
      <c r="S1970">
        <v>-2.9813230000000002</v>
      </c>
      <c r="T1970">
        <v>-8.0329300000000006E-2</v>
      </c>
      <c r="U1970">
        <v>0.37545780000000001</v>
      </c>
      <c r="V1970">
        <v>7.0466000000000001E-2</v>
      </c>
      <c r="W1970">
        <v>1.529042E-3</v>
      </c>
      <c r="X1970">
        <v>0.99751299999999998</v>
      </c>
      <c r="Y1970">
        <v>0.1313375</v>
      </c>
      <c r="Z1970">
        <v>1.9362959999999999E-3</v>
      </c>
      <c r="AA1970">
        <v>0.99133579999999999</v>
      </c>
      <c r="AB1970">
        <v>34</v>
      </c>
      <c r="AC1970">
        <v>-40.986899999999899</v>
      </c>
      <c r="AD1970">
        <v>-1.1094927810439901</v>
      </c>
      <c r="AE1970">
        <v>5.1867999999999999</v>
      </c>
      <c r="AF1970">
        <v>5.4487914446556998</v>
      </c>
      <c r="AG1970">
        <v>-1.1094927810439901</v>
      </c>
      <c r="AH1970">
        <v>40.9228573046572</v>
      </c>
      <c r="AI1970">
        <v>91.539432685168407</v>
      </c>
      <c r="AJ1970">
        <v>82.415797319163005</v>
      </c>
      <c r="AK1970">
        <v>41.298917085268499</v>
      </c>
      <c r="AL1970">
        <v>89.912392311701197</v>
      </c>
      <c r="AM1970">
        <v>85.959242081719196</v>
      </c>
      <c r="AN1970">
        <v>0.99999999014721797</v>
      </c>
    </row>
    <row r="1971" spans="1:40" x14ac:dyDescent="0.25">
      <c r="A1971" t="str">
        <f>"20190312154835774"</f>
        <v>20190312154835774</v>
      </c>
      <c r="B1971" t="str">
        <f>"1552376915767583"</f>
        <v>1552376915767583</v>
      </c>
      <c r="C1971" t="s">
        <v>40</v>
      </c>
      <c r="D1971">
        <v>4.8547609999999999</v>
      </c>
      <c r="E1971">
        <v>0.52357379999999998</v>
      </c>
      <c r="F1971" t="s">
        <v>51</v>
      </c>
      <c r="G1971">
        <v>-309.80450000000002</v>
      </c>
      <c r="H1971" s="1">
        <v>1.9566940000000001E-6</v>
      </c>
      <c r="I1971">
        <v>287.69040000000001</v>
      </c>
      <c r="J1971">
        <v>-269.82319999999999</v>
      </c>
      <c r="K1971">
        <v>1.1094930000000001</v>
      </c>
      <c r="L1971">
        <v>282.60340000000002</v>
      </c>
      <c r="M1971">
        <v>-0.99987360000000003</v>
      </c>
      <c r="N1971">
        <v>0</v>
      </c>
      <c r="O1971">
        <v>-6.3109669999999998E-3</v>
      </c>
      <c r="P1971">
        <v>-0.99784759999999995</v>
      </c>
      <c r="Q1971">
        <v>-1.3058780000000001E-2</v>
      </c>
      <c r="R1971">
        <v>6.4264929999999998E-2</v>
      </c>
      <c r="S1971">
        <v>-2.9811399999999999</v>
      </c>
      <c r="T1971">
        <v>-8.2357050000000001E-2</v>
      </c>
      <c r="U1971">
        <v>0.37753300000000001</v>
      </c>
      <c r="V1971">
        <v>7.0562929999999996E-2</v>
      </c>
      <c r="W1971">
        <v>1.453701E-3</v>
      </c>
      <c r="X1971">
        <v>0.99750629999999996</v>
      </c>
      <c r="Y1971">
        <v>0.1318443</v>
      </c>
      <c r="Z1971">
        <v>1.9872359999999999E-3</v>
      </c>
      <c r="AA1971">
        <v>0.9912685</v>
      </c>
      <c r="AB1971">
        <v>34</v>
      </c>
      <c r="AC1971">
        <v>-39.981299999999997</v>
      </c>
      <c r="AD1971">
        <v>-1.1094910433059999</v>
      </c>
      <c r="AE1971">
        <v>5.0869999999999802</v>
      </c>
      <c r="AF1971">
        <v>5.3352031477636599</v>
      </c>
      <c r="AG1971">
        <v>-1.1094910433059999</v>
      </c>
      <c r="AH1971">
        <v>39.918146011633397</v>
      </c>
      <c r="AI1971">
        <v>91.578052737213</v>
      </c>
      <c r="AJ1971">
        <v>82.387329071519403</v>
      </c>
      <c r="AK1971">
        <v>40.2883822461162</v>
      </c>
      <c r="AL1971">
        <v>89.916709041142198</v>
      </c>
      <c r="AM1971">
        <v>85.953675150913895</v>
      </c>
      <c r="AN1971">
        <v>1.0000000294382301</v>
      </c>
    </row>
    <row r="1972" spans="1:40" x14ac:dyDescent="0.25">
      <c r="A1972" t="str">
        <f>"20190312154835794"</f>
        <v>20190312154835794</v>
      </c>
      <c r="B1972" t="str">
        <f>"1552376915788078"</f>
        <v>1552376915788078</v>
      </c>
      <c r="C1972" t="s">
        <v>40</v>
      </c>
      <c r="D1972">
        <v>4.8813810000000002</v>
      </c>
      <c r="E1972">
        <v>0.49515789999999998</v>
      </c>
      <c r="F1972" t="s">
        <v>51</v>
      </c>
      <c r="G1972">
        <v>-309.22179999999997</v>
      </c>
      <c r="H1972" s="1">
        <v>2.0671629999999999E-6</v>
      </c>
      <c r="I1972">
        <v>287.60919999999999</v>
      </c>
      <c r="J1972">
        <v>-270.13139999999999</v>
      </c>
      <c r="K1972">
        <v>1.109488</v>
      </c>
      <c r="L1972">
        <v>282.60169999999999</v>
      </c>
      <c r="M1972">
        <v>-0.99987550000000003</v>
      </c>
      <c r="N1972">
        <v>0</v>
      </c>
      <c r="O1972">
        <v>-6.0003670000000004E-3</v>
      </c>
      <c r="P1972">
        <v>-0.99783279999999996</v>
      </c>
      <c r="Q1972">
        <v>-1.2700349999999999E-2</v>
      </c>
      <c r="R1972">
        <v>6.4566760000000001E-2</v>
      </c>
      <c r="S1972">
        <v>-2.980988</v>
      </c>
      <c r="T1972">
        <v>-8.3946699999999999E-2</v>
      </c>
      <c r="U1972">
        <v>0.37875370000000003</v>
      </c>
      <c r="V1972">
        <v>7.0555030000000005E-2</v>
      </c>
      <c r="W1972">
        <v>1.808945E-3</v>
      </c>
      <c r="X1972">
        <v>0.99750629999999996</v>
      </c>
      <c r="Y1972">
        <v>0.13194020000000001</v>
      </c>
      <c r="Z1972">
        <v>2.0182619999999998E-3</v>
      </c>
      <c r="AA1972">
        <v>0.99125560000000001</v>
      </c>
      <c r="AB1972">
        <v>34</v>
      </c>
      <c r="AC1972">
        <v>-39.090399999999903</v>
      </c>
      <c r="AD1972">
        <v>-1.1094859328369999</v>
      </c>
      <c r="AE1972">
        <v>5.0074999999999896</v>
      </c>
      <c r="AF1972">
        <v>5.2378402364516701</v>
      </c>
      <c r="AG1972">
        <v>-1.1094859328369999</v>
      </c>
      <c r="AH1972">
        <v>39.028713324295801</v>
      </c>
      <c r="AI1972">
        <v>91.613872053800705</v>
      </c>
      <c r="AJ1972">
        <v>82.356303664543802</v>
      </c>
      <c r="AK1972">
        <v>39.394243147036399</v>
      </c>
      <c r="AL1972">
        <v>89.896355034944506</v>
      </c>
      <c r="AM1972">
        <v>85.954126660011298</v>
      </c>
      <c r="AN1972">
        <v>1.00000005154</v>
      </c>
    </row>
    <row r="1973" spans="1:40" x14ac:dyDescent="0.25">
      <c r="A1973" t="str">
        <f>"20190312154835808"</f>
        <v>20190312154835808</v>
      </c>
      <c r="B1973" t="str">
        <f>"1552376915797839"</f>
        <v>1552376915797839</v>
      </c>
      <c r="C1973" t="s">
        <v>40</v>
      </c>
      <c r="D1973">
        <v>4.9617550000000001</v>
      </c>
      <c r="E1973">
        <v>0.4875853</v>
      </c>
      <c r="F1973" t="s">
        <v>51</v>
      </c>
      <c r="G1973">
        <v>-318.08969999999999</v>
      </c>
      <c r="H1973" s="1">
        <v>5.7652649999999998E-6</v>
      </c>
      <c r="I1973">
        <v>285.0641</v>
      </c>
      <c r="J1973">
        <v>-270.33100000000002</v>
      </c>
      <c r="K1973">
        <v>1.109488</v>
      </c>
      <c r="L1973">
        <v>282.60070000000002</v>
      </c>
      <c r="M1973">
        <v>-0.99987669999999995</v>
      </c>
      <c r="N1973">
        <v>0</v>
      </c>
      <c r="O1973">
        <v>-5.7963529999999997E-3</v>
      </c>
      <c r="P1973">
        <v>-0.99781839999999999</v>
      </c>
      <c r="Q1973">
        <v>-1.272452E-2</v>
      </c>
      <c r="R1973">
        <v>6.4782530000000005E-2</v>
      </c>
      <c r="S1973">
        <v>-2.9956670000000001</v>
      </c>
      <c r="T1973">
        <v>-6.9302799999999998E-2</v>
      </c>
      <c r="U1973">
        <v>0.15380859999999999</v>
      </c>
      <c r="V1973">
        <v>7.0567320000000003E-2</v>
      </c>
      <c r="W1973">
        <v>1.7822420000000001E-3</v>
      </c>
      <c r="X1973">
        <v>0.99750539999999999</v>
      </c>
      <c r="Y1973">
        <v>5.7047870000000001E-2</v>
      </c>
      <c r="Z1973">
        <v>7.9336770000000003E-4</v>
      </c>
      <c r="AA1973">
        <v>0.99837109999999996</v>
      </c>
      <c r="AB1973">
        <v>34</v>
      </c>
      <c r="AC1973">
        <v>-47.758699999999997</v>
      </c>
      <c r="AD1973">
        <v>-1.109482234735</v>
      </c>
      <c r="AE1973">
        <v>2.4633999999999698</v>
      </c>
      <c r="AF1973">
        <v>2.7387402581323399</v>
      </c>
      <c r="AG1973">
        <v>-1.109482234735</v>
      </c>
      <c r="AH1973">
        <v>47.717933228841702</v>
      </c>
      <c r="AI1973">
        <v>91.329747685343605</v>
      </c>
      <c r="AJ1973">
        <v>86.715149106838794</v>
      </c>
      <c r="AK1973">
        <v>47.809338006951201</v>
      </c>
      <c r="AL1973">
        <v>89.897884998515806</v>
      </c>
      <c r="AM1973">
        <v>85.9534206103435</v>
      </c>
      <c r="AN1973">
        <v>0.99999997303384403</v>
      </c>
    </row>
    <row r="1974" spans="1:40" x14ac:dyDescent="0.25">
      <c r="A1974" t="str">
        <f>"20190312154835830"</f>
        <v>20190312154835830</v>
      </c>
      <c r="B1974" t="str">
        <f>"1552376915818335"</f>
        <v>1552376915818335</v>
      </c>
      <c r="C1974" t="s">
        <v>40</v>
      </c>
      <c r="D1974">
        <v>4.9490780000000001</v>
      </c>
      <c r="E1974">
        <v>0.4797863</v>
      </c>
      <c r="F1974" t="s">
        <v>51</v>
      </c>
      <c r="G1974">
        <v>-307.34190000000001</v>
      </c>
      <c r="H1974" s="1">
        <v>2.737873E-6</v>
      </c>
      <c r="I1974">
        <v>283.75150000000002</v>
      </c>
      <c r="J1974">
        <v>-270.66609999999997</v>
      </c>
      <c r="K1974">
        <v>1.1094820000000001</v>
      </c>
      <c r="L1974">
        <v>282.5992</v>
      </c>
      <c r="M1974">
        <v>-0.99987859999999995</v>
      </c>
      <c r="N1974">
        <v>0</v>
      </c>
      <c r="O1974">
        <v>-5.4461359999999999E-3</v>
      </c>
      <c r="P1974">
        <v>-0.99780679999999999</v>
      </c>
      <c r="Q1974">
        <v>-1.2298E-2</v>
      </c>
      <c r="R1974">
        <v>6.5040410000000007E-2</v>
      </c>
      <c r="S1974">
        <v>-2.9993590000000001</v>
      </c>
      <c r="T1974">
        <v>-8.9912649999999997E-2</v>
      </c>
      <c r="U1974">
        <v>9.3261720000000006E-2</v>
      </c>
      <c r="V1974">
        <v>7.0476140000000007E-2</v>
      </c>
      <c r="W1974">
        <v>2.2042419999999999E-3</v>
      </c>
      <c r="X1974">
        <v>0.99751100000000004</v>
      </c>
      <c r="Y1974">
        <v>3.650366E-2</v>
      </c>
      <c r="Z1974">
        <v>7.1009000000000003E-4</v>
      </c>
      <c r="AA1974">
        <v>0.99933329999999998</v>
      </c>
      <c r="AB1974">
        <v>34</v>
      </c>
      <c r="AC1974">
        <v>-36.675800000000002</v>
      </c>
      <c r="AD1974">
        <v>-1.109479262127</v>
      </c>
      <c r="AE1974">
        <v>1.1523000000000201</v>
      </c>
      <c r="AF1974">
        <v>1.3508106523830301</v>
      </c>
      <c r="AG1974">
        <v>-1.109479262127</v>
      </c>
      <c r="AH1974">
        <v>36.635486826245099</v>
      </c>
      <c r="AI1974">
        <v>91.7334539260426</v>
      </c>
      <c r="AJ1974">
        <v>87.888366964816996</v>
      </c>
      <c r="AK1974">
        <v>36.677166311584898</v>
      </c>
      <c r="AL1974">
        <v>89.873706130322404</v>
      </c>
      <c r="AM1974">
        <v>85.9586544704636</v>
      </c>
      <c r="AN1974">
        <v>0.99999997005654595</v>
      </c>
    </row>
    <row r="1975" spans="1:40" x14ac:dyDescent="0.25">
      <c r="A1975" t="str">
        <f>"20190312154835852"</f>
        <v>20190312154835852</v>
      </c>
      <c r="B1975" t="str">
        <f>"1552376915847614"</f>
        <v>1552376915847614</v>
      </c>
      <c r="C1975" t="s">
        <v>40</v>
      </c>
      <c r="D1975">
        <v>4.8756909999999998</v>
      </c>
      <c r="E1975">
        <v>0.4762904</v>
      </c>
      <c r="F1975" t="s">
        <v>51</v>
      </c>
      <c r="G1975">
        <v>-303.89569999999998</v>
      </c>
      <c r="H1975" s="1">
        <v>3.4194880000000001E-6</v>
      </c>
      <c r="I1975">
        <v>282.94729999999998</v>
      </c>
      <c r="J1975">
        <v>-270.99700000000001</v>
      </c>
      <c r="K1975">
        <v>1.1094759999999999</v>
      </c>
      <c r="L1975">
        <v>282.59769999999997</v>
      </c>
      <c r="M1975">
        <v>-0.99988060000000001</v>
      </c>
      <c r="N1975">
        <v>0</v>
      </c>
      <c r="O1975">
        <v>-5.0905300000000002E-3</v>
      </c>
      <c r="P1975">
        <v>-0.99778299999999998</v>
      </c>
      <c r="Q1975">
        <v>-1.242413E-2</v>
      </c>
      <c r="R1975">
        <v>6.5381709999999996E-2</v>
      </c>
      <c r="S1975">
        <v>-3.0033259999999999</v>
      </c>
      <c r="T1975">
        <v>-0.1002759</v>
      </c>
      <c r="U1975">
        <v>3.1463619999999998E-2</v>
      </c>
      <c r="V1975">
        <v>7.0462469999999999E-2</v>
      </c>
      <c r="W1975">
        <v>2.0735879999999999E-3</v>
      </c>
      <c r="X1975">
        <v>0.99751230000000002</v>
      </c>
      <c r="Y1975">
        <v>1.555484E-2</v>
      </c>
      <c r="Z1975">
        <v>4.2952589999999997E-4</v>
      </c>
      <c r="AA1975">
        <v>0.99987890000000001</v>
      </c>
      <c r="AB1975">
        <v>34</v>
      </c>
      <c r="AC1975">
        <v>-32.898699999999899</v>
      </c>
      <c r="AD1975">
        <v>-1.109472580512</v>
      </c>
      <c r="AE1975">
        <v>0.34960000000000901</v>
      </c>
      <c r="AF1975">
        <v>0.51649776909115896</v>
      </c>
      <c r="AG1975">
        <v>-1.109472580512</v>
      </c>
      <c r="AH1975">
        <v>32.859127287141099</v>
      </c>
      <c r="AI1975">
        <v>91.9335910216423</v>
      </c>
      <c r="AJ1975">
        <v>89.099467701019094</v>
      </c>
      <c r="AK1975">
        <v>32.881909090332996</v>
      </c>
      <c r="AL1975">
        <v>89.881192076866995</v>
      </c>
      <c r="AM1975">
        <v>85.9594410072892</v>
      </c>
      <c r="AN1975">
        <v>1.0000000240484901</v>
      </c>
    </row>
    <row r="1976" spans="1:40" x14ac:dyDescent="0.25">
      <c r="A1976" t="str">
        <f>"20190312154835872"</f>
        <v>20190312154835872</v>
      </c>
      <c r="B1976" t="str">
        <f>"1552376915868111"</f>
        <v>1552376915868111</v>
      </c>
      <c r="C1976" t="s">
        <v>40</v>
      </c>
      <c r="D1976">
        <v>4.8528370000000001</v>
      </c>
      <c r="E1976">
        <v>0.47515859999999899</v>
      </c>
      <c r="F1976" t="s">
        <v>51</v>
      </c>
      <c r="G1976">
        <v>-300.65539999999999</v>
      </c>
      <c r="H1976" s="1">
        <v>4.0213629999999998E-6</v>
      </c>
      <c r="I1976">
        <v>282.63720000000001</v>
      </c>
      <c r="J1976">
        <v>-271.3184</v>
      </c>
      <c r="K1976">
        <v>1.1094710000000001</v>
      </c>
      <c r="L1976">
        <v>282.59640000000002</v>
      </c>
      <c r="M1976">
        <v>-0.99988250000000001</v>
      </c>
      <c r="N1976">
        <v>0</v>
      </c>
      <c r="O1976">
        <v>-4.7333490000000004E-3</v>
      </c>
      <c r="P1976">
        <v>-0.99781470000000005</v>
      </c>
      <c r="Q1976">
        <v>-1.233851E-2</v>
      </c>
      <c r="R1976">
        <v>6.4912689999999995E-2</v>
      </c>
      <c r="S1976">
        <v>-3.0050349999999999</v>
      </c>
      <c r="T1976">
        <v>-0.11241329999999999</v>
      </c>
      <c r="U1976">
        <v>3.9978030000000003E-3</v>
      </c>
      <c r="V1976">
        <v>6.9637389999999993E-2</v>
      </c>
      <c r="W1976">
        <v>2.1560809999999998E-3</v>
      </c>
      <c r="X1976">
        <v>0.99756999999999996</v>
      </c>
      <c r="Y1976">
        <v>6.0566530000000004E-3</v>
      </c>
      <c r="Z1976">
        <v>2.9026799999999999E-4</v>
      </c>
      <c r="AA1976">
        <v>0.99998160000000003</v>
      </c>
      <c r="AB1976">
        <v>34</v>
      </c>
      <c r="AC1976">
        <v>-29.3369999999999</v>
      </c>
      <c r="AD1976">
        <v>-1.1094669786369999</v>
      </c>
      <c r="AE1976">
        <v>4.0799999999990101E-2</v>
      </c>
      <c r="AF1976">
        <v>0.17941995831958599</v>
      </c>
      <c r="AG1976">
        <v>-1.1094669786369999</v>
      </c>
      <c r="AH1976">
        <v>29.294581060005498</v>
      </c>
      <c r="AI1976">
        <v>92.168872738327593</v>
      </c>
      <c r="AJ1976">
        <v>89.649086026738502</v>
      </c>
      <c r="AK1976">
        <v>29.316131872731201</v>
      </c>
      <c r="AL1976">
        <v>89.876465557737703</v>
      </c>
      <c r="AM1976">
        <v>86.006830171271105</v>
      </c>
      <c r="AN1976">
        <v>0.99999995983564405</v>
      </c>
    </row>
    <row r="1977" spans="1:40" x14ac:dyDescent="0.25">
      <c r="A1977" t="str">
        <f>"20190312154835884"</f>
        <v>20190312154835884</v>
      </c>
      <c r="B1977" t="str">
        <f>"1552376915877871"</f>
        <v>1552376915877871</v>
      </c>
      <c r="C1977" t="s">
        <v>40</v>
      </c>
      <c r="D1977">
        <v>4.8546230000000001</v>
      </c>
      <c r="E1977">
        <v>0.47456280000000001</v>
      </c>
      <c r="F1977" t="s">
        <v>51</v>
      </c>
      <c r="G1977">
        <v>-300.48860000000002</v>
      </c>
      <c r="H1977" s="1">
        <v>4.0598760000000001E-6</v>
      </c>
      <c r="I1977">
        <v>282.5351</v>
      </c>
      <c r="J1977">
        <v>-271.50099999999998</v>
      </c>
      <c r="K1977">
        <v>1.109472</v>
      </c>
      <c r="L1977">
        <v>282.5958</v>
      </c>
      <c r="M1977">
        <v>-0.99988350000000004</v>
      </c>
      <c r="N1977">
        <v>0</v>
      </c>
      <c r="O1977">
        <v>-4.5257090000000002E-3</v>
      </c>
      <c r="P1977">
        <v>-0.99782409999999999</v>
      </c>
      <c r="Q1977">
        <v>-1.2288820000000001E-2</v>
      </c>
      <c r="R1977">
        <v>6.4781030000000003E-2</v>
      </c>
      <c r="S1977">
        <v>-3.005585</v>
      </c>
      <c r="T1977">
        <v>-0.11431520000000001</v>
      </c>
      <c r="U1977">
        <v>-6.3171390000000003E-3</v>
      </c>
      <c r="V1977">
        <v>6.9298780000000004E-2</v>
      </c>
      <c r="W1977">
        <v>2.2037649999999999E-3</v>
      </c>
      <c r="X1977">
        <v>0.99759350000000002</v>
      </c>
      <c r="Y1977">
        <v>2.4193840000000001E-3</v>
      </c>
      <c r="Z1977">
        <v>2.1808020000000001E-4</v>
      </c>
      <c r="AA1977">
        <v>0.99999700000000002</v>
      </c>
      <c r="AB1977">
        <v>34</v>
      </c>
      <c r="AC1977">
        <v>-28.9876</v>
      </c>
      <c r="AD1977">
        <v>-1.109467940124</v>
      </c>
      <c r="AE1977">
        <v>-6.0699999999996999E-2</v>
      </c>
      <c r="AF1977">
        <v>7.0400876278860894E-2</v>
      </c>
      <c r="AG1977">
        <v>-1.109467940124</v>
      </c>
      <c r="AH1977">
        <v>28.945176500745099</v>
      </c>
      <c r="AI1977">
        <v>92.195064836703594</v>
      </c>
      <c r="AJ1977">
        <v>89.860644652459797</v>
      </c>
      <c r="AK1977">
        <v>28.966517188865399</v>
      </c>
      <c r="AL1977">
        <v>89.873733462283198</v>
      </c>
      <c r="AM1977">
        <v>86.026277808133798</v>
      </c>
      <c r="AN1977">
        <v>0.99999998436595605</v>
      </c>
    </row>
    <row r="1978" spans="1:40" x14ac:dyDescent="0.25">
      <c r="A1978" t="str">
        <f>"20190312154835897"</f>
        <v>20190312154835897</v>
      </c>
      <c r="B1978" t="str">
        <f>"1552376915887631"</f>
        <v>1552376915887631</v>
      </c>
      <c r="C1978" t="s">
        <v>40</v>
      </c>
      <c r="D1978">
        <v>4.8171499999999998</v>
      </c>
      <c r="E1978">
        <v>0.4740935</v>
      </c>
      <c r="F1978" t="s">
        <v>51</v>
      </c>
      <c r="G1978">
        <v>-300.42899999999997</v>
      </c>
      <c r="H1978" s="1">
        <v>4.0748530000000003E-6</v>
      </c>
      <c r="I1978">
        <v>282.48469999999998</v>
      </c>
      <c r="J1978">
        <v>-271.68619999999999</v>
      </c>
      <c r="K1978">
        <v>1.1094649999999999</v>
      </c>
      <c r="L1978">
        <v>282.59519999999998</v>
      </c>
      <c r="M1978">
        <v>-0.99988429999999995</v>
      </c>
      <c r="N1978">
        <v>0</v>
      </c>
      <c r="O1978">
        <v>-4.3051699999999997E-3</v>
      </c>
      <c r="P1978">
        <v>-0.99783580000000005</v>
      </c>
      <c r="Q1978">
        <v>-1.224285E-2</v>
      </c>
      <c r="R1978">
        <v>6.4606090000000005E-2</v>
      </c>
      <c r="S1978">
        <v>-3.0058590000000001</v>
      </c>
      <c r="T1978">
        <v>-0.11528289999999999</v>
      </c>
      <c r="U1978">
        <v>-1.153564E-2</v>
      </c>
      <c r="V1978">
        <v>6.8903770000000003E-2</v>
      </c>
      <c r="W1978">
        <v>2.24668E-3</v>
      </c>
      <c r="X1978">
        <v>0.99762079999999997</v>
      </c>
      <c r="Y1978">
        <v>4.6443390000000003E-4</v>
      </c>
      <c r="Z1978">
        <v>1.7397340000000001E-4</v>
      </c>
      <c r="AA1978">
        <v>0.99999990000000005</v>
      </c>
      <c r="AB1978">
        <v>34</v>
      </c>
      <c r="AC1978">
        <v>-28.742799999999999</v>
      </c>
      <c r="AD1978">
        <v>-1.109460925147</v>
      </c>
      <c r="AE1978">
        <v>-0.110500000000001</v>
      </c>
      <c r="AF1978">
        <v>1.3237113991661499E-2</v>
      </c>
      <c r="AG1978">
        <v>-1.109460925147</v>
      </c>
      <c r="AH1978">
        <v>28.700248616865601</v>
      </c>
      <c r="AI1978">
        <v>92.213771280509803</v>
      </c>
      <c r="AJ1978">
        <v>89.973574071743997</v>
      </c>
      <c r="AK1978">
        <v>28.721687788768801</v>
      </c>
      <c r="AL1978">
        <v>89.871274612216993</v>
      </c>
      <c r="AM1978">
        <v>86.048964257383602</v>
      </c>
      <c r="AN1978">
        <v>1.00000001884193</v>
      </c>
    </row>
    <row r="1979" spans="1:40" x14ac:dyDescent="0.25">
      <c r="A1979" t="str">
        <f>"20190312154835910"</f>
        <v>20190312154835910</v>
      </c>
      <c r="B1979" t="str">
        <f>"1552376915897391"</f>
        <v>1552376915897391</v>
      </c>
      <c r="C1979" t="s">
        <v>40</v>
      </c>
      <c r="D1979">
        <v>4.8479070000000002</v>
      </c>
      <c r="E1979">
        <v>0.47376069999999998</v>
      </c>
      <c r="F1979" t="s">
        <v>51</v>
      </c>
      <c r="G1979">
        <v>-300.38929999999999</v>
      </c>
      <c r="H1979" s="1">
        <v>4.0853950000000004E-6</v>
      </c>
      <c r="I1979">
        <v>282.44479999999999</v>
      </c>
      <c r="J1979">
        <v>-271.88099999999997</v>
      </c>
      <c r="K1979">
        <v>1.109456</v>
      </c>
      <c r="L1979">
        <v>282.59449999999998</v>
      </c>
      <c r="M1979">
        <v>-0.99988540000000004</v>
      </c>
      <c r="N1979">
        <v>0</v>
      </c>
      <c r="O1979">
        <v>-4.0679180000000002E-3</v>
      </c>
      <c r="P1979">
        <v>-0.99782340000000003</v>
      </c>
      <c r="Q1979">
        <v>-1.218486E-2</v>
      </c>
      <c r="R1979">
        <v>6.4807939999999994E-2</v>
      </c>
      <c r="S1979">
        <v>-3.0061040000000001</v>
      </c>
      <c r="T1979">
        <v>-0.1161951</v>
      </c>
      <c r="U1979">
        <v>-1.5747069999999998E-2</v>
      </c>
      <c r="V1979">
        <v>6.8868979999999996E-2</v>
      </c>
      <c r="W1979">
        <v>2.301516E-3</v>
      </c>
      <c r="X1979">
        <v>0.99762309999999998</v>
      </c>
      <c r="Y1979">
        <v>-1.1721189999999999E-3</v>
      </c>
      <c r="Z1979">
        <v>1.345493E-4</v>
      </c>
      <c r="AA1979">
        <v>0.99999930000000004</v>
      </c>
      <c r="AB1979">
        <v>34</v>
      </c>
      <c r="AC1979">
        <v>-28.508299999999998</v>
      </c>
      <c r="AD1979">
        <v>-1.1094519146049999</v>
      </c>
      <c r="AE1979">
        <v>-0.149699999999995</v>
      </c>
      <c r="AF1979">
        <v>-3.3666016255969697E-2</v>
      </c>
      <c r="AG1979">
        <v>-1.1094519146049999</v>
      </c>
      <c r="AH1979">
        <v>28.465562696642401</v>
      </c>
      <c r="AI1979">
        <v>92.231985025876298</v>
      </c>
      <c r="AJ1979">
        <v>90.067763274721599</v>
      </c>
      <c r="AK1979">
        <v>28.487194958225501</v>
      </c>
      <c r="AL1979">
        <v>89.868132735776499</v>
      </c>
      <c r="AM1979">
        <v>86.0509619254168</v>
      </c>
      <c r="AN1979">
        <v>1.00000004151787</v>
      </c>
    </row>
    <row r="1980" spans="1:40" x14ac:dyDescent="0.25">
      <c r="A1980" t="str">
        <f>"20190312154835929"</f>
        <v>20190312154835929</v>
      </c>
      <c r="B1980" t="str">
        <f>"1552376915917887"</f>
        <v>1552376915917887</v>
      </c>
      <c r="C1980" t="s">
        <v>40</v>
      </c>
      <c r="D1980">
        <v>4.8598540000000003</v>
      </c>
      <c r="E1980">
        <v>0.47316219999999998</v>
      </c>
      <c r="F1980" t="s">
        <v>51</v>
      </c>
      <c r="G1980">
        <v>-300.65629999999999</v>
      </c>
      <c r="H1980" s="1">
        <v>4.0398949999999997E-6</v>
      </c>
      <c r="I1980">
        <v>282.42340000000002</v>
      </c>
      <c r="J1980">
        <v>-272.17489999999998</v>
      </c>
      <c r="K1980">
        <v>1.1094440000000001</v>
      </c>
      <c r="L1980">
        <v>282.59370000000001</v>
      </c>
      <c r="M1980">
        <v>-0.99988690000000002</v>
      </c>
      <c r="N1980">
        <v>0</v>
      </c>
      <c r="O1980">
        <v>-3.6927330000000001E-3</v>
      </c>
      <c r="P1980">
        <v>-0.99782409999999999</v>
      </c>
      <c r="Q1980">
        <v>-1.213439E-2</v>
      </c>
      <c r="R1980">
        <v>6.4804700000000007E-2</v>
      </c>
      <c r="S1980">
        <v>-3.0062869999999999</v>
      </c>
      <c r="T1980">
        <v>-0.1159096</v>
      </c>
      <c r="U1980">
        <v>-1.7883300000000001E-2</v>
      </c>
      <c r="V1980">
        <v>6.8491479999999993E-2</v>
      </c>
      <c r="W1980">
        <v>2.3468159999999998E-3</v>
      </c>
      <c r="X1980">
        <v>0.99764900000000001</v>
      </c>
      <c r="Y1980">
        <v>-2.2564960000000002E-3</v>
      </c>
      <c r="Z1980" s="1">
        <v>9.8852500000000003E-5</v>
      </c>
      <c r="AA1980">
        <v>0.99999740000000004</v>
      </c>
      <c r="AB1980">
        <v>34</v>
      </c>
      <c r="AC1980">
        <v>-28.481400000000001</v>
      </c>
      <c r="AD1980">
        <v>-1.109439960105</v>
      </c>
      <c r="AE1980">
        <v>-0.17029999999999701</v>
      </c>
      <c r="AF1980">
        <v>-6.5014807231051699E-2</v>
      </c>
      <c r="AG1980">
        <v>-1.109439960105</v>
      </c>
      <c r="AH1980">
        <v>28.4386848935263</v>
      </c>
      <c r="AI1980">
        <v>92.234064050412101</v>
      </c>
      <c r="AJ1980">
        <v>90.130985929361501</v>
      </c>
      <c r="AK1980">
        <v>28.4603914664489</v>
      </c>
      <c r="AL1980">
        <v>89.865537232384398</v>
      </c>
      <c r="AM1980">
        <v>86.072641986163305</v>
      </c>
      <c r="AN1980">
        <v>1.00000005878946</v>
      </c>
    </row>
    <row r="1981" spans="1:40" x14ac:dyDescent="0.25">
      <c r="A1981" t="str">
        <f>"20190312154835941"</f>
        <v>20190312154835941</v>
      </c>
      <c r="B1981" t="str">
        <f>"1552376915937406"</f>
        <v>1552376915937406</v>
      </c>
      <c r="C1981" t="s">
        <v>40</v>
      </c>
      <c r="D1981">
        <v>4.7701539999999998</v>
      </c>
      <c r="E1981">
        <v>0.47271249999999998</v>
      </c>
      <c r="F1981" t="s">
        <v>51</v>
      </c>
      <c r="G1981">
        <v>-301.38740000000001</v>
      </c>
      <c r="H1981" s="1">
        <v>3.9146559999999996E-6</v>
      </c>
      <c r="I1981">
        <v>282.3725</v>
      </c>
      <c r="J1981">
        <v>-272.35849999999999</v>
      </c>
      <c r="K1981">
        <v>1.1094349999999999</v>
      </c>
      <c r="L1981">
        <v>282.5933</v>
      </c>
      <c r="M1981">
        <v>-0.99988779999999999</v>
      </c>
      <c r="N1981">
        <v>0</v>
      </c>
      <c r="O1981">
        <v>-3.4479240000000002E-3</v>
      </c>
      <c r="P1981">
        <v>-0.9978321</v>
      </c>
      <c r="Q1981">
        <v>-1.2137800000000001E-2</v>
      </c>
      <c r="R1981">
        <v>6.4683279999999996E-2</v>
      </c>
      <c r="S1981">
        <v>-3.0065919999999999</v>
      </c>
      <c r="T1981">
        <v>-0.1141852</v>
      </c>
      <c r="U1981">
        <v>-2.2766109999999999E-2</v>
      </c>
      <c r="V1981">
        <v>6.8126179999999995E-2</v>
      </c>
      <c r="W1981">
        <v>2.3406170000000001E-3</v>
      </c>
      <c r="X1981">
        <v>0.99767399999999995</v>
      </c>
      <c r="Y1981">
        <v>-4.1231269999999999E-3</v>
      </c>
      <c r="Z1981" s="1">
        <v>5.2645149999999999E-5</v>
      </c>
      <c r="AA1981">
        <v>0.99999150000000003</v>
      </c>
      <c r="AB1981">
        <v>34</v>
      </c>
      <c r="AC1981">
        <v>-29.0289</v>
      </c>
      <c r="AD1981">
        <v>-1.1094310853439999</v>
      </c>
      <c r="AE1981">
        <v>-0.220799999999996</v>
      </c>
      <c r="AF1981">
        <v>-0.120522581673838</v>
      </c>
      <c r="AG1981">
        <v>-1.1094310853439999</v>
      </c>
      <c r="AH1981">
        <v>28.987151810425999</v>
      </c>
      <c r="AI1981">
        <v>92.191804150503998</v>
      </c>
      <c r="AJ1981">
        <v>90.238222627718699</v>
      </c>
      <c r="AK1981">
        <v>29.008625150229101</v>
      </c>
      <c r="AL1981">
        <v>89.865892406361596</v>
      </c>
      <c r="AM1981">
        <v>86.093621148250094</v>
      </c>
      <c r="AN1981">
        <v>1.0000000325826599</v>
      </c>
    </row>
    <row r="1982" spans="1:40" x14ac:dyDescent="0.25">
      <c r="A1982" t="str">
        <f>"20190312154835953"</f>
        <v>20190312154835953</v>
      </c>
      <c r="B1982" t="str">
        <f>"1552376915948143"</f>
        <v>1552376915948143</v>
      </c>
      <c r="C1982" t="s">
        <v>40</v>
      </c>
      <c r="D1982">
        <v>4.777793</v>
      </c>
      <c r="E1982">
        <v>0.47262939999999998</v>
      </c>
      <c r="F1982" t="s">
        <v>51</v>
      </c>
      <c r="G1982">
        <v>-301.90109999999999</v>
      </c>
      <c r="H1982" s="1">
        <v>3.8269980000000003E-6</v>
      </c>
      <c r="I1982">
        <v>282.33300000000003</v>
      </c>
      <c r="J1982">
        <v>-272.54570000000001</v>
      </c>
      <c r="K1982">
        <v>1.109421</v>
      </c>
      <c r="L1982">
        <v>282.59280000000001</v>
      </c>
      <c r="M1982">
        <v>-0.99988869999999996</v>
      </c>
      <c r="N1982">
        <v>0</v>
      </c>
      <c r="O1982">
        <v>-3.1889129999999998E-3</v>
      </c>
      <c r="P1982">
        <v>-0.99781989999999998</v>
      </c>
      <c r="Q1982">
        <v>-1.1974540000000001E-2</v>
      </c>
      <c r="R1982">
        <v>6.4902619999999994E-2</v>
      </c>
      <c r="S1982">
        <v>-3.006866</v>
      </c>
      <c r="T1982">
        <v>-0.1129189</v>
      </c>
      <c r="U1982">
        <v>-2.6489260000000001E-2</v>
      </c>
      <c r="V1982">
        <v>6.8087170000000002E-2</v>
      </c>
      <c r="W1982">
        <v>2.4998799999999999E-3</v>
      </c>
      <c r="X1982">
        <v>0.99767629999999996</v>
      </c>
      <c r="Y1982">
        <v>-5.6183630000000003E-3</v>
      </c>
      <c r="Z1982" s="1">
        <v>1.426716E-5</v>
      </c>
      <c r="AA1982">
        <v>0.99998419999999999</v>
      </c>
      <c r="AB1982">
        <v>34</v>
      </c>
      <c r="AC1982">
        <v>-29.3553999999999</v>
      </c>
      <c r="AD1982">
        <v>-1.1094171730019999</v>
      </c>
      <c r="AE1982">
        <v>-0.259800000000041</v>
      </c>
      <c r="AF1982">
        <v>-0.165939927698075</v>
      </c>
      <c r="AG1982">
        <v>-1.1094171730019999</v>
      </c>
      <c r="AH1982">
        <v>29.314213610290199</v>
      </c>
      <c r="AI1982">
        <v>92.167330282700405</v>
      </c>
      <c r="AJ1982">
        <v>90.324332628670405</v>
      </c>
      <c r="AK1982">
        <v>29.3356687688057</v>
      </c>
      <c r="AL1982">
        <v>89.856767285523702</v>
      </c>
      <c r="AM1982">
        <v>86.095860048366106</v>
      </c>
      <c r="AN1982">
        <v>1.0000000558501501</v>
      </c>
    </row>
    <row r="1983" spans="1:40" x14ac:dyDescent="0.25">
      <c r="A1983" t="str">
        <f>"20190312154835974"</f>
        <v>20190312154835974</v>
      </c>
      <c r="B1983" t="str">
        <f>"1552376915967663"</f>
        <v>1552376915967663</v>
      </c>
      <c r="C1983" t="s">
        <v>40</v>
      </c>
      <c r="D1983">
        <v>4.7421790000000001</v>
      </c>
      <c r="E1983">
        <v>0.47233019999999998</v>
      </c>
      <c r="F1983" t="s">
        <v>51</v>
      </c>
      <c r="G1983">
        <v>-302.44319999999999</v>
      </c>
      <c r="H1983" s="1">
        <v>3.7310049999999999E-6</v>
      </c>
      <c r="I1983">
        <v>282.33100000000002</v>
      </c>
      <c r="J1983">
        <v>-272.84879999999998</v>
      </c>
      <c r="K1983">
        <v>1.1093980000000001</v>
      </c>
      <c r="L1983">
        <v>282.59230000000002</v>
      </c>
      <c r="M1983">
        <v>-0.99988999999999995</v>
      </c>
      <c r="N1983">
        <v>0</v>
      </c>
      <c r="O1983">
        <v>-2.7513009999999998E-3</v>
      </c>
      <c r="P1983">
        <v>-0.99780519999999995</v>
      </c>
      <c r="Q1983">
        <v>-1.2106469999999999E-2</v>
      </c>
      <c r="R1983">
        <v>6.5101809999999996E-2</v>
      </c>
      <c r="S1983">
        <v>-3.0069270000000001</v>
      </c>
      <c r="T1983">
        <v>-0.11157889999999999</v>
      </c>
      <c r="U1983">
        <v>-2.633667E-2</v>
      </c>
      <c r="V1983">
        <v>6.7849670000000001E-2</v>
      </c>
      <c r="W1983">
        <v>2.3615979999999999E-3</v>
      </c>
      <c r="X1983">
        <v>0.99769280000000005</v>
      </c>
      <c r="Y1983">
        <v>-6.0045699999999999E-3</v>
      </c>
      <c r="Z1983" s="1">
        <v>-9.2995109999999997E-6</v>
      </c>
      <c r="AA1983">
        <v>0.99998200000000004</v>
      </c>
      <c r="AB1983">
        <v>34</v>
      </c>
      <c r="AC1983">
        <v>-29.5944</v>
      </c>
      <c r="AD1983">
        <v>-1.1093942689949901</v>
      </c>
      <c r="AE1983">
        <v>-0.26130000000006198</v>
      </c>
      <c r="AF1983">
        <v>-0.17961487560152001</v>
      </c>
      <c r="AG1983">
        <v>-1.1093942689949901</v>
      </c>
      <c r="AH1983">
        <v>29.553480246815699</v>
      </c>
      <c r="AI1983">
        <v>92.149750390029695</v>
      </c>
      <c r="AJ1983">
        <v>90.348217790817102</v>
      </c>
      <c r="AK1983">
        <v>29.574840859192101</v>
      </c>
      <c r="AL1983">
        <v>89.864690281199103</v>
      </c>
      <c r="AM1983">
        <v>86.109500623445996</v>
      </c>
      <c r="AN1983">
        <v>1.0000000390180299</v>
      </c>
    </row>
    <row r="1984" spans="1:40" x14ac:dyDescent="0.25">
      <c r="A1984" t="str">
        <f>"20190312154835996"</f>
        <v>20190312154835996</v>
      </c>
      <c r="B1984" t="str">
        <f>"1552376915988159"</f>
        <v>1552376915988159</v>
      </c>
      <c r="C1984" t="s">
        <v>40</v>
      </c>
      <c r="D1984">
        <v>4.7196730000000002</v>
      </c>
      <c r="E1984">
        <v>0.4720838</v>
      </c>
      <c r="F1984" t="s">
        <v>51</v>
      </c>
      <c r="G1984">
        <v>-302.71269999999998</v>
      </c>
      <c r="H1984" s="1">
        <v>3.6849960000000002E-6</v>
      </c>
      <c r="I1984">
        <v>282.31040000000002</v>
      </c>
      <c r="J1984">
        <v>-273.19560000000001</v>
      </c>
      <c r="K1984">
        <v>1.109367</v>
      </c>
      <c r="L1984">
        <v>282.59190000000001</v>
      </c>
      <c r="M1984">
        <v>-0.99989150000000004</v>
      </c>
      <c r="N1984">
        <v>0</v>
      </c>
      <c r="O1984">
        <v>-2.2190970000000002E-3</v>
      </c>
      <c r="P1984">
        <v>-0.99777389999999999</v>
      </c>
      <c r="Q1984">
        <v>-1.2455819999999999E-2</v>
      </c>
      <c r="R1984">
        <v>6.551825E-2</v>
      </c>
      <c r="S1984">
        <v>-3.00705</v>
      </c>
      <c r="T1984">
        <v>-0.11170670000000001</v>
      </c>
      <c r="U1984">
        <v>-2.838135E-2</v>
      </c>
      <c r="V1984">
        <v>6.7735020000000007E-2</v>
      </c>
      <c r="W1984">
        <v>2.0049239999999999E-3</v>
      </c>
      <c r="X1984">
        <v>0.99770130000000001</v>
      </c>
      <c r="Y1984">
        <v>-7.2151480000000002E-3</v>
      </c>
      <c r="Z1984" s="1">
        <v>-5.1552150000000001E-5</v>
      </c>
      <c r="AA1984">
        <v>0.99997400000000003</v>
      </c>
      <c r="AB1984">
        <v>34</v>
      </c>
      <c r="AC1984">
        <v>-29.5170999999999</v>
      </c>
      <c r="AD1984">
        <v>-1.1093633150040001</v>
      </c>
      <c r="AE1984">
        <v>-0.28149999999999398</v>
      </c>
      <c r="AF1984">
        <v>-0.215686414740203</v>
      </c>
      <c r="AG1984">
        <v>-1.1093633150040001</v>
      </c>
      <c r="AH1984">
        <v>29.476019829704398</v>
      </c>
      <c r="AI1984">
        <v>92.155316465142107</v>
      </c>
      <c r="AJ1984">
        <v>90.419245908324797</v>
      </c>
      <c r="AK1984">
        <v>29.497677071174699</v>
      </c>
      <c r="AL1984">
        <v>89.885126235958197</v>
      </c>
      <c r="AM1984">
        <v>86.116087503980495</v>
      </c>
      <c r="AN1984">
        <v>0.99999996833816696</v>
      </c>
    </row>
    <row r="1985" spans="1:40" x14ac:dyDescent="0.25">
      <c r="A1985" t="str">
        <f>"20190312154836010"</f>
        <v>20190312154836010</v>
      </c>
      <c r="B1985" t="str">
        <f>"1552376915997919"</f>
        <v>1552376915997919</v>
      </c>
      <c r="C1985" t="s">
        <v>40</v>
      </c>
      <c r="D1985">
        <v>4.7301149999999996</v>
      </c>
      <c r="E1985">
        <v>0.4719836</v>
      </c>
      <c r="F1985" t="s">
        <v>51</v>
      </c>
      <c r="G1985">
        <v>-302.52760000000001</v>
      </c>
      <c r="H1985" s="1">
        <v>3.7181029999999999E-6</v>
      </c>
      <c r="I1985">
        <v>282.3073</v>
      </c>
      <c r="J1985">
        <v>-273.38760000000002</v>
      </c>
      <c r="K1985">
        <v>1.109353</v>
      </c>
      <c r="L1985">
        <v>282.59179999999998</v>
      </c>
      <c r="M1985">
        <v>-0.99989220000000001</v>
      </c>
      <c r="N1985">
        <v>0</v>
      </c>
      <c r="O1985">
        <v>-1.91131E-3</v>
      </c>
      <c r="P1985">
        <v>-0.99776629999999999</v>
      </c>
      <c r="Q1985">
        <v>-1.2504899999999999E-2</v>
      </c>
      <c r="R1985">
        <v>6.5621789999999999E-2</v>
      </c>
      <c r="S1985">
        <v>-3.0072329999999998</v>
      </c>
      <c r="T1985">
        <v>-0.1137364</v>
      </c>
      <c r="U1985">
        <v>-2.9174800000000001E-2</v>
      </c>
      <c r="V1985">
        <v>6.7531240000000006E-2</v>
      </c>
      <c r="W1985">
        <v>1.951518E-3</v>
      </c>
      <c r="X1985">
        <v>0.99771520000000002</v>
      </c>
      <c r="Y1985">
        <v>-7.7854500000000002E-3</v>
      </c>
      <c r="Z1985" s="1">
        <v>-7.4902969999999995E-5</v>
      </c>
      <c r="AA1985">
        <v>0.99996969999999996</v>
      </c>
      <c r="AB1985">
        <v>34</v>
      </c>
      <c r="AC1985">
        <v>-29.139999999999901</v>
      </c>
      <c r="AD1985">
        <v>-1.1093492818970001</v>
      </c>
      <c r="AE1985">
        <v>-0.28449999999997999</v>
      </c>
      <c r="AF1985">
        <v>-0.22846691901190999</v>
      </c>
      <c r="AG1985">
        <v>-1.1093492818970001</v>
      </c>
      <c r="AH1985">
        <v>29.098322484092702</v>
      </c>
      <c r="AI1985">
        <v>92.1832292284912</v>
      </c>
      <c r="AJ1985">
        <v>90.4498514045017</v>
      </c>
      <c r="AK1985">
        <v>29.120357558769498</v>
      </c>
      <c r="AL1985">
        <v>89.888186178231393</v>
      </c>
      <c r="AM1985">
        <v>86.127790390717706</v>
      </c>
      <c r="AN1985">
        <v>0.99999994855473895</v>
      </c>
    </row>
    <row r="1986" spans="1:40" x14ac:dyDescent="0.25">
      <c r="A1986" t="str">
        <f>"20190312154836031"</f>
        <v>20190312154836031</v>
      </c>
      <c r="B1986" t="str">
        <f>"1552376916017438"</f>
        <v>1552376916017438</v>
      </c>
      <c r="C1986" t="s">
        <v>40</v>
      </c>
      <c r="D1986">
        <v>4.630897</v>
      </c>
      <c r="E1986">
        <v>0.47181200000000001</v>
      </c>
      <c r="F1986" t="s">
        <v>51</v>
      </c>
      <c r="G1986">
        <v>-302.78570000000002</v>
      </c>
      <c r="H1986" s="1">
        <v>3.6725169999999998E-6</v>
      </c>
      <c r="I1986">
        <v>282.30509999999998</v>
      </c>
      <c r="J1986">
        <v>-273.709</v>
      </c>
      <c r="K1986">
        <v>1.109334</v>
      </c>
      <c r="L1986">
        <v>282.5917</v>
      </c>
      <c r="M1986">
        <v>-0.99989320000000004</v>
      </c>
      <c r="N1986">
        <v>0</v>
      </c>
      <c r="O1986">
        <v>-1.37247E-3</v>
      </c>
      <c r="P1986">
        <v>-0.99775170000000002</v>
      </c>
      <c r="Q1986">
        <v>-1.1890039999999999E-2</v>
      </c>
      <c r="R1986">
        <v>6.5958719999999998E-2</v>
      </c>
      <c r="S1986">
        <v>-3.0072329999999998</v>
      </c>
      <c r="T1986">
        <v>-0.11347930000000001</v>
      </c>
      <c r="U1986">
        <v>-2.9327389999999998E-2</v>
      </c>
      <c r="V1986">
        <v>6.7331390000000005E-2</v>
      </c>
      <c r="W1986">
        <v>2.5599609999999999E-3</v>
      </c>
      <c r="X1986">
        <v>0.99772740000000004</v>
      </c>
      <c r="Y1986">
        <v>-8.3742780000000006E-3</v>
      </c>
      <c r="Z1986">
        <v>-1.061671E-4</v>
      </c>
      <c r="AA1986">
        <v>0.99996499999999999</v>
      </c>
      <c r="AB1986">
        <v>34</v>
      </c>
      <c r="AC1986">
        <v>-29.076699999999999</v>
      </c>
      <c r="AD1986">
        <v>-1.109330327483</v>
      </c>
      <c r="AE1986">
        <v>-0.286600000000021</v>
      </c>
      <c r="AF1986">
        <v>-0.24633009207196199</v>
      </c>
      <c r="AG1986">
        <v>-1.109330327483</v>
      </c>
      <c r="AH1986">
        <v>29.0348080615132</v>
      </c>
      <c r="AI1986">
        <v>92.187951826527694</v>
      </c>
      <c r="AJ1986">
        <v>90.486083324710506</v>
      </c>
      <c r="AK1986">
        <v>29.057036522306401</v>
      </c>
      <c r="AL1986">
        <v>89.853324881285602</v>
      </c>
      <c r="AM1986">
        <v>86.139262054826204</v>
      </c>
      <c r="AN1986">
        <v>1.0000000170951999</v>
      </c>
    </row>
    <row r="1987" spans="1:40" x14ac:dyDescent="0.25">
      <c r="A1987" t="str">
        <f>"20190312154836054"</f>
        <v>20190312154836054</v>
      </c>
      <c r="B1987" t="str">
        <f>"1552376916047695"</f>
        <v>1552376916047695</v>
      </c>
      <c r="C1987" t="s">
        <v>40</v>
      </c>
      <c r="D1987">
        <v>4.719557</v>
      </c>
      <c r="E1987">
        <v>0.47146169999999998</v>
      </c>
      <c r="F1987" t="s">
        <v>51</v>
      </c>
      <c r="G1987">
        <v>-303.80860000000001</v>
      </c>
      <c r="H1987" s="1">
        <v>3.492137E-6</v>
      </c>
      <c r="I1987">
        <v>282.29300000000001</v>
      </c>
      <c r="J1987">
        <v>-274.05739999999997</v>
      </c>
      <c r="K1987">
        <v>1.1093189999999999</v>
      </c>
      <c r="L1987">
        <v>282.59190000000001</v>
      </c>
      <c r="M1987">
        <v>-0.99989380000000005</v>
      </c>
      <c r="N1987">
        <v>0</v>
      </c>
      <c r="O1987">
        <v>-7.5899880000000004E-4</v>
      </c>
      <c r="P1987">
        <v>-0.99773630000000002</v>
      </c>
      <c r="Q1987">
        <v>-1.147898E-2</v>
      </c>
      <c r="R1987">
        <v>6.6262219999999997E-2</v>
      </c>
      <c r="S1987">
        <v>-3.0073850000000002</v>
      </c>
      <c r="T1987">
        <v>-0.11083809999999999</v>
      </c>
      <c r="U1987">
        <v>-2.9846190000000002E-2</v>
      </c>
      <c r="V1987">
        <v>6.7023360000000004E-2</v>
      </c>
      <c r="W1987">
        <v>2.9643170000000002E-3</v>
      </c>
      <c r="X1987">
        <v>0.99774700000000005</v>
      </c>
      <c r="Y1987">
        <v>-9.1590620000000008E-3</v>
      </c>
      <c r="Z1987">
        <v>-1.407526E-4</v>
      </c>
      <c r="AA1987">
        <v>0.99995800000000001</v>
      </c>
      <c r="AB1987">
        <v>34</v>
      </c>
      <c r="AC1987">
        <v>-29.751200000000001</v>
      </c>
      <c r="AD1987">
        <v>-1.1093155078629999</v>
      </c>
      <c r="AE1987">
        <v>-0.298900000000003</v>
      </c>
      <c r="AF1987">
        <v>-0.27593281272591602</v>
      </c>
      <c r="AG1987">
        <v>-1.1093155078629999</v>
      </c>
      <c r="AH1987">
        <v>29.710117207280501</v>
      </c>
      <c r="AI1987">
        <v>92.138222724818704</v>
      </c>
      <c r="AJ1987">
        <v>90.532119444012494</v>
      </c>
      <c r="AK1987">
        <v>29.732100233308</v>
      </c>
      <c r="AL1987">
        <v>89.830156897508203</v>
      </c>
      <c r="AM1987">
        <v>86.156946513728101</v>
      </c>
      <c r="AN1987">
        <v>0.99999999698498299</v>
      </c>
    </row>
    <row r="1988" spans="1:40" x14ac:dyDescent="0.25">
      <c r="A1988" t="str">
        <f>"20190312154836074"</f>
        <v>20190312154836074</v>
      </c>
      <c r="B1988" t="str">
        <f>"1552376916068191"</f>
        <v>1552376916068191</v>
      </c>
      <c r="C1988" t="s">
        <v>40</v>
      </c>
      <c r="D1988">
        <v>4.7333499999999997</v>
      </c>
      <c r="E1988">
        <v>0.4712443</v>
      </c>
      <c r="F1988" t="s">
        <v>51</v>
      </c>
      <c r="G1988">
        <v>-305.42250000000001</v>
      </c>
      <c r="H1988" s="1">
        <v>3.2084079999999999E-6</v>
      </c>
      <c r="I1988">
        <v>282.26369999999997</v>
      </c>
      <c r="J1988">
        <v>-274.35649999999998</v>
      </c>
      <c r="K1988">
        <v>1.1093010000000001</v>
      </c>
      <c r="L1988">
        <v>282.59219999999999</v>
      </c>
      <c r="M1988">
        <v>-0.99989399999999995</v>
      </c>
      <c r="N1988">
        <v>0</v>
      </c>
      <c r="O1988">
        <v>-2.13208E-4</v>
      </c>
      <c r="P1988">
        <v>-0.99774030000000002</v>
      </c>
      <c r="Q1988">
        <v>-1.1038610000000001E-2</v>
      </c>
      <c r="R1988">
        <v>6.6275979999999998E-2</v>
      </c>
      <c r="S1988">
        <v>-3.00766</v>
      </c>
      <c r="T1988">
        <v>-0.10637439999999999</v>
      </c>
      <c r="U1988">
        <v>-3.1463619999999998E-2</v>
      </c>
      <c r="V1988">
        <v>6.649331E-2</v>
      </c>
      <c r="W1988">
        <v>3.3991899999999999E-3</v>
      </c>
      <c r="X1988">
        <v>0.99778109999999998</v>
      </c>
      <c r="Y1988">
        <v>-1.0241109999999999E-2</v>
      </c>
      <c r="Z1988">
        <v>-1.7350229999999999E-4</v>
      </c>
      <c r="AA1988">
        <v>0.99994749999999999</v>
      </c>
      <c r="AB1988">
        <v>34</v>
      </c>
      <c r="AC1988">
        <v>-31.065999999999999</v>
      </c>
      <c r="AD1988">
        <v>-1.1092977915919999</v>
      </c>
      <c r="AE1988">
        <v>-0.328500000000019</v>
      </c>
      <c r="AF1988">
        <v>-0.32146593298026199</v>
      </c>
      <c r="AG1988">
        <v>-1.1092977915919999</v>
      </c>
      <c r="AH1988">
        <v>31.026513552090499</v>
      </c>
      <c r="AI1988">
        <v>92.047526658618494</v>
      </c>
      <c r="AJ1988">
        <v>90.593620747792201</v>
      </c>
      <c r="AK1988">
        <v>31.048001950762501</v>
      </c>
      <c r="AL1988">
        <v>89.805240387905698</v>
      </c>
      <c r="AM1988">
        <v>86.187378978658899</v>
      </c>
      <c r="AN1988">
        <v>1.00000001914231</v>
      </c>
    </row>
    <row r="1989" spans="1:40" x14ac:dyDescent="0.25">
      <c r="A1989" t="str">
        <f>"20190312154836087"</f>
        <v>20190312154836087</v>
      </c>
      <c r="B1989" t="str">
        <f>"1552376916077953"</f>
        <v>1552376916077953</v>
      </c>
      <c r="C1989" t="s">
        <v>40</v>
      </c>
      <c r="D1989">
        <v>4.6506740000000004</v>
      </c>
      <c r="E1989">
        <v>0.47119280000000002</v>
      </c>
      <c r="F1989" t="s">
        <v>51</v>
      </c>
      <c r="G1989">
        <v>-306.86900000000003</v>
      </c>
      <c r="H1989" s="1">
        <v>2.9545389999999999E-6</v>
      </c>
      <c r="I1989">
        <v>282.23259999999999</v>
      </c>
      <c r="J1989">
        <v>-274.5505</v>
      </c>
      <c r="K1989">
        <v>1.1092850000000001</v>
      </c>
      <c r="L1989">
        <v>282.59249999999997</v>
      </c>
      <c r="M1989">
        <v>-0.99989419999999996</v>
      </c>
      <c r="N1989">
        <v>0</v>
      </c>
      <c r="O1989">
        <v>1.475665E-4</v>
      </c>
      <c r="P1989">
        <v>-0.99772539999999998</v>
      </c>
      <c r="Q1989">
        <v>-1.100601E-2</v>
      </c>
      <c r="R1989">
        <v>6.6506979999999993E-2</v>
      </c>
      <c r="S1989">
        <v>-3.0078429999999998</v>
      </c>
      <c r="T1989">
        <v>-0.1026248</v>
      </c>
      <c r="U1989">
        <v>-3.3264160000000001E-2</v>
      </c>
      <c r="V1989">
        <v>6.6364489999999998E-2</v>
      </c>
      <c r="W1989">
        <v>3.428754E-3</v>
      </c>
      <c r="X1989">
        <v>0.99778960000000005</v>
      </c>
      <c r="Y1989">
        <v>-1.119944E-2</v>
      </c>
      <c r="Z1989">
        <v>-1.9602939999999999E-4</v>
      </c>
      <c r="AA1989">
        <v>0.99993719999999997</v>
      </c>
      <c r="AB1989">
        <v>34</v>
      </c>
      <c r="AC1989">
        <v>-32.3185</v>
      </c>
      <c r="AD1989">
        <v>-1.109282045461</v>
      </c>
      <c r="AE1989">
        <v>-0.35989999999998101</v>
      </c>
      <c r="AF1989">
        <v>-0.36424057055090497</v>
      </c>
      <c r="AG1989">
        <v>-1.109282045461</v>
      </c>
      <c r="AH1989">
        <v>32.280421734682903</v>
      </c>
      <c r="AI1989">
        <v>91.968008318825795</v>
      </c>
      <c r="AJ1989">
        <v>90.646477358832499</v>
      </c>
      <c r="AK1989">
        <v>32.301529456337001</v>
      </c>
      <c r="AL1989">
        <v>89.803546490500494</v>
      </c>
      <c r="AM1989">
        <v>86.194775912574798</v>
      </c>
      <c r="AN1989">
        <v>1.00000004387755</v>
      </c>
    </row>
    <row r="1990" spans="1:40" x14ac:dyDescent="0.25">
      <c r="A1990" t="str">
        <f>"20190312154836099"</f>
        <v>20190312154836099</v>
      </c>
      <c r="B1990" t="str">
        <f>"1552376916087711"</f>
        <v>1552376916087711</v>
      </c>
      <c r="C1990" t="s">
        <v>40</v>
      </c>
      <c r="D1990">
        <v>4.6581130000000002</v>
      </c>
      <c r="E1990">
        <v>0.47114630000000002</v>
      </c>
      <c r="F1990" t="s">
        <v>51</v>
      </c>
      <c r="G1990">
        <v>-307.42500000000001</v>
      </c>
      <c r="H1990" s="1">
        <v>2.8559839999999998E-6</v>
      </c>
      <c r="I1990">
        <v>282.2319</v>
      </c>
      <c r="J1990">
        <v>-274.73790000000002</v>
      </c>
      <c r="K1990">
        <v>1.109275</v>
      </c>
      <c r="L1990">
        <v>282.59289999999999</v>
      </c>
      <c r="M1990">
        <v>-0.99989399999999995</v>
      </c>
      <c r="N1990">
        <v>0</v>
      </c>
      <c r="O1990">
        <v>5.0264739999999997E-4</v>
      </c>
      <c r="P1990">
        <v>-0.99770460000000005</v>
      </c>
      <c r="Q1990">
        <v>-1.126715E-2</v>
      </c>
      <c r="R1990">
        <v>6.6775959999999995E-2</v>
      </c>
      <c r="S1990">
        <v>-3.0079349999999998</v>
      </c>
      <c r="T1990">
        <v>-0.1014967</v>
      </c>
      <c r="U1990">
        <v>-3.2989499999999998E-2</v>
      </c>
      <c r="V1990">
        <v>6.6278939999999995E-2</v>
      </c>
      <c r="W1990">
        <v>3.1645879999999999E-3</v>
      </c>
      <c r="X1990">
        <v>0.99779609999999996</v>
      </c>
      <c r="Y1990">
        <v>-1.1462689999999999E-2</v>
      </c>
      <c r="Z1990">
        <v>-2.1028919999999999E-4</v>
      </c>
      <c r="AA1990">
        <v>0.99993430000000005</v>
      </c>
      <c r="AB1990">
        <v>34</v>
      </c>
      <c r="AC1990">
        <v>-32.687099999999901</v>
      </c>
      <c r="AD1990">
        <v>-1.1092721440160001</v>
      </c>
      <c r="AE1990">
        <v>-0.36099999999999</v>
      </c>
      <c r="AF1990">
        <v>-0.37699766058883599</v>
      </c>
      <c r="AG1990">
        <v>-1.1092721440160001</v>
      </c>
      <c r="AH1990">
        <v>32.649318140675298</v>
      </c>
      <c r="AI1990">
        <v>91.945766283367007</v>
      </c>
      <c r="AJ1990">
        <v>90.661557917579103</v>
      </c>
      <c r="AK1990">
        <v>32.670331907965199</v>
      </c>
      <c r="AL1990">
        <v>89.818682158314402</v>
      </c>
      <c r="AM1990">
        <v>86.199691500903398</v>
      </c>
      <c r="AN1990">
        <v>0.99999998483997099</v>
      </c>
    </row>
    <row r="1991" spans="1:40" x14ac:dyDescent="0.25">
      <c r="A1991" t="str">
        <f>"20190312154836118"</f>
        <v>20190312154836118</v>
      </c>
      <c r="B1991" t="str">
        <f>"1552376916108207"</f>
        <v>1552376916108207</v>
      </c>
      <c r="C1991" t="s">
        <v>40</v>
      </c>
      <c r="D1991">
        <v>4.7063839999999999</v>
      </c>
      <c r="E1991">
        <v>0.47109309999999899</v>
      </c>
      <c r="F1991" t="s">
        <v>51</v>
      </c>
      <c r="G1991">
        <v>-307.55650000000003</v>
      </c>
      <c r="H1991" s="1">
        <v>2.8320819999999999E-6</v>
      </c>
      <c r="I1991">
        <v>282.23860000000002</v>
      </c>
      <c r="J1991">
        <v>-275.0179</v>
      </c>
      <c r="K1991">
        <v>1.109264</v>
      </c>
      <c r="L1991">
        <v>282.59350000000001</v>
      </c>
      <c r="M1991">
        <v>-0.9998937</v>
      </c>
      <c r="N1991">
        <v>0</v>
      </c>
      <c r="O1991">
        <v>1.0395510000000001E-3</v>
      </c>
      <c r="P1991">
        <v>-0.99767050000000002</v>
      </c>
      <c r="Q1991">
        <v>-1.176048E-2</v>
      </c>
      <c r="R1991">
        <v>6.7197129999999994E-2</v>
      </c>
      <c r="S1991">
        <v>-3.0079349999999998</v>
      </c>
      <c r="T1991">
        <v>-0.1016687</v>
      </c>
      <c r="U1991">
        <v>-3.2470699999999998E-2</v>
      </c>
      <c r="V1991">
        <v>6.6163620000000006E-2</v>
      </c>
      <c r="W1991">
        <v>2.6662959999999999E-3</v>
      </c>
      <c r="X1991">
        <v>0.99780519999999995</v>
      </c>
      <c r="Y1991">
        <v>-1.1826639999999999E-2</v>
      </c>
      <c r="Z1991">
        <v>-2.349381E-4</v>
      </c>
      <c r="AA1991">
        <v>0.99992999999999999</v>
      </c>
      <c r="AB1991">
        <v>34</v>
      </c>
      <c r="AC1991">
        <v>-32.538600000000002</v>
      </c>
      <c r="AD1991">
        <v>-1.109261167918</v>
      </c>
      <c r="AE1991">
        <v>-0.354899999999986</v>
      </c>
      <c r="AF1991">
        <v>-0.38827772882260603</v>
      </c>
      <c r="AG1991">
        <v>-1.109261167918</v>
      </c>
      <c r="AH1991">
        <v>32.500446867171902</v>
      </c>
      <c r="AI1991">
        <v>91.954643644459495</v>
      </c>
      <c r="AJ1991">
        <v>90.684471106542503</v>
      </c>
      <c r="AK1991">
        <v>32.521689170447701</v>
      </c>
      <c r="AL1991">
        <v>89.847232307508307</v>
      </c>
      <c r="AM1991">
        <v>86.206318902562899</v>
      </c>
      <c r="AN1991">
        <v>0.99999997544645103</v>
      </c>
    </row>
    <row r="1992" spans="1:40" x14ac:dyDescent="0.25">
      <c r="A1992" t="str">
        <f>"20190312154836132"</f>
        <v>20190312154836132</v>
      </c>
      <c r="B1992" t="str">
        <f>"1552376916127727"</f>
        <v>1552376916127727</v>
      </c>
      <c r="C1992" t="s">
        <v>40</v>
      </c>
      <c r="D1992">
        <v>4.6257929999999998</v>
      </c>
      <c r="E1992">
        <v>0.48691780000000001</v>
      </c>
      <c r="F1992" t="s">
        <v>51</v>
      </c>
      <c r="G1992">
        <v>-307.6617</v>
      </c>
      <c r="H1992" s="1">
        <v>2.8124010000000002E-6</v>
      </c>
      <c r="I1992">
        <v>282.25009999999997</v>
      </c>
      <c r="J1992">
        <v>-275.22430000000003</v>
      </c>
      <c r="K1992">
        <v>1.1092569999999999</v>
      </c>
      <c r="L1992">
        <v>282.59410000000003</v>
      </c>
      <c r="M1992">
        <v>-0.99989320000000004</v>
      </c>
      <c r="N1992">
        <v>0</v>
      </c>
      <c r="O1992">
        <v>1.4389369999999999E-3</v>
      </c>
      <c r="P1992">
        <v>-0.99764229999999998</v>
      </c>
      <c r="Q1992">
        <v>-1.196061E-2</v>
      </c>
      <c r="R1992">
        <v>6.7578600000000003E-2</v>
      </c>
      <c r="S1992">
        <v>-3.0079349999999998</v>
      </c>
      <c r="T1992">
        <v>-0.10221180000000001</v>
      </c>
      <c r="U1992">
        <v>-3.1646729999999998E-2</v>
      </c>
      <c r="V1992">
        <v>6.6146280000000002E-2</v>
      </c>
      <c r="W1992">
        <v>2.4631639999999999E-3</v>
      </c>
      <c r="X1992">
        <v>0.99780690000000005</v>
      </c>
      <c r="Y1992">
        <v>-1.195177E-2</v>
      </c>
      <c r="Z1992">
        <v>-2.518868E-4</v>
      </c>
      <c r="AA1992">
        <v>0.9999285</v>
      </c>
      <c r="AB1992">
        <v>33</v>
      </c>
      <c r="AC1992">
        <v>-32.437399999999897</v>
      </c>
      <c r="AD1992">
        <v>-1.1092541875990001</v>
      </c>
      <c r="AE1992">
        <v>-0.34400000000004999</v>
      </c>
      <c r="AF1992">
        <v>-0.39022367236886901</v>
      </c>
      <c r="AG1992">
        <v>-1.1092541875990001</v>
      </c>
      <c r="AH1992">
        <v>32.398987639298298</v>
      </c>
      <c r="AI1992">
        <v>91.960745329577406</v>
      </c>
      <c r="AJ1992">
        <v>90.690055155497603</v>
      </c>
      <c r="AK1992">
        <v>32.420319545288002</v>
      </c>
      <c r="AL1992">
        <v>89.858870956351694</v>
      </c>
      <c r="AM1992">
        <v>86.207316681944405</v>
      </c>
      <c r="AN1992">
        <v>1.00000000361116</v>
      </c>
    </row>
    <row r="1993" spans="1:40" x14ac:dyDescent="0.25">
      <c r="A1993" t="str">
        <f>"20190312154836144"</f>
        <v>20190312154836144</v>
      </c>
      <c r="B1993" t="str">
        <f>"1552376916137488"</f>
        <v>1552376916137488</v>
      </c>
      <c r="C1993" t="s">
        <v>40</v>
      </c>
      <c r="D1993">
        <v>4.6263120000000004</v>
      </c>
      <c r="E1993">
        <v>0.4875081</v>
      </c>
      <c r="F1993" t="s">
        <v>50</v>
      </c>
      <c r="G1993">
        <v>-343.35300000000001</v>
      </c>
      <c r="H1993" s="1">
        <v>2.4748780000000001E-7</v>
      </c>
      <c r="I1993">
        <v>284.82170000000002</v>
      </c>
      <c r="J1993">
        <v>-275.40809999999999</v>
      </c>
      <c r="K1993">
        <v>1.1092519999999999</v>
      </c>
      <c r="L1993">
        <v>282.59469999999999</v>
      </c>
      <c r="M1993">
        <v>-0.99989269999999997</v>
      </c>
      <c r="N1993">
        <v>0</v>
      </c>
      <c r="O1993">
        <v>1.796457E-3</v>
      </c>
      <c r="P1993">
        <v>-0.99759750000000003</v>
      </c>
      <c r="Q1993">
        <v>-1.210028E-2</v>
      </c>
      <c r="R1993">
        <v>6.8213010000000004E-2</v>
      </c>
      <c r="S1993">
        <v>-2.9998469999999999</v>
      </c>
      <c r="T1993">
        <v>-4.8842910000000003E-2</v>
      </c>
      <c r="U1993">
        <v>9.8083500000000004E-2</v>
      </c>
      <c r="V1993">
        <v>6.6423860000000001E-2</v>
      </c>
      <c r="W1993">
        <v>2.320112E-3</v>
      </c>
      <c r="X1993">
        <v>0.99778880000000003</v>
      </c>
      <c r="Y1993">
        <v>3.0879110000000001E-2</v>
      </c>
      <c r="Z1993">
        <v>2.220573E-4</v>
      </c>
      <c r="AA1993">
        <v>0.9995231</v>
      </c>
      <c r="AB1993">
        <v>33</v>
      </c>
      <c r="AC1993">
        <v>-67.944900000000004</v>
      </c>
      <c r="AD1993">
        <v>-1.1092517525121901</v>
      </c>
      <c r="AE1993">
        <v>2.2270000000000301</v>
      </c>
      <c r="AF1993">
        <v>2.1043631384905499</v>
      </c>
      <c r="AG1993">
        <v>-1.1092517525121901</v>
      </c>
      <c r="AH1993">
        <v>67.930705313090201</v>
      </c>
      <c r="AI1993">
        <v>90.935060668464203</v>
      </c>
      <c r="AJ1993">
        <v>88.225653926697603</v>
      </c>
      <c r="AK1993">
        <v>67.9723436995003</v>
      </c>
      <c r="AL1993">
        <v>89.867067255240897</v>
      </c>
      <c r="AM1993">
        <v>86.191378710265795</v>
      </c>
      <c r="AN1993">
        <v>1.00000000075121</v>
      </c>
    </row>
    <row r="1994" spans="1:40" x14ac:dyDescent="0.25">
      <c r="A1994" t="str">
        <f>"20190312154836162"</f>
        <v>20190312154836162</v>
      </c>
      <c r="B1994" t="str">
        <f>"1552376916157983"</f>
        <v>1552376916157983</v>
      </c>
      <c r="C1994" t="s">
        <v>40</v>
      </c>
      <c r="D1994">
        <v>4.6452749999999998</v>
      </c>
      <c r="E1994">
        <v>0.48806640000000001</v>
      </c>
      <c r="F1994" t="s">
        <v>50</v>
      </c>
      <c r="G1994">
        <v>-342.25729999999999</v>
      </c>
      <c r="H1994" s="1">
        <v>-3.3559289999999999E-7</v>
      </c>
      <c r="I1994">
        <v>284.92619999999999</v>
      </c>
      <c r="J1994">
        <v>-275.68990000000002</v>
      </c>
      <c r="K1994">
        <v>1.1092470000000001</v>
      </c>
      <c r="L1994">
        <v>282.5958</v>
      </c>
      <c r="M1994">
        <v>-0.99989170000000005</v>
      </c>
      <c r="N1994">
        <v>0</v>
      </c>
      <c r="O1994">
        <v>2.347231E-3</v>
      </c>
      <c r="P1994">
        <v>-0.99755229999999995</v>
      </c>
      <c r="Q1994">
        <v>-1.199514E-2</v>
      </c>
      <c r="R1994">
        <v>6.8891350000000004E-2</v>
      </c>
      <c r="S1994">
        <v>-2.9994809999999998</v>
      </c>
      <c r="T1994">
        <v>-4.9771429999999998E-2</v>
      </c>
      <c r="U1994">
        <v>0.10461429999999999</v>
      </c>
      <c r="V1994">
        <v>6.6552970000000003E-2</v>
      </c>
      <c r="W1994">
        <v>2.4192950000000001E-3</v>
      </c>
      <c r="X1994">
        <v>0.99778</v>
      </c>
      <c r="Y1994">
        <v>3.250596E-2</v>
      </c>
      <c r="Z1994">
        <v>2.3065330000000001E-4</v>
      </c>
      <c r="AA1994">
        <v>0.99947149999999996</v>
      </c>
      <c r="AB1994">
        <v>33</v>
      </c>
      <c r="AC1994">
        <v>-66.567399999999907</v>
      </c>
      <c r="AD1994">
        <v>-1.10924733559289</v>
      </c>
      <c r="AE1994">
        <v>2.3303999999999898</v>
      </c>
      <c r="AF1994">
        <v>2.17352523062655</v>
      </c>
      <c r="AG1994">
        <v>-1.10924733559289</v>
      </c>
      <c r="AH1994">
        <v>66.554229460094305</v>
      </c>
      <c r="AI1994">
        <v>90.954341320641007</v>
      </c>
      <c r="AJ1994">
        <v>88.129501638383005</v>
      </c>
      <c r="AK1994">
        <v>66.598949695971697</v>
      </c>
      <c r="AL1994">
        <v>89.861384477372894</v>
      </c>
      <c r="AM1994">
        <v>86.183964076955505</v>
      </c>
      <c r="AN1994">
        <v>1.0000000396020501</v>
      </c>
    </row>
    <row r="1995" spans="1:40" x14ac:dyDescent="0.25">
      <c r="A1995" t="str">
        <f>"20190312154836175"</f>
        <v>20190312154836175</v>
      </c>
      <c r="B1995" t="str">
        <f>"1552376916168719"</f>
        <v>1552376916168719</v>
      </c>
      <c r="C1995" t="s">
        <v>40</v>
      </c>
      <c r="D1995">
        <v>4.6416300000000001</v>
      </c>
      <c r="E1995">
        <v>0.48859209999999897</v>
      </c>
      <c r="F1995" t="s">
        <v>50</v>
      </c>
      <c r="G1995">
        <v>-335.22190000000001</v>
      </c>
      <c r="H1995" s="1">
        <v>1.234285E-6</v>
      </c>
      <c r="I1995">
        <v>284.79419999999999</v>
      </c>
      <c r="J1995">
        <v>-275.86259999999999</v>
      </c>
      <c r="K1995">
        <v>1.10924</v>
      </c>
      <c r="L1995">
        <v>282.59649999999999</v>
      </c>
      <c r="M1995">
        <v>-0.99989099999999997</v>
      </c>
      <c r="N1995">
        <v>0</v>
      </c>
      <c r="O1995">
        <v>2.6875860000000001E-3</v>
      </c>
      <c r="P1995">
        <v>-0.99752079999999999</v>
      </c>
      <c r="Q1995">
        <v>-1.183031E-2</v>
      </c>
      <c r="R1995">
        <v>6.9370029999999999E-2</v>
      </c>
      <c r="S1995">
        <v>-2.9990540000000001</v>
      </c>
      <c r="T1995">
        <v>-5.588067E-2</v>
      </c>
      <c r="U1995">
        <v>0.11074829999999999</v>
      </c>
      <c r="V1995">
        <v>6.6692340000000003E-2</v>
      </c>
      <c r="W1995">
        <v>2.5590080000000002E-3</v>
      </c>
      <c r="X1995">
        <v>0.9977703</v>
      </c>
      <c r="Y1995">
        <v>3.4210949999999997E-2</v>
      </c>
      <c r="Z1995">
        <v>2.6852579999999998E-4</v>
      </c>
      <c r="AA1995">
        <v>0.99941460000000004</v>
      </c>
      <c r="AB1995">
        <v>33</v>
      </c>
      <c r="AC1995">
        <v>-59.359299999999998</v>
      </c>
      <c r="AD1995">
        <v>-1.109238765715</v>
      </c>
      <c r="AE1995">
        <v>2.19769999999999</v>
      </c>
      <c r="AF1995">
        <v>2.0374315284767799</v>
      </c>
      <c r="AG1995">
        <v>-1.109238765715</v>
      </c>
      <c r="AH1995">
        <v>59.344298124406997</v>
      </c>
      <c r="AI1995">
        <v>91.070193625955596</v>
      </c>
      <c r="AJ1995">
        <v>88.033671345689001</v>
      </c>
      <c r="AK1995">
        <v>59.389622475236301</v>
      </c>
      <c r="AL1995">
        <v>89.853379480976997</v>
      </c>
      <c r="AM1995">
        <v>86.175959454086893</v>
      </c>
      <c r="AN1995">
        <v>0.99999999414935403</v>
      </c>
    </row>
    <row r="1996" spans="1:40" x14ac:dyDescent="0.25">
      <c r="A1996" t="str">
        <f>"20190312154836187"</f>
        <v>20190312154836187</v>
      </c>
      <c r="B1996" t="str">
        <f>"1552376916177503"</f>
        <v>1552376916177503</v>
      </c>
      <c r="C1996" t="s">
        <v>40</v>
      </c>
      <c r="D1996">
        <v>4.6755180000000003</v>
      </c>
      <c r="E1996">
        <v>0.48825109999999999</v>
      </c>
      <c r="F1996" t="s">
        <v>50</v>
      </c>
      <c r="G1996">
        <v>-331.56740000000002</v>
      </c>
      <c r="H1996" s="1">
        <v>-7.0876169999999997E-7</v>
      </c>
      <c r="I1996">
        <v>284.75470000000001</v>
      </c>
      <c r="J1996">
        <v>-276.04969999999997</v>
      </c>
      <c r="K1996">
        <v>1.1092249999999999</v>
      </c>
      <c r="L1996">
        <v>282.59730000000002</v>
      </c>
      <c r="M1996">
        <v>-0.99989059999999996</v>
      </c>
      <c r="N1996">
        <v>0</v>
      </c>
      <c r="O1996">
        <v>3.0575450000000001E-3</v>
      </c>
      <c r="P1996">
        <v>-0.99750300000000003</v>
      </c>
      <c r="Q1996">
        <v>-1.17082E-2</v>
      </c>
      <c r="R1996">
        <v>6.964795E-2</v>
      </c>
      <c r="S1996">
        <v>-2.9986570000000001</v>
      </c>
      <c r="T1996">
        <v>-5.9711809999999997E-2</v>
      </c>
      <c r="U1996">
        <v>0.1161804</v>
      </c>
      <c r="V1996">
        <v>6.6601369999999993E-2</v>
      </c>
      <c r="W1996">
        <v>2.6415000000000002E-3</v>
      </c>
      <c r="X1996">
        <v>0.9977762</v>
      </c>
      <c r="Y1996">
        <v>3.565289E-2</v>
      </c>
      <c r="Z1996">
        <v>2.9394620000000002E-4</v>
      </c>
      <c r="AA1996">
        <v>0.99936420000000004</v>
      </c>
      <c r="AB1996">
        <v>33</v>
      </c>
      <c r="AC1996">
        <v>-55.517699999999998</v>
      </c>
      <c r="AD1996">
        <v>-1.1092257087616999</v>
      </c>
      <c r="AE1996">
        <v>2.1573999999999902</v>
      </c>
      <c r="AF1996">
        <v>1.9868323460064301</v>
      </c>
      <c r="AG1996">
        <v>-1.1092257087616999</v>
      </c>
      <c r="AH1996">
        <v>55.5019152136991</v>
      </c>
      <c r="AI1996">
        <v>91.144191623509698</v>
      </c>
      <c r="AJ1996">
        <v>87.949827156792693</v>
      </c>
      <c r="AK1996">
        <v>55.548541626515799</v>
      </c>
      <c r="AL1996">
        <v>89.848653027352398</v>
      </c>
      <c r="AM1996">
        <v>86.181182609723706</v>
      </c>
      <c r="AN1996">
        <v>1.00000003264728</v>
      </c>
    </row>
    <row r="1997" spans="1:40" x14ac:dyDescent="0.25">
      <c r="A1997" t="str">
        <f>"20190312154836198"</f>
        <v>20190312154836198</v>
      </c>
      <c r="B1997" t="str">
        <f>"1552376916188239"</f>
        <v>1552376916188239</v>
      </c>
      <c r="C1997" t="s">
        <v>40</v>
      </c>
      <c r="D1997">
        <v>4.7343279999999996</v>
      </c>
      <c r="E1997">
        <v>0.48798550000000002</v>
      </c>
      <c r="F1997" t="s">
        <v>50</v>
      </c>
      <c r="G1997">
        <v>-324.64620000000002</v>
      </c>
      <c r="H1997" s="1">
        <v>9.4323909999999999E-7</v>
      </c>
      <c r="I1997">
        <v>284.44349999999997</v>
      </c>
      <c r="J1997">
        <v>-276.2321</v>
      </c>
      <c r="K1997">
        <v>1.1092040000000001</v>
      </c>
      <c r="L1997">
        <v>282.59829999999999</v>
      </c>
      <c r="M1997">
        <v>-0.99989059999999996</v>
      </c>
      <c r="N1997">
        <v>0</v>
      </c>
      <c r="O1997">
        <v>3.4205799999999999E-3</v>
      </c>
      <c r="P1997">
        <v>-0.99746979999999996</v>
      </c>
      <c r="Q1997">
        <v>-1.1446339999999999E-2</v>
      </c>
      <c r="R1997">
        <v>7.0167679999999996E-2</v>
      </c>
      <c r="S1997">
        <v>-2.9987490000000001</v>
      </c>
      <c r="T1997">
        <v>-6.8446989999999999E-2</v>
      </c>
      <c r="U1997">
        <v>0.1139221</v>
      </c>
      <c r="V1997">
        <v>6.6759360000000004E-2</v>
      </c>
      <c r="W1997">
        <v>2.8322339999999999E-3</v>
      </c>
      <c r="X1997">
        <v>0.99776509999999996</v>
      </c>
      <c r="Y1997">
        <v>3.4535709999999997E-2</v>
      </c>
      <c r="Z1997">
        <v>3.1590490000000003E-4</v>
      </c>
      <c r="AA1997">
        <v>0.99940340000000005</v>
      </c>
      <c r="AB1997">
        <v>33</v>
      </c>
      <c r="AC1997">
        <v>-48.414099999999998</v>
      </c>
      <c r="AD1997">
        <v>-1.1092030567608999</v>
      </c>
      <c r="AE1997">
        <v>1.84519999999997</v>
      </c>
      <c r="AF1997">
        <v>1.67868788196103</v>
      </c>
      <c r="AG1997">
        <v>-1.1092030567608999</v>
      </c>
      <c r="AH1997">
        <v>48.394763345349602</v>
      </c>
      <c r="AI1997">
        <v>91.312194649314804</v>
      </c>
      <c r="AJ1997">
        <v>88.013355657221993</v>
      </c>
      <c r="AK1997">
        <v>48.436571345199098</v>
      </c>
      <c r="AL1997">
        <v>89.837724730566606</v>
      </c>
      <c r="AM1997">
        <v>86.172108154696403</v>
      </c>
      <c r="AN1997">
        <v>1.0000000142375201</v>
      </c>
    </row>
    <row r="1998" spans="1:40" x14ac:dyDescent="0.25">
      <c r="A1998" t="str">
        <f>"20190312154836219"</f>
        <v>20190312154836219</v>
      </c>
      <c r="B1998" t="str">
        <f>"1552376916207759"</f>
        <v>1552376916207759</v>
      </c>
      <c r="C1998" t="s">
        <v>40</v>
      </c>
      <c r="D1998">
        <v>4.7428429999999997</v>
      </c>
      <c r="E1998">
        <v>0.48746200000000001</v>
      </c>
      <c r="F1998" t="s">
        <v>50</v>
      </c>
      <c r="G1998">
        <v>-321.00650000000002</v>
      </c>
      <c r="H1998" s="1">
        <v>-9.868238999999999E-7</v>
      </c>
      <c r="I1998">
        <v>284.2878</v>
      </c>
      <c r="J1998">
        <v>-276.52280000000002</v>
      </c>
      <c r="K1998">
        <v>1.109164</v>
      </c>
      <c r="L1998">
        <v>282.59989999999999</v>
      </c>
      <c r="M1998">
        <v>-0.99989050000000002</v>
      </c>
      <c r="N1998">
        <v>0</v>
      </c>
      <c r="O1998">
        <v>3.9948090000000002E-3</v>
      </c>
      <c r="P1998">
        <v>-0.99746330000000005</v>
      </c>
      <c r="Q1998">
        <v>-1.10069E-2</v>
      </c>
      <c r="R1998">
        <v>7.0329030000000001E-2</v>
      </c>
      <c r="S1998">
        <v>-2.99884</v>
      </c>
      <c r="T1998">
        <v>-7.4290869999999995E-2</v>
      </c>
      <c r="U1998">
        <v>0.1131592</v>
      </c>
      <c r="V1998">
        <v>6.6348279999999996E-2</v>
      </c>
      <c r="W1998">
        <v>3.1216730000000002E-3</v>
      </c>
      <c r="X1998">
        <v>0.9977916</v>
      </c>
      <c r="Y1998">
        <v>3.3705699999999998E-2</v>
      </c>
      <c r="Z1998">
        <v>3.183646E-4</v>
      </c>
      <c r="AA1998">
        <v>0.99943170000000003</v>
      </c>
      <c r="AB1998">
        <v>33</v>
      </c>
      <c r="AC1998">
        <v>-44.483699999999999</v>
      </c>
      <c r="AD1998">
        <v>-1.1091649868239</v>
      </c>
      <c r="AE1998">
        <v>1.6879000000000099</v>
      </c>
      <c r="AF1998">
        <v>1.5092276429786899</v>
      </c>
      <c r="AG1998">
        <v>-1.1091649868239</v>
      </c>
      <c r="AH1998">
        <v>44.462485304761103</v>
      </c>
      <c r="AI1998">
        <v>91.428186881190697</v>
      </c>
      <c r="AJ1998">
        <v>88.055907448614093</v>
      </c>
      <c r="AK1998">
        <v>44.501916975816002</v>
      </c>
      <c r="AL1998">
        <v>89.821141014086805</v>
      </c>
      <c r="AM1998">
        <v>86.195710239072596</v>
      </c>
      <c r="AN1998">
        <v>0.99999995806591702</v>
      </c>
    </row>
    <row r="1999" spans="1:40" x14ac:dyDescent="0.25">
      <c r="A1999" t="str">
        <f>"20190312154836243"</f>
        <v>20190312154836243</v>
      </c>
      <c r="B1999" t="str">
        <f>"1552376916238015"</f>
        <v>1552376916238015</v>
      </c>
      <c r="C1999" t="s">
        <v>40</v>
      </c>
      <c r="D1999">
        <v>4.7489339999999904</v>
      </c>
      <c r="E1999">
        <v>0.48676259999999999</v>
      </c>
      <c r="F1999" t="s">
        <v>51</v>
      </c>
      <c r="G1999">
        <v>-317.01400000000001</v>
      </c>
      <c r="H1999" s="1">
        <v>5.3750379999999898E-6</v>
      </c>
      <c r="I1999">
        <v>284.07159999999999</v>
      </c>
      <c r="J1999">
        <v>-276.88630000000001</v>
      </c>
      <c r="K1999">
        <v>1.1091070000000001</v>
      </c>
      <c r="L1999">
        <v>282.60199999999998</v>
      </c>
      <c r="M1999">
        <v>-0.99989079999999997</v>
      </c>
      <c r="N1999">
        <v>0</v>
      </c>
      <c r="O1999">
        <v>4.7098110000000004E-3</v>
      </c>
      <c r="P1999">
        <v>-0.99744949999999999</v>
      </c>
      <c r="Q1999">
        <v>-1.0304249999999999E-2</v>
      </c>
      <c r="R1999">
        <v>7.0628969999999999E-2</v>
      </c>
      <c r="S1999">
        <v>-2.9990540000000001</v>
      </c>
      <c r="T1999">
        <v>-8.2151890000000005E-2</v>
      </c>
      <c r="U1999">
        <v>0.1090088</v>
      </c>
      <c r="V1999">
        <v>6.5935339999999995E-2</v>
      </c>
      <c r="W1999">
        <v>3.5789569999999998E-3</v>
      </c>
      <c r="X1999">
        <v>0.99781750000000002</v>
      </c>
      <c r="Y1999">
        <v>3.1606099999999998E-2</v>
      </c>
      <c r="Z1999">
        <v>3.0370579999999998E-4</v>
      </c>
      <c r="AA1999">
        <v>0.99950030000000001</v>
      </c>
      <c r="AB1999">
        <v>33</v>
      </c>
      <c r="AC1999">
        <v>-40.127699999999997</v>
      </c>
      <c r="AD1999">
        <v>-1.109101624962</v>
      </c>
      <c r="AE1999">
        <v>1.4695999999999501</v>
      </c>
      <c r="AF1999">
        <v>1.27959505768877</v>
      </c>
      <c r="AG1999">
        <v>-1.109101624962</v>
      </c>
      <c r="AH1999">
        <v>40.103581730582199</v>
      </c>
      <c r="AI1999">
        <v>91.583358575431703</v>
      </c>
      <c r="AJ1999">
        <v>88.172469186504699</v>
      </c>
      <c r="AK1999">
        <v>40.1393166053888</v>
      </c>
      <c r="AL1999">
        <v>89.794940435308405</v>
      </c>
      <c r="AM1999">
        <v>86.219416434893205</v>
      </c>
      <c r="AN1999">
        <v>1.00000002065018</v>
      </c>
    </row>
    <row r="2000" spans="1:40" x14ac:dyDescent="0.25">
      <c r="A2000" t="str">
        <f>"20190312154836265"</f>
        <v>20190312154836265</v>
      </c>
      <c r="B2000" t="str">
        <f>"1552376916257535"</f>
        <v>1552376916257535</v>
      </c>
      <c r="C2000" t="s">
        <v>40</v>
      </c>
      <c r="D2000">
        <v>4.7500140000000002</v>
      </c>
      <c r="E2000">
        <v>0.4864135</v>
      </c>
      <c r="F2000" t="s">
        <v>51</v>
      </c>
      <c r="G2000">
        <v>-314.50689999999997</v>
      </c>
      <c r="H2000" s="1">
        <v>4.2777090000000002E-6</v>
      </c>
      <c r="I2000">
        <v>283.90609999999998</v>
      </c>
      <c r="J2000">
        <v>-277.20400000000001</v>
      </c>
      <c r="K2000">
        <v>1.109065</v>
      </c>
      <c r="L2000">
        <v>282.60419999999999</v>
      </c>
      <c r="M2000">
        <v>-0.99989130000000004</v>
      </c>
      <c r="N2000">
        <v>0</v>
      </c>
      <c r="O2000">
        <v>5.3406360000000002E-3</v>
      </c>
      <c r="P2000">
        <v>-0.9974191</v>
      </c>
      <c r="Q2000">
        <v>-1.00231E-2</v>
      </c>
      <c r="R2000">
        <v>7.1098350000000005E-2</v>
      </c>
      <c r="S2000">
        <v>-2.99939</v>
      </c>
      <c r="T2000">
        <v>-8.842564E-2</v>
      </c>
      <c r="U2000">
        <v>0.10397339999999999</v>
      </c>
      <c r="V2000">
        <v>6.5775420000000001E-2</v>
      </c>
      <c r="W2000">
        <v>3.5923090000000001E-3</v>
      </c>
      <c r="X2000">
        <v>0.99782800000000005</v>
      </c>
      <c r="Y2000">
        <v>2.929522E-2</v>
      </c>
      <c r="Z2000">
        <v>2.742283E-4</v>
      </c>
      <c r="AA2000">
        <v>0.99957079999999998</v>
      </c>
      <c r="AB2000">
        <v>33</v>
      </c>
      <c r="AC2000">
        <v>-37.302899999999902</v>
      </c>
      <c r="AD2000">
        <v>-1.1090607222910001</v>
      </c>
      <c r="AE2000">
        <v>1.3018999999999801</v>
      </c>
      <c r="AF2000">
        <v>1.1016687730052499</v>
      </c>
      <c r="AG2000">
        <v>-1.1090607222910001</v>
      </c>
      <c r="AH2000">
        <v>37.276411315527199</v>
      </c>
      <c r="AI2000">
        <v>91.703437854962004</v>
      </c>
      <c r="AJ2000">
        <v>88.307170647122007</v>
      </c>
      <c r="AK2000">
        <v>37.3091748814619</v>
      </c>
      <c r="AL2000">
        <v>89.794175415804304</v>
      </c>
      <c r="AM2000">
        <v>86.228598963124497</v>
      </c>
      <c r="AN2000">
        <v>1.00000001407206</v>
      </c>
    </row>
    <row r="2001" spans="1:40" x14ac:dyDescent="0.25">
      <c r="A2001" t="str">
        <f>"20190312154836286"</f>
        <v>20190312154836286</v>
      </c>
      <c r="B2001" t="str">
        <f>"1552376916278031"</f>
        <v>1552376916278031</v>
      </c>
      <c r="C2001" t="s">
        <v>40</v>
      </c>
      <c r="D2001">
        <v>4.7777729999999998</v>
      </c>
      <c r="E2001">
        <v>0.4861472</v>
      </c>
      <c r="F2001" t="s">
        <v>51</v>
      </c>
      <c r="G2001">
        <v>-313.33670000000001</v>
      </c>
      <c r="H2001" s="1">
        <v>3.7648750000000001E-6</v>
      </c>
      <c r="I2001">
        <v>283.83640000000003</v>
      </c>
      <c r="J2001">
        <v>-277.53179999999998</v>
      </c>
      <c r="K2001">
        <v>1.1090169999999999</v>
      </c>
      <c r="L2001">
        <v>282.60660000000001</v>
      </c>
      <c r="M2001">
        <v>-0.99989209999999995</v>
      </c>
      <c r="N2001">
        <v>0</v>
      </c>
      <c r="O2001">
        <v>5.998738E-3</v>
      </c>
      <c r="P2001">
        <v>-0.99740070000000003</v>
      </c>
      <c r="Q2001">
        <v>-9.1928040000000006E-3</v>
      </c>
      <c r="R2001">
        <v>7.146624E-2</v>
      </c>
      <c r="S2001">
        <v>-2.9995419999999999</v>
      </c>
      <c r="T2001">
        <v>-9.206831E-2</v>
      </c>
      <c r="U2001">
        <v>0.10229489999999999</v>
      </c>
      <c r="V2001">
        <v>6.5487229999999994E-2</v>
      </c>
      <c r="W2001">
        <v>4.097275E-3</v>
      </c>
      <c r="X2001">
        <v>0.99784499999999998</v>
      </c>
      <c r="Y2001">
        <v>2.807691E-2</v>
      </c>
      <c r="Z2001">
        <v>2.4663130000000003E-4</v>
      </c>
      <c r="AA2001">
        <v>0.99960570000000004</v>
      </c>
      <c r="AB2001">
        <v>33</v>
      </c>
      <c r="AC2001">
        <v>-35.804900000000004</v>
      </c>
      <c r="AD2001">
        <v>-1.1090132351249999</v>
      </c>
      <c r="AE2001">
        <v>1.22980000000001</v>
      </c>
      <c r="AF2001">
        <v>1.01400267962513</v>
      </c>
      <c r="AG2001">
        <v>-1.1090132351249999</v>
      </c>
      <c r="AH2001">
        <v>35.777350112299203</v>
      </c>
      <c r="AI2001">
        <v>91.774752939953999</v>
      </c>
      <c r="AJ2001">
        <v>88.376555974368998</v>
      </c>
      <c r="AK2001">
        <v>35.808894046703102</v>
      </c>
      <c r="AL2001">
        <v>89.765242779209004</v>
      </c>
      <c r="AM2001">
        <v>86.245139482208302</v>
      </c>
      <c r="AN2001">
        <v>1.00000000449024</v>
      </c>
    </row>
    <row r="2002" spans="1:40" x14ac:dyDescent="0.25">
      <c r="A2002" t="str">
        <f>"20190312154836299"</f>
        <v>20190312154836299</v>
      </c>
      <c r="B2002" t="str">
        <f>"1552376916287790"</f>
        <v>1552376916287790</v>
      </c>
      <c r="C2002" t="s">
        <v>40</v>
      </c>
      <c r="D2002">
        <v>4.7744109999999997</v>
      </c>
      <c r="E2002">
        <v>0.4860121</v>
      </c>
      <c r="F2002" t="s">
        <v>51</v>
      </c>
      <c r="G2002">
        <v>-313.06869999999998</v>
      </c>
      <c r="H2002" s="1">
        <v>3.6488370000000001E-6</v>
      </c>
      <c r="I2002">
        <v>283.80399999999997</v>
      </c>
      <c r="J2002">
        <v>-277.72910000000002</v>
      </c>
      <c r="K2002">
        <v>1.1089869999999999</v>
      </c>
      <c r="L2002">
        <v>282.60820000000001</v>
      </c>
      <c r="M2002">
        <v>-0.99989249999999996</v>
      </c>
      <c r="N2002">
        <v>0</v>
      </c>
      <c r="O2002">
        <v>6.396456E-3</v>
      </c>
      <c r="P2002">
        <v>-0.99736820000000004</v>
      </c>
      <c r="Q2002">
        <v>-8.7856759999999992E-3</v>
      </c>
      <c r="R2002">
        <v>7.1970530000000005E-2</v>
      </c>
      <c r="S2002">
        <v>-2.999695</v>
      </c>
      <c r="T2002">
        <v>-9.3612669999999995E-2</v>
      </c>
      <c r="U2002">
        <v>0.1010742</v>
      </c>
      <c r="V2002">
        <v>6.5595130000000001E-2</v>
      </c>
      <c r="W2002">
        <v>4.2870549999999997E-3</v>
      </c>
      <c r="X2002">
        <v>0.99783710000000003</v>
      </c>
      <c r="Y2002">
        <v>2.7271500000000001E-2</v>
      </c>
      <c r="Z2002">
        <v>2.2578950000000001E-4</v>
      </c>
      <c r="AA2002">
        <v>0.99962810000000002</v>
      </c>
      <c r="AB2002">
        <v>33</v>
      </c>
      <c r="AC2002">
        <v>-35.339599999999898</v>
      </c>
      <c r="AD2002">
        <v>-1.1089833511630001</v>
      </c>
      <c r="AE2002">
        <v>1.19580000000001</v>
      </c>
      <c r="AF2002">
        <v>0.96875476707067498</v>
      </c>
      <c r="AG2002">
        <v>-1.1089833511630001</v>
      </c>
      <c r="AH2002">
        <v>35.311792877444802</v>
      </c>
      <c r="AI2002">
        <v>91.798133382837307</v>
      </c>
      <c r="AJ2002">
        <v>88.428523843260294</v>
      </c>
      <c r="AK2002">
        <v>35.342482172188198</v>
      </c>
      <c r="AL2002">
        <v>89.754369086858702</v>
      </c>
      <c r="AM2002">
        <v>86.238940839305798</v>
      </c>
      <c r="AN2002">
        <v>0.99999998902834897</v>
      </c>
    </row>
    <row r="2003" spans="1:40" x14ac:dyDescent="0.25">
      <c r="A2003" t="str">
        <f>"20190312154836312"</f>
        <v>20190312154836312</v>
      </c>
      <c r="B2003" t="str">
        <f>"1552376916308287"</f>
        <v>1552376916308287</v>
      </c>
      <c r="C2003" t="s">
        <v>40</v>
      </c>
      <c r="D2003">
        <v>4.8001500000000004</v>
      </c>
      <c r="E2003">
        <v>0.48586659999999998</v>
      </c>
      <c r="F2003" t="s">
        <v>51</v>
      </c>
      <c r="G2003">
        <v>-313.31889999999999</v>
      </c>
      <c r="H2003" s="1">
        <v>3.7588310000000001E-6</v>
      </c>
      <c r="I2003">
        <v>283.815</v>
      </c>
      <c r="J2003">
        <v>-277.91109999999998</v>
      </c>
      <c r="K2003">
        <v>1.108959</v>
      </c>
      <c r="L2003">
        <v>282.60969999999998</v>
      </c>
      <c r="M2003">
        <v>-0.99989280000000003</v>
      </c>
      <c r="N2003">
        <v>0</v>
      </c>
      <c r="O2003">
        <v>6.7627360000000001E-3</v>
      </c>
      <c r="P2003">
        <v>-0.99734420000000001</v>
      </c>
      <c r="Q2003">
        <v>-8.3412729999999997E-3</v>
      </c>
      <c r="R2003">
        <v>7.235453E-2</v>
      </c>
      <c r="S2003">
        <v>-2.9997859999999998</v>
      </c>
      <c r="T2003">
        <v>-9.3473790000000001E-2</v>
      </c>
      <c r="U2003">
        <v>0.1017151</v>
      </c>
      <c r="V2003">
        <v>6.5614199999999998E-2</v>
      </c>
      <c r="W2003">
        <v>4.528809E-3</v>
      </c>
      <c r="X2003">
        <v>0.99783480000000002</v>
      </c>
      <c r="Y2003">
        <v>2.7117909999999999E-2</v>
      </c>
      <c r="Z2003">
        <v>2.1164839999999999E-4</v>
      </c>
      <c r="AA2003">
        <v>0.99963219999999997</v>
      </c>
      <c r="AB2003">
        <v>33</v>
      </c>
      <c r="AC2003">
        <v>-35.407800000000002</v>
      </c>
      <c r="AD2003">
        <v>-1.108955241169</v>
      </c>
      <c r="AE2003">
        <v>1.20530000000002</v>
      </c>
      <c r="AF2003">
        <v>0.96485329341777204</v>
      </c>
      <c r="AG2003">
        <v>-1.108955241169</v>
      </c>
      <c r="AH2003">
        <v>35.380477012289496</v>
      </c>
      <c r="AI2003">
        <v>91.794607506548701</v>
      </c>
      <c r="AJ2003">
        <v>88.437886427502406</v>
      </c>
      <c r="AK2003">
        <v>35.410999381857103</v>
      </c>
      <c r="AL2003">
        <v>89.740517473853501</v>
      </c>
      <c r="AM2003">
        <v>86.237841906527095</v>
      </c>
      <c r="AN2003">
        <v>1.0000000107218101</v>
      </c>
    </row>
    <row r="2004" spans="1:40" x14ac:dyDescent="0.25">
      <c r="A2004" t="str">
        <f>"20190312154836331"</f>
        <v>20190312154836331</v>
      </c>
      <c r="B2004" t="str">
        <f>"1552376916327807"</f>
        <v>1552376916327807</v>
      </c>
      <c r="C2004" t="s">
        <v>40</v>
      </c>
      <c r="D2004">
        <v>4.7839879999999999</v>
      </c>
      <c r="E2004">
        <v>0.48569299999999999</v>
      </c>
      <c r="F2004" t="s">
        <v>51</v>
      </c>
      <c r="G2004">
        <v>-313.19150000000002</v>
      </c>
      <c r="H2004" s="1">
        <v>3.7035190000000001E-6</v>
      </c>
      <c r="I2004">
        <v>283.80160000000001</v>
      </c>
      <c r="J2004">
        <v>-278.20589999999999</v>
      </c>
      <c r="K2004">
        <v>1.10891299999999</v>
      </c>
      <c r="L2004">
        <v>282.61219999999997</v>
      </c>
      <c r="M2004">
        <v>-0.99989289999999997</v>
      </c>
      <c r="N2004">
        <v>0</v>
      </c>
      <c r="O2004">
        <v>7.3537369999999999E-3</v>
      </c>
      <c r="P2004">
        <v>-0.99729040000000002</v>
      </c>
      <c r="Q2004">
        <v>-7.411674E-3</v>
      </c>
      <c r="R2004">
        <v>7.3194690000000007E-2</v>
      </c>
      <c r="S2004">
        <v>-2.9998779999999998</v>
      </c>
      <c r="T2004">
        <v>-9.4294069999999994E-2</v>
      </c>
      <c r="U2004">
        <v>0.10134890000000001</v>
      </c>
      <c r="V2004">
        <v>6.586591E-2</v>
      </c>
      <c r="W2004">
        <v>5.1262800000000004E-3</v>
      </c>
      <c r="X2004">
        <v>0.99781529999999996</v>
      </c>
      <c r="Y2004">
        <v>2.6404629999999998E-2</v>
      </c>
      <c r="Z2004">
        <v>1.8372869999999999E-4</v>
      </c>
      <c r="AA2004">
        <v>0.99965130000000002</v>
      </c>
      <c r="AB2004">
        <v>34</v>
      </c>
      <c r="AC2004">
        <v>-34.985599999999998</v>
      </c>
      <c r="AD2004">
        <v>-1.1089092964809999</v>
      </c>
      <c r="AE2004">
        <v>1.18940000000003</v>
      </c>
      <c r="AF2004">
        <v>0.93113794982158204</v>
      </c>
      <c r="AG2004">
        <v>-1.1089092964809999</v>
      </c>
      <c r="AH2004">
        <v>34.9583208855761</v>
      </c>
      <c r="AI2004">
        <v>91.816220578378804</v>
      </c>
      <c r="AJ2004">
        <v>88.474249847074105</v>
      </c>
      <c r="AK2004">
        <v>34.988296569686398</v>
      </c>
      <c r="AL2004">
        <v>89.706284500534693</v>
      </c>
      <c r="AM2004">
        <v>86.223377564979799</v>
      </c>
      <c r="AN2004">
        <v>0.99999998488042796</v>
      </c>
    </row>
    <row r="2005" spans="1:40" x14ac:dyDescent="0.25">
      <c r="A2005" t="str">
        <f>"20190312154836343"</f>
        <v>20190312154836343</v>
      </c>
      <c r="B2005" t="str">
        <f>"1552376916337567"</f>
        <v>1552376916337567</v>
      </c>
      <c r="C2005" t="s">
        <v>40</v>
      </c>
      <c r="D2005">
        <v>4.8218310000000004</v>
      </c>
      <c r="E2005">
        <v>0.48561130000000002</v>
      </c>
      <c r="F2005" t="s">
        <v>51</v>
      </c>
      <c r="G2005">
        <v>-313.89319999999998</v>
      </c>
      <c r="H2005" s="1">
        <v>4.0119090000000001E-6</v>
      </c>
      <c r="I2005">
        <v>283.83350000000002</v>
      </c>
      <c r="J2005">
        <v>-278.3922</v>
      </c>
      <c r="K2005">
        <v>1.1088849999999999</v>
      </c>
      <c r="L2005">
        <v>282.61399999999998</v>
      </c>
      <c r="M2005">
        <v>-0.99989289999999997</v>
      </c>
      <c r="N2005">
        <v>0</v>
      </c>
      <c r="O2005">
        <v>7.7257209999999996E-3</v>
      </c>
      <c r="P2005">
        <v>-0.99728289999999997</v>
      </c>
      <c r="Q2005">
        <v>-6.825663E-3</v>
      </c>
      <c r="R2005">
        <v>7.3353340000000003E-2</v>
      </c>
      <c r="S2005">
        <v>-2.999908</v>
      </c>
      <c r="T2005">
        <v>-9.3215939999999997E-2</v>
      </c>
      <c r="U2005">
        <v>0.10266110000000001</v>
      </c>
      <c r="V2005">
        <v>6.5653879999999998E-2</v>
      </c>
      <c r="W2005">
        <v>5.5001149999999999E-3</v>
      </c>
      <c r="X2005">
        <v>0.99782729999999997</v>
      </c>
      <c r="Y2005">
        <v>2.6469550000000001E-2</v>
      </c>
      <c r="Z2005">
        <v>1.7108229999999999E-4</v>
      </c>
      <c r="AA2005">
        <v>0.99964960000000003</v>
      </c>
      <c r="AB2005">
        <v>34</v>
      </c>
      <c r="AC2005">
        <v>-35.500999999999898</v>
      </c>
      <c r="AD2005">
        <v>-1.108880988091</v>
      </c>
      <c r="AE2005">
        <v>1.21949999999998</v>
      </c>
      <c r="AF2005">
        <v>0.94425142671835105</v>
      </c>
      <c r="AG2005">
        <v>-1.108880988091</v>
      </c>
      <c r="AH2005">
        <v>35.4747928320676</v>
      </c>
      <c r="AI2005">
        <v>91.789751035077799</v>
      </c>
      <c r="AJ2005">
        <v>88.475287780777606</v>
      </c>
      <c r="AK2005">
        <v>35.5046779210954</v>
      </c>
      <c r="AL2005">
        <v>89.684865035384405</v>
      </c>
      <c r="AM2005">
        <v>86.235545078678498</v>
      </c>
      <c r="AN2005">
        <v>1.00000000192467</v>
      </c>
    </row>
    <row r="2006" spans="1:40" x14ac:dyDescent="0.25">
      <c r="A2006" t="str">
        <f>"20190312154836355"</f>
        <v>20190312154836355</v>
      </c>
      <c r="B2006" t="str">
        <f>"1552376916348302"</f>
        <v>1552376916348302</v>
      </c>
      <c r="C2006" t="s">
        <v>40</v>
      </c>
      <c r="D2006">
        <v>4.8201839999999896</v>
      </c>
      <c r="E2006">
        <v>0.48547820000000003</v>
      </c>
      <c r="F2006" t="s">
        <v>51</v>
      </c>
      <c r="G2006">
        <v>-314.40449999999998</v>
      </c>
      <c r="H2006" s="1">
        <v>4.2379230000000001E-6</v>
      </c>
      <c r="I2006">
        <v>283.84190000000001</v>
      </c>
      <c r="J2006">
        <v>-278.56020000000001</v>
      </c>
      <c r="K2006">
        <v>1.1088629999999999</v>
      </c>
      <c r="L2006">
        <v>282.61559999999997</v>
      </c>
      <c r="M2006">
        <v>-0.99989240000000001</v>
      </c>
      <c r="N2006">
        <v>0</v>
      </c>
      <c r="O2006">
        <v>8.0599599999999997E-3</v>
      </c>
      <c r="P2006">
        <v>-0.9972529</v>
      </c>
      <c r="Q2006">
        <v>-6.2667629999999998E-3</v>
      </c>
      <c r="R2006">
        <v>7.3807860000000003E-2</v>
      </c>
      <c r="S2006">
        <v>-3.0000309999999999</v>
      </c>
      <c r="T2006">
        <v>-9.2375990000000005E-2</v>
      </c>
      <c r="U2006">
        <v>0.10229489999999999</v>
      </c>
      <c r="V2006">
        <v>6.5775710000000001E-2</v>
      </c>
      <c r="W2006">
        <v>5.8696570000000003E-3</v>
      </c>
      <c r="X2006">
        <v>0.99781719999999896</v>
      </c>
      <c r="Y2006">
        <v>2.6012670000000002E-2</v>
      </c>
      <c r="Z2006">
        <v>1.5221890000000001E-4</v>
      </c>
      <c r="AA2006">
        <v>0.99966160000000004</v>
      </c>
      <c r="AB2006">
        <v>34</v>
      </c>
      <c r="AC2006">
        <v>-35.844299999999897</v>
      </c>
      <c r="AD2006">
        <v>-1.1088587620769901</v>
      </c>
      <c r="AE2006">
        <v>1.2263000000000299</v>
      </c>
      <c r="AF2006">
        <v>0.93643970855678405</v>
      </c>
      <c r="AG2006">
        <v>-1.1088587620769901</v>
      </c>
      <c r="AH2006">
        <v>35.818781676934698</v>
      </c>
      <c r="AI2006">
        <v>91.7725606362973</v>
      </c>
      <c r="AJ2006">
        <v>88.502410707383703</v>
      </c>
      <c r="AK2006">
        <v>35.848174401242602</v>
      </c>
      <c r="AL2006">
        <v>89.6636915059035</v>
      </c>
      <c r="AM2006">
        <v>86.228541680621305</v>
      </c>
      <c r="AN2006">
        <v>1.00000003075757</v>
      </c>
    </row>
    <row r="2007" spans="1:40" x14ac:dyDescent="0.25">
      <c r="A2007" t="str">
        <f>"20190312154836367"</f>
        <v>20190312154836367</v>
      </c>
      <c r="B2007" t="str">
        <f>"1552376916358063"</f>
        <v>1552376916358063</v>
      </c>
      <c r="C2007" t="s">
        <v>40</v>
      </c>
      <c r="D2007">
        <v>4.8205629999999999</v>
      </c>
      <c r="E2007">
        <v>0.48537229999999998</v>
      </c>
      <c r="F2007" t="s">
        <v>51</v>
      </c>
      <c r="G2007">
        <v>-314.95249999999999</v>
      </c>
      <c r="H2007" s="1">
        <v>4.4793529999999996E-6</v>
      </c>
      <c r="I2007">
        <v>283.85980000000001</v>
      </c>
      <c r="J2007">
        <v>-278.7482</v>
      </c>
      <c r="K2007">
        <v>1.1088370000000001</v>
      </c>
      <c r="L2007">
        <v>282.61739999999998</v>
      </c>
      <c r="M2007">
        <v>-0.99989209999999995</v>
      </c>
      <c r="N2007">
        <v>0</v>
      </c>
      <c r="O2007">
        <v>8.4329750000000005E-3</v>
      </c>
      <c r="P2007">
        <v>-0.99721740000000003</v>
      </c>
      <c r="Q2007">
        <v>-5.8829019999999997E-3</v>
      </c>
      <c r="R2007">
        <v>7.4318430000000005E-2</v>
      </c>
      <c r="S2007">
        <v>-3.000092</v>
      </c>
      <c r="T2007">
        <v>-9.1411709999999993E-2</v>
      </c>
      <c r="U2007">
        <v>0.1025696</v>
      </c>
      <c r="V2007">
        <v>6.5914550000000002E-2</v>
      </c>
      <c r="W2007">
        <v>6.0441760000000001E-3</v>
      </c>
      <c r="X2007">
        <v>0.997807</v>
      </c>
      <c r="Y2007">
        <v>2.5730960000000001E-2</v>
      </c>
      <c r="Z2007">
        <v>1.34979E-4</v>
      </c>
      <c r="AA2007">
        <v>0.99966889999999997</v>
      </c>
      <c r="AB2007">
        <v>34</v>
      </c>
      <c r="AC2007">
        <v>-36.204299999999897</v>
      </c>
      <c r="AD2007">
        <v>-1.108832520647</v>
      </c>
      <c r="AE2007">
        <v>1.2424000000000299</v>
      </c>
      <c r="AF2007">
        <v>0.93614668142646995</v>
      </c>
      <c r="AG2007">
        <v>-1.108832520647</v>
      </c>
      <c r="AH2007">
        <v>36.179593116163701</v>
      </c>
      <c r="AI2007">
        <v>91.754865122645199</v>
      </c>
      <c r="AJ2007">
        <v>88.517802890542697</v>
      </c>
      <c r="AK2007">
        <v>36.208684569025003</v>
      </c>
      <c r="AL2007">
        <v>89.653692127971794</v>
      </c>
      <c r="AM2007">
        <v>86.220565375606796</v>
      </c>
      <c r="AN2007">
        <v>1.0000000346071101</v>
      </c>
    </row>
    <row r="2008" spans="1:40" x14ac:dyDescent="0.25">
      <c r="A2008" t="str">
        <f>"20190312154836386"</f>
        <v>20190312154836386</v>
      </c>
      <c r="B2008" t="str">
        <f>"1552376916377583"</f>
        <v>1552376916377583</v>
      </c>
      <c r="C2008" t="s">
        <v>40</v>
      </c>
      <c r="D2008">
        <v>4.8656069999999998</v>
      </c>
      <c r="E2008">
        <v>0.48516229999999999</v>
      </c>
      <c r="F2008" t="s">
        <v>51</v>
      </c>
      <c r="G2008">
        <v>-315.1918</v>
      </c>
      <c r="H2008" s="1">
        <v>4.5845199999999996E-6</v>
      </c>
      <c r="I2008">
        <v>283.87079999999997</v>
      </c>
      <c r="J2008">
        <v>-279.03070000000002</v>
      </c>
      <c r="K2008">
        <v>1.1088</v>
      </c>
      <c r="L2008">
        <v>282.62029999999999</v>
      </c>
      <c r="M2008">
        <v>-0.99989070000000002</v>
      </c>
      <c r="N2008">
        <v>0</v>
      </c>
      <c r="O2008">
        <v>8.9928509999999996E-3</v>
      </c>
      <c r="P2008">
        <v>-0.99720229999999999</v>
      </c>
      <c r="Q2008">
        <v>-5.1454530000000004E-3</v>
      </c>
      <c r="R2008">
        <v>7.4576970000000006E-2</v>
      </c>
      <c r="S2008">
        <v>-3.0001829999999998</v>
      </c>
      <c r="T2008">
        <v>-9.1283439999999993E-2</v>
      </c>
      <c r="U2008">
        <v>0.1031799</v>
      </c>
      <c r="V2008">
        <v>6.5615370000000006E-2</v>
      </c>
      <c r="W2008">
        <v>6.4809500000000001E-3</v>
      </c>
      <c r="X2008">
        <v>0.99782400000000004</v>
      </c>
      <c r="Y2008">
        <v>2.5373779999999999E-2</v>
      </c>
      <c r="Z2008">
        <v>1.123299E-4</v>
      </c>
      <c r="AA2008">
        <v>0.99967799999999996</v>
      </c>
      <c r="AB2008">
        <v>34</v>
      </c>
      <c r="AC2008">
        <v>-36.161099999999898</v>
      </c>
      <c r="AD2008">
        <v>-1.1087954154799999</v>
      </c>
      <c r="AE2008">
        <v>1.25049999999998</v>
      </c>
      <c r="AF2008">
        <v>0.92436759744188002</v>
      </c>
      <c r="AG2008">
        <v>-1.1087954154799999</v>
      </c>
      <c r="AH2008">
        <v>36.136948580387802</v>
      </c>
      <c r="AI2008">
        <v>91.756889288820801</v>
      </c>
      <c r="AJ2008">
        <v>88.534718139748605</v>
      </c>
      <c r="AK2008">
        <v>36.165770217571499</v>
      </c>
      <c r="AL2008">
        <v>89.628666339483502</v>
      </c>
      <c r="AM2008">
        <v>86.237734410558105</v>
      </c>
      <c r="AN2008">
        <v>1.00000005723456</v>
      </c>
    </row>
    <row r="2009" spans="1:40" x14ac:dyDescent="0.25">
      <c r="A2009" t="str">
        <f>"20190312154836398"</f>
        <v>20190312154836398</v>
      </c>
      <c r="B2009" t="str">
        <f>"1552376916388321"</f>
        <v>1552376916388321</v>
      </c>
      <c r="C2009" t="s">
        <v>40</v>
      </c>
      <c r="D2009">
        <v>4.8364349999999998</v>
      </c>
      <c r="E2009">
        <v>0.4850197</v>
      </c>
      <c r="F2009" t="s">
        <v>51</v>
      </c>
      <c r="G2009">
        <v>-315.6035</v>
      </c>
      <c r="H2009" s="1">
        <v>4.767452E-6</v>
      </c>
      <c r="I2009">
        <v>283.86689999999999</v>
      </c>
      <c r="J2009">
        <v>-279.214</v>
      </c>
      <c r="K2009">
        <v>1.1087800000000001</v>
      </c>
      <c r="L2009">
        <v>282.6223</v>
      </c>
      <c r="M2009">
        <v>-0.99988940000000004</v>
      </c>
      <c r="N2009">
        <v>0</v>
      </c>
      <c r="O2009">
        <v>9.3554380000000006E-3</v>
      </c>
      <c r="P2009">
        <v>-0.99718030000000002</v>
      </c>
      <c r="Q2009">
        <v>-4.9546360000000001E-3</v>
      </c>
      <c r="R2009">
        <v>7.4878979999999998E-2</v>
      </c>
      <c r="S2009">
        <v>-3.0003359999999999</v>
      </c>
      <c r="T2009">
        <v>-9.0962409999999994E-2</v>
      </c>
      <c r="U2009">
        <v>0.10226440000000001</v>
      </c>
      <c r="V2009">
        <v>6.5555509999999997E-2</v>
      </c>
      <c r="W2009">
        <v>6.4885790000000004E-3</v>
      </c>
      <c r="X2009">
        <v>0.99782780000000004</v>
      </c>
      <c r="Y2009">
        <v>2.4705370000000001E-2</v>
      </c>
      <c r="Z2009" s="1">
        <v>9.0817049999999998E-5</v>
      </c>
      <c r="AA2009">
        <v>0.99969479999999999</v>
      </c>
      <c r="AB2009">
        <v>34</v>
      </c>
      <c r="AC2009">
        <v>-36.389499999999998</v>
      </c>
      <c r="AD2009">
        <v>-1.10877523254799</v>
      </c>
      <c r="AE2009">
        <v>1.2445999999999899</v>
      </c>
      <c r="AF2009">
        <v>0.903245466880499</v>
      </c>
      <c r="AG2009">
        <v>-1.10877523254799</v>
      </c>
      <c r="AH2009">
        <v>36.365829261181801</v>
      </c>
      <c r="AI2009">
        <v>91.745839422166497</v>
      </c>
      <c r="AJ2009">
        <v>88.577194143600195</v>
      </c>
      <c r="AK2009">
        <v>36.393938681368098</v>
      </c>
      <c r="AL2009">
        <v>89.628229189313601</v>
      </c>
      <c r="AM2009">
        <v>86.241171103296097</v>
      </c>
      <c r="AN2009">
        <v>0.99999997250081896</v>
      </c>
    </row>
    <row r="2010" spans="1:40" x14ac:dyDescent="0.25">
      <c r="A2010" t="str">
        <f>"20190312154836410"</f>
        <v>20190312154836410</v>
      </c>
      <c r="B2010" t="str">
        <f>"1552376916398080"</f>
        <v>1552376916398080</v>
      </c>
      <c r="C2010" t="s">
        <v>40</v>
      </c>
      <c r="D2010">
        <v>4.8011499999999998</v>
      </c>
      <c r="E2010">
        <v>0.48501569999999999</v>
      </c>
      <c r="F2010" t="s">
        <v>51</v>
      </c>
      <c r="G2010">
        <v>-315.72669999999999</v>
      </c>
      <c r="H2010" s="1">
        <v>4.8224109999999999E-6</v>
      </c>
      <c r="I2010">
        <v>283.863</v>
      </c>
      <c r="J2010">
        <v>-279.39479999999998</v>
      </c>
      <c r="K2010">
        <v>1.1087610000000001</v>
      </c>
      <c r="L2010">
        <v>282.62430000000001</v>
      </c>
      <c r="M2010">
        <v>-0.99988809999999995</v>
      </c>
      <c r="N2010">
        <v>0</v>
      </c>
      <c r="O2010">
        <v>9.7133719999999996E-3</v>
      </c>
      <c r="P2010">
        <v>-0.99715010000000004</v>
      </c>
      <c r="Q2010">
        <v>-4.5811960000000001E-3</v>
      </c>
      <c r="R2010">
        <v>7.5305449999999996E-2</v>
      </c>
      <c r="S2010">
        <v>-3.0003660000000001</v>
      </c>
      <c r="T2010">
        <v>-9.1111419999999999E-2</v>
      </c>
      <c r="U2010">
        <v>0.1019592</v>
      </c>
      <c r="V2010">
        <v>6.5625530000000001E-2</v>
      </c>
      <c r="W2010">
        <v>6.6878939999999998E-3</v>
      </c>
      <c r="X2010">
        <v>0.99782190000000004</v>
      </c>
      <c r="Y2010">
        <v>2.424596E-2</v>
      </c>
      <c r="Z2010" s="1">
        <v>7.3130620000000002E-5</v>
      </c>
      <c r="AA2010">
        <v>0.99970599999999998</v>
      </c>
      <c r="AB2010">
        <v>34</v>
      </c>
      <c r="AC2010">
        <v>-36.331899999999997</v>
      </c>
      <c r="AD2010">
        <v>-1.108756177589</v>
      </c>
      <c r="AE2010">
        <v>1.2386999999999899</v>
      </c>
      <c r="AF2010">
        <v>0.88489030017302095</v>
      </c>
      <c r="AG2010">
        <v>-1.108756177589</v>
      </c>
      <c r="AH2010">
        <v>36.308443238444397</v>
      </c>
      <c r="AI2010">
        <v>91.748587039192699</v>
      </c>
      <c r="AJ2010">
        <v>88.603893738770296</v>
      </c>
      <c r="AK2010">
        <v>36.336144835466797</v>
      </c>
      <c r="AL2010">
        <v>89.616809039972793</v>
      </c>
      <c r="AM2010">
        <v>86.237145631722498</v>
      </c>
      <c r="AN2010">
        <v>0.99999999111677296</v>
      </c>
    </row>
    <row r="2011" spans="1:40" x14ac:dyDescent="0.25">
      <c r="A2011" t="str">
        <f>"20190312154836422"</f>
        <v>20190312154836422</v>
      </c>
      <c r="B2011" t="str">
        <f>"1552376916417599"</f>
        <v>1552376916417599</v>
      </c>
      <c r="C2011" t="s">
        <v>40</v>
      </c>
      <c r="D2011">
        <v>4.7727810000000002</v>
      </c>
      <c r="E2011">
        <v>0.48505619999999999</v>
      </c>
      <c r="F2011" t="s">
        <v>51</v>
      </c>
      <c r="G2011">
        <v>-316.28539999999998</v>
      </c>
      <c r="H2011" s="1">
        <v>5.0674510000000003E-6</v>
      </c>
      <c r="I2011">
        <v>283.89400000000001</v>
      </c>
      <c r="J2011">
        <v>-279.57920000000001</v>
      </c>
      <c r="K2011">
        <v>1.1087450000000001</v>
      </c>
      <c r="L2011">
        <v>282.62639999999999</v>
      </c>
      <c r="M2011">
        <v>-0.99988639999999995</v>
      </c>
      <c r="N2011">
        <v>0</v>
      </c>
      <c r="O2011">
        <v>1.007824E-2</v>
      </c>
      <c r="P2011">
        <v>-0.99713770000000002</v>
      </c>
      <c r="Q2011">
        <v>-4.4169930000000001E-3</v>
      </c>
      <c r="R2011">
        <v>7.5477530000000001E-2</v>
      </c>
      <c r="S2011">
        <v>-3.0003660000000001</v>
      </c>
      <c r="T2011">
        <v>-9.0176820000000005E-2</v>
      </c>
      <c r="U2011">
        <v>0.1032715</v>
      </c>
      <c r="V2011">
        <v>6.5433560000000002E-2</v>
      </c>
      <c r="W2011">
        <v>6.6831260000000002E-3</v>
      </c>
      <c r="X2011">
        <v>0.99783460000000002</v>
      </c>
      <c r="Y2011">
        <v>2.4318179999999998E-2</v>
      </c>
      <c r="Z2011" s="1">
        <v>6.2505889999999898E-5</v>
      </c>
      <c r="AA2011">
        <v>0.99970420000000004</v>
      </c>
      <c r="AB2011">
        <v>34</v>
      </c>
      <c r="AC2011">
        <v>-36.706199999999903</v>
      </c>
      <c r="AD2011">
        <v>-1.1087399325489999</v>
      </c>
      <c r="AE2011">
        <v>1.2676000000000101</v>
      </c>
      <c r="AF2011">
        <v>0.89676126308177095</v>
      </c>
      <c r="AG2011">
        <v>-1.1087399325489999</v>
      </c>
      <c r="AH2011">
        <v>36.683681599435197</v>
      </c>
      <c r="AI2011">
        <v>91.730683152403898</v>
      </c>
      <c r="AJ2011">
        <v>88.599638801891601</v>
      </c>
      <c r="AK2011">
        <v>36.711387615966402</v>
      </c>
      <c r="AL2011">
        <v>89.617082255652605</v>
      </c>
      <c r="AM2011">
        <v>86.248168990570306</v>
      </c>
      <c r="AN2011">
        <v>1.00000005195228</v>
      </c>
    </row>
    <row r="2012" spans="1:40" x14ac:dyDescent="0.25">
      <c r="A2012" t="str">
        <f>"20190312154836443"</f>
        <v>20190312154836443</v>
      </c>
      <c r="B2012" t="str">
        <f>"1552376916438096"</f>
        <v>1552376916438096</v>
      </c>
      <c r="C2012" t="s">
        <v>40</v>
      </c>
      <c r="D2012">
        <v>4.8717160000000002</v>
      </c>
      <c r="E2012">
        <v>0.48498039999999998</v>
      </c>
      <c r="F2012" t="s">
        <v>51</v>
      </c>
      <c r="G2012">
        <v>-316.65620000000001</v>
      </c>
      <c r="H2012" s="1">
        <v>5.2302749999999997E-6</v>
      </c>
      <c r="I2012">
        <v>283.91239999999999</v>
      </c>
      <c r="J2012">
        <v>-279.899</v>
      </c>
      <c r="K2012">
        <v>1.108722</v>
      </c>
      <c r="L2012">
        <v>282.6302</v>
      </c>
      <c r="M2012">
        <v>-0.99988270000000001</v>
      </c>
      <c r="N2012">
        <v>0</v>
      </c>
      <c r="O2012">
        <v>1.0711699999999999E-2</v>
      </c>
      <c r="P2012">
        <v>-0.99709890000000001</v>
      </c>
      <c r="Q2012">
        <v>-3.8296110000000001E-3</v>
      </c>
      <c r="R2012">
        <v>7.6020450000000003E-2</v>
      </c>
      <c r="S2012">
        <v>-3.0003359999999999</v>
      </c>
      <c r="T2012">
        <v>-8.9721200000000001E-2</v>
      </c>
      <c r="U2012">
        <v>0.1040649</v>
      </c>
      <c r="V2012">
        <v>6.534529E-2</v>
      </c>
      <c r="W2012">
        <v>6.9973539999999999E-3</v>
      </c>
      <c r="X2012">
        <v>0.99783820000000001</v>
      </c>
      <c r="Y2012">
        <v>2.394978E-2</v>
      </c>
      <c r="Z2012" s="1">
        <v>3.7754479999999998E-5</v>
      </c>
      <c r="AA2012">
        <v>0.99971319999999997</v>
      </c>
      <c r="AB2012">
        <v>34</v>
      </c>
      <c r="AC2012">
        <v>-36.757199999999997</v>
      </c>
      <c r="AD2012">
        <v>-1.108716769725</v>
      </c>
      <c r="AE2012">
        <v>1.28219999999998</v>
      </c>
      <c r="AF2012">
        <v>0.88756419008661203</v>
      </c>
      <c r="AG2012">
        <v>-1.108716769725</v>
      </c>
      <c r="AH2012">
        <v>36.735444189606802</v>
      </c>
      <c r="AI2012">
        <v>91.728221853948796</v>
      </c>
      <c r="AJ2012">
        <v>88.615947311947494</v>
      </c>
      <c r="AK2012">
        <v>36.7628873032942</v>
      </c>
      <c r="AL2012">
        <v>89.599077884946595</v>
      </c>
      <c r="AM2012">
        <v>86.253229270685296</v>
      </c>
      <c r="AN2012">
        <v>1.0000000216337099</v>
      </c>
    </row>
    <row r="2013" spans="1:40" x14ac:dyDescent="0.25">
      <c r="A2013" t="str">
        <f>"20190312154836467"</f>
        <v>20190312154836467</v>
      </c>
      <c r="B2013" t="str">
        <f>"1552376916457615"</f>
        <v>1552376916457615</v>
      </c>
      <c r="C2013" t="s">
        <v>40</v>
      </c>
      <c r="D2013">
        <v>4.8251080000000002</v>
      </c>
      <c r="E2013">
        <v>0.48284820000000001</v>
      </c>
      <c r="F2013" t="s">
        <v>51</v>
      </c>
      <c r="G2013">
        <v>-317.36520000000002</v>
      </c>
      <c r="H2013" s="1">
        <v>5.5423219999999996E-6</v>
      </c>
      <c r="I2013">
        <v>283.93950000000001</v>
      </c>
      <c r="J2013">
        <v>-280.24619999999999</v>
      </c>
      <c r="K2013">
        <v>1.1086959999999999</v>
      </c>
      <c r="L2013">
        <v>282.6345</v>
      </c>
      <c r="M2013">
        <v>-0.99987820000000005</v>
      </c>
      <c r="N2013">
        <v>0</v>
      </c>
      <c r="O2013">
        <v>1.1401089999999999E-2</v>
      </c>
      <c r="P2013">
        <v>-0.99706269999999997</v>
      </c>
      <c r="Q2013">
        <v>-3.122933E-3</v>
      </c>
      <c r="R2013">
        <v>7.6526780000000003E-2</v>
      </c>
      <c r="S2013">
        <v>-3.000397</v>
      </c>
      <c r="T2013">
        <v>-8.8788989999999998E-2</v>
      </c>
      <c r="U2013">
        <v>0.10485839999999901</v>
      </c>
      <c r="V2013">
        <v>6.5164830000000007E-2</v>
      </c>
      <c r="W2013">
        <v>7.4174369999999998E-3</v>
      </c>
      <c r="X2013">
        <v>0.99784700000000004</v>
      </c>
      <c r="Y2013">
        <v>2.35245E-2</v>
      </c>
      <c r="Z2013" s="1">
        <v>1.0684889999999999E-5</v>
      </c>
      <c r="AA2013">
        <v>0.99972329999999998</v>
      </c>
      <c r="AB2013">
        <v>34</v>
      </c>
      <c r="AC2013">
        <v>-37.119</v>
      </c>
      <c r="AD2013">
        <v>-1.1086904576779999</v>
      </c>
      <c r="AE2013">
        <v>1.3049999999999999</v>
      </c>
      <c r="AF2013">
        <v>0.88090915787186697</v>
      </c>
      <c r="AG2013">
        <v>-1.1086904576779999</v>
      </c>
      <c r="AH2013">
        <v>37.098410718475101</v>
      </c>
      <c r="AI2013">
        <v>91.711299670922202</v>
      </c>
      <c r="AJ2013">
        <v>88.6397559062857</v>
      </c>
      <c r="AK2013">
        <v>37.1254262374459</v>
      </c>
      <c r="AL2013">
        <v>89.575008291106698</v>
      </c>
      <c r="AM2013">
        <v>86.263579999609306</v>
      </c>
      <c r="AN2013">
        <v>1.00000005442478</v>
      </c>
    </row>
    <row r="2014" spans="1:40" x14ac:dyDescent="0.25">
      <c r="A2014" t="str">
        <f>"20190312154836487"</f>
        <v>20190312154836487</v>
      </c>
      <c r="B2014" t="str">
        <f>"1552376916478115"</f>
        <v>1552376916478115</v>
      </c>
      <c r="C2014" t="s">
        <v>40</v>
      </c>
      <c r="D2014">
        <v>4.817431</v>
      </c>
      <c r="E2014">
        <v>0.48231790000000002</v>
      </c>
      <c r="F2014" t="s">
        <v>51</v>
      </c>
      <c r="G2014">
        <v>-307.87169999999998</v>
      </c>
      <c r="H2014" s="1">
        <v>2.6706069999999999E-6</v>
      </c>
      <c r="I2014">
        <v>283.44589999999999</v>
      </c>
      <c r="J2014">
        <v>-280.57229999999998</v>
      </c>
      <c r="K2014">
        <v>1.108663</v>
      </c>
      <c r="L2014">
        <v>282.63889999999998</v>
      </c>
      <c r="M2014">
        <v>-0.99987349999999997</v>
      </c>
      <c r="N2014">
        <v>0</v>
      </c>
      <c r="O2014">
        <v>1.204875E-2</v>
      </c>
      <c r="P2014">
        <v>-0.99703649999999999</v>
      </c>
      <c r="Q2014">
        <v>-2.4620520000000002E-3</v>
      </c>
      <c r="R2014">
        <v>7.6892119999999994E-2</v>
      </c>
      <c r="S2014">
        <v>-3.0016780000000001</v>
      </c>
      <c r="T2014">
        <v>-0.1204662</v>
      </c>
      <c r="U2014">
        <v>8.8165279999999999E-2</v>
      </c>
      <c r="V2014">
        <v>6.4884739999999996E-2</v>
      </c>
      <c r="W2014">
        <v>7.810338E-3</v>
      </c>
      <c r="X2014">
        <v>0.99786220000000003</v>
      </c>
      <c r="Y2014">
        <v>1.7308770000000001E-2</v>
      </c>
      <c r="Z2014">
        <v>-1.361379E-4</v>
      </c>
      <c r="AA2014">
        <v>0.99985020000000002</v>
      </c>
      <c r="AB2014">
        <v>34</v>
      </c>
      <c r="AC2014">
        <v>-27.299399999999899</v>
      </c>
      <c r="AD2014">
        <v>-1.108660329393</v>
      </c>
      <c r="AE2014">
        <v>0.80700000000001604</v>
      </c>
      <c r="AF2014">
        <v>0.47721367112212598</v>
      </c>
      <c r="AG2014">
        <v>-1.108660329393</v>
      </c>
      <c r="AH2014">
        <v>27.262218615973101</v>
      </c>
      <c r="AI2014">
        <v>92.328382117799904</v>
      </c>
      <c r="AJ2014">
        <v>88.997163894745597</v>
      </c>
      <c r="AK2014">
        <v>27.2889249417961</v>
      </c>
      <c r="AL2014">
        <v>89.552496046459893</v>
      </c>
      <c r="AM2014">
        <v>86.279651106593704</v>
      </c>
      <c r="AN2014">
        <v>1.00000000052669</v>
      </c>
    </row>
    <row r="2015" spans="1:40" x14ac:dyDescent="0.25">
      <c r="A2015" t="str">
        <f>"20190312154836510"</f>
        <v>20190312154836510</v>
      </c>
      <c r="B2015" t="str">
        <f>"1552376916497631"</f>
        <v>1552376916497631</v>
      </c>
      <c r="C2015" t="s">
        <v>40</v>
      </c>
      <c r="D2015">
        <v>4.7441740000000001</v>
      </c>
      <c r="E2015">
        <v>0.48536400000000002</v>
      </c>
      <c r="F2015" t="s">
        <v>51</v>
      </c>
      <c r="G2015">
        <v>-309.10129999999998</v>
      </c>
      <c r="H2015" s="1">
        <v>2.4523740000000001E-6</v>
      </c>
      <c r="I2015">
        <v>283.44740000000002</v>
      </c>
      <c r="J2015">
        <v>-280.90410000000003</v>
      </c>
      <c r="K2015">
        <v>1.108636</v>
      </c>
      <c r="L2015">
        <v>282.64350000000002</v>
      </c>
      <c r="M2015">
        <v>-0.99986799999999998</v>
      </c>
      <c r="N2015">
        <v>0</v>
      </c>
      <c r="O2015">
        <v>1.2707680000000001E-2</v>
      </c>
      <c r="P2015">
        <v>-0.99703850000000005</v>
      </c>
      <c r="Q2015">
        <v>-1.6164979999999901E-3</v>
      </c>
      <c r="R2015">
        <v>7.6886720000000006E-2</v>
      </c>
      <c r="S2015">
        <v>-3.0020449999999999</v>
      </c>
      <c r="T2015">
        <v>-0.1166621</v>
      </c>
      <c r="U2015">
        <v>8.5083010000000001E-2</v>
      </c>
      <c r="V2015">
        <v>6.4222630000000003E-2</v>
      </c>
      <c r="W2015">
        <v>8.3925370000000003E-3</v>
      </c>
      <c r="X2015">
        <v>0.99790029999999996</v>
      </c>
      <c r="Y2015">
        <v>1.56226E-2</v>
      </c>
      <c r="Z2015">
        <v>-1.9016089999999999E-4</v>
      </c>
      <c r="AA2015">
        <v>0.99987789999999999</v>
      </c>
      <c r="AB2015">
        <v>34</v>
      </c>
      <c r="AC2015">
        <v>-28.197199999999899</v>
      </c>
      <c r="AD2015">
        <v>-1.1086335476260001</v>
      </c>
      <c r="AE2015">
        <v>0.80389999999999795</v>
      </c>
      <c r="AF2015">
        <v>0.444808678524373</v>
      </c>
      <c r="AG2015">
        <v>-1.1086335476260001</v>
      </c>
      <c r="AH2015">
        <v>28.161641200238002</v>
      </c>
      <c r="AI2015">
        <v>92.254106229366997</v>
      </c>
      <c r="AJ2015">
        <v>89.095097450326506</v>
      </c>
      <c r="AK2015">
        <v>28.186964330951898</v>
      </c>
      <c r="AL2015">
        <v>89.519137402984299</v>
      </c>
      <c r="AM2015">
        <v>86.317650256935394</v>
      </c>
      <c r="AN2015">
        <v>0.99999999481075097</v>
      </c>
    </row>
    <row r="2016" spans="1:40" x14ac:dyDescent="0.25">
      <c r="A2016" t="str">
        <f>"20190312154836522"</f>
        <v>20190312154836522</v>
      </c>
      <c r="B2016" t="str">
        <f>"1552376916518127"</f>
        <v>1552376916518127</v>
      </c>
      <c r="C2016" t="s">
        <v>40</v>
      </c>
      <c r="D2016">
        <v>4.8064869999999997</v>
      </c>
      <c r="E2016">
        <v>0.48570039999999998</v>
      </c>
      <c r="F2016" t="s">
        <v>51</v>
      </c>
      <c r="G2016">
        <v>-316.28530000000001</v>
      </c>
      <c r="H2016" s="1">
        <v>5.0629539999999996E-6</v>
      </c>
      <c r="I2016">
        <v>283.9452</v>
      </c>
      <c r="J2016">
        <v>-281.0917</v>
      </c>
      <c r="K2016">
        <v>1.1086180000000001</v>
      </c>
      <c r="L2016">
        <v>282.64620000000002</v>
      </c>
      <c r="M2016">
        <v>-0.99986459999999999</v>
      </c>
      <c r="N2016">
        <v>0</v>
      </c>
      <c r="O2016">
        <v>1.3080380000000001E-2</v>
      </c>
      <c r="P2016">
        <v>-0.99703339999999996</v>
      </c>
      <c r="Q2016">
        <v>-1.299566E-3</v>
      </c>
      <c r="R2016">
        <v>7.6959009999999994E-2</v>
      </c>
      <c r="S2016">
        <v>-3.0002439999999999</v>
      </c>
      <c r="T2016">
        <v>-9.4009280000000001E-2</v>
      </c>
      <c r="U2016">
        <v>0.1103821</v>
      </c>
      <c r="V2016">
        <v>6.3923339999999995E-2</v>
      </c>
      <c r="W2016">
        <v>8.5608549999999992E-3</v>
      </c>
      <c r="X2016">
        <v>0.99791810000000003</v>
      </c>
      <c r="Y2016">
        <v>2.3685620000000001E-2</v>
      </c>
      <c r="Z2016" s="1">
        <v>-3.8742290000000003E-5</v>
      </c>
      <c r="AA2016">
        <v>0.99971940000000004</v>
      </c>
      <c r="AB2016">
        <v>34</v>
      </c>
      <c r="AC2016">
        <v>-35.193600000000004</v>
      </c>
      <c r="AD2016">
        <v>-1.1086129370460001</v>
      </c>
      <c r="AE2016">
        <v>1.29899999999997</v>
      </c>
      <c r="AF2016">
        <v>0.83769015997287199</v>
      </c>
      <c r="AG2016">
        <v>-1.1086129370460001</v>
      </c>
      <c r="AH2016">
        <v>35.172727512346597</v>
      </c>
      <c r="AI2016">
        <v>91.804802637995806</v>
      </c>
      <c r="AJ2016">
        <v>88.635674787375393</v>
      </c>
      <c r="AK2016">
        <v>35.200163467036397</v>
      </c>
      <c r="AL2016">
        <v>89.509493151865001</v>
      </c>
      <c r="AM2016">
        <v>86.334829038123601</v>
      </c>
      <c r="AN2016">
        <v>1.00000000797134</v>
      </c>
    </row>
    <row r="2017" spans="1:40" x14ac:dyDescent="0.25">
      <c r="A2017" t="str">
        <f>"20190312154836533"</f>
        <v>20190312154836533</v>
      </c>
      <c r="B2017" t="str">
        <f>"1552376916527888"</f>
        <v>1552376916527888</v>
      </c>
      <c r="C2017" t="s">
        <v>40</v>
      </c>
      <c r="D2017">
        <v>4.7088210000000004</v>
      </c>
      <c r="E2017">
        <v>0.48570039999999998</v>
      </c>
      <c r="F2017" t="s">
        <v>51</v>
      </c>
      <c r="G2017">
        <v>-313.75099999999998</v>
      </c>
      <c r="H2017" s="1">
        <v>3.9451739999999996E-6</v>
      </c>
      <c r="I2017">
        <v>283.87540000000001</v>
      </c>
      <c r="J2017">
        <v>-281.2747</v>
      </c>
      <c r="K2017">
        <v>1.1085989999999999</v>
      </c>
      <c r="L2017">
        <v>282.64890000000003</v>
      </c>
      <c r="M2017">
        <v>-0.99986149999999996</v>
      </c>
      <c r="N2017">
        <v>0</v>
      </c>
      <c r="O2017">
        <v>1.3444070000000001E-2</v>
      </c>
      <c r="P2017">
        <v>-0.99702630000000003</v>
      </c>
      <c r="Q2017">
        <v>-9.6490979999999996E-4</v>
      </c>
      <c r="R2017">
        <v>7.7057150000000005E-2</v>
      </c>
      <c r="S2017">
        <v>-3.000092</v>
      </c>
      <c r="T2017">
        <v>-0.1018375</v>
      </c>
      <c r="U2017">
        <v>0.112915</v>
      </c>
      <c r="V2017">
        <v>6.3658720000000002E-2</v>
      </c>
      <c r="W2017">
        <v>8.7472920000000003E-3</v>
      </c>
      <c r="X2017">
        <v>0.99793339999999997</v>
      </c>
      <c r="Y2017">
        <v>2.4165800000000001E-2</v>
      </c>
      <c r="Z2017" s="1">
        <v>-4.6157920000000002E-5</v>
      </c>
      <c r="AA2017">
        <v>0.99970789999999998</v>
      </c>
      <c r="AB2017">
        <v>34</v>
      </c>
      <c r="AC2017">
        <v>-32.476299999999902</v>
      </c>
      <c r="AD2017">
        <v>-1.108595054826</v>
      </c>
      <c r="AE2017">
        <v>1.2264999999999799</v>
      </c>
      <c r="AF2017">
        <v>0.78883661289784301</v>
      </c>
      <c r="AG2017">
        <v>-1.108595054826</v>
      </c>
      <c r="AH2017">
        <v>32.452094202638399</v>
      </c>
      <c r="AI2017">
        <v>91.955941327120996</v>
      </c>
      <c r="AJ2017">
        <v>88.607544100796602</v>
      </c>
      <c r="AK2017">
        <v>32.480604433020503</v>
      </c>
      <c r="AL2017">
        <v>89.498810699323798</v>
      </c>
      <c r="AM2017">
        <v>86.350016256633197</v>
      </c>
      <c r="AN2017">
        <v>1.0000000092924599</v>
      </c>
    </row>
    <row r="2018" spans="1:40" x14ac:dyDescent="0.25">
      <c r="A2018" t="str">
        <f>"20190312154836680"</f>
        <v>20190312154836680</v>
      </c>
      <c r="B2018" t="str">
        <f>"1552376916667455"</f>
        <v>1552376916667455</v>
      </c>
      <c r="C2018" t="s">
        <v>40</v>
      </c>
      <c r="D2018">
        <v>4.4412149999999997</v>
      </c>
      <c r="E2018">
        <v>0.49069489999999999</v>
      </c>
      <c r="F2018" t="s">
        <v>51</v>
      </c>
      <c r="G2018">
        <v>-314.26799999999997</v>
      </c>
      <c r="H2018" s="1">
        <v>4.1729219999999997E-6</v>
      </c>
      <c r="I2018">
        <v>283.89260000000002</v>
      </c>
      <c r="J2018">
        <v>-283.52749999999997</v>
      </c>
      <c r="K2018">
        <v>1.1083419999999999</v>
      </c>
      <c r="L2018">
        <v>282.6875</v>
      </c>
      <c r="M2018">
        <v>-0.99980780000000002</v>
      </c>
      <c r="N2018">
        <v>0</v>
      </c>
      <c r="O2018">
        <v>1.7906849999999998E-2</v>
      </c>
      <c r="P2018">
        <v>-0.99691490000000005</v>
      </c>
      <c r="Q2018">
        <v>1.452219E-3</v>
      </c>
      <c r="R2018">
        <v>7.8478359999999997E-2</v>
      </c>
      <c r="S2018">
        <v>-3.0001220000000002</v>
      </c>
      <c r="T2018">
        <v>-0.1008061</v>
      </c>
      <c r="U2018">
        <v>0.11309809999999999</v>
      </c>
      <c r="V2018">
        <v>6.0628389999999997E-2</v>
      </c>
      <c r="W2018">
        <v>9.3342540000000002E-3</v>
      </c>
      <c r="X2018">
        <v>0.99811680000000003</v>
      </c>
      <c r="Y2018">
        <v>1.97693E-2</v>
      </c>
      <c r="Z2018">
        <v>-2.6932399999999998E-4</v>
      </c>
      <c r="AA2018">
        <v>0.99980460000000004</v>
      </c>
      <c r="AB2018">
        <v>35</v>
      </c>
      <c r="AC2018">
        <v>-30.740500000000001</v>
      </c>
      <c r="AD2018">
        <v>-1.108337827078</v>
      </c>
      <c r="AE2018">
        <v>1.2051000000000101</v>
      </c>
      <c r="AF2018">
        <v>0.65357540017954097</v>
      </c>
      <c r="AG2018">
        <v>-1.108337827078</v>
      </c>
      <c r="AH2018">
        <v>30.717281698454698</v>
      </c>
      <c r="AI2018">
        <v>92.065976824814001</v>
      </c>
      <c r="AJ2018">
        <v>88.781094533132901</v>
      </c>
      <c r="AK2018">
        <v>30.7442184562378</v>
      </c>
      <c r="AL2018">
        <v>89.465178894797205</v>
      </c>
      <c r="AM2018">
        <v>86.523965983053898</v>
      </c>
      <c r="AN2018">
        <v>1.00000003820698</v>
      </c>
    </row>
    <row r="2019" spans="1:40" x14ac:dyDescent="0.25">
      <c r="A2019" t="str">
        <f>"20190312154836699"</f>
        <v>20190312154836699</v>
      </c>
      <c r="B2019" t="str">
        <f>"1552376916687959"</f>
        <v>1552376916687959</v>
      </c>
      <c r="C2019" t="s">
        <v>40</v>
      </c>
      <c r="D2019">
        <v>5.5006089999999999</v>
      </c>
      <c r="E2019">
        <v>0.49080180000000001</v>
      </c>
      <c r="F2019" t="s">
        <v>41</v>
      </c>
      <c r="G2019">
        <v>-284.27109999999999</v>
      </c>
      <c r="H2019">
        <v>0.89926269999999997</v>
      </c>
      <c r="I2019">
        <v>282.71859999999998</v>
      </c>
      <c r="J2019">
        <v>-283.83679999999998</v>
      </c>
      <c r="K2019">
        <v>1.108295</v>
      </c>
      <c r="L2019">
        <v>282.69349999999997</v>
      </c>
      <c r="M2019">
        <v>-0.99979870000000004</v>
      </c>
      <c r="N2019">
        <v>0</v>
      </c>
      <c r="O2019">
        <v>1.851568E-2</v>
      </c>
      <c r="P2019">
        <v>-0.99690710000000005</v>
      </c>
      <c r="Q2019">
        <v>1.6347149999999999E-3</v>
      </c>
      <c r="R2019">
        <v>7.8574580000000005E-2</v>
      </c>
      <c r="S2019">
        <v>-3.0007320000000002</v>
      </c>
      <c r="T2019">
        <v>-0.84362579999999998</v>
      </c>
      <c r="U2019">
        <v>0.1243896</v>
      </c>
      <c r="V2019">
        <v>6.0116830000000003E-2</v>
      </c>
      <c r="W2019">
        <v>9.2703630000000002E-3</v>
      </c>
      <c r="X2019">
        <v>0.99814829999999999</v>
      </c>
      <c r="Y2019">
        <v>2.2746329999999999E-2</v>
      </c>
      <c r="Z2019">
        <v>-1.9685129999999999E-3</v>
      </c>
      <c r="AA2019">
        <v>0.9997393</v>
      </c>
      <c r="AB2019">
        <v>35</v>
      </c>
      <c r="AC2019">
        <v>-0.43430000000000701</v>
      </c>
      <c r="AD2019">
        <v>-0.20903229999999901</v>
      </c>
      <c r="AE2019">
        <v>2.5100000000009001E-2</v>
      </c>
      <c r="AF2019">
        <v>1.3855131165220601E-2</v>
      </c>
      <c r="AG2019">
        <v>-0.20903229999999901</v>
      </c>
      <c r="AH2019">
        <v>0.35315215949363199</v>
      </c>
      <c r="AI2019">
        <v>120.602164569698</v>
      </c>
      <c r="AJ2019">
        <v>87.753281130210397</v>
      </c>
      <c r="AK2019">
        <v>0.41061285276755599</v>
      </c>
      <c r="AL2019">
        <v>89.468839717851594</v>
      </c>
      <c r="AM2019">
        <v>86.553332979532399</v>
      </c>
      <c r="AN2019">
        <v>1.00000000083614</v>
      </c>
    </row>
    <row r="2020" spans="1:40" x14ac:dyDescent="0.25">
      <c r="A2020" t="str">
        <f>"20190312154836713"</f>
        <v>20190312154836713</v>
      </c>
      <c r="B2020" t="str">
        <f>"1552376916707471"</f>
        <v>1552376916707471</v>
      </c>
      <c r="C2020" t="s">
        <v>40</v>
      </c>
      <c r="D2020">
        <v>4.8286930000000003</v>
      </c>
      <c r="E2020">
        <v>0.49094209999999999</v>
      </c>
      <c r="F2020" t="s">
        <v>41</v>
      </c>
      <c r="G2020">
        <v>-284.59480000000002</v>
      </c>
      <c r="H2020">
        <v>0.92318900000000004</v>
      </c>
      <c r="I2020">
        <v>282.72669999999999</v>
      </c>
      <c r="J2020">
        <v>-284.04599999999999</v>
      </c>
      <c r="K2020">
        <v>1.108271</v>
      </c>
      <c r="L2020">
        <v>282.6977</v>
      </c>
      <c r="M2020">
        <v>-0.99979229999999997</v>
      </c>
      <c r="N2020">
        <v>0</v>
      </c>
      <c r="O2020">
        <v>1.8925029999999999E-2</v>
      </c>
      <c r="P2020">
        <v>-0.99688690000000002</v>
      </c>
      <c r="Q2020">
        <v>1.8585190000000001E-3</v>
      </c>
      <c r="R2020">
        <v>7.8823790000000005E-2</v>
      </c>
      <c r="S2020">
        <v>-3.0001829999999998</v>
      </c>
      <c r="T2020">
        <v>-0.73272320000000002</v>
      </c>
      <c r="U2020">
        <v>0.13116459999999999</v>
      </c>
      <c r="V2020">
        <v>5.9957669999999998E-2</v>
      </c>
      <c r="W2020">
        <v>9.3280559999999995E-3</v>
      </c>
      <c r="X2020">
        <v>0.99815730000000003</v>
      </c>
      <c r="Y2020">
        <v>2.4595450000000001E-2</v>
      </c>
      <c r="Z2020">
        <v>-1.59385E-3</v>
      </c>
      <c r="AA2020">
        <v>0.99969620000000003</v>
      </c>
      <c r="AB2020">
        <v>35</v>
      </c>
      <c r="AC2020">
        <v>-0.54880000000002804</v>
      </c>
      <c r="AD2020">
        <v>-0.185082</v>
      </c>
      <c r="AE2020">
        <v>2.89999999999963E-2</v>
      </c>
      <c r="AF2020">
        <v>1.6712879750995599E-2</v>
      </c>
      <c r="AG2020">
        <v>-0.185082</v>
      </c>
      <c r="AH2020">
        <v>0.49330047213226202</v>
      </c>
      <c r="AI2020">
        <v>110.554842872786</v>
      </c>
      <c r="AJ2020">
        <v>88.059577480500494</v>
      </c>
      <c r="AK2020">
        <v>0.52714326599083505</v>
      </c>
      <c r="AL2020">
        <v>89.465533990455796</v>
      </c>
      <c r="AM2020">
        <v>86.562467079980493</v>
      </c>
      <c r="AN2020">
        <v>0.99999996518192802</v>
      </c>
    </row>
    <row r="2021" spans="1:40" x14ac:dyDescent="0.25">
      <c r="A2021" t="str">
        <f>"20190312154836725"</f>
        <v>20190312154836725</v>
      </c>
      <c r="B2021" t="str">
        <f>"1552376916718207"</f>
        <v>1552376916718207</v>
      </c>
      <c r="C2021" t="s">
        <v>40</v>
      </c>
      <c r="D2021">
        <v>4.8647879999999999</v>
      </c>
      <c r="E2021">
        <v>0.49027130000000002</v>
      </c>
      <c r="F2021" t="s">
        <v>41</v>
      </c>
      <c r="G2021">
        <v>-284.90539999999999</v>
      </c>
      <c r="H2021">
        <v>0.9153519</v>
      </c>
      <c r="I2021">
        <v>282.73680000000002</v>
      </c>
      <c r="J2021">
        <v>-284.23860000000002</v>
      </c>
      <c r="K2021">
        <v>1.108244</v>
      </c>
      <c r="L2021">
        <v>282.70170000000002</v>
      </c>
      <c r="M2021">
        <v>-0.99978630000000002</v>
      </c>
      <c r="N2021">
        <v>0</v>
      </c>
      <c r="O2021">
        <v>1.930016E-2</v>
      </c>
      <c r="P2021">
        <v>-0.99687139999999996</v>
      </c>
      <c r="Q2021">
        <v>2.175186E-3</v>
      </c>
      <c r="R2021">
        <v>7.9012879999999994E-2</v>
      </c>
      <c r="S2021">
        <v>-2.999908</v>
      </c>
      <c r="T2021">
        <v>-0.67337829999999999</v>
      </c>
      <c r="U2021">
        <v>0.13571169999999999</v>
      </c>
      <c r="V2021">
        <v>5.9772890000000002E-2</v>
      </c>
      <c r="W2021">
        <v>9.4930329999999997E-3</v>
      </c>
      <c r="X2021">
        <v>0.99816689999999997</v>
      </c>
      <c r="Y2021">
        <v>2.574301E-2</v>
      </c>
      <c r="Z2021">
        <v>-1.424037E-3</v>
      </c>
      <c r="AA2021">
        <v>0.99966759999999999</v>
      </c>
      <c r="AB2021">
        <v>35</v>
      </c>
      <c r="AC2021">
        <v>-0.66679999999996598</v>
      </c>
      <c r="AD2021">
        <v>-0.19289210000000001</v>
      </c>
      <c r="AE2021">
        <v>3.5099999999999902E-2</v>
      </c>
      <c r="AF2021">
        <v>2.05119978485294E-2</v>
      </c>
      <c r="AG2021">
        <v>-0.19289210000000001</v>
      </c>
      <c r="AH2021">
        <v>0.61595099518873897</v>
      </c>
      <c r="AI2021">
        <v>107.37949064930901</v>
      </c>
      <c r="AJ2021">
        <v>88.092678214687396</v>
      </c>
      <c r="AK2021">
        <v>0.64577374735440196</v>
      </c>
      <c r="AL2021">
        <v>89.456081125415693</v>
      </c>
      <c r="AM2021">
        <v>86.573068603280106</v>
      </c>
      <c r="AN2021">
        <v>1.00000003815504</v>
      </c>
    </row>
    <row r="2022" spans="1:40" x14ac:dyDescent="0.25">
      <c r="A2022" t="str">
        <f>"20190312154836738"</f>
        <v>20190312154836738</v>
      </c>
      <c r="B2022" t="str">
        <f>"1552376916727968"</f>
        <v>1552376916727968</v>
      </c>
      <c r="C2022" t="s">
        <v>40</v>
      </c>
      <c r="D2022">
        <v>4.8337960000000004</v>
      </c>
      <c r="E2022">
        <v>0.49024269999999998</v>
      </c>
      <c r="F2022" t="s">
        <v>41</v>
      </c>
      <c r="G2022">
        <v>-285.2749</v>
      </c>
      <c r="H2022">
        <v>1.030575</v>
      </c>
      <c r="I2022">
        <v>282.75349999999997</v>
      </c>
      <c r="J2022">
        <v>-284.4547</v>
      </c>
      <c r="K2022">
        <v>1.108225</v>
      </c>
      <c r="L2022">
        <v>282.70620000000002</v>
      </c>
      <c r="M2022">
        <v>-0.99977930000000004</v>
      </c>
      <c r="N2022">
        <v>0</v>
      </c>
      <c r="O2022">
        <v>1.9714760000000001E-2</v>
      </c>
      <c r="P2022">
        <v>-0.99687020000000004</v>
      </c>
      <c r="Q2022">
        <v>2.3625870000000002E-3</v>
      </c>
      <c r="R2022">
        <v>7.9022449999999994E-2</v>
      </c>
      <c r="S2022">
        <v>-2.9980159999999998</v>
      </c>
      <c r="T2022">
        <v>-0.224666</v>
      </c>
      <c r="U2022">
        <v>0.1499634</v>
      </c>
      <c r="V2022">
        <v>5.9368560000000001E-2</v>
      </c>
      <c r="W2022">
        <v>9.5163980000000006E-3</v>
      </c>
      <c r="X2022">
        <v>0.99819080000000004</v>
      </c>
      <c r="Y2022">
        <v>3.0228629999999999E-2</v>
      </c>
      <c r="Z2022">
        <v>-3.4383850000000002E-4</v>
      </c>
      <c r="AA2022">
        <v>0.99954299999999996</v>
      </c>
      <c r="AB2022">
        <v>35</v>
      </c>
      <c r="AC2022">
        <v>-0.82019999999999904</v>
      </c>
      <c r="AD2022">
        <v>-7.7649999999999997E-2</v>
      </c>
      <c r="AE2022">
        <v>4.7299999999950097E-2</v>
      </c>
      <c r="AF2022">
        <v>3.0844795280525601E-2</v>
      </c>
      <c r="AG2022">
        <v>-7.7649999999999997E-2</v>
      </c>
      <c r="AH2022">
        <v>0.81370422571721601</v>
      </c>
      <c r="AI2022">
        <v>95.447214505156197</v>
      </c>
      <c r="AJ2022">
        <v>87.829148739594601</v>
      </c>
      <c r="AK2022">
        <v>0.81798257368109695</v>
      </c>
      <c r="AL2022">
        <v>89.454742344917605</v>
      </c>
      <c r="AM2022">
        <v>86.596276486264799</v>
      </c>
      <c r="AN2022">
        <v>1.0000000304759999</v>
      </c>
    </row>
    <row r="2023" spans="1:40" x14ac:dyDescent="0.25">
      <c r="A2023" t="str">
        <f>"20190312154836755"</f>
        <v>20190312154836755</v>
      </c>
      <c r="B2023" t="str">
        <f>"1552376916747487"</f>
        <v>1552376916747487</v>
      </c>
      <c r="C2023" t="s">
        <v>40</v>
      </c>
      <c r="D2023">
        <v>4.9606070000000004</v>
      </c>
      <c r="E2023">
        <v>0.49178870000000002</v>
      </c>
      <c r="F2023" t="s">
        <v>51</v>
      </c>
      <c r="G2023">
        <v>-301.50439999999998</v>
      </c>
      <c r="H2023" s="1">
        <v>3.7896690000000001E-6</v>
      </c>
      <c r="I2023">
        <v>283.56479999999999</v>
      </c>
      <c r="J2023">
        <v>-284.7115</v>
      </c>
      <c r="K2023">
        <v>1.108206</v>
      </c>
      <c r="L2023">
        <v>282.71170000000001</v>
      </c>
      <c r="M2023">
        <v>-0.99977110000000002</v>
      </c>
      <c r="N2023">
        <v>0</v>
      </c>
      <c r="O2023">
        <v>2.0200639999999999E-2</v>
      </c>
      <c r="P2023">
        <v>-0.99686589999999997</v>
      </c>
      <c r="Q2023">
        <v>2.8440409999999998E-3</v>
      </c>
      <c r="R2023">
        <v>7.9059729999999995E-2</v>
      </c>
      <c r="S2023">
        <v>-2.9978940000000001</v>
      </c>
      <c r="T2023">
        <v>-0.19486129999999999</v>
      </c>
      <c r="U2023">
        <v>0.15097049999999901</v>
      </c>
      <c r="V2023">
        <v>5.892116E-2</v>
      </c>
      <c r="W2023">
        <v>9.8110690000000004E-3</v>
      </c>
      <c r="X2023">
        <v>0.99821439999999995</v>
      </c>
      <c r="Y2023">
        <v>3.0088449999999999E-2</v>
      </c>
      <c r="Z2023">
        <v>-3.343981E-4</v>
      </c>
      <c r="AA2023">
        <v>0.99954719999999997</v>
      </c>
      <c r="AB2023">
        <v>35</v>
      </c>
      <c r="AC2023">
        <v>-16.7928999999999</v>
      </c>
      <c r="AD2023">
        <v>-1.1082022103309901</v>
      </c>
      <c r="AE2023">
        <v>0.85309999999998298</v>
      </c>
      <c r="AF2023">
        <v>0.51146845509095795</v>
      </c>
      <c r="AG2023">
        <v>-1.1082022103309901</v>
      </c>
      <c r="AH2023">
        <v>16.734017972324899</v>
      </c>
      <c r="AI2023">
        <v>93.787089342994193</v>
      </c>
      <c r="AJ2023">
        <v>88.249322818113797</v>
      </c>
      <c r="AK2023">
        <v>16.778470419487899</v>
      </c>
      <c r="AL2023">
        <v>89.437858120722197</v>
      </c>
      <c r="AM2023">
        <v>86.621946916348605</v>
      </c>
      <c r="AN2023">
        <v>0.99999997426901299</v>
      </c>
    </row>
    <row r="2024" spans="1:40" x14ac:dyDescent="0.25">
      <c r="A2024" t="str">
        <f>"20190312154836777"</f>
        <v>20190312154836777</v>
      </c>
      <c r="B2024" t="str">
        <f>"1552376916767983"</f>
        <v>1552376916767983</v>
      </c>
      <c r="C2024" t="s">
        <v>40</v>
      </c>
      <c r="D2024">
        <v>4.8892959999999999</v>
      </c>
      <c r="E2024">
        <v>0.49109360000000002</v>
      </c>
      <c r="F2024" t="s">
        <v>51</v>
      </c>
      <c r="G2024">
        <v>-306.17489999999998</v>
      </c>
      <c r="H2024" s="1">
        <v>2.93255E-6</v>
      </c>
      <c r="I2024">
        <v>283.89260000000002</v>
      </c>
      <c r="J2024">
        <v>-285.06</v>
      </c>
      <c r="K2024">
        <v>1.108185</v>
      </c>
      <c r="L2024">
        <v>282.7192</v>
      </c>
      <c r="M2024">
        <v>-0.99975950000000002</v>
      </c>
      <c r="N2024">
        <v>0</v>
      </c>
      <c r="O2024">
        <v>2.084192E-2</v>
      </c>
      <c r="P2024">
        <v>-0.99682859999999995</v>
      </c>
      <c r="Q2024">
        <v>3.270874E-3</v>
      </c>
      <c r="R2024">
        <v>7.9511639999999995E-2</v>
      </c>
      <c r="S2024">
        <v>-2.9967959999999998</v>
      </c>
      <c r="T2024">
        <v>-0.1547318</v>
      </c>
      <c r="U2024">
        <v>0.16488649999999999</v>
      </c>
      <c r="V2024">
        <v>5.873345E-2</v>
      </c>
      <c r="W2024">
        <v>1.000036E-2</v>
      </c>
      <c r="X2024">
        <v>0.99822359999999999</v>
      </c>
      <c r="Y2024">
        <v>3.4097370000000002E-2</v>
      </c>
      <c r="Z2024">
        <v>-1.9538889999999999E-4</v>
      </c>
      <c r="AA2024">
        <v>0.99941849999999999</v>
      </c>
      <c r="AB2024">
        <v>35</v>
      </c>
      <c r="AC2024">
        <v>-21.114899999999899</v>
      </c>
      <c r="AD2024">
        <v>-1.10818206745</v>
      </c>
      <c r="AE2024">
        <v>1.17340000000001</v>
      </c>
      <c r="AF2024">
        <v>0.73105231480695998</v>
      </c>
      <c r="AG2024">
        <v>-1.10818206745</v>
      </c>
      <c r="AH2024">
        <v>21.076892017170699</v>
      </c>
      <c r="AI2024">
        <v>93.007924013581899</v>
      </c>
      <c r="AJ2024">
        <v>88.013491398591995</v>
      </c>
      <c r="AK2024">
        <v>21.118661938794201</v>
      </c>
      <c r="AL2024">
        <v>89.427012022171695</v>
      </c>
      <c r="AM2024">
        <v>86.6327148187207</v>
      </c>
      <c r="AN2024">
        <v>0.99999999047299604</v>
      </c>
    </row>
    <row r="2025" spans="1:40" x14ac:dyDescent="0.25">
      <c r="A2025" t="str">
        <f>"20190312154836789"</f>
        <v>20190312154836789</v>
      </c>
      <c r="B2025" t="str">
        <f>"1552376916777744"</f>
        <v>1552376916777744</v>
      </c>
      <c r="C2025" t="s">
        <v>40</v>
      </c>
      <c r="D2025">
        <v>4.8787760000000002</v>
      </c>
      <c r="E2025">
        <v>0.49101</v>
      </c>
      <c r="F2025" t="s">
        <v>51</v>
      </c>
      <c r="G2025">
        <v>-308.93849999999998</v>
      </c>
      <c r="H2025" s="1">
        <v>2.4325940000000001E-6</v>
      </c>
      <c r="I2025">
        <v>284.00400000000002</v>
      </c>
      <c r="J2025">
        <v>-285.25790000000001</v>
      </c>
      <c r="K2025">
        <v>1.1081829999999999</v>
      </c>
      <c r="L2025">
        <v>282.72359999999998</v>
      </c>
      <c r="M2025">
        <v>-0.99975290000000006</v>
      </c>
      <c r="N2025">
        <v>0</v>
      </c>
      <c r="O2025">
        <v>2.1194350000000001E-2</v>
      </c>
      <c r="P2025">
        <v>-0.99681439999999999</v>
      </c>
      <c r="Q2025">
        <v>3.703488E-3</v>
      </c>
      <c r="R2025">
        <v>7.9671930000000002E-2</v>
      </c>
      <c r="S2025">
        <v>-2.997131</v>
      </c>
      <c r="T2025">
        <v>-0.13909469999999999</v>
      </c>
      <c r="U2025">
        <v>0.16125490000000001</v>
      </c>
      <c r="V2025">
        <v>5.8542480000000001E-2</v>
      </c>
      <c r="W2025">
        <v>1.030886E-2</v>
      </c>
      <c r="X2025">
        <v>0.99823170000000006</v>
      </c>
      <c r="Y2025">
        <v>3.2536910000000002E-2</v>
      </c>
      <c r="Z2025">
        <v>-2.281466E-4</v>
      </c>
      <c r="AA2025">
        <v>0.99947050000000004</v>
      </c>
      <c r="AB2025">
        <v>35</v>
      </c>
      <c r="AC2025">
        <v>-23.680599999999899</v>
      </c>
      <c r="AD2025">
        <v>-1.1081805674059999</v>
      </c>
      <c r="AE2025">
        <v>1.28040000000004</v>
      </c>
      <c r="AF2025">
        <v>0.77651060636095204</v>
      </c>
      <c r="AG2025">
        <v>-1.1081805674059999</v>
      </c>
      <c r="AH2025">
        <v>23.650775141758299</v>
      </c>
      <c r="AI2025">
        <v>92.681245913239593</v>
      </c>
      <c r="AJ2025">
        <v>88.119520223808905</v>
      </c>
      <c r="AK2025">
        <v>23.689453300947701</v>
      </c>
      <c r="AL2025">
        <v>89.409335374516502</v>
      </c>
      <c r="AM2025">
        <v>86.643665544223794</v>
      </c>
      <c r="AN2025">
        <v>1.00000001072197</v>
      </c>
    </row>
    <row r="2026" spans="1:40" x14ac:dyDescent="0.25">
      <c r="A2026" t="str">
        <f>"20190312154836801"</f>
        <v>20190312154836801</v>
      </c>
      <c r="B2026" t="str">
        <f>"1552376916798240"</f>
        <v>1552376916798240</v>
      </c>
      <c r="C2026" t="s">
        <v>40</v>
      </c>
      <c r="D2026">
        <v>4.8984230000000002</v>
      </c>
      <c r="E2026">
        <v>0.49138009999999899</v>
      </c>
      <c r="F2026" t="s">
        <v>51</v>
      </c>
      <c r="G2026">
        <v>-310.24329999999998</v>
      </c>
      <c r="H2026" s="1">
        <v>2.372763E-6</v>
      </c>
      <c r="I2026">
        <v>284.06869999999998</v>
      </c>
      <c r="J2026">
        <v>-285.45940000000002</v>
      </c>
      <c r="K2026">
        <v>1.108179</v>
      </c>
      <c r="L2026">
        <v>282.72820000000002</v>
      </c>
      <c r="M2026">
        <v>-0.99974629999999998</v>
      </c>
      <c r="N2026">
        <v>0</v>
      </c>
      <c r="O2026">
        <v>2.1542820000000001E-2</v>
      </c>
      <c r="P2026">
        <v>-0.99678429999999996</v>
      </c>
      <c r="Q2026">
        <v>4.1327530000000003E-3</v>
      </c>
      <c r="R2026">
        <v>8.0027299999999996E-2</v>
      </c>
      <c r="S2026">
        <v>-2.9971920000000001</v>
      </c>
      <c r="T2026">
        <v>-0.13293479999999999</v>
      </c>
      <c r="U2026">
        <v>0.1613464</v>
      </c>
      <c r="V2026">
        <v>5.8550779999999997E-2</v>
      </c>
      <c r="W2026">
        <v>1.062022E-2</v>
      </c>
      <c r="X2026">
        <v>0.998228</v>
      </c>
      <c r="Y2026">
        <v>3.2219619999999997E-2</v>
      </c>
      <c r="Z2026">
        <v>-2.4050539999999999E-4</v>
      </c>
      <c r="AA2026">
        <v>0.99948079999999995</v>
      </c>
      <c r="AB2026">
        <v>36</v>
      </c>
      <c r="AC2026">
        <v>-24.7838999999999</v>
      </c>
      <c r="AD2026">
        <v>-1.1081766272369999</v>
      </c>
      <c r="AE2026">
        <v>1.3404999999999601</v>
      </c>
      <c r="AF2026">
        <v>0.80465818803403799</v>
      </c>
      <c r="AG2026">
        <v>-1.1081766272369999</v>
      </c>
      <c r="AH2026">
        <v>24.757673125602299</v>
      </c>
      <c r="AI2026">
        <v>92.561551245242796</v>
      </c>
      <c r="AJ2026">
        <v>88.138464203490102</v>
      </c>
      <c r="AK2026">
        <v>24.795521951168801</v>
      </c>
      <c r="AL2026">
        <v>89.391494814736603</v>
      </c>
      <c r="AM2026">
        <v>86.643178366174894</v>
      </c>
      <c r="AN2026">
        <v>1.00000006144772</v>
      </c>
    </row>
    <row r="2027" spans="1:40" x14ac:dyDescent="0.25">
      <c r="A2027" t="str">
        <f>"20190312154836813"</f>
        <v>20190312154836813</v>
      </c>
      <c r="B2027" t="str">
        <f>"1552376916807646"</f>
        <v>1552376916807646</v>
      </c>
      <c r="C2027" t="s">
        <v>40</v>
      </c>
      <c r="D2027">
        <v>4.8767809999999896</v>
      </c>
      <c r="E2027">
        <v>0.49145610000000001</v>
      </c>
      <c r="F2027" t="s">
        <v>51</v>
      </c>
      <c r="G2027">
        <v>-312.54809999999998</v>
      </c>
      <c r="H2027" s="1">
        <v>3.3811309999999999E-6</v>
      </c>
      <c r="I2027">
        <v>284.22550000000001</v>
      </c>
      <c r="J2027">
        <v>-285.64699999999999</v>
      </c>
      <c r="K2027">
        <v>1.108182</v>
      </c>
      <c r="L2027">
        <v>282.73250000000002</v>
      </c>
      <c r="M2027">
        <v>-0.99974019999999997</v>
      </c>
      <c r="N2027">
        <v>0</v>
      </c>
      <c r="O2027">
        <v>2.1852480000000001E-2</v>
      </c>
      <c r="P2027">
        <v>-0.99675970000000003</v>
      </c>
      <c r="Q2027">
        <v>4.6026890000000001E-3</v>
      </c>
      <c r="R2027">
        <v>8.0305719999999997E-2</v>
      </c>
      <c r="S2027">
        <v>-2.9968870000000001</v>
      </c>
      <c r="T2027">
        <v>-0.12260020000000001</v>
      </c>
      <c r="U2027">
        <v>0.1656494</v>
      </c>
      <c r="V2027">
        <v>5.8520599999999999E-2</v>
      </c>
      <c r="W2027">
        <v>1.098879E-2</v>
      </c>
      <c r="X2027">
        <v>0.99822569999999999</v>
      </c>
      <c r="Y2027">
        <v>3.33472E-2</v>
      </c>
      <c r="Z2027">
        <v>-2.1144459999999999E-4</v>
      </c>
      <c r="AA2027">
        <v>0.99944379999999999</v>
      </c>
      <c r="AB2027">
        <v>36</v>
      </c>
      <c r="AC2027">
        <v>-26.9010999999999</v>
      </c>
      <c r="AD2027">
        <v>-1.1081786188689999</v>
      </c>
      <c r="AE2027">
        <v>1.4929999999999899</v>
      </c>
      <c r="AF2027">
        <v>0.90324727473280297</v>
      </c>
      <c r="AG2027">
        <v>-1.1081786188689999</v>
      </c>
      <c r="AH2027">
        <v>26.881824224897599</v>
      </c>
      <c r="AI2027">
        <v>92.359299529325995</v>
      </c>
      <c r="AJ2027">
        <v>88.075547505108901</v>
      </c>
      <c r="AK2027">
        <v>26.919814062302201</v>
      </c>
      <c r="AL2027">
        <v>89.370376027182601</v>
      </c>
      <c r="AM2027">
        <v>86.644896973453996</v>
      </c>
      <c r="AN2027">
        <v>0.99999998113525601</v>
      </c>
    </row>
    <row r="2028" spans="1:40" x14ac:dyDescent="0.25">
      <c r="A2028" t="str">
        <f>"20190312154836833"</f>
        <v>20190312154836833</v>
      </c>
      <c r="B2028" t="str">
        <f>"1552376916828143"</f>
        <v>1552376916828143</v>
      </c>
      <c r="C2028" t="s">
        <v>40</v>
      </c>
      <c r="D2028">
        <v>4.964664</v>
      </c>
      <c r="E2028">
        <v>0.49113620000000002</v>
      </c>
      <c r="F2028" t="s">
        <v>51</v>
      </c>
      <c r="G2028">
        <v>-313.81990000000002</v>
      </c>
      <c r="H2028" s="1">
        <v>3.9382050000000002E-6</v>
      </c>
      <c r="I2028">
        <v>284.30489999999998</v>
      </c>
      <c r="J2028">
        <v>-285.9502</v>
      </c>
      <c r="K2028">
        <v>1.1081939999999999</v>
      </c>
      <c r="L2028">
        <v>282.73950000000002</v>
      </c>
      <c r="M2028">
        <v>-0.99973060000000002</v>
      </c>
      <c r="N2028">
        <v>0</v>
      </c>
      <c r="O2028">
        <v>2.2329689999999999E-2</v>
      </c>
      <c r="P2028">
        <v>-0.99670979999999998</v>
      </c>
      <c r="Q2028">
        <v>5.7573360000000001E-3</v>
      </c>
      <c r="R2028">
        <v>8.0848970000000006E-2</v>
      </c>
      <c r="S2028">
        <v>-2.9968870000000001</v>
      </c>
      <c r="T2028">
        <v>-0.117882</v>
      </c>
      <c r="U2028">
        <v>0.16726679999999999</v>
      </c>
      <c r="V2028">
        <v>5.8589179999999998E-2</v>
      </c>
      <c r="W2028">
        <v>1.199152E-2</v>
      </c>
      <c r="X2028">
        <v>0.99821009999999999</v>
      </c>
      <c r="Y2028">
        <v>3.3408930000000003E-2</v>
      </c>
      <c r="Z2028">
        <v>-2.2083629999999999E-4</v>
      </c>
      <c r="AA2028">
        <v>0.99944169999999999</v>
      </c>
      <c r="AB2028">
        <v>36</v>
      </c>
      <c r="AC2028">
        <v>-27.869700000000002</v>
      </c>
      <c r="AD2028">
        <v>-1.108190061795</v>
      </c>
      <c r="AE2028">
        <v>1.5653999999999499</v>
      </c>
      <c r="AF2028">
        <v>0.94119197235609997</v>
      </c>
      <c r="AG2028">
        <v>-1.108190061795</v>
      </c>
      <c r="AH2028">
        <v>27.853804717369599</v>
      </c>
      <c r="AI2028">
        <v>92.277067097186702</v>
      </c>
      <c r="AJ2028">
        <v>88.064687460499997</v>
      </c>
      <c r="AK2028">
        <v>27.8917257403563</v>
      </c>
      <c r="AL2028">
        <v>89.312920009762294</v>
      </c>
      <c r="AM2028">
        <v>86.640921768077206</v>
      </c>
      <c r="AN2028">
        <v>0.99999994615349497</v>
      </c>
    </row>
    <row r="2029" spans="1:40" x14ac:dyDescent="0.25">
      <c r="A2029" t="str">
        <f>"20190312154836847"</f>
        <v>20190312154836847</v>
      </c>
      <c r="B2029" t="str">
        <f>"1552376916837903"</f>
        <v>1552376916837903</v>
      </c>
      <c r="C2029" t="s">
        <v>40</v>
      </c>
      <c r="D2029">
        <v>4.8269690000000001</v>
      </c>
      <c r="E2029">
        <v>0.49067499999999997</v>
      </c>
      <c r="F2029" t="s">
        <v>51</v>
      </c>
      <c r="G2029">
        <v>-315.01389999999998</v>
      </c>
      <c r="H2029" s="1">
        <v>4.4636169999999998E-6</v>
      </c>
      <c r="I2029">
        <v>284.35149999999999</v>
      </c>
      <c r="J2029">
        <v>-286.1841</v>
      </c>
      <c r="K2029">
        <v>1.108203</v>
      </c>
      <c r="L2029">
        <v>282.745</v>
      </c>
      <c r="M2029">
        <v>-0.99972369999999999</v>
      </c>
      <c r="N2029">
        <v>0</v>
      </c>
      <c r="O2029">
        <v>2.267537E-2</v>
      </c>
      <c r="P2029">
        <v>-0.99666399999999999</v>
      </c>
      <c r="Q2029">
        <v>6.0874730000000004E-3</v>
      </c>
      <c r="R2029">
        <v>8.1387420000000002E-2</v>
      </c>
      <c r="S2029">
        <v>-2.9970699999999999</v>
      </c>
      <c r="T2029">
        <v>-0.1142772</v>
      </c>
      <c r="U2029">
        <v>0.16622919999999999</v>
      </c>
      <c r="V2029">
        <v>5.8782979999999999E-2</v>
      </c>
      <c r="W2029">
        <v>1.2213709999999999E-2</v>
      </c>
      <c r="X2029">
        <v>0.99819610000000003</v>
      </c>
      <c r="Y2029">
        <v>3.2716290000000002E-2</v>
      </c>
      <c r="Z2029">
        <v>-2.4042700000000001E-4</v>
      </c>
      <c r="AA2029">
        <v>0.99946460000000004</v>
      </c>
      <c r="AB2029">
        <v>36</v>
      </c>
      <c r="AC2029">
        <v>-28.829799999999899</v>
      </c>
      <c r="AD2029">
        <v>-1.108198536383</v>
      </c>
      <c r="AE2029">
        <v>1.6064999999999801</v>
      </c>
      <c r="AF2029">
        <v>0.95094725008720504</v>
      </c>
      <c r="AG2029">
        <v>-1.108198536383</v>
      </c>
      <c r="AH2029">
        <v>28.816368924823099</v>
      </c>
      <c r="AI2029">
        <v>92.201156233923598</v>
      </c>
      <c r="AJ2029">
        <v>88.109911121005595</v>
      </c>
      <c r="AK2029">
        <v>28.853345086488702</v>
      </c>
      <c r="AL2029">
        <v>89.300188588661101</v>
      </c>
      <c r="AM2029">
        <v>86.629789093068595</v>
      </c>
      <c r="AN2029">
        <v>1.00000003375242</v>
      </c>
    </row>
    <row r="2030" spans="1:40" x14ac:dyDescent="0.25">
      <c r="A2030" t="str">
        <f>"20190312154836869"</f>
        <v>20190312154836869</v>
      </c>
      <c r="B2030" t="str">
        <f>"1552376916857422"</f>
        <v>1552376916857422</v>
      </c>
      <c r="C2030" t="s">
        <v>40</v>
      </c>
      <c r="D2030">
        <v>4.908493</v>
      </c>
      <c r="E2030">
        <v>0.4900737</v>
      </c>
      <c r="F2030" t="s">
        <v>51</v>
      </c>
      <c r="G2030">
        <v>-315.73149999999998</v>
      </c>
      <c r="H2030" s="1">
        <v>4.7807910000000004E-6</v>
      </c>
      <c r="I2030">
        <v>284.36349999999999</v>
      </c>
      <c r="J2030">
        <v>-286.52620000000002</v>
      </c>
      <c r="K2030">
        <v>1.1082240000000001</v>
      </c>
      <c r="L2030">
        <v>282.75319999999999</v>
      </c>
      <c r="M2030">
        <v>-0.99971390000000004</v>
      </c>
      <c r="N2030">
        <v>0</v>
      </c>
      <c r="O2030">
        <v>2.3135969999999999E-2</v>
      </c>
      <c r="P2030">
        <v>-0.99658460000000004</v>
      </c>
      <c r="Q2030">
        <v>6.8597379999999998E-3</v>
      </c>
      <c r="R2030">
        <v>8.2292589999999999E-2</v>
      </c>
      <c r="S2030">
        <v>-2.9973450000000001</v>
      </c>
      <c r="T2030">
        <v>-0.1124175</v>
      </c>
      <c r="U2030">
        <v>0.16418460000000001</v>
      </c>
      <c r="V2030">
        <v>5.9229660000000003E-2</v>
      </c>
      <c r="W2030">
        <v>1.284356E-2</v>
      </c>
      <c r="X2030">
        <v>0.99816170000000004</v>
      </c>
      <c r="Y2030">
        <v>3.1572360000000001E-2</v>
      </c>
      <c r="Z2030">
        <v>-2.7517669999999999E-4</v>
      </c>
      <c r="AA2030">
        <v>0.99950139999999998</v>
      </c>
      <c r="AB2030">
        <v>36</v>
      </c>
      <c r="AC2030">
        <v>-29.205299999999902</v>
      </c>
      <c r="AD2030">
        <v>-1.1082192192089999</v>
      </c>
      <c r="AE2030">
        <v>1.6102999999999901</v>
      </c>
      <c r="AF2030">
        <v>0.93282446873037905</v>
      </c>
      <c r="AG2030">
        <v>-1.1082192192089999</v>
      </c>
      <c r="AH2030">
        <v>29.192831860169001</v>
      </c>
      <c r="AI2030">
        <v>92.172912301708294</v>
      </c>
      <c r="AJ2030">
        <v>88.169799839702094</v>
      </c>
      <c r="AK2030">
        <v>29.228748576416798</v>
      </c>
      <c r="AL2030">
        <v>89.264097944252399</v>
      </c>
      <c r="AM2030">
        <v>86.604122488731704</v>
      </c>
      <c r="AN2030">
        <v>0.999999944502038</v>
      </c>
    </row>
    <row r="2031" spans="1:40" x14ac:dyDescent="0.25">
      <c r="A2031" t="str">
        <f>"20190312154836888"</f>
        <v>20190312154836888</v>
      </c>
      <c r="B2031" t="str">
        <f>"1552376916877919"</f>
        <v>1552376916877919</v>
      </c>
      <c r="C2031" t="s">
        <v>40</v>
      </c>
      <c r="D2031">
        <v>4.9119590000000004</v>
      </c>
      <c r="E2031">
        <v>0.48974640000000003</v>
      </c>
      <c r="F2031" t="s">
        <v>51</v>
      </c>
      <c r="G2031">
        <v>-316.8451</v>
      </c>
      <c r="H2031" s="1">
        <v>5.2719829999999998E-6</v>
      </c>
      <c r="I2031">
        <v>284.39339999999999</v>
      </c>
      <c r="J2031">
        <v>-286.85640000000001</v>
      </c>
      <c r="K2031">
        <v>1.108247</v>
      </c>
      <c r="L2031">
        <v>282.76119999999997</v>
      </c>
      <c r="M2031">
        <v>-0.99970539999999997</v>
      </c>
      <c r="N2031">
        <v>0</v>
      </c>
      <c r="O2031">
        <v>2.3534949999999999E-2</v>
      </c>
      <c r="P2031">
        <v>-0.99653060000000004</v>
      </c>
      <c r="Q2031">
        <v>7.4052329999999998E-3</v>
      </c>
      <c r="R2031">
        <v>8.2898890000000003E-2</v>
      </c>
      <c r="S2031">
        <v>-2.9976500000000001</v>
      </c>
      <c r="T2031">
        <v>-0.1095703</v>
      </c>
      <c r="U2031">
        <v>0.16217039999999999</v>
      </c>
      <c r="V2031">
        <v>5.9438110000000002E-2</v>
      </c>
      <c r="W2031">
        <v>1.3266E-2</v>
      </c>
      <c r="X2031">
        <v>0.99814389999999997</v>
      </c>
      <c r="Y2031">
        <v>3.0499579999999998E-2</v>
      </c>
      <c r="Z2031">
        <v>-3.0233639999999997E-4</v>
      </c>
      <c r="AA2031">
        <v>0.9995347</v>
      </c>
      <c r="AB2031">
        <v>36</v>
      </c>
      <c r="AC2031">
        <v>-29.988699999999898</v>
      </c>
      <c r="AD2031">
        <v>-1.108241728017</v>
      </c>
      <c r="AE2031">
        <v>1.6322000000000101</v>
      </c>
      <c r="AF2031">
        <v>0.92469378492170895</v>
      </c>
      <c r="AG2031">
        <v>-1.108241728017</v>
      </c>
      <c r="AH2031">
        <v>29.9779878337662</v>
      </c>
      <c r="AI2031">
        <v>92.116170236857499</v>
      </c>
      <c r="AJ2031">
        <v>88.233228395253803</v>
      </c>
      <c r="AK2031">
        <v>30.012714187241102</v>
      </c>
      <c r="AL2031">
        <v>89.239891938947906</v>
      </c>
      <c r="AM2031">
        <v>86.5921386896906</v>
      </c>
      <c r="AN2031">
        <v>1.00000006039178</v>
      </c>
    </row>
    <row r="2032" spans="1:40" x14ac:dyDescent="0.25">
      <c r="A2032" t="str">
        <f>"20190312154836912"</f>
        <v>20190312154836912</v>
      </c>
      <c r="B2032" t="str">
        <f>"1552376916897438"</f>
        <v>1552376916897438</v>
      </c>
      <c r="C2032" t="s">
        <v>40</v>
      </c>
      <c r="D2032">
        <v>4.9219739999999996</v>
      </c>
      <c r="E2032">
        <v>0.48941859999999998</v>
      </c>
      <c r="F2032" t="s">
        <v>51</v>
      </c>
      <c r="G2032">
        <v>-318.19029999999998</v>
      </c>
      <c r="H2032" s="1">
        <v>5.8637359999999996E-6</v>
      </c>
      <c r="I2032">
        <v>284.44819999999999</v>
      </c>
      <c r="J2032">
        <v>-287.22489999999999</v>
      </c>
      <c r="K2032">
        <v>1.1082730000000001</v>
      </c>
      <c r="L2032">
        <v>282.77010000000001</v>
      </c>
      <c r="M2032">
        <v>-0.9996969</v>
      </c>
      <c r="N2032">
        <v>0</v>
      </c>
      <c r="O2032">
        <v>2.392764E-2</v>
      </c>
      <c r="P2032">
        <v>-0.99648639999999999</v>
      </c>
      <c r="Q2032">
        <v>7.5951569999999999E-3</v>
      </c>
      <c r="R2032">
        <v>8.3411440000000003E-2</v>
      </c>
      <c r="S2032">
        <v>-2.9978030000000002</v>
      </c>
      <c r="T2032">
        <v>-0.106028399999999</v>
      </c>
      <c r="U2032">
        <v>0.16140750000000001</v>
      </c>
      <c r="V2032">
        <v>5.9558260000000002E-2</v>
      </c>
      <c r="W2032">
        <v>1.33337E-2</v>
      </c>
      <c r="X2032">
        <v>0.99813569999999996</v>
      </c>
      <c r="Y2032">
        <v>2.9851530000000001E-2</v>
      </c>
      <c r="Z2032">
        <v>-3.1787299999999998E-4</v>
      </c>
      <c r="AA2032">
        <v>0.99955430000000001</v>
      </c>
      <c r="AB2032">
        <v>36</v>
      </c>
      <c r="AC2032">
        <v>-30.965399999999899</v>
      </c>
      <c r="AD2032">
        <v>-1.108267136264</v>
      </c>
      <c r="AE2032">
        <v>1.6780999999999699</v>
      </c>
      <c r="AF2032">
        <v>0.93548334176354098</v>
      </c>
      <c r="AG2032">
        <v>-1.108267136264</v>
      </c>
      <c r="AH2032">
        <v>30.957148993626401</v>
      </c>
      <c r="AI2032">
        <v>92.049380805244894</v>
      </c>
      <c r="AJ2032">
        <v>88.269125454316907</v>
      </c>
      <c r="AK2032">
        <v>30.991102899729501</v>
      </c>
      <c r="AL2032">
        <v>89.236012568166203</v>
      </c>
      <c r="AM2032">
        <v>86.585238233083004</v>
      </c>
      <c r="AN2032">
        <v>0.99999992475220001</v>
      </c>
    </row>
    <row r="2033" spans="1:40" x14ac:dyDescent="0.25">
      <c r="A2033" t="str">
        <f>"20190312154836925"</f>
        <v>20190312154836925</v>
      </c>
      <c r="B2033" t="str">
        <f>"1552376916917434"</f>
        <v>1552376916917434</v>
      </c>
      <c r="C2033" t="s">
        <v>40</v>
      </c>
      <c r="D2033">
        <v>4.9280089999999896</v>
      </c>
      <c r="E2033">
        <v>0.48917949999999999</v>
      </c>
      <c r="F2033" t="s">
        <v>51</v>
      </c>
      <c r="G2033">
        <v>-319.19940000000003</v>
      </c>
      <c r="H2033" s="1">
        <v>6.3082169999999998E-6</v>
      </c>
      <c r="I2033">
        <v>284.48289999999997</v>
      </c>
      <c r="J2033">
        <v>-287.44069999999999</v>
      </c>
      <c r="K2033">
        <v>1.108287</v>
      </c>
      <c r="L2033">
        <v>282.77550000000002</v>
      </c>
      <c r="M2033">
        <v>-0.99969220000000003</v>
      </c>
      <c r="N2033">
        <v>0</v>
      </c>
      <c r="O2033">
        <v>2.4137849999999999E-2</v>
      </c>
      <c r="P2033">
        <v>-0.99646009999999996</v>
      </c>
      <c r="Q2033">
        <v>7.5813640000000002E-3</v>
      </c>
      <c r="R2033">
        <v>8.3724530000000005E-2</v>
      </c>
      <c r="S2033">
        <v>-2.9978940000000001</v>
      </c>
      <c r="T2033">
        <v>-0.10390969999999999</v>
      </c>
      <c r="U2033">
        <v>0.16058349999999999</v>
      </c>
      <c r="V2033">
        <v>5.9661029999999997E-2</v>
      </c>
      <c r="W2033">
        <v>1.3252649999999999E-2</v>
      </c>
      <c r="X2033">
        <v>0.99813070000000004</v>
      </c>
      <c r="Y2033">
        <v>2.9366349999999999E-2</v>
      </c>
      <c r="Z2033">
        <v>-3.2719269999999999E-4</v>
      </c>
      <c r="AA2033">
        <v>0.99956860000000003</v>
      </c>
      <c r="AB2033">
        <v>36</v>
      </c>
      <c r="AC2033">
        <v>-31.758700000000001</v>
      </c>
      <c r="AD2033">
        <v>-1.1082806917829999</v>
      </c>
      <c r="AE2033">
        <v>1.7073999999999401</v>
      </c>
      <c r="AF2033">
        <v>0.939162767890525</v>
      </c>
      <c r="AG2033">
        <v>-1.1082806917829999</v>
      </c>
      <c r="AH2033">
        <v>31.752104005828201</v>
      </c>
      <c r="AI2033">
        <v>91.998176658197096</v>
      </c>
      <c r="AJ2033">
        <v>88.305801118755696</v>
      </c>
      <c r="AK2033">
        <v>31.785317704772101</v>
      </c>
      <c r="AL2033">
        <v>89.240656845851007</v>
      </c>
      <c r="AM2033">
        <v>86.579342818836594</v>
      </c>
      <c r="AN2033">
        <v>0.99999998275758595</v>
      </c>
    </row>
    <row r="2034" spans="1:40" x14ac:dyDescent="0.25">
      <c r="A2034" t="str">
        <f>"20190312154836943"</f>
        <v>20190312154836943</v>
      </c>
      <c r="B2034" t="str">
        <f>"1552376916937930"</f>
        <v>1552376916937930</v>
      </c>
      <c r="C2034" t="s">
        <v>40</v>
      </c>
      <c r="D2034">
        <v>4.9257759999999999</v>
      </c>
      <c r="E2034">
        <v>0.48893180000000003</v>
      </c>
      <c r="F2034" t="s">
        <v>51</v>
      </c>
      <c r="G2034">
        <v>-319.80689999999998</v>
      </c>
      <c r="H2034" s="1">
        <v>6.5762419999999997E-6</v>
      </c>
      <c r="I2034">
        <v>284.49860000000001</v>
      </c>
      <c r="J2034">
        <v>-287.76010000000002</v>
      </c>
      <c r="K2034">
        <v>1.1083050000000001</v>
      </c>
      <c r="L2034">
        <v>282.78339999999997</v>
      </c>
      <c r="M2034">
        <v>-0.99968619999999997</v>
      </c>
      <c r="N2034">
        <v>0</v>
      </c>
      <c r="O2034">
        <v>2.440987E-2</v>
      </c>
      <c r="P2034">
        <v>-0.99644770000000005</v>
      </c>
      <c r="Q2034">
        <v>7.9568869999999993E-3</v>
      </c>
      <c r="R2034">
        <v>8.383794E-2</v>
      </c>
      <c r="S2034">
        <v>-2.9980159999999998</v>
      </c>
      <c r="T2034">
        <v>-0.1026577</v>
      </c>
      <c r="U2034">
        <v>0.1596069</v>
      </c>
      <c r="V2034">
        <v>5.9502409999999999E-2</v>
      </c>
      <c r="W2034">
        <v>1.3533480000000001E-2</v>
      </c>
      <c r="X2034">
        <v>0.99813640000000003</v>
      </c>
      <c r="Y2034">
        <v>2.876811E-2</v>
      </c>
      <c r="Z2034">
        <v>-3.4277489999999999E-4</v>
      </c>
      <c r="AA2034">
        <v>0.99958599999999997</v>
      </c>
      <c r="AB2034">
        <v>36</v>
      </c>
      <c r="AC2034">
        <v>-32.046799999999898</v>
      </c>
      <c r="AD2034">
        <v>-1.10829842375799</v>
      </c>
      <c r="AE2034">
        <v>1.71520000000003</v>
      </c>
      <c r="AF2034">
        <v>0.93130761316820398</v>
      </c>
      <c r="AG2034">
        <v>-1.10829842375799</v>
      </c>
      <c r="AH2034">
        <v>32.040906735185402</v>
      </c>
      <c r="AI2034">
        <v>91.980241693405304</v>
      </c>
      <c r="AJ2034">
        <v>88.335097793809197</v>
      </c>
      <c r="AK2034">
        <v>32.073592933740599</v>
      </c>
      <c r="AL2034">
        <v>89.224565028221207</v>
      </c>
      <c r="AM2034">
        <v>86.588435202631601</v>
      </c>
      <c r="AN2034">
        <v>0.99999998244083899</v>
      </c>
    </row>
    <row r="2035" spans="1:40" x14ac:dyDescent="0.25">
      <c r="A2035" t="str">
        <f>"20190312154836956"</f>
        <v>20190312154836956</v>
      </c>
      <c r="B2035" t="str">
        <f>"1552376916947691"</f>
        <v>1552376916947691</v>
      </c>
      <c r="C2035" t="s">
        <v>40</v>
      </c>
      <c r="D2035">
        <v>4.935651</v>
      </c>
      <c r="E2035">
        <v>0.48881780000000002</v>
      </c>
      <c r="F2035" t="s">
        <v>50</v>
      </c>
      <c r="G2035">
        <v>-320.75279999999998</v>
      </c>
      <c r="H2035" s="1">
        <v>-1.132081E-6</v>
      </c>
      <c r="I2035">
        <v>284.52260000000001</v>
      </c>
      <c r="J2035">
        <v>-287.95299999999997</v>
      </c>
      <c r="K2035">
        <v>1.108314</v>
      </c>
      <c r="L2035">
        <v>282.78820000000002</v>
      </c>
      <c r="M2035">
        <v>-0.99968310000000005</v>
      </c>
      <c r="N2035">
        <v>0</v>
      </c>
      <c r="O2035">
        <v>2.4553910000000002E-2</v>
      </c>
      <c r="P2035">
        <v>-0.99643839999999995</v>
      </c>
      <c r="Q2035">
        <v>8.1348440000000004E-3</v>
      </c>
      <c r="R2035">
        <v>8.3932899999999894E-2</v>
      </c>
      <c r="S2035">
        <v>-2.9981990000000001</v>
      </c>
      <c r="T2035">
        <v>-0.1007168</v>
      </c>
      <c r="U2035">
        <v>0.15805050000000001</v>
      </c>
      <c r="V2035">
        <v>5.9453249999999999E-2</v>
      </c>
      <c r="W2035">
        <v>1.3653159999999999E-2</v>
      </c>
      <c r="X2035">
        <v>0.99813770000000002</v>
      </c>
      <c r="Y2035">
        <v>2.8103949999999999E-2</v>
      </c>
      <c r="Z2035">
        <v>-3.52259E-4</v>
      </c>
      <c r="AA2035">
        <v>0.99960490000000002</v>
      </c>
      <c r="AB2035">
        <v>36</v>
      </c>
      <c r="AC2035">
        <v>-32.799799999999998</v>
      </c>
      <c r="AD2035">
        <v>-1.1083151320810001</v>
      </c>
      <c r="AE2035">
        <v>1.7343999999999899</v>
      </c>
      <c r="AF2035">
        <v>0.92744534279120705</v>
      </c>
      <c r="AG2035">
        <v>-1.1083151320810001</v>
      </c>
      <c r="AH2035">
        <v>32.795157160085601</v>
      </c>
      <c r="AI2035">
        <v>91.934806154535593</v>
      </c>
      <c r="AJ2035">
        <v>88.380110074917894</v>
      </c>
      <c r="AK2035">
        <v>32.826983572216598</v>
      </c>
      <c r="AL2035">
        <v>89.217707235977997</v>
      </c>
      <c r="AM2035">
        <v>86.591251566543804</v>
      </c>
      <c r="AN2035">
        <v>0.99999998293741799</v>
      </c>
    </row>
    <row r="2036" spans="1:40" x14ac:dyDescent="0.25">
      <c r="A2036" t="str">
        <f>"20190312154836969"</f>
        <v>20190312154836969</v>
      </c>
      <c r="B2036" t="str">
        <f>"1552376916957452"</f>
        <v>1552376916957452</v>
      </c>
      <c r="C2036" t="s">
        <v>40</v>
      </c>
      <c r="D2036">
        <v>4.900328</v>
      </c>
      <c r="E2036">
        <v>0.48871700000000001</v>
      </c>
      <c r="F2036" t="s">
        <v>50</v>
      </c>
      <c r="G2036">
        <v>-321.11779999999999</v>
      </c>
      <c r="H2036" s="1">
        <v>-9.3817629999999997E-7</v>
      </c>
      <c r="I2036">
        <v>284.53039999999999</v>
      </c>
      <c r="J2036">
        <v>-288.15980000000002</v>
      </c>
      <c r="K2036">
        <v>1.1083259999999999</v>
      </c>
      <c r="L2036">
        <v>282.79349999999999</v>
      </c>
      <c r="M2036">
        <v>-0.99967969999999895</v>
      </c>
      <c r="N2036">
        <v>0</v>
      </c>
      <c r="O2036">
        <v>2.47023E-2</v>
      </c>
      <c r="P2036">
        <v>-0.99645189999999995</v>
      </c>
      <c r="Q2036">
        <v>8.25562E-3</v>
      </c>
      <c r="R2036">
        <v>8.3760379999999995E-2</v>
      </c>
      <c r="S2036">
        <v>-2.99823</v>
      </c>
      <c r="T2036">
        <v>-0.10019599999999999</v>
      </c>
      <c r="U2036">
        <v>0.15750120000000001</v>
      </c>
      <c r="V2036">
        <v>5.9131540000000003E-2</v>
      </c>
      <c r="W2036">
        <v>1.371228E-2</v>
      </c>
      <c r="X2036">
        <v>0.99815600000000004</v>
      </c>
      <c r="Y2036">
        <v>2.7772689999999999E-2</v>
      </c>
      <c r="Z2036">
        <v>-3.6091820000000002E-4</v>
      </c>
      <c r="AA2036">
        <v>0.99961420000000001</v>
      </c>
      <c r="AB2036">
        <v>36</v>
      </c>
      <c r="AC2036">
        <v>-32.957999999999899</v>
      </c>
      <c r="AD2036">
        <v>-1.1083269381762999</v>
      </c>
      <c r="AE2036">
        <v>1.7368999999999899</v>
      </c>
      <c r="AF2036">
        <v>0.92118038302347505</v>
      </c>
      <c r="AG2036">
        <v>-1.1083269381762999</v>
      </c>
      <c r="AH2036">
        <v>32.953685450680297</v>
      </c>
      <c r="AI2036">
        <v>91.925543650155703</v>
      </c>
      <c r="AJ2036">
        <v>88.398782830495904</v>
      </c>
      <c r="AK2036">
        <v>32.985183744862397</v>
      </c>
      <c r="AL2036">
        <v>89.214319592349995</v>
      </c>
      <c r="AM2036">
        <v>86.609715659938303</v>
      </c>
      <c r="AN2036">
        <v>0.99999998299078396</v>
      </c>
    </row>
    <row r="2037" spans="1:40" x14ac:dyDescent="0.25">
      <c r="A2037" t="str">
        <f>"20190312154836991"</f>
        <v>20190312154836991</v>
      </c>
      <c r="B2037" t="str">
        <f>"1552376916977947"</f>
        <v>1552376916977947</v>
      </c>
      <c r="C2037" t="s">
        <v>40</v>
      </c>
      <c r="D2037">
        <v>4.8941860000000004</v>
      </c>
      <c r="E2037">
        <v>0.48846889999999998</v>
      </c>
      <c r="F2037" t="s">
        <v>50</v>
      </c>
      <c r="G2037">
        <v>-321.43729999999999</v>
      </c>
      <c r="H2037" s="1">
        <v>-7.6803600000000004E-7</v>
      </c>
      <c r="I2037">
        <v>284.52659999999997</v>
      </c>
      <c r="J2037">
        <v>-288.51639999999998</v>
      </c>
      <c r="K2037">
        <v>1.1083350000000001</v>
      </c>
      <c r="L2037">
        <v>282.80239999999998</v>
      </c>
      <c r="M2037">
        <v>-0.99967459999999997</v>
      </c>
      <c r="N2037">
        <v>0</v>
      </c>
      <c r="O2037">
        <v>2.4931330000000002E-2</v>
      </c>
      <c r="P2037">
        <v>-0.99648619999999999</v>
      </c>
      <c r="Q2037">
        <v>8.7745040000000007E-3</v>
      </c>
      <c r="R2037">
        <v>8.3296540000000002E-2</v>
      </c>
      <c r="S2037">
        <v>-2.998383</v>
      </c>
      <c r="T2037">
        <v>-9.9862930000000003E-2</v>
      </c>
      <c r="U2037">
        <v>0.156158399999999</v>
      </c>
      <c r="V2037">
        <v>5.8437629999999997E-2</v>
      </c>
      <c r="W2037">
        <v>1.4123749999999999E-2</v>
      </c>
      <c r="X2037">
        <v>0.9981911</v>
      </c>
      <c r="Y2037">
        <v>2.7095089999999999E-2</v>
      </c>
      <c r="Z2037">
        <v>-3.7859550000000002E-4</v>
      </c>
      <c r="AA2037">
        <v>0.99963279999999999</v>
      </c>
      <c r="AB2037">
        <v>37</v>
      </c>
      <c r="AC2037">
        <v>-32.920900000000003</v>
      </c>
      <c r="AD2037">
        <v>-1.108335768036</v>
      </c>
      <c r="AE2037">
        <v>1.72419999999999</v>
      </c>
      <c r="AF2037">
        <v>0.90187084903108405</v>
      </c>
      <c r="AG2037">
        <v>-1.108335768036</v>
      </c>
      <c r="AH2037">
        <v>32.916447171057698</v>
      </c>
      <c r="AI2037">
        <v>91.927765281472304</v>
      </c>
      <c r="AJ2037">
        <v>88.430557569890993</v>
      </c>
      <c r="AK2037">
        <v>32.947447147966898</v>
      </c>
      <c r="AL2037">
        <v>89.1907417905919</v>
      </c>
      <c r="AM2037">
        <v>86.649527098000505</v>
      </c>
      <c r="AN2037">
        <v>0.99999995451664303</v>
      </c>
    </row>
    <row r="2038" spans="1:40" x14ac:dyDescent="0.25">
      <c r="A2038" t="str">
        <f>"20190312154837012"</f>
        <v>20190312154837012</v>
      </c>
      <c r="B2038" t="str">
        <f>"1552376916997466"</f>
        <v>1552376916997466</v>
      </c>
      <c r="C2038" t="s">
        <v>40</v>
      </c>
      <c r="D2038">
        <v>4.9741070000000001</v>
      </c>
      <c r="E2038">
        <v>0.48839719999999998</v>
      </c>
      <c r="F2038" t="s">
        <v>50</v>
      </c>
      <c r="G2038">
        <v>-322.25709999999998</v>
      </c>
      <c r="H2038" s="1">
        <v>-3.3159929999999998E-7</v>
      </c>
      <c r="I2038">
        <v>284.52350000000001</v>
      </c>
      <c r="J2038">
        <v>-288.86700000000002</v>
      </c>
      <c r="K2038">
        <v>1.108341</v>
      </c>
      <c r="L2038">
        <v>282.81130000000002</v>
      </c>
      <c r="M2038">
        <v>-0.99967010000000001</v>
      </c>
      <c r="N2038">
        <v>0</v>
      </c>
      <c r="O2038">
        <v>2.5134159999999999E-2</v>
      </c>
      <c r="P2038">
        <v>-0.99653360000000002</v>
      </c>
      <c r="Q2038">
        <v>9.5490049999999993E-3</v>
      </c>
      <c r="R2038">
        <v>8.2641590000000001E-2</v>
      </c>
      <c r="S2038">
        <v>-2.9986570000000001</v>
      </c>
      <c r="T2038">
        <v>-9.8501679999999994E-2</v>
      </c>
      <c r="U2038">
        <v>0.15295410000000001</v>
      </c>
      <c r="V2038">
        <v>5.7578730000000002E-2</v>
      </c>
      <c r="W2038">
        <v>1.479507E-2</v>
      </c>
      <c r="X2038">
        <v>0.99823139999999999</v>
      </c>
      <c r="Y2038">
        <v>2.5822959999999999E-2</v>
      </c>
      <c r="Z2038">
        <v>-4.0094339999999999E-4</v>
      </c>
      <c r="AA2038">
        <v>0.99966650000000001</v>
      </c>
      <c r="AB2038">
        <v>37</v>
      </c>
      <c r="AC2038">
        <v>-33.390099999999897</v>
      </c>
      <c r="AD2038">
        <v>-1.1083413315993</v>
      </c>
      <c r="AE2038">
        <v>1.71219999999999</v>
      </c>
      <c r="AF2038">
        <v>0.87145755481074905</v>
      </c>
      <c r="AG2038">
        <v>-1.1083413315993</v>
      </c>
      <c r="AH2038">
        <v>33.385897793745201</v>
      </c>
      <c r="AI2038">
        <v>91.900753678722097</v>
      </c>
      <c r="AJ2038">
        <v>88.504772738675598</v>
      </c>
      <c r="AK2038">
        <v>33.415655466735501</v>
      </c>
      <c r="AL2038">
        <v>89.152274058479804</v>
      </c>
      <c r="AM2038">
        <v>86.6987946694762</v>
      </c>
      <c r="AN2038">
        <v>1.0000000660953301</v>
      </c>
    </row>
    <row r="2039" spans="1:40" x14ac:dyDescent="0.25">
      <c r="A2039" t="str">
        <f>"20190312154837023"</f>
        <v>20190312154837023</v>
      </c>
      <c r="B2039" t="str">
        <f>"1552376917017963"</f>
        <v>1552376917017963</v>
      </c>
      <c r="C2039" t="s">
        <v>40</v>
      </c>
      <c r="D2039">
        <v>5.0032079999999999</v>
      </c>
      <c r="E2039">
        <v>0.50930149999999996</v>
      </c>
      <c r="F2039" t="s">
        <v>50</v>
      </c>
      <c r="G2039">
        <v>-323.39359999999999</v>
      </c>
      <c r="H2039" s="1">
        <v>2.7231819999999997E-7</v>
      </c>
      <c r="I2039">
        <v>284.54320000000001</v>
      </c>
      <c r="J2039">
        <v>-289.06700000000001</v>
      </c>
      <c r="K2039">
        <v>1.108344</v>
      </c>
      <c r="L2039">
        <v>282.81650000000002</v>
      </c>
      <c r="M2039">
        <v>-0.99966759999999999</v>
      </c>
      <c r="N2039">
        <v>0</v>
      </c>
      <c r="O2039">
        <v>2.5244079999999999E-2</v>
      </c>
      <c r="P2039">
        <v>-0.99656489999999998</v>
      </c>
      <c r="Q2039">
        <v>9.8199069999999992E-3</v>
      </c>
      <c r="R2039">
        <v>8.2233529999999999E-2</v>
      </c>
      <c r="S2039">
        <v>-2.9988709999999998</v>
      </c>
      <c r="T2039">
        <v>-9.6266980000000002E-2</v>
      </c>
      <c r="U2039">
        <v>0.1504211</v>
      </c>
      <c r="V2039">
        <v>5.7060130000000001E-2</v>
      </c>
      <c r="W2039">
        <v>1.5009140000000001E-2</v>
      </c>
      <c r="X2039">
        <v>0.99825790000000003</v>
      </c>
      <c r="Y2039">
        <v>2.4867779999999999E-2</v>
      </c>
      <c r="Z2039">
        <v>-4.1067559999999998E-4</v>
      </c>
      <c r="AA2039">
        <v>0.99969070000000004</v>
      </c>
      <c r="AB2039">
        <v>37</v>
      </c>
      <c r="AC2039">
        <v>-34.3265999999999</v>
      </c>
      <c r="AD2039">
        <v>-1.1083437276818</v>
      </c>
      <c r="AE2039">
        <v>1.7266999999999899</v>
      </c>
      <c r="AF2039">
        <v>0.85870143599458404</v>
      </c>
      <c r="AG2039">
        <v>-1.1083437276818</v>
      </c>
      <c r="AH2039">
        <v>34.323557036742301</v>
      </c>
      <c r="AI2039">
        <v>91.848920160028797</v>
      </c>
      <c r="AJ2039">
        <v>88.566882001389203</v>
      </c>
      <c r="AK2039">
        <v>34.352181322725002</v>
      </c>
      <c r="AL2039">
        <v>89.140007318859801</v>
      </c>
      <c r="AM2039">
        <v>86.728549741240201</v>
      </c>
      <c r="AN2039">
        <v>0.99999998381578303</v>
      </c>
    </row>
    <row r="2040" spans="1:40" x14ac:dyDescent="0.25">
      <c r="A2040" t="str">
        <f>"20190312154837046"</f>
        <v>20190312154837046</v>
      </c>
      <c r="B2040" t="str">
        <f>"1552376917037483"</f>
        <v>1552376917037483</v>
      </c>
      <c r="C2040" t="s">
        <v>40</v>
      </c>
      <c r="D2040">
        <v>5.0024089999999903</v>
      </c>
      <c r="E2040">
        <v>0.51386089999999995</v>
      </c>
      <c r="F2040" t="s">
        <v>56</v>
      </c>
      <c r="G2040">
        <v>-439.93450000000001</v>
      </c>
      <c r="H2040">
        <v>2.3016839999999998</v>
      </c>
      <c r="I2040">
        <v>299.02210000000002</v>
      </c>
      <c r="J2040">
        <v>-289.42189999999999</v>
      </c>
      <c r="K2040">
        <v>1.1083430000000001</v>
      </c>
      <c r="L2040">
        <v>282.82560000000001</v>
      </c>
      <c r="M2040">
        <v>-0.99966350000000004</v>
      </c>
      <c r="N2040">
        <v>0</v>
      </c>
      <c r="O2040">
        <v>2.5428630000000001E-2</v>
      </c>
      <c r="P2040">
        <v>-0.99661069999999996</v>
      </c>
      <c r="Q2040">
        <v>1.0310690000000001E-2</v>
      </c>
      <c r="R2040">
        <v>8.1614690000000004E-2</v>
      </c>
      <c r="S2040">
        <v>-2.983673</v>
      </c>
      <c r="T2040">
        <v>2.3600579999999999E-2</v>
      </c>
      <c r="U2040">
        <v>0.32049559999999999</v>
      </c>
      <c r="V2040">
        <v>5.6255489999999998E-2</v>
      </c>
      <c r="W2040">
        <v>1.540392E-2</v>
      </c>
      <c r="X2040">
        <v>0.99829760000000001</v>
      </c>
      <c r="Y2040">
        <v>8.1482289999999999E-2</v>
      </c>
      <c r="Z2040">
        <v>-1.208531E-4</v>
      </c>
      <c r="AA2040">
        <v>0.99667479999999997</v>
      </c>
      <c r="AB2040">
        <v>37</v>
      </c>
      <c r="AC2040">
        <v>-150.51259999999999</v>
      </c>
      <c r="AD2040">
        <v>1.19334099999999</v>
      </c>
      <c r="AE2040">
        <v>16.1965</v>
      </c>
      <c r="AF2040">
        <v>12.363114806937601</v>
      </c>
      <c r="AG2040">
        <v>1.19334099999999</v>
      </c>
      <c r="AH2040">
        <v>150.86641409954299</v>
      </c>
      <c r="AI2040">
        <v>89.548318526276404</v>
      </c>
      <c r="AJ2040">
        <v>85.315226125046607</v>
      </c>
      <c r="AK2040">
        <v>151.37683301524899</v>
      </c>
      <c r="AL2040">
        <v>89.117385515194599</v>
      </c>
      <c r="AM2040">
        <v>86.774712374294594</v>
      </c>
      <c r="AN2040">
        <v>1.00000002953613</v>
      </c>
    </row>
    <row r="2041" spans="1:40" x14ac:dyDescent="0.25">
      <c r="A2041" t="str">
        <f>"20190312154837069"</f>
        <v>20190312154837069</v>
      </c>
      <c r="B2041" t="str">
        <f>"1552376917057979"</f>
        <v>1552376917057979</v>
      </c>
      <c r="C2041" t="s">
        <v>40</v>
      </c>
      <c r="D2041">
        <v>4.98177</v>
      </c>
      <c r="E2041">
        <v>0.51589790000000002</v>
      </c>
      <c r="F2041" t="s">
        <v>56</v>
      </c>
      <c r="G2041">
        <v>-439.93439999999998</v>
      </c>
      <c r="H2041">
        <v>1.8972180000000001</v>
      </c>
      <c r="I2041">
        <v>300.72230000000002</v>
      </c>
      <c r="J2041">
        <v>-289.8152</v>
      </c>
      <c r="K2041">
        <v>1.108339</v>
      </c>
      <c r="L2041">
        <v>282.83580000000001</v>
      </c>
      <c r="M2041">
        <v>-0.99965899999999996</v>
      </c>
      <c r="N2041">
        <v>0</v>
      </c>
      <c r="O2041">
        <v>2.562501E-2</v>
      </c>
      <c r="P2041">
        <v>-0.99661789999999995</v>
      </c>
      <c r="Q2041">
        <v>1.0563619999999999E-2</v>
      </c>
      <c r="R2041">
        <v>8.1494949999999997E-2</v>
      </c>
      <c r="S2041">
        <v>-2.9810490000000001</v>
      </c>
      <c r="T2041">
        <v>1.562464E-2</v>
      </c>
      <c r="U2041">
        <v>0.35446169999999999</v>
      </c>
      <c r="V2041">
        <v>5.593915E-2</v>
      </c>
      <c r="W2041">
        <v>1.5555060000000001E-2</v>
      </c>
      <c r="X2041">
        <v>0.99831300000000001</v>
      </c>
      <c r="Y2041">
        <v>9.2587520000000006E-2</v>
      </c>
      <c r="Z2041">
        <v>-1.080107E-4</v>
      </c>
      <c r="AA2041">
        <v>0.99570449999999999</v>
      </c>
      <c r="AB2041">
        <v>37</v>
      </c>
      <c r="AC2041">
        <v>-150.11919999999901</v>
      </c>
      <c r="AD2041">
        <v>0.788879</v>
      </c>
      <c r="AE2041">
        <v>17.886500000000002</v>
      </c>
      <c r="AF2041">
        <v>14.033389717365999</v>
      </c>
      <c r="AG2041">
        <v>0.788879</v>
      </c>
      <c r="AH2041">
        <v>150.524152396255</v>
      </c>
      <c r="AI2041">
        <v>89.7010189677234</v>
      </c>
      <c r="AJ2041">
        <v>84.673701933679993</v>
      </c>
      <c r="AK2041">
        <v>151.17896286073301</v>
      </c>
      <c r="AL2041">
        <v>89.108724764807604</v>
      </c>
      <c r="AM2041">
        <v>86.792860451055901</v>
      </c>
      <c r="AN2041">
        <v>0.99999999718166299</v>
      </c>
    </row>
    <row r="2042" spans="1:40" x14ac:dyDescent="0.25">
      <c r="A2042" t="str">
        <f>"20190312154837091"</f>
        <v>20190312154837091</v>
      </c>
      <c r="B2042" t="str">
        <f>"1552376917077499"</f>
        <v>1552376917077499</v>
      </c>
      <c r="C2042" t="s">
        <v>40</v>
      </c>
      <c r="D2042">
        <v>4.9874320000000001</v>
      </c>
      <c r="E2042">
        <v>0.51692009999999999</v>
      </c>
      <c r="F2042" t="s">
        <v>56</v>
      </c>
      <c r="G2042">
        <v>-440.1986</v>
      </c>
      <c r="H2042">
        <v>1.9451670000000001</v>
      </c>
      <c r="I2042">
        <v>301.52800000000002</v>
      </c>
      <c r="J2042">
        <v>-290.17790000000002</v>
      </c>
      <c r="K2042">
        <v>1.1083350000000001</v>
      </c>
      <c r="L2042">
        <v>282.84519999999998</v>
      </c>
      <c r="M2042">
        <v>-0.99965490000000001</v>
      </c>
      <c r="N2042">
        <v>0</v>
      </c>
      <c r="O2042">
        <v>2.5802060000000002E-2</v>
      </c>
      <c r="P2042">
        <v>-0.99662629999999996</v>
      </c>
      <c r="Q2042">
        <v>1.074982E-2</v>
      </c>
      <c r="R2042">
        <v>8.1369479999999994E-2</v>
      </c>
      <c r="S2042">
        <v>-2.9796450000000001</v>
      </c>
      <c r="T2042">
        <v>1.658082E-2</v>
      </c>
      <c r="U2042">
        <v>0.3703613</v>
      </c>
      <c r="V2042">
        <v>5.5636369999999997E-2</v>
      </c>
      <c r="W2042">
        <v>1.565327E-2</v>
      </c>
      <c r="X2042">
        <v>0.9983284</v>
      </c>
      <c r="Y2042">
        <v>9.7700460000000003E-2</v>
      </c>
      <c r="Z2042">
        <v>-1.278307E-4</v>
      </c>
      <c r="AA2042">
        <v>0.99521579999999998</v>
      </c>
      <c r="AB2042">
        <v>37</v>
      </c>
      <c r="AC2042">
        <v>-150.02069999999901</v>
      </c>
      <c r="AD2042">
        <v>0.83683199999999902</v>
      </c>
      <c r="AE2042">
        <v>18.6828</v>
      </c>
      <c r="AF2042">
        <v>14.8052359752991</v>
      </c>
      <c r="AG2042">
        <v>0.83683199999999902</v>
      </c>
      <c r="AH2042">
        <v>150.44820344830001</v>
      </c>
      <c r="AI2042">
        <v>89.682841231071293</v>
      </c>
      <c r="AJ2042">
        <v>84.379759504160305</v>
      </c>
      <c r="AK2042">
        <v>151.17723777375201</v>
      </c>
      <c r="AL2042">
        <v>89.103097074736397</v>
      </c>
      <c r="AM2042">
        <v>86.810232789394405</v>
      </c>
      <c r="AN2042">
        <v>1.0000000123875099</v>
      </c>
    </row>
    <row r="2043" spans="1:40" x14ac:dyDescent="0.25">
      <c r="A2043" t="str">
        <f>"20190312154837112"</f>
        <v>20190312154837112</v>
      </c>
      <c r="B2043" t="str">
        <f>"1552376917097995"</f>
        <v>1552376917097995</v>
      </c>
      <c r="C2043" t="s">
        <v>40</v>
      </c>
      <c r="D2043">
        <v>4.9712500000000004</v>
      </c>
      <c r="E2043">
        <v>0.51742790000000005</v>
      </c>
      <c r="F2043" t="s">
        <v>56</v>
      </c>
      <c r="G2043">
        <v>-440.1986</v>
      </c>
      <c r="H2043">
        <v>1.992343</v>
      </c>
      <c r="I2043">
        <v>301.88569999999999</v>
      </c>
      <c r="J2043">
        <v>-290.54629999999997</v>
      </c>
      <c r="K2043">
        <v>1.108325</v>
      </c>
      <c r="L2043">
        <v>282.85489999999999</v>
      </c>
      <c r="M2043">
        <v>-0.9996507</v>
      </c>
      <c r="N2043">
        <v>0</v>
      </c>
      <c r="O2043">
        <v>2.5980240000000002E-2</v>
      </c>
      <c r="P2043">
        <v>-0.99662980000000001</v>
      </c>
      <c r="Q2043">
        <v>1.061749E-2</v>
      </c>
      <c r="R2043">
        <v>8.1341070000000001E-2</v>
      </c>
      <c r="S2043">
        <v>-2.9791560000000001</v>
      </c>
      <c r="T2043">
        <v>1.755512E-2</v>
      </c>
      <c r="U2043">
        <v>0.37811280000000003</v>
      </c>
      <c r="V2043">
        <v>5.5429529999999998E-2</v>
      </c>
      <c r="W2043">
        <v>1.5435859999999999E-2</v>
      </c>
      <c r="X2043">
        <v>0.99834330000000004</v>
      </c>
      <c r="Y2043">
        <v>0.10009179999999999</v>
      </c>
      <c r="Z2043">
        <v>-1.4131629999999999E-4</v>
      </c>
      <c r="AA2043">
        <v>0.99497820000000003</v>
      </c>
      <c r="AB2043">
        <v>37</v>
      </c>
      <c r="AC2043">
        <v>-149.6523</v>
      </c>
      <c r="AD2043">
        <v>0.88401799999999997</v>
      </c>
      <c r="AE2043">
        <v>19.030799999999999</v>
      </c>
      <c r="AF2043">
        <v>15.1358080131559</v>
      </c>
      <c r="AG2043">
        <v>0.88401799999999997</v>
      </c>
      <c r="AH2043">
        <v>150.09106124141101</v>
      </c>
      <c r="AI2043">
        <v>89.664241663153106</v>
      </c>
      <c r="AJ2043">
        <v>84.241522564836899</v>
      </c>
      <c r="AK2043">
        <v>150.85489994232401</v>
      </c>
      <c r="AL2043">
        <v>89.115555263437997</v>
      </c>
      <c r="AM2043">
        <v>86.822114406181797</v>
      </c>
      <c r="AN2043">
        <v>1.0000000216124201</v>
      </c>
    </row>
    <row r="2044" spans="1:40" x14ac:dyDescent="0.25">
      <c r="A2044" t="str">
        <f>"20190312154837124"</f>
        <v>20190312154837124</v>
      </c>
      <c r="B2044" t="str">
        <f>"1552376917117515"</f>
        <v>1552376917117515</v>
      </c>
      <c r="C2044" t="s">
        <v>40</v>
      </c>
      <c r="D2044">
        <v>4.9929589999999999</v>
      </c>
      <c r="E2044">
        <v>0.51777419999999996</v>
      </c>
      <c r="F2044" t="s">
        <v>56</v>
      </c>
      <c r="G2044">
        <v>-440.1986</v>
      </c>
      <c r="H2044">
        <v>1.911869</v>
      </c>
      <c r="I2044">
        <v>302.04419999999999</v>
      </c>
      <c r="J2044">
        <v>-290.74799999999999</v>
      </c>
      <c r="K2044">
        <v>1.108317</v>
      </c>
      <c r="L2044">
        <v>282.86020000000002</v>
      </c>
      <c r="M2044">
        <v>-0.99964839999999999</v>
      </c>
      <c r="N2044">
        <v>0</v>
      </c>
      <c r="O2044">
        <v>2.6077300000000001E-2</v>
      </c>
      <c r="P2044">
        <v>-0.99664589999999997</v>
      </c>
      <c r="Q2044">
        <v>1.0624140000000001E-2</v>
      </c>
      <c r="R2044">
        <v>8.1144049999999995E-2</v>
      </c>
      <c r="S2044">
        <v>-2.97879</v>
      </c>
      <c r="T2044">
        <v>1.599455E-2</v>
      </c>
      <c r="U2044">
        <v>0.38195800000000002</v>
      </c>
      <c r="V2044">
        <v>5.5134870000000002E-2</v>
      </c>
      <c r="W2044">
        <v>1.539629E-2</v>
      </c>
      <c r="X2044">
        <v>0.99836020000000003</v>
      </c>
      <c r="Y2044">
        <v>0.1012744</v>
      </c>
      <c r="Z2044">
        <v>-1.314036E-4</v>
      </c>
      <c r="AA2044">
        <v>0.99485849999999998</v>
      </c>
      <c r="AB2044">
        <v>38</v>
      </c>
      <c r="AC2044">
        <v>-149.45060000000001</v>
      </c>
      <c r="AD2044">
        <v>0.80355199999999904</v>
      </c>
      <c r="AE2044">
        <v>19.183999999999902</v>
      </c>
      <c r="AF2044">
        <v>15.279728324343999</v>
      </c>
      <c r="AG2044">
        <v>0.80355199999999904</v>
      </c>
      <c r="AH2044">
        <v>149.89578467105099</v>
      </c>
      <c r="AI2044">
        <v>89.694438683667798</v>
      </c>
      <c r="AJ2044">
        <v>84.179619982461304</v>
      </c>
      <c r="AK2044">
        <v>150.67468949904099</v>
      </c>
      <c r="AL2044">
        <v>89.117822702732596</v>
      </c>
      <c r="AM2044">
        <v>86.839026902550003</v>
      </c>
      <c r="AN2044">
        <v>0.99999999428985997</v>
      </c>
    </row>
    <row r="2045" spans="1:40" x14ac:dyDescent="0.25">
      <c r="A2045" t="str">
        <f>"20190312154837138"</f>
        <v>20190312154837138</v>
      </c>
      <c r="B2045" t="str">
        <f>"1552376917128251"</f>
        <v>1552376917128251</v>
      </c>
      <c r="C2045" t="s">
        <v>40</v>
      </c>
      <c r="D2045">
        <v>4.9231379999999998</v>
      </c>
      <c r="E2045">
        <v>0.51785939999999997</v>
      </c>
      <c r="F2045" t="s">
        <v>56</v>
      </c>
      <c r="G2045">
        <v>-440.58409999999998</v>
      </c>
      <c r="H2045">
        <v>1.863464</v>
      </c>
      <c r="I2045">
        <v>302.17700000000002</v>
      </c>
      <c r="J2045">
        <v>-290.96850000000001</v>
      </c>
      <c r="K2045">
        <v>1.108309</v>
      </c>
      <c r="L2045">
        <v>282.86599999999999</v>
      </c>
      <c r="M2045">
        <v>-0.99964589999999998</v>
      </c>
      <c r="N2045">
        <v>0</v>
      </c>
      <c r="O2045">
        <v>2.618241E-2</v>
      </c>
      <c r="P2045">
        <v>-0.99663349999999995</v>
      </c>
      <c r="Q2045">
        <v>1.056114E-2</v>
      </c>
      <c r="R2045">
        <v>8.1302449999999998E-2</v>
      </c>
      <c r="S2045">
        <v>-2.9786380000000001</v>
      </c>
      <c r="T2045">
        <v>1.5012030000000001E-2</v>
      </c>
      <c r="U2045">
        <v>0.38400269999999997</v>
      </c>
      <c r="V2045">
        <v>5.5188199999999903E-2</v>
      </c>
      <c r="W2045">
        <v>1.528234E-2</v>
      </c>
      <c r="X2045">
        <v>0.998359</v>
      </c>
      <c r="Y2045">
        <v>0.1018482</v>
      </c>
      <c r="Z2045">
        <v>-1.2424579999999999E-4</v>
      </c>
      <c r="AA2045">
        <v>0.99480000000000002</v>
      </c>
      <c r="AB2045">
        <v>38</v>
      </c>
      <c r="AC2045">
        <v>-149.61559999999901</v>
      </c>
      <c r="AD2045">
        <v>0.75515500000000002</v>
      </c>
      <c r="AE2045">
        <v>19.311</v>
      </c>
      <c r="AF2045">
        <v>15.3866529737051</v>
      </c>
      <c r="AG2045">
        <v>0.75515500000000002</v>
      </c>
      <c r="AH2045">
        <v>150.066161806536</v>
      </c>
      <c r="AI2045">
        <v>89.713185304181707</v>
      </c>
      <c r="AJ2045">
        <v>84.145780441702996</v>
      </c>
      <c r="AK2045">
        <v>150.854805253769</v>
      </c>
      <c r="AL2045">
        <v>89.124352321424496</v>
      </c>
      <c r="AM2045">
        <v>86.835971819477095</v>
      </c>
      <c r="AN2045">
        <v>0.99999999010805696</v>
      </c>
    </row>
    <row r="2046" spans="1:40" x14ac:dyDescent="0.25">
      <c r="A2046" t="str">
        <f>"20190312154837149"</f>
        <v>20190312154837149</v>
      </c>
      <c r="B2046" t="str">
        <f>"1552376917138011"</f>
        <v>1552376917138011</v>
      </c>
      <c r="C2046" t="s">
        <v>40</v>
      </c>
      <c r="D2046">
        <v>4.963381</v>
      </c>
      <c r="E2046">
        <v>0.51797179999999998</v>
      </c>
      <c r="F2046" t="s">
        <v>56</v>
      </c>
      <c r="G2046">
        <v>-440.87169999999998</v>
      </c>
      <c r="H2046">
        <v>1.8609929999999999</v>
      </c>
      <c r="I2046">
        <v>302.25970000000001</v>
      </c>
      <c r="J2046">
        <v>-291.17809999999997</v>
      </c>
      <c r="K2046">
        <v>1.1082989999999999</v>
      </c>
      <c r="L2046">
        <v>282.8716</v>
      </c>
      <c r="M2046">
        <v>-0.99964359999999997</v>
      </c>
      <c r="N2046">
        <v>0</v>
      </c>
      <c r="O2046">
        <v>2.628198E-2</v>
      </c>
      <c r="P2046">
        <v>-0.99662360000000005</v>
      </c>
      <c r="Q2046">
        <v>1.0614180000000001E-2</v>
      </c>
      <c r="R2046">
        <v>8.1418550000000006E-2</v>
      </c>
      <c r="S2046">
        <v>-2.9785159999999999</v>
      </c>
      <c r="T2046">
        <v>1.495576E-2</v>
      </c>
      <c r="U2046">
        <v>0.38534550000000001</v>
      </c>
      <c r="V2046">
        <v>5.5205099999999903E-2</v>
      </c>
      <c r="W2046">
        <v>1.528472E-2</v>
      </c>
      <c r="X2046">
        <v>0.99835799999999997</v>
      </c>
      <c r="Y2046">
        <v>0.10219540000000001</v>
      </c>
      <c r="Z2046">
        <v>-1.2415249999999999E-4</v>
      </c>
      <c r="AA2046">
        <v>0.99476430000000005</v>
      </c>
      <c r="AB2046">
        <v>38</v>
      </c>
      <c r="AC2046">
        <v>-149.6936</v>
      </c>
      <c r="AD2046">
        <v>0.75269399999999997</v>
      </c>
      <c r="AE2046">
        <v>19.388100000000001</v>
      </c>
      <c r="AF2046">
        <v>15.4467311642012</v>
      </c>
      <c r="AG2046">
        <v>0.75269399999999997</v>
      </c>
      <c r="AH2046">
        <v>150.14771974511399</v>
      </c>
      <c r="AI2046">
        <v>89.714285283386204</v>
      </c>
      <c r="AJ2046">
        <v>84.126251867524701</v>
      </c>
      <c r="AK2046">
        <v>150.94206105845399</v>
      </c>
      <c r="AL2046">
        <v>89.124215915998604</v>
      </c>
      <c r="AM2046">
        <v>86.835001721081298</v>
      </c>
      <c r="AN2046">
        <v>0.99999996094774302</v>
      </c>
    </row>
    <row r="2047" spans="1:40" x14ac:dyDescent="0.25">
      <c r="A2047" t="str">
        <f>"20190312154837167"</f>
        <v>20190312154837167</v>
      </c>
      <c r="B2047" t="str">
        <f>"1552376917157544"</f>
        <v>1552376917157544</v>
      </c>
      <c r="C2047" t="s">
        <v>40</v>
      </c>
      <c r="D2047">
        <v>4.9119960000000003</v>
      </c>
      <c r="E2047">
        <v>0.5181133</v>
      </c>
      <c r="F2047" t="s">
        <v>56</v>
      </c>
      <c r="G2047">
        <v>-440.87169999999998</v>
      </c>
      <c r="H2047">
        <v>1.8466629999999999</v>
      </c>
      <c r="I2047">
        <v>302.30040000000002</v>
      </c>
      <c r="J2047">
        <v>-291.47309999999999</v>
      </c>
      <c r="K2047">
        <v>1.108285</v>
      </c>
      <c r="L2047">
        <v>282.87950000000001</v>
      </c>
      <c r="M2047">
        <v>-0.99964019999999998</v>
      </c>
      <c r="N2047">
        <v>0</v>
      </c>
      <c r="O2047">
        <v>2.6421650000000001E-2</v>
      </c>
      <c r="P2047">
        <v>-0.99665859999999995</v>
      </c>
      <c r="Q2047">
        <v>1.032405E-2</v>
      </c>
      <c r="R2047">
        <v>8.1026399999999901E-2</v>
      </c>
      <c r="S2047">
        <v>-2.9783940000000002</v>
      </c>
      <c r="T2047">
        <v>1.469111E-2</v>
      </c>
      <c r="U2047">
        <v>0.38656620000000003</v>
      </c>
      <c r="V2047">
        <v>5.4672419999999999E-2</v>
      </c>
      <c r="W2047">
        <v>1.492189E-2</v>
      </c>
      <c r="X2047">
        <v>0.99839279999999997</v>
      </c>
      <c r="Y2047">
        <v>0.1024626</v>
      </c>
      <c r="Z2047">
        <v>-1.219287E-4</v>
      </c>
      <c r="AA2047">
        <v>0.99473690000000003</v>
      </c>
      <c r="AB2047">
        <v>38</v>
      </c>
      <c r="AC2047">
        <v>-149.39859999999999</v>
      </c>
      <c r="AD2047">
        <v>0.73837799999999998</v>
      </c>
      <c r="AE2047">
        <v>19.4209</v>
      </c>
      <c r="AF2047">
        <v>15.466348566170399</v>
      </c>
      <c r="AG2047">
        <v>0.73837799999999998</v>
      </c>
      <c r="AH2047">
        <v>149.855979980597</v>
      </c>
      <c r="AI2047">
        <v>89.719183239529698</v>
      </c>
      <c r="AJ2047">
        <v>84.107475486966507</v>
      </c>
      <c r="AK2047">
        <v>150.65380139905599</v>
      </c>
      <c r="AL2047">
        <v>89.145006914990205</v>
      </c>
      <c r="AM2047">
        <v>86.865588977763693</v>
      </c>
      <c r="AN2047">
        <v>0.999999959700833</v>
      </c>
    </row>
    <row r="2048" spans="1:40" x14ac:dyDescent="0.25">
      <c r="A2048" t="str">
        <f>"20190312154837179"</f>
        <v>20190312154837179</v>
      </c>
      <c r="B2048" t="str">
        <f>"1552376917168267"</f>
        <v>1552376917168267</v>
      </c>
      <c r="C2048" t="s">
        <v>40</v>
      </c>
      <c r="D2048">
        <v>4.9227939999999997</v>
      </c>
      <c r="E2048">
        <v>0.518208</v>
      </c>
      <c r="F2048" t="s">
        <v>56</v>
      </c>
      <c r="G2048">
        <v>-440.87169999999998</v>
      </c>
      <c r="H2048">
        <v>1.7573799999999999</v>
      </c>
      <c r="I2048">
        <v>302.26010000000002</v>
      </c>
      <c r="J2048">
        <v>-291.67320000000001</v>
      </c>
      <c r="K2048">
        <v>1.108276</v>
      </c>
      <c r="L2048">
        <v>282.88479999999998</v>
      </c>
      <c r="M2048">
        <v>-0.99963800000000003</v>
      </c>
      <c r="N2048">
        <v>0</v>
      </c>
      <c r="O2048">
        <v>2.6515739999999999E-2</v>
      </c>
      <c r="P2048">
        <v>-0.99665239999999999</v>
      </c>
      <c r="Q2048">
        <v>1.022898E-2</v>
      </c>
      <c r="R2048">
        <v>8.1114130000000007E-2</v>
      </c>
      <c r="S2048">
        <v>-2.978485</v>
      </c>
      <c r="T2048">
        <v>1.294088E-2</v>
      </c>
      <c r="U2048">
        <v>0.38638309999999998</v>
      </c>
      <c r="V2048">
        <v>5.4665980000000003E-2</v>
      </c>
      <c r="W2048">
        <v>1.477409E-2</v>
      </c>
      <c r="X2048">
        <v>0.99839540000000004</v>
      </c>
      <c r="Y2048">
        <v>0.1023051</v>
      </c>
      <c r="Z2048">
        <v>-1.066526E-4</v>
      </c>
      <c r="AA2048">
        <v>0.99475309999999995</v>
      </c>
      <c r="AB2048">
        <v>38</v>
      </c>
      <c r="AC2048">
        <v>-149.198499999999</v>
      </c>
      <c r="AD2048">
        <v>0.64910399999999902</v>
      </c>
      <c r="AE2048">
        <v>19.375299999999999</v>
      </c>
      <c r="AF2048">
        <v>15.4120507987171</v>
      </c>
      <c r="AG2048">
        <v>0.64910399999999902</v>
      </c>
      <c r="AH2048">
        <v>149.65701017339401</v>
      </c>
      <c r="AI2048">
        <v>89.752801203044399</v>
      </c>
      <c r="AJ2048">
        <v>84.120265419088099</v>
      </c>
      <c r="AK2048">
        <v>150.44990309024601</v>
      </c>
      <c r="AL2048">
        <v>89.153476206850797</v>
      </c>
      <c r="AM2048">
        <v>86.865965597092995</v>
      </c>
      <c r="AN2048">
        <v>1.00000000892292</v>
      </c>
    </row>
    <row r="2049" spans="1:40" x14ac:dyDescent="0.25">
      <c r="A2049" t="str">
        <f>"20190312154837201"</f>
        <v>20190312154837201</v>
      </c>
      <c r="B2049" t="str">
        <f>"1552376917187786"</f>
        <v>1552376917187786</v>
      </c>
      <c r="C2049" t="s">
        <v>40</v>
      </c>
      <c r="D2049">
        <v>4.9044309999999998</v>
      </c>
      <c r="E2049">
        <v>0.51844939999999995</v>
      </c>
      <c r="F2049" t="s">
        <v>56</v>
      </c>
      <c r="G2049">
        <v>-440.8716</v>
      </c>
      <c r="H2049">
        <v>1.703193</v>
      </c>
      <c r="I2049">
        <v>302.29340000000002</v>
      </c>
      <c r="J2049">
        <v>-292.04880000000003</v>
      </c>
      <c r="K2049">
        <v>1.1082529999999999</v>
      </c>
      <c r="L2049">
        <v>282.89490000000001</v>
      </c>
      <c r="M2049">
        <v>-0.99963369999999996</v>
      </c>
      <c r="N2049">
        <v>0</v>
      </c>
      <c r="O2049">
        <v>2.6691579999999999E-2</v>
      </c>
      <c r="P2049">
        <v>-0.99666739999999998</v>
      </c>
      <c r="Q2049">
        <v>9.9807750000000008E-3</v>
      </c>
      <c r="R2049">
        <v>8.0961179999999994E-2</v>
      </c>
      <c r="S2049">
        <v>-2.978424</v>
      </c>
      <c r="T2049">
        <v>1.187646E-2</v>
      </c>
      <c r="U2049">
        <v>0.3874512</v>
      </c>
      <c r="V2049">
        <v>5.4336750000000003E-2</v>
      </c>
      <c r="W2049">
        <v>1.4428420000000001E-2</v>
      </c>
      <c r="X2049">
        <v>0.99841840000000004</v>
      </c>
      <c r="Y2049">
        <v>0.1024837</v>
      </c>
      <c r="Z2049" s="1">
        <v>-9.7537270000000003E-5</v>
      </c>
      <c r="AA2049">
        <v>0.99473469999999997</v>
      </c>
      <c r="AB2049">
        <v>38</v>
      </c>
      <c r="AC2049">
        <v>-148.82279999999901</v>
      </c>
      <c r="AD2049">
        <v>0.59493999999999903</v>
      </c>
      <c r="AE2049">
        <v>19.398499999999999</v>
      </c>
      <c r="AF2049">
        <v>15.418990750015</v>
      </c>
      <c r="AG2049">
        <v>0.59493999999999903</v>
      </c>
      <c r="AH2049">
        <v>149.28521171174199</v>
      </c>
      <c r="AI2049">
        <v>89.77287104362</v>
      </c>
      <c r="AJ2049">
        <v>84.103089312255904</v>
      </c>
      <c r="AK2049">
        <v>150.080557252337</v>
      </c>
      <c r="AL2049">
        <v>89.173283727835297</v>
      </c>
      <c r="AM2049">
        <v>86.884874889700995</v>
      </c>
      <c r="AN2049">
        <v>0.99999998158140901</v>
      </c>
    </row>
    <row r="2050" spans="1:40" x14ac:dyDescent="0.25">
      <c r="A2050" t="str">
        <f>"20190312154837213"</f>
        <v>20190312154837213</v>
      </c>
      <c r="B2050" t="str">
        <f>"1552376917197548"</f>
        <v>1552376917197548</v>
      </c>
      <c r="C2050" t="s">
        <v>40</v>
      </c>
      <c r="D2050">
        <v>4.8361150000000004</v>
      </c>
      <c r="E2050">
        <v>0.5185419</v>
      </c>
      <c r="F2050" t="s">
        <v>56</v>
      </c>
      <c r="G2050">
        <v>-440.8716</v>
      </c>
      <c r="H2050">
        <v>1.6763939999999999</v>
      </c>
      <c r="I2050">
        <v>302.3254</v>
      </c>
      <c r="J2050">
        <v>-292.25400000000002</v>
      </c>
      <c r="K2050">
        <v>1.1082430000000001</v>
      </c>
      <c r="L2050">
        <v>282.90050000000002</v>
      </c>
      <c r="M2050">
        <v>-0.9996313</v>
      </c>
      <c r="N2050">
        <v>0</v>
      </c>
      <c r="O2050">
        <v>2.6787109999999999E-2</v>
      </c>
      <c r="P2050">
        <v>-0.99669149999999995</v>
      </c>
      <c r="Q2050">
        <v>9.9577639999999992E-3</v>
      </c>
      <c r="R2050">
        <v>8.0664699999999895E-2</v>
      </c>
      <c r="S2050">
        <v>-2.9783330000000001</v>
      </c>
      <c r="T2050">
        <v>1.1370180000000001E-2</v>
      </c>
      <c r="U2050">
        <v>0.38885500000000001</v>
      </c>
      <c r="V2050">
        <v>5.3944119999999998E-2</v>
      </c>
      <c r="W2050">
        <v>1.435499E-2</v>
      </c>
      <c r="X2050">
        <v>0.99844069999999996</v>
      </c>
      <c r="Y2050">
        <v>0.1028536</v>
      </c>
      <c r="Z2050" s="1">
        <v>-9.3719960000000001E-5</v>
      </c>
      <c r="AA2050">
        <v>0.99469649999999998</v>
      </c>
      <c r="AB2050">
        <v>38</v>
      </c>
      <c r="AC2050">
        <v>-148.61759999999899</v>
      </c>
      <c r="AD2050">
        <v>0.56815099999999896</v>
      </c>
      <c r="AE2050">
        <v>19.424899999999901</v>
      </c>
      <c r="AF2050">
        <v>15.436632397250699</v>
      </c>
      <c r="AG2050">
        <v>0.56815099999999896</v>
      </c>
      <c r="AH2050">
        <v>149.082469032408</v>
      </c>
      <c r="AI2050">
        <v>89.782808903510798</v>
      </c>
      <c r="AJ2050">
        <v>84.088418268247494</v>
      </c>
      <c r="AK2050">
        <v>149.88060244116201</v>
      </c>
      <c r="AL2050">
        <v>89.177491352499004</v>
      </c>
      <c r="AM2050">
        <v>86.907409447641896</v>
      </c>
      <c r="AN2050">
        <v>0.99999993261847997</v>
      </c>
    </row>
    <row r="2051" spans="1:40" x14ac:dyDescent="0.25">
      <c r="A2051" t="str">
        <f>"20190312154837224"</f>
        <v>20190312154837224</v>
      </c>
      <c r="B2051" t="str">
        <f>"1552376917218043"</f>
        <v>1552376917218043</v>
      </c>
      <c r="C2051" t="s">
        <v>40</v>
      </c>
      <c r="D2051">
        <v>4.7537000000000003</v>
      </c>
      <c r="E2051">
        <v>0.51893929999999999</v>
      </c>
      <c r="F2051" t="s">
        <v>56</v>
      </c>
      <c r="G2051">
        <v>-440.8716</v>
      </c>
      <c r="H2051">
        <v>1.703713</v>
      </c>
      <c r="I2051">
        <v>302.30250000000001</v>
      </c>
      <c r="J2051">
        <v>-292.46050000000002</v>
      </c>
      <c r="K2051">
        <v>1.1082369999999999</v>
      </c>
      <c r="L2051">
        <v>282.90600000000001</v>
      </c>
      <c r="M2051">
        <v>-0.99962899999999999</v>
      </c>
      <c r="N2051">
        <v>0</v>
      </c>
      <c r="O2051">
        <v>2.6882860000000001E-2</v>
      </c>
      <c r="P2051">
        <v>-0.99669350000000001</v>
      </c>
      <c r="Q2051">
        <v>1.0023799999999999E-2</v>
      </c>
      <c r="R2051">
        <v>8.0633949999999996E-2</v>
      </c>
      <c r="S2051">
        <v>-2.9783629999999999</v>
      </c>
      <c r="T2051">
        <v>1.193368E-2</v>
      </c>
      <c r="U2051">
        <v>0.38882450000000002</v>
      </c>
      <c r="V2051">
        <v>5.3817799999999999E-2</v>
      </c>
      <c r="W2051">
        <v>1.437073E-2</v>
      </c>
      <c r="X2051">
        <v>0.99844739999999998</v>
      </c>
      <c r="Y2051">
        <v>0.102747</v>
      </c>
      <c r="Z2051" s="1">
        <v>-9.776931E-5</v>
      </c>
      <c r="AA2051">
        <v>0.99470749999999997</v>
      </c>
      <c r="AB2051">
        <v>38</v>
      </c>
      <c r="AC2051">
        <v>-148.41109999999901</v>
      </c>
      <c r="AD2051">
        <v>0.59547599999999901</v>
      </c>
      <c r="AE2051">
        <v>19.3965</v>
      </c>
      <c r="AF2051">
        <v>15.3994929631329</v>
      </c>
      <c r="AG2051">
        <v>0.59547599999999901</v>
      </c>
      <c r="AH2051">
        <v>148.876543704651</v>
      </c>
      <c r="AI2051">
        <v>89.772045947631497</v>
      </c>
      <c r="AJ2051">
        <v>84.094441022138696</v>
      </c>
      <c r="AK2051">
        <v>149.67205564376701</v>
      </c>
      <c r="AL2051">
        <v>89.176589513924</v>
      </c>
      <c r="AM2051">
        <v>86.9146579685912</v>
      </c>
      <c r="AN2051">
        <v>1.00000004202216</v>
      </c>
    </row>
    <row r="2052" spans="1:40" x14ac:dyDescent="0.25">
      <c r="A2052" t="str">
        <f>"20190312154837237"</f>
        <v>20190312154837237</v>
      </c>
      <c r="B2052" t="str">
        <f>"1552376917227803"</f>
        <v>1552376917227803</v>
      </c>
      <c r="C2052" t="s">
        <v>40</v>
      </c>
      <c r="D2052">
        <v>4.7192910000000001</v>
      </c>
      <c r="E2052">
        <v>0.51893929999999999</v>
      </c>
      <c r="F2052" t="s">
        <v>56</v>
      </c>
      <c r="G2052">
        <v>-440.87169999999998</v>
      </c>
      <c r="H2052">
        <v>1.8306530000000001</v>
      </c>
      <c r="I2052">
        <v>302.44099999999997</v>
      </c>
      <c r="J2052">
        <v>-292.6696</v>
      </c>
      <c r="K2052">
        <v>1.1082270000000001</v>
      </c>
      <c r="L2052">
        <v>282.9117</v>
      </c>
      <c r="M2052">
        <v>-0.99962660000000003</v>
      </c>
      <c r="N2052">
        <v>0</v>
      </c>
      <c r="O2052">
        <v>2.697921E-2</v>
      </c>
      <c r="P2052">
        <v>-0.996695</v>
      </c>
      <c r="Q2052">
        <v>1.008039E-2</v>
      </c>
      <c r="R2052">
        <v>8.0608460000000007E-2</v>
      </c>
      <c r="S2052">
        <v>-2.9780880000000001</v>
      </c>
      <c r="T2052">
        <v>1.449656E-2</v>
      </c>
      <c r="U2052">
        <v>0.39199830000000002</v>
      </c>
      <c r="V2052">
        <v>5.3696140000000003E-2</v>
      </c>
      <c r="W2052">
        <v>1.438121E-2</v>
      </c>
      <c r="X2052">
        <v>0.9984537</v>
      </c>
      <c r="Y2052">
        <v>0.1037047</v>
      </c>
      <c r="Z2052">
        <v>-1.206237E-4</v>
      </c>
      <c r="AA2052">
        <v>0.99460809999999999</v>
      </c>
      <c r="AB2052">
        <v>38</v>
      </c>
      <c r="AC2052">
        <v>-148.20209999999901</v>
      </c>
      <c r="AD2052">
        <v>0.72242599999999901</v>
      </c>
      <c r="AE2052">
        <v>19.5292999999999</v>
      </c>
      <c r="AF2052">
        <v>15.523415404393701</v>
      </c>
      <c r="AG2052">
        <v>0.72242599999999901</v>
      </c>
      <c r="AH2052">
        <v>148.67157029842301</v>
      </c>
      <c r="AI2052">
        <v>89.723095448112204</v>
      </c>
      <c r="AJ2052">
        <v>84.039109852645197</v>
      </c>
      <c r="AK2052">
        <v>149.481551169841</v>
      </c>
      <c r="AL2052">
        <v>89.175988910395901</v>
      </c>
      <c r="AM2052">
        <v>86.921638619626705</v>
      </c>
      <c r="AN2052">
        <v>0.99999994284782501</v>
      </c>
    </row>
    <row r="2053" spans="1:40" x14ac:dyDescent="0.25">
      <c r="A2053" t="str">
        <f>"20190312154837250"</f>
        <v>20190312154837250</v>
      </c>
      <c r="B2053" t="str">
        <f>"1552376917237563"</f>
        <v>1552376917237563</v>
      </c>
      <c r="C2053" t="s">
        <v>40</v>
      </c>
      <c r="D2053">
        <v>4.7150439999999998</v>
      </c>
      <c r="E2053">
        <v>0.51669409999999905</v>
      </c>
      <c r="F2053" t="s">
        <v>56</v>
      </c>
      <c r="G2053">
        <v>-440.87169999999998</v>
      </c>
      <c r="H2053">
        <v>1.8386009999999999</v>
      </c>
      <c r="I2053">
        <v>302.40839999999997</v>
      </c>
      <c r="J2053">
        <v>-292.88600000000002</v>
      </c>
      <c r="K2053">
        <v>1.1082179999999999</v>
      </c>
      <c r="L2053">
        <v>282.91759999999999</v>
      </c>
      <c r="M2053">
        <v>-0.99962430000000002</v>
      </c>
      <c r="N2053">
        <v>0</v>
      </c>
      <c r="O2053">
        <v>2.7078899999999999E-2</v>
      </c>
      <c r="P2053">
        <v>-0.99670259999999999</v>
      </c>
      <c r="Q2053">
        <v>9.9027239999999999E-3</v>
      </c>
      <c r="R2053">
        <v>8.0537860000000003E-2</v>
      </c>
      <c r="S2053">
        <v>-2.978119</v>
      </c>
      <c r="T2053">
        <v>1.4677050000000001E-2</v>
      </c>
      <c r="U2053">
        <v>0.39178469999999999</v>
      </c>
      <c r="V2053">
        <v>5.3525509999999998E-2</v>
      </c>
      <c r="W2053">
        <v>1.415808E-2</v>
      </c>
      <c r="X2053">
        <v>0.99846610000000002</v>
      </c>
      <c r="Y2053">
        <v>0.1035341</v>
      </c>
      <c r="Z2053">
        <v>-1.212175E-4</v>
      </c>
      <c r="AA2053">
        <v>0.99462589999999995</v>
      </c>
      <c r="AB2053">
        <v>38</v>
      </c>
      <c r="AC2053">
        <v>-147.98570000000001</v>
      </c>
      <c r="AD2053">
        <v>0.730383</v>
      </c>
      <c r="AE2053">
        <v>19.490799999999901</v>
      </c>
      <c r="AF2053">
        <v>15.4759560076161</v>
      </c>
      <c r="AG2053">
        <v>0.730383</v>
      </c>
      <c r="AH2053">
        <v>148.45567215315401</v>
      </c>
      <c r="AI2053">
        <v>89.719633607142995</v>
      </c>
      <c r="AJ2053">
        <v>84.048622743835196</v>
      </c>
      <c r="AK2053">
        <v>149.26193509438701</v>
      </c>
      <c r="AL2053">
        <v>89.188774660230607</v>
      </c>
      <c r="AM2053">
        <v>86.931440027238295</v>
      </c>
      <c r="AN2053">
        <v>0.99999999214962798</v>
      </c>
    </row>
    <row r="2054" spans="1:40" x14ac:dyDescent="0.25">
      <c r="A2054" t="str">
        <f>"20190312154837269"</f>
        <v>20190312154837269</v>
      </c>
      <c r="B2054" t="str">
        <f>"1552376917258058"</f>
        <v>1552376917258058</v>
      </c>
      <c r="C2054" t="s">
        <v>40</v>
      </c>
      <c r="D2054">
        <v>4.7299939999999996</v>
      </c>
      <c r="E2054">
        <v>0.51679390000000003</v>
      </c>
      <c r="F2054" t="s">
        <v>51</v>
      </c>
      <c r="G2054">
        <v>-314.88</v>
      </c>
      <c r="H2054" s="1">
        <v>4.2925169999999998E-6</v>
      </c>
      <c r="I2054">
        <v>285.62920000000003</v>
      </c>
      <c r="J2054">
        <v>-293.22579999999999</v>
      </c>
      <c r="K2054">
        <v>1.1082050000000001</v>
      </c>
      <c r="L2054">
        <v>282.92689999999999</v>
      </c>
      <c r="M2054">
        <v>-0.99962019999999996</v>
      </c>
      <c r="N2054">
        <v>0</v>
      </c>
      <c r="O2054">
        <v>2.7235180000000001E-2</v>
      </c>
      <c r="P2054">
        <v>-0.99670139999999996</v>
      </c>
      <c r="Q2054">
        <v>9.4962390000000001E-3</v>
      </c>
      <c r="R2054">
        <v>8.0601530000000005E-2</v>
      </c>
      <c r="S2054">
        <v>-2.9816889999999998</v>
      </c>
      <c r="T2054">
        <v>-0.15023900000000001</v>
      </c>
      <c r="U2054">
        <v>0.36761470000000002</v>
      </c>
      <c r="V2054">
        <v>5.3432929999999997E-2</v>
      </c>
      <c r="W2054">
        <v>1.3686530000000001E-2</v>
      </c>
      <c r="X2054">
        <v>0.99847759999999997</v>
      </c>
      <c r="Y2054">
        <v>9.5203259999999998E-2</v>
      </c>
      <c r="Z2054">
        <v>1.0223820000000001E-3</v>
      </c>
      <c r="AA2054">
        <v>0.99545740000000005</v>
      </c>
      <c r="AB2054">
        <v>39</v>
      </c>
      <c r="AC2054">
        <v>-21.654199999999999</v>
      </c>
      <c r="AD2054">
        <v>-1.10820070748299</v>
      </c>
      <c r="AE2054">
        <v>2.7023000000000299</v>
      </c>
      <c r="AF2054">
        <v>2.1061048015708401</v>
      </c>
      <c r="AG2054">
        <v>-1.10820070748299</v>
      </c>
      <c r="AH2054">
        <v>21.663895701569</v>
      </c>
      <c r="AI2054">
        <v>92.914653876656502</v>
      </c>
      <c r="AJ2054">
        <v>84.447310041456404</v>
      </c>
      <c r="AK2054">
        <v>21.7942231614647</v>
      </c>
      <c r="AL2054">
        <v>89.215795077880699</v>
      </c>
      <c r="AM2054">
        <v>86.936772636247696</v>
      </c>
      <c r="AN2054">
        <v>0.99999995840679201</v>
      </c>
    </row>
    <row r="2055" spans="1:40" x14ac:dyDescent="0.25">
      <c r="A2055" t="str">
        <f>"20190312154837292"</f>
        <v>20190312154837292</v>
      </c>
      <c r="B2055" t="str">
        <f>"1552376917277579"</f>
        <v>1552376917277579</v>
      </c>
      <c r="C2055" t="s">
        <v>40</v>
      </c>
      <c r="D2055">
        <v>4.666779</v>
      </c>
      <c r="E2055">
        <v>0.51672649999999998</v>
      </c>
      <c r="F2055" t="s">
        <v>41</v>
      </c>
      <c r="G2055">
        <v>-294.20499999999998</v>
      </c>
      <c r="H2055">
        <v>1.013288</v>
      </c>
      <c r="I2055">
        <v>283.04640000000001</v>
      </c>
      <c r="J2055">
        <v>-293.61439999999999</v>
      </c>
      <c r="K2055">
        <v>1.108187</v>
      </c>
      <c r="L2055">
        <v>282.93770000000001</v>
      </c>
      <c r="M2055">
        <v>-0.9996157</v>
      </c>
      <c r="N2055">
        <v>0</v>
      </c>
      <c r="O2055">
        <v>2.7412869999999999E-2</v>
      </c>
      <c r="P2055">
        <v>-0.99668710000000005</v>
      </c>
      <c r="Q2055">
        <v>9.2504700000000002E-3</v>
      </c>
      <c r="R2055">
        <v>8.0805760000000004E-2</v>
      </c>
      <c r="S2055">
        <v>-2.9832459999999998</v>
      </c>
      <c r="T2055">
        <v>-0.28923670000000001</v>
      </c>
      <c r="U2055">
        <v>0.363678</v>
      </c>
      <c r="V2055">
        <v>5.3459649999999997E-2</v>
      </c>
      <c r="W2055">
        <v>1.3374230000000001E-2</v>
      </c>
      <c r="X2055">
        <v>0.99848040000000005</v>
      </c>
      <c r="Y2055">
        <v>9.3448939999999994E-2</v>
      </c>
      <c r="Z2055">
        <v>1.8624340000000001E-3</v>
      </c>
      <c r="AA2055">
        <v>0.99562229999999996</v>
      </c>
      <c r="AB2055">
        <v>39</v>
      </c>
      <c r="AC2055">
        <v>-0.59059999999999402</v>
      </c>
      <c r="AD2055">
        <v>-9.4898999999999997E-2</v>
      </c>
      <c r="AE2055">
        <v>0.10869999999999801</v>
      </c>
      <c r="AF2055">
        <v>9.0216017405221602E-2</v>
      </c>
      <c r="AG2055">
        <v>-9.4898999999999997E-2</v>
      </c>
      <c r="AH2055">
        <v>0.57890102667086496</v>
      </c>
      <c r="AI2055">
        <v>99.200549862149401</v>
      </c>
      <c r="AJ2055">
        <v>81.142265836581402</v>
      </c>
      <c r="AK2055">
        <v>0.59352434548048705</v>
      </c>
      <c r="AL2055">
        <v>89.233690187442704</v>
      </c>
      <c r="AM2055">
        <v>86.935252317381995</v>
      </c>
      <c r="AN2055">
        <v>0.99999995669518604</v>
      </c>
    </row>
    <row r="2056" spans="1:40" x14ac:dyDescent="0.25">
      <c r="A2056" t="str">
        <f>"20190312154837313"</f>
        <v>20190312154837313</v>
      </c>
      <c r="B2056" t="str">
        <f>"1552376917307836"</f>
        <v>1552376917307836</v>
      </c>
      <c r="C2056" t="s">
        <v>40</v>
      </c>
      <c r="D2056">
        <v>4.7105160000000001</v>
      </c>
      <c r="E2056">
        <v>0.51693180000000005</v>
      </c>
      <c r="F2056" t="s">
        <v>41</v>
      </c>
      <c r="G2056">
        <v>-294.5462</v>
      </c>
      <c r="H2056">
        <v>0.99839469999999997</v>
      </c>
      <c r="I2056">
        <v>283.05040000000002</v>
      </c>
      <c r="J2056">
        <v>-293.9914</v>
      </c>
      <c r="K2056">
        <v>1.1081749999999999</v>
      </c>
      <c r="L2056">
        <v>282.94819999999999</v>
      </c>
      <c r="M2056">
        <v>-0.99961109999999997</v>
      </c>
      <c r="N2056">
        <v>0</v>
      </c>
      <c r="O2056">
        <v>2.7585410000000001E-2</v>
      </c>
      <c r="P2056">
        <v>-0.99666670000000002</v>
      </c>
      <c r="Q2056">
        <v>1.005839E-2</v>
      </c>
      <c r="R2056">
        <v>8.0960840000000006E-2</v>
      </c>
      <c r="S2056">
        <v>-2.9839169999999999</v>
      </c>
      <c r="T2056">
        <v>-0.35152670000000003</v>
      </c>
      <c r="U2056">
        <v>0.36151119999999998</v>
      </c>
      <c r="V2056">
        <v>5.344339E-2</v>
      </c>
      <c r="W2056">
        <v>1.4125179999999999E-2</v>
      </c>
      <c r="X2056">
        <v>0.998471</v>
      </c>
      <c r="Y2056">
        <v>9.2401170000000005E-2</v>
      </c>
      <c r="Z2056">
        <v>2.179182E-3</v>
      </c>
      <c r="AA2056">
        <v>0.99571949999999998</v>
      </c>
      <c r="AB2056">
        <v>39</v>
      </c>
      <c r="AC2056">
        <v>-0.55479999999999996</v>
      </c>
      <c r="AD2056">
        <v>-0.109780299999999</v>
      </c>
      <c r="AE2056">
        <v>0.102200000000038</v>
      </c>
      <c r="AF2056">
        <v>8.3687438211073897E-2</v>
      </c>
      <c r="AG2056">
        <v>-0.109780299999999</v>
      </c>
      <c r="AH2056">
        <v>0.53706984664663804</v>
      </c>
      <c r="AI2056">
        <v>101.41835378034401</v>
      </c>
      <c r="AJ2056">
        <v>81.143265936154407</v>
      </c>
      <c r="AK2056">
        <v>0.55452621377123901</v>
      </c>
      <c r="AL2056">
        <v>89.190659908313606</v>
      </c>
      <c r="AM2056">
        <v>86.936153909328596</v>
      </c>
      <c r="AN2056">
        <v>1.00000002724286</v>
      </c>
    </row>
    <row r="2057" spans="1:40" x14ac:dyDescent="0.25">
      <c r="A2057" t="str">
        <f>"20190312154837336"</f>
        <v>20190312154837336</v>
      </c>
      <c r="B2057" t="str">
        <f>"1552376917328335"</f>
        <v>1552376917328335</v>
      </c>
      <c r="C2057" t="s">
        <v>40</v>
      </c>
      <c r="D2057">
        <v>4.6710059999999904</v>
      </c>
      <c r="E2057">
        <v>0.51692550000000004</v>
      </c>
      <c r="F2057" t="s">
        <v>41</v>
      </c>
      <c r="G2057">
        <v>-294.8922</v>
      </c>
      <c r="H2057">
        <v>0.99117949999999999</v>
      </c>
      <c r="I2057">
        <v>283.05770000000001</v>
      </c>
      <c r="J2057">
        <v>-294.3802</v>
      </c>
      <c r="K2057">
        <v>1.108171</v>
      </c>
      <c r="L2057">
        <v>282.959</v>
      </c>
      <c r="M2057">
        <v>-0.99960649999999995</v>
      </c>
      <c r="N2057">
        <v>0</v>
      </c>
      <c r="O2057">
        <v>2.7762180000000001E-2</v>
      </c>
      <c r="P2057">
        <v>-0.99665530000000002</v>
      </c>
      <c r="Q2057">
        <v>1.0524820000000001E-2</v>
      </c>
      <c r="R2057">
        <v>8.1041450000000001E-2</v>
      </c>
      <c r="S2057">
        <v>-2.9844970000000002</v>
      </c>
      <c r="T2057">
        <v>-0.3876925</v>
      </c>
      <c r="U2057">
        <v>0.36251830000000002</v>
      </c>
      <c r="V2057">
        <v>5.3347840000000001E-2</v>
      </c>
      <c r="W2057">
        <v>1.454094E-2</v>
      </c>
      <c r="X2057">
        <v>0.99847010000000003</v>
      </c>
      <c r="Y2057">
        <v>9.243941E-2</v>
      </c>
      <c r="Z2057">
        <v>2.3808200000000001E-3</v>
      </c>
      <c r="AA2057">
        <v>0.99571540000000003</v>
      </c>
      <c r="AB2057">
        <v>39</v>
      </c>
      <c r="AC2057">
        <v>-0.51200000000000001</v>
      </c>
      <c r="AD2057">
        <v>-0.1169915</v>
      </c>
      <c r="AE2057">
        <v>9.8700000000008004E-2</v>
      </c>
      <c r="AF2057">
        <v>8.0400176193970593E-2</v>
      </c>
      <c r="AG2057">
        <v>-0.1169915</v>
      </c>
      <c r="AH2057">
        <v>0.48988164273474</v>
      </c>
      <c r="AI2057">
        <v>103.26054702708601</v>
      </c>
      <c r="AJ2057">
        <v>80.679614580224197</v>
      </c>
      <c r="AK2057">
        <v>0.51003453147091804</v>
      </c>
      <c r="AL2057">
        <v>89.166836133694105</v>
      </c>
      <c r="AM2057">
        <v>86.941618517310999</v>
      </c>
      <c r="AN2057">
        <v>0.99999998578137905</v>
      </c>
    </row>
    <row r="2058" spans="1:40" x14ac:dyDescent="0.25">
      <c r="A2058" t="str">
        <f>"20190312154837357"</f>
        <v>20190312154837357</v>
      </c>
      <c r="B2058" t="str">
        <f>"1552376917347862"</f>
        <v>1552376917347862</v>
      </c>
      <c r="C2058" t="s">
        <v>40</v>
      </c>
      <c r="D2058">
        <v>4.6578569999999999</v>
      </c>
      <c r="E2058">
        <v>0.5168954</v>
      </c>
      <c r="F2058" t="s">
        <v>41</v>
      </c>
      <c r="G2058">
        <v>-295.24419999999998</v>
      </c>
      <c r="H2058">
        <v>0.9932396</v>
      </c>
      <c r="I2058">
        <v>283.06380000000001</v>
      </c>
      <c r="J2058">
        <v>-294.755</v>
      </c>
      <c r="K2058">
        <v>1.1081570000000001</v>
      </c>
      <c r="L2058">
        <v>282.96960000000001</v>
      </c>
      <c r="M2058">
        <v>-0.99960179999999998</v>
      </c>
      <c r="N2058">
        <v>0</v>
      </c>
      <c r="O2058">
        <v>2.7932660000000002E-2</v>
      </c>
      <c r="P2058">
        <v>-0.99667309999999998</v>
      </c>
      <c r="Q2058">
        <v>1.104137E-2</v>
      </c>
      <c r="R2058">
        <v>8.0751320000000001E-2</v>
      </c>
      <c r="S2058">
        <v>-2.9848629999999998</v>
      </c>
      <c r="T2058">
        <v>-0.39709280000000002</v>
      </c>
      <c r="U2058">
        <v>0.36190800000000001</v>
      </c>
      <c r="V2058">
        <v>5.2887200000000002E-2</v>
      </c>
      <c r="W2058">
        <v>1.501772E-2</v>
      </c>
      <c r="X2058">
        <v>0.99848760000000003</v>
      </c>
      <c r="Y2058">
        <v>9.2033279999999995E-2</v>
      </c>
      <c r="Z2058">
        <v>2.388514E-3</v>
      </c>
      <c r="AA2058">
        <v>0.995753</v>
      </c>
      <c r="AB2058">
        <v>39</v>
      </c>
      <c r="AC2058">
        <v>-0.48919999999998198</v>
      </c>
      <c r="AD2058">
        <v>-0.114917399999999</v>
      </c>
      <c r="AE2058">
        <v>9.42000000000007E-2</v>
      </c>
      <c r="AF2058">
        <v>7.6431610932286301E-2</v>
      </c>
      <c r="AG2058">
        <v>-0.114917399999999</v>
      </c>
      <c r="AH2058">
        <v>0.46680221496151197</v>
      </c>
      <c r="AI2058">
        <v>103.655175249382</v>
      </c>
      <c r="AJ2058">
        <v>80.701217273738195</v>
      </c>
      <c r="AK2058">
        <v>0.486777267202813</v>
      </c>
      <c r="AL2058">
        <v>89.139515711930798</v>
      </c>
      <c r="AM2058">
        <v>86.968030128428396</v>
      </c>
      <c r="AN2058">
        <v>1.00000003759579</v>
      </c>
    </row>
    <row r="2059" spans="1:40" x14ac:dyDescent="0.25">
      <c r="A2059" t="str">
        <f>"20190312154837369"</f>
        <v>20190312154837369</v>
      </c>
      <c r="B2059" t="str">
        <f>"1552376917357612"</f>
        <v>1552376917357612</v>
      </c>
      <c r="C2059" t="s">
        <v>40</v>
      </c>
      <c r="D2059">
        <v>4.6773309999999997</v>
      </c>
      <c r="E2059">
        <v>0.51659200000000005</v>
      </c>
      <c r="F2059" t="s">
        <v>41</v>
      </c>
      <c r="G2059">
        <v>-295.59690000000001</v>
      </c>
      <c r="H2059">
        <v>0.99426809999999999</v>
      </c>
      <c r="I2059">
        <v>283.07150000000001</v>
      </c>
      <c r="J2059">
        <v>-294.96359999999999</v>
      </c>
      <c r="K2059">
        <v>1.108152</v>
      </c>
      <c r="L2059">
        <v>282.97550000000001</v>
      </c>
      <c r="M2059">
        <v>-0.99959920000000002</v>
      </c>
      <c r="N2059">
        <v>0</v>
      </c>
      <c r="O2059">
        <v>2.8026929999999999E-2</v>
      </c>
      <c r="P2059">
        <v>-0.99667850000000002</v>
      </c>
      <c r="Q2059">
        <v>1.1312040000000001E-2</v>
      </c>
      <c r="R2059">
        <v>8.0649029999999997E-2</v>
      </c>
      <c r="S2059">
        <v>-2.9852599999999998</v>
      </c>
      <c r="T2059">
        <v>-0.4039645</v>
      </c>
      <c r="U2059">
        <v>0.3606567</v>
      </c>
      <c r="V2059">
        <v>5.2690929999999997E-2</v>
      </c>
      <c r="W2059">
        <v>1.526946E-2</v>
      </c>
      <c r="X2059">
        <v>0.99849410000000005</v>
      </c>
      <c r="Y2059">
        <v>9.1498650000000001E-2</v>
      </c>
      <c r="Z2059">
        <v>2.3806980000000001E-3</v>
      </c>
      <c r="AA2059">
        <v>0.99580230000000003</v>
      </c>
      <c r="AB2059">
        <v>39</v>
      </c>
      <c r="AC2059">
        <v>-0.63330000000001896</v>
      </c>
      <c r="AD2059">
        <v>-0.113883899999999</v>
      </c>
      <c r="AE2059">
        <v>9.6000000000003596E-2</v>
      </c>
      <c r="AF2059">
        <v>7.5816064801543501E-2</v>
      </c>
      <c r="AG2059">
        <v>-0.113883899999999</v>
      </c>
      <c r="AH2059">
        <v>0.61626115069818299</v>
      </c>
      <c r="AI2059">
        <v>100.393401409284</v>
      </c>
      <c r="AJ2059">
        <v>82.986379696524907</v>
      </c>
      <c r="AK2059">
        <v>0.63126493980027898</v>
      </c>
      <c r="AL2059">
        <v>89.125090367579801</v>
      </c>
      <c r="AM2059">
        <v>86.979280840022099</v>
      </c>
      <c r="AN2059">
        <v>0.99999997912388305</v>
      </c>
    </row>
    <row r="2060" spans="1:40" x14ac:dyDescent="0.25">
      <c r="A2060" t="str">
        <f>"20190312154837381"</f>
        <v>20190312154837381</v>
      </c>
      <c r="B2060" t="str">
        <f>"1552376917368347"</f>
        <v>1552376917368347</v>
      </c>
      <c r="C2060" t="s">
        <v>40</v>
      </c>
      <c r="D2060">
        <v>4.6690880000000003</v>
      </c>
      <c r="E2060">
        <v>0.51660379999999995</v>
      </c>
      <c r="F2060" t="s">
        <v>41</v>
      </c>
      <c r="G2060">
        <v>-295.94009999999997</v>
      </c>
      <c r="H2060">
        <v>0.97375999999999996</v>
      </c>
      <c r="I2060">
        <v>283.0926</v>
      </c>
      <c r="J2060">
        <v>-295.17930000000001</v>
      </c>
      <c r="K2060">
        <v>1.1081490000000001</v>
      </c>
      <c r="L2060">
        <v>282.98160000000001</v>
      </c>
      <c r="M2060">
        <v>-0.99959659999999995</v>
      </c>
      <c r="N2060">
        <v>0</v>
      </c>
      <c r="O2060">
        <v>2.812286E-2</v>
      </c>
      <c r="P2060">
        <v>-0.99667890000000003</v>
      </c>
      <c r="Q2060">
        <v>1.1358780000000001E-2</v>
      </c>
      <c r="R2060">
        <v>8.0637199999999895E-2</v>
      </c>
      <c r="S2060">
        <v>-2.9857179999999999</v>
      </c>
      <c r="T2060">
        <v>-0.41094389999999997</v>
      </c>
      <c r="U2060">
        <v>0.3576355</v>
      </c>
      <c r="V2060">
        <v>5.2583169999999999E-2</v>
      </c>
      <c r="W2060">
        <v>1.5299979999999999E-2</v>
      </c>
      <c r="X2060">
        <v>0.99849929999999998</v>
      </c>
      <c r="Y2060">
        <v>9.0383160000000004E-2</v>
      </c>
      <c r="Z2060">
        <v>2.3319980000000001E-3</v>
      </c>
      <c r="AA2060">
        <v>0.99590429999999996</v>
      </c>
      <c r="AB2060">
        <v>39</v>
      </c>
      <c r="AC2060">
        <v>-0.76079999999995995</v>
      </c>
      <c r="AD2060">
        <v>-0.13438899999999901</v>
      </c>
      <c r="AE2060">
        <v>0.11099999999999</v>
      </c>
      <c r="AF2060">
        <v>8.6904940866543601E-2</v>
      </c>
      <c r="AG2060">
        <v>-0.13438899999999901</v>
      </c>
      <c r="AH2060">
        <v>0.74098229266073401</v>
      </c>
      <c r="AI2060">
        <v>100.21126312775399</v>
      </c>
      <c r="AJ2060">
        <v>83.310714330821895</v>
      </c>
      <c r="AK2060">
        <v>0.75806835450688403</v>
      </c>
      <c r="AL2060">
        <v>89.123341484220205</v>
      </c>
      <c r="AM2060">
        <v>86.985462878757303</v>
      </c>
      <c r="AN2060">
        <v>0.99999996562786897</v>
      </c>
    </row>
    <row r="2061" spans="1:40" x14ac:dyDescent="0.25">
      <c r="A2061" t="str">
        <f>"20190312154837391"</f>
        <v>20190312154837391</v>
      </c>
      <c r="B2061" t="str">
        <f>"1552376917378107"</f>
        <v>1552376917378107</v>
      </c>
      <c r="C2061" t="s">
        <v>40</v>
      </c>
      <c r="D2061">
        <v>4.6585789999999996</v>
      </c>
      <c r="E2061">
        <v>0.51665969999999894</v>
      </c>
      <c r="F2061" t="s">
        <v>41</v>
      </c>
      <c r="G2061">
        <v>-295.95350000000002</v>
      </c>
      <c r="H2061">
        <v>1.000812</v>
      </c>
      <c r="I2061">
        <v>283.07440000000003</v>
      </c>
      <c r="J2061">
        <v>-295.36410000000001</v>
      </c>
      <c r="K2061">
        <v>1.1081479999999999</v>
      </c>
      <c r="L2061">
        <v>282.98680000000002</v>
      </c>
      <c r="M2061">
        <v>-0.99959439999999999</v>
      </c>
      <c r="N2061">
        <v>0</v>
      </c>
      <c r="O2061">
        <v>2.820346E-2</v>
      </c>
      <c r="P2061">
        <v>-0.99666940000000004</v>
      </c>
      <c r="Q2061">
        <v>1.136471E-2</v>
      </c>
      <c r="R2061">
        <v>8.0752060000000001E-2</v>
      </c>
      <c r="S2061">
        <v>-2.985779</v>
      </c>
      <c r="T2061">
        <v>-0.41400959999999998</v>
      </c>
      <c r="U2061">
        <v>0.3576355</v>
      </c>
      <c r="V2061">
        <v>5.2617539999999997E-2</v>
      </c>
      <c r="W2061">
        <v>1.5293299999999999E-2</v>
      </c>
      <c r="X2061">
        <v>0.99849759999999999</v>
      </c>
      <c r="Y2061">
        <v>9.0293470000000001E-2</v>
      </c>
      <c r="Z2061">
        <v>2.331947E-3</v>
      </c>
      <c r="AA2061">
        <v>0.99591249999999998</v>
      </c>
      <c r="AB2061">
        <v>39</v>
      </c>
      <c r="AC2061">
        <v>-0.58940000000001103</v>
      </c>
      <c r="AD2061">
        <v>-0.107335999999999</v>
      </c>
      <c r="AE2061">
        <v>8.7600000000008907E-2</v>
      </c>
      <c r="AF2061">
        <v>6.8712357520806705E-2</v>
      </c>
      <c r="AG2061">
        <v>-0.107335999999999</v>
      </c>
      <c r="AH2061">
        <v>0.57304237054402196</v>
      </c>
      <c r="AI2061">
        <v>100.53532327683899</v>
      </c>
      <c r="AJ2061">
        <v>83.162423722246203</v>
      </c>
      <c r="AK2061">
        <v>0.58704340845526803</v>
      </c>
      <c r="AL2061">
        <v>89.123724272051703</v>
      </c>
      <c r="AM2061">
        <v>86.983490994813195</v>
      </c>
      <c r="AN2061">
        <v>0.99999997387314998</v>
      </c>
    </row>
    <row r="2062" spans="1:40" x14ac:dyDescent="0.25">
      <c r="A2062" t="str">
        <f>"20190312154837403"</f>
        <v>20190312154837403</v>
      </c>
      <c r="B2062" t="str">
        <f>"1552376917397627"</f>
        <v>1552376917397627</v>
      </c>
      <c r="C2062" t="s">
        <v>40</v>
      </c>
      <c r="D2062">
        <v>4.7825819999999997</v>
      </c>
      <c r="E2062">
        <v>0.51652810000000005</v>
      </c>
      <c r="F2062" t="s">
        <v>41</v>
      </c>
      <c r="G2062">
        <v>-296.29689999999999</v>
      </c>
      <c r="H2062">
        <v>0.97828289999999996</v>
      </c>
      <c r="I2062">
        <v>283.09910000000002</v>
      </c>
      <c r="J2062">
        <v>-295.57819999999998</v>
      </c>
      <c r="K2062">
        <v>1.1081479999999999</v>
      </c>
      <c r="L2062">
        <v>282.99290000000002</v>
      </c>
      <c r="M2062">
        <v>-0.99959189999999998</v>
      </c>
      <c r="N2062">
        <v>0</v>
      </c>
      <c r="O2062">
        <v>2.8295569999999999E-2</v>
      </c>
      <c r="P2062">
        <v>-0.99665420000000005</v>
      </c>
      <c r="Q2062">
        <v>1.1161539999999999E-2</v>
      </c>
      <c r="R2062">
        <v>8.0970529999999999E-2</v>
      </c>
      <c r="S2062">
        <v>-2.9857179999999999</v>
      </c>
      <c r="T2062">
        <v>-0.41581499999999999</v>
      </c>
      <c r="U2062">
        <v>0.35833739999999997</v>
      </c>
      <c r="V2062">
        <v>5.2744430000000002E-2</v>
      </c>
      <c r="W2062">
        <v>1.5077800000000001E-2</v>
      </c>
      <c r="X2062">
        <v>0.9984942</v>
      </c>
      <c r="Y2062">
        <v>9.0429399999999993E-2</v>
      </c>
      <c r="Z2062">
        <v>2.3387199999999999E-3</v>
      </c>
      <c r="AA2062">
        <v>0.99590009999999995</v>
      </c>
      <c r="AB2062">
        <v>40</v>
      </c>
      <c r="AC2062">
        <v>-0.718700000000012</v>
      </c>
      <c r="AD2062">
        <v>-0.12986509999999901</v>
      </c>
      <c r="AE2062">
        <v>0.106200000000001</v>
      </c>
      <c r="AF2062">
        <v>8.3163972941450906E-2</v>
      </c>
      <c r="AG2062">
        <v>-0.12986509999999901</v>
      </c>
      <c r="AH2062">
        <v>0.69907969184604901</v>
      </c>
      <c r="AI2062">
        <v>100.451582844237</v>
      </c>
      <c r="AJ2062">
        <v>83.215858116087901</v>
      </c>
      <c r="AK2062">
        <v>0.71588658748783895</v>
      </c>
      <c r="AL2062">
        <v>89.136072951735002</v>
      </c>
      <c r="AM2062">
        <v>86.976219728878803</v>
      </c>
      <c r="AN2062">
        <v>0.99999999119125205</v>
      </c>
    </row>
    <row r="2063" spans="1:40" x14ac:dyDescent="0.25">
      <c r="A2063" t="str">
        <f>"20190312154837415"</f>
        <v>20190312154837415</v>
      </c>
      <c r="B2063" t="str">
        <f>"1552376917408364"</f>
        <v>1552376917408364</v>
      </c>
      <c r="C2063" t="s">
        <v>40</v>
      </c>
      <c r="D2063">
        <v>4.6676780000000004</v>
      </c>
      <c r="E2063">
        <v>0.51661570000000001</v>
      </c>
      <c r="F2063" t="s">
        <v>41</v>
      </c>
      <c r="G2063">
        <v>-296.3107</v>
      </c>
      <c r="H2063">
        <v>1.0058469999999999</v>
      </c>
      <c r="I2063">
        <v>283.08109999999999</v>
      </c>
      <c r="J2063">
        <v>-295.77850000000001</v>
      </c>
      <c r="K2063">
        <v>1.108147</v>
      </c>
      <c r="L2063">
        <v>282.99869999999999</v>
      </c>
      <c r="M2063">
        <v>-0.99958950000000002</v>
      </c>
      <c r="N2063">
        <v>0</v>
      </c>
      <c r="O2063">
        <v>2.8376990000000001E-2</v>
      </c>
      <c r="P2063">
        <v>-0.99663060000000003</v>
      </c>
      <c r="Q2063">
        <v>1.1167979999999999E-2</v>
      </c>
      <c r="R2063">
        <v>8.1258670000000005E-2</v>
      </c>
      <c r="S2063">
        <v>-2.9856569999999998</v>
      </c>
      <c r="T2063">
        <v>-0.41718349999999998</v>
      </c>
      <c r="U2063">
        <v>0.35797119999999999</v>
      </c>
      <c r="V2063">
        <v>5.2951650000000003E-2</v>
      </c>
      <c r="W2063">
        <v>1.5075420000000001E-2</v>
      </c>
      <c r="X2063">
        <v>0.99848329999999996</v>
      </c>
      <c r="Y2063">
        <v>9.022906E-2</v>
      </c>
      <c r="Z2063">
        <v>2.3212559999999998E-3</v>
      </c>
      <c r="AA2063">
        <v>0.99591830000000003</v>
      </c>
      <c r="AB2063">
        <v>40</v>
      </c>
      <c r="AC2063">
        <v>-0.53219999999998802</v>
      </c>
      <c r="AD2063">
        <v>-0.1023</v>
      </c>
      <c r="AE2063">
        <v>8.2400000000006898E-2</v>
      </c>
      <c r="AF2063">
        <v>6.4921831939222394E-2</v>
      </c>
      <c r="AG2063">
        <v>-0.1023</v>
      </c>
      <c r="AH2063">
        <v>0.51571495242934995</v>
      </c>
      <c r="AI2063">
        <v>101.134193363492</v>
      </c>
      <c r="AJ2063">
        <v>82.824947042112299</v>
      </c>
      <c r="AK2063">
        <v>0.52975659167352596</v>
      </c>
      <c r="AL2063">
        <v>89.136209358629202</v>
      </c>
      <c r="AM2063">
        <v>86.964329132696193</v>
      </c>
      <c r="AN2063">
        <v>1.00000002295239</v>
      </c>
    </row>
    <row r="2064" spans="1:40" x14ac:dyDescent="0.25">
      <c r="A2064" t="str">
        <f>"20190312154837427"</f>
        <v>20190312154837427</v>
      </c>
      <c r="B2064" t="str">
        <f>"1552376917418123"</f>
        <v>1552376917418123</v>
      </c>
      <c r="C2064" t="s">
        <v>40</v>
      </c>
      <c r="D2064">
        <v>4.6609249999999998</v>
      </c>
      <c r="E2064">
        <v>0.51654120000000003</v>
      </c>
      <c r="F2064" t="s">
        <v>41</v>
      </c>
      <c r="G2064">
        <v>-296.65640000000002</v>
      </c>
      <c r="H2064">
        <v>0.9854984</v>
      </c>
      <c r="I2064">
        <v>283.10449999999997</v>
      </c>
      <c r="J2064">
        <v>-296.00380000000001</v>
      </c>
      <c r="K2064">
        <v>1.1081479999999999</v>
      </c>
      <c r="L2064">
        <v>283.00510000000003</v>
      </c>
      <c r="M2064">
        <v>-0.999587</v>
      </c>
      <c r="N2064">
        <v>0</v>
      </c>
      <c r="O2064">
        <v>2.8466399999999999E-2</v>
      </c>
      <c r="P2064">
        <v>-0.99659819999999999</v>
      </c>
      <c r="Q2064">
        <v>1.0931679999999999E-2</v>
      </c>
      <c r="R2064">
        <v>8.168694E-2</v>
      </c>
      <c r="S2064">
        <v>-2.985474</v>
      </c>
      <c r="T2064">
        <v>-0.41714630000000003</v>
      </c>
      <c r="U2064">
        <v>0.359375</v>
      </c>
      <c r="V2064">
        <v>5.3291119999999997E-2</v>
      </c>
      <c r="W2064">
        <v>1.483083E-2</v>
      </c>
      <c r="X2064">
        <v>0.99846889999999999</v>
      </c>
      <c r="Y2064">
        <v>9.0606140000000002E-2</v>
      </c>
      <c r="Z2064">
        <v>2.3348829999999998E-3</v>
      </c>
      <c r="AA2064">
        <v>0.99588410000000005</v>
      </c>
      <c r="AB2064">
        <v>40</v>
      </c>
      <c r="AC2064">
        <v>-0.65260000000000595</v>
      </c>
      <c r="AD2064">
        <v>-0.122649599999999</v>
      </c>
      <c r="AE2064">
        <v>9.9399999999945907E-2</v>
      </c>
      <c r="AF2064">
        <v>7.8086800978355006E-2</v>
      </c>
      <c r="AG2064">
        <v>-0.122649599999999</v>
      </c>
      <c r="AH2064">
        <v>0.63330313386802095</v>
      </c>
      <c r="AI2064">
        <v>100.880179448794</v>
      </c>
      <c r="AJ2064">
        <v>82.970861203921601</v>
      </c>
      <c r="AK2064">
        <v>0.64977944891651496</v>
      </c>
      <c r="AL2064">
        <v>89.150224898075095</v>
      </c>
      <c r="AM2064">
        <v>86.944860393344698</v>
      </c>
      <c r="AN2064">
        <v>1.00000002062827</v>
      </c>
    </row>
    <row r="2065" spans="1:40" x14ac:dyDescent="0.25">
      <c r="A2065" t="str">
        <f>"20190312154837440"</f>
        <v>20190312154837440</v>
      </c>
      <c r="B2065" t="str">
        <f>"1552376917427883"</f>
        <v>1552376917427883</v>
      </c>
      <c r="C2065" t="s">
        <v>40</v>
      </c>
      <c r="D2065">
        <v>4.6996169999999999</v>
      </c>
      <c r="E2065">
        <v>0.51654120000000003</v>
      </c>
      <c r="F2065" t="s">
        <v>41</v>
      </c>
      <c r="G2065">
        <v>-297.00479999999999</v>
      </c>
      <c r="H2065">
        <v>0.96786360000000005</v>
      </c>
      <c r="I2065">
        <v>283.12619999999998</v>
      </c>
      <c r="J2065">
        <v>-296.23689999999999</v>
      </c>
      <c r="K2065">
        <v>1.10815</v>
      </c>
      <c r="L2065">
        <v>283.01179999999999</v>
      </c>
      <c r="M2065">
        <v>-0.99958449999999999</v>
      </c>
      <c r="N2065">
        <v>0</v>
      </c>
      <c r="O2065">
        <v>2.8553470000000001E-2</v>
      </c>
      <c r="P2065">
        <v>-0.99657099999999998</v>
      </c>
      <c r="Q2065">
        <v>1.082174E-2</v>
      </c>
      <c r="R2065">
        <v>8.2032300000000002E-2</v>
      </c>
      <c r="S2065">
        <v>-2.9853209999999999</v>
      </c>
      <c r="T2065">
        <v>-0.41844949999999997</v>
      </c>
      <c r="U2065">
        <v>0.36004639999999999</v>
      </c>
      <c r="V2065">
        <v>5.3550019999999997E-2</v>
      </c>
      <c r="W2065">
        <v>1.471449E-2</v>
      </c>
      <c r="X2065">
        <v>0.99845680000000003</v>
      </c>
      <c r="Y2065">
        <v>9.0742000000000003E-2</v>
      </c>
      <c r="Z2065">
        <v>2.3395500000000001E-3</v>
      </c>
      <c r="AA2065">
        <v>0.99587170000000003</v>
      </c>
      <c r="AB2065">
        <v>40</v>
      </c>
      <c r="AC2065">
        <v>-0.76789999999999703</v>
      </c>
      <c r="AD2065">
        <v>-0.14028639999999901</v>
      </c>
      <c r="AE2065">
        <v>0.114399999999989</v>
      </c>
      <c r="AF2065">
        <v>8.9504614495913098E-2</v>
      </c>
      <c r="AG2065">
        <v>-0.14028639999999901</v>
      </c>
      <c r="AH2065">
        <v>0.74648056030447496</v>
      </c>
      <c r="AI2065">
        <v>100.569495279705</v>
      </c>
      <c r="AJ2065">
        <v>83.162754185093107</v>
      </c>
      <c r="AK2065">
        <v>0.76480361986166401</v>
      </c>
      <c r="AL2065">
        <v>89.156891442136896</v>
      </c>
      <c r="AM2065">
        <v>86.930009042384896</v>
      </c>
      <c r="AN2065">
        <v>1.0000000511620899</v>
      </c>
    </row>
    <row r="2066" spans="1:40" x14ac:dyDescent="0.25">
      <c r="A2066" t="str">
        <f>"20190312154837459"</f>
        <v>20190312154837459</v>
      </c>
      <c r="B2066" t="str">
        <f>"1552376917448380"</f>
        <v>1552376917448380</v>
      </c>
      <c r="C2066" t="s">
        <v>40</v>
      </c>
      <c r="D2066">
        <v>4.6802950000000001</v>
      </c>
      <c r="E2066">
        <v>0.51427860000000003</v>
      </c>
      <c r="F2066" t="s">
        <v>41</v>
      </c>
      <c r="G2066">
        <v>-297.01990000000001</v>
      </c>
      <c r="H2066">
        <v>0.99835469999999904</v>
      </c>
      <c r="I2066">
        <v>283.10680000000002</v>
      </c>
      <c r="J2066">
        <v>-296.55220000000003</v>
      </c>
      <c r="K2066">
        <v>1.108155</v>
      </c>
      <c r="L2066">
        <v>283.02080000000001</v>
      </c>
      <c r="M2066">
        <v>-0.99958150000000001</v>
      </c>
      <c r="N2066">
        <v>0</v>
      </c>
      <c r="O2066">
        <v>2.8662590000000002E-2</v>
      </c>
      <c r="P2066">
        <v>-0.99653700000000001</v>
      </c>
      <c r="Q2066">
        <v>1.0773080000000001E-2</v>
      </c>
      <c r="R2066">
        <v>8.2450679999999998E-2</v>
      </c>
      <c r="S2066">
        <v>-2.9851070000000002</v>
      </c>
      <c r="T2066">
        <v>-0.41874640000000002</v>
      </c>
      <c r="U2066">
        <v>0.3611145</v>
      </c>
      <c r="V2066">
        <v>5.3859740000000003E-2</v>
      </c>
      <c r="W2066">
        <v>1.466109E-2</v>
      </c>
      <c r="X2066">
        <v>0.99844089999999996</v>
      </c>
      <c r="Y2066">
        <v>9.0990749999999995E-2</v>
      </c>
      <c r="Z2066">
        <v>2.3434559999999998E-3</v>
      </c>
      <c r="AA2066">
        <v>0.99584899999999998</v>
      </c>
      <c r="AB2066">
        <v>40</v>
      </c>
      <c r="AC2066">
        <v>-0.46769999999997902</v>
      </c>
      <c r="AD2066">
        <v>-0.1098003</v>
      </c>
      <c r="AE2066">
        <v>8.6000000000012705E-2</v>
      </c>
      <c r="AF2066">
        <v>6.8886539645703002E-2</v>
      </c>
      <c r="AG2066">
        <v>-0.1098003</v>
      </c>
      <c r="AH2066">
        <v>0.44618546974413997</v>
      </c>
      <c r="AI2066">
        <v>103.669249055403</v>
      </c>
      <c r="AJ2066">
        <v>81.223404996556994</v>
      </c>
      <c r="AK2066">
        <v>0.464632042196024</v>
      </c>
      <c r="AL2066">
        <v>89.159951344683193</v>
      </c>
      <c r="AM2066">
        <v>86.9122381617386</v>
      </c>
      <c r="AN2066">
        <v>1.00000002497283</v>
      </c>
    </row>
    <row r="2067" spans="1:40" x14ac:dyDescent="0.25">
      <c r="A2067" t="str">
        <f>"20190312154837472"</f>
        <v>20190312154837472</v>
      </c>
      <c r="B2067" t="str">
        <f>"1552376917458140"</f>
        <v>1552376917458140</v>
      </c>
      <c r="C2067" t="s">
        <v>40</v>
      </c>
      <c r="D2067">
        <v>4.6850620000000003</v>
      </c>
      <c r="E2067">
        <v>0.51422909999999999</v>
      </c>
      <c r="F2067" t="s">
        <v>41</v>
      </c>
      <c r="G2067">
        <v>-297.3587</v>
      </c>
      <c r="H2067">
        <v>0.95754490000000003</v>
      </c>
      <c r="I2067">
        <v>283.11259999999999</v>
      </c>
      <c r="J2067">
        <v>-296.79899999999998</v>
      </c>
      <c r="K2067">
        <v>1.1081570000000001</v>
      </c>
      <c r="L2067">
        <v>283.02800000000002</v>
      </c>
      <c r="M2067">
        <v>-0.99957929999999995</v>
      </c>
      <c r="N2067">
        <v>0</v>
      </c>
      <c r="O2067">
        <v>2.8741360000000001E-2</v>
      </c>
      <c r="P2067">
        <v>-0.99652890000000005</v>
      </c>
      <c r="Q2067">
        <v>1.0848729999999999E-2</v>
      </c>
      <c r="R2067">
        <v>8.254032E-2</v>
      </c>
      <c r="S2067">
        <v>-2.9883419999999998</v>
      </c>
      <c r="T2067">
        <v>-0.55810109999999902</v>
      </c>
      <c r="U2067">
        <v>0.33969120000000003</v>
      </c>
      <c r="V2067">
        <v>5.3870759999999997E-2</v>
      </c>
      <c r="W2067">
        <v>1.4735939999999999E-2</v>
      </c>
      <c r="X2067">
        <v>0.99843919999999997</v>
      </c>
      <c r="Y2067">
        <v>8.340786E-2</v>
      </c>
      <c r="Z2067">
        <v>2.395276E-3</v>
      </c>
      <c r="AA2067">
        <v>0.99651259999999997</v>
      </c>
      <c r="AB2067">
        <v>40</v>
      </c>
      <c r="AC2067">
        <v>-0.559699999999963</v>
      </c>
      <c r="AD2067">
        <v>-0.1506121</v>
      </c>
      <c r="AE2067">
        <v>8.4599999999966202E-2</v>
      </c>
      <c r="AF2067">
        <v>6.3951019584932906E-2</v>
      </c>
      <c r="AG2067">
        <v>-0.1506121</v>
      </c>
      <c r="AH2067">
        <v>0.52475092644269805</v>
      </c>
      <c r="AI2067">
        <v>105.90269827602501</v>
      </c>
      <c r="AJ2067">
        <v>83.051668352222293</v>
      </c>
      <c r="AK2067">
        <v>0.54967014870268605</v>
      </c>
      <c r="AL2067">
        <v>89.155662289336902</v>
      </c>
      <c r="AM2067">
        <v>86.911602363239098</v>
      </c>
      <c r="AN2067">
        <v>1.00000002140365</v>
      </c>
    </row>
    <row r="2068" spans="1:40" x14ac:dyDescent="0.25">
      <c r="A2068" t="str">
        <f>"20190312154837494"</f>
        <v>20190312154837494</v>
      </c>
      <c r="B2068" t="str">
        <f>"1552376917488395"</f>
        <v>1552376917488395</v>
      </c>
      <c r="C2068" t="s">
        <v>40</v>
      </c>
      <c r="D2068">
        <v>4.6366420000000002</v>
      </c>
      <c r="E2068">
        <v>0.51428490000000004</v>
      </c>
      <c r="F2068" t="s">
        <v>41</v>
      </c>
      <c r="G2068">
        <v>-297.70850000000002</v>
      </c>
      <c r="H2068">
        <v>0.93765739999999997</v>
      </c>
      <c r="I2068">
        <v>283.13150000000002</v>
      </c>
      <c r="J2068">
        <v>-297.19260000000003</v>
      </c>
      <c r="K2068">
        <v>1.1081589999999999</v>
      </c>
      <c r="L2068">
        <v>283.0394</v>
      </c>
      <c r="M2068">
        <v>-0.99957609999999997</v>
      </c>
      <c r="N2068">
        <v>0</v>
      </c>
      <c r="O2068">
        <v>2.8853239999999999E-2</v>
      </c>
      <c r="P2068">
        <v>-0.99652909999999995</v>
      </c>
      <c r="Q2068">
        <v>1.0920330000000001E-2</v>
      </c>
      <c r="R2068">
        <v>8.2528389999999993E-2</v>
      </c>
      <c r="S2068">
        <v>-2.9884339999999998</v>
      </c>
      <c r="T2068">
        <v>-0.56028259999999996</v>
      </c>
      <c r="U2068">
        <v>0.33938600000000002</v>
      </c>
      <c r="V2068">
        <v>5.374661E-2</v>
      </c>
      <c r="W2068">
        <v>1.4810800000000001E-2</v>
      </c>
      <c r="X2068">
        <v>0.99844469999999996</v>
      </c>
      <c r="Y2068">
        <v>8.3190899999999998E-2</v>
      </c>
      <c r="Z2068">
        <v>2.3636120000000002E-3</v>
      </c>
      <c r="AA2068">
        <v>0.99653080000000005</v>
      </c>
      <c r="AB2068">
        <v>40</v>
      </c>
      <c r="AC2068">
        <v>-0.51589999999998704</v>
      </c>
      <c r="AD2068">
        <v>-0.1705016</v>
      </c>
      <c r="AE2068">
        <v>9.2100000000016197E-2</v>
      </c>
      <c r="AF2068">
        <v>6.9788839623661295E-2</v>
      </c>
      <c r="AG2068">
        <v>-0.1705016</v>
      </c>
      <c r="AH2068">
        <v>0.46872675988974499</v>
      </c>
      <c r="AI2068">
        <v>109.78815746263901</v>
      </c>
      <c r="AJ2068">
        <v>81.531429902072304</v>
      </c>
      <c r="AK2068">
        <v>0.50363285553597004</v>
      </c>
      <c r="AL2068">
        <v>89.151372588809807</v>
      </c>
      <c r="AM2068">
        <v>86.918723062416305</v>
      </c>
      <c r="AN2068">
        <v>0.99999993842060897</v>
      </c>
    </row>
    <row r="2069" spans="1:40" x14ac:dyDescent="0.25">
      <c r="A2069" t="str">
        <f>"20190312154837514"</f>
        <v>20190312154837514</v>
      </c>
      <c r="B2069" t="str">
        <f>"1552376917507915"</f>
        <v>1552376917507915</v>
      </c>
      <c r="C2069" t="s">
        <v>40</v>
      </c>
      <c r="D2069">
        <v>4.6101619999999999</v>
      </c>
      <c r="E2069">
        <v>0.51408229999999999</v>
      </c>
      <c r="F2069" t="s">
        <v>41</v>
      </c>
      <c r="G2069">
        <v>-298.07170000000002</v>
      </c>
      <c r="H2069">
        <v>0.94226710000000002</v>
      </c>
      <c r="I2069">
        <v>283.13929999999999</v>
      </c>
      <c r="J2069">
        <v>-297.57339999999999</v>
      </c>
      <c r="K2069">
        <v>1.1081650000000001</v>
      </c>
      <c r="L2069">
        <v>283.05040000000002</v>
      </c>
      <c r="M2069">
        <v>-0.9995733</v>
      </c>
      <c r="N2069">
        <v>0</v>
      </c>
      <c r="O2069">
        <v>2.8946039999999999E-2</v>
      </c>
      <c r="P2069">
        <v>-0.99656109999999998</v>
      </c>
      <c r="Q2069">
        <v>1.070834E-2</v>
      </c>
      <c r="R2069">
        <v>8.2168840000000007E-2</v>
      </c>
      <c r="S2069">
        <v>-2.988464</v>
      </c>
      <c r="T2069">
        <v>-0.56395669999999898</v>
      </c>
      <c r="U2069">
        <v>0.3397522</v>
      </c>
      <c r="V2069">
        <v>5.3293149999999997E-2</v>
      </c>
      <c r="W2069">
        <v>1.4606259999999999E-2</v>
      </c>
      <c r="X2069">
        <v>0.99847209999999997</v>
      </c>
      <c r="Y2069">
        <v>8.3207000000000003E-2</v>
      </c>
      <c r="Z2069">
        <v>2.363024E-3</v>
      </c>
      <c r="AA2069">
        <v>0.99652949999999996</v>
      </c>
      <c r="AB2069">
        <v>40</v>
      </c>
      <c r="AC2069">
        <v>-0.498300000000028</v>
      </c>
      <c r="AD2069">
        <v>-0.16589789999999999</v>
      </c>
      <c r="AE2069">
        <v>8.8899999999966894E-2</v>
      </c>
      <c r="AF2069">
        <v>6.7218134636639795E-2</v>
      </c>
      <c r="AG2069">
        <v>-0.16589789999999999</v>
      </c>
      <c r="AH2069">
        <v>0.45209922032710098</v>
      </c>
      <c r="AI2069">
        <v>109.948891092332</v>
      </c>
      <c r="AJ2069">
        <v>81.543212067380907</v>
      </c>
      <c r="AK2069">
        <v>0.48624489289740802</v>
      </c>
      <c r="AL2069">
        <v>89.163093203263998</v>
      </c>
      <c r="AM2069">
        <v>86.944754008691405</v>
      </c>
      <c r="AN2069">
        <v>1.00000001857326</v>
      </c>
    </row>
    <row r="2070" spans="1:40" x14ac:dyDescent="0.25">
      <c r="A2070" t="str">
        <f>"20190312154837526"</f>
        <v>20190312154837526</v>
      </c>
      <c r="B2070" t="str">
        <f>"1552376917517675"</f>
        <v>1552376917517675</v>
      </c>
      <c r="C2070" t="s">
        <v>40</v>
      </c>
      <c r="D2070">
        <v>4.6260649999999996</v>
      </c>
      <c r="E2070">
        <v>0.51401560000000002</v>
      </c>
      <c r="F2070" t="s">
        <v>41</v>
      </c>
      <c r="G2070">
        <v>-298.43560000000002</v>
      </c>
      <c r="H2070">
        <v>0.9458683</v>
      </c>
      <c r="I2070">
        <v>283.14789999999999</v>
      </c>
      <c r="J2070">
        <v>-297.78919999999999</v>
      </c>
      <c r="K2070">
        <v>1.108169</v>
      </c>
      <c r="L2070">
        <v>283.05669999999998</v>
      </c>
      <c r="M2070">
        <v>-0.99957189999999996</v>
      </c>
      <c r="N2070">
        <v>0</v>
      </c>
      <c r="O2070">
        <v>2.8993680000000001E-2</v>
      </c>
      <c r="P2070">
        <v>-0.99658860000000005</v>
      </c>
      <c r="Q2070">
        <v>1.055772E-2</v>
      </c>
      <c r="R2070">
        <v>8.1850980000000004E-2</v>
      </c>
      <c r="S2070">
        <v>-2.9885860000000002</v>
      </c>
      <c r="T2070">
        <v>-0.56266729999999998</v>
      </c>
      <c r="U2070">
        <v>0.3372192</v>
      </c>
      <c r="V2070">
        <v>5.2926550000000003E-2</v>
      </c>
      <c r="W2070">
        <v>1.446179E-2</v>
      </c>
      <c r="X2070">
        <v>0.99849370000000004</v>
      </c>
      <c r="Y2070">
        <v>8.2341059999999994E-2</v>
      </c>
      <c r="Z2070">
        <v>2.2683E-3</v>
      </c>
      <c r="AA2070">
        <v>0.99660159999999998</v>
      </c>
      <c r="AB2070">
        <v>40</v>
      </c>
      <c r="AC2070">
        <v>-0.64640000000002795</v>
      </c>
      <c r="AD2070">
        <v>-0.16230069999999899</v>
      </c>
      <c r="AE2070">
        <v>9.1200000000014797E-2</v>
      </c>
      <c r="AF2070">
        <v>6.82041172559881E-2</v>
      </c>
      <c r="AG2070">
        <v>-0.16230069999999899</v>
      </c>
      <c r="AH2070">
        <v>0.61100462917098297</v>
      </c>
      <c r="AI2070">
        <v>104.788122196202</v>
      </c>
      <c r="AJ2070">
        <v>83.630658104156794</v>
      </c>
      <c r="AK2070">
        <v>0.63586160105759604</v>
      </c>
      <c r="AL2070">
        <v>89.171371596654694</v>
      </c>
      <c r="AM2070">
        <v>86.965796948411295</v>
      </c>
      <c r="AN2070">
        <v>1.0000000160022899</v>
      </c>
    </row>
    <row r="2071" spans="1:40" x14ac:dyDescent="0.25">
      <c r="A2071" t="str">
        <f>"20190312154837538"</f>
        <v>20190312154837538</v>
      </c>
      <c r="B2071" t="str">
        <f>"1552376917527435"</f>
        <v>1552376917527435</v>
      </c>
      <c r="C2071" t="s">
        <v>40</v>
      </c>
      <c r="D2071">
        <v>4.6066190000000002</v>
      </c>
      <c r="E2071">
        <v>0.51404030000000001</v>
      </c>
      <c r="F2071" t="s">
        <v>41</v>
      </c>
      <c r="G2071">
        <v>-298.78680000000003</v>
      </c>
      <c r="H2071">
        <v>0.92052719999999999</v>
      </c>
      <c r="I2071">
        <v>283.16890000000001</v>
      </c>
      <c r="J2071">
        <v>-298.0102</v>
      </c>
      <c r="K2071">
        <v>1.1081730000000001</v>
      </c>
      <c r="L2071">
        <v>283.06310000000002</v>
      </c>
      <c r="M2071">
        <v>-0.99957079999999998</v>
      </c>
      <c r="N2071">
        <v>0</v>
      </c>
      <c r="O2071">
        <v>2.9036380000000001E-2</v>
      </c>
      <c r="P2071">
        <v>-0.99659629999999999</v>
      </c>
      <c r="Q2071">
        <v>1.058564E-2</v>
      </c>
      <c r="R2071">
        <v>8.1755919999999996E-2</v>
      </c>
      <c r="S2071">
        <v>-2.9886469999999998</v>
      </c>
      <c r="T2071">
        <v>-0.56213299999999999</v>
      </c>
      <c r="U2071">
        <v>0.33584589999999998</v>
      </c>
      <c r="V2071">
        <v>5.2788509999999997E-2</v>
      </c>
      <c r="W2071">
        <v>1.44966E-2</v>
      </c>
      <c r="X2071">
        <v>0.99850050000000001</v>
      </c>
      <c r="Y2071">
        <v>8.1854869999999996E-2</v>
      </c>
      <c r="Z2071">
        <v>2.213072E-3</v>
      </c>
      <c r="AA2071">
        <v>0.99664180000000002</v>
      </c>
      <c r="AB2071">
        <v>41</v>
      </c>
      <c r="AC2071">
        <v>-0.77660000000003004</v>
      </c>
      <c r="AD2071">
        <v>-0.1876458</v>
      </c>
      <c r="AE2071">
        <v>0.105799999999987</v>
      </c>
      <c r="AF2071">
        <v>7.8694878197158702E-2</v>
      </c>
      <c r="AG2071">
        <v>-0.1876458</v>
      </c>
      <c r="AH2071">
        <v>0.73709527506110095</v>
      </c>
      <c r="AI2071">
        <v>104.20523369179899</v>
      </c>
      <c r="AJ2071">
        <v>83.905985653420501</v>
      </c>
      <c r="AK2071">
        <v>0.764665465827708</v>
      </c>
      <c r="AL2071">
        <v>89.1693769192985</v>
      </c>
      <c r="AM2071">
        <v>86.973716425196201</v>
      </c>
      <c r="AN2071">
        <v>1.0000000133499101</v>
      </c>
    </row>
    <row r="2072" spans="1:40" x14ac:dyDescent="0.25">
      <c r="A2072" t="str">
        <f>"20190312154837550"</f>
        <v>20190312154837550</v>
      </c>
      <c r="B2072" t="str">
        <f>"1552376917538171"</f>
        <v>1552376917538171</v>
      </c>
      <c r="C2072" t="s">
        <v>40</v>
      </c>
      <c r="D2072">
        <v>4.6286239999999896</v>
      </c>
      <c r="E2072">
        <v>0.51399989999999995</v>
      </c>
      <c r="F2072" t="s">
        <v>41</v>
      </c>
      <c r="G2072">
        <v>-298.80540000000002</v>
      </c>
      <c r="H2072">
        <v>0.95884080000000005</v>
      </c>
      <c r="I2072">
        <v>283.15249999999997</v>
      </c>
      <c r="J2072">
        <v>-298.22430000000003</v>
      </c>
      <c r="K2072">
        <v>1.108177</v>
      </c>
      <c r="L2072">
        <v>283.0693</v>
      </c>
      <c r="M2072">
        <v>-0.99956940000000005</v>
      </c>
      <c r="N2072">
        <v>0</v>
      </c>
      <c r="O2072">
        <v>2.9075500000000001E-2</v>
      </c>
      <c r="P2072">
        <v>-0.99662519999999999</v>
      </c>
      <c r="Q2072">
        <v>1.0522699999999999E-2</v>
      </c>
      <c r="R2072">
        <v>8.140965E-2</v>
      </c>
      <c r="S2072">
        <v>-2.9886469999999998</v>
      </c>
      <c r="T2072">
        <v>-0.5612338</v>
      </c>
      <c r="U2072">
        <v>0.33584589999999998</v>
      </c>
      <c r="V2072">
        <v>5.2402240000000003E-2</v>
      </c>
      <c r="W2072">
        <v>1.4441290000000001E-2</v>
      </c>
      <c r="X2072">
        <v>0.99852160000000001</v>
      </c>
      <c r="Y2072">
        <v>8.1820039999999997E-2</v>
      </c>
      <c r="Z2072">
        <v>2.1991060000000002E-3</v>
      </c>
      <c r="AA2072">
        <v>0.99664470000000005</v>
      </c>
      <c r="AB2072">
        <v>41</v>
      </c>
      <c r="AC2072">
        <v>-0.58109999999999196</v>
      </c>
      <c r="AD2072">
        <v>-0.149336199999999</v>
      </c>
      <c r="AE2072">
        <v>8.3199999999976598E-2</v>
      </c>
      <c r="AF2072">
        <v>6.2240900223281402E-2</v>
      </c>
      <c r="AG2072">
        <v>-0.149336199999999</v>
      </c>
      <c r="AH2072">
        <v>0.54782035405456897</v>
      </c>
      <c r="AI2072">
        <v>105.155390052824</v>
      </c>
      <c r="AJ2072">
        <v>83.518104735147304</v>
      </c>
      <c r="AK2072">
        <v>0.57121131869695796</v>
      </c>
      <c r="AL2072">
        <v>89.172546241112002</v>
      </c>
      <c r="AM2072">
        <v>86.995883339431899</v>
      </c>
      <c r="AN2072">
        <v>0.99999996564021998</v>
      </c>
    </row>
    <row r="2073" spans="1:40" x14ac:dyDescent="0.25">
      <c r="A2073" t="str">
        <f>"20190312154837562"</f>
        <v>20190312154837562</v>
      </c>
      <c r="B2073" t="str">
        <f>"1552376917557691"</f>
        <v>1552376917557691</v>
      </c>
      <c r="C2073" t="s">
        <v>40</v>
      </c>
      <c r="D2073">
        <v>4.5966589999999998</v>
      </c>
      <c r="E2073">
        <v>0.51413189999999998</v>
      </c>
      <c r="F2073" t="s">
        <v>41</v>
      </c>
      <c r="G2073">
        <v>-299.15730000000002</v>
      </c>
      <c r="H2073">
        <v>0.93324580000000001</v>
      </c>
      <c r="I2073">
        <v>283.17410000000001</v>
      </c>
      <c r="J2073">
        <v>-298.44380000000001</v>
      </c>
      <c r="K2073">
        <v>1.108182</v>
      </c>
      <c r="L2073">
        <v>283.07569999999998</v>
      </c>
      <c r="M2073">
        <v>-0.99956829999999997</v>
      </c>
      <c r="N2073">
        <v>0</v>
      </c>
      <c r="O2073">
        <v>2.9112829999999999E-2</v>
      </c>
      <c r="P2073">
        <v>-0.99663369999999996</v>
      </c>
      <c r="Q2073">
        <v>1.090465E-2</v>
      </c>
      <c r="R2073">
        <v>8.1254499999999993E-2</v>
      </c>
      <c r="S2073">
        <v>-2.9887079999999999</v>
      </c>
      <c r="T2073">
        <v>-0.5604595</v>
      </c>
      <c r="U2073">
        <v>0.33477780000000001</v>
      </c>
      <c r="V2073">
        <v>5.2209499999999999E-2</v>
      </c>
      <c r="W2073">
        <v>1.483225E-2</v>
      </c>
      <c r="X2073">
        <v>0.99852600000000002</v>
      </c>
      <c r="Y2073">
        <v>8.1438469999999999E-2</v>
      </c>
      <c r="Z2073">
        <v>2.1538439999999998E-3</v>
      </c>
      <c r="AA2073">
        <v>0.99667600000000001</v>
      </c>
      <c r="AB2073">
        <v>41</v>
      </c>
      <c r="AC2073">
        <v>-0.71350000000001002</v>
      </c>
      <c r="AD2073">
        <v>-0.17493619999999999</v>
      </c>
      <c r="AE2073">
        <v>9.8400000000026397E-2</v>
      </c>
      <c r="AF2073">
        <v>7.3264166493541893E-2</v>
      </c>
      <c r="AG2073">
        <v>-0.17493619999999999</v>
      </c>
      <c r="AH2073">
        <v>0.67617383385562702</v>
      </c>
      <c r="AI2073">
        <v>104.42435051675101</v>
      </c>
      <c r="AJ2073">
        <v>83.816064710634294</v>
      </c>
      <c r="AK2073">
        <v>0.70226872759183101</v>
      </c>
      <c r="AL2073">
        <v>89.150143511675196</v>
      </c>
      <c r="AM2073">
        <v>87.006925778951199</v>
      </c>
      <c r="AN2073">
        <v>1.0000000001031499</v>
      </c>
    </row>
    <row r="2074" spans="1:40" x14ac:dyDescent="0.25">
      <c r="A2074" t="str">
        <f>"20190312154837574"</f>
        <v>20190312154837574</v>
      </c>
      <c r="B2074" t="str">
        <f>"1552376917568427"</f>
        <v>1552376917568427</v>
      </c>
      <c r="C2074" t="s">
        <v>40</v>
      </c>
      <c r="D2074">
        <v>4.5748150000000001</v>
      </c>
      <c r="E2074">
        <v>0.51421600000000001</v>
      </c>
      <c r="F2074" t="s">
        <v>41</v>
      </c>
      <c r="G2074">
        <v>-299.17610000000002</v>
      </c>
      <c r="H2074">
        <v>0.97136880000000003</v>
      </c>
      <c r="I2074">
        <v>283.15820000000002</v>
      </c>
      <c r="J2074">
        <v>-298.6567</v>
      </c>
      <c r="K2074">
        <v>1.108185</v>
      </c>
      <c r="L2074">
        <v>283.08199999999999</v>
      </c>
      <c r="M2074">
        <v>-0.99956739999999999</v>
      </c>
      <c r="N2074">
        <v>0</v>
      </c>
      <c r="O2074">
        <v>2.9145870000000001E-2</v>
      </c>
      <c r="P2074">
        <v>-0.99665669999999995</v>
      </c>
      <c r="Q2074">
        <v>1.084425E-2</v>
      </c>
      <c r="R2074">
        <v>8.098205E-2</v>
      </c>
      <c r="S2074">
        <v>-2.9888919999999999</v>
      </c>
      <c r="T2074">
        <v>-0.55848310000000001</v>
      </c>
      <c r="U2074">
        <v>0.33541870000000001</v>
      </c>
      <c r="V2074">
        <v>5.1903299999999999E-2</v>
      </c>
      <c r="W2074">
        <v>1.478172E-2</v>
      </c>
      <c r="X2074">
        <v>0.99854270000000001</v>
      </c>
      <c r="Y2074">
        <v>8.1613820000000004E-2</v>
      </c>
      <c r="Z2074">
        <v>2.1563260000000001E-3</v>
      </c>
      <c r="AA2074">
        <v>0.99666169999999998</v>
      </c>
      <c r="AB2074">
        <v>41</v>
      </c>
      <c r="AC2074">
        <v>-0.51940000000001796</v>
      </c>
      <c r="AD2074">
        <v>-0.136816199999999</v>
      </c>
      <c r="AE2074">
        <v>7.6200000000028398E-2</v>
      </c>
      <c r="AF2074">
        <v>5.7147463428064801E-2</v>
      </c>
      <c r="AG2074">
        <v>-0.136816199999999</v>
      </c>
      <c r="AH2074">
        <v>0.48823726762935898</v>
      </c>
      <c r="AI2074">
        <v>105.553200102594</v>
      </c>
      <c r="AJ2074">
        <v>83.323989509677602</v>
      </c>
      <c r="AK2074">
        <v>0.51025497024613498</v>
      </c>
      <c r="AL2074">
        <v>89.153038974388195</v>
      </c>
      <c r="AM2074">
        <v>87.024497696029101</v>
      </c>
      <c r="AN2074">
        <v>0.99999998776016896</v>
      </c>
    </row>
    <row r="2075" spans="1:40" x14ac:dyDescent="0.25">
      <c r="A2075" t="str">
        <f>"20190312154837587"</f>
        <v>20190312154837587</v>
      </c>
      <c r="B2075" t="str">
        <f>"1552376917578187"</f>
        <v>1552376917578187</v>
      </c>
      <c r="C2075" t="s">
        <v>40</v>
      </c>
      <c r="D2075">
        <v>4.5496990000000004</v>
      </c>
      <c r="E2075">
        <v>0.51426149999999904</v>
      </c>
      <c r="F2075" t="s">
        <v>41</v>
      </c>
      <c r="G2075">
        <v>-299.52890000000002</v>
      </c>
      <c r="H2075">
        <v>0.94509410000000005</v>
      </c>
      <c r="I2075">
        <v>283.1798</v>
      </c>
      <c r="J2075">
        <v>-298.89729999999997</v>
      </c>
      <c r="K2075">
        <v>1.108188</v>
      </c>
      <c r="L2075">
        <v>283.089</v>
      </c>
      <c r="M2075">
        <v>-0.99956619999999996</v>
      </c>
      <c r="N2075">
        <v>0</v>
      </c>
      <c r="O2075">
        <v>2.9182010000000001E-2</v>
      </c>
      <c r="P2075">
        <v>-0.99666940000000004</v>
      </c>
      <c r="Q2075">
        <v>1.108776E-2</v>
      </c>
      <c r="R2075">
        <v>8.0791639999999998E-2</v>
      </c>
      <c r="S2075">
        <v>-2.9889220000000001</v>
      </c>
      <c r="T2075">
        <v>-0.55886459999999905</v>
      </c>
      <c r="U2075">
        <v>0.33523560000000002</v>
      </c>
      <c r="V2075">
        <v>5.1676359999999998E-2</v>
      </c>
      <c r="W2075">
        <v>1.503679E-2</v>
      </c>
      <c r="X2075">
        <v>0.99855070000000001</v>
      </c>
      <c r="Y2075">
        <v>8.1517430000000002E-2</v>
      </c>
      <c r="Z2075">
        <v>2.1421790000000001E-3</v>
      </c>
      <c r="AA2075">
        <v>0.99666960000000004</v>
      </c>
      <c r="AB2075">
        <v>41</v>
      </c>
      <c r="AC2075">
        <v>-0.63160000000004801</v>
      </c>
      <c r="AD2075">
        <v>-0.16309389999999899</v>
      </c>
      <c r="AE2075">
        <v>9.0800000000001505E-2</v>
      </c>
      <c r="AF2075">
        <v>6.7894346622321106E-2</v>
      </c>
      <c r="AG2075">
        <v>-0.16309389999999899</v>
      </c>
      <c r="AH2075">
        <v>0.59510317728222595</v>
      </c>
      <c r="AI2075">
        <v>105.23198306496199</v>
      </c>
      <c r="AJ2075">
        <v>83.491360173715506</v>
      </c>
      <c r="AK2075">
        <v>0.62077133803992801</v>
      </c>
      <c r="AL2075">
        <v>89.138422947949806</v>
      </c>
      <c r="AM2075">
        <v>87.037508134294299</v>
      </c>
      <c r="AN2075">
        <v>1.0000000258534201</v>
      </c>
    </row>
    <row r="2076" spans="1:40" x14ac:dyDescent="0.25">
      <c r="A2076" t="str">
        <f>"20190312154837602"</f>
        <v>20190312154837602</v>
      </c>
      <c r="B2076" t="str">
        <f>"1552376917597707"</f>
        <v>1552376917597707</v>
      </c>
      <c r="C2076" t="s">
        <v>40</v>
      </c>
      <c r="D2076">
        <v>4.5691649999999999</v>
      </c>
      <c r="E2076">
        <v>0.51428209999999996</v>
      </c>
      <c r="F2076" t="s">
        <v>41</v>
      </c>
      <c r="G2076">
        <v>-299.88549999999998</v>
      </c>
      <c r="H2076">
        <v>0.92349780000000004</v>
      </c>
      <c r="I2076">
        <v>283.2</v>
      </c>
      <c r="J2076">
        <v>-299.18639999999999</v>
      </c>
      <c r="K2076">
        <v>1.108201</v>
      </c>
      <c r="L2076">
        <v>283.09750000000003</v>
      </c>
      <c r="M2076">
        <v>-0.99956509999999998</v>
      </c>
      <c r="N2076">
        <v>0</v>
      </c>
      <c r="O2076">
        <v>2.9222189999999999E-2</v>
      </c>
      <c r="P2076">
        <v>-0.99666410000000005</v>
      </c>
      <c r="Q2076">
        <v>1.1525850000000001E-2</v>
      </c>
      <c r="R2076">
        <v>8.0795069999999997E-2</v>
      </c>
      <c r="S2076">
        <v>-2.9890439999999998</v>
      </c>
      <c r="T2076">
        <v>-0.55864049999999998</v>
      </c>
      <c r="U2076">
        <v>0.3349915</v>
      </c>
      <c r="V2076">
        <v>5.1639709999999998E-2</v>
      </c>
      <c r="W2076">
        <v>1.5489259999999999E-2</v>
      </c>
      <c r="X2076">
        <v>0.99854560000000003</v>
      </c>
      <c r="Y2076">
        <v>8.1395999999999996E-2</v>
      </c>
      <c r="Z2076">
        <v>2.1226270000000002E-3</v>
      </c>
      <c r="AA2076">
        <v>0.9966796</v>
      </c>
      <c r="AB2076">
        <v>41</v>
      </c>
      <c r="AC2076">
        <v>-0.69909999999998695</v>
      </c>
      <c r="AD2076">
        <v>-0.18470319999999901</v>
      </c>
      <c r="AE2076">
        <v>0.102499999999963</v>
      </c>
      <c r="AF2076">
        <v>7.6780178401012297E-2</v>
      </c>
      <c r="AG2076">
        <v>-0.18470319999999901</v>
      </c>
      <c r="AH2076">
        <v>0.65690795189703499</v>
      </c>
      <c r="AI2076">
        <v>105.60342666197199</v>
      </c>
      <c r="AJ2076">
        <v>83.333449431052202</v>
      </c>
      <c r="AK2076">
        <v>0.68668662805612302</v>
      </c>
      <c r="AL2076">
        <v>89.112495235985904</v>
      </c>
      <c r="AM2076">
        <v>87.039590366214298</v>
      </c>
      <c r="AN2076">
        <v>0.99999994605179399</v>
      </c>
    </row>
    <row r="2077" spans="1:40" x14ac:dyDescent="0.25">
      <c r="A2077" t="str">
        <f>"20190312154837617"</f>
        <v>20190312154837617</v>
      </c>
      <c r="B2077" t="str">
        <f>"1552376917608444"</f>
        <v>1552376917608444</v>
      </c>
      <c r="C2077" t="s">
        <v>40</v>
      </c>
      <c r="D2077">
        <v>4.5470969999999999</v>
      </c>
      <c r="E2077">
        <v>0.5142118</v>
      </c>
      <c r="F2077" t="s">
        <v>41</v>
      </c>
      <c r="G2077">
        <v>-299.90980000000002</v>
      </c>
      <c r="H2077">
        <v>0.97317019999999999</v>
      </c>
      <c r="I2077">
        <v>283.17880000000002</v>
      </c>
      <c r="J2077">
        <v>-299.42970000000003</v>
      </c>
      <c r="K2077">
        <v>1.108203</v>
      </c>
      <c r="L2077">
        <v>283.1046</v>
      </c>
      <c r="M2077">
        <v>-0.99956409999999996</v>
      </c>
      <c r="N2077">
        <v>0</v>
      </c>
      <c r="O2077">
        <v>2.92544E-2</v>
      </c>
      <c r="P2077">
        <v>-0.99664909999999995</v>
      </c>
      <c r="Q2077">
        <v>1.193323E-2</v>
      </c>
      <c r="R2077">
        <v>8.0921670000000001E-2</v>
      </c>
      <c r="S2077">
        <v>-2.9893489999999998</v>
      </c>
      <c r="T2077">
        <v>-0.55804299999999996</v>
      </c>
      <c r="U2077">
        <v>0.33502199999999999</v>
      </c>
      <c r="V2077">
        <v>5.1734540000000002E-2</v>
      </c>
      <c r="W2077">
        <v>1.5910730000000001E-2</v>
      </c>
      <c r="X2077">
        <v>0.99853409999999998</v>
      </c>
      <c r="Y2077">
        <v>8.1365809999999997E-2</v>
      </c>
      <c r="Z2077">
        <v>2.1114609999999998E-3</v>
      </c>
      <c r="AA2077">
        <v>0.99668199999999996</v>
      </c>
      <c r="AB2077">
        <v>41</v>
      </c>
      <c r="AC2077">
        <v>-0.48009999999999298</v>
      </c>
      <c r="AD2077">
        <v>-0.13503280000000001</v>
      </c>
      <c r="AE2077">
        <v>7.4200000000018904E-2</v>
      </c>
      <c r="AF2077">
        <v>5.5811044735218598E-2</v>
      </c>
      <c r="AG2077">
        <v>-0.13503280000000001</v>
      </c>
      <c r="AH2077">
        <v>0.44749132616184101</v>
      </c>
      <c r="AI2077">
        <v>106.66955336530999</v>
      </c>
      <c r="AJ2077">
        <v>82.890789462799106</v>
      </c>
      <c r="AK2077">
        <v>0.47074113563651898</v>
      </c>
      <c r="AL2077">
        <v>89.088343837825704</v>
      </c>
      <c r="AM2077">
        <v>87.034129537553696</v>
      </c>
      <c r="AN2077">
        <v>0.99999998141047697</v>
      </c>
    </row>
    <row r="2078" spans="1:40" x14ac:dyDescent="0.25">
      <c r="A2078" t="str">
        <f>"20190312154837629"</f>
        <v>20190312154837629</v>
      </c>
      <c r="B2078" t="str">
        <f>"1552376917618203"</f>
        <v>1552376917618203</v>
      </c>
      <c r="C2078" t="s">
        <v>40</v>
      </c>
      <c r="D2078">
        <v>4.536708</v>
      </c>
      <c r="E2078">
        <v>0.51417230000000003</v>
      </c>
      <c r="F2078" t="s">
        <v>41</v>
      </c>
      <c r="G2078">
        <v>-300.26749999999998</v>
      </c>
      <c r="H2078">
        <v>0.9520478</v>
      </c>
      <c r="I2078">
        <v>283.19850000000002</v>
      </c>
      <c r="J2078">
        <v>-299.66550000000001</v>
      </c>
      <c r="K2078">
        <v>1.1082069999999999</v>
      </c>
      <c r="L2078">
        <v>283.11149999999998</v>
      </c>
      <c r="M2078">
        <v>-0.99956319999999999</v>
      </c>
      <c r="N2078">
        <v>0</v>
      </c>
      <c r="O2078">
        <v>2.92847E-2</v>
      </c>
      <c r="P2078">
        <v>-0.99663349999999995</v>
      </c>
      <c r="Q2078">
        <v>1.20521E-2</v>
      </c>
      <c r="R2078">
        <v>8.1095319999999999E-2</v>
      </c>
      <c r="S2078">
        <v>-2.989563</v>
      </c>
      <c r="T2078">
        <v>-0.55722700000000003</v>
      </c>
      <c r="U2078">
        <v>0.33493040000000002</v>
      </c>
      <c r="V2078">
        <v>5.1878090000000002E-2</v>
      </c>
      <c r="W2078">
        <v>1.6042799999999999E-2</v>
      </c>
      <c r="X2078">
        <v>0.99852450000000004</v>
      </c>
      <c r="Y2078">
        <v>8.1301860000000004E-2</v>
      </c>
      <c r="Z2078">
        <v>2.0968129999999999E-3</v>
      </c>
      <c r="AA2078">
        <v>0.99668730000000005</v>
      </c>
      <c r="AB2078">
        <v>41</v>
      </c>
      <c r="AC2078">
        <v>-0.601999999999975</v>
      </c>
      <c r="AD2078">
        <v>-0.156159199999999</v>
      </c>
      <c r="AE2078">
        <v>8.7000000000045902E-2</v>
      </c>
      <c r="AF2078">
        <v>6.5045849052298502E-2</v>
      </c>
      <c r="AG2078">
        <v>-0.156159199999999</v>
      </c>
      <c r="AH2078">
        <v>0.56692254117498897</v>
      </c>
      <c r="AI2078">
        <v>105.304600847765</v>
      </c>
      <c r="AJ2078">
        <v>83.454790120861205</v>
      </c>
      <c r="AK2078">
        <v>0.59162304376678998</v>
      </c>
      <c r="AL2078">
        <v>89.080775782238902</v>
      </c>
      <c r="AM2078">
        <v>87.025886224256396</v>
      </c>
      <c r="AN2078">
        <v>0.99999994237706702</v>
      </c>
    </row>
    <row r="2079" spans="1:40" x14ac:dyDescent="0.25">
      <c r="A2079" t="str">
        <f>"20190312154837649"</f>
        <v>20190312154837649</v>
      </c>
      <c r="B2079" t="str">
        <f>"1552376917637724"</f>
        <v>1552376917637724</v>
      </c>
      <c r="C2079" t="s">
        <v>40</v>
      </c>
      <c r="D2079">
        <v>4.5283530000000001</v>
      </c>
      <c r="E2079">
        <v>0.51421479999999997</v>
      </c>
      <c r="F2079" t="s">
        <v>41</v>
      </c>
      <c r="G2079">
        <v>-300.62580000000003</v>
      </c>
      <c r="H2079">
        <v>0.92934689999999998</v>
      </c>
      <c r="I2079">
        <v>283.21960000000001</v>
      </c>
      <c r="J2079">
        <v>-300.0224</v>
      </c>
      <c r="K2079">
        <v>1.1082129999999999</v>
      </c>
      <c r="L2079">
        <v>283.12200000000001</v>
      </c>
      <c r="M2079">
        <v>-0.9995617</v>
      </c>
      <c r="N2079">
        <v>0</v>
      </c>
      <c r="O2079">
        <v>2.9329339999999999E-2</v>
      </c>
      <c r="P2079">
        <v>-0.99659739999999997</v>
      </c>
      <c r="Q2079">
        <v>1.250355E-2</v>
      </c>
      <c r="R2079">
        <v>8.1469490000000006E-2</v>
      </c>
      <c r="S2079">
        <v>-2.9896240000000001</v>
      </c>
      <c r="T2079">
        <v>-0.55694960000000004</v>
      </c>
      <c r="U2079">
        <v>0.33532709999999999</v>
      </c>
      <c r="V2079">
        <v>5.2208499999999998E-2</v>
      </c>
      <c r="W2079">
        <v>1.651623E-2</v>
      </c>
      <c r="X2079">
        <v>0.99849960000000004</v>
      </c>
      <c r="Y2079">
        <v>8.1385990000000005E-2</v>
      </c>
      <c r="Z2079">
        <v>2.095267E-3</v>
      </c>
      <c r="AA2079">
        <v>0.99668040000000002</v>
      </c>
      <c r="AB2079">
        <v>41</v>
      </c>
      <c r="AC2079">
        <v>-0.60340000000002103</v>
      </c>
      <c r="AD2079">
        <v>-0.178866099999999</v>
      </c>
      <c r="AE2079">
        <v>9.7599999999999895E-2</v>
      </c>
      <c r="AF2079">
        <v>7.3561433950122906E-2</v>
      </c>
      <c r="AG2079">
        <v>-0.178866099999999</v>
      </c>
      <c r="AH2079">
        <v>0.55820365756194901</v>
      </c>
      <c r="AI2079">
        <v>107.624268441051</v>
      </c>
      <c r="AJ2079">
        <v>82.492682426408393</v>
      </c>
      <c r="AK2079">
        <v>0.59075857133819598</v>
      </c>
      <c r="AL2079">
        <v>89.053646682120799</v>
      </c>
      <c r="AM2079">
        <v>87.0069040123756</v>
      </c>
      <c r="AN2079">
        <v>0.99999998226291098</v>
      </c>
    </row>
    <row r="2080" spans="1:40" x14ac:dyDescent="0.25">
      <c r="A2080" t="str">
        <f>"20190312154837671"</f>
        <v>20190312154837671</v>
      </c>
      <c r="B2080" t="str">
        <f>"1552376917658220"</f>
        <v>1552376917658220</v>
      </c>
      <c r="C2080" t="s">
        <v>40</v>
      </c>
      <c r="D2080">
        <v>4.4554130000000001</v>
      </c>
      <c r="E2080">
        <v>0.50251950000000001</v>
      </c>
      <c r="F2080" t="s">
        <v>41</v>
      </c>
      <c r="G2080">
        <v>-300.99529999999999</v>
      </c>
      <c r="H2080">
        <v>0.92690660000000002</v>
      </c>
      <c r="I2080">
        <v>283.23149999999998</v>
      </c>
      <c r="J2080">
        <v>-300.43959999999998</v>
      </c>
      <c r="K2080">
        <v>1.108214</v>
      </c>
      <c r="L2080">
        <v>283.1343</v>
      </c>
      <c r="M2080">
        <v>-0.99956020000000001</v>
      </c>
      <c r="N2080">
        <v>0</v>
      </c>
      <c r="O2080">
        <v>2.938029E-2</v>
      </c>
      <c r="P2080">
        <v>-0.99653729999999996</v>
      </c>
      <c r="Q2080">
        <v>1.301448E-2</v>
      </c>
      <c r="R2080">
        <v>8.2123989999999994E-2</v>
      </c>
      <c r="S2080">
        <v>-2.9897459999999998</v>
      </c>
      <c r="T2080">
        <v>-0.55717659999999902</v>
      </c>
      <c r="U2080">
        <v>0.33636470000000002</v>
      </c>
      <c r="V2080">
        <v>5.2813569999999997E-2</v>
      </c>
      <c r="W2080">
        <v>1.7054030000000001E-2</v>
      </c>
      <c r="X2080">
        <v>0.99845870000000003</v>
      </c>
      <c r="Y2080">
        <v>8.1667740000000003E-2</v>
      </c>
      <c r="Z2080">
        <v>2.1125660000000002E-3</v>
      </c>
      <c r="AA2080">
        <v>0.99665740000000003</v>
      </c>
      <c r="AB2080">
        <v>41</v>
      </c>
      <c r="AC2080">
        <v>-0.55570000000000097</v>
      </c>
      <c r="AD2080">
        <v>-0.18130740000000001</v>
      </c>
      <c r="AE2080">
        <v>9.7199999999986603E-2</v>
      </c>
      <c r="AF2080">
        <v>7.3263793676853498E-2</v>
      </c>
      <c r="AG2080">
        <v>-0.18130740000000001</v>
      </c>
      <c r="AH2080">
        <v>0.50604593474537896</v>
      </c>
      <c r="AI2080">
        <v>109.523775766124</v>
      </c>
      <c r="AJ2080">
        <v>81.762129086915493</v>
      </c>
      <c r="AK2080">
        <v>0.54251492590619899</v>
      </c>
      <c r="AL2080">
        <v>89.022828632291194</v>
      </c>
      <c r="AM2080">
        <v>86.972155928467799</v>
      </c>
      <c r="AN2080">
        <v>0.99999994436053596</v>
      </c>
    </row>
    <row r="2081" spans="1:40" x14ac:dyDescent="0.25">
      <c r="A2081" t="str">
        <f>"20190312154837695"</f>
        <v>20190312154837695</v>
      </c>
      <c r="B2081" t="str">
        <f>"1552376917687499"</f>
        <v>1552376917687499</v>
      </c>
      <c r="C2081" t="s">
        <v>40</v>
      </c>
      <c r="D2081">
        <v>4.4611999999999998</v>
      </c>
      <c r="E2081">
        <v>0.49571169999999998</v>
      </c>
      <c r="F2081" t="s">
        <v>41</v>
      </c>
      <c r="G2081">
        <v>-301.39769999999999</v>
      </c>
      <c r="H2081">
        <v>0.98885690000000004</v>
      </c>
      <c r="I2081">
        <v>283.21519999999998</v>
      </c>
      <c r="J2081">
        <v>-300.87310000000002</v>
      </c>
      <c r="K2081">
        <v>1.108212</v>
      </c>
      <c r="L2081">
        <v>283.14710000000002</v>
      </c>
      <c r="M2081">
        <v>-0.99955850000000002</v>
      </c>
      <c r="N2081">
        <v>0</v>
      </c>
      <c r="O2081">
        <v>2.9432659999999999E-2</v>
      </c>
      <c r="P2081">
        <v>-0.99651000000000001</v>
      </c>
      <c r="Q2081">
        <v>1.339737E-2</v>
      </c>
      <c r="R2081">
        <v>8.2393179999999996E-2</v>
      </c>
      <c r="S2081">
        <v>-2.9944760000000001</v>
      </c>
      <c r="T2081">
        <v>-0.37319089999999999</v>
      </c>
      <c r="U2081">
        <v>0.2519226</v>
      </c>
      <c r="V2081">
        <v>5.3031170000000002E-2</v>
      </c>
      <c r="W2081">
        <v>1.7466909999999999E-2</v>
      </c>
      <c r="X2081">
        <v>0.99844010000000005</v>
      </c>
      <c r="Y2081">
        <v>5.4276560000000001E-2</v>
      </c>
      <c r="Z2081">
        <v>-2.8285380000000001E-4</v>
      </c>
      <c r="AA2081">
        <v>0.99852589999999997</v>
      </c>
      <c r="AB2081">
        <v>41</v>
      </c>
      <c r="AC2081">
        <v>-0.52459999999996398</v>
      </c>
      <c r="AD2081">
        <v>-0.11935510000000001</v>
      </c>
      <c r="AE2081">
        <v>6.8099999999958499E-2</v>
      </c>
      <c r="AF2081">
        <v>5.0080598744676297E-2</v>
      </c>
      <c r="AG2081">
        <v>-0.11935510000000001</v>
      </c>
      <c r="AH2081">
        <v>0.50087940005764298</v>
      </c>
      <c r="AI2081">
        <v>103.33900166221299</v>
      </c>
      <c r="AJ2081">
        <v>84.290238318723198</v>
      </c>
      <c r="AK2081">
        <v>0.51733343181041302</v>
      </c>
      <c r="AL2081">
        <v>88.999168896006495</v>
      </c>
      <c r="AM2081">
        <v>86.959647571926894</v>
      </c>
      <c r="AN2081">
        <v>1.0000000156122599</v>
      </c>
    </row>
    <row r="2082" spans="1:40" x14ac:dyDescent="0.25">
      <c r="A2082" t="str">
        <f>"20190312154837716"</f>
        <v>20190312154837716</v>
      </c>
      <c r="B2082" t="str">
        <f>"1552376917707995"</f>
        <v>1552376917707995</v>
      </c>
      <c r="C2082" t="s">
        <v>40</v>
      </c>
      <c r="D2082">
        <v>4.4240279999999998</v>
      </c>
      <c r="E2082">
        <v>0.49427890000000002</v>
      </c>
      <c r="F2082" t="s">
        <v>50</v>
      </c>
      <c r="G2082">
        <v>-321.8236</v>
      </c>
      <c r="H2082" s="1">
        <v>-5.651723E-7</v>
      </c>
      <c r="I2082">
        <v>284.58949999999999</v>
      </c>
      <c r="J2082">
        <v>-301.28739999999999</v>
      </c>
      <c r="K2082">
        <v>1.108212</v>
      </c>
      <c r="L2082">
        <v>283.15929999999997</v>
      </c>
      <c r="M2082">
        <v>-0.99955700000000003</v>
      </c>
      <c r="N2082">
        <v>0</v>
      </c>
      <c r="O2082">
        <v>2.9482600000000001E-2</v>
      </c>
      <c r="P2082">
        <v>-0.99647949999999996</v>
      </c>
      <c r="Q2082">
        <v>1.3275459999999999E-2</v>
      </c>
      <c r="R2082">
        <v>8.2780599999999996E-2</v>
      </c>
      <c r="S2082">
        <v>-2.9955750000000001</v>
      </c>
      <c r="T2082">
        <v>-0.15845609999999999</v>
      </c>
      <c r="U2082">
        <v>0.2062378</v>
      </c>
      <c r="V2082">
        <v>5.3369229999999997E-2</v>
      </c>
      <c r="W2082">
        <v>1.7374899999999999E-2</v>
      </c>
      <c r="X2082">
        <v>0.99842370000000003</v>
      </c>
      <c r="Y2082">
        <v>3.9228260000000001E-2</v>
      </c>
      <c r="Z2082">
        <v>-5.2047940000000004E-4</v>
      </c>
      <c r="AA2082">
        <v>0.99923010000000001</v>
      </c>
      <c r="AB2082">
        <v>42</v>
      </c>
      <c r="AC2082">
        <v>-20.536200000000001</v>
      </c>
      <c r="AD2082">
        <v>-1.1082125651723</v>
      </c>
      <c r="AE2082">
        <v>1.4302000000000099</v>
      </c>
      <c r="AF2082">
        <v>0.82173127147795999</v>
      </c>
      <c r="AG2082">
        <v>-1.1082125651723</v>
      </c>
      <c r="AH2082">
        <v>20.510000157722001</v>
      </c>
      <c r="AI2082">
        <v>93.090368841352699</v>
      </c>
      <c r="AJ2082">
        <v>87.705676947558501</v>
      </c>
      <c r="AK2082">
        <v>20.556348991051099</v>
      </c>
      <c r="AL2082">
        <v>89.004441488388295</v>
      </c>
      <c r="AM2082">
        <v>86.940252658489896</v>
      </c>
      <c r="AN2082">
        <v>1.00000002329124</v>
      </c>
    </row>
    <row r="2083" spans="1:40" x14ac:dyDescent="0.25">
      <c r="A2083" t="str">
        <f>"20190312154837739"</f>
        <v>20190312154837739</v>
      </c>
      <c r="B2083" t="str">
        <f>"1552376917728491"</f>
        <v>1552376917728491</v>
      </c>
      <c r="C2083" t="s">
        <v>40</v>
      </c>
      <c r="D2083">
        <v>4.4752519999999896</v>
      </c>
      <c r="E2083">
        <v>0.49317840000000002</v>
      </c>
      <c r="F2083" t="s">
        <v>50</v>
      </c>
      <c r="G2083">
        <v>-334.10059999999999</v>
      </c>
      <c r="H2083" s="1">
        <v>6.1421419999999898E-7</v>
      </c>
      <c r="I2083">
        <v>285.32889999999998</v>
      </c>
      <c r="J2083">
        <v>-301.70280000000002</v>
      </c>
      <c r="K2083">
        <v>1.108215</v>
      </c>
      <c r="L2083">
        <v>283.17160000000001</v>
      </c>
      <c r="M2083">
        <v>-0.99955519999999998</v>
      </c>
      <c r="N2083">
        <v>0</v>
      </c>
      <c r="O2083">
        <v>2.9532650000000001E-2</v>
      </c>
      <c r="P2083">
        <v>-0.99645740000000005</v>
      </c>
      <c r="Q2083">
        <v>1.329988E-2</v>
      </c>
      <c r="R2083">
        <v>8.3041050000000005E-2</v>
      </c>
      <c r="S2083">
        <v>-2.9954830000000001</v>
      </c>
      <c r="T2083">
        <v>-0.1011674</v>
      </c>
      <c r="U2083">
        <v>0.19805909999999999</v>
      </c>
      <c r="V2083">
        <v>5.358011E-2</v>
      </c>
      <c r="W2083">
        <v>1.74302E-2</v>
      </c>
      <c r="X2083">
        <v>0.99841139999999995</v>
      </c>
      <c r="Y2083">
        <v>3.6473899999999997E-2</v>
      </c>
      <c r="Z2083">
        <v>-3.8062620000000003E-4</v>
      </c>
      <c r="AA2083">
        <v>0.99933450000000001</v>
      </c>
      <c r="AB2083">
        <v>42</v>
      </c>
      <c r="AC2083">
        <v>-32.397799999999897</v>
      </c>
      <c r="AD2083">
        <v>-1.1082143857858</v>
      </c>
      <c r="AE2083">
        <v>2.1572999999999598</v>
      </c>
      <c r="AF2083">
        <v>1.1981621159259801</v>
      </c>
      <c r="AG2083">
        <v>-1.1082143857858</v>
      </c>
      <c r="AH2083">
        <v>32.409625156880097</v>
      </c>
      <c r="AI2083">
        <v>91.957072352500205</v>
      </c>
      <c r="AJ2083">
        <v>87.882777646964101</v>
      </c>
      <c r="AK2083">
        <v>32.4506938969011</v>
      </c>
      <c r="AL2083">
        <v>89.001272510576101</v>
      </c>
      <c r="AM2083">
        <v>86.928147892925296</v>
      </c>
      <c r="AN2083">
        <v>0.99999998185480499</v>
      </c>
    </row>
    <row r="2084" spans="1:40" x14ac:dyDescent="0.25">
      <c r="A2084" t="str">
        <f>"20190312154837759"</f>
        <v>20190312154837759</v>
      </c>
      <c r="B2084" t="str">
        <f>"1552376917748012"</f>
        <v>1552376917748012</v>
      </c>
      <c r="C2084" t="s">
        <v>40</v>
      </c>
      <c r="D2084">
        <v>4.4864920000000001</v>
      </c>
      <c r="E2084">
        <v>0.4922358</v>
      </c>
      <c r="F2084" t="s">
        <v>50</v>
      </c>
      <c r="G2084">
        <v>-343.82330000000002</v>
      </c>
      <c r="H2084" s="1">
        <v>4.9776620000000002E-7</v>
      </c>
      <c r="I2084">
        <v>285.85239999999999</v>
      </c>
      <c r="J2084">
        <v>-302.0967</v>
      </c>
      <c r="K2084">
        <v>1.1082179999999999</v>
      </c>
      <c r="L2084">
        <v>283.18329999999997</v>
      </c>
      <c r="M2084">
        <v>-0.99955380000000005</v>
      </c>
      <c r="N2084">
        <v>0</v>
      </c>
      <c r="O2084">
        <v>2.9579609999999999E-2</v>
      </c>
      <c r="P2084">
        <v>-0.99644600000000005</v>
      </c>
      <c r="Q2084">
        <v>1.3340390000000001E-2</v>
      </c>
      <c r="R2084">
        <v>8.3171889999999998E-2</v>
      </c>
      <c r="S2084">
        <v>-2.995819</v>
      </c>
      <c r="T2084">
        <v>-7.8821660000000002E-2</v>
      </c>
      <c r="U2084">
        <v>0.1906738</v>
      </c>
      <c r="V2084">
        <v>5.3664209999999997E-2</v>
      </c>
      <c r="W2084">
        <v>1.7500760000000001E-2</v>
      </c>
      <c r="X2084">
        <v>0.99840569999999895</v>
      </c>
      <c r="Y2084">
        <v>3.3968680000000001E-2</v>
      </c>
      <c r="Z2084">
        <v>-3.307354E-4</v>
      </c>
      <c r="AA2084">
        <v>0.99942279999999994</v>
      </c>
      <c r="AB2084">
        <v>42</v>
      </c>
      <c r="AC2084">
        <v>-41.726599999999998</v>
      </c>
      <c r="AD2084">
        <v>-1.1082175022337999</v>
      </c>
      <c r="AE2084">
        <v>2.66910000000001</v>
      </c>
      <c r="AF2084">
        <v>1.4326584041205399</v>
      </c>
      <c r="AG2084">
        <v>-1.1082175022337999</v>
      </c>
      <c r="AH2084">
        <v>41.757957638319702</v>
      </c>
      <c r="AI2084">
        <v>91.519326552082603</v>
      </c>
      <c r="AJ2084">
        <v>88.035030917070998</v>
      </c>
      <c r="AK2084">
        <v>41.797220987272098</v>
      </c>
      <c r="AL2084">
        <v>88.997229154751906</v>
      </c>
      <c r="AM2084">
        <v>86.923318000880698</v>
      </c>
      <c r="AN2084">
        <v>1.00000003291399</v>
      </c>
    </row>
    <row r="2085" spans="1:40" x14ac:dyDescent="0.25">
      <c r="A2085" t="str">
        <f>"20190312154837771"</f>
        <v>20190312154837771</v>
      </c>
      <c r="B2085" t="str">
        <f>"1552376917768508"</f>
        <v>1552376917768508</v>
      </c>
      <c r="C2085" t="s">
        <v>40</v>
      </c>
      <c r="D2085">
        <v>4.4557140000000004</v>
      </c>
      <c r="E2085">
        <v>0.49154019999999998</v>
      </c>
      <c r="F2085" t="s">
        <v>50</v>
      </c>
      <c r="G2085">
        <v>-349.08150000000001</v>
      </c>
      <c r="H2085" s="1">
        <v>3.2959309999999999E-6</v>
      </c>
      <c r="I2085">
        <v>286.07029999999997</v>
      </c>
      <c r="J2085">
        <v>-302.31689999999998</v>
      </c>
      <c r="K2085">
        <v>1.1082179999999999</v>
      </c>
      <c r="L2085">
        <v>283.18979999999999</v>
      </c>
      <c r="M2085">
        <v>-0.99955280000000002</v>
      </c>
      <c r="N2085">
        <v>0</v>
      </c>
      <c r="O2085">
        <v>2.9605969999999999E-2</v>
      </c>
      <c r="P2085">
        <v>-0.99643510000000002</v>
      </c>
      <c r="Q2085">
        <v>1.3485820000000001E-2</v>
      </c>
      <c r="R2085">
        <v>8.3279069999999997E-2</v>
      </c>
      <c r="S2085">
        <v>-2.9963069999999998</v>
      </c>
      <c r="T2085">
        <v>-7.0672990000000005E-2</v>
      </c>
      <c r="U2085">
        <v>0.18411250000000001</v>
      </c>
      <c r="V2085">
        <v>5.374549E-2</v>
      </c>
      <c r="W2085">
        <v>1.766334E-2</v>
      </c>
      <c r="X2085">
        <v>0.99839840000000002</v>
      </c>
      <c r="Y2085">
        <v>3.1752839999999997E-2</v>
      </c>
      <c r="Z2085">
        <v>-3.2325620000000002E-4</v>
      </c>
      <c r="AA2085">
        <v>0.99949569999999999</v>
      </c>
      <c r="AB2085">
        <v>42</v>
      </c>
      <c r="AC2085">
        <v>-46.764600000000002</v>
      </c>
      <c r="AD2085">
        <v>-1.108214704069</v>
      </c>
      <c r="AE2085">
        <v>2.8804999999999801</v>
      </c>
      <c r="AF2085">
        <v>1.49387794954978</v>
      </c>
      <c r="AG2085">
        <v>-1.108214704069</v>
      </c>
      <c r="AH2085">
        <v>46.803196495203998</v>
      </c>
      <c r="AI2085">
        <v>91.3557164090859</v>
      </c>
      <c r="AJ2085">
        <v>88.171837415374199</v>
      </c>
      <c r="AK2085">
        <v>46.8401431821801</v>
      </c>
      <c r="AL2085">
        <v>88.987912501588298</v>
      </c>
      <c r="AM2085">
        <v>86.918644534296902</v>
      </c>
      <c r="AN2085">
        <v>0.999999968198927</v>
      </c>
    </row>
    <row r="2086" spans="1:40" x14ac:dyDescent="0.25">
      <c r="A2086" t="str">
        <f>"20190312154837783"</f>
        <v>20190312154837783</v>
      </c>
      <c r="B2086" t="str">
        <f>"1552376917778268"</f>
        <v>1552376917778268</v>
      </c>
      <c r="C2086" t="s">
        <v>40</v>
      </c>
      <c r="D2086">
        <v>4.4126000000000003</v>
      </c>
      <c r="E2086">
        <v>0.49122359999999998</v>
      </c>
      <c r="F2086" t="s">
        <v>50</v>
      </c>
      <c r="G2086">
        <v>-354.00389999999999</v>
      </c>
      <c r="H2086" s="1">
        <v>5.9390589999999995E-7</v>
      </c>
      <c r="I2086">
        <v>286.27550000000002</v>
      </c>
      <c r="J2086">
        <v>-302.54320000000001</v>
      </c>
      <c r="K2086">
        <v>1.108217</v>
      </c>
      <c r="L2086">
        <v>283.19659999999999</v>
      </c>
      <c r="M2086">
        <v>-0.99955210000000005</v>
      </c>
      <c r="N2086">
        <v>0</v>
      </c>
      <c r="O2086">
        <v>2.963317E-2</v>
      </c>
      <c r="P2086">
        <v>-0.99641610000000003</v>
      </c>
      <c r="Q2086">
        <v>1.3627429999999999E-2</v>
      </c>
      <c r="R2086">
        <v>8.3484550000000005E-2</v>
      </c>
      <c r="S2086">
        <v>-2.996613</v>
      </c>
      <c r="T2086">
        <v>-6.4250109999999999E-2</v>
      </c>
      <c r="U2086">
        <v>0.178894</v>
      </c>
      <c r="V2086">
        <v>5.392421E-2</v>
      </c>
      <c r="W2086">
        <v>1.7823060000000002E-2</v>
      </c>
      <c r="X2086">
        <v>0.998386</v>
      </c>
      <c r="Y2086">
        <v>2.9985640000000001E-2</v>
      </c>
      <c r="Z2086">
        <v>-3.1338299999999998E-4</v>
      </c>
      <c r="AA2086">
        <v>0.9995503</v>
      </c>
      <c r="AB2086">
        <v>42</v>
      </c>
      <c r="AC2086">
        <v>-51.460699999999903</v>
      </c>
      <c r="AD2086">
        <v>-1.1082164060941</v>
      </c>
      <c r="AE2086">
        <v>3.0789000000000302</v>
      </c>
      <c r="AF2086">
        <v>1.5518737175086701</v>
      </c>
      <c r="AG2086">
        <v>-1.1082164060941</v>
      </c>
      <c r="AH2086">
        <v>51.505537294794699</v>
      </c>
      <c r="AI2086">
        <v>91.232052732591995</v>
      </c>
      <c r="AJ2086">
        <v>88.274187071379302</v>
      </c>
      <c r="AK2086">
        <v>51.540826804227002</v>
      </c>
      <c r="AL2086">
        <v>88.978759855386201</v>
      </c>
      <c r="AM2086">
        <v>86.908379616762105</v>
      </c>
      <c r="AN2086">
        <v>1.00000004344394</v>
      </c>
    </row>
    <row r="2087" spans="1:40" x14ac:dyDescent="0.25">
      <c r="A2087" t="str">
        <f>"20190312154837794"</f>
        <v>20190312154837794</v>
      </c>
      <c r="B2087" t="str">
        <f>"1552376917788028"</f>
        <v>1552376917788028</v>
      </c>
      <c r="C2087" t="s">
        <v>40</v>
      </c>
      <c r="D2087">
        <v>4.419753</v>
      </c>
      <c r="E2087">
        <v>0.49103400000000003</v>
      </c>
      <c r="F2087" t="s">
        <v>50</v>
      </c>
      <c r="G2087">
        <v>-356.25869999999998</v>
      </c>
      <c r="H2087" s="1">
        <v>1.7937909999999901E-6</v>
      </c>
      <c r="I2087">
        <v>286.36869999999999</v>
      </c>
      <c r="J2087">
        <v>-302.75639999999999</v>
      </c>
      <c r="K2087">
        <v>1.108217</v>
      </c>
      <c r="L2087">
        <v>283.2029</v>
      </c>
      <c r="M2087">
        <v>-0.99955119999999997</v>
      </c>
      <c r="N2087">
        <v>0</v>
      </c>
      <c r="O2087">
        <v>2.9657860000000001E-2</v>
      </c>
      <c r="P2087">
        <v>-0.99642679999999995</v>
      </c>
      <c r="Q2087">
        <v>1.349611E-2</v>
      </c>
      <c r="R2087">
        <v>8.3377859999999998E-2</v>
      </c>
      <c r="S2087">
        <v>-2.9967649999999999</v>
      </c>
      <c r="T2087">
        <v>-6.1826829999999999E-2</v>
      </c>
      <c r="U2087">
        <v>0.1769714</v>
      </c>
      <c r="V2087">
        <v>5.3792510000000002E-2</v>
      </c>
      <c r="W2087">
        <v>1.770863E-2</v>
      </c>
      <c r="X2087">
        <v>0.99839509999999998</v>
      </c>
      <c r="Y2087">
        <v>2.9319040000000001E-2</v>
      </c>
      <c r="Z2087">
        <v>-3.0893609999999998E-4</v>
      </c>
      <c r="AA2087">
        <v>0.99957010000000002</v>
      </c>
      <c r="AB2087">
        <v>42</v>
      </c>
      <c r="AC2087">
        <v>-53.502299999999899</v>
      </c>
      <c r="AD2087">
        <v>-1.108215206209</v>
      </c>
      <c r="AE2087">
        <v>3.1657999999999902</v>
      </c>
      <c r="AF2087">
        <v>1.5769552897958301</v>
      </c>
      <c r="AG2087">
        <v>-1.108215206209</v>
      </c>
      <c r="AH2087">
        <v>53.549760965193599</v>
      </c>
      <c r="AI2087">
        <v>91.185056440654407</v>
      </c>
      <c r="AJ2087">
        <v>88.313217906721803</v>
      </c>
      <c r="AK2087">
        <v>53.584436437819001</v>
      </c>
      <c r="AL2087">
        <v>88.985317204735097</v>
      </c>
      <c r="AM2087">
        <v>86.915943794688403</v>
      </c>
      <c r="AN2087">
        <v>1.0000000027062901</v>
      </c>
    </row>
    <row r="2088" spans="1:40" x14ac:dyDescent="0.25">
      <c r="A2088" t="str">
        <f>"20190312154837806"</f>
        <v>20190312154837806</v>
      </c>
      <c r="B2088" t="str">
        <f>"1552376917797787"</f>
        <v>1552376917797787</v>
      </c>
      <c r="C2088" t="s">
        <v>40</v>
      </c>
      <c r="D2088">
        <v>4.3980810000000004</v>
      </c>
      <c r="E2088">
        <v>0.49081970000000003</v>
      </c>
      <c r="F2088" t="s">
        <v>50</v>
      </c>
      <c r="G2088">
        <v>-357.99889999999999</v>
      </c>
      <c r="H2088" s="1">
        <v>2.7198059999999999E-6</v>
      </c>
      <c r="I2088">
        <v>286.43520000000001</v>
      </c>
      <c r="J2088">
        <v>-302.97770000000003</v>
      </c>
      <c r="K2088">
        <v>1.108217</v>
      </c>
      <c r="L2088">
        <v>283.20940000000002</v>
      </c>
      <c r="M2088">
        <v>-0.9995503</v>
      </c>
      <c r="N2088">
        <v>0</v>
      </c>
      <c r="O2088">
        <v>2.968322E-2</v>
      </c>
      <c r="P2088">
        <v>-0.99641999999999997</v>
      </c>
      <c r="Q2088">
        <v>1.3529869999999999E-2</v>
      </c>
      <c r="R2088">
        <v>8.3451929999999994E-2</v>
      </c>
      <c r="S2088">
        <v>-2.9968870000000001</v>
      </c>
      <c r="T2088">
        <v>-6.0120340000000001E-2</v>
      </c>
      <c r="U2088">
        <v>0.17535400000000001</v>
      </c>
      <c r="V2088">
        <v>5.384137E-2</v>
      </c>
      <c r="W2088">
        <v>1.7760120000000001E-2</v>
      </c>
      <c r="X2088">
        <v>0.99839160000000005</v>
      </c>
      <c r="Y2088">
        <v>2.8753790000000001E-2</v>
      </c>
      <c r="Z2088">
        <v>-3.0657669999999999E-4</v>
      </c>
      <c r="AA2088">
        <v>0.99958650000000004</v>
      </c>
      <c r="AB2088">
        <v>42</v>
      </c>
      <c r="AC2088">
        <v>-55.021199999999901</v>
      </c>
      <c r="AD2088">
        <v>-1.108214280194</v>
      </c>
      <c r="AE2088">
        <v>3.2257999999999898</v>
      </c>
      <c r="AF2088">
        <v>1.59051434170402</v>
      </c>
      <c r="AG2088">
        <v>-1.108214280194</v>
      </c>
      <c r="AH2088">
        <v>55.070443163384901</v>
      </c>
      <c r="AI2088">
        <v>91.152360022047006</v>
      </c>
      <c r="AJ2088">
        <v>88.345674590530507</v>
      </c>
      <c r="AK2088">
        <v>55.104551399803697</v>
      </c>
      <c r="AL2088">
        <v>88.982366630139893</v>
      </c>
      <c r="AM2088">
        <v>86.913137145914405</v>
      </c>
      <c r="AN2088">
        <v>1.0000000509682201</v>
      </c>
    </row>
    <row r="2089" spans="1:40" x14ac:dyDescent="0.25">
      <c r="A2089" t="str">
        <f>"20190312154837818"</f>
        <v>20190312154837818</v>
      </c>
      <c r="B2089" t="str">
        <f>"1552376917808524"</f>
        <v>1552376917808524</v>
      </c>
      <c r="C2089" t="s">
        <v>40</v>
      </c>
      <c r="D2089">
        <v>4.4089559999999999</v>
      </c>
      <c r="E2089">
        <v>0.49064150000000001</v>
      </c>
      <c r="F2089" t="s">
        <v>50</v>
      </c>
      <c r="G2089">
        <v>-359.69720000000001</v>
      </c>
      <c r="H2089" s="1">
        <v>3.6235780000000002E-6</v>
      </c>
      <c r="I2089">
        <v>286.50209999999998</v>
      </c>
      <c r="J2089">
        <v>-303.21100000000001</v>
      </c>
      <c r="K2089">
        <v>1.108217</v>
      </c>
      <c r="L2089">
        <v>283.21640000000002</v>
      </c>
      <c r="M2089">
        <v>-0.99954949999999998</v>
      </c>
      <c r="N2089">
        <v>0</v>
      </c>
      <c r="O2089">
        <v>2.9708620000000002E-2</v>
      </c>
      <c r="P2089">
        <v>-0.99641970000000002</v>
      </c>
      <c r="Q2089">
        <v>1.3486629999999999E-2</v>
      </c>
      <c r="R2089">
        <v>8.3461170000000001E-2</v>
      </c>
      <c r="S2089">
        <v>-2.9970089999999998</v>
      </c>
      <c r="T2089">
        <v>-5.8557030000000003E-2</v>
      </c>
      <c r="U2089">
        <v>0.17398069999999999</v>
      </c>
      <c r="V2089">
        <v>5.3825129999999999E-2</v>
      </c>
      <c r="W2089">
        <v>1.7735810000000001E-2</v>
      </c>
      <c r="X2089">
        <v>0.99839290000000003</v>
      </c>
      <c r="Y2089">
        <v>2.8269610000000001E-2</v>
      </c>
      <c r="Z2089">
        <v>-3.0382039999999998E-4</v>
      </c>
      <c r="AA2089">
        <v>0.9996003</v>
      </c>
      <c r="AB2089">
        <v>42</v>
      </c>
      <c r="AC2089">
        <v>-56.486199999999997</v>
      </c>
      <c r="AD2089">
        <v>-1.1082133764219999</v>
      </c>
      <c r="AE2089">
        <v>3.2856999999999599</v>
      </c>
      <c r="AF2089">
        <v>1.60549146278649</v>
      </c>
      <c r="AG2089">
        <v>-1.1082133764219999</v>
      </c>
      <c r="AH2089">
        <v>56.537192634482203</v>
      </c>
      <c r="AI2089">
        <v>91.122486631991706</v>
      </c>
      <c r="AJ2089">
        <v>88.3734040131732</v>
      </c>
      <c r="AK2089">
        <v>56.570839579356701</v>
      </c>
      <c r="AL2089">
        <v>88.983759701966903</v>
      </c>
      <c r="AM2089">
        <v>86.914070437022204</v>
      </c>
      <c r="AN2089">
        <v>1.00000004317314</v>
      </c>
    </row>
    <row r="2090" spans="1:40" x14ac:dyDescent="0.25">
      <c r="A2090" t="str">
        <f>"20190312154837830"</f>
        <v>20190312154837830</v>
      </c>
      <c r="B2090" t="str">
        <f>"1552376917828043"</f>
        <v>1552376917828043</v>
      </c>
      <c r="C2090" t="s">
        <v>40</v>
      </c>
      <c r="D2090">
        <v>4.4032539999999996</v>
      </c>
      <c r="E2090">
        <v>0.49028470000000002</v>
      </c>
      <c r="F2090" t="s">
        <v>50</v>
      </c>
      <c r="G2090">
        <v>-361.61799999999999</v>
      </c>
      <c r="H2090" s="1">
        <v>-6.7579459999999995E-7</v>
      </c>
      <c r="I2090">
        <v>286.58190000000002</v>
      </c>
      <c r="J2090">
        <v>-303.4391</v>
      </c>
      <c r="K2090">
        <v>1.1082179999999999</v>
      </c>
      <c r="L2090">
        <v>283.22320000000002</v>
      </c>
      <c r="M2090">
        <v>-0.99954889999999996</v>
      </c>
      <c r="N2090">
        <v>0</v>
      </c>
      <c r="O2090">
        <v>2.97323E-2</v>
      </c>
      <c r="P2090">
        <v>-0.99641170000000001</v>
      </c>
      <c r="Q2090">
        <v>1.351223E-2</v>
      </c>
      <c r="R2090">
        <v>8.3555599999999994E-2</v>
      </c>
      <c r="S2090">
        <v>-2.9970699999999999</v>
      </c>
      <c r="T2090">
        <v>-5.6866649999999998E-2</v>
      </c>
      <c r="U2090">
        <v>0.17269899999999999</v>
      </c>
      <c r="V2090">
        <v>5.3896220000000002E-2</v>
      </c>
      <c r="W2090">
        <v>1.778062E-2</v>
      </c>
      <c r="X2090">
        <v>0.99838819999999995</v>
      </c>
      <c r="Y2090">
        <v>2.781875E-2</v>
      </c>
      <c r="Z2090">
        <v>-2.9977189999999998E-4</v>
      </c>
      <c r="AA2090">
        <v>0.99961290000000003</v>
      </c>
      <c r="AB2090">
        <v>42</v>
      </c>
      <c r="AC2090">
        <v>-58.178899999999999</v>
      </c>
      <c r="AD2090">
        <v>-1.1082186757946</v>
      </c>
      <c r="AE2090">
        <v>3.35869999999999</v>
      </c>
      <c r="AF2090">
        <v>1.62681869738448</v>
      </c>
      <c r="AG2090">
        <v>-1.1082186757946</v>
      </c>
      <c r="AH2090">
        <v>58.23198233235</v>
      </c>
      <c r="AI2090">
        <v>91.089844984343799</v>
      </c>
      <c r="AJ2090">
        <v>88.399752096597993</v>
      </c>
      <c r="AK2090">
        <v>58.265242246665899</v>
      </c>
      <c r="AL2090">
        <v>88.981191804261996</v>
      </c>
      <c r="AM2090">
        <v>86.909988044119899</v>
      </c>
      <c r="AN2090">
        <v>0.99999997543855601</v>
      </c>
    </row>
    <row r="2091" spans="1:40" x14ac:dyDescent="0.25">
      <c r="A2091" t="str">
        <f>"20190312154837848"</f>
        <v>20190312154837848</v>
      </c>
      <c r="B2091" t="str">
        <f>"1552376917837817"</f>
        <v>1552376917837817</v>
      </c>
      <c r="C2091" t="s">
        <v>40</v>
      </c>
      <c r="D2091">
        <v>4.3920209999999997</v>
      </c>
      <c r="E2091">
        <v>0.49009049999999998</v>
      </c>
      <c r="F2091" t="s">
        <v>50</v>
      </c>
      <c r="G2091">
        <v>-364.92290000000003</v>
      </c>
      <c r="H2091" s="1">
        <v>1.082923E-6</v>
      </c>
      <c r="I2091">
        <v>286.71319999999997</v>
      </c>
      <c r="J2091">
        <v>-303.7912</v>
      </c>
      <c r="K2091">
        <v>1.1082179999999999</v>
      </c>
      <c r="L2091">
        <v>283.2337</v>
      </c>
      <c r="M2091">
        <v>-0.99954770000000004</v>
      </c>
      <c r="N2091">
        <v>0</v>
      </c>
      <c r="O2091">
        <v>2.9766730000000002E-2</v>
      </c>
      <c r="P2091">
        <v>-0.99640519999999999</v>
      </c>
      <c r="Q2091">
        <v>1.3879570000000001E-2</v>
      </c>
      <c r="R2091">
        <v>8.3572889999999997E-2</v>
      </c>
      <c r="S2091">
        <v>-2.9972840000000001</v>
      </c>
      <c r="T2091">
        <v>-5.4024700000000002E-2</v>
      </c>
      <c r="U2091">
        <v>0.1701355</v>
      </c>
      <c r="V2091">
        <v>5.387919E-2</v>
      </c>
      <c r="W2091">
        <v>1.8177289999999999E-2</v>
      </c>
      <c r="X2091">
        <v>0.99838199999999999</v>
      </c>
      <c r="Y2091">
        <v>2.6928179999999999E-2</v>
      </c>
      <c r="Z2091">
        <v>-2.9342019999999998E-4</v>
      </c>
      <c r="AA2091">
        <v>0.99963729999999995</v>
      </c>
      <c r="AB2091">
        <v>43</v>
      </c>
      <c r="AC2091">
        <v>-61.131700000000002</v>
      </c>
      <c r="AD2091">
        <v>-1.108216917077</v>
      </c>
      <c r="AE2091">
        <v>3.4794999999999701</v>
      </c>
      <c r="AF2091">
        <v>1.6577075927104299</v>
      </c>
      <c r="AG2091">
        <v>-1.108216917077</v>
      </c>
      <c r="AH2091">
        <v>61.188140906643802</v>
      </c>
      <c r="AI2091">
        <v>91.0372259691339</v>
      </c>
      <c r="AJ2091">
        <v>88.448123770653197</v>
      </c>
      <c r="AK2091">
        <v>61.220623378151899</v>
      </c>
      <c r="AL2091">
        <v>88.958460637567995</v>
      </c>
      <c r="AM2091">
        <v>86.910943381642596</v>
      </c>
      <c r="AN2091">
        <v>0.99999999945539997</v>
      </c>
    </row>
    <row r="2092" spans="1:40" x14ac:dyDescent="0.25">
      <c r="A2092" t="str">
        <f>"20190312154837860"</f>
        <v>20190312154837860</v>
      </c>
      <c r="B2092" t="str">
        <f>"1552376917848540"</f>
        <v>1552376917848540</v>
      </c>
      <c r="C2092" t="s">
        <v>40</v>
      </c>
      <c r="D2092">
        <v>4.3847230000000001</v>
      </c>
      <c r="E2092">
        <v>0.48997489999999999</v>
      </c>
      <c r="F2092" t="s">
        <v>50</v>
      </c>
      <c r="G2092">
        <v>-367.57769999999999</v>
      </c>
      <c r="H2092" s="1">
        <v>2.4956619999999999E-6</v>
      </c>
      <c r="I2092">
        <v>286.82299999999998</v>
      </c>
      <c r="J2092">
        <v>-304.00549999999998</v>
      </c>
      <c r="K2092">
        <v>1.1082190000000001</v>
      </c>
      <c r="L2092">
        <v>283.24009999999998</v>
      </c>
      <c r="M2092">
        <v>-0.99954699999999996</v>
      </c>
      <c r="N2092">
        <v>0</v>
      </c>
      <c r="O2092">
        <v>2.978563E-2</v>
      </c>
      <c r="P2092">
        <v>-0.99637469999999995</v>
      </c>
      <c r="Q2092">
        <v>1.4115859999999999E-2</v>
      </c>
      <c r="R2092">
        <v>8.3896680000000001E-2</v>
      </c>
      <c r="S2092">
        <v>-2.9974669999999999</v>
      </c>
      <c r="T2092">
        <v>-5.2077529999999997E-2</v>
      </c>
      <c r="U2092">
        <v>0.16867070000000001</v>
      </c>
      <c r="V2092">
        <v>5.4184839999999998E-2</v>
      </c>
      <c r="W2092">
        <v>1.8431400000000001E-2</v>
      </c>
      <c r="X2092">
        <v>0.99836080000000005</v>
      </c>
      <c r="Y2092">
        <v>2.6418899999999999E-2</v>
      </c>
      <c r="Z2092">
        <v>-2.8758210000000002E-4</v>
      </c>
      <c r="AA2092">
        <v>0.99965090000000001</v>
      </c>
      <c r="AB2092">
        <v>43</v>
      </c>
      <c r="AC2092">
        <v>-63.572200000000002</v>
      </c>
      <c r="AD2092">
        <v>-1.1082165043379999</v>
      </c>
      <c r="AE2092">
        <v>3.5828999999999902</v>
      </c>
      <c r="AF2092">
        <v>1.6872435133433801</v>
      </c>
      <c r="AG2092">
        <v>-1.1082165043379999</v>
      </c>
      <c r="AH2092">
        <v>63.6314373764843</v>
      </c>
      <c r="AI2092">
        <v>90.997422171175003</v>
      </c>
      <c r="AJ2092">
        <v>88.481107932696702</v>
      </c>
      <c r="AK2092">
        <v>63.663449145418198</v>
      </c>
      <c r="AL2092">
        <v>88.943898768083798</v>
      </c>
      <c r="AM2092">
        <v>86.893387933821998</v>
      </c>
      <c r="AN2092">
        <v>1.00000000018421</v>
      </c>
    </row>
    <row r="2093" spans="1:40" x14ac:dyDescent="0.25">
      <c r="A2093" t="str">
        <f>"20190312154837871"</f>
        <v>20190312154837871</v>
      </c>
      <c r="B2093" t="str">
        <f>"1552376917868060"</f>
        <v>1552376917868060</v>
      </c>
      <c r="C2093" t="s">
        <v>40</v>
      </c>
      <c r="D2093">
        <v>4.4035250000000001</v>
      </c>
      <c r="E2093">
        <v>0.48973349999999999</v>
      </c>
      <c r="F2093" t="s">
        <v>50</v>
      </c>
      <c r="G2093">
        <v>-370.09100000000001</v>
      </c>
      <c r="H2093" s="1">
        <v>-1.4883429999999999E-6</v>
      </c>
      <c r="I2093">
        <v>286.96359999999999</v>
      </c>
      <c r="J2093">
        <v>-304.2226</v>
      </c>
      <c r="K2093">
        <v>1.10822</v>
      </c>
      <c r="L2093">
        <v>283.2466</v>
      </c>
      <c r="M2093">
        <v>-0.9995465</v>
      </c>
      <c r="N2093">
        <v>0</v>
      </c>
      <c r="O2093">
        <v>2.9802329999999998E-2</v>
      </c>
      <c r="P2093">
        <v>-0.99636849999999999</v>
      </c>
      <c r="Q2093">
        <v>1.435618E-2</v>
      </c>
      <c r="R2093">
        <v>8.3929879999999998E-2</v>
      </c>
      <c r="S2093">
        <v>-2.9974059999999998</v>
      </c>
      <c r="T2093">
        <v>-5.0264950000000003E-2</v>
      </c>
      <c r="U2093">
        <v>0.16888429999999999</v>
      </c>
      <c r="V2093">
        <v>5.4201350000000002E-2</v>
      </c>
      <c r="W2093">
        <v>1.869028E-2</v>
      </c>
      <c r="X2093">
        <v>0.99835510000000005</v>
      </c>
      <c r="Y2093">
        <v>2.6474330000000001E-2</v>
      </c>
      <c r="Z2093">
        <v>-2.7739429999999997E-4</v>
      </c>
      <c r="AA2093">
        <v>0.99964949999999997</v>
      </c>
      <c r="AB2093">
        <v>43</v>
      </c>
      <c r="AC2093">
        <v>-65.868399999999994</v>
      </c>
      <c r="AD2093">
        <v>-1.1082214883429999</v>
      </c>
      <c r="AE2093">
        <v>3.7169999999999801</v>
      </c>
      <c r="AF2093">
        <v>1.75180454215098</v>
      </c>
      <c r="AG2093">
        <v>-1.1082214883429999</v>
      </c>
      <c r="AH2093">
        <v>65.931313637325999</v>
      </c>
      <c r="AI2093">
        <v>90.962638789227995</v>
      </c>
      <c r="AJ2093">
        <v>88.478000944702998</v>
      </c>
      <c r="AK2093">
        <v>65.963892334856794</v>
      </c>
      <c r="AL2093">
        <v>88.929063490776798</v>
      </c>
      <c r="AM2093">
        <v>86.892425503533005</v>
      </c>
      <c r="AN2093">
        <v>1.0000000093021499</v>
      </c>
    </row>
    <row r="2094" spans="1:40" x14ac:dyDescent="0.25">
      <c r="A2094" t="str">
        <f>"20190312154837884"</f>
        <v>20190312154837884</v>
      </c>
      <c r="B2094" t="str">
        <f>"1552376917877820"</f>
        <v>1552376917877820</v>
      </c>
      <c r="C2094" t="s">
        <v>40</v>
      </c>
      <c r="D2094">
        <v>4.38903</v>
      </c>
      <c r="E2094">
        <v>0.48960209999999998</v>
      </c>
      <c r="F2094" t="s">
        <v>50</v>
      </c>
      <c r="G2094">
        <v>-373.94670000000002</v>
      </c>
      <c r="H2094" s="1">
        <v>5.6347419999999904E-7</v>
      </c>
      <c r="I2094">
        <v>287.1266</v>
      </c>
      <c r="J2094">
        <v>-304.47469999999998</v>
      </c>
      <c r="K2094">
        <v>1.1082240000000001</v>
      </c>
      <c r="L2094">
        <v>283.25409999999999</v>
      </c>
      <c r="M2094">
        <v>-0.99954580000000004</v>
      </c>
      <c r="N2094">
        <v>0</v>
      </c>
      <c r="O2094">
        <v>2.9819910000000002E-2</v>
      </c>
      <c r="P2094">
        <v>-0.99634639999999997</v>
      </c>
      <c r="Q2094">
        <v>1.4419120000000001E-2</v>
      </c>
      <c r="R2094">
        <v>8.4176860000000006E-2</v>
      </c>
      <c r="S2094">
        <v>-2.9975589999999999</v>
      </c>
      <c r="T2094">
        <v>-4.7644260000000001E-2</v>
      </c>
      <c r="U2094">
        <v>0.16680909999999999</v>
      </c>
      <c r="V2094">
        <v>5.4430989999999999E-2</v>
      </c>
      <c r="W2094">
        <v>1.8774659999999999E-2</v>
      </c>
      <c r="X2094">
        <v>0.99834100000000003</v>
      </c>
      <c r="Y2094">
        <v>2.576403E-2</v>
      </c>
      <c r="Z2094">
        <v>-2.6884560000000002E-4</v>
      </c>
      <c r="AA2094">
        <v>0.999668</v>
      </c>
      <c r="AB2094">
        <v>43</v>
      </c>
      <c r="AC2094">
        <v>-69.471999999999994</v>
      </c>
      <c r="AD2094">
        <v>-1.1082234365257999</v>
      </c>
      <c r="AE2094">
        <v>3.8725000000000001</v>
      </c>
      <c r="AF2094">
        <v>1.7986531007245199</v>
      </c>
      <c r="AG2094">
        <v>-1.1082234365257999</v>
      </c>
      <c r="AH2094">
        <v>69.538942350802003</v>
      </c>
      <c r="AI2094">
        <v>90.912724936268802</v>
      </c>
      <c r="AJ2094">
        <v>88.518351656825502</v>
      </c>
      <c r="AK2094">
        <v>69.571027126456698</v>
      </c>
      <c r="AL2094">
        <v>88.924227999840696</v>
      </c>
      <c r="AM2094">
        <v>86.879241329071405</v>
      </c>
      <c r="AN2094">
        <v>0.99999998640574705</v>
      </c>
    </row>
    <row r="2095" spans="1:40" x14ac:dyDescent="0.25">
      <c r="A2095" t="str">
        <f>"20190312154837906"</f>
        <v>20190312154837906</v>
      </c>
      <c r="B2095" t="str">
        <f>"1552376917898315"</f>
        <v>1552376917898315</v>
      </c>
      <c r="C2095" t="s">
        <v>40</v>
      </c>
      <c r="D2095">
        <v>4.3785239999999996</v>
      </c>
      <c r="E2095">
        <v>0.48946529999999999</v>
      </c>
      <c r="F2095" t="s">
        <v>50</v>
      </c>
      <c r="G2095">
        <v>-375.3</v>
      </c>
      <c r="H2095" s="1">
        <v>1.283604E-6</v>
      </c>
      <c r="I2095">
        <v>287.1918</v>
      </c>
      <c r="J2095">
        <v>-304.87639999999999</v>
      </c>
      <c r="K2095">
        <v>1.108225</v>
      </c>
      <c r="L2095">
        <v>283.26609999999999</v>
      </c>
      <c r="M2095">
        <v>-0.99954520000000002</v>
      </c>
      <c r="N2095">
        <v>0</v>
      </c>
      <c r="O2095">
        <v>2.9840720000000001E-2</v>
      </c>
      <c r="P2095">
        <v>-0.99630269999999999</v>
      </c>
      <c r="Q2095">
        <v>1.455297E-2</v>
      </c>
      <c r="R2095">
        <v>8.4672919999999999E-2</v>
      </c>
      <c r="S2095">
        <v>-2.9975589999999999</v>
      </c>
      <c r="T2095">
        <v>-4.6903609999999998E-2</v>
      </c>
      <c r="U2095">
        <v>0.16665650000000001</v>
      </c>
      <c r="V2095">
        <v>5.490714E-2</v>
      </c>
      <c r="W2095">
        <v>1.8943430000000001E-2</v>
      </c>
      <c r="X2095">
        <v>0.99831179999999997</v>
      </c>
      <c r="Y2095">
        <v>2.569248E-2</v>
      </c>
      <c r="Z2095">
        <v>-2.6555159999999998E-4</v>
      </c>
      <c r="AA2095">
        <v>0.99966980000000005</v>
      </c>
      <c r="AB2095">
        <v>43</v>
      </c>
      <c r="AC2095">
        <v>-70.423599999999993</v>
      </c>
      <c r="AD2095">
        <v>-1.108223716396</v>
      </c>
      <c r="AE2095">
        <v>3.9257</v>
      </c>
      <c r="AF2095">
        <v>1.8219911094766501</v>
      </c>
      <c r="AG2095">
        <v>-1.108223716396</v>
      </c>
      <c r="AH2095">
        <v>70.491981781827903</v>
      </c>
      <c r="AI2095">
        <v>90.9003877585331</v>
      </c>
      <c r="AJ2095">
        <v>88.519417940995893</v>
      </c>
      <c r="AK2095">
        <v>70.524232054933805</v>
      </c>
      <c r="AL2095">
        <v>88.914556538655006</v>
      </c>
      <c r="AM2095">
        <v>86.851904415413401</v>
      </c>
      <c r="AN2095">
        <v>1.00000004879119</v>
      </c>
    </row>
    <row r="2096" spans="1:40" x14ac:dyDescent="0.25">
      <c r="A2096" t="str">
        <f>"20190312154837919"</f>
        <v>20190312154837919</v>
      </c>
      <c r="B2096" t="str">
        <f>"1552376917908076"</f>
        <v>1552376917908076</v>
      </c>
      <c r="C2096" t="s">
        <v>40</v>
      </c>
      <c r="D2096">
        <v>4.380522</v>
      </c>
      <c r="E2096">
        <v>0.48936560000000001</v>
      </c>
      <c r="F2096" t="s">
        <v>50</v>
      </c>
      <c r="G2096">
        <v>-379.00540000000001</v>
      </c>
      <c r="H2096" s="1">
        <v>3.25544E-6</v>
      </c>
      <c r="I2096">
        <v>287.39870000000002</v>
      </c>
      <c r="J2096">
        <v>-305.13979999999998</v>
      </c>
      <c r="K2096">
        <v>1.1082270000000001</v>
      </c>
      <c r="L2096">
        <v>283.274</v>
      </c>
      <c r="M2096">
        <v>-0.99954460000000001</v>
      </c>
      <c r="N2096">
        <v>0</v>
      </c>
      <c r="O2096">
        <v>2.9850419999999999E-2</v>
      </c>
      <c r="P2096">
        <v>-0.99627350000000003</v>
      </c>
      <c r="Q2096">
        <v>1.4878809999999999E-2</v>
      </c>
      <c r="R2096">
        <v>8.4957500000000005E-2</v>
      </c>
      <c r="S2096">
        <v>-2.99762</v>
      </c>
      <c r="T2096">
        <v>-4.4814109999999997E-2</v>
      </c>
      <c r="U2096">
        <v>0.16711429999999999</v>
      </c>
      <c r="V2096">
        <v>5.5182679999999998E-2</v>
      </c>
      <c r="W2096">
        <v>1.9292409999999999E-2</v>
      </c>
      <c r="X2096">
        <v>0.99828989999999995</v>
      </c>
      <c r="Y2096">
        <v>2.5833769999999999E-2</v>
      </c>
      <c r="Z2096">
        <v>-2.5280620000000002E-4</v>
      </c>
      <c r="AA2096">
        <v>0.99966619999999995</v>
      </c>
      <c r="AB2096">
        <v>43</v>
      </c>
      <c r="AC2096">
        <v>-73.865600000000001</v>
      </c>
      <c r="AD2096">
        <v>-1.1082237445600001</v>
      </c>
      <c r="AE2096">
        <v>4.1247000000000096</v>
      </c>
      <c r="AF2096">
        <v>1.9174908905908099</v>
      </c>
      <c r="AG2096">
        <v>-1.1082237445600001</v>
      </c>
      <c r="AH2096">
        <v>73.939216583216705</v>
      </c>
      <c r="AI2096">
        <v>90.858413920313893</v>
      </c>
      <c r="AJ2096">
        <v>88.514461999724205</v>
      </c>
      <c r="AK2096">
        <v>73.972377818502807</v>
      </c>
      <c r="AL2096">
        <v>88.8945577768731</v>
      </c>
      <c r="AM2096">
        <v>86.836069104920597</v>
      </c>
      <c r="AN2096">
        <v>1.0000000248487999</v>
      </c>
    </row>
    <row r="2097" spans="1:40" x14ac:dyDescent="0.25">
      <c r="A2097" t="str">
        <f>"20190312154837938"</f>
        <v>20190312154837938</v>
      </c>
      <c r="B2097" t="str">
        <f>"1552376917927596"</f>
        <v>1552376917927596</v>
      </c>
      <c r="C2097" t="s">
        <v>40</v>
      </c>
      <c r="D2097">
        <v>4.3674049999999998</v>
      </c>
      <c r="E2097">
        <v>0.48927419999999999</v>
      </c>
      <c r="F2097" t="s">
        <v>50</v>
      </c>
      <c r="G2097">
        <v>-381.50450000000001</v>
      </c>
      <c r="H2097" s="1">
        <v>-7.3617719999999897E-7</v>
      </c>
      <c r="I2097">
        <v>287.5335</v>
      </c>
      <c r="J2097">
        <v>-305.50420000000003</v>
      </c>
      <c r="K2097">
        <v>1.1082399999999999</v>
      </c>
      <c r="L2097">
        <v>283.28489999999999</v>
      </c>
      <c r="M2097">
        <v>-0.99954419999999999</v>
      </c>
      <c r="N2097">
        <v>0</v>
      </c>
      <c r="O2097">
        <v>2.986111E-2</v>
      </c>
      <c r="P2097">
        <v>-0.9962242</v>
      </c>
      <c r="Q2097">
        <v>1.5176810000000001E-2</v>
      </c>
      <c r="R2097">
        <v>8.5482909999999995E-2</v>
      </c>
      <c r="S2097">
        <v>-2.9976500000000001</v>
      </c>
      <c r="T2097">
        <v>-4.3502810000000003E-2</v>
      </c>
      <c r="U2097">
        <v>0.16720579999999999</v>
      </c>
      <c r="V2097">
        <v>5.569847E-2</v>
      </c>
      <c r="W2097">
        <v>1.962185E-2</v>
      </c>
      <c r="X2097">
        <v>0.9982548</v>
      </c>
      <c r="Y2097">
        <v>2.5852920000000001E-2</v>
      </c>
      <c r="Z2097">
        <v>-2.4542299999999998E-4</v>
      </c>
      <c r="AA2097">
        <v>0.99966569999999999</v>
      </c>
      <c r="AB2097">
        <v>43</v>
      </c>
      <c r="AC2097">
        <v>-76.000299999999896</v>
      </c>
      <c r="AD2097">
        <v>-1.1082407361772</v>
      </c>
      <c r="AE2097">
        <v>4.2485999999999997</v>
      </c>
      <c r="AF2097">
        <v>1.97681061949908</v>
      </c>
      <c r="AG2097">
        <v>-1.1082407361772</v>
      </c>
      <c r="AH2097">
        <v>76.077150364501605</v>
      </c>
      <c r="AI2097">
        <v>90.834305764066798</v>
      </c>
      <c r="AJ2097">
        <v>88.511544871212195</v>
      </c>
      <c r="AK2097">
        <v>76.110897940686996</v>
      </c>
      <c r="AL2097">
        <v>88.875678643788802</v>
      </c>
      <c r="AM2097">
        <v>86.806444859008707</v>
      </c>
      <c r="AN2097">
        <v>0.99999999114040095</v>
      </c>
    </row>
    <row r="2098" spans="1:40" x14ac:dyDescent="0.25">
      <c r="A2098" t="str">
        <f>"20190312154837950"</f>
        <v>20190312154837950</v>
      </c>
      <c r="B2098" t="str">
        <f>"1552376917938332"</f>
        <v>1552376917938332</v>
      </c>
      <c r="C2098" t="s">
        <v>40</v>
      </c>
      <c r="D2098">
        <v>4.3464650000000002</v>
      </c>
      <c r="E2098">
        <v>0.48915960000000003</v>
      </c>
      <c r="F2098" t="s">
        <v>50</v>
      </c>
      <c r="G2098">
        <v>-384.51900000000001</v>
      </c>
      <c r="H2098" s="1">
        <v>8.6797000000000001E-7</v>
      </c>
      <c r="I2098">
        <v>287.71319999999997</v>
      </c>
      <c r="J2098">
        <v>-305.73329999999999</v>
      </c>
      <c r="K2098">
        <v>1.108244</v>
      </c>
      <c r="L2098">
        <v>283.29169999999999</v>
      </c>
      <c r="M2098">
        <v>-0.99954390000000004</v>
      </c>
      <c r="N2098">
        <v>0</v>
      </c>
      <c r="O2098">
        <v>2.9866529999999999E-2</v>
      </c>
      <c r="P2098">
        <v>-0.99618510000000005</v>
      </c>
      <c r="Q2098">
        <v>1.553158E-2</v>
      </c>
      <c r="R2098">
        <v>8.5871639999999999E-2</v>
      </c>
      <c r="S2098">
        <v>-2.9975890000000001</v>
      </c>
      <c r="T2098">
        <v>-4.2043329999999997E-2</v>
      </c>
      <c r="U2098">
        <v>0.16799929999999999</v>
      </c>
      <c r="V2098">
        <v>5.6082489999999999E-2</v>
      </c>
      <c r="W2098">
        <v>1.9997049999999999E-2</v>
      </c>
      <c r="X2098">
        <v>0.9982259</v>
      </c>
      <c r="Y2098">
        <v>2.6112360000000001E-2</v>
      </c>
      <c r="Z2098">
        <v>-2.3545090000000001E-4</v>
      </c>
      <c r="AA2098">
        <v>0.99965899999999996</v>
      </c>
      <c r="AB2098">
        <v>43</v>
      </c>
      <c r="AC2098">
        <v>-78.785700000000006</v>
      </c>
      <c r="AD2098">
        <v>-1.1082431320299999</v>
      </c>
      <c r="AE2098">
        <v>4.4214999999999796</v>
      </c>
      <c r="AF2098">
        <v>2.0660410079267502</v>
      </c>
      <c r="AG2098">
        <v>-1.1082431320299999</v>
      </c>
      <c r="AH2098">
        <v>78.867052577104502</v>
      </c>
      <c r="AI2098">
        <v>90.804793647091202</v>
      </c>
      <c r="AJ2098">
        <v>88.499394123594797</v>
      </c>
      <c r="AK2098">
        <v>78.901892946151094</v>
      </c>
      <c r="AL2098">
        <v>88.854177101015793</v>
      </c>
      <c r="AM2098">
        <v>86.784379645319802</v>
      </c>
      <c r="AN2098">
        <v>1.0000000375620499</v>
      </c>
    </row>
    <row r="2099" spans="1:40" x14ac:dyDescent="0.25">
      <c r="A2099" t="str">
        <f>"20190312154837962"</f>
        <v>20190312154837962</v>
      </c>
      <c r="B2099" t="str">
        <f>"1552376917957852"</f>
        <v>1552376917957852</v>
      </c>
      <c r="C2099" t="s">
        <v>40</v>
      </c>
      <c r="D2099">
        <v>4.3753419999999998</v>
      </c>
      <c r="E2099">
        <v>0.48904619999999999</v>
      </c>
      <c r="F2099" t="s">
        <v>50</v>
      </c>
      <c r="G2099">
        <v>-387.1431</v>
      </c>
      <c r="H2099" s="1">
        <v>2.2644350000000002E-6</v>
      </c>
      <c r="I2099">
        <v>287.86410000000001</v>
      </c>
      <c r="J2099">
        <v>-305.99529999999999</v>
      </c>
      <c r="K2099">
        <v>1.1082479999999999</v>
      </c>
      <c r="L2099">
        <v>283.29950000000002</v>
      </c>
      <c r="M2099">
        <v>-0.99954359999999998</v>
      </c>
      <c r="N2099">
        <v>0</v>
      </c>
      <c r="O2099">
        <v>2.9871290000000002E-2</v>
      </c>
      <c r="P2099">
        <v>-0.996174</v>
      </c>
      <c r="Q2099">
        <v>1.577054E-2</v>
      </c>
      <c r="R2099">
        <v>8.5957370000000005E-2</v>
      </c>
      <c r="S2099">
        <v>-2.9976500000000001</v>
      </c>
      <c r="T2099">
        <v>-4.0807370000000003E-2</v>
      </c>
      <c r="U2099">
        <v>0.1683655</v>
      </c>
      <c r="V2099">
        <v>5.61638E-2</v>
      </c>
      <c r="W2099">
        <v>2.02583E-2</v>
      </c>
      <c r="X2099">
        <v>0.99821599999999999</v>
      </c>
      <c r="Y2099">
        <v>2.622816E-2</v>
      </c>
      <c r="Z2099">
        <v>-2.278015E-4</v>
      </c>
      <c r="AA2099">
        <v>0.99965599999999999</v>
      </c>
      <c r="AB2099">
        <v>43</v>
      </c>
      <c r="AC2099">
        <v>-81.147800000000004</v>
      </c>
      <c r="AD2099">
        <v>-1.1082457355649999</v>
      </c>
      <c r="AE2099">
        <v>4.56459999999998</v>
      </c>
      <c r="AF2099">
        <v>2.1381514099447001</v>
      </c>
      <c r="AG2099">
        <v>-1.1082457355649999</v>
      </c>
      <c r="AH2099">
        <v>81.232835689981798</v>
      </c>
      <c r="AI2099">
        <v>90.781357479936403</v>
      </c>
      <c r="AJ2099">
        <v>88.492250441290395</v>
      </c>
      <c r="AK2099">
        <v>81.268527083353902</v>
      </c>
      <c r="AL2099">
        <v>88.839205475745104</v>
      </c>
      <c r="AM2099">
        <v>86.779695481270196</v>
      </c>
      <c r="AN2099">
        <v>0.99999997690266396</v>
      </c>
    </row>
    <row r="2100" spans="1:40" x14ac:dyDescent="0.25">
      <c r="A2100" t="str">
        <f>"20190312154837974"</f>
        <v>20190312154837974</v>
      </c>
      <c r="B2100" t="str">
        <f>"1552376917967611"</f>
        <v>1552376917967611</v>
      </c>
      <c r="C2100" t="s">
        <v>40</v>
      </c>
      <c r="D2100">
        <v>4.3791390000000003</v>
      </c>
      <c r="E2100">
        <v>0.48894520000000002</v>
      </c>
      <c r="F2100" t="s">
        <v>50</v>
      </c>
      <c r="G2100">
        <v>-389.46190000000001</v>
      </c>
      <c r="H2100" s="1">
        <v>3.4983800000000001E-6</v>
      </c>
      <c r="I2100">
        <v>287.96960000000001</v>
      </c>
      <c r="J2100">
        <v>-306.20740000000001</v>
      </c>
      <c r="K2100">
        <v>1.1082510000000001</v>
      </c>
      <c r="L2100">
        <v>283.30579999999998</v>
      </c>
      <c r="M2100">
        <v>-0.99954359999999998</v>
      </c>
      <c r="N2100">
        <v>0</v>
      </c>
      <c r="O2100">
        <v>2.9873210000000001E-2</v>
      </c>
      <c r="P2100">
        <v>-0.99615580000000004</v>
      </c>
      <c r="Q2100">
        <v>1.592406E-2</v>
      </c>
      <c r="R2100">
        <v>8.6140729999999999E-2</v>
      </c>
      <c r="S2100">
        <v>-2.997681</v>
      </c>
      <c r="T2100">
        <v>-3.980231E-2</v>
      </c>
      <c r="U2100">
        <v>0.1677246</v>
      </c>
      <c r="V2100">
        <v>5.6345550000000001E-2</v>
      </c>
      <c r="W2100">
        <v>2.0430879999999998E-2</v>
      </c>
      <c r="X2100">
        <v>0.99820229999999999</v>
      </c>
      <c r="Y2100">
        <v>2.601264E-2</v>
      </c>
      <c r="Z2100">
        <v>-2.2364579999999999E-4</v>
      </c>
      <c r="AA2100">
        <v>0.99966160000000004</v>
      </c>
      <c r="AB2100">
        <v>43</v>
      </c>
      <c r="AC2100">
        <v>-83.254499999999993</v>
      </c>
      <c r="AD2100">
        <v>-1.10824750162</v>
      </c>
      <c r="AE2100">
        <v>4.6638000000000304</v>
      </c>
      <c r="AF2100">
        <v>2.1742301616227002</v>
      </c>
      <c r="AG2100">
        <v>-1.10824750162</v>
      </c>
      <c r="AH2100">
        <v>83.341944719079905</v>
      </c>
      <c r="AI2100">
        <v>90.761592128969497</v>
      </c>
      <c r="AJ2100">
        <v>88.505602878581897</v>
      </c>
      <c r="AK2100">
        <v>83.3776663074635</v>
      </c>
      <c r="AL2100">
        <v>88.829315393008798</v>
      </c>
      <c r="AM2100">
        <v>86.769252142629696</v>
      </c>
      <c r="AN2100">
        <v>1.00000003679383</v>
      </c>
    </row>
    <row r="2101" spans="1:40" x14ac:dyDescent="0.25">
      <c r="A2101" t="str">
        <f>"20190312154837989"</f>
        <v>20190312154837989</v>
      </c>
      <c r="B2101" t="str">
        <f>"1552376917978348"</f>
        <v>1552376917978348</v>
      </c>
      <c r="C2101" t="s">
        <v>40</v>
      </c>
      <c r="D2101">
        <v>4.374047</v>
      </c>
      <c r="E2101">
        <v>0.48885240000000002</v>
      </c>
      <c r="F2101" t="s">
        <v>50</v>
      </c>
      <c r="G2101">
        <v>-390.62290000000002</v>
      </c>
      <c r="H2101" s="1">
        <v>-1.2053379999999999E-6</v>
      </c>
      <c r="I2101">
        <v>288.02030000000002</v>
      </c>
      <c r="J2101">
        <v>-306.47680000000003</v>
      </c>
      <c r="K2101">
        <v>1.108255</v>
      </c>
      <c r="L2101">
        <v>283.31389999999999</v>
      </c>
      <c r="M2101">
        <v>-0.99954319999999997</v>
      </c>
      <c r="N2101">
        <v>0</v>
      </c>
      <c r="O2101">
        <v>2.9875470000000001E-2</v>
      </c>
      <c r="P2101">
        <v>-0.99612500000000004</v>
      </c>
      <c r="Q2101">
        <v>1.6132520000000001E-2</v>
      </c>
      <c r="R2101">
        <v>8.6455160000000003E-2</v>
      </c>
      <c r="S2101">
        <v>-2.9977420000000001</v>
      </c>
      <c r="T2101">
        <v>-3.935599E-2</v>
      </c>
      <c r="U2101">
        <v>0.1674194</v>
      </c>
      <c r="V2101">
        <v>5.6658310000000003E-2</v>
      </c>
      <c r="W2101">
        <v>2.0662570000000002E-2</v>
      </c>
      <c r="X2101">
        <v>0.99817979999999995</v>
      </c>
      <c r="Y2101">
        <v>2.5907779999999998E-2</v>
      </c>
      <c r="Z2101">
        <v>-2.218519E-4</v>
      </c>
      <c r="AA2101">
        <v>0.99966429999999995</v>
      </c>
      <c r="AB2101">
        <v>43</v>
      </c>
      <c r="AC2101">
        <v>-84.146099999999905</v>
      </c>
      <c r="AD2101">
        <v>-1.1082562053380001</v>
      </c>
      <c r="AE2101">
        <v>4.7064000000000297</v>
      </c>
      <c r="AF2101">
        <v>2.1899899600788602</v>
      </c>
      <c r="AG2101">
        <v>-1.1082562053380001</v>
      </c>
      <c r="AH2101">
        <v>84.234579974839804</v>
      </c>
      <c r="AI2101">
        <v>90.753530129414202</v>
      </c>
      <c r="AJ2101">
        <v>88.510719445482493</v>
      </c>
      <c r="AK2101">
        <v>84.270331382875199</v>
      </c>
      <c r="AL2101">
        <v>88.816037699006898</v>
      </c>
      <c r="AM2101">
        <v>86.751284305806493</v>
      </c>
      <c r="AN2101">
        <v>1.00000000950955</v>
      </c>
    </row>
    <row r="2102" spans="1:40" x14ac:dyDescent="0.25">
      <c r="A2102" t="str">
        <f>"20190312154838006"</f>
        <v>20190312154838006</v>
      </c>
      <c r="B2102" t="str">
        <f>"1552376917997867"</f>
        <v>1552376917997867</v>
      </c>
      <c r="C2102" t="s">
        <v>40</v>
      </c>
      <c r="D2102">
        <v>4.3846170000000004</v>
      </c>
      <c r="E2102">
        <v>0.48870780000000003</v>
      </c>
      <c r="F2102" t="s">
        <v>50</v>
      </c>
      <c r="G2102">
        <v>-392.58249999999998</v>
      </c>
      <c r="H2102" s="1">
        <v>-1.6250229999999901E-7</v>
      </c>
      <c r="I2102">
        <v>288.12720000000002</v>
      </c>
      <c r="J2102">
        <v>-306.83080000000001</v>
      </c>
      <c r="K2102">
        <v>1.108257</v>
      </c>
      <c r="L2102">
        <v>283.3245</v>
      </c>
      <c r="M2102">
        <v>-0.99954319999999997</v>
      </c>
      <c r="N2102">
        <v>0</v>
      </c>
      <c r="O2102">
        <v>2.9877049999999999E-2</v>
      </c>
      <c r="P2102">
        <v>-0.99611039999999995</v>
      </c>
      <c r="Q2102">
        <v>1.682581E-2</v>
      </c>
      <c r="R2102">
        <v>8.6492719999999995E-2</v>
      </c>
      <c r="S2102">
        <v>-2.9977420000000001</v>
      </c>
      <c r="T2102">
        <v>-3.8583520000000003E-2</v>
      </c>
      <c r="U2102">
        <v>0.167572</v>
      </c>
      <c r="V2102">
        <v>5.6694719999999997E-2</v>
      </c>
      <c r="W2102">
        <v>2.138673E-2</v>
      </c>
      <c r="X2102">
        <v>0.99816240000000001</v>
      </c>
      <c r="Y2102">
        <v>2.595691E-2</v>
      </c>
      <c r="Z2102">
        <v>-2.1720189999999999E-4</v>
      </c>
      <c r="AA2102">
        <v>0.99966310000000003</v>
      </c>
      <c r="AB2102">
        <v>44</v>
      </c>
      <c r="AC2102">
        <v>-85.7516999999999</v>
      </c>
      <c r="AD2102">
        <v>-1.1082571625022899</v>
      </c>
      <c r="AE2102">
        <v>4.8027000000000104</v>
      </c>
      <c r="AF2102">
        <v>2.2381488565438099</v>
      </c>
      <c r="AG2102">
        <v>-1.1082571625022899</v>
      </c>
      <c r="AH2102">
        <v>85.842616545607001</v>
      </c>
      <c r="AI2102">
        <v>90.739415513470803</v>
      </c>
      <c r="AJ2102">
        <v>88.506482646612398</v>
      </c>
      <c r="AK2102">
        <v>85.878940140400005</v>
      </c>
      <c r="AL2102">
        <v>88.774537116149503</v>
      </c>
      <c r="AM2102">
        <v>86.749144532090497</v>
      </c>
      <c r="AN2102">
        <v>0.99999993013486299</v>
      </c>
    </row>
    <row r="2103" spans="1:40" x14ac:dyDescent="0.25">
      <c r="A2103" t="str">
        <f>"20190312154838018"</f>
        <v>20190312154838018</v>
      </c>
      <c r="B2103" t="str">
        <f>"1552376918007628"</f>
        <v>1552376918007628</v>
      </c>
      <c r="C2103" t="s">
        <v>40</v>
      </c>
      <c r="D2103">
        <v>4.3406440000000002</v>
      </c>
      <c r="E2103">
        <v>0.4720394</v>
      </c>
      <c r="F2103" t="s">
        <v>50</v>
      </c>
      <c r="G2103">
        <v>-398.48570000000001</v>
      </c>
      <c r="H2103" s="1">
        <v>2.9789E-6</v>
      </c>
      <c r="I2103">
        <v>288.41419999999999</v>
      </c>
      <c r="J2103">
        <v>-307.07350000000002</v>
      </c>
      <c r="K2103">
        <v>1.1082590000000001</v>
      </c>
      <c r="L2103">
        <v>283.33170000000001</v>
      </c>
      <c r="M2103">
        <v>-0.99954299999999996</v>
      </c>
      <c r="N2103">
        <v>0</v>
      </c>
      <c r="O2103">
        <v>2.987633E-2</v>
      </c>
      <c r="P2103">
        <v>-0.9961025</v>
      </c>
      <c r="Q2103">
        <v>1.7001079999999998E-2</v>
      </c>
      <c r="R2103">
        <v>8.6548319999999998E-2</v>
      </c>
      <c r="S2103">
        <v>-2.9978639999999999</v>
      </c>
      <c r="T2103">
        <v>-3.6248919999999997E-2</v>
      </c>
      <c r="U2103">
        <v>0.16647339999999999</v>
      </c>
      <c r="V2103">
        <v>5.6751089999999997E-2</v>
      </c>
      <c r="W2103">
        <v>2.158361E-2</v>
      </c>
      <c r="X2103">
        <v>0.99815509999999996</v>
      </c>
      <c r="Y2103">
        <v>2.5590120000000001E-2</v>
      </c>
      <c r="Z2103">
        <v>-2.0626189999999999E-4</v>
      </c>
      <c r="AA2103">
        <v>0.99967249999999996</v>
      </c>
      <c r="AB2103">
        <v>44</v>
      </c>
      <c r="AC2103">
        <v>-91.412199999999899</v>
      </c>
      <c r="AD2103">
        <v>-1.1082560211000001</v>
      </c>
      <c r="AE2103">
        <v>5.08249999999998</v>
      </c>
      <c r="AF2103">
        <v>2.34879696760951</v>
      </c>
      <c r="AG2103">
        <v>-1.1082560211000001</v>
      </c>
      <c r="AH2103">
        <v>91.509831957539603</v>
      </c>
      <c r="AI2103">
        <v>90.693634596612995</v>
      </c>
      <c r="AJ2103">
        <v>88.529703214111294</v>
      </c>
      <c r="AK2103">
        <v>91.546678932118994</v>
      </c>
      <c r="AL2103">
        <v>88.763254292083701</v>
      </c>
      <c r="AM2103">
        <v>86.745895491096903</v>
      </c>
      <c r="AN2103">
        <v>1.0000000710464101</v>
      </c>
    </row>
    <row r="2104" spans="1:40" x14ac:dyDescent="0.25">
      <c r="A2104" t="str">
        <f>"20190312154838031"</f>
        <v>20190312154838031</v>
      </c>
      <c r="B2104" t="str">
        <f>"1552376918018364"</f>
        <v>1552376918018364</v>
      </c>
      <c r="C2104" t="s">
        <v>40</v>
      </c>
      <c r="D2104">
        <v>4.3624020000000003</v>
      </c>
      <c r="E2104">
        <v>0.46821839999999998</v>
      </c>
      <c r="F2104" t="s">
        <v>48</v>
      </c>
      <c r="G2104">
        <v>0</v>
      </c>
      <c r="H2104">
        <v>0</v>
      </c>
      <c r="I2104">
        <v>0</v>
      </c>
      <c r="J2104">
        <v>-307.3082</v>
      </c>
      <c r="K2104">
        <v>1.1082620000000001</v>
      </c>
      <c r="L2104">
        <v>283.33879999999999</v>
      </c>
      <c r="M2104">
        <v>-0.99954310000000002</v>
      </c>
      <c r="N2104">
        <v>0</v>
      </c>
      <c r="O2104">
        <v>2.9873589999999998E-2</v>
      </c>
      <c r="P2104">
        <v>-0.99609349999999997</v>
      </c>
      <c r="Q2104">
        <v>1.7270230000000001E-2</v>
      </c>
      <c r="R2104">
        <v>8.6600679999999999E-2</v>
      </c>
      <c r="S2104">
        <v>-3.007965</v>
      </c>
      <c r="T2104">
        <v>3.4988279999999997E-2</v>
      </c>
      <c r="U2104">
        <v>3.6834720000000001E-2</v>
      </c>
      <c r="V2104">
        <v>5.6806309999999999E-2</v>
      </c>
      <c r="W2104">
        <v>2.1873460000000001E-2</v>
      </c>
      <c r="X2104">
        <v>0.99814559999999997</v>
      </c>
      <c r="Y2104">
        <v>-1.762911E-2</v>
      </c>
      <c r="Z2104">
        <v>4.499328E-4</v>
      </c>
      <c r="AA2104">
        <v>0.99984450000000002</v>
      </c>
      <c r="AB2104">
        <v>44</v>
      </c>
      <c r="AC2104">
        <v>-3.007965</v>
      </c>
      <c r="AD2104">
        <v>3.4988279999999997E-2</v>
      </c>
      <c r="AE2104">
        <v>3.6834720000000001E-2</v>
      </c>
      <c r="AF2104">
        <v>-5.3034209622117502E-2</v>
      </c>
      <c r="AG2104">
        <v>3.4988279999999997E-2</v>
      </c>
      <c r="AH2104">
        <v>3.0073160372149199</v>
      </c>
      <c r="AI2104">
        <v>89.333532392339706</v>
      </c>
      <c r="AJ2104">
        <v>91.010309991238302</v>
      </c>
      <c r="AK2104">
        <v>3.0079871267706002</v>
      </c>
      <c r="AL2104">
        <v>88.746643128217201</v>
      </c>
      <c r="AM2104">
        <v>86.7427050589326</v>
      </c>
      <c r="AN2104">
        <v>1.0000000219537699</v>
      </c>
    </row>
    <row r="2105" spans="1:40" x14ac:dyDescent="0.25">
      <c r="A2105" t="str">
        <f>"20190312154838042"</f>
        <v>20190312154838042</v>
      </c>
      <c r="B2105" t="str">
        <f>"1552376918037884"</f>
        <v>1552376918037884</v>
      </c>
      <c r="C2105" t="s">
        <v>40</v>
      </c>
      <c r="D2105">
        <v>4.3878839999999997</v>
      </c>
      <c r="E2105">
        <v>0.46552529999999998</v>
      </c>
      <c r="F2105" t="s">
        <v>48</v>
      </c>
      <c r="G2105">
        <v>0</v>
      </c>
      <c r="H2105">
        <v>0</v>
      </c>
      <c r="I2105">
        <v>0</v>
      </c>
      <c r="J2105">
        <v>-307.5566</v>
      </c>
      <c r="K2105">
        <v>1.1082669999999999</v>
      </c>
      <c r="L2105">
        <v>283.34620000000001</v>
      </c>
      <c r="M2105">
        <v>-0.99954319999999997</v>
      </c>
      <c r="N2105">
        <v>0</v>
      </c>
      <c r="O2105">
        <v>2.9868749999999999E-2</v>
      </c>
      <c r="P2105">
        <v>-0.99609789999999998</v>
      </c>
      <c r="Q2105">
        <v>1.7610379999999998E-2</v>
      </c>
      <c r="R2105">
        <v>8.64814E-2</v>
      </c>
      <c r="S2105">
        <v>-3.0106510000000002</v>
      </c>
      <c r="T2105">
        <v>3.2743099999999997E-2</v>
      </c>
      <c r="U2105">
        <v>6.3781740000000003E-3</v>
      </c>
      <c r="V2105">
        <v>5.6691730000000003E-2</v>
      </c>
      <c r="W2105">
        <v>2.2235769999999998E-2</v>
      </c>
      <c r="X2105">
        <v>0.99814409999999998</v>
      </c>
      <c r="Y2105">
        <v>-2.774801E-2</v>
      </c>
      <c r="Z2105">
        <v>4.756855E-4</v>
      </c>
      <c r="AA2105">
        <v>0.99961480000000003</v>
      </c>
      <c r="AB2105">
        <v>44</v>
      </c>
      <c r="AC2105">
        <v>-3.0106510000000002</v>
      </c>
      <c r="AD2105">
        <v>3.2743099999999997E-2</v>
      </c>
      <c r="AE2105">
        <v>6.3781740000000003E-3</v>
      </c>
      <c r="AF2105">
        <v>-8.3540128041022801E-2</v>
      </c>
      <c r="AG2105">
        <v>3.2743099999999997E-2</v>
      </c>
      <c r="AH2105">
        <v>3.0091422915988502</v>
      </c>
      <c r="AI2105">
        <v>89.376817458805306</v>
      </c>
      <c r="AJ2105">
        <v>91.590243051089601</v>
      </c>
      <c r="AK2105">
        <v>3.01047976154624</v>
      </c>
      <c r="AL2105">
        <v>88.725879232873098</v>
      </c>
      <c r="AM2105">
        <v>86.749256139647898</v>
      </c>
      <c r="AN2105">
        <v>1.00000001304134</v>
      </c>
    </row>
    <row r="2106" spans="1:40" x14ac:dyDescent="0.25">
      <c r="A2106" t="str">
        <f>"20190312154838054"</f>
        <v>20190312154838054</v>
      </c>
      <c r="B2106" t="str">
        <f>"1552376918047644"</f>
        <v>1552376918047644</v>
      </c>
      <c r="C2106" t="s">
        <v>40</v>
      </c>
      <c r="D2106">
        <v>4.344131</v>
      </c>
      <c r="E2106">
        <v>0.4646962</v>
      </c>
      <c r="F2106" t="s">
        <v>48</v>
      </c>
      <c r="G2106">
        <v>0</v>
      </c>
      <c r="H2106">
        <v>0</v>
      </c>
      <c r="I2106">
        <v>0</v>
      </c>
      <c r="J2106">
        <v>-307.78050000000002</v>
      </c>
      <c r="K2106">
        <v>1.1082719999999999</v>
      </c>
      <c r="L2106">
        <v>283.3528</v>
      </c>
      <c r="M2106">
        <v>-0.99954339999999997</v>
      </c>
      <c r="N2106">
        <v>0</v>
      </c>
      <c r="O2106">
        <v>2.9858719999999998E-2</v>
      </c>
      <c r="P2106">
        <v>-0.99609809999999999</v>
      </c>
      <c r="Q2106">
        <v>1.801523E-2</v>
      </c>
      <c r="R2106">
        <v>8.6395009999999994E-2</v>
      </c>
      <c r="S2106">
        <v>-3.0126339999999998</v>
      </c>
      <c r="T2106">
        <v>2.4866579999999999E-2</v>
      </c>
      <c r="U2106">
        <v>-1.5686039999999998E-2</v>
      </c>
      <c r="V2106">
        <v>5.6615070000000003E-2</v>
      </c>
      <c r="W2106">
        <v>2.2661009999999999E-2</v>
      </c>
      <c r="X2106">
        <v>0.99813879999999999</v>
      </c>
      <c r="Y2106">
        <v>-3.5060790000000001E-2</v>
      </c>
      <c r="Z2106">
        <v>3.9112519999999999E-4</v>
      </c>
      <c r="AA2106">
        <v>0.99938510000000003</v>
      </c>
      <c r="AB2106">
        <v>44</v>
      </c>
      <c r="AC2106">
        <v>-3.0126339999999998</v>
      </c>
      <c r="AD2106">
        <v>2.4866579999999999E-2</v>
      </c>
      <c r="AE2106">
        <v>-1.5686039999999998E-2</v>
      </c>
      <c r="AF2106">
        <v>-0.105626209525302</v>
      </c>
      <c r="AG2106">
        <v>2.4866579999999999E-2</v>
      </c>
      <c r="AH2106">
        <v>3.0106172467511798</v>
      </c>
      <c r="AI2106">
        <v>89.527059882810505</v>
      </c>
      <c r="AJ2106">
        <v>92.009373555145203</v>
      </c>
      <c r="AK2106">
        <v>3.0125722313955001</v>
      </c>
      <c r="AL2106">
        <v>88.701508521105097</v>
      </c>
      <c r="AM2106">
        <v>86.7536252692083</v>
      </c>
      <c r="AN2106">
        <v>0.999999925795379</v>
      </c>
    </row>
    <row r="2107" spans="1:40" x14ac:dyDescent="0.25">
      <c r="A2107" t="str">
        <f>"20190312154838072"</f>
        <v>20190312154838072</v>
      </c>
      <c r="B2107" t="str">
        <f>"1552376918068140"</f>
        <v>1552376918068140</v>
      </c>
      <c r="C2107" t="s">
        <v>40</v>
      </c>
      <c r="D2107">
        <v>4.3236080000000001</v>
      </c>
      <c r="E2107">
        <v>0.46369500000000002</v>
      </c>
      <c r="F2107" t="s">
        <v>48</v>
      </c>
      <c r="G2107">
        <v>0</v>
      </c>
      <c r="H2107">
        <v>0</v>
      </c>
      <c r="I2107">
        <v>0</v>
      </c>
      <c r="J2107">
        <v>-308.11380000000003</v>
      </c>
      <c r="K2107">
        <v>1.108284</v>
      </c>
      <c r="L2107">
        <v>283.36279999999999</v>
      </c>
      <c r="M2107">
        <v>-0.99954379999999998</v>
      </c>
      <c r="N2107">
        <v>0</v>
      </c>
      <c r="O2107">
        <v>2.9837320000000001E-2</v>
      </c>
      <c r="P2107">
        <v>-0.99611000000000005</v>
      </c>
      <c r="Q2107">
        <v>1.8433620000000001E-2</v>
      </c>
      <c r="R2107">
        <v>8.6169789999999996E-2</v>
      </c>
      <c r="S2107">
        <v>-3.0132750000000001</v>
      </c>
      <c r="T2107">
        <v>2.399099E-2</v>
      </c>
      <c r="U2107">
        <v>-2.267456E-2</v>
      </c>
      <c r="V2107">
        <v>5.641036E-2</v>
      </c>
      <c r="W2107">
        <v>2.3109589999999999E-2</v>
      </c>
      <c r="X2107">
        <v>0.99814020000000003</v>
      </c>
      <c r="Y2107">
        <v>-3.7356E-2</v>
      </c>
      <c r="Z2107">
        <v>3.8623880000000001E-4</v>
      </c>
      <c r="AA2107">
        <v>0.99930200000000002</v>
      </c>
      <c r="AB2107">
        <v>44</v>
      </c>
      <c r="AC2107">
        <v>-3.0132750000000001</v>
      </c>
      <c r="AD2107">
        <v>2.399099E-2</v>
      </c>
      <c r="AE2107">
        <v>-2.267456E-2</v>
      </c>
      <c r="AF2107">
        <v>-0.11256636530512899</v>
      </c>
      <c r="AG2107">
        <v>2.399099E-2</v>
      </c>
      <c r="AH2107">
        <v>3.0110659489515599</v>
      </c>
      <c r="AI2107">
        <v>89.543818059059205</v>
      </c>
      <c r="AJ2107">
        <v>92.140961265093097</v>
      </c>
      <c r="AK2107">
        <v>3.01326482459387</v>
      </c>
      <c r="AL2107">
        <v>88.675800170331499</v>
      </c>
      <c r="AM2107">
        <v>86.765343137892202</v>
      </c>
      <c r="AN2107">
        <v>1.00000002036066</v>
      </c>
    </row>
    <row r="2108" spans="1:40" x14ac:dyDescent="0.25">
      <c r="A2108" t="str">
        <f>"20190312154838084"</f>
        <v>20190312154838084</v>
      </c>
      <c r="B2108" t="str">
        <f>"1552376918077899"</f>
        <v>1552376918077899</v>
      </c>
      <c r="C2108" t="s">
        <v>40</v>
      </c>
      <c r="D2108">
        <v>4.323442</v>
      </c>
      <c r="E2108">
        <v>0.46334720000000001</v>
      </c>
      <c r="F2108" t="s">
        <v>48</v>
      </c>
      <c r="G2108">
        <v>0</v>
      </c>
      <c r="H2108">
        <v>0</v>
      </c>
      <c r="I2108">
        <v>0</v>
      </c>
      <c r="J2108">
        <v>-308.3768</v>
      </c>
      <c r="K2108">
        <v>1.1082959999999999</v>
      </c>
      <c r="L2108">
        <v>283.37060000000002</v>
      </c>
      <c r="M2108">
        <v>-0.99954449999999995</v>
      </c>
      <c r="N2108">
        <v>0</v>
      </c>
      <c r="O2108">
        <v>2.9813610000000001E-2</v>
      </c>
      <c r="P2108">
        <v>-0.9961082</v>
      </c>
      <c r="Q2108">
        <v>1.8767410000000002E-2</v>
      </c>
      <c r="R2108">
        <v>8.6117360000000004E-2</v>
      </c>
      <c r="S2108">
        <v>-3.0140380000000002</v>
      </c>
      <c r="T2108">
        <v>2.1594519999999999E-2</v>
      </c>
      <c r="U2108">
        <v>-3.1341550000000003E-2</v>
      </c>
      <c r="V2108">
        <v>5.6381250000000001E-2</v>
      </c>
      <c r="W2108">
        <v>2.346759E-2</v>
      </c>
      <c r="X2108">
        <v>0.99813350000000001</v>
      </c>
      <c r="Y2108">
        <v>-4.0203870000000003E-2</v>
      </c>
      <c r="Z2108">
        <v>3.5760000000000002E-4</v>
      </c>
      <c r="AA2108">
        <v>0.99919150000000001</v>
      </c>
      <c r="AB2108">
        <v>44</v>
      </c>
      <c r="AC2108">
        <v>-3.0140380000000002</v>
      </c>
      <c r="AD2108">
        <v>2.1594519999999999E-2</v>
      </c>
      <c r="AE2108">
        <v>-3.1341550000000003E-2</v>
      </c>
      <c r="AF2108">
        <v>-0.121181737042204</v>
      </c>
      <c r="AG2108">
        <v>2.1594519999999999E-2</v>
      </c>
      <c r="AH2108">
        <v>3.0116091662131801</v>
      </c>
      <c r="AI2108">
        <v>89.589504080223094</v>
      </c>
      <c r="AJ2108">
        <v>92.304236062442399</v>
      </c>
      <c r="AK2108">
        <v>3.0141236050808899</v>
      </c>
      <c r="AL2108">
        <v>88.655282727828705</v>
      </c>
      <c r="AM2108">
        <v>86.766987152822196</v>
      </c>
      <c r="AN2108">
        <v>1.0000000284771</v>
      </c>
    </row>
    <row r="2109" spans="1:40" x14ac:dyDescent="0.25">
      <c r="A2109" t="str">
        <f>"20190312154838108"</f>
        <v>20190312154838108</v>
      </c>
      <c r="B2109" t="str">
        <f>"1552376918098396"</f>
        <v>1552376918098396</v>
      </c>
      <c r="C2109" t="s">
        <v>40</v>
      </c>
      <c r="D2109">
        <v>4.3687110000000002</v>
      </c>
      <c r="E2109">
        <v>0.46296379999999998</v>
      </c>
      <c r="F2109" t="s">
        <v>48</v>
      </c>
      <c r="G2109">
        <v>0</v>
      </c>
      <c r="H2109">
        <v>0</v>
      </c>
      <c r="I2109">
        <v>0</v>
      </c>
      <c r="J2109">
        <v>-308.82299999999998</v>
      </c>
      <c r="K2109">
        <v>1.1083179999999999</v>
      </c>
      <c r="L2109">
        <v>283.38389999999998</v>
      </c>
      <c r="M2109">
        <v>-0.99954609999999999</v>
      </c>
      <c r="N2109">
        <v>0</v>
      </c>
      <c r="O2109">
        <v>2.9752009999999999E-2</v>
      </c>
      <c r="P2109">
        <v>-0.99611019999999995</v>
      </c>
      <c r="Q2109">
        <v>1.9105779999999999E-2</v>
      </c>
      <c r="R2109">
        <v>8.6020760000000002E-2</v>
      </c>
      <c r="S2109">
        <v>-3.014313</v>
      </c>
      <c r="T2109">
        <v>2.0927069999999999E-2</v>
      </c>
      <c r="U2109">
        <v>-3.433228E-2</v>
      </c>
      <c r="V2109">
        <v>5.6345060000000002E-2</v>
      </c>
      <c r="W2109">
        <v>2.3848009999999999E-2</v>
      </c>
      <c r="X2109">
        <v>0.99812650000000003</v>
      </c>
      <c r="Y2109">
        <v>-4.1132679999999998E-2</v>
      </c>
      <c r="Z2109">
        <v>3.493112E-4</v>
      </c>
      <c r="AA2109">
        <v>0.99915359999999998</v>
      </c>
      <c r="AB2109">
        <v>44</v>
      </c>
      <c r="AC2109">
        <v>-3.014313</v>
      </c>
      <c r="AD2109">
        <v>2.0927069999999999E-2</v>
      </c>
      <c r="AE2109">
        <v>-3.433228E-2</v>
      </c>
      <c r="AF2109">
        <v>-0.123993981000789</v>
      </c>
      <c r="AG2109">
        <v>2.0927069999999999E-2</v>
      </c>
      <c r="AH2109">
        <v>3.0118119527769598</v>
      </c>
      <c r="AI2109">
        <v>89.602233231392205</v>
      </c>
      <c r="AJ2109">
        <v>92.357491855629704</v>
      </c>
      <c r="AK2109">
        <v>3.0144358822959498</v>
      </c>
      <c r="AL2109">
        <v>88.633480129048195</v>
      </c>
      <c r="AM2109">
        <v>86.769035350349</v>
      </c>
      <c r="AN2109">
        <v>1.0000000016848001</v>
      </c>
    </row>
    <row r="2110" spans="1:40" x14ac:dyDescent="0.25">
      <c r="A2110" t="str">
        <f>"20190312154838128"</f>
        <v>20190312154838128</v>
      </c>
      <c r="B2110" t="str">
        <f>"1552376918117915"</f>
        <v>1552376918117915</v>
      </c>
      <c r="C2110" t="s">
        <v>40</v>
      </c>
      <c r="D2110">
        <v>4.3664170000000002</v>
      </c>
      <c r="E2110">
        <v>0.46284340000000002</v>
      </c>
      <c r="F2110" t="s">
        <v>48</v>
      </c>
      <c r="G2110">
        <v>0</v>
      </c>
      <c r="H2110">
        <v>0</v>
      </c>
      <c r="I2110">
        <v>0</v>
      </c>
      <c r="J2110">
        <v>-309.24079999999998</v>
      </c>
      <c r="K2110">
        <v>1.1083339999999999</v>
      </c>
      <c r="L2110">
        <v>283.3963</v>
      </c>
      <c r="M2110">
        <v>-0.99954829999999995</v>
      </c>
      <c r="N2110">
        <v>0</v>
      </c>
      <c r="O2110">
        <v>2.9672879999999999E-2</v>
      </c>
      <c r="P2110">
        <v>-0.9961023</v>
      </c>
      <c r="Q2110">
        <v>1.92874E-2</v>
      </c>
      <c r="R2110">
        <v>8.6072300000000004E-2</v>
      </c>
      <c r="S2110">
        <v>-3.0145870000000001</v>
      </c>
      <c r="T2110">
        <v>1.884854E-2</v>
      </c>
      <c r="U2110">
        <v>-3.7994380000000001E-2</v>
      </c>
      <c r="V2110">
        <v>5.6474629999999998E-2</v>
      </c>
      <c r="W2110">
        <v>2.4068240000000001E-2</v>
      </c>
      <c r="X2110">
        <v>0.9981139</v>
      </c>
      <c r="Y2110">
        <v>-4.2266409999999997E-2</v>
      </c>
      <c r="Z2110">
        <v>3.1763679999999999E-4</v>
      </c>
      <c r="AA2110">
        <v>0.9991063</v>
      </c>
      <c r="AB2110">
        <v>44</v>
      </c>
      <c r="AC2110">
        <v>-3.0145870000000001</v>
      </c>
      <c r="AD2110">
        <v>1.884854E-2</v>
      </c>
      <c r="AE2110">
        <v>-3.7994380000000001E-2</v>
      </c>
      <c r="AF2110">
        <v>-0.127425162959312</v>
      </c>
      <c r="AG2110">
        <v>1.884854E-2</v>
      </c>
      <c r="AH2110">
        <v>3.0120143904141301</v>
      </c>
      <c r="AI2110">
        <v>89.641780394425197</v>
      </c>
      <c r="AJ2110">
        <v>92.422489443221906</v>
      </c>
      <c r="AK2110">
        <v>3.0147675080637799</v>
      </c>
      <c r="AL2110">
        <v>88.620858269000706</v>
      </c>
      <c r="AM2110">
        <v>86.761580488654801</v>
      </c>
      <c r="AN2110">
        <v>1.0000000106917699</v>
      </c>
    </row>
    <row r="2111" spans="1:40" x14ac:dyDescent="0.25">
      <c r="A2111" t="str">
        <f>"20190312154838140"</f>
        <v>20190312154838140</v>
      </c>
      <c r="B2111" t="str">
        <f>"1552376918127676"</f>
        <v>1552376918127676</v>
      </c>
      <c r="C2111" t="s">
        <v>40</v>
      </c>
      <c r="D2111">
        <v>4.3628850000000003</v>
      </c>
      <c r="E2111">
        <v>0.46275139999999998</v>
      </c>
      <c r="F2111" t="s">
        <v>48</v>
      </c>
      <c r="G2111">
        <v>0</v>
      </c>
      <c r="H2111">
        <v>0</v>
      </c>
      <c r="I2111">
        <v>0</v>
      </c>
      <c r="J2111">
        <v>-309.48869999999999</v>
      </c>
      <c r="K2111">
        <v>1.108347</v>
      </c>
      <c r="L2111">
        <v>283.40359999999998</v>
      </c>
      <c r="M2111">
        <v>-0.99954980000000004</v>
      </c>
      <c r="N2111">
        <v>0</v>
      </c>
      <c r="O2111">
        <v>2.9616610000000002E-2</v>
      </c>
      <c r="P2111">
        <v>-0.9960966</v>
      </c>
      <c r="Q2111">
        <v>1.9405439999999999E-2</v>
      </c>
      <c r="R2111">
        <v>8.6111649999999998E-2</v>
      </c>
      <c r="S2111">
        <v>-3.0147400000000002</v>
      </c>
      <c r="T2111">
        <v>1.8022179999999999E-2</v>
      </c>
      <c r="U2111">
        <v>-3.8635250000000003E-2</v>
      </c>
      <c r="V2111">
        <v>5.6569580000000001E-2</v>
      </c>
      <c r="W2111">
        <v>2.4210300000000001E-2</v>
      </c>
      <c r="X2111">
        <v>0.99810500000000002</v>
      </c>
      <c r="Y2111">
        <v>-4.2422010000000003E-2</v>
      </c>
      <c r="Z2111">
        <v>3.0382439999999998E-4</v>
      </c>
      <c r="AA2111">
        <v>0.99909970000000003</v>
      </c>
      <c r="AB2111">
        <v>44</v>
      </c>
      <c r="AC2111">
        <v>-3.0147400000000002</v>
      </c>
      <c r="AD2111">
        <v>1.8022179999999999E-2</v>
      </c>
      <c r="AE2111">
        <v>-3.8635250000000003E-2</v>
      </c>
      <c r="AF2111">
        <v>-0.127901139583254</v>
      </c>
      <c r="AG2111">
        <v>1.8022179999999999E-2</v>
      </c>
      <c r="AH2111">
        <v>3.0121656138908302</v>
      </c>
      <c r="AI2111">
        <v>89.657504573693799</v>
      </c>
      <c r="AJ2111">
        <v>92.431405503939303</v>
      </c>
      <c r="AK2111">
        <v>3.0149336951224899</v>
      </c>
      <c r="AL2111">
        <v>88.6127163372025</v>
      </c>
      <c r="AM2111">
        <v>86.756118533870094</v>
      </c>
      <c r="AN2111">
        <v>0.99999992351623002</v>
      </c>
    </row>
    <row r="2112" spans="1:40" x14ac:dyDescent="0.25">
      <c r="A2112" t="str">
        <f>"20190312154838153"</f>
        <v>20190312154838153</v>
      </c>
      <c r="B2112" t="str">
        <f>"1552376918148172"</f>
        <v>1552376918148172</v>
      </c>
      <c r="C2112" t="s">
        <v>40</v>
      </c>
      <c r="D2112">
        <v>4.3594150000000003</v>
      </c>
      <c r="E2112">
        <v>0.46261740000000001</v>
      </c>
      <c r="F2112" t="s">
        <v>48</v>
      </c>
      <c r="G2112">
        <v>0</v>
      </c>
      <c r="H2112">
        <v>0</v>
      </c>
      <c r="I2112">
        <v>0</v>
      </c>
      <c r="J2112">
        <v>-309.72030000000001</v>
      </c>
      <c r="K2112">
        <v>1.1083639999999999</v>
      </c>
      <c r="L2112">
        <v>283.41050000000001</v>
      </c>
      <c r="M2112">
        <v>-0.99955150000000004</v>
      </c>
      <c r="N2112">
        <v>0</v>
      </c>
      <c r="O2112">
        <v>2.9558379999999999E-2</v>
      </c>
      <c r="P2112">
        <v>-0.99611090000000002</v>
      </c>
      <c r="Q2112">
        <v>1.9761279999999999E-2</v>
      </c>
      <c r="R2112">
        <v>8.5864979999999994E-2</v>
      </c>
      <c r="S2112">
        <v>-3.0148320000000002</v>
      </c>
      <c r="T2112">
        <v>1.7531749999999999E-2</v>
      </c>
      <c r="U2112">
        <v>-3.9367680000000002E-2</v>
      </c>
      <c r="V2112">
        <v>5.6380069999999997E-2</v>
      </c>
      <c r="W2112">
        <v>2.458689E-2</v>
      </c>
      <c r="X2112">
        <v>0.99810659999999896</v>
      </c>
      <c r="Y2112">
        <v>-4.2606159999999997E-2</v>
      </c>
      <c r="Z2112">
        <v>2.9574430000000001E-4</v>
      </c>
      <c r="AA2112">
        <v>0.99909190000000003</v>
      </c>
      <c r="AB2112">
        <v>44</v>
      </c>
      <c r="AC2112">
        <v>-3.0148320000000002</v>
      </c>
      <c r="AD2112">
        <v>1.7531749999999999E-2</v>
      </c>
      <c r="AE2112">
        <v>-3.9367680000000002E-2</v>
      </c>
      <c r="AF2112">
        <v>-0.12846071402551401</v>
      </c>
      <c r="AG2112">
        <v>1.7531749999999999E-2</v>
      </c>
      <c r="AH2112">
        <v>3.0122491520561798</v>
      </c>
      <c r="AI2112">
        <v>89.666836396448403</v>
      </c>
      <c r="AJ2112">
        <v>92.441962542853005</v>
      </c>
      <c r="AK2112">
        <v>3.0150380547132798</v>
      </c>
      <c r="AL2112">
        <v>88.591133009166001</v>
      </c>
      <c r="AM2112">
        <v>86.766967726463093</v>
      </c>
      <c r="AN2112">
        <v>1.0000000062083101</v>
      </c>
    </row>
    <row r="2113" spans="1:40" x14ac:dyDescent="0.25">
      <c r="A2113" t="str">
        <f>"20190312154838163"</f>
        <v>20190312154838163</v>
      </c>
      <c r="B2113" t="str">
        <f>"1552376918157932"</f>
        <v>1552376918157932</v>
      </c>
      <c r="C2113" t="s">
        <v>40</v>
      </c>
      <c r="D2113">
        <v>4.407203</v>
      </c>
      <c r="E2113">
        <v>0.46232529999999999</v>
      </c>
      <c r="F2113" t="s">
        <v>48</v>
      </c>
      <c r="G2113">
        <v>0</v>
      </c>
      <c r="H2113">
        <v>0</v>
      </c>
      <c r="I2113">
        <v>0</v>
      </c>
      <c r="J2113">
        <v>-309.95429999999999</v>
      </c>
      <c r="K2113">
        <v>1.108376</v>
      </c>
      <c r="L2113">
        <v>283.41730000000001</v>
      </c>
      <c r="M2113">
        <v>-0.99955320000000003</v>
      </c>
      <c r="N2113">
        <v>0</v>
      </c>
      <c r="O2113">
        <v>2.949651E-2</v>
      </c>
      <c r="P2113">
        <v>-0.99610209999999999</v>
      </c>
      <c r="Q2113">
        <v>2.014792E-2</v>
      </c>
      <c r="R2113">
        <v>8.5877330000000002E-2</v>
      </c>
      <c r="S2113">
        <v>-3.014923</v>
      </c>
      <c r="T2113">
        <v>1.6397829999999999E-2</v>
      </c>
      <c r="U2113">
        <v>-4.1137699999999902E-2</v>
      </c>
      <c r="V2113">
        <v>5.6453820000000002E-2</v>
      </c>
      <c r="W2113">
        <v>2.499589E-2</v>
      </c>
      <c r="X2113">
        <v>0.99809230000000004</v>
      </c>
      <c r="Y2113">
        <v>-4.3130519999999999E-2</v>
      </c>
      <c r="Z2113">
        <v>2.776969E-4</v>
      </c>
      <c r="AA2113">
        <v>0.9990694</v>
      </c>
      <c r="AB2113">
        <v>45</v>
      </c>
      <c r="AC2113">
        <v>-3.014923</v>
      </c>
      <c r="AD2113">
        <v>1.6397829999999999E-2</v>
      </c>
      <c r="AE2113">
        <v>-4.1137699999999902E-2</v>
      </c>
      <c r="AF2113">
        <v>-0.13004669858953399</v>
      </c>
      <c r="AG2113">
        <v>1.6397829999999999E-2</v>
      </c>
      <c r="AH2113">
        <v>3.0123086011688498</v>
      </c>
      <c r="AI2113">
        <v>89.688397505494606</v>
      </c>
      <c r="AJ2113">
        <v>92.472025274662002</v>
      </c>
      <c r="AK2113">
        <v>3.0151590573829701</v>
      </c>
      <c r="AL2113">
        <v>88.567691870141601</v>
      </c>
      <c r="AM2113">
        <v>86.762701347359496</v>
      </c>
      <c r="AN2113">
        <v>1.00000003381438</v>
      </c>
    </row>
    <row r="2114" spans="1:40" x14ac:dyDescent="0.25">
      <c r="A2114" t="str">
        <f>"20190312154838175"</f>
        <v>20190312154838175</v>
      </c>
      <c r="B2114" t="str">
        <f>"1552376918167692"</f>
        <v>1552376918167692</v>
      </c>
      <c r="C2114" t="s">
        <v>40</v>
      </c>
      <c r="D2114">
        <v>4.4036759999999999</v>
      </c>
      <c r="E2114">
        <v>0.4621325</v>
      </c>
      <c r="F2114" t="s">
        <v>48</v>
      </c>
      <c r="G2114">
        <v>0</v>
      </c>
      <c r="H2114">
        <v>0</v>
      </c>
      <c r="I2114">
        <v>0</v>
      </c>
      <c r="J2114">
        <v>-310.17559999999997</v>
      </c>
      <c r="K2114">
        <v>1.108385</v>
      </c>
      <c r="L2114">
        <v>283.42380000000003</v>
      </c>
      <c r="M2114">
        <v>-0.99955510000000003</v>
      </c>
      <c r="N2114">
        <v>0</v>
      </c>
      <c r="O2114">
        <v>2.9428630000000001E-2</v>
      </c>
      <c r="P2114">
        <v>-0.99610080000000001</v>
      </c>
      <c r="Q2114">
        <v>2.0792020000000001E-2</v>
      </c>
      <c r="R2114">
        <v>8.5738090000000003E-2</v>
      </c>
      <c r="S2114">
        <v>-3.0151979999999998</v>
      </c>
      <c r="T2114">
        <v>1.424658E-2</v>
      </c>
      <c r="U2114">
        <v>-4.348755E-2</v>
      </c>
      <c r="V2114">
        <v>5.638166E-2</v>
      </c>
      <c r="W2114">
        <v>2.5660390000000002E-2</v>
      </c>
      <c r="X2114">
        <v>0.99807950000000001</v>
      </c>
      <c r="Y2114">
        <v>-4.384014E-2</v>
      </c>
      <c r="Z2114">
        <v>2.4259880000000001E-4</v>
      </c>
      <c r="AA2114">
        <v>0.99903850000000005</v>
      </c>
      <c r="AB2114">
        <v>45</v>
      </c>
      <c r="AC2114">
        <v>-3.0151979999999998</v>
      </c>
      <c r="AD2114">
        <v>1.424658E-2</v>
      </c>
      <c r="AE2114">
        <v>-4.348755E-2</v>
      </c>
      <c r="AF2114">
        <v>-0.13219995518444599</v>
      </c>
      <c r="AG2114">
        <v>1.424658E-2</v>
      </c>
      <c r="AH2114">
        <v>3.0125450040729902</v>
      </c>
      <c r="AI2114">
        <v>89.729305947539999</v>
      </c>
      <c r="AJ2114">
        <v>92.512707008658893</v>
      </c>
      <c r="AK2114">
        <v>3.0154779380319701</v>
      </c>
      <c r="AL2114">
        <v>88.529606583542005</v>
      </c>
      <c r="AM2114">
        <v>86.766789143679105</v>
      </c>
      <c r="AN2114">
        <v>1.0000000177597701</v>
      </c>
    </row>
    <row r="2115" spans="1:40" x14ac:dyDescent="0.25">
      <c r="A2115" t="str">
        <f>"20190312154838195"</f>
        <v>20190312154838195</v>
      </c>
      <c r="B2115" t="str">
        <f>"1552376918188191"</f>
        <v>1552376918188191</v>
      </c>
      <c r="C2115" t="s">
        <v>40</v>
      </c>
      <c r="D2115">
        <v>4.4191320000000003</v>
      </c>
      <c r="E2115">
        <v>0.4618468</v>
      </c>
      <c r="F2115" t="s">
        <v>48</v>
      </c>
      <c r="G2115">
        <v>0</v>
      </c>
      <c r="H2115">
        <v>0</v>
      </c>
      <c r="I2115">
        <v>0</v>
      </c>
      <c r="J2115">
        <v>-310.56889999999999</v>
      </c>
      <c r="K2115">
        <v>1.108409</v>
      </c>
      <c r="L2115">
        <v>283.43529999999998</v>
      </c>
      <c r="M2115">
        <v>-0.99955859999999996</v>
      </c>
      <c r="N2115">
        <v>0</v>
      </c>
      <c r="O2115">
        <v>2.9300050000000001E-2</v>
      </c>
      <c r="P2115">
        <v>-0.99609499999999995</v>
      </c>
      <c r="Q2115">
        <v>2.1860250000000001E-2</v>
      </c>
      <c r="R2115">
        <v>8.553914E-2</v>
      </c>
      <c r="S2115">
        <v>-3.0154109999999998</v>
      </c>
      <c r="T2115">
        <v>1.324296E-2</v>
      </c>
      <c r="U2115">
        <v>-4.5562739999999997E-2</v>
      </c>
      <c r="V2115">
        <v>5.6310069999999997E-2</v>
      </c>
      <c r="W2115">
        <v>2.676531E-2</v>
      </c>
      <c r="X2115">
        <v>0.99805449999999996</v>
      </c>
      <c r="Y2115">
        <v>-4.4398090000000001E-2</v>
      </c>
      <c r="Z2115">
        <v>2.261524E-4</v>
      </c>
      <c r="AA2115">
        <v>0.99901390000000001</v>
      </c>
      <c r="AB2115">
        <v>45</v>
      </c>
      <c r="AC2115">
        <v>-3.0154109999999998</v>
      </c>
      <c r="AD2115">
        <v>1.324296E-2</v>
      </c>
      <c r="AE2115">
        <v>-4.5562739999999997E-2</v>
      </c>
      <c r="AF2115">
        <v>-0.133893354066524</v>
      </c>
      <c r="AG2115">
        <v>1.324296E-2</v>
      </c>
      <c r="AH2115">
        <v>3.0127232348989699</v>
      </c>
      <c r="AI2115">
        <v>89.748396199797597</v>
      </c>
      <c r="AJ2115">
        <v>92.544700815412298</v>
      </c>
      <c r="AK2115">
        <v>3.0157261308601702</v>
      </c>
      <c r="AL2115">
        <v>88.4662775335661</v>
      </c>
      <c r="AM2115">
        <v>86.770805070814902</v>
      </c>
      <c r="AN2115">
        <v>0.99999999538652495</v>
      </c>
    </row>
    <row r="2116" spans="1:40" x14ac:dyDescent="0.25">
      <c r="A2116" t="str">
        <f>"20190312154838205"</f>
        <v>20190312154838205</v>
      </c>
      <c r="B2116" t="str">
        <f>"1552376918197948"</f>
        <v>1552376918197948</v>
      </c>
      <c r="C2116" t="s">
        <v>40</v>
      </c>
      <c r="D2116">
        <v>4.3866139999999998</v>
      </c>
      <c r="E2116">
        <v>0.46183059999999998</v>
      </c>
      <c r="F2116" t="s">
        <v>48</v>
      </c>
      <c r="G2116">
        <v>0</v>
      </c>
      <c r="H2116">
        <v>0</v>
      </c>
      <c r="I2116">
        <v>0</v>
      </c>
      <c r="J2116">
        <v>-310.79300000000001</v>
      </c>
      <c r="K2116">
        <v>1.1084210000000001</v>
      </c>
      <c r="L2116">
        <v>283.44189999999998</v>
      </c>
      <c r="M2116">
        <v>-0.99956080000000003</v>
      </c>
      <c r="N2116">
        <v>0</v>
      </c>
      <c r="O2116">
        <v>2.922203E-2</v>
      </c>
      <c r="P2116">
        <v>-0.99610829999999995</v>
      </c>
      <c r="Q2116">
        <v>2.2499109999999999E-2</v>
      </c>
      <c r="R2116">
        <v>8.5217769999999998E-2</v>
      </c>
      <c r="S2116">
        <v>-3.0156860000000001</v>
      </c>
      <c r="T2116">
        <v>1.086056E-2</v>
      </c>
      <c r="U2116">
        <v>-4.8614499999999998E-2</v>
      </c>
      <c r="V2116">
        <v>5.6065499999999997E-2</v>
      </c>
      <c r="W2116">
        <v>2.742501E-2</v>
      </c>
      <c r="X2116">
        <v>0.9980504</v>
      </c>
      <c r="Y2116">
        <v>-4.5329679999999997E-2</v>
      </c>
      <c r="Z2116">
        <v>1.8684659999999999E-4</v>
      </c>
      <c r="AA2116">
        <v>0.99897210000000003</v>
      </c>
      <c r="AB2116">
        <v>45</v>
      </c>
      <c r="AC2116">
        <v>-3.0156860000000001</v>
      </c>
      <c r="AD2116">
        <v>1.086056E-2</v>
      </c>
      <c r="AE2116">
        <v>-4.8614499999999998E-2</v>
      </c>
      <c r="AF2116">
        <v>-0.13671750232720101</v>
      </c>
      <c r="AG2116">
        <v>1.086056E-2</v>
      </c>
      <c r="AH2116">
        <v>3.0129384072404699</v>
      </c>
      <c r="AI2116">
        <v>89.793682501882998</v>
      </c>
      <c r="AJ2116">
        <v>92.598116862325995</v>
      </c>
      <c r="AK2116">
        <v>3.0160582675125598</v>
      </c>
      <c r="AL2116">
        <v>88.428465688806995</v>
      </c>
      <c r="AM2116">
        <v>86.784787676219693</v>
      </c>
      <c r="AN2116">
        <v>1.0000000362019501</v>
      </c>
    </row>
    <row r="2117" spans="1:40" x14ac:dyDescent="0.25">
      <c r="A2117" t="str">
        <f>"20190312154838216"</f>
        <v>20190312154838216</v>
      </c>
      <c r="B2117" t="str">
        <f>"1552376918207708"</f>
        <v>1552376918207708</v>
      </c>
      <c r="C2117" t="s">
        <v>40</v>
      </c>
      <c r="D2117">
        <v>4.3947399999999996</v>
      </c>
      <c r="E2117">
        <v>0.4617984</v>
      </c>
      <c r="F2117" t="s">
        <v>48</v>
      </c>
      <c r="G2117">
        <v>0</v>
      </c>
      <c r="H2117">
        <v>0</v>
      </c>
      <c r="I2117">
        <v>0</v>
      </c>
      <c r="J2117">
        <v>-311.01069999999999</v>
      </c>
      <c r="K2117">
        <v>1.1084350000000001</v>
      </c>
      <c r="L2117">
        <v>283.44819999999999</v>
      </c>
      <c r="M2117">
        <v>-0.99956319999999999</v>
      </c>
      <c r="N2117">
        <v>0</v>
      </c>
      <c r="O2117">
        <v>2.9139849999999998E-2</v>
      </c>
      <c r="P2117">
        <v>-0.99611530000000004</v>
      </c>
      <c r="Q2117">
        <v>2.293479E-2</v>
      </c>
      <c r="R2117">
        <v>8.5022459999999994E-2</v>
      </c>
      <c r="S2117">
        <v>-3.015717</v>
      </c>
      <c r="T2117">
        <v>1.198947E-2</v>
      </c>
      <c r="U2117">
        <v>-4.9682619999999997E-2</v>
      </c>
      <c r="V2117">
        <v>5.5951519999999998E-2</v>
      </c>
      <c r="W2117">
        <v>2.7880700000000001E-2</v>
      </c>
      <c r="X2117">
        <v>0.99804409999999999</v>
      </c>
      <c r="Y2117">
        <v>-4.5601000000000003E-2</v>
      </c>
      <c r="Z2117">
        <v>2.064786E-4</v>
      </c>
      <c r="AA2117">
        <v>0.99895970000000001</v>
      </c>
      <c r="AB2117">
        <v>45</v>
      </c>
      <c r="AC2117">
        <v>-3.015717</v>
      </c>
      <c r="AD2117">
        <v>1.198947E-2</v>
      </c>
      <c r="AE2117">
        <v>-4.9682619999999997E-2</v>
      </c>
      <c r="AF2117">
        <v>-0.13753795596853599</v>
      </c>
      <c r="AG2117">
        <v>1.198947E-2</v>
      </c>
      <c r="AH2117">
        <v>3.0129409568591701</v>
      </c>
      <c r="AI2117">
        <v>89.772239881401106</v>
      </c>
      <c r="AJ2117">
        <v>92.613684622466295</v>
      </c>
      <c r="AK2117">
        <v>3.0161023931959501</v>
      </c>
      <c r="AL2117">
        <v>88.402346474934902</v>
      </c>
      <c r="AM2117">
        <v>86.791290252300996</v>
      </c>
      <c r="AN2117">
        <v>0.99999996578380401</v>
      </c>
    </row>
    <row r="2118" spans="1:40" x14ac:dyDescent="0.25">
      <c r="A2118" t="str">
        <f>"20190312154838228"</f>
        <v>20190312154838228</v>
      </c>
      <c r="B2118" t="str">
        <f>"1552376918218444"</f>
        <v>1552376918218444</v>
      </c>
      <c r="C2118" t="s">
        <v>40</v>
      </c>
      <c r="D2118">
        <v>4.3895869999999997</v>
      </c>
      <c r="E2118">
        <v>0.46185229999999999</v>
      </c>
      <c r="F2118" t="s">
        <v>48</v>
      </c>
      <c r="G2118">
        <v>0</v>
      </c>
      <c r="H2118">
        <v>0</v>
      </c>
      <c r="I2118">
        <v>0</v>
      </c>
      <c r="J2118">
        <v>-311.23349999999999</v>
      </c>
      <c r="K2118">
        <v>1.108444</v>
      </c>
      <c r="L2118">
        <v>283.4547</v>
      </c>
      <c r="M2118">
        <v>-0.9995657</v>
      </c>
      <c r="N2118">
        <v>0</v>
      </c>
      <c r="O2118">
        <v>2.9054030000000002E-2</v>
      </c>
      <c r="P2118">
        <v>-0.99612780000000001</v>
      </c>
      <c r="Q2118">
        <v>2.3438199999999999E-2</v>
      </c>
      <c r="R2118">
        <v>8.4736350000000002E-2</v>
      </c>
      <c r="S2118">
        <v>-3.0157470000000002</v>
      </c>
      <c r="T2118">
        <v>1.287162E-2</v>
      </c>
      <c r="U2118">
        <v>-5.0567630000000002E-2</v>
      </c>
      <c r="V2118">
        <v>5.574987E-2</v>
      </c>
      <c r="W2118">
        <v>2.8404530000000001E-2</v>
      </c>
      <c r="X2118">
        <v>0.9980407</v>
      </c>
      <c r="Y2118">
        <v>-4.5808050000000003E-2</v>
      </c>
      <c r="Z2118">
        <v>2.217435E-4</v>
      </c>
      <c r="AA2118">
        <v>0.99895020000000001</v>
      </c>
      <c r="AB2118">
        <v>45</v>
      </c>
      <c r="AC2118">
        <v>-3.0157470000000002</v>
      </c>
      <c r="AD2118">
        <v>1.287162E-2</v>
      </c>
      <c r="AE2118">
        <v>-5.0567630000000002E-2</v>
      </c>
      <c r="AF2118">
        <v>-0.13816443304859999</v>
      </c>
      <c r="AG2118">
        <v>1.287162E-2</v>
      </c>
      <c r="AH2118">
        <v>3.0129497663422802</v>
      </c>
      <c r="AI2118">
        <v>89.755485191820199</v>
      </c>
      <c r="AJ2118">
        <v>92.625565509978998</v>
      </c>
      <c r="AK2118">
        <v>3.0161434620493601</v>
      </c>
      <c r="AL2118">
        <v>88.372321473488896</v>
      </c>
      <c r="AM2118">
        <v>86.802819580667602</v>
      </c>
      <c r="AN2118">
        <v>1.0000000520930099</v>
      </c>
    </row>
    <row r="2119" spans="1:40" x14ac:dyDescent="0.25">
      <c r="A2119" t="str">
        <f>"20190312154838238"</f>
        <v>20190312154838238</v>
      </c>
      <c r="B2119" t="str">
        <f>"1552376918228205"</f>
        <v>1552376918228205</v>
      </c>
      <c r="C2119" t="s">
        <v>40</v>
      </c>
      <c r="D2119">
        <v>4.3787190000000002</v>
      </c>
      <c r="E2119">
        <v>0.46184720000000001</v>
      </c>
      <c r="F2119" t="s">
        <v>48</v>
      </c>
      <c r="G2119">
        <v>0</v>
      </c>
      <c r="H2119">
        <v>0</v>
      </c>
      <c r="I2119">
        <v>0</v>
      </c>
      <c r="J2119">
        <v>-311.46890000000002</v>
      </c>
      <c r="K2119">
        <v>1.1084560000000001</v>
      </c>
      <c r="L2119">
        <v>283.4615</v>
      </c>
      <c r="M2119">
        <v>-0.99956829999999997</v>
      </c>
      <c r="N2119">
        <v>0</v>
      </c>
      <c r="O2119">
        <v>2.8958060000000001E-2</v>
      </c>
      <c r="P2119">
        <v>-0.99613839999999998</v>
      </c>
      <c r="Q2119">
        <v>2.3483190000000001E-2</v>
      </c>
      <c r="R2119">
        <v>8.45973E-2</v>
      </c>
      <c r="S2119">
        <v>-3.0156559999999999</v>
      </c>
      <c r="T2119">
        <v>1.4253740000000001E-2</v>
      </c>
      <c r="U2119">
        <v>-5.0994869999999998E-2</v>
      </c>
      <c r="V2119">
        <v>5.5705669999999999E-2</v>
      </c>
      <c r="W2119">
        <v>2.8471739999999999E-2</v>
      </c>
      <c r="X2119">
        <v>0.99804119999999996</v>
      </c>
      <c r="Y2119">
        <v>-4.5853989999999997E-2</v>
      </c>
      <c r="Z2119">
        <v>2.4521569999999998E-4</v>
      </c>
      <c r="AA2119">
        <v>0.99894810000000001</v>
      </c>
      <c r="AB2119">
        <v>45</v>
      </c>
      <c r="AC2119">
        <v>-3.0156559999999999</v>
      </c>
      <c r="AD2119">
        <v>1.4253740000000001E-2</v>
      </c>
      <c r="AE2119">
        <v>-5.0994869999999998E-2</v>
      </c>
      <c r="AF2119">
        <v>-0.13829901830408101</v>
      </c>
      <c r="AG2119">
        <v>1.4253740000000001E-2</v>
      </c>
      <c r="AH2119">
        <v>3.0128472653028502</v>
      </c>
      <c r="AI2119">
        <v>89.729221581425506</v>
      </c>
      <c r="AJ2119">
        <v>92.628208762274298</v>
      </c>
      <c r="AK2119">
        <v>3.0160534530426899</v>
      </c>
      <c r="AL2119">
        <v>88.368468980058296</v>
      </c>
      <c r="AM2119">
        <v>86.805350736251796</v>
      </c>
      <c r="AN2119">
        <v>0.99999999927310801</v>
      </c>
    </row>
    <row r="2120" spans="1:40" x14ac:dyDescent="0.25">
      <c r="A2120" t="str">
        <f>"20190312154838251"</f>
        <v>20190312154838251</v>
      </c>
      <c r="B2120" t="str">
        <f>"1552376918237964"</f>
        <v>1552376918237964</v>
      </c>
      <c r="C2120" t="s">
        <v>40</v>
      </c>
      <c r="D2120">
        <v>4.4012460000000004</v>
      </c>
      <c r="E2120">
        <v>0.46187339999999999</v>
      </c>
      <c r="F2120" t="s">
        <v>48</v>
      </c>
      <c r="G2120">
        <v>0</v>
      </c>
      <c r="H2120">
        <v>0</v>
      </c>
      <c r="I2120">
        <v>0</v>
      </c>
      <c r="J2120">
        <v>-311.70089999999999</v>
      </c>
      <c r="K2120">
        <v>1.108465</v>
      </c>
      <c r="L2120">
        <v>283.46809999999999</v>
      </c>
      <c r="M2120">
        <v>-0.99957110000000005</v>
      </c>
      <c r="N2120">
        <v>0</v>
      </c>
      <c r="O2120">
        <v>2.885942E-2</v>
      </c>
      <c r="P2120">
        <v>-0.99614820000000004</v>
      </c>
      <c r="Q2120">
        <v>2.3870510000000001E-2</v>
      </c>
      <c r="R2120">
        <v>8.4374820000000003E-2</v>
      </c>
      <c r="S2120">
        <v>-3.0156860000000001</v>
      </c>
      <c r="T2120">
        <v>1.411045E-2</v>
      </c>
      <c r="U2120">
        <v>-5.1544189999999997E-2</v>
      </c>
      <c r="V2120">
        <v>5.5580839999999999E-2</v>
      </c>
      <c r="W2120">
        <v>2.8880699999999999E-2</v>
      </c>
      <c r="X2120">
        <v>0.99803640000000005</v>
      </c>
      <c r="Y2120">
        <v>-4.5937159999999998E-2</v>
      </c>
      <c r="Z2120">
        <v>2.4248100000000001E-4</v>
      </c>
      <c r="AA2120">
        <v>0.99894430000000001</v>
      </c>
      <c r="AB2120">
        <v>45</v>
      </c>
      <c r="AC2120">
        <v>-3.0156860000000001</v>
      </c>
      <c r="AD2120">
        <v>1.411045E-2</v>
      </c>
      <c r="AE2120">
        <v>-5.1544189999999997E-2</v>
      </c>
      <c r="AF2120">
        <v>-0.13855171372303099</v>
      </c>
      <c r="AG2120">
        <v>1.411045E-2</v>
      </c>
      <c r="AH2120">
        <v>3.0128763798432998</v>
      </c>
      <c r="AI2120">
        <v>89.731947238422094</v>
      </c>
      <c r="AJ2120">
        <v>92.632978779121004</v>
      </c>
      <c r="AK2120">
        <v>3.0160934604870002</v>
      </c>
      <c r="AL2120">
        <v>88.3450276426301</v>
      </c>
      <c r="AM2120">
        <v>86.812479501015005</v>
      </c>
      <c r="AN2120">
        <v>0.99999999016627705</v>
      </c>
    </row>
    <row r="2121" spans="1:40" x14ac:dyDescent="0.25">
      <c r="A2121" t="str">
        <f>"20190312154838262"</f>
        <v>20190312154838262</v>
      </c>
      <c r="B2121" t="str">
        <f>"1552376918258460"</f>
        <v>1552376918258460</v>
      </c>
      <c r="C2121" t="s">
        <v>40</v>
      </c>
      <c r="D2121">
        <v>4.538627</v>
      </c>
      <c r="E2121">
        <v>0.46195039999999998</v>
      </c>
      <c r="F2121" t="s">
        <v>48</v>
      </c>
      <c r="G2121">
        <v>0</v>
      </c>
      <c r="H2121">
        <v>0</v>
      </c>
      <c r="I2121">
        <v>0</v>
      </c>
      <c r="J2121">
        <v>-311.94319999999999</v>
      </c>
      <c r="K2121">
        <v>1.1084769999999999</v>
      </c>
      <c r="L2121">
        <v>283.4751</v>
      </c>
      <c r="M2121">
        <v>-0.99957410000000002</v>
      </c>
      <c r="N2121">
        <v>0</v>
      </c>
      <c r="O2121">
        <v>2.8752300000000001E-2</v>
      </c>
      <c r="P2121">
        <v>-0.99617920000000004</v>
      </c>
      <c r="Q2121">
        <v>2.4074089999999999E-2</v>
      </c>
      <c r="R2121">
        <v>8.3950529999999995E-2</v>
      </c>
      <c r="S2121">
        <v>-3.0156559999999999</v>
      </c>
      <c r="T2121">
        <v>1.4587879999999999E-2</v>
      </c>
      <c r="U2121">
        <v>-5.1940920000000002E-2</v>
      </c>
      <c r="V2121">
        <v>5.5261890000000001E-2</v>
      </c>
      <c r="W2121">
        <v>2.910662E-2</v>
      </c>
      <c r="X2121">
        <v>0.99804749999999998</v>
      </c>
      <c r="Y2121">
        <v>-4.5961599999999998E-2</v>
      </c>
      <c r="Z2121">
        <v>2.5022880000000002E-4</v>
      </c>
      <c r="AA2121">
        <v>0.99894320000000003</v>
      </c>
      <c r="AB2121">
        <v>45</v>
      </c>
      <c r="AC2121">
        <v>-3.0156559999999999</v>
      </c>
      <c r="AD2121">
        <v>1.4587879999999999E-2</v>
      </c>
      <c r="AE2121">
        <v>-5.1940920000000002E-2</v>
      </c>
      <c r="AF2121">
        <v>-0.138624329064479</v>
      </c>
      <c r="AG2121">
        <v>1.4587879999999999E-2</v>
      </c>
      <c r="AH2121">
        <v>3.01284527769787</v>
      </c>
      <c r="AI2121">
        <v>89.722875208699193</v>
      </c>
      <c r="AJ2121">
        <v>92.6343839438305</v>
      </c>
      <c r="AK2121">
        <v>3.0160679995977899</v>
      </c>
      <c r="AL2121">
        <v>88.332077855550494</v>
      </c>
      <c r="AM2121">
        <v>86.830768830968196</v>
      </c>
      <c r="AN2121">
        <v>0.99999994203522102</v>
      </c>
    </row>
    <row r="2122" spans="1:40" x14ac:dyDescent="0.25">
      <c r="A2122" t="str">
        <f>"20190312154838274"</f>
        <v>20190312154838274</v>
      </c>
      <c r="B2122" t="str">
        <f>"1552376918268220"</f>
        <v>1552376918268220</v>
      </c>
      <c r="C2122" t="s">
        <v>40</v>
      </c>
      <c r="D2122">
        <v>4.4779239999999998</v>
      </c>
      <c r="E2122">
        <v>0.46304990000000001</v>
      </c>
      <c r="F2122" t="s">
        <v>57</v>
      </c>
      <c r="G2122">
        <v>-552.37519999999995</v>
      </c>
      <c r="H2122">
        <v>2.292754</v>
      </c>
      <c r="I2122">
        <v>279.27539999999999</v>
      </c>
      <c r="J2122">
        <v>-312.1703</v>
      </c>
      <c r="K2122">
        <v>1.1084879999999999</v>
      </c>
      <c r="L2122">
        <v>283.48160000000001</v>
      </c>
      <c r="M2122">
        <v>-0.9995771</v>
      </c>
      <c r="N2122">
        <v>0</v>
      </c>
      <c r="O2122">
        <v>2.8643869999999998E-2</v>
      </c>
      <c r="P2122">
        <v>-0.99616859999999996</v>
      </c>
      <c r="Q2122">
        <v>2.4379120000000001E-2</v>
      </c>
      <c r="R2122">
        <v>8.3989350000000004E-2</v>
      </c>
      <c r="S2122">
        <v>-3.0155940000000001</v>
      </c>
      <c r="T2122">
        <v>1.485467E-2</v>
      </c>
      <c r="U2122">
        <v>-5.2673339999999999E-2</v>
      </c>
      <c r="V2122">
        <v>5.540834E-2</v>
      </c>
      <c r="W2122">
        <v>2.9432639999999999E-2</v>
      </c>
      <c r="X2122">
        <v>0.99802990000000003</v>
      </c>
      <c r="Y2122">
        <v>-4.6096119999999997E-2</v>
      </c>
      <c r="Z2122">
        <v>2.5460700000000001E-4</v>
      </c>
      <c r="AA2122">
        <v>0.99893699999999996</v>
      </c>
      <c r="AB2122">
        <v>45</v>
      </c>
      <c r="AC2122">
        <v>-240.20489999999899</v>
      </c>
      <c r="AD2122">
        <v>1.184266</v>
      </c>
      <c r="AE2122">
        <v>-4.2062000000000204</v>
      </c>
      <c r="AF2122">
        <v>-11.0846891653971</v>
      </c>
      <c r="AG2122">
        <v>1.184266</v>
      </c>
      <c r="AH2122">
        <v>239.98002187447901</v>
      </c>
      <c r="AI2122">
        <v>89.717557210363907</v>
      </c>
      <c r="AJ2122">
        <v>92.644615198426294</v>
      </c>
      <c r="AK2122">
        <v>240.23880560543901</v>
      </c>
      <c r="AL2122">
        <v>88.313390414072899</v>
      </c>
      <c r="AM2122">
        <v>86.8223312919297</v>
      </c>
      <c r="AN2122">
        <v>1.0000000228664601</v>
      </c>
    </row>
    <row r="2123" spans="1:40" x14ac:dyDescent="0.25">
      <c r="A2123" t="str">
        <f>"20190312154838288"</f>
        <v>20190312154838288</v>
      </c>
      <c r="B2123" t="str">
        <f>"1552376918277980"</f>
        <v>1552376918277980</v>
      </c>
      <c r="C2123" t="s">
        <v>40</v>
      </c>
      <c r="D2123">
        <v>4.4694570000000002</v>
      </c>
      <c r="E2123">
        <v>0.46304990000000001</v>
      </c>
      <c r="F2123" t="s">
        <v>48</v>
      </c>
      <c r="G2123">
        <v>0</v>
      </c>
      <c r="H2123">
        <v>0</v>
      </c>
      <c r="I2123">
        <v>0</v>
      </c>
      <c r="J2123">
        <v>-312.44900000000001</v>
      </c>
      <c r="K2123">
        <v>1.1085020000000001</v>
      </c>
      <c r="L2123">
        <v>283.48950000000002</v>
      </c>
      <c r="M2123">
        <v>-0.99958100000000005</v>
      </c>
      <c r="N2123">
        <v>0</v>
      </c>
      <c r="O2123">
        <v>2.8504950000000001E-2</v>
      </c>
      <c r="P2123">
        <v>-0.99616990000000005</v>
      </c>
      <c r="Q2123">
        <v>2.4426920000000001E-2</v>
      </c>
      <c r="R2123">
        <v>8.3960000000000007E-2</v>
      </c>
      <c r="S2123">
        <v>-3.0148619999999999</v>
      </c>
      <c r="T2123">
        <v>1.371002E-2</v>
      </c>
      <c r="U2123">
        <v>-4.3823239999999999E-2</v>
      </c>
      <c r="V2123">
        <v>5.5516740000000002E-2</v>
      </c>
      <c r="W2123">
        <v>2.950699E-2</v>
      </c>
      <c r="X2123">
        <v>0.99802170000000001</v>
      </c>
      <c r="Y2123">
        <v>-4.3029860000000003E-2</v>
      </c>
      <c r="Z2123">
        <v>2.2744630000000001E-4</v>
      </c>
      <c r="AA2123">
        <v>0.99907369999999995</v>
      </c>
      <c r="AB2123">
        <v>45</v>
      </c>
      <c r="AC2123">
        <v>-3.0148619999999999</v>
      </c>
      <c r="AD2123">
        <v>1.371002E-2</v>
      </c>
      <c r="AE2123">
        <v>-4.3823239999999999E-2</v>
      </c>
      <c r="AF2123">
        <v>-0.12974232696475199</v>
      </c>
      <c r="AG2123">
        <v>1.371002E-2</v>
      </c>
      <c r="AH2123">
        <v>3.0123254084450002</v>
      </c>
      <c r="AI2123">
        <v>89.739472607353093</v>
      </c>
      <c r="AJ2123">
        <v>92.466232959113</v>
      </c>
      <c r="AK2123">
        <v>3.01514931676989</v>
      </c>
      <c r="AL2123">
        <v>88.309128654768202</v>
      </c>
      <c r="AM2123">
        <v>86.816101222962601</v>
      </c>
      <c r="AN2123">
        <v>1.00000004227498</v>
      </c>
    </row>
    <row r="2124" spans="1:40" x14ac:dyDescent="0.25">
      <c r="A2124" t="str">
        <f>"20190312154838307"</f>
        <v>20190312154838307</v>
      </c>
      <c r="B2124" t="str">
        <f>"1552376918298476"</f>
        <v>1552376918298476</v>
      </c>
      <c r="C2124" t="s">
        <v>40</v>
      </c>
      <c r="D2124">
        <v>4.4814769999999999</v>
      </c>
      <c r="E2124">
        <v>0.46498309999999998</v>
      </c>
      <c r="F2124" t="s">
        <v>48</v>
      </c>
      <c r="G2124">
        <v>0</v>
      </c>
      <c r="H2124">
        <v>0</v>
      </c>
      <c r="I2124">
        <v>0</v>
      </c>
      <c r="J2124">
        <v>-312.83659999999998</v>
      </c>
      <c r="K2124">
        <v>1.1085290000000001</v>
      </c>
      <c r="L2124">
        <v>283.50040000000001</v>
      </c>
      <c r="M2124">
        <v>-0.9995868</v>
      </c>
      <c r="N2124">
        <v>0</v>
      </c>
      <c r="O2124">
        <v>2.829017E-2</v>
      </c>
      <c r="P2124">
        <v>-0.99615989999999999</v>
      </c>
      <c r="Q2124">
        <v>2.4799470000000001E-2</v>
      </c>
      <c r="R2124">
        <v>8.3969180000000004E-2</v>
      </c>
      <c r="S2124">
        <v>-3.014923</v>
      </c>
      <c r="T2124">
        <v>1.3888599999999999E-2</v>
      </c>
      <c r="U2124">
        <v>-4.4067380000000003E-2</v>
      </c>
      <c r="V2124">
        <v>5.5738679999999999E-2</v>
      </c>
      <c r="W2124">
        <v>2.9916419999999999E-2</v>
      </c>
      <c r="X2124">
        <v>0.99799709999999997</v>
      </c>
      <c r="Y2124">
        <v>-4.2895759999999998E-2</v>
      </c>
      <c r="Z2124">
        <v>2.2910610000000001E-4</v>
      </c>
      <c r="AA2124">
        <v>0.99907950000000001</v>
      </c>
      <c r="AB2124">
        <v>45</v>
      </c>
      <c r="AC2124">
        <v>-3.014923</v>
      </c>
      <c r="AD2124">
        <v>1.3888599999999999E-2</v>
      </c>
      <c r="AE2124">
        <v>-4.4067380000000003E-2</v>
      </c>
      <c r="AF2124">
        <v>-0.129340786141077</v>
      </c>
      <c r="AG2124">
        <v>1.3888599999999999E-2</v>
      </c>
      <c r="AH2124">
        <v>3.0124056527643601</v>
      </c>
      <c r="AI2124">
        <v>89.736084660167805</v>
      </c>
      <c r="AJ2124">
        <v>92.458544158870595</v>
      </c>
      <c r="AK2124">
        <v>3.0152130520041598</v>
      </c>
      <c r="AL2124">
        <v>88.285659614412197</v>
      </c>
      <c r="AM2124">
        <v>86.803320622040502</v>
      </c>
      <c r="AN2124">
        <v>1.00000000212108</v>
      </c>
    </row>
    <row r="2125" spans="1:40" x14ac:dyDescent="0.25">
      <c r="A2125" t="str">
        <f>"20190312154838330"</f>
        <v>20190312154838330</v>
      </c>
      <c r="B2125" t="str">
        <f>"1552376918317996"</f>
        <v>1552376918317996</v>
      </c>
      <c r="C2125" t="s">
        <v>40</v>
      </c>
      <c r="D2125">
        <v>4.4813090000000004</v>
      </c>
      <c r="E2125">
        <v>0.4660957</v>
      </c>
      <c r="F2125" t="s">
        <v>48</v>
      </c>
      <c r="G2125">
        <v>0</v>
      </c>
      <c r="H2125">
        <v>0</v>
      </c>
      <c r="I2125">
        <v>0</v>
      </c>
      <c r="J2125">
        <v>-313.30380000000002</v>
      </c>
      <c r="K2125">
        <v>1.1085640000000001</v>
      </c>
      <c r="L2125">
        <v>283.51350000000002</v>
      </c>
      <c r="M2125">
        <v>-0.99959500000000001</v>
      </c>
      <c r="N2125">
        <v>0</v>
      </c>
      <c r="O2125">
        <v>2.799279E-2</v>
      </c>
      <c r="P2125">
        <v>-0.99613700000000005</v>
      </c>
      <c r="Q2125">
        <v>2.5293309999999999E-2</v>
      </c>
      <c r="R2125">
        <v>8.4092710000000001E-2</v>
      </c>
      <c r="S2125">
        <v>-3.013855</v>
      </c>
      <c r="T2125">
        <v>6.163239E-3</v>
      </c>
      <c r="U2125">
        <v>-2.8778080000000001E-2</v>
      </c>
      <c r="V2125">
        <v>5.615668E-2</v>
      </c>
      <c r="W2125">
        <v>3.045548E-2</v>
      </c>
      <c r="X2125">
        <v>0.99795730000000005</v>
      </c>
      <c r="Y2125">
        <v>-3.7536159999999999E-2</v>
      </c>
      <c r="Z2125" s="1">
        <v>9.5619300000000001E-5</v>
      </c>
      <c r="AA2125">
        <v>0.9992953</v>
      </c>
      <c r="AB2125">
        <v>46</v>
      </c>
      <c r="AC2125">
        <v>-3.013855</v>
      </c>
      <c r="AD2125">
        <v>6.163239E-3</v>
      </c>
      <c r="AE2125">
        <v>-2.8778080000000001E-2</v>
      </c>
      <c r="AF2125">
        <v>-0.113133646224401</v>
      </c>
      <c r="AG2125">
        <v>6.163239E-3</v>
      </c>
      <c r="AH2125">
        <v>3.0118557313476999</v>
      </c>
      <c r="AI2125">
        <v>89.882836941403397</v>
      </c>
      <c r="AJ2125">
        <v>92.1511768656881</v>
      </c>
      <c r="AK2125">
        <v>3.0139860905244702</v>
      </c>
      <c r="AL2125">
        <v>88.254759563046903</v>
      </c>
      <c r="AM2125">
        <v>86.779269931387404</v>
      </c>
      <c r="AN2125">
        <v>0.99999994079696897</v>
      </c>
    </row>
    <row r="2126" spans="1:40" x14ac:dyDescent="0.25">
      <c r="A2126" t="str">
        <f>"20190312154838342"</f>
        <v>20190312154838342</v>
      </c>
      <c r="B2126" t="str">
        <f>"1552376918338492"</f>
        <v>1552376918338492</v>
      </c>
      <c r="C2126" t="s">
        <v>40</v>
      </c>
      <c r="D2126">
        <v>4.5009110000000003</v>
      </c>
      <c r="E2126">
        <v>0.46704509999999999</v>
      </c>
      <c r="F2126" t="s">
        <v>48</v>
      </c>
      <c r="G2126">
        <v>0</v>
      </c>
      <c r="H2126">
        <v>0</v>
      </c>
      <c r="I2126">
        <v>0</v>
      </c>
      <c r="J2126">
        <v>-313.55200000000002</v>
      </c>
      <c r="K2126">
        <v>1.10859</v>
      </c>
      <c r="L2126">
        <v>283.5204</v>
      </c>
      <c r="M2126">
        <v>-0.99959980000000004</v>
      </c>
      <c r="N2126">
        <v>0</v>
      </c>
      <c r="O2126">
        <v>2.7819010000000002E-2</v>
      </c>
      <c r="P2126">
        <v>-0.99611249999999996</v>
      </c>
      <c r="Q2126">
        <v>2.5222399999999999E-2</v>
      </c>
      <c r="R2126">
        <v>8.440338E-2</v>
      </c>
      <c r="S2126">
        <v>-3.013245</v>
      </c>
      <c r="T2126">
        <v>2.8899910000000002E-3</v>
      </c>
      <c r="U2126">
        <v>-1.9958500000000001E-2</v>
      </c>
      <c r="V2126">
        <v>5.6639910000000002E-2</v>
      </c>
      <c r="W2126">
        <v>3.0409240000000001E-2</v>
      </c>
      <c r="X2126">
        <v>0.99793149999999997</v>
      </c>
      <c r="Y2126">
        <v>-3.4439619999999997E-2</v>
      </c>
      <c r="Z2126" s="1">
        <v>4.3194449999999998E-5</v>
      </c>
      <c r="AA2126">
        <v>0.99940680000000004</v>
      </c>
      <c r="AB2126">
        <v>46</v>
      </c>
      <c r="AC2126">
        <v>-3.013245</v>
      </c>
      <c r="AD2126">
        <v>2.8899910000000002E-3</v>
      </c>
      <c r="AE2126">
        <v>-1.9958500000000001E-2</v>
      </c>
      <c r="AF2126">
        <v>-0.103777276826742</v>
      </c>
      <c r="AG2126">
        <v>2.8899910000000002E-3</v>
      </c>
      <c r="AH2126">
        <v>3.0115207693935502</v>
      </c>
      <c r="AI2126">
        <v>89.945049023051695</v>
      </c>
      <c r="AJ2126">
        <v>91.973636737568697</v>
      </c>
      <c r="AK2126">
        <v>3.0133097118819898</v>
      </c>
      <c r="AL2126">
        <v>88.257410320625397</v>
      </c>
      <c r="AM2126">
        <v>86.751530743933898</v>
      </c>
      <c r="AN2126">
        <v>1.00000003998721</v>
      </c>
    </row>
    <row r="2127" spans="1:40" x14ac:dyDescent="0.25">
      <c r="A2127" t="str">
        <f>"20190312154838353"</f>
        <v>20190312154838353</v>
      </c>
      <c r="B2127" t="str">
        <f>"1552376918348253"</f>
        <v>1552376918348253</v>
      </c>
      <c r="C2127" t="s">
        <v>40</v>
      </c>
      <c r="D2127">
        <v>4.4953839999999996</v>
      </c>
      <c r="E2127">
        <v>0.46746169999999998</v>
      </c>
      <c r="F2127" t="s">
        <v>48</v>
      </c>
      <c r="G2127">
        <v>0</v>
      </c>
      <c r="H2127">
        <v>0</v>
      </c>
      <c r="I2127">
        <v>0</v>
      </c>
      <c r="J2127">
        <v>-313.77539999999999</v>
      </c>
      <c r="K2127">
        <v>1.108617</v>
      </c>
      <c r="L2127">
        <v>283.5265</v>
      </c>
      <c r="M2127">
        <v>-0.9996043</v>
      </c>
      <c r="N2127">
        <v>0</v>
      </c>
      <c r="O2127">
        <v>2.7645759999999998E-2</v>
      </c>
      <c r="P2127">
        <v>-0.99610080000000001</v>
      </c>
      <c r="Q2127">
        <v>2.5498659999999999E-2</v>
      </c>
      <c r="R2127">
        <v>8.4459549999999994E-2</v>
      </c>
      <c r="S2127">
        <v>-3.012756</v>
      </c>
      <c r="T2127">
        <v>-2.2485259999999998E-3</v>
      </c>
      <c r="U2127">
        <v>-1.177979E-2</v>
      </c>
      <c r="V2127">
        <v>5.6867580000000001E-2</v>
      </c>
      <c r="W2127">
        <v>3.0708079999999999E-2</v>
      </c>
      <c r="X2127">
        <v>0.99790939999999995</v>
      </c>
      <c r="Y2127">
        <v>-3.1554350000000002E-2</v>
      </c>
      <c r="Z2127" s="1">
        <v>-3.2406510000000003E-5</v>
      </c>
      <c r="AA2127">
        <v>0.99950209999999995</v>
      </c>
      <c r="AB2127">
        <v>46</v>
      </c>
      <c r="AC2127">
        <v>-3.012756</v>
      </c>
      <c r="AD2127">
        <v>-2.2485259999999998E-3</v>
      </c>
      <c r="AE2127">
        <v>-1.177979E-2</v>
      </c>
      <c r="AF2127">
        <v>-9.5066286382068002E-2</v>
      </c>
      <c r="AG2127">
        <v>-2.2485259999999998E-3</v>
      </c>
      <c r="AH2127">
        <v>3.01127709924743</v>
      </c>
      <c r="AI2127">
        <v>90.042761548893907</v>
      </c>
      <c r="AJ2127">
        <v>91.808232287614402</v>
      </c>
      <c r="AK2127">
        <v>3.0127781901639699</v>
      </c>
      <c r="AL2127">
        <v>88.240280048884202</v>
      </c>
      <c r="AM2127">
        <v>86.738429242922095</v>
      </c>
      <c r="AN2127">
        <v>1.0000000392203501</v>
      </c>
    </row>
    <row r="2128" spans="1:40" x14ac:dyDescent="0.25">
      <c r="A2128" t="str">
        <f>"20190312154838365"</f>
        <v>20190312154838365</v>
      </c>
      <c r="B2128" t="str">
        <f>"1552376918358012"</f>
        <v>1552376918358012</v>
      </c>
      <c r="C2128" t="s">
        <v>40</v>
      </c>
      <c r="D2128">
        <v>4.5228799999999998</v>
      </c>
      <c r="E2128">
        <v>0.46786369999999999</v>
      </c>
      <c r="F2128" t="s">
        <v>46</v>
      </c>
      <c r="G2128">
        <v>-1267.797</v>
      </c>
      <c r="H2128">
        <v>-0.1</v>
      </c>
      <c r="I2128">
        <v>280.8784</v>
      </c>
      <c r="J2128">
        <v>-314.03199999999998</v>
      </c>
      <c r="K2128">
        <v>1.108643</v>
      </c>
      <c r="L2128">
        <v>283.5335</v>
      </c>
      <c r="M2128">
        <v>-0.99961009999999995</v>
      </c>
      <c r="N2128">
        <v>0</v>
      </c>
      <c r="O2128">
        <v>2.743802E-2</v>
      </c>
      <c r="P2128">
        <v>-0.99609360000000002</v>
      </c>
      <c r="Q2128">
        <v>2.5720400000000001E-2</v>
      </c>
      <c r="R2128">
        <v>8.4474729999999998E-2</v>
      </c>
      <c r="S2128">
        <v>-3.012543</v>
      </c>
      <c r="T2128">
        <v>-3.8164850000000001E-3</v>
      </c>
      <c r="U2128">
        <v>-8.3618159999999993E-3</v>
      </c>
      <c r="V2128">
        <v>5.7088E-2</v>
      </c>
      <c r="W2128">
        <v>3.0955920000000001E-2</v>
      </c>
      <c r="X2128">
        <v>0.99788909999999997</v>
      </c>
      <c r="Y2128">
        <v>-3.0212849999999999E-2</v>
      </c>
      <c r="Z2128" s="1">
        <v>-5.3895479999999998E-5</v>
      </c>
      <c r="AA2128">
        <v>0.99954350000000003</v>
      </c>
      <c r="AB2128">
        <v>46</v>
      </c>
      <c r="AC2128">
        <v>-953.76499999999999</v>
      </c>
      <c r="AD2128">
        <v>-1.2086429999999999</v>
      </c>
      <c r="AE2128">
        <v>-2.6551</v>
      </c>
      <c r="AF2128">
        <v>-28.823827920799602</v>
      </c>
      <c r="AG2128">
        <v>-1.2086429999999999</v>
      </c>
      <c r="AH2128">
        <v>953.33152161052396</v>
      </c>
      <c r="AI2128">
        <v>90.072606930057802</v>
      </c>
      <c r="AJ2128">
        <v>91.731801262690993</v>
      </c>
      <c r="AK2128">
        <v>953.76792982892096</v>
      </c>
      <c r="AL2128">
        <v>88.226073008177906</v>
      </c>
      <c r="AM2128">
        <v>86.725748312071403</v>
      </c>
      <c r="AN2128">
        <v>0.99999998231292797</v>
      </c>
    </row>
    <row r="2129" spans="1:40" x14ac:dyDescent="0.25">
      <c r="A2129" t="str">
        <f>"20190312154838376"</f>
        <v>20190312154838376</v>
      </c>
      <c r="B2129" t="str">
        <f>"1552376918367772"</f>
        <v>1552376918367772</v>
      </c>
      <c r="C2129" t="s">
        <v>40</v>
      </c>
      <c r="D2129">
        <v>4.521458</v>
      </c>
      <c r="E2129">
        <v>0.46825020000000001</v>
      </c>
      <c r="F2129" t="s">
        <v>46</v>
      </c>
      <c r="G2129">
        <v>-1005.446</v>
      </c>
      <c r="H2129">
        <v>-0.1</v>
      </c>
      <c r="I2129">
        <v>282.33569999999997</v>
      </c>
      <c r="J2129">
        <v>-314.26889999999997</v>
      </c>
      <c r="K2129">
        <v>1.1086750000000001</v>
      </c>
      <c r="L2129">
        <v>283.53989999999999</v>
      </c>
      <c r="M2129">
        <v>-0.99961619999999995</v>
      </c>
      <c r="N2129">
        <v>0</v>
      </c>
      <c r="O2129">
        <v>2.7212299999999998E-2</v>
      </c>
      <c r="P2129">
        <v>-0.99608280000000005</v>
      </c>
      <c r="Q2129">
        <v>2.5569560000000002E-2</v>
      </c>
      <c r="R2129">
        <v>8.4650840000000005E-2</v>
      </c>
      <c r="S2129">
        <v>-3.0123600000000001</v>
      </c>
      <c r="T2129">
        <v>-5.2658319999999998E-3</v>
      </c>
      <c r="U2129">
        <v>-5.2185060000000004E-3</v>
      </c>
      <c r="V2129">
        <v>5.7487549999999998E-2</v>
      </c>
      <c r="W2129">
        <v>3.0830090000000001E-2</v>
      </c>
      <c r="X2129">
        <v>0.99787009999999998</v>
      </c>
      <c r="Y2129">
        <v>-2.8944270000000001E-2</v>
      </c>
      <c r="Z2129" s="1">
        <v>-7.2863939999999995E-5</v>
      </c>
      <c r="AA2129">
        <v>0.99958100000000005</v>
      </c>
      <c r="AB2129">
        <v>46</v>
      </c>
      <c r="AC2129">
        <v>-691.1771</v>
      </c>
      <c r="AD2129">
        <v>-1.2086749999999999</v>
      </c>
      <c r="AE2129">
        <v>-1.2042000000000099</v>
      </c>
      <c r="AF2129">
        <v>-20.012464832853201</v>
      </c>
      <c r="AG2129">
        <v>-1.2086749999999999</v>
      </c>
      <c r="AH2129">
        <v>690.88625195197994</v>
      </c>
      <c r="AI2129">
        <v>90.100194309649893</v>
      </c>
      <c r="AJ2129">
        <v>91.659186642212305</v>
      </c>
      <c r="AK2129">
        <v>691.17709219866094</v>
      </c>
      <c r="AL2129">
        <v>88.233286053863907</v>
      </c>
      <c r="AM2129">
        <v>86.702820077338501</v>
      </c>
      <c r="AN2129">
        <v>1.00000002466421</v>
      </c>
    </row>
    <row r="2130" spans="1:40" x14ac:dyDescent="0.25">
      <c r="A2130" t="str">
        <f>"20190312154838388"</f>
        <v>20190312154838388</v>
      </c>
      <c r="B2130" t="str">
        <f>"1552376918377532"</f>
        <v>1552376918377532</v>
      </c>
      <c r="C2130" t="s">
        <v>40</v>
      </c>
      <c r="D2130">
        <v>4.5262409999999997</v>
      </c>
      <c r="E2130">
        <v>0.46861940000000002</v>
      </c>
      <c r="F2130" t="s">
        <v>46</v>
      </c>
      <c r="G2130">
        <v>-775.47469999999998</v>
      </c>
      <c r="H2130">
        <v>-0.1</v>
      </c>
      <c r="I2130">
        <v>283.30619999999999</v>
      </c>
      <c r="J2130">
        <v>-314.49950000000001</v>
      </c>
      <c r="K2130">
        <v>1.1087020000000001</v>
      </c>
      <c r="L2130">
        <v>283.54599999999999</v>
      </c>
      <c r="M2130">
        <v>-0.99962229999999996</v>
      </c>
      <c r="N2130">
        <v>0</v>
      </c>
      <c r="O2130">
        <v>2.6981330000000001E-2</v>
      </c>
      <c r="P2130">
        <v>-0.99608549999999996</v>
      </c>
      <c r="Q2130">
        <v>2.55319E-2</v>
      </c>
      <c r="R2130">
        <v>8.4630650000000002E-2</v>
      </c>
      <c r="S2130">
        <v>-3.0121150000000001</v>
      </c>
      <c r="T2130">
        <v>-7.8938009999999902E-3</v>
      </c>
      <c r="U2130">
        <v>-1.525879E-3</v>
      </c>
      <c r="V2130">
        <v>5.7695429999999999E-2</v>
      </c>
      <c r="W2130">
        <v>3.08177E-2</v>
      </c>
      <c r="X2130">
        <v>0.99785849999999998</v>
      </c>
      <c r="Y2130">
        <v>-2.7487899999999999E-2</v>
      </c>
      <c r="Z2130">
        <v>-1.0672249999999999E-4</v>
      </c>
      <c r="AA2130">
        <v>0.99962209999999996</v>
      </c>
      <c r="AB2130">
        <v>46</v>
      </c>
      <c r="AC2130">
        <v>-460.97519999999997</v>
      </c>
      <c r="AD2130">
        <v>-1.2087019999999999</v>
      </c>
      <c r="AE2130">
        <v>-0.23980000000000201</v>
      </c>
      <c r="AF2130">
        <v>-12.6775190902463</v>
      </c>
      <c r="AG2130">
        <v>-1.2087019999999999</v>
      </c>
      <c r="AH2130">
        <v>460.79773343396499</v>
      </c>
      <c r="AI2130">
        <v>90.150233312628799</v>
      </c>
      <c r="AJ2130">
        <v>91.575930397171405</v>
      </c>
      <c r="AK2130">
        <v>460.97367776120097</v>
      </c>
      <c r="AL2130">
        <v>88.233996312506903</v>
      </c>
      <c r="AM2130">
        <v>86.690885252423797</v>
      </c>
      <c r="AN2130">
        <v>1.0000000396492099</v>
      </c>
    </row>
    <row r="2131" spans="1:40" x14ac:dyDescent="0.25">
      <c r="A2131" t="str">
        <f>"20190312154838399"</f>
        <v>20190312154838399</v>
      </c>
      <c r="B2131" t="str">
        <f>"1552376918388268"</f>
        <v>1552376918388268</v>
      </c>
      <c r="C2131" t="s">
        <v>40</v>
      </c>
      <c r="D2131">
        <v>4.5781090000000004</v>
      </c>
      <c r="E2131">
        <v>0.46894200000000003</v>
      </c>
      <c r="F2131" t="s">
        <v>46</v>
      </c>
      <c r="G2131">
        <v>-675.20619999999997</v>
      </c>
      <c r="H2131">
        <v>-0.1</v>
      </c>
      <c r="I2131">
        <v>283.6703</v>
      </c>
      <c r="J2131">
        <v>-314.74540000000002</v>
      </c>
      <c r="K2131">
        <v>1.1087389999999999</v>
      </c>
      <c r="L2131">
        <v>283.55250000000001</v>
      </c>
      <c r="M2131">
        <v>-0.99962949999999995</v>
      </c>
      <c r="N2131">
        <v>0</v>
      </c>
      <c r="O2131">
        <v>2.6707740000000001E-2</v>
      </c>
      <c r="P2131">
        <v>-0.99609300000000001</v>
      </c>
      <c r="Q2131">
        <v>2.544012E-2</v>
      </c>
      <c r="R2131">
        <v>8.4567030000000001E-2</v>
      </c>
      <c r="S2131">
        <v>-3.0119929999999999</v>
      </c>
      <c r="T2131">
        <v>-1.009297E-2</v>
      </c>
      <c r="U2131">
        <v>1.037598E-3</v>
      </c>
      <c r="V2131">
        <v>5.7901830000000001E-2</v>
      </c>
      <c r="W2131">
        <v>3.0752410000000001E-2</v>
      </c>
      <c r="X2131">
        <v>0.99784850000000003</v>
      </c>
      <c r="Y2131">
        <v>-2.636345E-2</v>
      </c>
      <c r="Z2131">
        <v>-1.3365950000000001E-4</v>
      </c>
      <c r="AA2131">
        <v>0.9996524</v>
      </c>
      <c r="AB2131">
        <v>46</v>
      </c>
      <c r="AC2131">
        <v>-360.46080000000001</v>
      </c>
      <c r="AD2131">
        <v>-1.208739</v>
      </c>
      <c r="AE2131">
        <v>0.117799999999988</v>
      </c>
      <c r="AF2131">
        <v>-9.50936107961682</v>
      </c>
      <c r="AG2131">
        <v>-1.208739</v>
      </c>
      <c r="AH2131">
        <v>360.33130895702601</v>
      </c>
      <c r="AI2131">
        <v>90.1921322892848</v>
      </c>
      <c r="AJ2131">
        <v>91.511719371632907</v>
      </c>
      <c r="AK2131">
        <v>360.45879266955899</v>
      </c>
      <c r="AL2131">
        <v>88.237738823949996</v>
      </c>
      <c r="AM2131">
        <v>86.679040446131296</v>
      </c>
      <c r="AN2131">
        <v>0.99999998079520303</v>
      </c>
    </row>
    <row r="2132" spans="1:40" x14ac:dyDescent="0.25">
      <c r="A2132" t="str">
        <f>"20190312154838412"</f>
        <v>20190312154838412</v>
      </c>
      <c r="B2132" t="str">
        <f>"1552376918407788"</f>
        <v>1552376918407788</v>
      </c>
      <c r="C2132" t="s">
        <v>40</v>
      </c>
      <c r="D2132">
        <v>4.5475110000000001</v>
      </c>
      <c r="E2132">
        <v>0.46973599999999999</v>
      </c>
      <c r="F2132" t="s">
        <v>46</v>
      </c>
      <c r="G2132">
        <v>-629.80099999999902</v>
      </c>
      <c r="H2132">
        <v>-0.1</v>
      </c>
      <c r="I2132">
        <v>283.9228</v>
      </c>
      <c r="J2132">
        <v>-314.9873</v>
      </c>
      <c r="K2132">
        <v>1.108779</v>
      </c>
      <c r="L2132">
        <v>283.55889999999999</v>
      </c>
      <c r="M2132">
        <v>-0.99963709999999995</v>
      </c>
      <c r="N2132">
        <v>0</v>
      </c>
      <c r="O2132">
        <v>2.6412250000000002E-2</v>
      </c>
      <c r="P2132">
        <v>-0.99610109999999996</v>
      </c>
      <c r="Q2132">
        <v>2.5179179999999999E-2</v>
      </c>
      <c r="R2132">
        <v>8.4550429999999996E-2</v>
      </c>
      <c r="S2132">
        <v>-3.011749</v>
      </c>
      <c r="T2132">
        <v>-1.155484E-2</v>
      </c>
      <c r="U2132">
        <v>3.540039E-3</v>
      </c>
      <c r="V2132">
        <v>5.8177310000000003E-2</v>
      </c>
      <c r="W2132">
        <v>3.051887E-2</v>
      </c>
      <c r="X2132">
        <v>0.9978397</v>
      </c>
      <c r="Y2132">
        <v>-2.5237229999999999E-2</v>
      </c>
      <c r="Z2132">
        <v>-1.4973690000000001E-4</v>
      </c>
      <c r="AA2132">
        <v>0.9996815</v>
      </c>
      <c r="AB2132">
        <v>46</v>
      </c>
      <c r="AC2132">
        <v>-314.81369999999902</v>
      </c>
      <c r="AD2132">
        <v>-1.208779</v>
      </c>
      <c r="AE2132">
        <v>0.363900000000001</v>
      </c>
      <c r="AF2132">
        <v>-7.9511645457307898</v>
      </c>
      <c r="AG2132">
        <v>-1.208779</v>
      </c>
      <c r="AH2132">
        <v>314.70884144642099</v>
      </c>
      <c r="AI2132">
        <v>90.219998588038706</v>
      </c>
      <c r="AJ2132">
        <v>91.447278289969901</v>
      </c>
      <c r="AK2132">
        <v>314.81158976259502</v>
      </c>
      <c r="AL2132">
        <v>88.251126057092904</v>
      </c>
      <c r="AM2132">
        <v>86.663246546027807</v>
      </c>
      <c r="AN2132">
        <v>1.0000000338605</v>
      </c>
    </row>
    <row r="2133" spans="1:40" x14ac:dyDescent="0.25">
      <c r="A2133" t="str">
        <f>"20190312154838430"</f>
        <v>20190312154838430</v>
      </c>
      <c r="B2133" t="str">
        <f>"1552376918417548"</f>
        <v>1552376918417548</v>
      </c>
      <c r="C2133" t="s">
        <v>40</v>
      </c>
      <c r="D2133">
        <v>4.5683030000000002</v>
      </c>
      <c r="E2133">
        <v>0.4701129</v>
      </c>
      <c r="F2133" t="s">
        <v>46</v>
      </c>
      <c r="G2133">
        <v>-584.81349999999998</v>
      </c>
      <c r="H2133">
        <v>-0.1</v>
      </c>
      <c r="I2133">
        <v>284.4203</v>
      </c>
      <c r="J2133">
        <v>-315.3535</v>
      </c>
      <c r="K2133">
        <v>1.108849</v>
      </c>
      <c r="L2133">
        <v>283.56819999999999</v>
      </c>
      <c r="M2133">
        <v>-0.99965000000000004</v>
      </c>
      <c r="N2133">
        <v>0</v>
      </c>
      <c r="O2133">
        <v>2.5918199999999999E-2</v>
      </c>
      <c r="P2133">
        <v>-0.99612800000000001</v>
      </c>
      <c r="Q2133">
        <v>2.4743419999999999E-2</v>
      </c>
      <c r="R2133">
        <v>8.4362370000000006E-2</v>
      </c>
      <c r="S2133">
        <v>-3.0112299999999999</v>
      </c>
      <c r="T2133">
        <v>-1.3489839999999999E-2</v>
      </c>
      <c r="U2133">
        <v>9.6130369999999996E-3</v>
      </c>
      <c r="V2133">
        <v>5.8477260000000003E-2</v>
      </c>
      <c r="W2133">
        <v>3.0125659999999999E-2</v>
      </c>
      <c r="X2133">
        <v>0.99783409999999995</v>
      </c>
      <c r="Y2133">
        <v>-2.2726650000000001E-2</v>
      </c>
      <c r="Z2133">
        <v>-1.6700490000000001E-4</v>
      </c>
      <c r="AA2133">
        <v>0.99974169999999996</v>
      </c>
      <c r="AB2133">
        <v>46</v>
      </c>
      <c r="AC2133">
        <v>-269.45999999999998</v>
      </c>
      <c r="AD2133">
        <v>-1.2088490000000001</v>
      </c>
      <c r="AE2133">
        <v>0.85210000000000696</v>
      </c>
      <c r="AF2133">
        <v>-6.1320792274599798</v>
      </c>
      <c r="AG2133">
        <v>-1.2088490000000001</v>
      </c>
      <c r="AH2133">
        <v>269.38614057737999</v>
      </c>
      <c r="AI2133">
        <v>90.257041968149096</v>
      </c>
      <c r="AJ2133">
        <v>91.304007672727195</v>
      </c>
      <c r="AK2133">
        <v>269.458635873361</v>
      </c>
      <c r="AL2133">
        <v>88.273665667239499</v>
      </c>
      <c r="AM2133">
        <v>86.646063338083295</v>
      </c>
      <c r="AN2133">
        <v>1.00000001822517</v>
      </c>
    </row>
    <row r="2134" spans="1:40" x14ac:dyDescent="0.25">
      <c r="A2134" t="str">
        <f>"20190312154838440"</f>
        <v>20190312154838440</v>
      </c>
      <c r="B2134" t="str">
        <f>"1552376918438044"</f>
        <v>1552376918438044</v>
      </c>
      <c r="C2134" t="s">
        <v>40</v>
      </c>
      <c r="D2134">
        <v>4.6187250000000004</v>
      </c>
      <c r="E2134">
        <v>0.47071950000000001</v>
      </c>
      <c r="F2134" t="s">
        <v>43</v>
      </c>
      <c r="G2134">
        <v>-542.60299999999995</v>
      </c>
      <c r="H2134">
        <v>-0.05</v>
      </c>
      <c r="I2134">
        <v>284.47340000000003</v>
      </c>
      <c r="J2134">
        <v>-315.59449999999998</v>
      </c>
      <c r="K2134">
        <v>1.1088960000000001</v>
      </c>
      <c r="L2134">
        <v>283.57429999999999</v>
      </c>
      <c r="M2134">
        <v>-0.99965919999999997</v>
      </c>
      <c r="N2134">
        <v>0</v>
      </c>
      <c r="O2134">
        <v>2.5557969999999999E-2</v>
      </c>
      <c r="P2134">
        <v>-0.99614749999999996</v>
      </c>
      <c r="Q2134">
        <v>2.435209E-2</v>
      </c>
      <c r="R2134">
        <v>8.4246100000000004E-2</v>
      </c>
      <c r="S2134">
        <v>-3.0109859999999999</v>
      </c>
      <c r="T2134">
        <v>-1.5354390000000001E-2</v>
      </c>
      <c r="U2134">
        <v>1.1993409999999999E-2</v>
      </c>
      <c r="V2134">
        <v>5.871701E-2</v>
      </c>
      <c r="W2134">
        <v>2.9762940000000002E-2</v>
      </c>
      <c r="X2134">
        <v>0.99783089999999997</v>
      </c>
      <c r="Y2134">
        <v>-2.1575629999999998E-2</v>
      </c>
      <c r="Z2134">
        <v>-1.8533140000000001E-4</v>
      </c>
      <c r="AA2134">
        <v>0.99976719999999997</v>
      </c>
      <c r="AB2134">
        <v>46</v>
      </c>
      <c r="AC2134">
        <v>-227.0085</v>
      </c>
      <c r="AD2134">
        <v>-1.1588959999999999</v>
      </c>
      <c r="AE2134">
        <v>0.89910000000003198</v>
      </c>
      <c r="AF2134">
        <v>-4.9030243827185496</v>
      </c>
      <c r="AG2134">
        <v>-1.1588959999999999</v>
      </c>
      <c r="AH2134">
        <v>226.951408521925</v>
      </c>
      <c r="AI2134">
        <v>90.292502186073094</v>
      </c>
      <c r="AJ2134">
        <v>91.237616956779405</v>
      </c>
      <c r="AK2134">
        <v>227.00732260903399</v>
      </c>
      <c r="AL2134">
        <v>88.294457305850898</v>
      </c>
      <c r="AM2134">
        <v>86.632333394313804</v>
      </c>
      <c r="AN2134">
        <v>1.0000000124277899</v>
      </c>
    </row>
    <row r="2135" spans="1:40" x14ac:dyDescent="0.25">
      <c r="A2135" t="str">
        <f>"20190312154838453"</f>
        <v>20190312154838453</v>
      </c>
      <c r="B2135" t="str">
        <f>"1552376918447804"</f>
        <v>1552376918447804</v>
      </c>
      <c r="C2135" t="s">
        <v>40</v>
      </c>
      <c r="D2135">
        <v>4.5275100000000004</v>
      </c>
      <c r="E2135">
        <v>0.4710319</v>
      </c>
      <c r="F2135" t="s">
        <v>49</v>
      </c>
      <c r="G2135">
        <v>-493.30009999999999</v>
      </c>
      <c r="H2135" s="1">
        <v>3.372688E-6</v>
      </c>
      <c r="I2135">
        <v>284.54169999999999</v>
      </c>
      <c r="J2135">
        <v>-315.82729999999998</v>
      </c>
      <c r="K2135">
        <v>1.1089439999999999</v>
      </c>
      <c r="L2135">
        <v>283.58010000000002</v>
      </c>
      <c r="M2135">
        <v>-0.99966869999999997</v>
      </c>
      <c r="N2135">
        <v>0</v>
      </c>
      <c r="O2135">
        <v>2.5178349999999999E-2</v>
      </c>
      <c r="P2135">
        <v>-0.99617319999999998</v>
      </c>
      <c r="Q2135">
        <v>2.421189E-2</v>
      </c>
      <c r="R2135">
        <v>8.3980650000000004E-2</v>
      </c>
      <c r="S2135">
        <v>-3.0106199999999999</v>
      </c>
      <c r="T2135">
        <v>-1.878643E-2</v>
      </c>
      <c r="U2135">
        <v>1.638794E-2</v>
      </c>
      <c r="V2135">
        <v>5.8826580000000003E-2</v>
      </c>
      <c r="W2135">
        <v>2.9649979999999999E-2</v>
      </c>
      <c r="X2135">
        <v>0.99782780000000004</v>
      </c>
      <c r="Y2135">
        <v>-1.9735900000000001E-2</v>
      </c>
      <c r="Z2135">
        <v>-2.1867410000000001E-4</v>
      </c>
      <c r="AA2135">
        <v>0.99980519999999995</v>
      </c>
      <c r="AB2135">
        <v>46</v>
      </c>
      <c r="AC2135">
        <v>-177.47280000000001</v>
      </c>
      <c r="AD2135">
        <v>-1.1089406273119999</v>
      </c>
      <c r="AE2135">
        <v>0.96159999999997503</v>
      </c>
      <c r="AF2135">
        <v>-3.50710397534609</v>
      </c>
      <c r="AG2135">
        <v>-1.1089406273119999</v>
      </c>
      <c r="AH2135">
        <v>177.43381944124101</v>
      </c>
      <c r="AI2135">
        <v>90.358017334016296</v>
      </c>
      <c r="AJ2135">
        <v>91.132343848691406</v>
      </c>
      <c r="AK2135">
        <v>177.47194090648699</v>
      </c>
      <c r="AL2135">
        <v>88.300932278877994</v>
      </c>
      <c r="AM2135">
        <v>86.626053141915193</v>
      </c>
      <c r="AN2135">
        <v>1.00000000314066</v>
      </c>
    </row>
    <row r="2136" spans="1:40" x14ac:dyDescent="0.25">
      <c r="A2136" t="str">
        <f>"20190312154838467"</f>
        <v>20190312154838467</v>
      </c>
      <c r="B2136" t="str">
        <f>"1552376918458541"</f>
        <v>1552376918458541</v>
      </c>
      <c r="C2136" t="s">
        <v>40</v>
      </c>
      <c r="D2136">
        <v>4.6522300000000003</v>
      </c>
      <c r="E2136">
        <v>0.4710319</v>
      </c>
      <c r="F2136" t="s">
        <v>49</v>
      </c>
      <c r="G2136">
        <v>-478.13200000000001</v>
      </c>
      <c r="H2136" s="1">
        <v>3.0008799999999998E-6</v>
      </c>
      <c r="I2136">
        <v>284.536</v>
      </c>
      <c r="J2136">
        <v>-316.11579999999998</v>
      </c>
      <c r="K2136">
        <v>1.1090059999999999</v>
      </c>
      <c r="L2136">
        <v>283.5872</v>
      </c>
      <c r="M2136">
        <v>-0.99968089999999998</v>
      </c>
      <c r="N2136">
        <v>0</v>
      </c>
      <c r="O2136">
        <v>2.4683139999999999E-2</v>
      </c>
      <c r="P2136">
        <v>-0.99622480000000002</v>
      </c>
      <c r="Q2136">
        <v>2.3880129999999999E-2</v>
      </c>
      <c r="R2136">
        <v>8.346344E-2</v>
      </c>
      <c r="S2136">
        <v>-3.010529</v>
      </c>
      <c r="T2136">
        <v>-2.0569319999999999E-2</v>
      </c>
      <c r="U2136">
        <v>1.773071E-2</v>
      </c>
      <c r="V2136">
        <v>5.8798639999999999E-2</v>
      </c>
      <c r="W2136">
        <v>2.935304E-2</v>
      </c>
      <c r="X2136">
        <v>0.99783820000000001</v>
      </c>
      <c r="Y2136">
        <v>-1.8794379999999999E-2</v>
      </c>
      <c r="Z2136">
        <v>-2.3283439999999999E-4</v>
      </c>
      <c r="AA2136">
        <v>0.99982329999999997</v>
      </c>
      <c r="AB2136">
        <v>46</v>
      </c>
      <c r="AC2136">
        <v>-162.016199999999</v>
      </c>
      <c r="AD2136">
        <v>-1.1090029991200001</v>
      </c>
      <c r="AE2136">
        <v>0.94880000000000497</v>
      </c>
      <c r="AF2136">
        <v>-3.05047237776841</v>
      </c>
      <c r="AG2136">
        <v>-1.1090029991200001</v>
      </c>
      <c r="AH2136">
        <v>161.98266666439201</v>
      </c>
      <c r="AI2136">
        <v>90.392195881250004</v>
      </c>
      <c r="AJ2136">
        <v>91.0788718267452</v>
      </c>
      <c r="AK2136">
        <v>162.01518314370199</v>
      </c>
      <c r="AL2136">
        <v>88.317953052565599</v>
      </c>
      <c r="AM2136">
        <v>86.627686984059906</v>
      </c>
      <c r="AN2136">
        <v>0.99999997720116496</v>
      </c>
    </row>
    <row r="2137" spans="1:40" x14ac:dyDescent="0.25">
      <c r="A2137" t="str">
        <f>"20190312154838479"</f>
        <v>20190312154838479</v>
      </c>
      <c r="B2137" t="str">
        <f>"1552376918468300"</f>
        <v>1552376918468300</v>
      </c>
      <c r="C2137" t="s">
        <v>40</v>
      </c>
      <c r="D2137">
        <v>4.7181040000000003</v>
      </c>
      <c r="E2137">
        <v>0.49975239999999999</v>
      </c>
      <c r="F2137" t="s">
        <v>49</v>
      </c>
      <c r="G2137">
        <v>-470.83260000000001</v>
      </c>
      <c r="H2137" s="1">
        <v>6.2285669999999997E-6</v>
      </c>
      <c r="I2137">
        <v>284.42939999999999</v>
      </c>
      <c r="J2137">
        <v>-316.38220000000001</v>
      </c>
      <c r="K2137">
        <v>1.109067</v>
      </c>
      <c r="L2137">
        <v>283.59350000000001</v>
      </c>
      <c r="M2137">
        <v>-0.9996931</v>
      </c>
      <c r="N2137">
        <v>0</v>
      </c>
      <c r="O2137">
        <v>2.4176659999999999E-2</v>
      </c>
      <c r="P2137">
        <v>-0.99625960000000002</v>
      </c>
      <c r="Q2137">
        <v>2.3646569999999999E-2</v>
      </c>
      <c r="R2137">
        <v>8.3114060000000003E-2</v>
      </c>
      <c r="S2137">
        <v>-3.010529</v>
      </c>
      <c r="T2137">
        <v>-2.1579270000000001E-2</v>
      </c>
      <c r="U2137">
        <v>1.638794E-2</v>
      </c>
      <c r="V2137">
        <v>5.8950309999999999E-2</v>
      </c>
      <c r="W2137">
        <v>2.915191E-2</v>
      </c>
      <c r="X2137">
        <v>0.99783520000000003</v>
      </c>
      <c r="Y2137">
        <v>-1.8733690000000001E-2</v>
      </c>
      <c r="Z2137">
        <v>-2.4041979999999999E-4</v>
      </c>
      <c r="AA2137">
        <v>0.9998245</v>
      </c>
      <c r="AB2137">
        <v>46</v>
      </c>
      <c r="AC2137">
        <v>-154.4504</v>
      </c>
      <c r="AD2137">
        <v>-1.1090607714329901</v>
      </c>
      <c r="AE2137">
        <v>0.83589999999997999</v>
      </c>
      <c r="AF2137">
        <v>-2.8983442153023198</v>
      </c>
      <c r="AG2137">
        <v>-1.1090607714329901</v>
      </c>
      <c r="AH2137">
        <v>154.417500784201</v>
      </c>
      <c r="AI2137">
        <v>90.411431468731493</v>
      </c>
      <c r="AJ2137">
        <v>91.075288703226306</v>
      </c>
      <c r="AK2137">
        <v>154.44868067880699</v>
      </c>
      <c r="AL2137">
        <v>88.329481974302993</v>
      </c>
      <c r="AM2137">
        <v>86.618998177454202</v>
      </c>
      <c r="AN2137">
        <v>1.0000000296323901</v>
      </c>
    </row>
    <row r="2138" spans="1:40" x14ac:dyDescent="0.25">
      <c r="A2138" t="str">
        <f>"20190312154838497"</f>
        <v>20190312154838497</v>
      </c>
      <c r="B2138" t="str">
        <f>"1552376918487819"</f>
        <v>1552376918487819</v>
      </c>
      <c r="C2138" t="s">
        <v>40</v>
      </c>
      <c r="D2138">
        <v>4.6370009999999997</v>
      </c>
      <c r="E2138">
        <v>0.527466199999999</v>
      </c>
      <c r="F2138" t="s">
        <v>41</v>
      </c>
      <c r="G2138">
        <v>-317.23500000000001</v>
      </c>
      <c r="H2138">
        <v>1.055347</v>
      </c>
      <c r="I2138">
        <v>283.66120000000001</v>
      </c>
      <c r="J2138">
        <v>-316.76089999999999</v>
      </c>
      <c r="K2138">
        <v>1.1091580000000001</v>
      </c>
      <c r="L2138">
        <v>283.60219999999998</v>
      </c>
      <c r="M2138">
        <v>-0.99971129999999997</v>
      </c>
      <c r="N2138">
        <v>0</v>
      </c>
      <c r="O2138">
        <v>2.340472E-2</v>
      </c>
      <c r="P2138">
        <v>-0.99631259999999999</v>
      </c>
      <c r="Q2138">
        <v>2.3613180000000001E-2</v>
      </c>
      <c r="R2138">
        <v>8.2486260000000006E-2</v>
      </c>
      <c r="S2138">
        <v>-2.9959720000000001</v>
      </c>
      <c r="T2138">
        <v>-0.18890960000000001</v>
      </c>
      <c r="U2138">
        <v>0.2371521</v>
      </c>
      <c r="V2138">
        <v>5.9085829999999999E-2</v>
      </c>
      <c r="W2138">
        <v>2.9164300000000001E-2</v>
      </c>
      <c r="X2138">
        <v>0.99782680000000001</v>
      </c>
      <c r="Y2138">
        <v>5.5493149999999998E-2</v>
      </c>
      <c r="Z2138">
        <v>2.7349500000000001E-4</v>
      </c>
      <c r="AA2138">
        <v>0.99845899999999999</v>
      </c>
      <c r="AB2138">
        <v>46</v>
      </c>
      <c r="AC2138">
        <v>-0.474100000000021</v>
      </c>
      <c r="AD2138">
        <v>-5.3810999999999998E-2</v>
      </c>
      <c r="AE2138">
        <v>5.90000000000259E-2</v>
      </c>
      <c r="AF2138">
        <v>4.7287601235784897E-2</v>
      </c>
      <c r="AG2138">
        <v>-5.3810999999999998E-2</v>
      </c>
      <c r="AH2138">
        <v>0.46939622159593097</v>
      </c>
      <c r="AI2138">
        <v>96.507116296465696</v>
      </c>
      <c r="AJ2138">
        <v>84.247355231361993</v>
      </c>
      <c r="AK2138">
        <v>0.47483107922730899</v>
      </c>
      <c r="AL2138">
        <v>88.328771740231801</v>
      </c>
      <c r="AM2138">
        <v>86.611215273892398</v>
      </c>
      <c r="AN2138">
        <v>1.0000000072497499</v>
      </c>
    </row>
    <row r="2139" spans="1:40" x14ac:dyDescent="0.25">
      <c r="A2139" t="str">
        <f>"20190312154838520"</f>
        <v>20190312154838520</v>
      </c>
      <c r="B2139" t="str">
        <f>"1552376918508316"</f>
        <v>1552376918508316</v>
      </c>
      <c r="C2139" t="s">
        <v>40</v>
      </c>
      <c r="D2139">
        <v>4.5990539999999998</v>
      </c>
      <c r="E2139">
        <v>0.53178549999999902</v>
      </c>
      <c r="F2139" t="s">
        <v>41</v>
      </c>
      <c r="G2139">
        <v>-317.59350000000001</v>
      </c>
      <c r="H2139">
        <v>0.94248129999999997</v>
      </c>
      <c r="I2139">
        <v>283.72460000000001</v>
      </c>
      <c r="J2139">
        <v>-317.22210000000001</v>
      </c>
      <c r="K2139">
        <v>1.109264</v>
      </c>
      <c r="L2139">
        <v>283.61239999999998</v>
      </c>
      <c r="M2139">
        <v>-0.99973469999999998</v>
      </c>
      <c r="N2139">
        <v>0</v>
      </c>
      <c r="O2139">
        <v>2.2377250000000001E-2</v>
      </c>
      <c r="P2139">
        <v>-0.9963784</v>
      </c>
      <c r="Q2139">
        <v>2.3527949999999999E-2</v>
      </c>
      <c r="R2139">
        <v>8.1711790000000006E-2</v>
      </c>
      <c r="S2139">
        <v>-2.9889220000000001</v>
      </c>
      <c r="T2139">
        <v>-0.598325</v>
      </c>
      <c r="U2139">
        <v>0.43930049999999998</v>
      </c>
      <c r="V2139">
        <v>5.9328209999999999E-2</v>
      </c>
      <c r="W2139">
        <v>2.9136180000000001E-2</v>
      </c>
      <c r="X2139">
        <v>0.99781319999999996</v>
      </c>
      <c r="Y2139">
        <v>0.1213176</v>
      </c>
      <c r="Z2139">
        <v>7.5505859999999998E-3</v>
      </c>
      <c r="AA2139">
        <v>0.99258500000000005</v>
      </c>
      <c r="AB2139">
        <v>47</v>
      </c>
      <c r="AC2139">
        <v>-0.37139999999999401</v>
      </c>
      <c r="AD2139">
        <v>-0.16678270000000001</v>
      </c>
      <c r="AE2139">
        <v>0.112200000000029</v>
      </c>
      <c r="AF2139">
        <v>8.7661532925869104E-2</v>
      </c>
      <c r="AG2139">
        <v>-0.16678270000000001</v>
      </c>
      <c r="AH2139">
        <v>0.31551284173605498</v>
      </c>
      <c r="AI2139">
        <v>116.990453875211</v>
      </c>
      <c r="AJ2139">
        <v>74.472672929970898</v>
      </c>
      <c r="AK2139">
        <v>0.36749063481205102</v>
      </c>
      <c r="AL2139">
        <v>88.330383516605707</v>
      </c>
      <c r="AM2139">
        <v>86.597300237229902</v>
      </c>
      <c r="AN2139">
        <v>0.99999996779051703</v>
      </c>
    </row>
    <row r="2140" spans="1:40" x14ac:dyDescent="0.25">
      <c r="A2140" t="str">
        <f>"20190312154838541"</f>
        <v>20190312154838541</v>
      </c>
      <c r="B2140" t="str">
        <f>"1552376918527837"</f>
        <v>1552376918527837</v>
      </c>
      <c r="C2140" t="s">
        <v>40</v>
      </c>
      <c r="D2140">
        <v>4.6361929999999996</v>
      </c>
      <c r="E2140">
        <v>0.53319899999999998</v>
      </c>
      <c r="F2140" t="s">
        <v>41</v>
      </c>
      <c r="G2140">
        <v>-318.00599999999997</v>
      </c>
      <c r="H2140">
        <v>0.9309906</v>
      </c>
      <c r="I2140">
        <v>283.73540000000003</v>
      </c>
      <c r="J2140">
        <v>-317.6678</v>
      </c>
      <c r="K2140">
        <v>1.109367</v>
      </c>
      <c r="L2140">
        <v>283.62180000000001</v>
      </c>
      <c r="M2140">
        <v>-0.99975800000000004</v>
      </c>
      <c r="N2140">
        <v>0</v>
      </c>
      <c r="O2140">
        <v>2.1297449999999999E-2</v>
      </c>
      <c r="P2140">
        <v>-0.99645879999999998</v>
      </c>
      <c r="Q2140">
        <v>2.3393219999999999E-2</v>
      </c>
      <c r="R2140">
        <v>8.0764660000000002E-2</v>
      </c>
      <c r="S2140">
        <v>-2.9885860000000002</v>
      </c>
      <c r="T2140">
        <v>-0.67983760000000004</v>
      </c>
      <c r="U2140">
        <v>0.46804810000000002</v>
      </c>
      <c r="V2140">
        <v>5.9450370000000002E-2</v>
      </c>
      <c r="W2140">
        <v>2.9055620000000001E-2</v>
      </c>
      <c r="X2140">
        <v>0.99780829999999998</v>
      </c>
      <c r="Y2140">
        <v>0.13091749999999999</v>
      </c>
      <c r="Z2140">
        <v>9.8632870000000001E-3</v>
      </c>
      <c r="AA2140">
        <v>0.99134420000000001</v>
      </c>
      <c r="AB2140">
        <v>47</v>
      </c>
      <c r="AC2140">
        <v>-0.33819999999997202</v>
      </c>
      <c r="AD2140">
        <v>-0.17837639999999999</v>
      </c>
      <c r="AE2140">
        <v>0.11360000000001901</v>
      </c>
      <c r="AF2140">
        <v>8.5098617147545505E-2</v>
      </c>
      <c r="AG2140">
        <v>-0.17837639999999999</v>
      </c>
      <c r="AH2140">
        <v>0.27243915504659699</v>
      </c>
      <c r="AI2140">
        <v>122.003734791855</v>
      </c>
      <c r="AJ2140">
        <v>72.653374876155496</v>
      </c>
      <c r="AK2140">
        <v>0.33657541193599999</v>
      </c>
      <c r="AL2140">
        <v>88.335001256010997</v>
      </c>
      <c r="AM2140">
        <v>86.590293702555698</v>
      </c>
      <c r="AN2140">
        <v>0.999999989547805</v>
      </c>
    </row>
    <row r="2141" spans="1:40" x14ac:dyDescent="0.25">
      <c r="A2141" t="str">
        <f>"20190312154838563"</f>
        <v>20190312154838563</v>
      </c>
      <c r="B2141" t="str">
        <f>"1552376918558092"</f>
        <v>1552376918558092</v>
      </c>
      <c r="C2141" t="s">
        <v>40</v>
      </c>
      <c r="D2141">
        <v>4.6714000000000002</v>
      </c>
      <c r="E2141">
        <v>0.53421980000000002</v>
      </c>
      <c r="F2141" t="s">
        <v>41</v>
      </c>
      <c r="G2141">
        <v>-318.42419999999998</v>
      </c>
      <c r="H2141">
        <v>0.92980300000000005</v>
      </c>
      <c r="I2141">
        <v>283.74200000000002</v>
      </c>
      <c r="J2141">
        <v>-318.14150000000001</v>
      </c>
      <c r="K2141">
        <v>1.109475</v>
      </c>
      <c r="L2141">
        <v>283.63119999999998</v>
      </c>
      <c r="M2141">
        <v>-0.99978319999999998</v>
      </c>
      <c r="N2141">
        <v>0</v>
      </c>
      <c r="O2141">
        <v>2.0070339999999999E-2</v>
      </c>
      <c r="P2141">
        <v>-0.99658159999999896</v>
      </c>
      <c r="Q2141">
        <v>2.2827679999999999E-2</v>
      </c>
      <c r="R2141">
        <v>7.9398910000000003E-2</v>
      </c>
      <c r="S2141">
        <v>-2.9887999999999999</v>
      </c>
      <c r="T2141">
        <v>-0.70949469999999903</v>
      </c>
      <c r="U2141">
        <v>0.4751282</v>
      </c>
      <c r="V2141">
        <v>5.9301130000000001E-2</v>
      </c>
      <c r="W2141">
        <v>2.854609E-2</v>
      </c>
      <c r="X2141">
        <v>0.99783189999999999</v>
      </c>
      <c r="Y2141">
        <v>0.1340566</v>
      </c>
      <c r="Z2141">
        <v>1.0930459999999999E-2</v>
      </c>
      <c r="AA2141">
        <v>0.99091340000000006</v>
      </c>
      <c r="AB2141">
        <v>47</v>
      </c>
      <c r="AC2141">
        <v>-0.28269999999997703</v>
      </c>
      <c r="AD2141">
        <v>-0.179671999999999</v>
      </c>
      <c r="AE2141">
        <v>0.11080000000004001</v>
      </c>
      <c r="AF2141">
        <v>7.7846185377141899E-2</v>
      </c>
      <c r="AG2141">
        <v>-0.179671999999999</v>
      </c>
      <c r="AH2141">
        <v>0.21098970145533699</v>
      </c>
      <c r="AI2141">
        <v>128.622181714661</v>
      </c>
      <c r="AJ2141">
        <v>69.7480937854194</v>
      </c>
      <c r="AK2141">
        <v>0.28785188948829998</v>
      </c>
      <c r="AL2141">
        <v>88.364207311045803</v>
      </c>
      <c r="AM2141">
        <v>86.598913322025894</v>
      </c>
      <c r="AN2141">
        <v>1.0000000019655799</v>
      </c>
    </row>
    <row r="2142" spans="1:40" x14ac:dyDescent="0.25">
      <c r="A2142" t="str">
        <f>"20190312154838575"</f>
        <v>20190312154838575</v>
      </c>
      <c r="B2142" t="str">
        <f>"1552376918567852"</f>
        <v>1552376918567852</v>
      </c>
      <c r="C2142" t="s">
        <v>40</v>
      </c>
      <c r="D2142">
        <v>4.666309</v>
      </c>
      <c r="E2142">
        <v>0.53449899999999995</v>
      </c>
      <c r="F2142" t="s">
        <v>41</v>
      </c>
      <c r="G2142">
        <v>-318.84730000000002</v>
      </c>
      <c r="H2142">
        <v>0.937052</v>
      </c>
      <c r="I2142">
        <v>283.74450000000002</v>
      </c>
      <c r="J2142">
        <v>-318.38889999999998</v>
      </c>
      <c r="K2142">
        <v>1.1095269999999999</v>
      </c>
      <c r="L2142">
        <v>283.63580000000002</v>
      </c>
      <c r="M2142">
        <v>-0.99979629999999997</v>
      </c>
      <c r="N2142">
        <v>0</v>
      </c>
      <c r="O2142">
        <v>1.9396730000000001E-2</v>
      </c>
      <c r="P2142">
        <v>-0.9966431</v>
      </c>
      <c r="Q2142">
        <v>2.2520800000000001E-2</v>
      </c>
      <c r="R2142">
        <v>7.8711130000000004E-2</v>
      </c>
      <c r="S2142">
        <v>-2.9888919999999999</v>
      </c>
      <c r="T2142">
        <v>-0.73030419999999996</v>
      </c>
      <c r="U2142">
        <v>0.47845460000000001</v>
      </c>
      <c r="V2142">
        <v>5.9281859999999999E-2</v>
      </c>
      <c r="W2142">
        <v>2.8268209999999998E-2</v>
      </c>
      <c r="X2142">
        <v>0.99784090000000003</v>
      </c>
      <c r="Y2142">
        <v>0.13555200000000001</v>
      </c>
      <c r="Z2142">
        <v>1.158093E-2</v>
      </c>
      <c r="AA2142">
        <v>0.99070259999999999</v>
      </c>
      <c r="AB2142">
        <v>47</v>
      </c>
      <c r="AC2142">
        <v>-0.45840000000004</v>
      </c>
      <c r="AD2142">
        <v>-0.17247499999999999</v>
      </c>
      <c r="AE2142">
        <v>0.10869999999999801</v>
      </c>
      <c r="AF2142">
        <v>8.7994041130766698E-2</v>
      </c>
      <c r="AG2142">
        <v>-0.17247499999999999</v>
      </c>
      <c r="AH2142">
        <v>0.406005046985698</v>
      </c>
      <c r="AI2142">
        <v>112.54681110852</v>
      </c>
      <c r="AJ2142">
        <v>77.771334881729402</v>
      </c>
      <c r="AK2142">
        <v>0.44981182185151802</v>
      </c>
      <c r="AL2142">
        <v>88.380134999753594</v>
      </c>
      <c r="AM2142">
        <v>86.600046511787099</v>
      </c>
      <c r="AN2142">
        <v>0.99999994616723498</v>
      </c>
    </row>
    <row r="2143" spans="1:40" x14ac:dyDescent="0.25">
      <c r="A2143" t="str">
        <f>"20190312154838587"</f>
        <v>20190312154838587</v>
      </c>
      <c r="B2143" t="str">
        <f>"1552376918577612"</f>
        <v>1552376918577612</v>
      </c>
      <c r="C2143" t="s">
        <v>40</v>
      </c>
      <c r="D2143">
        <v>4.715554</v>
      </c>
      <c r="E2143">
        <v>0.53479719999999997</v>
      </c>
      <c r="F2143" t="s">
        <v>41</v>
      </c>
      <c r="G2143">
        <v>-319.25130000000001</v>
      </c>
      <c r="H2143">
        <v>0.89759500000000003</v>
      </c>
      <c r="I2143">
        <v>283.774</v>
      </c>
      <c r="J2143">
        <v>-318.62650000000002</v>
      </c>
      <c r="K2143">
        <v>1.109567</v>
      </c>
      <c r="L2143">
        <v>283.64019999999999</v>
      </c>
      <c r="M2143">
        <v>-0.99980869999999999</v>
      </c>
      <c r="N2143">
        <v>0</v>
      </c>
      <c r="O2143">
        <v>1.874346E-2</v>
      </c>
      <c r="P2143">
        <v>-0.99670950000000003</v>
      </c>
      <c r="Q2143">
        <v>2.2353379999999999E-2</v>
      </c>
      <c r="R2143">
        <v>7.7916109999999997E-2</v>
      </c>
      <c r="S2143">
        <v>-2.988861</v>
      </c>
      <c r="T2143">
        <v>-0.73462439999999996</v>
      </c>
      <c r="U2143">
        <v>0.4787903</v>
      </c>
      <c r="V2143">
        <v>5.9135050000000002E-2</v>
      </c>
      <c r="W2143">
        <v>2.813189E-2</v>
      </c>
      <c r="X2143">
        <v>0.99785349999999995</v>
      </c>
      <c r="Y2143">
        <v>0.136231399999999</v>
      </c>
      <c r="Z2143">
        <v>1.1886399999999899E-2</v>
      </c>
      <c r="AA2143">
        <v>0.99060570000000003</v>
      </c>
      <c r="AB2143">
        <v>47</v>
      </c>
      <c r="AC2143">
        <v>-0.62479999999999303</v>
      </c>
      <c r="AD2143">
        <v>-0.21197199999999899</v>
      </c>
      <c r="AE2143">
        <v>0.133800000000007</v>
      </c>
      <c r="AF2143">
        <v>0.109963583824129</v>
      </c>
      <c r="AG2143">
        <v>-0.21197199999999899</v>
      </c>
      <c r="AH2143">
        <v>0.56501644049508304</v>
      </c>
      <c r="AI2143">
        <v>110.216302921872</v>
      </c>
      <c r="AJ2143">
        <v>78.9867590972908</v>
      </c>
      <c r="AK2143">
        <v>0.61340663232571901</v>
      </c>
      <c r="AL2143">
        <v>88.387948726796793</v>
      </c>
      <c r="AM2143">
        <v>86.608489455734201</v>
      </c>
      <c r="AN2143">
        <v>0.99999998241786203</v>
      </c>
    </row>
    <row r="2144" spans="1:40" x14ac:dyDescent="0.25">
      <c r="A2144" t="str">
        <f>"20190312154838597"</f>
        <v>20190312154838597</v>
      </c>
      <c r="B2144" t="str">
        <f>"1552376918588349"</f>
        <v>1552376918588349</v>
      </c>
      <c r="C2144" t="s">
        <v>40</v>
      </c>
      <c r="D2144">
        <v>4.6933530000000001</v>
      </c>
      <c r="E2144">
        <v>0.53507389999999999</v>
      </c>
      <c r="F2144" t="s">
        <v>41</v>
      </c>
      <c r="G2144">
        <v>-319.6558</v>
      </c>
      <c r="H2144">
        <v>0.85562530000000003</v>
      </c>
      <c r="I2144">
        <v>283.8057</v>
      </c>
      <c r="J2144">
        <v>-318.85019999999997</v>
      </c>
      <c r="K2144">
        <v>1.1096159999999999</v>
      </c>
      <c r="L2144">
        <v>283.64409999999998</v>
      </c>
      <c r="M2144">
        <v>-0.99982000000000004</v>
      </c>
      <c r="N2144">
        <v>0</v>
      </c>
      <c r="O2144">
        <v>1.8113319999999999E-2</v>
      </c>
      <c r="P2144">
        <v>-0.99678840000000002</v>
      </c>
      <c r="Q2144">
        <v>2.2382639999999999E-2</v>
      </c>
      <c r="R2144">
        <v>7.6890330000000007E-2</v>
      </c>
      <c r="S2144">
        <v>-2.9889830000000002</v>
      </c>
      <c r="T2144">
        <v>-0.73760969999999904</v>
      </c>
      <c r="U2144">
        <v>0.47921750000000002</v>
      </c>
      <c r="V2144">
        <v>5.8733729999999998E-2</v>
      </c>
      <c r="W2144">
        <v>2.82134E-2</v>
      </c>
      <c r="X2144">
        <v>0.99787490000000001</v>
      </c>
      <c r="Y2144">
        <v>0.1369215</v>
      </c>
      <c r="Z2144">
        <v>1.216826E-2</v>
      </c>
      <c r="AA2144">
        <v>0.99050720000000003</v>
      </c>
      <c r="AB2144">
        <v>47</v>
      </c>
      <c r="AC2144">
        <v>-0.80560000000002596</v>
      </c>
      <c r="AD2144">
        <v>-0.25399069999999901</v>
      </c>
      <c r="AE2144">
        <v>0.161600000000021</v>
      </c>
      <c r="AF2144">
        <v>0.13416109643508001</v>
      </c>
      <c r="AG2144">
        <v>-0.25399069999999901</v>
      </c>
      <c r="AH2144">
        <v>0.73788474040596197</v>
      </c>
      <c r="AI2144">
        <v>108.709306159405</v>
      </c>
      <c r="AJ2144">
        <v>79.695135902055398</v>
      </c>
      <c r="AK2144">
        <v>0.791823443456385</v>
      </c>
      <c r="AL2144">
        <v>88.383276691804895</v>
      </c>
      <c r="AM2144">
        <v>86.631524833332094</v>
      </c>
      <c r="AN2144">
        <v>0.99999998151464098</v>
      </c>
    </row>
    <row r="2145" spans="1:40" x14ac:dyDescent="0.25">
      <c r="A2145" t="str">
        <f>"20190312154838608"</f>
        <v>20190312154838608</v>
      </c>
      <c r="B2145" t="str">
        <f>"1552376918598108"</f>
        <v>1552376918598108</v>
      </c>
      <c r="C2145" t="s">
        <v>40</v>
      </c>
      <c r="D2145">
        <v>4.7136259999999996</v>
      </c>
      <c r="E2145">
        <v>0.53519419999999995</v>
      </c>
      <c r="F2145" t="s">
        <v>41</v>
      </c>
      <c r="G2145">
        <v>-319.67610000000002</v>
      </c>
      <c r="H2145">
        <v>0.90556530000000002</v>
      </c>
      <c r="I2145">
        <v>283.77699999999999</v>
      </c>
      <c r="J2145">
        <v>-319.084</v>
      </c>
      <c r="K2145">
        <v>1.109672</v>
      </c>
      <c r="L2145">
        <v>283.6481</v>
      </c>
      <c r="M2145">
        <v>-0.99983140000000004</v>
      </c>
      <c r="N2145">
        <v>0</v>
      </c>
      <c r="O2145">
        <v>1.745122E-2</v>
      </c>
      <c r="P2145">
        <v>-0.99689190000000005</v>
      </c>
      <c r="Q2145">
        <v>2.1991750000000001E-2</v>
      </c>
      <c r="R2145">
        <v>7.5650540000000002E-2</v>
      </c>
      <c r="S2145">
        <v>-2.989258</v>
      </c>
      <c r="T2145">
        <v>-0.73877859999999995</v>
      </c>
      <c r="U2145">
        <v>0.47940060000000001</v>
      </c>
      <c r="V2145">
        <v>5.8151250000000002E-2</v>
      </c>
      <c r="W2145">
        <v>2.7895469999999999E-2</v>
      </c>
      <c r="X2145">
        <v>0.99791799999999997</v>
      </c>
      <c r="Y2145">
        <v>0.13757320000000001</v>
      </c>
      <c r="Z2145">
        <v>1.242482E-2</v>
      </c>
      <c r="AA2145">
        <v>0.99041369999999895</v>
      </c>
      <c r="AB2145">
        <v>47</v>
      </c>
      <c r="AC2145">
        <v>-0.59210000000001595</v>
      </c>
      <c r="AD2145">
        <v>-0.2041067</v>
      </c>
      <c r="AE2145">
        <v>0.128899999999987</v>
      </c>
      <c r="AF2145">
        <v>0.106468230551517</v>
      </c>
      <c r="AG2145">
        <v>-0.2041067</v>
      </c>
      <c r="AH2145">
        <v>0.53370866357237601</v>
      </c>
      <c r="AI2145">
        <v>110.558119428398</v>
      </c>
      <c r="AJ2145">
        <v>78.718302576687293</v>
      </c>
      <c r="AK2145">
        <v>0.58124002501021299</v>
      </c>
      <c r="AL2145">
        <v>88.401499989517603</v>
      </c>
      <c r="AM2145">
        <v>86.664998944757102</v>
      </c>
      <c r="AN2145">
        <v>1.0000000299235401</v>
      </c>
    </row>
    <row r="2146" spans="1:40" x14ac:dyDescent="0.25">
      <c r="A2146" t="str">
        <f>"20190312154838621"</f>
        <v>20190312154838621</v>
      </c>
      <c r="B2146" t="str">
        <f>"1552376918607869"</f>
        <v>1552376918607869</v>
      </c>
      <c r="C2146" t="s">
        <v>40</v>
      </c>
      <c r="D2146">
        <v>4.70662</v>
      </c>
      <c r="E2146">
        <v>0.53529059999999995</v>
      </c>
      <c r="F2146" t="s">
        <v>41</v>
      </c>
      <c r="G2146">
        <v>-320.08069999999998</v>
      </c>
      <c r="H2146">
        <v>0.86255349999999997</v>
      </c>
      <c r="I2146">
        <v>283.80720000000002</v>
      </c>
      <c r="J2146">
        <v>-319.35890000000001</v>
      </c>
      <c r="K2146">
        <v>1.1097539999999999</v>
      </c>
      <c r="L2146">
        <v>283.65249999999997</v>
      </c>
      <c r="M2146">
        <v>-0.99984410000000001</v>
      </c>
      <c r="N2146">
        <v>0</v>
      </c>
      <c r="O2146">
        <v>1.6663339999999999E-2</v>
      </c>
      <c r="P2146">
        <v>-0.99698810000000004</v>
      </c>
      <c r="Q2146">
        <v>2.1754969999999998E-2</v>
      </c>
      <c r="R2146">
        <v>7.4443910000000002E-2</v>
      </c>
      <c r="S2146">
        <v>-2.9895019999999999</v>
      </c>
      <c r="T2146">
        <v>-0.74127749999999903</v>
      </c>
      <c r="U2146">
        <v>0.47683720000000002</v>
      </c>
      <c r="V2146">
        <v>5.7726710000000001E-2</v>
      </c>
      <c r="W2146">
        <v>2.7798710000000001E-2</v>
      </c>
      <c r="X2146">
        <v>0.99794530000000004</v>
      </c>
      <c r="Y2146">
        <v>0.1374687</v>
      </c>
      <c r="Z2146">
        <v>1.264391E-2</v>
      </c>
      <c r="AA2146">
        <v>0.99042540000000001</v>
      </c>
      <c r="AB2146">
        <v>47</v>
      </c>
      <c r="AC2146">
        <v>-0.72179999999997302</v>
      </c>
      <c r="AD2146">
        <v>-0.24720049999999999</v>
      </c>
      <c r="AE2146">
        <v>0.15470000000004799</v>
      </c>
      <c r="AF2146">
        <v>0.12826688300745401</v>
      </c>
      <c r="AG2146">
        <v>-0.24720049999999999</v>
      </c>
      <c r="AH2146">
        <v>0.65124689184298901</v>
      </c>
      <c r="AI2146">
        <v>110.4266162365</v>
      </c>
      <c r="AJ2146">
        <v>78.857874066492698</v>
      </c>
      <c r="AK2146">
        <v>0.70829583834147403</v>
      </c>
      <c r="AL2146">
        <v>88.407046002720193</v>
      </c>
      <c r="AM2146">
        <v>86.689382519422793</v>
      </c>
      <c r="AN2146">
        <v>0.99999998155858905</v>
      </c>
    </row>
    <row r="2147" spans="1:40" x14ac:dyDescent="0.25">
      <c r="A2147" t="str">
        <f>"20190312154838635"</f>
        <v>20190312154838635</v>
      </c>
      <c r="B2147" t="str">
        <f>"1552376918628365"</f>
        <v>1552376918628365</v>
      </c>
      <c r="C2147" t="s">
        <v>40</v>
      </c>
      <c r="D2147">
        <v>4.732755</v>
      </c>
      <c r="E2147">
        <v>0.53539190000000003</v>
      </c>
      <c r="F2147" t="s">
        <v>41</v>
      </c>
      <c r="G2147">
        <v>-320.10570000000001</v>
      </c>
      <c r="H2147">
        <v>0.92401149999999999</v>
      </c>
      <c r="I2147">
        <v>283.77089999999998</v>
      </c>
      <c r="J2147">
        <v>-319.64210000000003</v>
      </c>
      <c r="K2147">
        <v>1.1098520000000001</v>
      </c>
      <c r="L2147">
        <v>283.65690000000001</v>
      </c>
      <c r="M2147">
        <v>-0.99985599999999997</v>
      </c>
      <c r="N2147">
        <v>0</v>
      </c>
      <c r="O2147">
        <v>1.584522E-2</v>
      </c>
      <c r="P2147">
        <v>-0.99709099999999995</v>
      </c>
      <c r="Q2147">
        <v>2.1259589999999998E-2</v>
      </c>
      <c r="R2147">
        <v>7.3197129999999999E-2</v>
      </c>
      <c r="S2147">
        <v>-2.9899290000000001</v>
      </c>
      <c r="T2147">
        <v>-0.74368749999999995</v>
      </c>
      <c r="U2147">
        <v>0.47372439999999999</v>
      </c>
      <c r="V2147">
        <v>5.7292679999999999E-2</v>
      </c>
      <c r="W2147">
        <v>2.7526539999999999E-2</v>
      </c>
      <c r="X2147">
        <v>0.99797789999999997</v>
      </c>
      <c r="Y2147">
        <v>0.13721169999999999</v>
      </c>
      <c r="Z2147">
        <v>1.285086E-2</v>
      </c>
      <c r="AA2147">
        <v>0.99045839999999996</v>
      </c>
      <c r="AB2147">
        <v>47</v>
      </c>
      <c r="AC2147">
        <v>-0.46359999999998502</v>
      </c>
      <c r="AD2147">
        <v>-0.18584049999999999</v>
      </c>
      <c r="AE2147">
        <v>0.113999999999975</v>
      </c>
      <c r="AF2147">
        <v>9.2607033863032595E-2</v>
      </c>
      <c r="AG2147">
        <v>-0.18584049999999999</v>
      </c>
      <c r="AH2147">
        <v>0.40411321343016099</v>
      </c>
      <c r="AI2147">
        <v>114.144451257417</v>
      </c>
      <c r="AJ2147">
        <v>77.092893640634699</v>
      </c>
      <c r="AK2147">
        <v>0.45433494630064503</v>
      </c>
      <c r="AL2147">
        <v>88.422646234207306</v>
      </c>
      <c r="AM2147">
        <v>86.714326423218495</v>
      </c>
      <c r="AN2147">
        <v>1.0000000252371799</v>
      </c>
    </row>
    <row r="2148" spans="1:40" x14ac:dyDescent="0.25">
      <c r="A2148" t="str">
        <f>"20190312154838653"</f>
        <v>20190312154838653</v>
      </c>
      <c r="B2148" t="str">
        <f>"1552376918647884"</f>
        <v>1552376918647884</v>
      </c>
      <c r="C2148" t="s">
        <v>40</v>
      </c>
      <c r="D2148">
        <v>4.7157489999999997</v>
      </c>
      <c r="E2148">
        <v>0.53560640000000004</v>
      </c>
      <c r="F2148" t="s">
        <v>41</v>
      </c>
      <c r="G2148">
        <v>-320.51459999999997</v>
      </c>
      <c r="H2148">
        <v>0.89150069999999904</v>
      </c>
      <c r="I2148">
        <v>283.7944</v>
      </c>
      <c r="J2148">
        <v>-320.02870000000001</v>
      </c>
      <c r="K2148">
        <v>1.1100049999999999</v>
      </c>
      <c r="L2148">
        <v>283.66239999999999</v>
      </c>
      <c r="M2148">
        <v>-0.9998705</v>
      </c>
      <c r="N2148">
        <v>0</v>
      </c>
      <c r="O2148">
        <v>1.4724360000000001E-2</v>
      </c>
      <c r="P2148">
        <v>-0.99723050000000002</v>
      </c>
      <c r="Q2148">
        <v>2.0820160000000001E-2</v>
      </c>
      <c r="R2148">
        <v>7.1401279999999998E-2</v>
      </c>
      <c r="S2148">
        <v>-2.9902039999999999</v>
      </c>
      <c r="T2148">
        <v>-0.74847419999999998</v>
      </c>
      <c r="U2148">
        <v>0.47024539999999998</v>
      </c>
      <c r="V2148">
        <v>5.6609520000000003E-2</v>
      </c>
      <c r="W2148">
        <v>2.751319E-2</v>
      </c>
      <c r="X2148">
        <v>0.9980173</v>
      </c>
      <c r="Y2148">
        <v>0.13710620000000001</v>
      </c>
      <c r="Z2148">
        <v>1.319269E-2</v>
      </c>
      <c r="AA2148">
        <v>0.99046849999999997</v>
      </c>
      <c r="AB2148">
        <v>47</v>
      </c>
      <c r="AC2148">
        <v>-0.48589999999995798</v>
      </c>
      <c r="AD2148">
        <v>-0.21850430000000001</v>
      </c>
      <c r="AE2148">
        <v>0.132000000000005</v>
      </c>
      <c r="AF2148">
        <v>0.105048031094418</v>
      </c>
      <c r="AG2148">
        <v>-0.21850430000000001</v>
      </c>
      <c r="AH2148">
        <v>0.41048692516367602</v>
      </c>
      <c r="AI2148">
        <v>117.279554501536</v>
      </c>
      <c r="AJ2148">
        <v>75.6454608294368</v>
      </c>
      <c r="AK2148">
        <v>0.47673759416017703</v>
      </c>
      <c r="AL2148">
        <v>88.4234114967755</v>
      </c>
      <c r="AM2148">
        <v>86.753548497914096</v>
      </c>
      <c r="AN2148">
        <v>1.0000000722389399</v>
      </c>
    </row>
    <row r="2149" spans="1:40" x14ac:dyDescent="0.25">
      <c r="A2149" t="str">
        <f>"20190312154838666"</f>
        <v>20190312154838666</v>
      </c>
      <c r="B2149" t="str">
        <f>"1552376918657645"</f>
        <v>1552376918657645</v>
      </c>
      <c r="C2149" t="s">
        <v>40</v>
      </c>
      <c r="D2149">
        <v>4.769171</v>
      </c>
      <c r="E2149">
        <v>0.53567679999999995</v>
      </c>
      <c r="F2149" t="s">
        <v>41</v>
      </c>
      <c r="G2149">
        <v>-320.93259999999998</v>
      </c>
      <c r="H2149">
        <v>0.88214029999999999</v>
      </c>
      <c r="I2149">
        <v>283.80329999999998</v>
      </c>
      <c r="J2149">
        <v>-320.30880000000002</v>
      </c>
      <c r="K2149">
        <v>1.1101319999999999</v>
      </c>
      <c r="L2149">
        <v>283.6662</v>
      </c>
      <c r="M2149">
        <v>-0.99987979999999999</v>
      </c>
      <c r="N2149">
        <v>0</v>
      </c>
      <c r="O2149">
        <v>1.3909899999999999E-2</v>
      </c>
      <c r="P2149">
        <v>-0.99730779999999997</v>
      </c>
      <c r="Q2149">
        <v>2.0444130000000001E-2</v>
      </c>
      <c r="R2149">
        <v>7.0424290000000001E-2</v>
      </c>
      <c r="S2149">
        <v>-2.9906920000000001</v>
      </c>
      <c r="T2149">
        <v>-0.7539941</v>
      </c>
      <c r="U2149">
        <v>0.4661865</v>
      </c>
      <c r="V2149">
        <v>5.6441610000000003E-2</v>
      </c>
      <c r="W2149">
        <v>2.7519390000000001E-2</v>
      </c>
      <c r="X2149">
        <v>0.99802650000000004</v>
      </c>
      <c r="Y2149">
        <v>0.13651529999999901</v>
      </c>
      <c r="Z2149">
        <v>1.3414300000000001E-2</v>
      </c>
      <c r="AA2149">
        <v>0.99054710000000001</v>
      </c>
      <c r="AB2149">
        <v>47</v>
      </c>
      <c r="AC2149">
        <v>-0.62379999999996005</v>
      </c>
      <c r="AD2149">
        <v>-0.22799169999999899</v>
      </c>
      <c r="AE2149">
        <v>0.13709999999997499</v>
      </c>
      <c r="AF2149">
        <v>0.11389614015496401</v>
      </c>
      <c r="AG2149">
        <v>-0.22799169999999899</v>
      </c>
      <c r="AH2149">
        <v>0.55493346274378796</v>
      </c>
      <c r="AI2149">
        <v>111.922610386386</v>
      </c>
      <c r="AJ2149">
        <v>78.401519841438898</v>
      </c>
      <c r="AK2149">
        <v>0.61065841031127999</v>
      </c>
      <c r="AL2149">
        <v>88.423055909466598</v>
      </c>
      <c r="AM2149">
        <v>86.7631870955138</v>
      </c>
      <c r="AN2149">
        <v>0.999999933433804</v>
      </c>
    </row>
    <row r="2150" spans="1:40" x14ac:dyDescent="0.25">
      <c r="A2150" t="str">
        <f>"20190312154838681"</f>
        <v>20190312154838681</v>
      </c>
      <c r="B2150" t="str">
        <f>"1552376918668381"</f>
        <v>1552376918668381</v>
      </c>
      <c r="C2150" t="s">
        <v>40</v>
      </c>
      <c r="D2150">
        <v>4.8110030000000004</v>
      </c>
      <c r="E2150">
        <v>0.53572330000000001</v>
      </c>
      <c r="F2150" t="s">
        <v>41</v>
      </c>
      <c r="G2150">
        <v>-321.34109999999998</v>
      </c>
      <c r="H2150">
        <v>0.84882150000000001</v>
      </c>
      <c r="I2150">
        <v>283.82659999999998</v>
      </c>
      <c r="J2150">
        <v>-320.61619999999999</v>
      </c>
      <c r="K2150">
        <v>1.1102529999999999</v>
      </c>
      <c r="L2150">
        <v>283.66989999999998</v>
      </c>
      <c r="M2150">
        <v>-0.99988909999999998</v>
      </c>
      <c r="N2150">
        <v>0</v>
      </c>
      <c r="O2150">
        <v>1.3001459999999999E-2</v>
      </c>
      <c r="P2150">
        <v>-0.9973921</v>
      </c>
      <c r="Q2150">
        <v>2.0027619999999999E-2</v>
      </c>
      <c r="R2150">
        <v>6.934121E-2</v>
      </c>
      <c r="S2150">
        <v>-2.990875</v>
      </c>
      <c r="T2150">
        <v>-0.75723719999999894</v>
      </c>
      <c r="U2150">
        <v>0.46374510000000002</v>
      </c>
      <c r="V2150">
        <v>5.6261419999999999E-2</v>
      </c>
      <c r="W2150">
        <v>2.7501279999999999E-2</v>
      </c>
      <c r="X2150">
        <v>0.99803719999999996</v>
      </c>
      <c r="Y2150">
        <v>0.136554799999999</v>
      </c>
      <c r="Z2150">
        <v>1.3700179999999999E-2</v>
      </c>
      <c r="AA2150">
        <v>0.99053780000000002</v>
      </c>
      <c r="AB2150">
        <v>47</v>
      </c>
      <c r="AC2150">
        <v>-0.72489999999999</v>
      </c>
      <c r="AD2150">
        <v>-0.26143149999999998</v>
      </c>
      <c r="AE2150">
        <v>0.15670000000000001</v>
      </c>
      <c r="AF2150">
        <v>0.13098568283574999</v>
      </c>
      <c r="AG2150">
        <v>-0.26143149999999998</v>
      </c>
      <c r="AH2150">
        <v>0.64653832350741303</v>
      </c>
      <c r="AI2150">
        <v>111.61864161020701</v>
      </c>
      <c r="AJ2150">
        <v>78.547153760678398</v>
      </c>
      <c r="AK2150">
        <v>0.70958824825667299</v>
      </c>
      <c r="AL2150">
        <v>88.424093971138106</v>
      </c>
      <c r="AM2150">
        <v>86.773533281069902</v>
      </c>
      <c r="AN2150">
        <v>0.99999996018294601</v>
      </c>
    </row>
    <row r="2151" spans="1:40" x14ac:dyDescent="0.25">
      <c r="A2151" t="str">
        <f>"20190312154838698"</f>
        <v>20190312154838698</v>
      </c>
      <c r="B2151" t="str">
        <f>"1552376918687901"</f>
        <v>1552376918687901</v>
      </c>
      <c r="C2151" t="s">
        <v>40</v>
      </c>
      <c r="D2151">
        <v>4.8110140000000001</v>
      </c>
      <c r="E2151">
        <v>0.53580669999999897</v>
      </c>
      <c r="F2151" t="s">
        <v>41</v>
      </c>
      <c r="G2151">
        <v>-321.36950000000002</v>
      </c>
      <c r="H2151">
        <v>0.91886310000000004</v>
      </c>
      <c r="I2151">
        <v>283.78640000000001</v>
      </c>
      <c r="J2151">
        <v>-320.98070000000001</v>
      </c>
      <c r="K2151">
        <v>1.1103829999999999</v>
      </c>
      <c r="L2151">
        <v>283.67399999999998</v>
      </c>
      <c r="M2151">
        <v>-0.99989919999999999</v>
      </c>
      <c r="N2151">
        <v>0</v>
      </c>
      <c r="O2151">
        <v>1.1917250000000001E-2</v>
      </c>
      <c r="P2151">
        <v>-0.99747189999999997</v>
      </c>
      <c r="Q2151">
        <v>1.991863E-2</v>
      </c>
      <c r="R2151">
        <v>6.8212519999999999E-2</v>
      </c>
      <c r="S2151">
        <v>-2.9910580000000002</v>
      </c>
      <c r="T2151">
        <v>-0.76013160000000002</v>
      </c>
      <c r="U2151">
        <v>0.46081539999999999</v>
      </c>
      <c r="V2151">
        <v>5.6209299999999997E-2</v>
      </c>
      <c r="W2151">
        <v>2.784733E-2</v>
      </c>
      <c r="X2151">
        <v>0.99803059999999999</v>
      </c>
      <c r="Y2151">
        <v>0.13660720000000001</v>
      </c>
      <c r="Z2151">
        <v>1.40272E-2</v>
      </c>
      <c r="AA2151">
        <v>0.99052600000000002</v>
      </c>
      <c r="AB2151">
        <v>47</v>
      </c>
      <c r="AC2151">
        <v>-0.38880000000000298</v>
      </c>
      <c r="AD2151">
        <v>-0.19151989999999999</v>
      </c>
      <c r="AE2151">
        <v>0.112399999999979</v>
      </c>
      <c r="AF2151">
        <v>8.8042847500235999E-2</v>
      </c>
      <c r="AG2151">
        <v>-0.19151989999999999</v>
      </c>
      <c r="AH2151">
        <v>0.31873661892696598</v>
      </c>
      <c r="AI2151">
        <v>120.078663510418</v>
      </c>
      <c r="AJ2151">
        <v>74.558545845783698</v>
      </c>
      <c r="AK2151">
        <v>0.38213145295428602</v>
      </c>
      <c r="AL2151">
        <v>88.404259262547995</v>
      </c>
      <c r="AM2151">
        <v>86.7764946684797</v>
      </c>
      <c r="AN2151">
        <v>1.0000000188654801</v>
      </c>
    </row>
    <row r="2152" spans="1:40" x14ac:dyDescent="0.25">
      <c r="A2152" t="str">
        <f>"20190312154838714"</f>
        <v>20190312154838714</v>
      </c>
      <c r="B2152" t="str">
        <f>"1552376918697661"</f>
        <v>1552376918697661</v>
      </c>
      <c r="C2152" t="s">
        <v>40</v>
      </c>
      <c r="D2152">
        <v>4.8127740000000001</v>
      </c>
      <c r="E2152">
        <v>0.53583819999999904</v>
      </c>
      <c r="F2152" t="s">
        <v>41</v>
      </c>
      <c r="G2152">
        <v>-321.78590000000003</v>
      </c>
      <c r="H2152">
        <v>0.90480470000000002</v>
      </c>
      <c r="I2152">
        <v>283.79770000000002</v>
      </c>
      <c r="J2152">
        <v>-321.29809999999998</v>
      </c>
      <c r="K2152">
        <v>1.110482</v>
      </c>
      <c r="L2152">
        <v>283.6773</v>
      </c>
      <c r="M2152">
        <v>-0.99990710000000005</v>
      </c>
      <c r="N2152">
        <v>0</v>
      </c>
      <c r="O2152">
        <v>1.096832E-2</v>
      </c>
      <c r="P2152">
        <v>-0.9975425</v>
      </c>
      <c r="Q2152">
        <v>1.9517509999999998E-2</v>
      </c>
      <c r="R2152">
        <v>6.7292359999999996E-2</v>
      </c>
      <c r="S2152">
        <v>-2.9914860000000001</v>
      </c>
      <c r="T2152">
        <v>-0.76382399999999995</v>
      </c>
      <c r="U2152">
        <v>0.45809939999999999</v>
      </c>
      <c r="V2152">
        <v>5.6233180000000001E-2</v>
      </c>
      <c r="W2152">
        <v>2.7837799999999999E-2</v>
      </c>
      <c r="X2152">
        <v>0.99802950000000001</v>
      </c>
      <c r="Y2152">
        <v>0.13658110000000001</v>
      </c>
      <c r="Z2152">
        <v>1.432602E-2</v>
      </c>
      <c r="AA2152">
        <v>0.99052530000000005</v>
      </c>
      <c r="AB2152">
        <v>47</v>
      </c>
      <c r="AC2152">
        <v>-0.48780000000004903</v>
      </c>
      <c r="AD2152">
        <v>-0.20567730000000001</v>
      </c>
      <c r="AE2152">
        <v>0.12040000000001699</v>
      </c>
      <c r="AF2152">
        <v>9.8531023593605799E-2</v>
      </c>
      <c r="AG2152">
        <v>-0.20567730000000001</v>
      </c>
      <c r="AH2152">
        <v>0.418895414492369</v>
      </c>
      <c r="AI2152">
        <v>115.54571535597699</v>
      </c>
      <c r="AJ2152">
        <v>76.763705649308804</v>
      </c>
      <c r="AK2152">
        <v>0.47695375313381</v>
      </c>
      <c r="AL2152">
        <v>88.404805470197999</v>
      </c>
      <c r="AM2152">
        <v>86.775124535116802</v>
      </c>
      <c r="AN2152">
        <v>0.99999999825600105</v>
      </c>
    </row>
    <row r="2153" spans="1:40" x14ac:dyDescent="0.25">
      <c r="A2153" t="str">
        <f>"20190312154838732"</f>
        <v>20190312154838732</v>
      </c>
      <c r="B2153" t="str">
        <f>"1552376918727917"</f>
        <v>1552376918727917</v>
      </c>
      <c r="C2153" t="s">
        <v>40</v>
      </c>
      <c r="D2153">
        <v>4.790953</v>
      </c>
      <c r="E2153">
        <v>0.53588119999999995</v>
      </c>
      <c r="F2153" t="s">
        <v>41</v>
      </c>
      <c r="G2153">
        <v>-322.19799999999998</v>
      </c>
      <c r="H2153">
        <v>0.88014040000000004</v>
      </c>
      <c r="I2153">
        <v>283.81459999999998</v>
      </c>
      <c r="J2153">
        <v>-321.6909</v>
      </c>
      <c r="K2153">
        <v>1.1105799999999999</v>
      </c>
      <c r="L2153">
        <v>283.68079999999998</v>
      </c>
      <c r="M2153">
        <v>-0.99991540000000001</v>
      </c>
      <c r="N2153">
        <v>0</v>
      </c>
      <c r="O2153">
        <v>9.7886109999999991E-3</v>
      </c>
      <c r="P2153">
        <v>-0.99762079999999997</v>
      </c>
      <c r="Q2153">
        <v>1.9723689999999999E-2</v>
      </c>
      <c r="R2153">
        <v>6.6059679999999996E-2</v>
      </c>
      <c r="S2153">
        <v>-2.9916990000000001</v>
      </c>
      <c r="T2153">
        <v>-0.76590959999999997</v>
      </c>
      <c r="U2153">
        <v>0.45581050000000001</v>
      </c>
      <c r="V2153">
        <v>5.617188E-2</v>
      </c>
      <c r="W2153">
        <v>2.8526550000000001E-2</v>
      </c>
      <c r="X2153">
        <v>0.9980135</v>
      </c>
      <c r="Y2153">
        <v>0.13692850000000001</v>
      </c>
      <c r="Z2153">
        <v>1.4702730000000001E-2</v>
      </c>
      <c r="AA2153">
        <v>0.99047180000000001</v>
      </c>
      <c r="AB2153">
        <v>47</v>
      </c>
      <c r="AC2153">
        <v>-0.50709999999997901</v>
      </c>
      <c r="AD2153">
        <v>-0.230439599999999</v>
      </c>
      <c r="AE2153">
        <v>0.133800000000007</v>
      </c>
      <c r="AF2153">
        <v>0.107982268526071</v>
      </c>
      <c r="AG2153">
        <v>-0.230439599999999</v>
      </c>
      <c r="AH2153">
        <v>0.42611802731716297</v>
      </c>
      <c r="AI2153">
        <v>117.664355132819</v>
      </c>
      <c r="AJ2153">
        <v>75.7800568380638</v>
      </c>
      <c r="AK2153">
        <v>0.49632565193516598</v>
      </c>
      <c r="AL2153">
        <v>88.365327315583002</v>
      </c>
      <c r="AM2153">
        <v>86.778581040480006</v>
      </c>
      <c r="AN2153">
        <v>0.99999999516994298</v>
      </c>
    </row>
    <row r="2154" spans="1:40" x14ac:dyDescent="0.25">
      <c r="A2154" t="str">
        <f>"20190312154838753"</f>
        <v>20190312154838753</v>
      </c>
      <c r="B2154" t="str">
        <f>"1552376918748413"</f>
        <v>1552376918748413</v>
      </c>
      <c r="C2154" t="s">
        <v>40</v>
      </c>
      <c r="D2154">
        <v>4.6548590000000001</v>
      </c>
      <c r="E2154">
        <v>0.53608619999999996</v>
      </c>
      <c r="F2154" t="s">
        <v>41</v>
      </c>
      <c r="G2154">
        <v>-322.61709999999999</v>
      </c>
      <c r="H2154">
        <v>0.87283419999999901</v>
      </c>
      <c r="I2154">
        <v>283.82119999999998</v>
      </c>
      <c r="J2154">
        <v>-322.13819999999998</v>
      </c>
      <c r="K2154">
        <v>1.1106819999999999</v>
      </c>
      <c r="L2154">
        <v>283.68430000000001</v>
      </c>
      <c r="M2154">
        <v>-0.99992289999999995</v>
      </c>
      <c r="N2154">
        <v>0</v>
      </c>
      <c r="O2154">
        <v>8.4340000000000005E-3</v>
      </c>
      <c r="P2154">
        <v>-0.99775119999999895</v>
      </c>
      <c r="Q2154">
        <v>1.8991939999999999E-2</v>
      </c>
      <c r="R2154">
        <v>6.4278710000000003E-2</v>
      </c>
      <c r="S2154">
        <v>-2.9924010000000001</v>
      </c>
      <c r="T2154">
        <v>-0.76822480000000004</v>
      </c>
      <c r="U2154">
        <v>0.45272829999999997</v>
      </c>
      <c r="V2154">
        <v>5.574051E-2</v>
      </c>
      <c r="W2154">
        <v>2.8333509999999999E-2</v>
      </c>
      <c r="X2154">
        <v>0.99804320000000002</v>
      </c>
      <c r="Y2154">
        <v>0.13716429999999999</v>
      </c>
      <c r="Z2154">
        <v>1.511345E-2</v>
      </c>
      <c r="AA2154">
        <v>0.99043300000000001</v>
      </c>
      <c r="AB2154">
        <v>47</v>
      </c>
      <c r="AC2154">
        <v>-0.47890000000000998</v>
      </c>
      <c r="AD2154">
        <v>-0.2378478</v>
      </c>
      <c r="AE2154">
        <v>0.13689999999996799</v>
      </c>
      <c r="AF2154">
        <v>0.108186096898036</v>
      </c>
      <c r="AG2154">
        <v>-0.2378478</v>
      </c>
      <c r="AH2154">
        <v>0.39090013679746499</v>
      </c>
      <c r="AI2154">
        <v>120.38809596539799</v>
      </c>
      <c r="AJ2154">
        <v>74.529962034908806</v>
      </c>
      <c r="AK2154">
        <v>0.47019009397811401</v>
      </c>
      <c r="AL2154">
        <v>88.376392190657697</v>
      </c>
      <c r="AM2154">
        <v>86.803363241499994</v>
      </c>
      <c r="AN2154">
        <v>1.0000000106551099</v>
      </c>
    </row>
    <row r="2155" spans="1:40" x14ac:dyDescent="0.25">
      <c r="A2155" t="str">
        <f>"20190312154838764"</f>
        <v>20190312154838764</v>
      </c>
      <c r="B2155" t="str">
        <f>"1552376918758172"</f>
        <v>1552376918758172</v>
      </c>
      <c r="C2155" t="s">
        <v>40</v>
      </c>
      <c r="D2155">
        <v>3.2161390000000001</v>
      </c>
      <c r="E2155">
        <v>0.53608619999999996</v>
      </c>
      <c r="F2155" t="s">
        <v>41</v>
      </c>
      <c r="G2155">
        <v>-323.041</v>
      </c>
      <c r="H2155">
        <v>0.87783049999999996</v>
      </c>
      <c r="I2155">
        <v>283.81979999999999</v>
      </c>
      <c r="J2155">
        <v>-322.37119999999999</v>
      </c>
      <c r="K2155">
        <v>1.110725</v>
      </c>
      <c r="L2155">
        <v>283.6859</v>
      </c>
      <c r="M2155">
        <v>-0.99992610000000004</v>
      </c>
      <c r="N2155">
        <v>0</v>
      </c>
      <c r="O2155">
        <v>7.7250840000000001E-3</v>
      </c>
      <c r="P2155">
        <v>-0.99781299999999995</v>
      </c>
      <c r="Q2155">
        <v>1.8526569999999999E-2</v>
      </c>
      <c r="R2155">
        <v>6.3452610000000007E-2</v>
      </c>
      <c r="S2155">
        <v>-2.9925229999999998</v>
      </c>
      <c r="T2155">
        <v>-0.77188889999999999</v>
      </c>
      <c r="U2155">
        <v>0.44915769999999999</v>
      </c>
      <c r="V2155">
        <v>5.5621650000000002E-2</v>
      </c>
      <c r="W2155">
        <v>2.8140950000000001E-2</v>
      </c>
      <c r="X2155">
        <v>0.99805529999999998</v>
      </c>
      <c r="Y2155">
        <v>0.13665910000000001</v>
      </c>
      <c r="Z2155">
        <v>1.52991E-2</v>
      </c>
      <c r="AA2155">
        <v>0.99050000000000005</v>
      </c>
      <c r="AB2155">
        <v>47</v>
      </c>
      <c r="AC2155">
        <v>-0.66980000000000905</v>
      </c>
      <c r="AD2155">
        <v>-0.23289449999999901</v>
      </c>
      <c r="AE2155">
        <v>0.13389999999998201</v>
      </c>
      <c r="AF2155">
        <v>0.115315561240338</v>
      </c>
      <c r="AG2155">
        <v>-0.23289449999999901</v>
      </c>
      <c r="AH2155">
        <v>0.60095116501050505</v>
      </c>
      <c r="AI2155">
        <v>110.836795853166</v>
      </c>
      <c r="AJ2155">
        <v>79.137641319621196</v>
      </c>
      <c r="AK2155">
        <v>0.654736458066837</v>
      </c>
      <c r="AL2155">
        <v>88.387429500495898</v>
      </c>
      <c r="AM2155">
        <v>86.810204189782496</v>
      </c>
      <c r="AN2155">
        <v>1.00000003143685</v>
      </c>
    </row>
    <row r="2156" spans="1:40" x14ac:dyDescent="0.25">
      <c r="A2156" t="str">
        <f>"20190312154838775"</f>
        <v>20190312154838775</v>
      </c>
      <c r="B2156" t="str">
        <f>"1552376918758172"</f>
        <v>1552376918758172</v>
      </c>
      <c r="C2156" t="s">
        <v>40</v>
      </c>
      <c r="D2156">
        <v>3.2161390000000001</v>
      </c>
      <c r="E2156">
        <v>0.53608619999999996</v>
      </c>
      <c r="F2156" t="s">
        <v>41</v>
      </c>
      <c r="G2156">
        <v>-323.06360000000001</v>
      </c>
      <c r="H2156">
        <v>0.93185419999999997</v>
      </c>
      <c r="I2156">
        <v>283.78930000000003</v>
      </c>
      <c r="J2156">
        <v>-322.60610000000003</v>
      </c>
      <c r="K2156">
        <v>1.11076</v>
      </c>
      <c r="L2156">
        <v>283.68720000000002</v>
      </c>
      <c r="M2156">
        <v>-0.99992899999999996</v>
      </c>
      <c r="N2156">
        <v>0</v>
      </c>
      <c r="O2156">
        <v>7.0064539999999996E-3</v>
      </c>
      <c r="P2156">
        <v>-0.99787139999999996</v>
      </c>
      <c r="Q2156">
        <v>1.8191929999999999E-2</v>
      </c>
      <c r="R2156">
        <v>6.2624920000000001E-2</v>
      </c>
      <c r="S2156">
        <v>-2.9925229999999998</v>
      </c>
      <c r="T2156">
        <v>-0.77316200000000002</v>
      </c>
      <c r="U2156">
        <v>0.44686890000000001</v>
      </c>
      <c r="V2156">
        <v>5.5510740000000003E-2</v>
      </c>
      <c r="W2156">
        <v>2.8064680000000002E-2</v>
      </c>
      <c r="X2156">
        <v>0.99806360000000005</v>
      </c>
      <c r="Y2156">
        <v>0.13659449999999901</v>
      </c>
      <c r="Z2156">
        <v>1.549786E-2</v>
      </c>
      <c r="AA2156">
        <v>0.99050579999999999</v>
      </c>
      <c r="AB2156">
        <v>47</v>
      </c>
      <c r="AC2156">
        <v>-0.45749999999998098</v>
      </c>
      <c r="AD2156">
        <v>-0.1789058</v>
      </c>
      <c r="AE2156">
        <v>0.102100000000007</v>
      </c>
      <c r="AF2156">
        <v>8.6318257211533106E-2</v>
      </c>
      <c r="AG2156">
        <v>-0.1789058</v>
      </c>
      <c r="AH2156">
        <v>0.399945676558285</v>
      </c>
      <c r="AI2156">
        <v>113.61770718162001</v>
      </c>
      <c r="AJ2156">
        <v>77.820949472930707</v>
      </c>
      <c r="AK2156">
        <v>0.44655869826859301</v>
      </c>
      <c r="AL2156">
        <v>88.391801140148502</v>
      </c>
      <c r="AM2156">
        <v>86.816577991494199</v>
      </c>
      <c r="AN2156">
        <v>1.0000000090818999</v>
      </c>
    </row>
    <row r="2157" spans="1:40" x14ac:dyDescent="0.25">
      <c r="A2157" t="str">
        <f>"20190312154838889"</f>
        <v>20190312154838889</v>
      </c>
      <c r="B2157" t="str">
        <f>"1552376918878221"</f>
        <v>1552376918878221</v>
      </c>
      <c r="C2157" t="s">
        <v>40</v>
      </c>
      <c r="D2157">
        <v>3.9176730000000002</v>
      </c>
      <c r="E2157">
        <v>0.53453949999999995</v>
      </c>
      <c r="F2157" t="s">
        <v>41</v>
      </c>
      <c r="G2157">
        <v>-325.57920000000001</v>
      </c>
      <c r="H2157">
        <v>0.89946949999999903</v>
      </c>
      <c r="I2157">
        <v>283.80239999999998</v>
      </c>
      <c r="J2157">
        <v>-325.01310000000001</v>
      </c>
      <c r="K2157">
        <v>1.1109169999999999</v>
      </c>
      <c r="L2157">
        <v>283.69159999999999</v>
      </c>
      <c r="M2157">
        <v>-0.99993220000000005</v>
      </c>
      <c r="N2157">
        <v>0</v>
      </c>
      <c r="O2157">
        <v>-3.3866579999999999E-4</v>
      </c>
      <c r="P2157">
        <v>-0.9983978</v>
      </c>
      <c r="Q2157">
        <v>1.650045E-2</v>
      </c>
      <c r="R2157">
        <v>5.4128999999999997E-2</v>
      </c>
      <c r="S2157">
        <v>-2.9951780000000001</v>
      </c>
      <c r="T2157">
        <v>-0.79431960000000001</v>
      </c>
      <c r="U2157">
        <v>0.41384890000000002</v>
      </c>
      <c r="V2157">
        <v>5.4343229999999999E-2</v>
      </c>
      <c r="W2157">
        <v>2.836116E-2</v>
      </c>
      <c r="X2157">
        <v>0.99811950000000005</v>
      </c>
      <c r="Y2157">
        <v>0.132692899999999</v>
      </c>
      <c r="Z2157">
        <v>1.730626E-2</v>
      </c>
      <c r="AA2157">
        <v>0.9910061</v>
      </c>
      <c r="AB2157">
        <v>47</v>
      </c>
      <c r="AC2157">
        <v>-0.56610000000000504</v>
      </c>
      <c r="AD2157">
        <v>-0.21144749999999901</v>
      </c>
      <c r="AE2157">
        <v>0.110799999999983</v>
      </c>
      <c r="AF2157">
        <v>9.7844639483234797E-2</v>
      </c>
      <c r="AG2157">
        <v>-0.21144749999999901</v>
      </c>
      <c r="AH2157">
        <v>0.49901175313571999</v>
      </c>
      <c r="AI2157">
        <v>112.578257304229</v>
      </c>
      <c r="AJ2157">
        <v>78.906365697695705</v>
      </c>
      <c r="AK2157">
        <v>0.55072347734542604</v>
      </c>
      <c r="AL2157">
        <v>88.374807371808203</v>
      </c>
      <c r="AM2157">
        <v>86.883572985777406</v>
      </c>
      <c r="AN2157">
        <v>1.00000003916181</v>
      </c>
    </row>
    <row r="2158" spans="1:40" x14ac:dyDescent="0.25">
      <c r="A2158" t="str">
        <f>"20190312154838901"</f>
        <v>20190312154838901</v>
      </c>
      <c r="B2158" t="str">
        <f>"1552376918897740"</f>
        <v>1552376918897740</v>
      </c>
      <c r="C2158" t="s">
        <v>40</v>
      </c>
      <c r="D2158">
        <v>4.6795460000000002</v>
      </c>
      <c r="E2158">
        <v>0.53199739999999995</v>
      </c>
      <c r="F2158" t="s">
        <v>41</v>
      </c>
      <c r="G2158">
        <v>-325.98140000000001</v>
      </c>
      <c r="H2158">
        <v>0.85232649999999999</v>
      </c>
      <c r="I2158">
        <v>283.82319999999999</v>
      </c>
      <c r="J2158">
        <v>-325.26519999999999</v>
      </c>
      <c r="K2158">
        <v>1.110922</v>
      </c>
      <c r="L2158">
        <v>283.69110000000001</v>
      </c>
      <c r="M2158">
        <v>-0.99992990000000004</v>
      </c>
      <c r="N2158">
        <v>0</v>
      </c>
      <c r="O2158">
        <v>-1.0993470000000001E-3</v>
      </c>
      <c r="P2158">
        <v>-0.99843689999999996</v>
      </c>
      <c r="Q2158">
        <v>1.6060290000000001E-2</v>
      </c>
      <c r="R2158">
        <v>5.3535600000000003E-2</v>
      </c>
      <c r="S2158">
        <v>-2.9959720000000001</v>
      </c>
      <c r="T2158">
        <v>-0.80007340000000005</v>
      </c>
      <c r="U2158">
        <v>0.40670780000000001</v>
      </c>
      <c r="V2158">
        <v>5.4510929999999999E-2</v>
      </c>
      <c r="W2158">
        <v>2.8065159999999999E-2</v>
      </c>
      <c r="X2158">
        <v>0.99811870000000003</v>
      </c>
      <c r="Y2158">
        <v>0.13105799999999901</v>
      </c>
      <c r="Z2158">
        <v>1.741088E-2</v>
      </c>
      <c r="AA2158">
        <v>0.99122180000000004</v>
      </c>
      <c r="AB2158">
        <v>47</v>
      </c>
      <c r="AC2158">
        <v>-0.71620000000001405</v>
      </c>
      <c r="AD2158">
        <v>-0.25859549999999998</v>
      </c>
      <c r="AE2158">
        <v>0.13209999999997901</v>
      </c>
      <c r="AF2158">
        <v>0.11800883905981099</v>
      </c>
      <c r="AG2158">
        <v>-0.25859549999999998</v>
      </c>
      <c r="AH2158">
        <v>0.63588261089778497</v>
      </c>
      <c r="AI2158">
        <v>111.793730055254</v>
      </c>
      <c r="AJ2158">
        <v>79.486501431266703</v>
      </c>
      <c r="AK2158">
        <v>0.69652308903487103</v>
      </c>
      <c r="AL2158">
        <v>88.391773640062695</v>
      </c>
      <c r="AM2158">
        <v>86.873972419833393</v>
      </c>
      <c r="AN2158">
        <v>1.0000000169924901</v>
      </c>
    </row>
    <row r="2159" spans="1:40" x14ac:dyDescent="0.25">
      <c r="A2159" t="str">
        <f>"20190312154838915"</f>
        <v>20190312154838915</v>
      </c>
      <c r="B2159" t="str">
        <f>"1552376918908477"</f>
        <v>1552376918908477</v>
      </c>
      <c r="C2159" t="s">
        <v>40</v>
      </c>
      <c r="D2159">
        <v>4.8132000000000001</v>
      </c>
      <c r="E2159">
        <v>0.53089709999999901</v>
      </c>
      <c r="F2159" t="s">
        <v>41</v>
      </c>
      <c r="G2159">
        <v>-326.00619999999998</v>
      </c>
      <c r="H2159">
        <v>0.91430829999999996</v>
      </c>
      <c r="I2159">
        <v>283.78640000000001</v>
      </c>
      <c r="J2159">
        <v>-325.55070000000001</v>
      </c>
      <c r="K2159">
        <v>1.1109230000000001</v>
      </c>
      <c r="L2159">
        <v>283.6902</v>
      </c>
      <c r="M2159">
        <v>-0.99992689999999995</v>
      </c>
      <c r="N2159">
        <v>0</v>
      </c>
      <c r="O2159">
        <v>-1.9586489999999998E-3</v>
      </c>
      <c r="P2159">
        <v>-0.99846800000000002</v>
      </c>
      <c r="Q2159">
        <v>1.5952689999999999E-2</v>
      </c>
      <c r="R2159">
        <v>5.2982069999999999E-2</v>
      </c>
      <c r="S2159">
        <v>-2.996826</v>
      </c>
      <c r="T2159">
        <v>-0.7952205</v>
      </c>
      <c r="U2159">
        <v>0.3850403</v>
      </c>
      <c r="V2159">
        <v>5.4815330000000002E-2</v>
      </c>
      <c r="W2159">
        <v>2.8107099999999999E-2</v>
      </c>
      <c r="X2159">
        <v>0.99810080000000001</v>
      </c>
      <c r="Y2159">
        <v>0.1250521</v>
      </c>
      <c r="Z2159">
        <v>1.675484E-2</v>
      </c>
      <c r="AA2159">
        <v>0.99200869999999997</v>
      </c>
      <c r="AB2159">
        <v>47</v>
      </c>
      <c r="AC2159">
        <v>-0.45549999999997198</v>
      </c>
      <c r="AD2159">
        <v>-0.196614699999999</v>
      </c>
      <c r="AE2159">
        <v>9.6200000000010194E-2</v>
      </c>
      <c r="AF2159">
        <v>8.2395734686949898E-2</v>
      </c>
      <c r="AG2159">
        <v>-0.196614699999999</v>
      </c>
      <c r="AH2159">
        <v>0.38639272065605001</v>
      </c>
      <c r="AI2159">
        <v>116.457585076577</v>
      </c>
      <c r="AJ2159">
        <v>77.962348170427603</v>
      </c>
      <c r="AK2159">
        <v>0.44130004750359603</v>
      </c>
      <c r="AL2159">
        <v>88.389369628195396</v>
      </c>
      <c r="AM2159">
        <v>86.856494702388503</v>
      </c>
      <c r="AN2159">
        <v>0.99999996821702797</v>
      </c>
    </row>
    <row r="2160" spans="1:40" x14ac:dyDescent="0.25">
      <c r="A2160" t="str">
        <f>"20190312154838933"</f>
        <v>20190312154838933</v>
      </c>
      <c r="B2160" t="str">
        <f>"1552376918927996"</f>
        <v>1552376918927996</v>
      </c>
      <c r="C2160" t="s">
        <v>40</v>
      </c>
      <c r="D2160">
        <v>5.048362</v>
      </c>
      <c r="E2160">
        <v>0.52893650000000003</v>
      </c>
      <c r="F2160" t="s">
        <v>41</v>
      </c>
      <c r="G2160">
        <v>-326.41520000000003</v>
      </c>
      <c r="H2160">
        <v>0.88461139999999905</v>
      </c>
      <c r="I2160">
        <v>283.7987</v>
      </c>
      <c r="J2160">
        <v>-325.92489999999998</v>
      </c>
      <c r="K2160">
        <v>1.1109230000000001</v>
      </c>
      <c r="L2160">
        <v>283.68869999999998</v>
      </c>
      <c r="M2160">
        <v>-0.99992190000000003</v>
      </c>
      <c r="N2160">
        <v>0</v>
      </c>
      <c r="O2160">
        <v>-3.0828219999999998E-3</v>
      </c>
      <c r="P2160">
        <v>-0.99851239999999997</v>
      </c>
      <c r="Q2160">
        <v>1.5743340000000001E-2</v>
      </c>
      <c r="R2160">
        <v>5.2203659999999999E-2</v>
      </c>
      <c r="S2160">
        <v>-2.997223</v>
      </c>
      <c r="T2160">
        <v>-0.78471080000000004</v>
      </c>
      <c r="U2160">
        <v>0.3751526</v>
      </c>
      <c r="V2160">
        <v>5.5160050000000002E-2</v>
      </c>
      <c r="W2160">
        <v>2.807803E-2</v>
      </c>
      <c r="X2160">
        <v>0.99808260000000004</v>
      </c>
      <c r="Y2160">
        <v>0.12306839999999999</v>
      </c>
      <c r="Z2160">
        <v>1.657573E-2</v>
      </c>
      <c r="AA2160">
        <v>0.99225969999999997</v>
      </c>
      <c r="AB2160">
        <v>47</v>
      </c>
      <c r="AC2160">
        <v>-0.49030000000004698</v>
      </c>
      <c r="AD2160">
        <v>-0.226311599999999</v>
      </c>
      <c r="AE2160">
        <v>0.110000000000013</v>
      </c>
      <c r="AF2160">
        <v>9.2706190518969903E-2</v>
      </c>
      <c r="AG2160">
        <v>-0.226311599999999</v>
      </c>
      <c r="AH2160">
        <v>0.40733335956613098</v>
      </c>
      <c r="AI2160">
        <v>118.44615778666</v>
      </c>
      <c r="AJ2160">
        <v>77.178290274821194</v>
      </c>
      <c r="AK2160">
        <v>0.47511245392068002</v>
      </c>
      <c r="AL2160">
        <v>88.391035831432205</v>
      </c>
      <c r="AM2160">
        <v>86.836708434522606</v>
      </c>
      <c r="AN2160">
        <v>0.99999994165371997</v>
      </c>
    </row>
    <row r="2161" spans="1:40" x14ac:dyDescent="0.25">
      <c r="A2161" t="str">
        <f>"20190312154838947"</f>
        <v>20190312154838947</v>
      </c>
      <c r="B2161" t="str">
        <f>"1552376918937757"</f>
        <v>1552376918937757</v>
      </c>
      <c r="C2161" t="s">
        <v>40</v>
      </c>
      <c r="D2161">
        <v>4.6687750000000001</v>
      </c>
      <c r="E2161">
        <v>0.52809879999999998</v>
      </c>
      <c r="F2161" t="s">
        <v>41</v>
      </c>
      <c r="G2161">
        <v>-326.83519999999999</v>
      </c>
      <c r="H2161">
        <v>0.88194969999999995</v>
      </c>
      <c r="I2161">
        <v>283.7978</v>
      </c>
      <c r="J2161">
        <v>-326.23590000000002</v>
      </c>
      <c r="K2161">
        <v>1.1109249999999999</v>
      </c>
      <c r="L2161">
        <v>283.68720000000002</v>
      </c>
      <c r="M2161">
        <v>-0.9999169</v>
      </c>
      <c r="N2161">
        <v>0</v>
      </c>
      <c r="O2161">
        <v>-4.0154409999999998E-3</v>
      </c>
      <c r="P2161">
        <v>-0.99855740000000004</v>
      </c>
      <c r="Q2161">
        <v>1.5725739999999998E-2</v>
      </c>
      <c r="R2161">
        <v>5.1342100000000002E-2</v>
      </c>
      <c r="S2161">
        <v>-2.99762</v>
      </c>
      <c r="T2161">
        <v>-0.75406319999999905</v>
      </c>
      <c r="U2161">
        <v>0.35845949999999999</v>
      </c>
      <c r="V2161">
        <v>5.5229350000000003E-2</v>
      </c>
      <c r="W2161">
        <v>2.8193849999999999E-2</v>
      </c>
      <c r="X2161">
        <v>0.9980755</v>
      </c>
      <c r="Y2161">
        <v>0.1189438</v>
      </c>
      <c r="Z2161">
        <v>1.5672350000000002E-2</v>
      </c>
      <c r="AA2161">
        <v>0.99277729999999997</v>
      </c>
      <c r="AB2161">
        <v>47</v>
      </c>
      <c r="AC2161">
        <v>-0.59929999999997097</v>
      </c>
      <c r="AD2161">
        <v>-0.22897529999999899</v>
      </c>
      <c r="AE2161">
        <v>0.110599999999976</v>
      </c>
      <c r="AF2161">
        <v>9.9026174980329507E-2</v>
      </c>
      <c r="AG2161">
        <v>-0.22897529999999899</v>
      </c>
      <c r="AH2161">
        <v>0.52476914173436995</v>
      </c>
      <c r="AI2161">
        <v>113.208105430317</v>
      </c>
      <c r="AJ2161">
        <v>79.313703382702002</v>
      </c>
      <c r="AK2161">
        <v>0.58104950172765102</v>
      </c>
      <c r="AL2161">
        <v>88.384397201361097</v>
      </c>
      <c r="AM2161">
        <v>86.832719853138002</v>
      </c>
      <c r="AN2161">
        <v>0.99999993898974504</v>
      </c>
    </row>
    <row r="2162" spans="1:40" x14ac:dyDescent="0.25">
      <c r="A2162" t="str">
        <f>"20190312154838966"</f>
        <v>20190312154838966</v>
      </c>
      <c r="B2162" t="str">
        <f>"1552376918958252"</f>
        <v>1552376918958252</v>
      </c>
      <c r="C2162" t="s">
        <v>40</v>
      </c>
      <c r="D2162">
        <v>4.724621</v>
      </c>
      <c r="E2162">
        <v>0.4998977</v>
      </c>
      <c r="F2162" t="s">
        <v>41</v>
      </c>
      <c r="G2162">
        <v>-327.2484</v>
      </c>
      <c r="H2162">
        <v>0.86210679999999995</v>
      </c>
      <c r="I2162">
        <v>283.80549999999999</v>
      </c>
      <c r="J2162">
        <v>-326.61279999999999</v>
      </c>
      <c r="K2162">
        <v>1.11091299999999</v>
      </c>
      <c r="L2162">
        <v>283.68490000000003</v>
      </c>
      <c r="M2162">
        <v>-0.99991039999999998</v>
      </c>
      <c r="N2162">
        <v>0</v>
      </c>
      <c r="O2162">
        <v>-5.1424640000000002E-3</v>
      </c>
      <c r="P2162">
        <v>-0.9986081</v>
      </c>
      <c r="Q2162">
        <v>1.5484940000000001E-2</v>
      </c>
      <c r="R2162">
        <v>5.0420550000000001E-2</v>
      </c>
      <c r="S2162">
        <v>-2.997986</v>
      </c>
      <c r="T2162">
        <v>-0.73678089999999996</v>
      </c>
      <c r="U2162">
        <v>0.34970089999999998</v>
      </c>
      <c r="V2162">
        <v>5.5434419999999998E-2</v>
      </c>
      <c r="W2162">
        <v>2.8060390000000001E-2</v>
      </c>
      <c r="X2162">
        <v>0.99806799999999996</v>
      </c>
      <c r="Y2162">
        <v>0.11736870000000001</v>
      </c>
      <c r="Z2162">
        <v>1.540623E-2</v>
      </c>
      <c r="AA2162">
        <v>0.99296890000000004</v>
      </c>
      <c r="AB2162">
        <v>47</v>
      </c>
      <c r="AC2162">
        <v>-0.63560000000001005</v>
      </c>
      <c r="AD2162">
        <v>-0.24880619999999901</v>
      </c>
      <c r="AE2162">
        <v>0.120599999999967</v>
      </c>
      <c r="AF2162">
        <v>0.10790683433702</v>
      </c>
      <c r="AG2162">
        <v>-0.24880619999999901</v>
      </c>
      <c r="AH2162">
        <v>0.55315488914881705</v>
      </c>
      <c r="AI2162">
        <v>113.820175817097</v>
      </c>
      <c r="AJ2162">
        <v>78.961636884040303</v>
      </c>
      <c r="AK2162">
        <v>0.616059040550755</v>
      </c>
      <c r="AL2162">
        <v>88.392047096089399</v>
      </c>
      <c r="AM2162">
        <v>86.820959782653702</v>
      </c>
      <c r="AN2162">
        <v>1.0000000465158401</v>
      </c>
    </row>
    <row r="2163" spans="1:40" x14ac:dyDescent="0.25">
      <c r="A2163" t="str">
        <f>"20190312154838977"</f>
        <v>20190312154838977</v>
      </c>
      <c r="B2163" t="str">
        <f>"1552376918968013"</f>
        <v>1552376918968013</v>
      </c>
      <c r="C2163" t="s">
        <v>40</v>
      </c>
      <c r="D2163">
        <v>4.7257480000000003</v>
      </c>
      <c r="E2163">
        <v>0.49963839999999998</v>
      </c>
      <c r="F2163" t="s">
        <v>50</v>
      </c>
      <c r="G2163">
        <v>-363.61</v>
      </c>
      <c r="H2163" s="1">
        <v>3.8429870000000002E-7</v>
      </c>
      <c r="I2163">
        <v>285.47930000000002</v>
      </c>
      <c r="J2163">
        <v>-326.87459999999999</v>
      </c>
      <c r="K2163">
        <v>1.110698</v>
      </c>
      <c r="L2163">
        <v>283.68310000000002</v>
      </c>
      <c r="M2163">
        <v>-0.99991289999999999</v>
      </c>
      <c r="N2163">
        <v>0</v>
      </c>
      <c r="O2163">
        <v>-5.9053930000000001E-3</v>
      </c>
      <c r="P2163">
        <v>-0.99863769999999996</v>
      </c>
      <c r="Q2163">
        <v>1.611895E-2</v>
      </c>
      <c r="R2163">
        <v>4.9630050000000002E-2</v>
      </c>
      <c r="S2163">
        <v>-2.9981990000000001</v>
      </c>
      <c r="T2163">
        <v>-9.0026620000000002E-2</v>
      </c>
      <c r="U2163">
        <v>0.145416299999999</v>
      </c>
      <c r="V2163">
        <v>5.5408569999999997E-2</v>
      </c>
      <c r="W2163">
        <v>2.8146669999999999E-2</v>
      </c>
      <c r="X2163">
        <v>0.99806700000000004</v>
      </c>
      <c r="Y2163">
        <v>5.4315200000000001E-2</v>
      </c>
      <c r="Z2163">
        <v>9.9199040000000002E-4</v>
      </c>
      <c r="AA2163">
        <v>0.99852339999999995</v>
      </c>
      <c r="AB2163">
        <v>47</v>
      </c>
      <c r="AC2163">
        <v>-36.735399999999998</v>
      </c>
      <c r="AD2163">
        <v>-1.1106976157013</v>
      </c>
      <c r="AE2163">
        <v>1.79619999999999</v>
      </c>
      <c r="AF2163">
        <v>2.0112865105714901</v>
      </c>
      <c r="AG2163">
        <v>-1.1106976157013</v>
      </c>
      <c r="AH2163">
        <v>36.690690193483</v>
      </c>
      <c r="AI2163">
        <v>91.731325967837506</v>
      </c>
      <c r="AJ2163">
        <v>86.862337354883806</v>
      </c>
      <c r="AK2163">
        <v>36.762557983569103</v>
      </c>
      <c r="AL2163">
        <v>88.387101653519494</v>
      </c>
      <c r="AM2163">
        <v>86.822436006727003</v>
      </c>
      <c r="AN2163">
        <v>1.00000004057526</v>
      </c>
    </row>
    <row r="2164" spans="1:40" x14ac:dyDescent="0.25">
      <c r="A2164" t="str">
        <f>"20190312154838991"</f>
        <v>20190312154838991</v>
      </c>
      <c r="B2164" t="str">
        <f>"1552376918988509"</f>
        <v>1552376918988509</v>
      </c>
      <c r="C2164" t="s">
        <v>40</v>
      </c>
      <c r="D2164">
        <v>4.7282260000000003</v>
      </c>
      <c r="E2164">
        <v>0.49938320000000003</v>
      </c>
      <c r="F2164" t="s">
        <v>50</v>
      </c>
      <c r="G2164">
        <v>-361.0428</v>
      </c>
      <c r="H2164" s="1">
        <v>-9.8186560000000002E-7</v>
      </c>
      <c r="I2164">
        <v>285.28649999999999</v>
      </c>
      <c r="J2164">
        <v>-327.16399999999999</v>
      </c>
      <c r="K2164">
        <v>1.110444</v>
      </c>
      <c r="L2164">
        <v>283.68099999999998</v>
      </c>
      <c r="M2164">
        <v>-0.99991580000000002</v>
      </c>
      <c r="N2164">
        <v>0</v>
      </c>
      <c r="O2164">
        <v>-6.7257139999999998E-3</v>
      </c>
      <c r="P2164">
        <v>-0.99867620000000001</v>
      </c>
      <c r="Q2164">
        <v>1.6378340000000002E-2</v>
      </c>
      <c r="R2164">
        <v>4.8762720000000002E-2</v>
      </c>
      <c r="S2164">
        <v>-2.998688</v>
      </c>
      <c r="T2164">
        <v>-9.7477789999999995E-2</v>
      </c>
      <c r="U2164">
        <v>0.1407166</v>
      </c>
      <c r="V2164">
        <v>5.5366159999999998E-2</v>
      </c>
      <c r="W2164">
        <v>2.7685270000000001E-2</v>
      </c>
      <c r="X2164">
        <v>0.99808220000000003</v>
      </c>
      <c r="Y2164">
        <v>5.3560360000000001E-2</v>
      </c>
      <c r="Z2164">
        <v>1.0883049999999999E-3</v>
      </c>
      <c r="AA2164">
        <v>0.99856400000000001</v>
      </c>
      <c r="AB2164">
        <v>47</v>
      </c>
      <c r="AC2164">
        <v>-33.878799999999998</v>
      </c>
      <c r="AD2164">
        <v>-1.1104449818655999</v>
      </c>
      <c r="AE2164">
        <v>1.6054999999999999</v>
      </c>
      <c r="AF2164">
        <v>1.8313737419049601</v>
      </c>
      <c r="AG2164">
        <v>-1.1104449818655999</v>
      </c>
      <c r="AH2164">
        <v>33.830970625458797</v>
      </c>
      <c r="AI2164">
        <v>91.877216607983698</v>
      </c>
      <c r="AJ2164">
        <v>86.901428813725204</v>
      </c>
      <c r="AK2164">
        <v>33.898696011807601</v>
      </c>
      <c r="AL2164">
        <v>88.413548139179397</v>
      </c>
      <c r="AM2164">
        <v>86.824911407966695</v>
      </c>
      <c r="AN2164">
        <v>0.99999998190247896</v>
      </c>
    </row>
    <row r="2165" spans="1:40" x14ac:dyDescent="0.25">
      <c r="A2165" t="str">
        <f>"20190312154839009"</f>
        <v>20190312154839009</v>
      </c>
      <c r="B2165" t="str">
        <f>"1552376918998269"</f>
        <v>1552376918998269</v>
      </c>
      <c r="C2165" t="s">
        <v>40</v>
      </c>
      <c r="D2165">
        <v>4.7218730000000004</v>
      </c>
      <c r="E2165">
        <v>0.50041849999999999</v>
      </c>
      <c r="F2165" t="s">
        <v>50</v>
      </c>
      <c r="G2165">
        <v>-358.1816</v>
      </c>
      <c r="H2165" s="1">
        <v>2.817075E-6</v>
      </c>
      <c r="I2165">
        <v>285.08479999999997</v>
      </c>
      <c r="J2165">
        <v>-327.55930000000001</v>
      </c>
      <c r="K2165">
        <v>1.110069</v>
      </c>
      <c r="L2165">
        <v>283.67779999999999</v>
      </c>
      <c r="M2165">
        <v>-0.99992009999999998</v>
      </c>
      <c r="N2165">
        <v>0</v>
      </c>
      <c r="O2165">
        <v>-7.8092839999999997E-3</v>
      </c>
      <c r="P2165">
        <v>-0.99871529999999997</v>
      </c>
      <c r="Q2165">
        <v>1.7320519999999999E-2</v>
      </c>
      <c r="R2165">
        <v>4.7622930000000001E-2</v>
      </c>
      <c r="S2165">
        <v>-2.9991150000000002</v>
      </c>
      <c r="T2165">
        <v>-0.1073693</v>
      </c>
      <c r="U2165">
        <v>0.13574220000000001</v>
      </c>
      <c r="V2165">
        <v>5.5314839999999997E-2</v>
      </c>
      <c r="W2165">
        <v>2.7467439999999999E-2</v>
      </c>
      <c r="X2165">
        <v>0.99809110000000001</v>
      </c>
      <c r="Y2165">
        <v>5.2975899999999999E-2</v>
      </c>
      <c r="Z2165">
        <v>1.2268559999999999E-3</v>
      </c>
      <c r="AA2165">
        <v>0.99859509999999996</v>
      </c>
      <c r="AB2165">
        <v>48</v>
      </c>
      <c r="AC2165">
        <v>-30.622299999999999</v>
      </c>
      <c r="AD2165">
        <v>-1.110066182925</v>
      </c>
      <c r="AE2165">
        <v>1.40699999999998</v>
      </c>
      <c r="AF2165">
        <v>1.6439514107150699</v>
      </c>
      <c r="AG2165">
        <v>-1.110066182925</v>
      </c>
      <c r="AH2165">
        <v>30.570290729881801</v>
      </c>
      <c r="AI2165">
        <v>92.076608650077304</v>
      </c>
      <c r="AJ2165">
        <v>86.9218206298697</v>
      </c>
      <c r="AK2165">
        <v>30.6345801094247</v>
      </c>
      <c r="AL2165">
        <v>88.426033683894005</v>
      </c>
      <c r="AM2165">
        <v>86.827876676227305</v>
      </c>
      <c r="AN2165">
        <v>1.00000001784179</v>
      </c>
    </row>
    <row r="2166" spans="1:40" x14ac:dyDescent="0.25">
      <c r="A2166" t="str">
        <f>"20190312154839021"</f>
        <v>20190312154839021</v>
      </c>
      <c r="B2166" t="str">
        <f>"1552376919017788"</f>
        <v>1552376919017788</v>
      </c>
      <c r="C2166" t="s">
        <v>40</v>
      </c>
      <c r="D2166">
        <v>4.7279220000000004</v>
      </c>
      <c r="E2166">
        <v>0.50115810000000005</v>
      </c>
      <c r="F2166" t="s">
        <v>50</v>
      </c>
      <c r="G2166">
        <v>-359.3723</v>
      </c>
      <c r="H2166" s="1">
        <v>3.4506820000000002E-6</v>
      </c>
      <c r="I2166">
        <v>285.16950000000003</v>
      </c>
      <c r="J2166">
        <v>-327.8245</v>
      </c>
      <c r="K2166">
        <v>1.1098380000000001</v>
      </c>
      <c r="L2166">
        <v>283.6755</v>
      </c>
      <c r="M2166">
        <v>-0.99992170000000002</v>
      </c>
      <c r="N2166">
        <v>0</v>
      </c>
      <c r="O2166">
        <v>-8.5320999999999904E-3</v>
      </c>
      <c r="P2166">
        <v>-0.99873880000000004</v>
      </c>
      <c r="Q2166">
        <v>1.7607350000000001E-2</v>
      </c>
      <c r="R2166">
        <v>4.702419E-2</v>
      </c>
      <c r="S2166">
        <v>-2.998993</v>
      </c>
      <c r="T2166">
        <v>-0.1046451</v>
      </c>
      <c r="U2166">
        <v>0.140625</v>
      </c>
      <c r="V2166">
        <v>5.5443939999999997E-2</v>
      </c>
      <c r="W2166">
        <v>2.6971709999999999E-2</v>
      </c>
      <c r="X2166">
        <v>0.99809740000000002</v>
      </c>
      <c r="Y2166">
        <v>5.5321879999999997E-2</v>
      </c>
      <c r="Z2166">
        <v>1.261847E-3</v>
      </c>
      <c r="AA2166">
        <v>0.99846780000000002</v>
      </c>
      <c r="AB2166">
        <v>48</v>
      </c>
      <c r="AC2166">
        <v>-31.547799999999899</v>
      </c>
      <c r="AD2166">
        <v>-1.109834549318</v>
      </c>
      <c r="AE2166">
        <v>1.49400000000002</v>
      </c>
      <c r="AF2166">
        <v>1.76095141122365</v>
      </c>
      <c r="AG2166">
        <v>-1.109834549318</v>
      </c>
      <c r="AH2166">
        <v>31.495013270928801</v>
      </c>
      <c r="AI2166">
        <v>92.015033144429495</v>
      </c>
      <c r="AJ2166">
        <v>86.799806317130503</v>
      </c>
      <c r="AK2166">
        <v>31.563721953146299</v>
      </c>
      <c r="AL2166">
        <v>88.454447361654601</v>
      </c>
      <c r="AM2166">
        <v>86.820508417834105</v>
      </c>
      <c r="AN2166">
        <v>0.99999996175490302</v>
      </c>
    </row>
    <row r="2167" spans="1:40" x14ac:dyDescent="0.25">
      <c r="A2167" t="str">
        <f>"20190312154839034"</f>
        <v>20190312154839034</v>
      </c>
      <c r="B2167" t="str">
        <f>"1552376919028524"</f>
        <v>1552376919028524</v>
      </c>
      <c r="C2167" t="s">
        <v>40</v>
      </c>
      <c r="D2167">
        <v>4.8386550000000002</v>
      </c>
      <c r="E2167">
        <v>0.50166959999999905</v>
      </c>
      <c r="F2167" t="s">
        <v>50</v>
      </c>
      <c r="G2167">
        <v>-360.59269999999998</v>
      </c>
      <c r="H2167" s="1">
        <v>-1.2213850000000001E-6</v>
      </c>
      <c r="I2167">
        <v>285.2568</v>
      </c>
      <c r="J2167">
        <v>-328.0779</v>
      </c>
      <c r="K2167">
        <v>1.109667</v>
      </c>
      <c r="L2167">
        <v>283.67309999999998</v>
      </c>
      <c r="M2167">
        <v>-0.99992139999999996</v>
      </c>
      <c r="N2167">
        <v>0</v>
      </c>
      <c r="O2167">
        <v>-9.2181539999999992E-3</v>
      </c>
      <c r="P2167">
        <v>-0.99875250000000004</v>
      </c>
      <c r="Q2167">
        <v>1.8307690000000001E-2</v>
      </c>
      <c r="R2167">
        <v>4.6457480000000002E-2</v>
      </c>
      <c r="S2167">
        <v>-2.9988100000000002</v>
      </c>
      <c r="T2167">
        <v>-0.10156800000000001</v>
      </c>
      <c r="U2167">
        <v>0.14471439999999999</v>
      </c>
      <c r="V2167">
        <v>5.556465E-2</v>
      </c>
      <c r="W2167">
        <v>2.6989349999999999E-2</v>
      </c>
      <c r="X2167">
        <v>0.99809029999999999</v>
      </c>
      <c r="Y2167">
        <v>5.7368809999999999E-2</v>
      </c>
      <c r="Z2167">
        <v>1.28265E-3</v>
      </c>
      <c r="AA2167">
        <v>0.99835220000000002</v>
      </c>
      <c r="AB2167">
        <v>48</v>
      </c>
      <c r="AC2167">
        <v>-32.514799999999902</v>
      </c>
      <c r="AD2167">
        <v>-1.109668221385</v>
      </c>
      <c r="AE2167">
        <v>1.5837000000000201</v>
      </c>
      <c r="AF2167">
        <v>1.8811840840007299</v>
      </c>
      <c r="AG2167">
        <v>-1.109668221385</v>
      </c>
      <c r="AH2167">
        <v>32.461100256031699</v>
      </c>
      <c r="AI2167">
        <v>91.9545913621088</v>
      </c>
      <c r="AJ2167">
        <v>86.683307445246001</v>
      </c>
      <c r="AK2167">
        <v>32.534493187255698</v>
      </c>
      <c r="AL2167">
        <v>88.453436434282693</v>
      </c>
      <c r="AM2167">
        <v>86.813577803342298</v>
      </c>
      <c r="AN2167">
        <v>1.0000000511485601</v>
      </c>
    </row>
    <row r="2168" spans="1:40" x14ac:dyDescent="0.25">
      <c r="A2168" t="str">
        <f>"20190312154839046"</f>
        <v>20190312154839046</v>
      </c>
      <c r="B2168" t="str">
        <f>"1552376919038285"</f>
        <v>1552376919038285</v>
      </c>
      <c r="C2168" t="s">
        <v>40</v>
      </c>
      <c r="D2168">
        <v>4.7691739999999996</v>
      </c>
      <c r="E2168">
        <v>0.50124579999999996</v>
      </c>
      <c r="F2168" t="s">
        <v>50</v>
      </c>
      <c r="G2168">
        <v>-362.63299999999998</v>
      </c>
      <c r="H2168" s="1">
        <v>-1.3562960000000001E-7</v>
      </c>
      <c r="I2168">
        <v>285.37139999999999</v>
      </c>
      <c r="J2168">
        <v>-328.34399999999999</v>
      </c>
      <c r="K2168">
        <v>1.109515</v>
      </c>
      <c r="L2168">
        <v>283.67059999999998</v>
      </c>
      <c r="M2168">
        <v>-0.99992009999999998</v>
      </c>
      <c r="N2168">
        <v>0</v>
      </c>
      <c r="O2168">
        <v>-9.9363249999999993E-3</v>
      </c>
      <c r="P2168">
        <v>-0.99876069999999995</v>
      </c>
      <c r="Q2168">
        <v>1.8886759999999999E-2</v>
      </c>
      <c r="R2168">
        <v>4.6046520000000001E-2</v>
      </c>
      <c r="S2168">
        <v>-2.9986269999999999</v>
      </c>
      <c r="T2168">
        <v>-9.6294640000000001E-2</v>
      </c>
      <c r="U2168">
        <v>0.14736939999999901</v>
      </c>
      <c r="V2168">
        <v>5.5873449999999998E-2</v>
      </c>
      <c r="W2168">
        <v>2.6889719999999999E-2</v>
      </c>
      <c r="X2168">
        <v>0.99807570000000001</v>
      </c>
      <c r="Y2168">
        <v>5.8973169999999998E-2</v>
      </c>
      <c r="Z2168">
        <v>1.264921E-3</v>
      </c>
      <c r="AA2168">
        <v>0.9982588</v>
      </c>
      <c r="AB2168">
        <v>48</v>
      </c>
      <c r="AC2168">
        <v>-34.289000000000001</v>
      </c>
      <c r="AD2168">
        <v>-1.1095151356296</v>
      </c>
      <c r="AE2168">
        <v>1.7008000000000101</v>
      </c>
      <c r="AF2168">
        <v>2.03930312325034</v>
      </c>
      <c r="AG2168">
        <v>-1.1095151356296</v>
      </c>
      <c r="AH2168">
        <v>34.234650408912998</v>
      </c>
      <c r="AI2168">
        <v>91.852974140440196</v>
      </c>
      <c r="AJ2168">
        <v>86.591010802903895</v>
      </c>
      <c r="AK2168">
        <v>34.3132783290256</v>
      </c>
      <c r="AL2168">
        <v>88.459146808037104</v>
      </c>
      <c r="AM2168">
        <v>86.795859315590505</v>
      </c>
      <c r="AN2168">
        <v>1.0000000011935299</v>
      </c>
    </row>
    <row r="2169" spans="1:40" x14ac:dyDescent="0.25">
      <c r="A2169" t="str">
        <f>"20190312154839058"</f>
        <v>20190312154839058</v>
      </c>
      <c r="B2169" t="str">
        <f>"1552376919048045"</f>
        <v>1552376919048045</v>
      </c>
      <c r="C2169" t="s">
        <v>40</v>
      </c>
      <c r="D2169">
        <v>4.7749319999999997</v>
      </c>
      <c r="E2169">
        <v>0.50061709999999904</v>
      </c>
      <c r="F2169" t="s">
        <v>50</v>
      </c>
      <c r="G2169">
        <v>-362.45949999999999</v>
      </c>
      <c r="H2169" s="1">
        <v>-2.2796499999999999E-7</v>
      </c>
      <c r="I2169">
        <v>285.29039999999998</v>
      </c>
      <c r="J2169">
        <v>-328.62299999999999</v>
      </c>
      <c r="K2169">
        <v>1.1094459999999999</v>
      </c>
      <c r="L2169">
        <v>283.66770000000002</v>
      </c>
      <c r="M2169">
        <v>-0.99991680000000005</v>
      </c>
      <c r="N2169">
        <v>0</v>
      </c>
      <c r="O2169">
        <v>-1.067415E-2</v>
      </c>
      <c r="P2169">
        <v>-0.99877680000000002</v>
      </c>
      <c r="Q2169">
        <v>1.9261170000000001E-2</v>
      </c>
      <c r="R2169">
        <v>4.5543559999999997E-2</v>
      </c>
      <c r="S2169">
        <v>-2.9989620000000001</v>
      </c>
      <c r="T2169">
        <v>-9.7533229999999999E-2</v>
      </c>
      <c r="U2169">
        <v>0.14239499999999999</v>
      </c>
      <c r="V2169">
        <v>5.6108350000000001E-2</v>
      </c>
      <c r="W2169">
        <v>2.6701920000000001E-2</v>
      </c>
      <c r="X2169">
        <v>0.99806760000000005</v>
      </c>
      <c r="Y2169">
        <v>5.8051459999999999E-2</v>
      </c>
      <c r="Z2169">
        <v>1.2900909999999999E-3</v>
      </c>
      <c r="AA2169">
        <v>0.9983128</v>
      </c>
      <c r="AB2169">
        <v>48</v>
      </c>
      <c r="AC2169">
        <v>-33.836499999999901</v>
      </c>
      <c r="AD2169">
        <v>-1.1094462279649999</v>
      </c>
      <c r="AE2169">
        <v>1.6226999999999501</v>
      </c>
      <c r="AF2169">
        <v>1.9816673324318499</v>
      </c>
      <c r="AG2169">
        <v>-1.1094462279649999</v>
      </c>
      <c r="AH2169">
        <v>33.781016789818302</v>
      </c>
      <c r="AI2169">
        <v>91.877823026461698</v>
      </c>
      <c r="AJ2169">
        <v>86.642753462167605</v>
      </c>
      <c r="AK2169">
        <v>33.857273542079</v>
      </c>
      <c r="AL2169">
        <v>88.469910875018499</v>
      </c>
      <c r="AM2169">
        <v>86.782390834761102</v>
      </c>
      <c r="AN2169">
        <v>1.0000000368205799</v>
      </c>
    </row>
    <row r="2170" spans="1:40" x14ac:dyDescent="0.25">
      <c r="A2170" t="str">
        <f>"20190312154839071"</f>
        <v>20190312154839071</v>
      </c>
      <c r="B2170" t="str">
        <f>"1552376919057805"</f>
        <v>1552376919057805</v>
      </c>
      <c r="C2170" t="s">
        <v>40</v>
      </c>
      <c r="D2170">
        <v>4.7633519999999896</v>
      </c>
      <c r="E2170">
        <v>0.50005219999999995</v>
      </c>
      <c r="F2170" t="s">
        <v>50</v>
      </c>
      <c r="G2170">
        <v>-361.9889</v>
      </c>
      <c r="H2170" s="1">
        <v>-4.7842329999999997E-7</v>
      </c>
      <c r="I2170">
        <v>285.17939999999999</v>
      </c>
      <c r="J2170">
        <v>-328.88929999999999</v>
      </c>
      <c r="K2170">
        <v>1.1094310000000001</v>
      </c>
      <c r="L2170">
        <v>283.66480000000001</v>
      </c>
      <c r="M2170">
        <v>-0.99991209999999997</v>
      </c>
      <c r="N2170">
        <v>0</v>
      </c>
      <c r="O2170">
        <v>-1.136269E-2</v>
      </c>
      <c r="P2170">
        <v>-0.9987857</v>
      </c>
      <c r="Q2170">
        <v>1.9738639999999998E-2</v>
      </c>
      <c r="R2170">
        <v>4.5141590000000002E-2</v>
      </c>
      <c r="S2170">
        <v>-2.9994200000000002</v>
      </c>
      <c r="T2170">
        <v>-9.9733710000000003E-2</v>
      </c>
      <c r="U2170">
        <v>0.13589479999999901</v>
      </c>
      <c r="V2170">
        <v>5.6392739999999997E-2</v>
      </c>
      <c r="W2170">
        <v>2.6764360000000001E-2</v>
      </c>
      <c r="X2170">
        <v>0.99804990000000005</v>
      </c>
      <c r="Y2170">
        <v>5.6571490000000002E-2</v>
      </c>
      <c r="Z2170">
        <v>1.3173379999999999E-3</v>
      </c>
      <c r="AA2170">
        <v>0.99839770000000005</v>
      </c>
      <c r="AB2170">
        <v>48</v>
      </c>
      <c r="AC2170">
        <v>-33.099600000000002</v>
      </c>
      <c r="AD2170">
        <v>-1.1094314784232999</v>
      </c>
      <c r="AE2170">
        <v>1.51459999999997</v>
      </c>
      <c r="AF2170">
        <v>1.8884942852430699</v>
      </c>
      <c r="AG2170">
        <v>-1.1094314784232999</v>
      </c>
      <c r="AH2170">
        <v>33.0432077705631</v>
      </c>
      <c r="AI2170">
        <v>91.919862844351997</v>
      </c>
      <c r="AJ2170">
        <v>86.728974596524196</v>
      </c>
      <c r="AK2170">
        <v>33.115718754683797</v>
      </c>
      <c r="AL2170">
        <v>88.466332048652205</v>
      </c>
      <c r="AM2170">
        <v>86.766059403306002</v>
      </c>
      <c r="AN2170">
        <v>1.0000000374904601</v>
      </c>
    </row>
    <row r="2171" spans="1:40" x14ac:dyDescent="0.25">
      <c r="A2171" t="str">
        <f>"20190312154839089"</f>
        <v>20190312154839089</v>
      </c>
      <c r="B2171" t="str">
        <f>"1552376919078301"</f>
        <v>1552376919078301</v>
      </c>
      <c r="C2171" t="s">
        <v>40</v>
      </c>
      <c r="D2171">
        <v>4.7973800000000004</v>
      </c>
      <c r="E2171">
        <v>0.4994324</v>
      </c>
      <c r="F2171" t="s">
        <v>50</v>
      </c>
      <c r="G2171">
        <v>-362.03140000000002</v>
      </c>
      <c r="H2171" s="1">
        <v>-4.5577919999999998E-7</v>
      </c>
      <c r="I2171">
        <v>285.10210000000001</v>
      </c>
      <c r="J2171">
        <v>-329.25839999999999</v>
      </c>
      <c r="K2171">
        <v>1.109499</v>
      </c>
      <c r="L2171">
        <v>283.66039999999998</v>
      </c>
      <c r="M2171">
        <v>-0.9999036</v>
      </c>
      <c r="N2171">
        <v>0</v>
      </c>
      <c r="O2171">
        <v>-1.229132E-2</v>
      </c>
      <c r="P2171">
        <v>-0.99880530000000001</v>
      </c>
      <c r="Q2171">
        <v>2.002139E-2</v>
      </c>
      <c r="R2171">
        <v>4.4576739999999997E-2</v>
      </c>
      <c r="S2171">
        <v>-2.9997250000000002</v>
      </c>
      <c r="T2171">
        <v>-0.10041559999999999</v>
      </c>
      <c r="U2171">
        <v>0.1300964</v>
      </c>
      <c r="V2171">
        <v>5.6752530000000002E-2</v>
      </c>
      <c r="W2171">
        <v>2.6688099999999999E-2</v>
      </c>
      <c r="X2171">
        <v>0.99803149999999996</v>
      </c>
      <c r="Y2171">
        <v>5.5567529999999997E-2</v>
      </c>
      <c r="Z2171">
        <v>1.3405330000000001E-3</v>
      </c>
      <c r="AA2171">
        <v>0.99845399999999995</v>
      </c>
      <c r="AB2171">
        <v>49</v>
      </c>
      <c r="AC2171">
        <v>-32.773000000000003</v>
      </c>
      <c r="AD2171">
        <v>-1.1094994557792</v>
      </c>
      <c r="AE2171">
        <v>1.44170000000002</v>
      </c>
      <c r="AF2171">
        <v>1.84231552399634</v>
      </c>
      <c r="AG2171">
        <v>-1.1094994557792</v>
      </c>
      <c r="AH2171">
        <v>32.715380804897698</v>
      </c>
      <c r="AI2171">
        <v>91.939297005186901</v>
      </c>
      <c r="AJ2171">
        <v>86.776881928492401</v>
      </c>
      <c r="AK2171">
        <v>32.785991776089404</v>
      </c>
      <c r="AL2171">
        <v>88.470702912822603</v>
      </c>
      <c r="AM2171">
        <v>86.745410954492002</v>
      </c>
      <c r="AN2171">
        <v>0.99999998966763004</v>
      </c>
    </row>
    <row r="2172" spans="1:40" x14ac:dyDescent="0.25">
      <c r="A2172" t="str">
        <f>"20190312154839100"</f>
        <v>20190312154839100</v>
      </c>
      <c r="B2172" t="str">
        <f>"1552376919088061"</f>
        <v>1552376919088061</v>
      </c>
      <c r="C2172" t="s">
        <v>40</v>
      </c>
      <c r="D2172">
        <v>4.8316140000000001</v>
      </c>
      <c r="E2172">
        <v>0.49886849999999999</v>
      </c>
      <c r="F2172" t="s">
        <v>50</v>
      </c>
      <c r="G2172">
        <v>-361.73910000000001</v>
      </c>
      <c r="H2172" s="1">
        <v>-6.1132979999999997E-7</v>
      </c>
      <c r="I2172">
        <v>284.99590000000001</v>
      </c>
      <c r="J2172">
        <v>-329.52269999999999</v>
      </c>
      <c r="K2172">
        <v>1.109605</v>
      </c>
      <c r="L2172">
        <v>283.65699999999998</v>
      </c>
      <c r="M2172">
        <v>-0.99989589999999995</v>
      </c>
      <c r="N2172">
        <v>0</v>
      </c>
      <c r="O2172">
        <v>-1.2935800000000001E-2</v>
      </c>
      <c r="P2172">
        <v>-0.99882749999999998</v>
      </c>
      <c r="Q2172">
        <v>1.9891309999999999E-2</v>
      </c>
      <c r="R2172">
        <v>4.4134189999999997E-2</v>
      </c>
      <c r="S2172">
        <v>-3.0001220000000002</v>
      </c>
      <c r="T2172">
        <v>-0.1024803</v>
      </c>
      <c r="U2172">
        <v>0.12335210000000001</v>
      </c>
      <c r="V2172">
        <v>5.695149E-2</v>
      </c>
      <c r="W2172">
        <v>2.648694E-2</v>
      </c>
      <c r="X2172">
        <v>0.99802550000000001</v>
      </c>
      <c r="Y2172">
        <v>5.396372E-2</v>
      </c>
      <c r="Z2172">
        <v>1.3625919999999999E-3</v>
      </c>
      <c r="AA2172">
        <v>0.99854200000000004</v>
      </c>
      <c r="AB2172">
        <v>49</v>
      </c>
      <c r="AC2172">
        <v>-32.2164</v>
      </c>
      <c r="AD2172">
        <v>-1.1096056113297901</v>
      </c>
      <c r="AE2172">
        <v>1.33890000000002</v>
      </c>
      <c r="AF2172">
        <v>1.75346489369657</v>
      </c>
      <c r="AG2172">
        <v>-1.1096056113297901</v>
      </c>
      <c r="AH2172">
        <v>32.158301588415</v>
      </c>
      <c r="AI2172">
        <v>91.973248497082295</v>
      </c>
      <c r="AJ2172">
        <v>86.8789785132319</v>
      </c>
      <c r="AK2172">
        <v>32.2251799808407</v>
      </c>
      <c r="AL2172">
        <v>88.482232569519098</v>
      </c>
      <c r="AM2172">
        <v>86.734006253513201</v>
      </c>
      <c r="AN2172">
        <v>0.999999964427016</v>
      </c>
    </row>
    <row r="2173" spans="1:40" x14ac:dyDescent="0.25">
      <c r="A2173" t="str">
        <f>"20190312154839112"</f>
        <v>20190312154839112</v>
      </c>
      <c r="B2173" t="str">
        <f>"1552376919107581"</f>
        <v>1552376919107581</v>
      </c>
      <c r="C2173" t="s">
        <v>40</v>
      </c>
      <c r="D2173">
        <v>4.8176690000000004</v>
      </c>
      <c r="E2173">
        <v>0.49873970000000001</v>
      </c>
      <c r="F2173" t="s">
        <v>50</v>
      </c>
      <c r="G2173">
        <v>-359.9015</v>
      </c>
      <c r="H2173" s="1">
        <v>3.7322769999999998E-6</v>
      </c>
      <c r="I2173">
        <v>284.84440000000001</v>
      </c>
      <c r="J2173">
        <v>-329.76960000000003</v>
      </c>
      <c r="K2173">
        <v>1.1097170000000001</v>
      </c>
      <c r="L2173">
        <v>283.65359999999998</v>
      </c>
      <c r="M2173">
        <v>-0.99988790000000005</v>
      </c>
      <c r="N2173">
        <v>0</v>
      </c>
      <c r="O2173">
        <v>-1.3536380000000001E-2</v>
      </c>
      <c r="P2173">
        <v>-0.99885429999999997</v>
      </c>
      <c r="Q2173">
        <v>1.965985E-2</v>
      </c>
      <c r="R2173">
        <v>4.3635069999999998E-2</v>
      </c>
      <c r="S2173">
        <v>-3.0005190000000002</v>
      </c>
      <c r="T2173">
        <v>-0.10959579999999999</v>
      </c>
      <c r="U2173">
        <v>0.1172791</v>
      </c>
      <c r="V2173">
        <v>5.7050780000000002E-2</v>
      </c>
      <c r="W2173">
        <v>2.6279110000000001E-2</v>
      </c>
      <c r="X2173">
        <v>0.99802539999999995</v>
      </c>
      <c r="Y2173">
        <v>5.2535199999999997E-2</v>
      </c>
      <c r="Z2173">
        <v>1.4528570000000001E-3</v>
      </c>
      <c r="AA2173">
        <v>0.99861800000000001</v>
      </c>
      <c r="AB2173">
        <v>49</v>
      </c>
      <c r="AC2173">
        <v>-30.131899999999899</v>
      </c>
      <c r="AD2173">
        <v>-1.1097132677229999</v>
      </c>
      <c r="AE2173">
        <v>1.1908000000000201</v>
      </c>
      <c r="AF2173">
        <v>1.59641419036993</v>
      </c>
      <c r="AG2173">
        <v>-1.1097132677229999</v>
      </c>
      <c r="AH2173">
        <v>30.072295072487599</v>
      </c>
      <c r="AI2173">
        <v>92.110373343955004</v>
      </c>
      <c r="AJ2173">
        <v>86.961255596991407</v>
      </c>
      <c r="AK2173">
        <v>30.135078110576401</v>
      </c>
      <c r="AL2173">
        <v>88.494144613734306</v>
      </c>
      <c r="AM2173">
        <v>86.728324306948394</v>
      </c>
      <c r="AN2173">
        <v>1.0000000410830701</v>
      </c>
    </row>
    <row r="2174" spans="1:40" x14ac:dyDescent="0.25">
      <c r="A2174" t="str">
        <f>"20190312154839127"</f>
        <v>20190312154839127</v>
      </c>
      <c r="B2174" t="str">
        <f>"1552376919118316"</f>
        <v>1552376919118316</v>
      </c>
      <c r="C2174" t="s">
        <v>40</v>
      </c>
      <c r="D2174">
        <v>4.8471669999999998</v>
      </c>
      <c r="E2174">
        <v>0.49868699999999999</v>
      </c>
      <c r="F2174" t="s">
        <v>50</v>
      </c>
      <c r="G2174">
        <v>-359.80250000000001</v>
      </c>
      <c r="H2174" s="1">
        <v>3.6796249999999999E-6</v>
      </c>
      <c r="I2174">
        <v>284.8021</v>
      </c>
      <c r="J2174">
        <v>-330.0951</v>
      </c>
      <c r="K2174">
        <v>1.1098790000000001</v>
      </c>
      <c r="L2174">
        <v>283.64890000000003</v>
      </c>
      <c r="M2174">
        <v>-0.99987599999999999</v>
      </c>
      <c r="N2174">
        <v>0</v>
      </c>
      <c r="O2174">
        <v>-1.4328230000000001E-2</v>
      </c>
      <c r="P2174">
        <v>-0.99889269999999997</v>
      </c>
      <c r="Q2174">
        <v>1.9087690000000001E-2</v>
      </c>
      <c r="R2174">
        <v>4.2999419999999997E-2</v>
      </c>
      <c r="S2174">
        <v>-3.0005489999999999</v>
      </c>
      <c r="T2174">
        <v>-0.11087</v>
      </c>
      <c r="U2174">
        <v>0.1147461</v>
      </c>
      <c r="V2174">
        <v>5.7204690000000002E-2</v>
      </c>
      <c r="W2174">
        <v>2.5832460000000002E-2</v>
      </c>
      <c r="X2174">
        <v>0.99802820000000003</v>
      </c>
      <c r="Y2174">
        <v>5.2482389999999997E-2</v>
      </c>
      <c r="Z2174">
        <v>1.498012E-3</v>
      </c>
      <c r="AA2174">
        <v>0.99862070000000003</v>
      </c>
      <c r="AB2174">
        <v>49</v>
      </c>
      <c r="AC2174">
        <v>-29.7074</v>
      </c>
      <c r="AD2174">
        <v>-1.109875320375</v>
      </c>
      <c r="AE2174">
        <v>1.15319999999996</v>
      </c>
      <c r="AF2174">
        <v>1.5765479450391899</v>
      </c>
      <c r="AG2174">
        <v>-1.109875320375</v>
      </c>
      <c r="AH2174">
        <v>29.6465086628512</v>
      </c>
      <c r="AI2174">
        <v>92.140956607827903</v>
      </c>
      <c r="AJ2174">
        <v>86.955980874706995</v>
      </c>
      <c r="AK2174">
        <v>29.709136684634501</v>
      </c>
      <c r="AL2174">
        <v>88.519744388979106</v>
      </c>
      <c r="AM2174">
        <v>86.719526505816305</v>
      </c>
      <c r="AN2174">
        <v>0.99999999027144304</v>
      </c>
    </row>
    <row r="2175" spans="1:40" x14ac:dyDescent="0.25">
      <c r="A2175" t="str">
        <f>"20190312154839140"</f>
        <v>20190312154839140</v>
      </c>
      <c r="B2175" t="str">
        <f>"1552376919128077"</f>
        <v>1552376919128077</v>
      </c>
      <c r="C2175" t="s">
        <v>40</v>
      </c>
      <c r="D2175">
        <v>4.8645269999999998</v>
      </c>
      <c r="E2175">
        <v>0.49862640000000003</v>
      </c>
      <c r="F2175" t="s">
        <v>50</v>
      </c>
      <c r="G2175">
        <v>-359.6</v>
      </c>
      <c r="H2175" s="1">
        <v>3.571843E-6</v>
      </c>
      <c r="I2175">
        <v>284.75349999999997</v>
      </c>
      <c r="J2175">
        <v>-330.40309999999999</v>
      </c>
      <c r="K2175">
        <v>1.110034</v>
      </c>
      <c r="L2175">
        <v>283.64409999999998</v>
      </c>
      <c r="M2175">
        <v>-0.99986350000000002</v>
      </c>
      <c r="N2175">
        <v>0</v>
      </c>
      <c r="O2175">
        <v>-1.5083249999999999E-2</v>
      </c>
      <c r="P2175">
        <v>-0.9989323</v>
      </c>
      <c r="Q2175">
        <v>1.8575270000000001E-2</v>
      </c>
      <c r="R2175">
        <v>4.2301440000000003E-2</v>
      </c>
      <c r="S2175">
        <v>-3.0006710000000001</v>
      </c>
      <c r="T2175">
        <v>-0.11287519999999999</v>
      </c>
      <c r="U2175">
        <v>0.112335199999999</v>
      </c>
      <c r="V2175">
        <v>5.7259749999999998E-2</v>
      </c>
      <c r="W2175">
        <v>2.5555040000000001E-2</v>
      </c>
      <c r="X2175">
        <v>0.99803220000000004</v>
      </c>
      <c r="Y2175">
        <v>5.2431579999999998E-2</v>
      </c>
      <c r="Z2175">
        <v>1.5524759999999999E-3</v>
      </c>
      <c r="AA2175">
        <v>0.99862329999999999</v>
      </c>
      <c r="AB2175">
        <v>49</v>
      </c>
      <c r="AC2175">
        <v>-29.196899999999999</v>
      </c>
      <c r="AD2175">
        <v>-1.1100304281569999</v>
      </c>
      <c r="AE2175">
        <v>1.1093999999999899</v>
      </c>
      <c r="AF2175">
        <v>1.5474344667911999</v>
      </c>
      <c r="AG2175">
        <v>-1.1100304281569999</v>
      </c>
      <c r="AH2175">
        <v>29.134793194943999</v>
      </c>
      <c r="AI2175">
        <v>92.178835548544896</v>
      </c>
      <c r="AJ2175">
        <v>86.959709533760602</v>
      </c>
      <c r="AK2175">
        <v>29.196967231077402</v>
      </c>
      <c r="AL2175">
        <v>88.535644656133798</v>
      </c>
      <c r="AM2175">
        <v>86.716389059675194</v>
      </c>
      <c r="AN2175">
        <v>1.0000000056381499</v>
      </c>
    </row>
    <row r="2176" spans="1:40" x14ac:dyDescent="0.25">
      <c r="A2176" t="str">
        <f>"20190312154839157"</f>
        <v>20190312154839157</v>
      </c>
      <c r="B2176" t="str">
        <f>"1552376919147596"</f>
        <v>1552376919147596</v>
      </c>
      <c r="C2176" t="s">
        <v>40</v>
      </c>
      <c r="D2176">
        <v>4.9616150000000001</v>
      </c>
      <c r="E2176">
        <v>0.49840269999999998</v>
      </c>
      <c r="F2176" t="s">
        <v>50</v>
      </c>
      <c r="G2176">
        <v>-359.45209999999997</v>
      </c>
      <c r="H2176" s="1">
        <v>3.493142E-6</v>
      </c>
      <c r="I2176">
        <v>284.7056</v>
      </c>
      <c r="J2176">
        <v>-330.73129999999998</v>
      </c>
      <c r="K2176">
        <v>1.11019</v>
      </c>
      <c r="L2176">
        <v>283.63869999999997</v>
      </c>
      <c r="M2176">
        <v>-0.99984870000000003</v>
      </c>
      <c r="N2176">
        <v>0</v>
      </c>
      <c r="O2176">
        <v>-1.5898679999999998E-2</v>
      </c>
      <c r="P2176">
        <v>-0.9989825</v>
      </c>
      <c r="Q2176">
        <v>1.7726459999999999E-2</v>
      </c>
      <c r="R2176">
        <v>4.1473629999999997E-2</v>
      </c>
      <c r="S2176">
        <v>-3.0006710000000001</v>
      </c>
      <c r="T2176">
        <v>-0.114662899999999</v>
      </c>
      <c r="U2176">
        <v>0.1096497</v>
      </c>
      <c r="V2176">
        <v>5.7247329999999999E-2</v>
      </c>
      <c r="W2176">
        <v>2.5037839999999999E-2</v>
      </c>
      <c r="X2176">
        <v>0.99804599999999999</v>
      </c>
      <c r="Y2176">
        <v>5.2351439999999999E-2</v>
      </c>
      <c r="Z2176">
        <v>1.6066829999999901E-3</v>
      </c>
      <c r="AA2176">
        <v>0.99862740000000005</v>
      </c>
      <c r="AB2176">
        <v>49</v>
      </c>
      <c r="AC2176">
        <v>-28.720800000000001</v>
      </c>
      <c r="AD2176">
        <v>-1.1101865068579999</v>
      </c>
      <c r="AE2176">
        <v>1.0669000000000299</v>
      </c>
      <c r="AF2176">
        <v>1.52112963854741</v>
      </c>
      <c r="AG2176">
        <v>-1.1101865068579999</v>
      </c>
      <c r="AH2176">
        <v>28.6574470406091</v>
      </c>
      <c r="AI2176">
        <v>92.215407523511601</v>
      </c>
      <c r="AJ2176">
        <v>86.961606693564605</v>
      </c>
      <c r="AK2176">
        <v>28.7192552191486</v>
      </c>
      <c r="AL2176">
        <v>88.565287488553096</v>
      </c>
      <c r="AM2176">
        <v>86.717145030995198</v>
      </c>
      <c r="AN2176">
        <v>0.99999998416999702</v>
      </c>
    </row>
    <row r="2177" spans="1:40" x14ac:dyDescent="0.25">
      <c r="A2177" t="str">
        <f>"20190312154839170"</f>
        <v>20190312154839170</v>
      </c>
      <c r="B2177" t="str">
        <f>"1552376919158333"</f>
        <v>1552376919158333</v>
      </c>
      <c r="C2177" t="s">
        <v>40</v>
      </c>
      <c r="D2177">
        <v>4.9728890000000003</v>
      </c>
      <c r="E2177">
        <v>0.49819370000000002</v>
      </c>
      <c r="F2177" t="s">
        <v>50</v>
      </c>
      <c r="G2177">
        <v>-358.66370000000001</v>
      </c>
      <c r="H2177" s="1">
        <v>3.073603E-6</v>
      </c>
      <c r="I2177">
        <v>284.6182</v>
      </c>
      <c r="J2177">
        <v>-331.03230000000002</v>
      </c>
      <c r="K2177">
        <v>1.110322</v>
      </c>
      <c r="L2177">
        <v>283.6336</v>
      </c>
      <c r="M2177">
        <v>-0.99983379999999999</v>
      </c>
      <c r="N2177">
        <v>0</v>
      </c>
      <c r="O2177">
        <v>-1.6654800000000001E-2</v>
      </c>
      <c r="P2177">
        <v>-0.99902959999999996</v>
      </c>
      <c r="Q2177">
        <v>1.7059310000000001E-2</v>
      </c>
      <c r="R2177">
        <v>4.0609859999999998E-2</v>
      </c>
      <c r="S2177">
        <v>-3.0007929999999998</v>
      </c>
      <c r="T2177">
        <v>-0.11926779999999999</v>
      </c>
      <c r="U2177">
        <v>0.1052246</v>
      </c>
      <c r="V2177">
        <v>5.7139620000000002E-2</v>
      </c>
      <c r="W2177">
        <v>2.4727030000000001E-2</v>
      </c>
      <c r="X2177">
        <v>0.9980599</v>
      </c>
      <c r="Y2177">
        <v>5.1630370000000002E-2</v>
      </c>
      <c r="Z2177">
        <v>1.686847E-3</v>
      </c>
      <c r="AA2177">
        <v>0.99866489999999997</v>
      </c>
      <c r="AB2177">
        <v>49</v>
      </c>
      <c r="AC2177">
        <v>-27.6313999999999</v>
      </c>
      <c r="AD2177">
        <v>-1.1103189263969999</v>
      </c>
      <c r="AE2177">
        <v>0.98460000000000003</v>
      </c>
      <c r="AF2177">
        <v>1.44234553153977</v>
      </c>
      <c r="AG2177">
        <v>-1.1103189263969999</v>
      </c>
      <c r="AH2177">
        <v>27.566713218951399</v>
      </c>
      <c r="AI2177">
        <v>92.303338119255201</v>
      </c>
      <c r="AJ2177">
        <v>87.004901428713495</v>
      </c>
      <c r="AK2177">
        <v>27.626741509750602</v>
      </c>
      <c r="AL2177">
        <v>88.583101075635</v>
      </c>
      <c r="AM2177">
        <v>86.7233537375742</v>
      </c>
      <c r="AN2177">
        <v>0.99999996308718597</v>
      </c>
    </row>
    <row r="2178" spans="1:40" x14ac:dyDescent="0.25">
      <c r="A2178" t="str">
        <f>"20190312154839181"</f>
        <v>20190312154839181</v>
      </c>
      <c r="B2178" t="str">
        <f>"1552376919177853"</f>
        <v>1552376919177853</v>
      </c>
      <c r="C2178" t="s">
        <v>40</v>
      </c>
      <c r="D2178">
        <v>4.9882269999999904</v>
      </c>
      <c r="E2178">
        <v>0.4977567</v>
      </c>
      <c r="F2178" t="s">
        <v>50</v>
      </c>
      <c r="G2178">
        <v>-358.14589999999998</v>
      </c>
      <c r="H2178" s="1">
        <v>2.7980519999999999E-6</v>
      </c>
      <c r="I2178">
        <v>284.54539999999997</v>
      </c>
      <c r="J2178">
        <v>-331.29219999999998</v>
      </c>
      <c r="K2178">
        <v>1.110425</v>
      </c>
      <c r="L2178">
        <v>283.62889999999999</v>
      </c>
      <c r="M2178">
        <v>-0.99981989999999998</v>
      </c>
      <c r="N2178">
        <v>0</v>
      </c>
      <c r="O2178">
        <v>-1.7314320000000001E-2</v>
      </c>
      <c r="P2178">
        <v>-0.99906309999999998</v>
      </c>
      <c r="Q2178">
        <v>1.609234E-2</v>
      </c>
      <c r="R2178">
        <v>4.0176139999999999E-2</v>
      </c>
      <c r="S2178">
        <v>-3.0009160000000001</v>
      </c>
      <c r="T2178">
        <v>-0.1228895</v>
      </c>
      <c r="U2178">
        <v>0.1009216</v>
      </c>
      <c r="V2178">
        <v>5.736753E-2</v>
      </c>
      <c r="W2178">
        <v>2.411019E-2</v>
      </c>
      <c r="X2178">
        <v>0.998062</v>
      </c>
      <c r="Y2178">
        <v>5.0854219999999999E-2</v>
      </c>
      <c r="Z2178">
        <v>1.7491099999999999E-3</v>
      </c>
      <c r="AA2178">
        <v>0.99870460000000005</v>
      </c>
      <c r="AB2178">
        <v>49</v>
      </c>
      <c r="AC2178">
        <v>-26.8537</v>
      </c>
      <c r="AD2178">
        <v>-1.1104222019479999</v>
      </c>
      <c r="AE2178">
        <v>0.91649999999998499</v>
      </c>
      <c r="AF2178">
        <v>1.3789750461933401</v>
      </c>
      <c r="AG2178">
        <v>-1.1104222019479999</v>
      </c>
      <c r="AH2178">
        <v>26.788053908164098</v>
      </c>
      <c r="AI2178">
        <v>92.3705386518334</v>
      </c>
      <c r="AJ2178">
        <v>87.053172581537098</v>
      </c>
      <c r="AK2178">
        <v>26.846497757273799</v>
      </c>
      <c r="AL2178">
        <v>88.618454061216298</v>
      </c>
      <c r="AM2178">
        <v>86.710319893025201</v>
      </c>
      <c r="AN2178">
        <v>1.0000000453020601</v>
      </c>
    </row>
    <row r="2179" spans="1:40" x14ac:dyDescent="0.25">
      <c r="A2179" t="str">
        <f>"20190312154839200"</f>
        <v>20190312154839200</v>
      </c>
      <c r="B2179" t="str">
        <f>"1552376919187613"</f>
        <v>1552376919187613</v>
      </c>
      <c r="C2179" t="s">
        <v>40</v>
      </c>
      <c r="D2179">
        <v>4.9520239999999998</v>
      </c>
      <c r="E2179">
        <v>0.49749149999999998</v>
      </c>
      <c r="F2179" t="s">
        <v>50</v>
      </c>
      <c r="G2179">
        <v>-357.17239999999998</v>
      </c>
      <c r="H2179" s="1">
        <v>2.2799969999999999E-6</v>
      </c>
      <c r="I2179">
        <v>284.45679999999999</v>
      </c>
      <c r="J2179">
        <v>-331.68259999999998</v>
      </c>
      <c r="K2179">
        <v>1.1105510000000001</v>
      </c>
      <c r="L2179">
        <v>283.62150000000003</v>
      </c>
      <c r="M2179">
        <v>-0.99979750000000001</v>
      </c>
      <c r="N2179">
        <v>0</v>
      </c>
      <c r="O2179">
        <v>-1.8316610000000001E-2</v>
      </c>
      <c r="P2179">
        <v>-0.9991141</v>
      </c>
      <c r="Q2179">
        <v>1.5264979999999999E-2</v>
      </c>
      <c r="R2179">
        <v>3.9221350000000002E-2</v>
      </c>
      <c r="S2179">
        <v>-3.0010379999999999</v>
      </c>
      <c r="T2179">
        <v>-0.1287634</v>
      </c>
      <c r="U2179">
        <v>9.6008300000000005E-2</v>
      </c>
      <c r="V2179">
        <v>5.7416370000000001E-2</v>
      </c>
      <c r="W2179">
        <v>2.3836090000000001E-2</v>
      </c>
      <c r="X2179">
        <v>0.99806569999999994</v>
      </c>
      <c r="Y2179">
        <v>5.0214870000000002E-2</v>
      </c>
      <c r="Z2179">
        <v>1.861885E-3</v>
      </c>
      <c r="AA2179">
        <v>0.99873670000000003</v>
      </c>
      <c r="AB2179">
        <v>49</v>
      </c>
      <c r="AC2179">
        <v>-25.489799999999999</v>
      </c>
      <c r="AD2179">
        <v>-1.110548720003</v>
      </c>
      <c r="AE2179">
        <v>0.83529999999996096</v>
      </c>
      <c r="AF2179">
        <v>1.29959854529042</v>
      </c>
      <c r="AG2179">
        <v>-1.110548720003</v>
      </c>
      <c r="AH2179">
        <v>25.422018701602099</v>
      </c>
      <c r="AI2179">
        <v>92.498090448409897</v>
      </c>
      <c r="AJ2179">
        <v>87.073531047334995</v>
      </c>
      <c r="AK2179">
        <v>25.479429147903399</v>
      </c>
      <c r="AL2179">
        <v>88.634163245819494</v>
      </c>
      <c r="AM2179">
        <v>86.707537552850198</v>
      </c>
      <c r="AN2179">
        <v>0.99999997012347697</v>
      </c>
    </row>
    <row r="2180" spans="1:40" x14ac:dyDescent="0.25">
      <c r="A2180" t="str">
        <f>"20190312154839212"</f>
        <v>20190312154839212</v>
      </c>
      <c r="B2180" t="str">
        <f>"1552376919198350"</f>
        <v>1552376919198350</v>
      </c>
      <c r="C2180" t="s">
        <v>40</v>
      </c>
      <c r="D2180">
        <v>4.9507620000000001</v>
      </c>
      <c r="E2180">
        <v>0.49747409999999997</v>
      </c>
      <c r="F2180" t="s">
        <v>50</v>
      </c>
      <c r="G2180">
        <v>-356.41079999999999</v>
      </c>
      <c r="H2180" s="1">
        <v>1.874723E-6</v>
      </c>
      <c r="I2180">
        <v>284.37209999999999</v>
      </c>
      <c r="J2180">
        <v>-331.94380000000001</v>
      </c>
      <c r="K2180">
        <v>1.110617</v>
      </c>
      <c r="L2180">
        <v>283.61630000000002</v>
      </c>
      <c r="M2180">
        <v>-0.9997817</v>
      </c>
      <c r="N2180">
        <v>0</v>
      </c>
      <c r="O2180">
        <v>-1.8988209999999998E-2</v>
      </c>
      <c r="P2180">
        <v>-0.99912939999999995</v>
      </c>
      <c r="Q2180">
        <v>1.520762E-2</v>
      </c>
      <c r="R2180">
        <v>3.8847680000000002E-2</v>
      </c>
      <c r="S2180">
        <v>-3.001099</v>
      </c>
      <c r="T2180">
        <v>-0.13477979999999901</v>
      </c>
      <c r="U2180">
        <v>9.1094969999999997E-2</v>
      </c>
      <c r="V2180">
        <v>5.7713189999999998E-2</v>
      </c>
      <c r="W2180">
        <v>2.4149279999999999E-2</v>
      </c>
      <c r="X2180">
        <v>0.99804110000000001</v>
      </c>
      <c r="Y2180">
        <v>4.9245909999999997E-2</v>
      </c>
      <c r="Z2180">
        <v>1.9572029999999998E-3</v>
      </c>
      <c r="AA2180">
        <v>0.99878480000000003</v>
      </c>
      <c r="AB2180">
        <v>49</v>
      </c>
      <c r="AC2180">
        <v>-24.466999999999899</v>
      </c>
      <c r="AD2180">
        <v>-1.110615125277</v>
      </c>
      <c r="AE2180">
        <v>0.75579999999996506</v>
      </c>
      <c r="AF2180">
        <v>1.2177591531791001</v>
      </c>
      <c r="AG2180">
        <v>-1.110615125277</v>
      </c>
      <c r="AH2180">
        <v>24.398013234661601</v>
      </c>
      <c r="AI2180">
        <v>92.603109896409407</v>
      </c>
      <c r="AJ2180">
        <v>87.142611328011199</v>
      </c>
      <c r="AK2180">
        <v>24.453618405266099</v>
      </c>
      <c r="AL2180">
        <v>88.616213680109496</v>
      </c>
      <c r="AM2180">
        <v>86.690473164347296</v>
      </c>
      <c r="AN2180">
        <v>1.0000000186568501</v>
      </c>
    </row>
    <row r="2181" spans="1:40" x14ac:dyDescent="0.25">
      <c r="A2181" t="str">
        <f>"20190312154839223"</f>
        <v>20190312154839223</v>
      </c>
      <c r="B2181" t="str">
        <f>"1552376919217869"</f>
        <v>1552376919217869</v>
      </c>
      <c r="C2181" t="s">
        <v>40</v>
      </c>
      <c r="D2181">
        <v>4.9538570000000002</v>
      </c>
      <c r="E2181">
        <v>0.49734420000000001</v>
      </c>
      <c r="F2181" t="s">
        <v>50</v>
      </c>
      <c r="G2181">
        <v>-356.61799999999999</v>
      </c>
      <c r="H2181" s="1">
        <v>1.9850009999999999E-6</v>
      </c>
      <c r="I2181">
        <v>284.3537</v>
      </c>
      <c r="J2181">
        <v>-332.2099</v>
      </c>
      <c r="K2181">
        <v>1.110665</v>
      </c>
      <c r="L2181">
        <v>283.61099999999999</v>
      </c>
      <c r="M2181">
        <v>-0.99976500000000001</v>
      </c>
      <c r="N2181">
        <v>0</v>
      </c>
      <c r="O2181">
        <v>-1.9672470000000001E-2</v>
      </c>
      <c r="P2181">
        <v>-0.99915770000000004</v>
      </c>
      <c r="Q2181">
        <v>1.515618E-2</v>
      </c>
      <c r="R2181">
        <v>3.8133899999999998E-2</v>
      </c>
      <c r="S2181">
        <v>-3.0012210000000001</v>
      </c>
      <c r="T2181">
        <v>-0.13508819999999999</v>
      </c>
      <c r="U2181">
        <v>8.9691160000000006E-2</v>
      </c>
      <c r="V2181">
        <v>5.7682869999999997E-2</v>
      </c>
      <c r="W2181">
        <v>2.4470570000000001E-2</v>
      </c>
      <c r="X2181">
        <v>0.99803500000000001</v>
      </c>
      <c r="Y2181">
        <v>4.9460339999999998E-2</v>
      </c>
      <c r="Z2181">
        <v>1.9972129999999999E-3</v>
      </c>
      <c r="AA2181">
        <v>0.9987741</v>
      </c>
      <c r="AB2181">
        <v>49</v>
      </c>
      <c r="AC2181">
        <v>-24.408100000000001</v>
      </c>
      <c r="AD2181">
        <v>-1.110663014999</v>
      </c>
      <c r="AE2181">
        <v>0.74270000000001302</v>
      </c>
      <c r="AF2181">
        <v>1.2202195358622701</v>
      </c>
      <c r="AG2181">
        <v>-1.110663014999</v>
      </c>
      <c r="AH2181">
        <v>24.3384161991161</v>
      </c>
      <c r="AI2181">
        <v>92.609558610985204</v>
      </c>
      <c r="AJ2181">
        <v>87.129848564532693</v>
      </c>
      <c r="AK2181">
        <v>24.394282345049302</v>
      </c>
      <c r="AL2181">
        <v>88.597799639758307</v>
      </c>
      <c r="AM2181">
        <v>86.692187811695902</v>
      </c>
      <c r="AN2181">
        <v>0.99999999175627996</v>
      </c>
    </row>
    <row r="2182" spans="1:40" x14ac:dyDescent="0.25">
      <c r="A2182" t="str">
        <f>"20190312154839236"</f>
        <v>20190312154839236</v>
      </c>
      <c r="B2182" t="str">
        <f>"1552376919227628"</f>
        <v>1552376919227628</v>
      </c>
      <c r="C2182" t="s">
        <v>40</v>
      </c>
      <c r="D2182">
        <v>5.0119790000000002</v>
      </c>
      <c r="E2182">
        <v>0.4972569</v>
      </c>
      <c r="F2182" t="s">
        <v>50</v>
      </c>
      <c r="G2182">
        <v>-356.28620000000001</v>
      </c>
      <c r="H2182" s="1">
        <v>1.8083900000000001E-6</v>
      </c>
      <c r="I2182">
        <v>284.3021</v>
      </c>
      <c r="J2182">
        <v>-332.46690000000001</v>
      </c>
      <c r="K2182">
        <v>1.110703</v>
      </c>
      <c r="L2182">
        <v>283.60550000000001</v>
      </c>
      <c r="M2182">
        <v>-0.99974909999999995</v>
      </c>
      <c r="N2182">
        <v>0</v>
      </c>
      <c r="O2182">
        <v>-2.0320649999999999E-2</v>
      </c>
      <c r="P2182">
        <v>-0.99918070000000003</v>
      </c>
      <c r="Q2182">
        <v>1.512724E-2</v>
      </c>
      <c r="R2182">
        <v>3.7541020000000001E-2</v>
      </c>
      <c r="S2182">
        <v>-3.001312</v>
      </c>
      <c r="T2182">
        <v>-0.13845370000000001</v>
      </c>
      <c r="U2182">
        <v>8.6151119999999998E-2</v>
      </c>
      <c r="V2182">
        <v>5.7737589999999998E-2</v>
      </c>
      <c r="W2182">
        <v>2.4781850000000001E-2</v>
      </c>
      <c r="X2182">
        <v>0.99802420000000003</v>
      </c>
      <c r="Y2182">
        <v>4.8926329999999997E-2</v>
      </c>
      <c r="Z2182">
        <v>2.0644639999999998E-3</v>
      </c>
      <c r="AA2182">
        <v>0.99880029999999997</v>
      </c>
      <c r="AB2182">
        <v>49</v>
      </c>
      <c r="AC2182">
        <v>-23.819299999999998</v>
      </c>
      <c r="AD2182">
        <v>-1.11070119161</v>
      </c>
      <c r="AE2182">
        <v>0.69659999999998901</v>
      </c>
      <c r="AF2182">
        <v>1.1779421905591501</v>
      </c>
      <c r="AG2182">
        <v>-1.11070119161</v>
      </c>
      <c r="AH2182">
        <v>23.748630680621201</v>
      </c>
      <c r="AI2182">
        <v>92.674435640180207</v>
      </c>
      <c r="AJ2182">
        <v>87.160432059106995</v>
      </c>
      <c r="AK2182">
        <v>23.803753152515402</v>
      </c>
      <c r="AL2182">
        <v>88.579959262476606</v>
      </c>
      <c r="AM2182">
        <v>86.689021133098606</v>
      </c>
      <c r="AN2182">
        <v>1.0000000365870301</v>
      </c>
    </row>
    <row r="2183" spans="1:40" x14ac:dyDescent="0.25">
      <c r="A2183" t="str">
        <f>"20190312154839249"</f>
        <v>20190312154839249</v>
      </c>
      <c r="B2183" t="str">
        <f>"1552376919238365"</f>
        <v>1552376919238365</v>
      </c>
      <c r="C2183" t="s">
        <v>40</v>
      </c>
      <c r="D2183">
        <v>4.9815839999999998</v>
      </c>
      <c r="E2183">
        <v>0.49726290000000001</v>
      </c>
      <c r="F2183" t="s">
        <v>50</v>
      </c>
      <c r="G2183">
        <v>-356.32889999999998</v>
      </c>
      <c r="H2183" s="1">
        <v>1.8311140000000001E-6</v>
      </c>
      <c r="I2183">
        <v>284.26960000000003</v>
      </c>
      <c r="J2183">
        <v>-332.7407</v>
      </c>
      <c r="K2183">
        <v>1.1107370000000001</v>
      </c>
      <c r="L2183">
        <v>283.59960000000001</v>
      </c>
      <c r="M2183">
        <v>-0.99973160000000005</v>
      </c>
      <c r="N2183">
        <v>0</v>
      </c>
      <c r="O2183">
        <v>-2.1001829999999999E-2</v>
      </c>
      <c r="P2183">
        <v>-0.99920209999999998</v>
      </c>
      <c r="Q2183">
        <v>1.521643E-2</v>
      </c>
      <c r="R2183">
        <v>3.6929499999999997E-2</v>
      </c>
      <c r="S2183">
        <v>-3.001404</v>
      </c>
      <c r="T2183">
        <v>-0.1397061</v>
      </c>
      <c r="U2183">
        <v>8.3526610000000001E-2</v>
      </c>
      <c r="V2183">
        <v>5.7806240000000002E-2</v>
      </c>
      <c r="W2183">
        <v>2.5225170000000002E-2</v>
      </c>
      <c r="X2183">
        <v>0.99800909999999998</v>
      </c>
      <c r="Y2183">
        <v>4.8731539999999997E-2</v>
      </c>
      <c r="Z2183">
        <v>2.1102360000000001E-3</v>
      </c>
      <c r="AA2183">
        <v>0.99880970000000002</v>
      </c>
      <c r="AB2183">
        <v>49</v>
      </c>
      <c r="AC2183">
        <v>-23.588199999999901</v>
      </c>
      <c r="AD2183">
        <v>-1.1107351688860001</v>
      </c>
      <c r="AE2183">
        <v>0.67000000000001503</v>
      </c>
      <c r="AF2183">
        <v>1.1626952620953099</v>
      </c>
      <c r="AG2183">
        <v>-1.1107351688860001</v>
      </c>
      <c r="AH2183">
        <v>23.516822271768</v>
      </c>
      <c r="AI2183">
        <v>92.700862796644103</v>
      </c>
      <c r="AJ2183">
        <v>87.169544004144598</v>
      </c>
      <c r="AK2183">
        <v>23.5717314308861</v>
      </c>
      <c r="AL2183">
        <v>88.554550926531704</v>
      </c>
      <c r="AM2183">
        <v>86.685043109795004</v>
      </c>
      <c r="AN2183">
        <v>1.0000000171336301</v>
      </c>
    </row>
    <row r="2184" spans="1:40" x14ac:dyDescent="0.25">
      <c r="A2184" t="str">
        <f>"20190312154839261"</f>
        <v>20190312154839261</v>
      </c>
      <c r="B2184" t="str">
        <f>"1552376919248125"</f>
        <v>1552376919248125</v>
      </c>
      <c r="C2184" t="s">
        <v>40</v>
      </c>
      <c r="D2184">
        <v>4.9959089999999904</v>
      </c>
      <c r="E2184">
        <v>0.49719469999999999</v>
      </c>
      <c r="F2184" t="s">
        <v>50</v>
      </c>
      <c r="G2184">
        <v>-356.65839999999997</v>
      </c>
      <c r="H2184" s="1">
        <v>2.0064820000000001E-6</v>
      </c>
      <c r="I2184">
        <v>284.25080000000003</v>
      </c>
      <c r="J2184">
        <v>-333.02449999999999</v>
      </c>
      <c r="K2184">
        <v>1.11076</v>
      </c>
      <c r="L2184">
        <v>283.5933</v>
      </c>
      <c r="M2184">
        <v>-0.99971339999999997</v>
      </c>
      <c r="N2184">
        <v>0</v>
      </c>
      <c r="O2184">
        <v>-2.168871E-2</v>
      </c>
      <c r="P2184">
        <v>-0.99922630000000001</v>
      </c>
      <c r="Q2184">
        <v>1.5485860000000001E-2</v>
      </c>
      <c r="R2184">
        <v>3.6155430000000002E-2</v>
      </c>
      <c r="S2184">
        <v>-3.0014949999999998</v>
      </c>
      <c r="T2184">
        <v>-0.13938879999999901</v>
      </c>
      <c r="U2184">
        <v>8.1726069999999998E-2</v>
      </c>
      <c r="V2184">
        <v>5.7717699999999997E-2</v>
      </c>
      <c r="W2184">
        <v>2.5842469999999999E-2</v>
      </c>
      <c r="X2184">
        <v>0.99799839999999995</v>
      </c>
      <c r="Y2184">
        <v>4.8817810000000003E-2</v>
      </c>
      <c r="Z2184">
        <v>2.1392809999999998E-3</v>
      </c>
      <c r="AA2184">
        <v>0.99880539999999995</v>
      </c>
      <c r="AB2184">
        <v>48</v>
      </c>
      <c r="AC2184">
        <v>-23.633899999999901</v>
      </c>
      <c r="AD2184">
        <v>-1.1107579935180001</v>
      </c>
      <c r="AE2184">
        <v>0.65750000000002695</v>
      </c>
      <c r="AF2184">
        <v>1.1673838603173501</v>
      </c>
      <c r="AG2184">
        <v>-1.1107579935180001</v>
      </c>
      <c r="AH2184">
        <v>23.562073958087002</v>
      </c>
      <c r="AI2184">
        <v>92.6957248513868</v>
      </c>
      <c r="AJ2184">
        <v>87.1635977326263</v>
      </c>
      <c r="AK2184">
        <v>23.6171102720857</v>
      </c>
      <c r="AL2184">
        <v>88.519170660769205</v>
      </c>
      <c r="AM2184">
        <v>86.690073819738203</v>
      </c>
      <c r="AN2184">
        <v>0.99999998627577502</v>
      </c>
    </row>
    <row r="2185" spans="1:40" x14ac:dyDescent="0.25">
      <c r="A2185" t="str">
        <f>"20190312154839278"</f>
        <v>20190312154839278</v>
      </c>
      <c r="B2185" t="str">
        <f>"1552376919267645"</f>
        <v>1552376919267645</v>
      </c>
      <c r="C2185" t="s">
        <v>40</v>
      </c>
      <c r="D2185">
        <v>4.9872319999999997</v>
      </c>
      <c r="E2185">
        <v>0.49673529999999999</v>
      </c>
      <c r="F2185" t="s">
        <v>50</v>
      </c>
      <c r="G2185">
        <v>-357.1454</v>
      </c>
      <c r="H2185" s="1">
        <v>2.2656369999999999E-6</v>
      </c>
      <c r="I2185">
        <v>284.22820000000002</v>
      </c>
      <c r="J2185">
        <v>-333.37419999999997</v>
      </c>
      <c r="K2185">
        <v>1.1107769999999999</v>
      </c>
      <c r="L2185">
        <v>283.58510000000001</v>
      </c>
      <c r="M2185">
        <v>-0.9996912</v>
      </c>
      <c r="N2185">
        <v>0</v>
      </c>
      <c r="O2185">
        <v>-2.250249E-2</v>
      </c>
      <c r="P2185">
        <v>-0.99924100000000005</v>
      </c>
      <c r="Q2185">
        <v>1.6108529999999999E-2</v>
      </c>
      <c r="R2185">
        <v>3.5472099999999999E-2</v>
      </c>
      <c r="S2185">
        <v>-3.001617</v>
      </c>
      <c r="T2185">
        <v>-0.13822319999999999</v>
      </c>
      <c r="U2185">
        <v>7.9010010000000006E-2</v>
      </c>
      <c r="V2185">
        <v>5.7845420000000002E-2</v>
      </c>
      <c r="W2185">
        <v>2.686827E-2</v>
      </c>
      <c r="X2185">
        <v>0.99796390000000001</v>
      </c>
      <c r="Y2185">
        <v>4.872721E-2</v>
      </c>
      <c r="Z2185">
        <v>2.1567159999999999E-3</v>
      </c>
      <c r="AA2185">
        <v>0.99880979999999997</v>
      </c>
      <c r="AB2185">
        <v>48</v>
      </c>
      <c r="AC2185">
        <v>-23.7712</v>
      </c>
      <c r="AD2185">
        <v>-1.1107747343629999</v>
      </c>
      <c r="AE2185">
        <v>0.643100000000004</v>
      </c>
      <c r="AF2185">
        <v>1.1753136587831901</v>
      </c>
      <c r="AG2185">
        <v>-1.1107747343629999</v>
      </c>
      <c r="AH2185">
        <v>23.698999484533701</v>
      </c>
      <c r="AI2185">
        <v>92.680206496283802</v>
      </c>
      <c r="AJ2185">
        <v>87.160834340859196</v>
      </c>
      <c r="AK2185">
        <v>23.7541103658914</v>
      </c>
      <c r="AL2185">
        <v>88.460376200404497</v>
      </c>
      <c r="AM2185">
        <v>86.682651401344998</v>
      </c>
      <c r="AN2185">
        <v>0.999999971125489</v>
      </c>
    </row>
    <row r="2186" spans="1:40" x14ac:dyDescent="0.25">
      <c r="A2186" t="str">
        <f>"20190312154839291"</f>
        <v>20190312154839291</v>
      </c>
      <c r="B2186" t="str">
        <f>"1552376919278381"</f>
        <v>1552376919278381</v>
      </c>
      <c r="C2186" t="s">
        <v>40</v>
      </c>
      <c r="D2186">
        <v>5.0163659999999997</v>
      </c>
      <c r="E2186">
        <v>0.4634395</v>
      </c>
      <c r="F2186" t="s">
        <v>50</v>
      </c>
      <c r="G2186">
        <v>-358.07060000000001</v>
      </c>
      <c r="H2186" s="1">
        <v>2.757959E-6</v>
      </c>
      <c r="I2186">
        <v>284.18700000000001</v>
      </c>
      <c r="J2186">
        <v>-333.63729999999998</v>
      </c>
      <c r="K2186">
        <v>1.110787</v>
      </c>
      <c r="L2186">
        <v>283.57889999999998</v>
      </c>
      <c r="M2186">
        <v>-0.99967450000000002</v>
      </c>
      <c r="N2186">
        <v>0</v>
      </c>
      <c r="O2186">
        <v>-2.3095399999999999E-2</v>
      </c>
      <c r="P2186">
        <v>-0.99925969999999997</v>
      </c>
      <c r="Q2186">
        <v>1.6660979999999999E-2</v>
      </c>
      <c r="R2186">
        <v>3.4680179999999998E-2</v>
      </c>
      <c r="S2186">
        <v>-3.0018919999999998</v>
      </c>
      <c r="T2186">
        <v>-0.1350169</v>
      </c>
      <c r="U2186">
        <v>7.3150629999999994E-2</v>
      </c>
      <c r="V2186">
        <v>5.7644519999999998E-2</v>
      </c>
      <c r="W2186">
        <v>2.770767E-2</v>
      </c>
      <c r="X2186">
        <v>0.99795259999999997</v>
      </c>
      <c r="Y2186">
        <v>4.7373140000000001E-2</v>
      </c>
      <c r="Z2186">
        <v>2.1028150000000001E-3</v>
      </c>
      <c r="AA2186">
        <v>0.99887499999999996</v>
      </c>
      <c r="AB2186">
        <v>48</v>
      </c>
      <c r="AC2186">
        <v>-24.433299999999999</v>
      </c>
      <c r="AD2186">
        <v>-1.1107842420409999</v>
      </c>
      <c r="AE2186">
        <v>0.60810000000003495</v>
      </c>
      <c r="AF2186">
        <v>1.16985143708182</v>
      </c>
      <c r="AG2186">
        <v>-1.1107842420409999</v>
      </c>
      <c r="AH2186">
        <v>24.362416205434101</v>
      </c>
      <c r="AI2186">
        <v>92.607545431880496</v>
      </c>
      <c r="AJ2186">
        <v>87.250843129515602</v>
      </c>
      <c r="AK2186">
        <v>24.415767802467499</v>
      </c>
      <c r="AL2186">
        <v>88.4122642479212</v>
      </c>
      <c r="AM2186">
        <v>86.694109769621093</v>
      </c>
      <c r="AN2186">
        <v>0.99999999875480905</v>
      </c>
    </row>
    <row r="2187" spans="1:40" x14ac:dyDescent="0.25">
      <c r="A2187" t="str">
        <f>"20190312154839302"</f>
        <v>20190312154839302</v>
      </c>
      <c r="B2187" t="str">
        <f>"1552376919288141"</f>
        <v>1552376919288141</v>
      </c>
      <c r="C2187" t="s">
        <v>40</v>
      </c>
      <c r="D2187">
        <v>5.0540440000000002</v>
      </c>
      <c r="E2187">
        <v>0.46203119999999998</v>
      </c>
      <c r="F2187" t="s">
        <v>50</v>
      </c>
      <c r="G2187">
        <v>-362.07170000000002</v>
      </c>
      <c r="H2187" s="1">
        <v>-4.3434530000000002E-7</v>
      </c>
      <c r="I2187">
        <v>281.74450000000002</v>
      </c>
      <c r="J2187">
        <v>-333.90910000000002</v>
      </c>
      <c r="K2187">
        <v>1.1107830000000001</v>
      </c>
      <c r="L2187">
        <v>283.57229999999998</v>
      </c>
      <c r="M2187">
        <v>-0.99965749999999998</v>
      </c>
      <c r="N2187">
        <v>0</v>
      </c>
      <c r="O2187">
        <v>-2.3689200000000001E-2</v>
      </c>
      <c r="P2187">
        <v>-0.99927779999999999</v>
      </c>
      <c r="Q2187">
        <v>1.7495690000000001E-2</v>
      </c>
      <c r="R2187">
        <v>3.3734599999999997E-2</v>
      </c>
      <c r="S2187">
        <v>-3.0109560000000002</v>
      </c>
      <c r="T2187">
        <v>-0.11762300000000001</v>
      </c>
      <c r="U2187">
        <v>-0.19424440000000001</v>
      </c>
      <c r="V2187">
        <v>5.7290529999999999E-2</v>
      </c>
      <c r="W2187">
        <v>2.8823029999999999E-2</v>
      </c>
      <c r="X2187">
        <v>0.99794139999999998</v>
      </c>
      <c r="Y2187">
        <v>-4.0706190000000003E-2</v>
      </c>
      <c r="Z2187">
        <v>1.2995619999999999E-4</v>
      </c>
      <c r="AA2187">
        <v>0.99917109999999998</v>
      </c>
      <c r="AB2187">
        <v>48</v>
      </c>
      <c r="AC2187">
        <v>-28.162600000000001</v>
      </c>
      <c r="AD2187">
        <v>-1.1107834343453</v>
      </c>
      <c r="AE2187">
        <v>-1.8277999999999599</v>
      </c>
      <c r="AF2187">
        <v>-1.1583019114311699</v>
      </c>
      <c r="AG2187">
        <v>-1.1107834343453</v>
      </c>
      <c r="AH2187">
        <v>28.1543828012421</v>
      </c>
      <c r="AI2187">
        <v>92.257428385253704</v>
      </c>
      <c r="AJ2187">
        <v>92.355882067349697</v>
      </c>
      <c r="AK2187">
        <v>28.200084646591399</v>
      </c>
      <c r="AL2187">
        <v>88.348333290680301</v>
      </c>
      <c r="AM2187">
        <v>86.714329546580998</v>
      </c>
      <c r="AN2187">
        <v>1.00000000486001</v>
      </c>
    </row>
    <row r="2188" spans="1:40" x14ac:dyDescent="0.25">
      <c r="A2188" t="str">
        <f>"20190312154839317"</f>
        <v>20190312154839317</v>
      </c>
      <c r="B2188" t="str">
        <f>"1552376919307661"</f>
        <v>1552376919307661</v>
      </c>
      <c r="C2188" t="s">
        <v>40</v>
      </c>
      <c r="D2188">
        <v>4.9864280000000001</v>
      </c>
      <c r="E2188">
        <v>0.46239550000000001</v>
      </c>
      <c r="F2188" t="s">
        <v>50</v>
      </c>
      <c r="G2188">
        <v>-363.46159999999998</v>
      </c>
      <c r="H2188" s="1">
        <v>3.0529559999999999E-7</v>
      </c>
      <c r="I2188">
        <v>281.52719999999999</v>
      </c>
      <c r="J2188">
        <v>-334.22059999999999</v>
      </c>
      <c r="K2188">
        <v>1.1107659999999999</v>
      </c>
      <c r="L2188">
        <v>283.56450000000001</v>
      </c>
      <c r="M2188">
        <v>-0.99963840000000004</v>
      </c>
      <c r="N2188">
        <v>0</v>
      </c>
      <c r="O2188">
        <v>-2.4338060000000002E-2</v>
      </c>
      <c r="P2188">
        <v>-0.99930580000000002</v>
      </c>
      <c r="Q2188">
        <v>1.7618160000000001E-2</v>
      </c>
      <c r="R2188">
        <v>3.2826979999999999E-2</v>
      </c>
      <c r="S2188">
        <v>-3.0111690000000002</v>
      </c>
      <c r="T2188">
        <v>-0.1131803</v>
      </c>
      <c r="U2188">
        <v>-0.208374</v>
      </c>
      <c r="V2188">
        <v>5.7032729999999997E-2</v>
      </c>
      <c r="W2188">
        <v>2.9241989999999999E-2</v>
      </c>
      <c r="X2188">
        <v>0.99794400000000005</v>
      </c>
      <c r="Y2188">
        <v>-4.4718920000000002E-2</v>
      </c>
      <c r="Z2188" s="1">
        <v>7.4054639999999997E-5</v>
      </c>
      <c r="AA2188">
        <v>0.99899959999999999</v>
      </c>
      <c r="AB2188">
        <v>48</v>
      </c>
      <c r="AC2188">
        <v>-29.2409999999999</v>
      </c>
      <c r="AD2188">
        <v>-1.11076569470439</v>
      </c>
      <c r="AE2188">
        <v>-2.0373000000000099</v>
      </c>
      <c r="AF2188">
        <v>-1.3230807519387799</v>
      </c>
      <c r="AG2188">
        <v>-1.11076569470439</v>
      </c>
      <c r="AH2188">
        <v>29.239935599216199</v>
      </c>
      <c r="AI2188">
        <v>92.173282472979494</v>
      </c>
      <c r="AJ2188">
        <v>92.590815170987099</v>
      </c>
      <c r="AK2188">
        <v>29.290923115378199</v>
      </c>
      <c r="AL2188">
        <v>88.324318564453804</v>
      </c>
      <c r="AM2188">
        <v>86.729090968329402</v>
      </c>
      <c r="AN2188">
        <v>1.0000000267032001</v>
      </c>
    </row>
    <row r="2189" spans="1:40" x14ac:dyDescent="0.25">
      <c r="A2189" t="str">
        <f>"20190312154839334"</f>
        <v>20190312154839334</v>
      </c>
      <c r="B2189" t="str">
        <f>"1552376919328157"</f>
        <v>1552376919328157</v>
      </c>
      <c r="C2189" t="s">
        <v>40</v>
      </c>
      <c r="D2189">
        <v>5.0462059999999997</v>
      </c>
      <c r="E2189">
        <v>0.46140680000000001</v>
      </c>
      <c r="F2189" t="s">
        <v>50</v>
      </c>
      <c r="G2189">
        <v>-364.97539999999998</v>
      </c>
      <c r="H2189" s="1">
        <v>1.1108499999999999E-6</v>
      </c>
      <c r="I2189">
        <v>281.43849999999998</v>
      </c>
      <c r="J2189">
        <v>-334.59320000000002</v>
      </c>
      <c r="K2189">
        <v>1.110733</v>
      </c>
      <c r="L2189">
        <v>283.55489999999998</v>
      </c>
      <c r="M2189">
        <v>-0.99961599999999995</v>
      </c>
      <c r="N2189">
        <v>0</v>
      </c>
      <c r="O2189">
        <v>-2.5082469999999999E-2</v>
      </c>
      <c r="P2189">
        <v>-0.99935940000000001</v>
      </c>
      <c r="Q2189">
        <v>1.6985380000000001E-2</v>
      </c>
      <c r="R2189">
        <v>3.1504249999999998E-2</v>
      </c>
      <c r="S2189">
        <v>-3.010834</v>
      </c>
      <c r="T2189">
        <v>-0.10874159999999999</v>
      </c>
      <c r="U2189">
        <v>-0.20812990000000001</v>
      </c>
      <c r="V2189">
        <v>5.6459639999999998E-2</v>
      </c>
      <c r="W2189">
        <v>2.8938849999999999E-2</v>
      </c>
      <c r="X2189">
        <v>0.99798540000000002</v>
      </c>
      <c r="Y2189">
        <v>-4.3904020000000002E-2</v>
      </c>
      <c r="Z2189">
        <v>1.1268670000000001E-4</v>
      </c>
      <c r="AA2189">
        <v>0.99903580000000003</v>
      </c>
      <c r="AB2189">
        <v>48</v>
      </c>
      <c r="AC2189">
        <v>-30.382199999999902</v>
      </c>
      <c r="AD2189">
        <v>-1.11073188915</v>
      </c>
      <c r="AE2189">
        <v>-2.1163999999999898</v>
      </c>
      <c r="AF2189">
        <v>-1.3518225421150301</v>
      </c>
      <c r="AG2189">
        <v>-1.11073188915</v>
      </c>
      <c r="AH2189">
        <v>30.385313312516399</v>
      </c>
      <c r="AI2189">
        <v>92.091442019688998</v>
      </c>
      <c r="AJ2189">
        <v>92.547371642882496</v>
      </c>
      <c r="AK2189">
        <v>30.435643817976501</v>
      </c>
      <c r="AL2189">
        <v>88.341694521635105</v>
      </c>
      <c r="AM2189">
        <v>86.7620222505181</v>
      </c>
      <c r="AN2189">
        <v>1.0000000033006999</v>
      </c>
    </row>
    <row r="2190" spans="1:40" x14ac:dyDescent="0.25">
      <c r="A2190" t="str">
        <f>"20190312154839349"</f>
        <v>20190312154839349</v>
      </c>
      <c r="B2190" t="str">
        <f>"1552376919337916"</f>
        <v>1552376919337916</v>
      </c>
      <c r="C2190" t="s">
        <v>40</v>
      </c>
      <c r="D2190">
        <v>5.036314</v>
      </c>
      <c r="E2190">
        <v>0.4612774</v>
      </c>
      <c r="F2190" t="s">
        <v>50</v>
      </c>
      <c r="G2190">
        <v>-362.48050000000001</v>
      </c>
      <c r="H2190" s="1">
        <v>-2.1677419999999999E-7</v>
      </c>
      <c r="I2190">
        <v>281.51209999999998</v>
      </c>
      <c r="J2190">
        <v>-334.9015</v>
      </c>
      <c r="K2190">
        <v>1.1107</v>
      </c>
      <c r="L2190">
        <v>283.54680000000002</v>
      </c>
      <c r="M2190">
        <v>-0.99959799999999999</v>
      </c>
      <c r="N2190">
        <v>0</v>
      </c>
      <c r="O2190">
        <v>-2.5672239999999999E-2</v>
      </c>
      <c r="P2190">
        <v>-0.99939529999999999</v>
      </c>
      <c r="Q2190">
        <v>1.6285560000000001E-2</v>
      </c>
      <c r="R2190">
        <v>3.072952E-2</v>
      </c>
      <c r="S2190">
        <v>-3.0108950000000001</v>
      </c>
      <c r="T2190">
        <v>-0.11992170000000001</v>
      </c>
      <c r="U2190">
        <v>-0.22055050000000001</v>
      </c>
      <c r="V2190">
        <v>5.6279860000000001E-2</v>
      </c>
      <c r="W2190">
        <v>2.8491280000000001E-2</v>
      </c>
      <c r="X2190">
        <v>0.99800840000000002</v>
      </c>
      <c r="Y2190">
        <v>-4.740838E-2</v>
      </c>
      <c r="Z2190" s="1">
        <v>7.8000830000000002E-5</v>
      </c>
      <c r="AA2190">
        <v>0.99887559999999997</v>
      </c>
      <c r="AB2190">
        <v>48</v>
      </c>
      <c r="AC2190">
        <v>-27.579000000000001</v>
      </c>
      <c r="AD2190">
        <v>-1.1107002167741999</v>
      </c>
      <c r="AE2190">
        <v>-2.0347000000000399</v>
      </c>
      <c r="AF2190">
        <v>-1.3238277753034999</v>
      </c>
      <c r="AG2190">
        <v>-1.1107002167741999</v>
      </c>
      <c r="AH2190">
        <v>27.577660753323201</v>
      </c>
      <c r="AI2190">
        <v>92.303711749347897</v>
      </c>
      <c r="AJ2190">
        <v>92.7482955865962</v>
      </c>
      <c r="AK2190">
        <v>27.6317489054818</v>
      </c>
      <c r="AL2190">
        <v>88.367348920106394</v>
      </c>
      <c r="AM2190">
        <v>86.7723850823444</v>
      </c>
      <c r="AN2190">
        <v>0.99999997107410799</v>
      </c>
    </row>
    <row r="2191" spans="1:40" x14ac:dyDescent="0.25">
      <c r="A2191" t="str">
        <f>"20190312154839364"</f>
        <v>20190312154839364</v>
      </c>
      <c r="B2191" t="str">
        <f>"1552376919358413"</f>
        <v>1552376919358413</v>
      </c>
      <c r="C2191" t="s">
        <v>40</v>
      </c>
      <c r="D2191">
        <v>4.9757490000000004</v>
      </c>
      <c r="E2191">
        <v>0.46193050000000002</v>
      </c>
      <c r="F2191" t="s">
        <v>50</v>
      </c>
      <c r="G2191">
        <v>-362.20949999999999</v>
      </c>
      <c r="H2191" s="1">
        <v>-3.609928E-7</v>
      </c>
      <c r="I2191">
        <v>281.51369999999997</v>
      </c>
      <c r="J2191">
        <v>-335.23239999999998</v>
      </c>
      <c r="K2191">
        <v>1.11066</v>
      </c>
      <c r="L2191">
        <v>283.53800000000001</v>
      </c>
      <c r="M2191">
        <v>-0.9995792</v>
      </c>
      <c r="N2191">
        <v>0</v>
      </c>
      <c r="O2191">
        <v>-2.627666E-2</v>
      </c>
      <c r="P2191">
        <v>-0.99942609999999998</v>
      </c>
      <c r="Q2191">
        <v>1.612734E-2</v>
      </c>
      <c r="R2191">
        <v>2.9793119999999999E-2</v>
      </c>
      <c r="S2191">
        <v>-3.0107119999999998</v>
      </c>
      <c r="T2191">
        <v>-0.1224548</v>
      </c>
      <c r="U2191">
        <v>-0.22415160000000001</v>
      </c>
      <c r="V2191">
        <v>5.5951189999999998E-2</v>
      </c>
      <c r="W2191">
        <v>2.8582320000000001E-2</v>
      </c>
      <c r="X2191">
        <v>0.99802429999999998</v>
      </c>
      <c r="Y2191">
        <v>-4.7996280000000002E-2</v>
      </c>
      <c r="Z2191" s="1">
        <v>9.2235800000000002E-5</v>
      </c>
      <c r="AA2191">
        <v>0.9988475</v>
      </c>
      <c r="AB2191">
        <v>48</v>
      </c>
      <c r="AC2191">
        <v>-26.9771</v>
      </c>
      <c r="AD2191">
        <v>-1.1106603609928001</v>
      </c>
      <c r="AE2191">
        <v>-2.02430000000003</v>
      </c>
      <c r="AF2191">
        <v>-1.3124671382566799</v>
      </c>
      <c r="AG2191">
        <v>-1.1106603609928001</v>
      </c>
      <c r="AH2191">
        <v>26.975511777247799</v>
      </c>
      <c r="AI2191">
        <v>92.3549198890003</v>
      </c>
      <c r="AJ2191">
        <v>92.785473554424797</v>
      </c>
      <c r="AK2191">
        <v>27.0302492047506</v>
      </c>
      <c r="AL2191">
        <v>88.362130624598606</v>
      </c>
      <c r="AM2191">
        <v>86.791245612779093</v>
      </c>
      <c r="AN2191">
        <v>0.99999999403474404</v>
      </c>
    </row>
    <row r="2192" spans="1:40" x14ac:dyDescent="0.25">
      <c r="A2192" t="str">
        <f>"20190312154839378"</f>
        <v>20190312154839378</v>
      </c>
      <c r="B2192" t="str">
        <f>"1552376919368173"</f>
        <v>1552376919368173</v>
      </c>
      <c r="C2192" t="s">
        <v>40</v>
      </c>
      <c r="D2192">
        <v>4.9859349999999996</v>
      </c>
      <c r="E2192">
        <v>0.46189839999999999</v>
      </c>
      <c r="F2192" t="s">
        <v>50</v>
      </c>
      <c r="G2192">
        <v>-363.15989999999999</v>
      </c>
      <c r="H2192" s="1">
        <v>1.4476540000000001E-7</v>
      </c>
      <c r="I2192">
        <v>281.483</v>
      </c>
      <c r="J2192">
        <v>-335.55009999999999</v>
      </c>
      <c r="K2192">
        <v>1.1106100000000001</v>
      </c>
      <c r="L2192">
        <v>283.5292</v>
      </c>
      <c r="M2192">
        <v>-0.99956199999999995</v>
      </c>
      <c r="N2192">
        <v>0</v>
      </c>
      <c r="O2192">
        <v>-2.682081E-2</v>
      </c>
      <c r="P2192">
        <v>-0.9994459</v>
      </c>
      <c r="Q2192">
        <v>1.6669050000000001E-2</v>
      </c>
      <c r="R2192">
        <v>2.8813640000000001E-2</v>
      </c>
      <c r="S2192">
        <v>-3.0102229999999999</v>
      </c>
      <c r="T2192">
        <v>-0.1197145</v>
      </c>
      <c r="U2192">
        <v>-0.22149659999999999</v>
      </c>
      <c r="V2192">
        <v>5.5517329999999997E-2</v>
      </c>
      <c r="W2192">
        <v>2.9337309999999998E-2</v>
      </c>
      <c r="X2192">
        <v>0.99802659999999999</v>
      </c>
      <c r="Y2192">
        <v>-4.6590529999999998E-2</v>
      </c>
      <c r="Z2192">
        <v>1.396894E-4</v>
      </c>
      <c r="AA2192">
        <v>0.99891410000000003</v>
      </c>
      <c r="AB2192">
        <v>48</v>
      </c>
      <c r="AC2192">
        <v>-27.6098</v>
      </c>
      <c r="AD2192">
        <v>-1.1106098552346</v>
      </c>
      <c r="AE2192">
        <v>-2.04619999999999</v>
      </c>
      <c r="AF2192">
        <v>-1.30279215472594</v>
      </c>
      <c r="AG2192">
        <v>-1.1106098552346</v>
      </c>
      <c r="AH2192">
        <v>27.610319747484301</v>
      </c>
      <c r="AI2192">
        <v>92.300892077089202</v>
      </c>
      <c r="AJ2192">
        <v>92.701496031671596</v>
      </c>
      <c r="AK2192">
        <v>27.663341775846298</v>
      </c>
      <c r="AL2192">
        <v>88.318854696436802</v>
      </c>
      <c r="AM2192">
        <v>86.816083055888797</v>
      </c>
      <c r="AN2192">
        <v>0.99999997299796195</v>
      </c>
    </row>
    <row r="2193" spans="1:40" x14ac:dyDescent="0.25">
      <c r="A2193" t="str">
        <f>"20190312154839392"</f>
        <v>20190312154839392</v>
      </c>
      <c r="B2193" t="str">
        <f>"1552376919387693"</f>
        <v>1552376919387693</v>
      </c>
      <c r="C2193" t="s">
        <v>40</v>
      </c>
      <c r="D2193">
        <v>4.9756669999999996</v>
      </c>
      <c r="E2193">
        <v>0.46186050000000001</v>
      </c>
      <c r="F2193" t="s">
        <v>50</v>
      </c>
      <c r="G2193">
        <v>-363.40069999999997</v>
      </c>
      <c r="H2193" s="1">
        <v>2.7290820000000001E-7</v>
      </c>
      <c r="I2193">
        <v>281.44819999999999</v>
      </c>
      <c r="J2193">
        <v>-335.83690000000001</v>
      </c>
      <c r="K2193">
        <v>1.110557</v>
      </c>
      <c r="L2193">
        <v>283.52120000000002</v>
      </c>
      <c r="M2193">
        <v>-0.99954710000000002</v>
      </c>
      <c r="N2193">
        <v>0</v>
      </c>
      <c r="O2193">
        <v>-2.7287369999999998E-2</v>
      </c>
      <c r="P2193">
        <v>-0.99945539999999999</v>
      </c>
      <c r="Q2193">
        <v>1.6767049999999999E-2</v>
      </c>
      <c r="R2193">
        <v>2.842722E-2</v>
      </c>
      <c r="S2193">
        <v>-3.0101619999999998</v>
      </c>
      <c r="T2193">
        <v>-0.1200372</v>
      </c>
      <c r="U2193">
        <v>-0.22491459999999999</v>
      </c>
      <c r="V2193">
        <v>5.5600209999999997E-2</v>
      </c>
      <c r="W2193">
        <v>2.9616139999999999E-2</v>
      </c>
      <c r="X2193">
        <v>0.99801379999999995</v>
      </c>
      <c r="Y2193">
        <v>-4.7253469999999999E-2</v>
      </c>
      <c r="Z2193">
        <v>1.4542569999999999E-4</v>
      </c>
      <c r="AA2193">
        <v>0.99888290000000002</v>
      </c>
      <c r="AB2193">
        <v>48</v>
      </c>
      <c r="AC2193">
        <v>-27.563799999999901</v>
      </c>
      <c r="AD2193">
        <v>-1.1105567270918</v>
      </c>
      <c r="AE2193">
        <v>-2.0730000000000302</v>
      </c>
      <c r="AF2193">
        <v>-1.3178964604105901</v>
      </c>
      <c r="AG2193">
        <v>-1.1105567270918</v>
      </c>
      <c r="AH2193">
        <v>27.5656096531246</v>
      </c>
      <c r="AI2193">
        <v>92.304441740803895</v>
      </c>
      <c r="AJ2193">
        <v>92.737195101554406</v>
      </c>
      <c r="AK2193">
        <v>27.6194319795482</v>
      </c>
      <c r="AL2193">
        <v>88.302872051992097</v>
      </c>
      <c r="AM2193">
        <v>86.811298880100793</v>
      </c>
      <c r="AN2193">
        <v>1.0000000220454901</v>
      </c>
    </row>
    <row r="2194" spans="1:40" x14ac:dyDescent="0.25">
      <c r="A2194" t="str">
        <f>"20190312154839405"</f>
        <v>20190312154839405</v>
      </c>
      <c r="B2194" t="str">
        <f>"1552376919398429"</f>
        <v>1552376919398429</v>
      </c>
      <c r="C2194" t="s">
        <v>40</v>
      </c>
      <c r="D2194">
        <v>4.9735630000000004</v>
      </c>
      <c r="E2194">
        <v>0.46187800000000001</v>
      </c>
      <c r="F2194" t="s">
        <v>50</v>
      </c>
      <c r="G2194">
        <v>-363.80799999999999</v>
      </c>
      <c r="H2194" s="1">
        <v>4.8964430000000002E-7</v>
      </c>
      <c r="I2194">
        <v>281.41640000000001</v>
      </c>
      <c r="J2194">
        <v>-336.11329999999998</v>
      </c>
      <c r="K2194">
        <v>1.110511</v>
      </c>
      <c r="L2194">
        <v>283.51339999999999</v>
      </c>
      <c r="M2194">
        <v>-0.99953289999999995</v>
      </c>
      <c r="N2194">
        <v>0</v>
      </c>
      <c r="O2194">
        <v>-2.7718280000000001E-2</v>
      </c>
      <c r="P2194">
        <v>-0.99946520000000005</v>
      </c>
      <c r="Q2194">
        <v>1.679487E-2</v>
      </c>
      <c r="R2194">
        <v>2.806285E-2</v>
      </c>
      <c r="S2194">
        <v>-3.0100709999999999</v>
      </c>
      <c r="T2194">
        <v>-0.1195111</v>
      </c>
      <c r="U2194">
        <v>-0.22650149999999999</v>
      </c>
      <c r="V2194">
        <v>5.5669789999999997E-2</v>
      </c>
      <c r="W2194">
        <v>2.9807750000000001E-2</v>
      </c>
      <c r="X2194">
        <v>0.99800420000000001</v>
      </c>
      <c r="Y2194">
        <v>-4.734911E-2</v>
      </c>
      <c r="Z2194">
        <v>1.5996080000000001E-4</v>
      </c>
      <c r="AA2194">
        <v>0.99887840000000006</v>
      </c>
      <c r="AB2194">
        <v>48</v>
      </c>
      <c r="AC2194">
        <v>-27.694700000000001</v>
      </c>
      <c r="AD2194">
        <v>-1.1105105103557</v>
      </c>
      <c r="AE2194">
        <v>-2.09699999999998</v>
      </c>
      <c r="AF2194">
        <v>-1.32636063372612</v>
      </c>
      <c r="AG2194">
        <v>-1.1105105103557</v>
      </c>
      <c r="AH2194">
        <v>27.697906410614198</v>
      </c>
      <c r="AI2194">
        <v>92.293342759168894</v>
      </c>
      <c r="AJ2194">
        <v>92.741610008258903</v>
      </c>
      <c r="AK2194">
        <v>27.751873552166799</v>
      </c>
      <c r="AL2194">
        <v>88.2918887302814</v>
      </c>
      <c r="AM2194">
        <v>86.807286033246399</v>
      </c>
      <c r="AN2194">
        <v>1.0000000053481699</v>
      </c>
    </row>
    <row r="2195" spans="1:40" x14ac:dyDescent="0.25">
      <c r="A2195" t="str">
        <f>"20190312154839416"</f>
        <v>20190312154839416</v>
      </c>
      <c r="B2195" t="str">
        <f>"1552376919408189"</f>
        <v>1552376919408189</v>
      </c>
      <c r="C2195" t="s">
        <v>40</v>
      </c>
      <c r="D2195">
        <v>4.9512710000000002</v>
      </c>
      <c r="E2195">
        <v>0.4619296</v>
      </c>
      <c r="F2195" t="s">
        <v>50</v>
      </c>
      <c r="G2195">
        <v>-364.16570000000002</v>
      </c>
      <c r="H2195" s="1">
        <v>6.8000819999999899E-7</v>
      </c>
      <c r="I2195">
        <v>281.39249999999998</v>
      </c>
      <c r="J2195">
        <v>-336.3655</v>
      </c>
      <c r="K2195">
        <v>1.1104639999999999</v>
      </c>
      <c r="L2195">
        <v>283.5061</v>
      </c>
      <c r="M2195">
        <v>-0.99952129999999995</v>
      </c>
      <c r="N2195">
        <v>0</v>
      </c>
      <c r="O2195">
        <v>-2.807374E-2</v>
      </c>
      <c r="P2195">
        <v>-0.99945689999999998</v>
      </c>
      <c r="Q2195">
        <v>1.7256179999999999E-2</v>
      </c>
      <c r="R2195">
        <v>2.8076710000000001E-2</v>
      </c>
      <c r="S2195">
        <v>-3.009979</v>
      </c>
      <c r="T2195">
        <v>-0.1191559</v>
      </c>
      <c r="U2195">
        <v>-0.22756960000000001</v>
      </c>
      <c r="V2195">
        <v>5.604029E-2</v>
      </c>
      <c r="W2195">
        <v>3.0400659999999999E-2</v>
      </c>
      <c r="X2195">
        <v>0.99796560000000001</v>
      </c>
      <c r="Y2195">
        <v>-4.7348929999999997E-2</v>
      </c>
      <c r="Z2195">
        <v>1.7352869999999999E-4</v>
      </c>
      <c r="AA2195">
        <v>0.99887840000000006</v>
      </c>
      <c r="AB2195">
        <v>48</v>
      </c>
      <c r="AC2195">
        <v>-27.8002</v>
      </c>
      <c r="AD2195">
        <v>-1.1104633199917999</v>
      </c>
      <c r="AE2195">
        <v>-2.1136000000000101</v>
      </c>
      <c r="AF2195">
        <v>-1.3301351256913101</v>
      </c>
      <c r="AG2195">
        <v>-1.1104633199917999</v>
      </c>
      <c r="AH2195">
        <v>27.804473817201998</v>
      </c>
      <c r="AI2195">
        <v>92.284470526241094</v>
      </c>
      <c r="AJ2195">
        <v>92.738878325510996</v>
      </c>
      <c r="AK2195">
        <v>27.858412598156299</v>
      </c>
      <c r="AL2195">
        <v>88.257902122292904</v>
      </c>
      <c r="AM2195">
        <v>86.785957863067097</v>
      </c>
      <c r="AN2195">
        <v>1.0000000265075299</v>
      </c>
    </row>
    <row r="2196" spans="1:40" x14ac:dyDescent="0.25">
      <c r="A2196" t="str">
        <f>"20190312154839429"</f>
        <v>20190312154839429</v>
      </c>
      <c r="B2196" t="str">
        <f>"1552376919417949"</f>
        <v>1552376919417949</v>
      </c>
      <c r="C2196" t="s">
        <v>40</v>
      </c>
      <c r="D2196">
        <v>4.9357930000000003</v>
      </c>
      <c r="E2196">
        <v>0.46198539999999999</v>
      </c>
      <c r="F2196" t="s">
        <v>50</v>
      </c>
      <c r="G2196">
        <v>-364.79730000000001</v>
      </c>
      <c r="H2196" s="1">
        <v>1.0160929999999999E-6</v>
      </c>
      <c r="I2196">
        <v>281.36090000000002</v>
      </c>
      <c r="J2196">
        <v>-336.6379</v>
      </c>
      <c r="K2196">
        <v>1.110412</v>
      </c>
      <c r="L2196">
        <v>283.4982</v>
      </c>
      <c r="M2196">
        <v>-0.99950890000000003</v>
      </c>
      <c r="N2196">
        <v>0</v>
      </c>
      <c r="O2196">
        <v>-2.8443949999999999E-2</v>
      </c>
      <c r="P2196">
        <v>-0.99945600000000001</v>
      </c>
      <c r="Q2196">
        <v>1.751985E-2</v>
      </c>
      <c r="R2196">
        <v>2.7941299999999999E-2</v>
      </c>
      <c r="S2196">
        <v>-3.01004</v>
      </c>
      <c r="T2196">
        <v>-0.11756320000000001</v>
      </c>
      <c r="U2196">
        <v>-0.2271118</v>
      </c>
      <c r="V2196">
        <v>5.627733E-2</v>
      </c>
      <c r="W2196">
        <v>3.0800540000000001E-2</v>
      </c>
      <c r="X2196">
        <v>0.99793989999999999</v>
      </c>
      <c r="Y2196">
        <v>-4.682741E-2</v>
      </c>
      <c r="Z2196">
        <v>1.9579999999999999E-4</v>
      </c>
      <c r="AA2196">
        <v>0.99890299999999999</v>
      </c>
      <c r="AB2196">
        <v>48</v>
      </c>
      <c r="AC2196">
        <v>-28.159400000000002</v>
      </c>
      <c r="AD2196">
        <v>-1.110410983907</v>
      </c>
      <c r="AE2196">
        <v>-2.1372999999999802</v>
      </c>
      <c r="AF2196">
        <v>-1.3333398354102299</v>
      </c>
      <c r="AG2196">
        <v>-1.110410983907</v>
      </c>
      <c r="AH2196">
        <v>28.165257793780899</v>
      </c>
      <c r="AI2196">
        <v>92.255185121703704</v>
      </c>
      <c r="AJ2196">
        <v>92.710351664293697</v>
      </c>
      <c r="AK2196">
        <v>28.218656138448701</v>
      </c>
      <c r="AL2196">
        <v>88.234979777124906</v>
      </c>
      <c r="AM2196">
        <v>86.772308799821005</v>
      </c>
      <c r="AN2196">
        <v>0.99999992757411205</v>
      </c>
    </row>
    <row r="2197" spans="1:40" x14ac:dyDescent="0.25">
      <c r="A2197" t="str">
        <f>"20190312154839446"</f>
        <v>20190312154839446</v>
      </c>
      <c r="B2197" t="str">
        <f>"1552376919438447"</f>
        <v>1552376919438447</v>
      </c>
      <c r="C2197" t="s">
        <v>40</v>
      </c>
      <c r="D2197">
        <v>4.888592</v>
      </c>
      <c r="E2197">
        <v>0.4620804</v>
      </c>
      <c r="F2197" t="s">
        <v>50</v>
      </c>
      <c r="G2197">
        <v>-365.2253</v>
      </c>
      <c r="H2197" s="1">
        <v>1.2438470000000001E-6</v>
      </c>
      <c r="I2197">
        <v>281.34160000000003</v>
      </c>
      <c r="J2197">
        <v>-336.9923</v>
      </c>
      <c r="K2197">
        <v>1.1103459999999901</v>
      </c>
      <c r="L2197">
        <v>283.48790000000002</v>
      </c>
      <c r="M2197">
        <v>-0.99949390000000005</v>
      </c>
      <c r="N2197">
        <v>0</v>
      </c>
      <c r="O2197">
        <v>-2.8888770000000001E-2</v>
      </c>
      <c r="P2197">
        <v>-0.99943459999999995</v>
      </c>
      <c r="Q2197">
        <v>1.8563670000000001E-2</v>
      </c>
      <c r="R2197">
        <v>2.8035549999999999E-2</v>
      </c>
      <c r="S2197">
        <v>-3.0100709999999999</v>
      </c>
      <c r="T2197">
        <v>-0.11691940000000001</v>
      </c>
      <c r="U2197">
        <v>-0.22708130000000001</v>
      </c>
      <c r="V2197">
        <v>5.6817689999999997E-2</v>
      </c>
      <c r="W2197">
        <v>3.2005869999999999E-2</v>
      </c>
      <c r="X2197">
        <v>0.99787139999999996</v>
      </c>
      <c r="Y2197">
        <v>-4.6372789999999997E-2</v>
      </c>
      <c r="Z2197">
        <v>2.2077659999999999E-4</v>
      </c>
      <c r="AA2197">
        <v>0.99892420000000004</v>
      </c>
      <c r="AB2197">
        <v>48</v>
      </c>
      <c r="AC2197">
        <v>-28.233000000000001</v>
      </c>
      <c r="AD2197">
        <v>-1.11034475615299</v>
      </c>
      <c r="AE2197">
        <v>-2.1462999999999899</v>
      </c>
      <c r="AF2197">
        <v>-1.3276733616748799</v>
      </c>
      <c r="AG2197">
        <v>-1.11034475615299</v>
      </c>
      <c r="AH2197">
        <v>28.239796763260902</v>
      </c>
      <c r="AI2197">
        <v>92.249139104994995</v>
      </c>
      <c r="AJ2197">
        <v>92.691737058083106</v>
      </c>
      <c r="AK2197">
        <v>28.2927853571029</v>
      </c>
      <c r="AL2197">
        <v>88.165885461504203</v>
      </c>
      <c r="AM2197">
        <v>86.741160625826694</v>
      </c>
      <c r="AN2197">
        <v>0.99999997827467602</v>
      </c>
    </row>
    <row r="2198" spans="1:40" x14ac:dyDescent="0.25">
      <c r="A2198" t="str">
        <f>"20190312154839458"</f>
        <v>20190312154839458</v>
      </c>
      <c r="B2198" t="str">
        <f>"1552376919448205"</f>
        <v>1552376919448205</v>
      </c>
      <c r="C2198" t="s">
        <v>40</v>
      </c>
      <c r="D2198">
        <v>4.8669539999999998</v>
      </c>
      <c r="E2198">
        <v>0.46214939999999999</v>
      </c>
      <c r="F2198" t="s">
        <v>50</v>
      </c>
      <c r="G2198">
        <v>-366.37880000000001</v>
      </c>
      <c r="H2198" s="1">
        <v>1.8576739999999999E-6</v>
      </c>
      <c r="I2198">
        <v>281.27929999999998</v>
      </c>
      <c r="J2198">
        <v>-337.26839999999999</v>
      </c>
      <c r="K2198">
        <v>1.110306</v>
      </c>
      <c r="L2198">
        <v>283.4796</v>
      </c>
      <c r="M2198">
        <v>-0.99948340000000002</v>
      </c>
      <c r="N2198">
        <v>0</v>
      </c>
      <c r="O2198">
        <v>-2.9195189999999999E-2</v>
      </c>
      <c r="P2198">
        <v>-0.99942580000000003</v>
      </c>
      <c r="Q2198">
        <v>1.9015319999999999E-2</v>
      </c>
      <c r="R2198">
        <v>2.8049810000000001E-2</v>
      </c>
      <c r="S2198">
        <v>-3.0101619999999998</v>
      </c>
      <c r="T2198">
        <v>-0.11373659999999999</v>
      </c>
      <c r="U2198">
        <v>-0.22622680000000001</v>
      </c>
      <c r="V2198">
        <v>5.7140650000000001E-2</v>
      </c>
      <c r="W2198">
        <v>3.2567770000000003E-2</v>
      </c>
      <c r="X2198">
        <v>0.99783480000000002</v>
      </c>
      <c r="Y2198">
        <v>-4.5783579999999997E-2</v>
      </c>
      <c r="Z2198">
        <v>2.3743000000000001E-4</v>
      </c>
      <c r="AA2198">
        <v>0.99895140000000004</v>
      </c>
      <c r="AB2198">
        <v>48</v>
      </c>
      <c r="AC2198">
        <v>-29.110399999999998</v>
      </c>
      <c r="AD2198">
        <v>-1.1103041423260001</v>
      </c>
      <c r="AE2198">
        <v>-2.2003000000000199</v>
      </c>
      <c r="AF2198">
        <v>-1.3474524372091801</v>
      </c>
      <c r="AG2198">
        <v>-1.1103041423260001</v>
      </c>
      <c r="AH2198">
        <v>29.120111072438799</v>
      </c>
      <c r="AI2198">
        <v>92.181208844294204</v>
      </c>
      <c r="AJ2198">
        <v>92.649313655363699</v>
      </c>
      <c r="AK2198">
        <v>29.172406006878798</v>
      </c>
      <c r="AL2198">
        <v>88.133674210412295</v>
      </c>
      <c r="AM2198">
        <v>86.722557225772306</v>
      </c>
      <c r="AN2198">
        <v>1.00000000080811</v>
      </c>
    </row>
    <row r="2199" spans="1:40" x14ac:dyDescent="0.25">
      <c r="A2199" t="str">
        <f>"20190312154839479"</f>
        <v>20190312154839479</v>
      </c>
      <c r="B2199" t="str">
        <f>"1552376919467725"</f>
        <v>1552376919467725</v>
      </c>
      <c r="C2199" t="s">
        <v>40</v>
      </c>
      <c r="D2199">
        <v>4.8178890000000001</v>
      </c>
      <c r="E2199">
        <v>0.46245310000000001</v>
      </c>
      <c r="F2199" t="s">
        <v>50</v>
      </c>
      <c r="G2199">
        <v>-367.21230000000003</v>
      </c>
      <c r="H2199" s="1">
        <v>2.301235E-6</v>
      </c>
      <c r="I2199">
        <v>281.23680000000002</v>
      </c>
      <c r="J2199">
        <v>-337.71170000000001</v>
      </c>
      <c r="K2199">
        <v>1.1102259999999999</v>
      </c>
      <c r="L2199">
        <v>283.46640000000002</v>
      </c>
      <c r="M2199">
        <v>-0.99946789999999996</v>
      </c>
      <c r="N2199">
        <v>0</v>
      </c>
      <c r="O2199">
        <v>-2.9641219999999999E-2</v>
      </c>
      <c r="P2199">
        <v>-0.99939210000000001</v>
      </c>
      <c r="Q2199">
        <v>2.0241769999999999E-2</v>
      </c>
      <c r="R2199">
        <v>2.838711E-2</v>
      </c>
      <c r="S2199">
        <v>-3.010132</v>
      </c>
      <c r="T2199">
        <v>-0.111614</v>
      </c>
      <c r="U2199">
        <v>-0.22546389999999999</v>
      </c>
      <c r="V2199">
        <v>5.7926320000000003E-2</v>
      </c>
      <c r="W2199">
        <v>3.3956979999999998E-2</v>
      </c>
      <c r="X2199">
        <v>0.99774320000000005</v>
      </c>
      <c r="Y2199">
        <v>-4.50879E-2</v>
      </c>
      <c r="Z2199">
        <v>2.6238219999999998E-4</v>
      </c>
      <c r="AA2199">
        <v>0.99898299999999995</v>
      </c>
      <c r="AB2199">
        <v>48</v>
      </c>
      <c r="AC2199">
        <v>-29.500599999999999</v>
      </c>
      <c r="AD2199">
        <v>-1.110223698765</v>
      </c>
      <c r="AE2199">
        <v>-2.2296</v>
      </c>
      <c r="AF2199">
        <v>-1.3522010659916599</v>
      </c>
      <c r="AG2199">
        <v>-1.110223698765</v>
      </c>
      <c r="AH2199">
        <v>29.512168222562799</v>
      </c>
      <c r="AI2199">
        <v>92.152148849776907</v>
      </c>
      <c r="AJ2199">
        <v>92.623367632656993</v>
      </c>
      <c r="AK2199">
        <v>29.563983452522301</v>
      </c>
      <c r="AL2199">
        <v>88.054034291615807</v>
      </c>
      <c r="AM2199">
        <v>86.677289117607501</v>
      </c>
      <c r="AN2199">
        <v>1.00000001409285</v>
      </c>
    </row>
    <row r="2200" spans="1:40" x14ac:dyDescent="0.25">
      <c r="A2200" t="str">
        <f>"20190312154839493"</f>
        <v>20190312154839493</v>
      </c>
      <c r="B2200" t="str">
        <f>"1552376919478461"</f>
        <v>1552376919478461</v>
      </c>
      <c r="C2200" t="s">
        <v>40</v>
      </c>
      <c r="D2200">
        <v>4.7750430000000001</v>
      </c>
      <c r="E2200">
        <v>0.46255580000000002</v>
      </c>
      <c r="F2200" t="s">
        <v>50</v>
      </c>
      <c r="G2200">
        <v>-369.07</v>
      </c>
      <c r="H2200" s="1">
        <v>3.2898330000000001E-6</v>
      </c>
      <c r="I2200">
        <v>281.15019999999998</v>
      </c>
      <c r="J2200">
        <v>-337.98390000000001</v>
      </c>
      <c r="K2200">
        <v>1.1101799999999999</v>
      </c>
      <c r="L2200">
        <v>283.45819999999998</v>
      </c>
      <c r="M2200">
        <v>-0.9994596</v>
      </c>
      <c r="N2200">
        <v>0</v>
      </c>
      <c r="O2200">
        <v>-2.987954E-2</v>
      </c>
      <c r="P2200">
        <v>-0.99937849999999995</v>
      </c>
      <c r="Q2200">
        <v>2.067807E-2</v>
      </c>
      <c r="R2200">
        <v>2.8561099999999999E-2</v>
      </c>
      <c r="S2200">
        <v>-3.010345</v>
      </c>
      <c r="T2200">
        <v>-0.1065793</v>
      </c>
      <c r="U2200">
        <v>-0.2223511</v>
      </c>
      <c r="V2200">
        <v>5.8341560000000001E-2</v>
      </c>
      <c r="W2200">
        <v>3.4481190000000002E-2</v>
      </c>
      <c r="X2200">
        <v>0.99770099999999995</v>
      </c>
      <c r="Y2200">
        <v>-4.3818910000000003E-2</v>
      </c>
      <c r="Z2200">
        <v>2.8139449999999998E-4</v>
      </c>
      <c r="AA2200">
        <v>0.99903949999999997</v>
      </c>
      <c r="AB2200">
        <v>48</v>
      </c>
      <c r="AC2200">
        <v>-31.086099999999899</v>
      </c>
      <c r="AD2200">
        <v>-1.1101767101669999</v>
      </c>
      <c r="AE2200">
        <v>-2.3079999999999901</v>
      </c>
      <c r="AF2200">
        <v>-1.37629800947743</v>
      </c>
      <c r="AG2200">
        <v>-1.1101767101669999</v>
      </c>
      <c r="AH2200">
        <v>31.101735938551901</v>
      </c>
      <c r="AI2200">
        <v>92.042308412992497</v>
      </c>
      <c r="AJ2200">
        <v>92.5337703341403</v>
      </c>
      <c r="AK2200">
        <v>31.15196088419</v>
      </c>
      <c r="AL2200">
        <v>88.023981618880697</v>
      </c>
      <c r="AM2200">
        <v>86.6533832570165</v>
      </c>
      <c r="AN2200">
        <v>0.99999998774402399</v>
      </c>
    </row>
    <row r="2201" spans="1:40" x14ac:dyDescent="0.25">
      <c r="A2201" t="str">
        <f>"20190312154839505"</f>
        <v>20190312154839505</v>
      </c>
      <c r="B2201" t="str">
        <f>"1552376919497981"</f>
        <v>1552376919497981</v>
      </c>
      <c r="C2201" t="s">
        <v>40</v>
      </c>
      <c r="D2201">
        <v>4.8023249999999997</v>
      </c>
      <c r="E2201">
        <v>0.46287349999999999</v>
      </c>
      <c r="F2201" t="s">
        <v>50</v>
      </c>
      <c r="G2201">
        <v>-369.52870000000001</v>
      </c>
      <c r="H2201" s="1">
        <v>3.5339409999999998E-6</v>
      </c>
      <c r="I2201">
        <v>281.14389999999997</v>
      </c>
      <c r="J2201">
        <v>-338.26600000000002</v>
      </c>
      <c r="K2201">
        <v>1.110125</v>
      </c>
      <c r="L2201">
        <v>283.44959999999998</v>
      </c>
      <c r="M2201">
        <v>-0.99945139999999999</v>
      </c>
      <c r="N2201">
        <v>0</v>
      </c>
      <c r="O2201">
        <v>-3.0106000000000001E-2</v>
      </c>
      <c r="P2201">
        <v>-0.99935660000000004</v>
      </c>
      <c r="Q2201">
        <v>2.1073580000000001E-2</v>
      </c>
      <c r="R2201">
        <v>2.9020859999999999E-2</v>
      </c>
      <c r="S2201">
        <v>-3.0103759999999999</v>
      </c>
      <c r="T2201">
        <v>-0.1059461</v>
      </c>
      <c r="U2201">
        <v>-0.22085569999999999</v>
      </c>
      <c r="V2201">
        <v>5.9030340000000001E-2</v>
      </c>
      <c r="W2201">
        <v>3.4962510000000002E-2</v>
      </c>
      <c r="X2201">
        <v>0.99764379999999997</v>
      </c>
      <c r="Y2201">
        <v>-4.3098850000000001E-2</v>
      </c>
      <c r="Z2201">
        <v>3.0032939999999998E-4</v>
      </c>
      <c r="AA2201">
        <v>0.99907080000000004</v>
      </c>
      <c r="AB2201">
        <v>48</v>
      </c>
      <c r="AC2201">
        <v>-31.262699999999999</v>
      </c>
      <c r="AD2201">
        <v>-1.110121466059</v>
      </c>
      <c r="AE2201">
        <v>-2.3056999999999999</v>
      </c>
      <c r="AF2201">
        <v>-1.3616624721819</v>
      </c>
      <c r="AG2201">
        <v>-1.110121466059</v>
      </c>
      <c r="AH2201">
        <v>31.278721657961398</v>
      </c>
      <c r="AI2201">
        <v>92.0307249130542</v>
      </c>
      <c r="AJ2201">
        <v>92.4926940727279</v>
      </c>
      <c r="AK2201">
        <v>31.328021369275401</v>
      </c>
      <c r="AL2201">
        <v>87.996387509391894</v>
      </c>
      <c r="AM2201">
        <v>86.6137708335187</v>
      </c>
      <c r="AN2201">
        <v>1.0000000549122201</v>
      </c>
    </row>
    <row r="2202" spans="1:40" x14ac:dyDescent="0.25">
      <c r="A2202" t="str">
        <f>"20190312154839524"</f>
        <v>20190312154839524</v>
      </c>
      <c r="B2202" t="str">
        <f>"1552376919517501"</f>
        <v>1552376919517501</v>
      </c>
      <c r="C2202" t="s">
        <v>40</v>
      </c>
      <c r="D2202">
        <v>4.7554049999999997</v>
      </c>
      <c r="E2202">
        <v>0.46311340000000001</v>
      </c>
      <c r="F2202" t="s">
        <v>50</v>
      </c>
      <c r="G2202">
        <v>-370.60109999999997</v>
      </c>
      <c r="H2202" s="1">
        <v>-1.2168980000000001E-6</v>
      </c>
      <c r="I2202">
        <v>281.11829999999998</v>
      </c>
      <c r="J2202">
        <v>-338.67439999999999</v>
      </c>
      <c r="K2202">
        <v>1.1100460000000001</v>
      </c>
      <c r="L2202">
        <v>283.43709999999999</v>
      </c>
      <c r="M2202">
        <v>-0.99944160000000004</v>
      </c>
      <c r="N2202">
        <v>0</v>
      </c>
      <c r="O2202">
        <v>-3.037542E-2</v>
      </c>
      <c r="P2202">
        <v>-0.99934009999999995</v>
      </c>
      <c r="Q2202">
        <v>2.1026739999999999E-2</v>
      </c>
      <c r="R2202">
        <v>2.9622229999999999E-2</v>
      </c>
      <c r="S2202">
        <v>-3.0103759999999999</v>
      </c>
      <c r="T2202">
        <v>-0.10335179999999999</v>
      </c>
      <c r="U2202">
        <v>-0.21704100000000001</v>
      </c>
      <c r="V2202">
        <v>5.9907099999999998E-2</v>
      </c>
      <c r="W2202">
        <v>3.5023029999999997E-2</v>
      </c>
      <c r="X2202">
        <v>0.99758930000000001</v>
      </c>
      <c r="Y2202">
        <v>-4.1571509999999999E-2</v>
      </c>
      <c r="Z2202">
        <v>3.2840449999999998E-4</v>
      </c>
      <c r="AA2202">
        <v>0.99913549999999995</v>
      </c>
      <c r="AB2202">
        <v>48</v>
      </c>
      <c r="AC2202">
        <v>-31.926699999999901</v>
      </c>
      <c r="AD2202">
        <v>-1.11004721689799</v>
      </c>
      <c r="AE2202">
        <v>-2.3188</v>
      </c>
      <c r="AF2202">
        <v>-1.3462300282570001</v>
      </c>
      <c r="AG2202">
        <v>-1.11004721689799</v>
      </c>
      <c r="AH2202">
        <v>31.943993167823699</v>
      </c>
      <c r="AI2202">
        <v>91.988452148274305</v>
      </c>
      <c r="AJ2202">
        <v>92.413213725332199</v>
      </c>
      <c r="AK2202">
        <v>31.991612019695001</v>
      </c>
      <c r="AL2202">
        <v>87.992917618084405</v>
      </c>
      <c r="AM2202">
        <v>86.563408544451406</v>
      </c>
      <c r="AN2202">
        <v>0.99999994236763801</v>
      </c>
    </row>
    <row r="2203" spans="1:40" x14ac:dyDescent="0.25">
      <c r="A2203" t="str">
        <f>"20190312154839538"</f>
        <v>20190312154839538</v>
      </c>
      <c r="B2203" t="str">
        <f>"1552376919528237"</f>
        <v>1552376919528237</v>
      </c>
      <c r="C2203" t="s">
        <v>40</v>
      </c>
      <c r="D2203">
        <v>4.7407589999999997</v>
      </c>
      <c r="E2203">
        <v>0.463223</v>
      </c>
      <c r="F2203" t="s">
        <v>50</v>
      </c>
      <c r="G2203">
        <v>-371.625</v>
      </c>
      <c r="H2203" s="1">
        <v>-6.7205640000000001E-7</v>
      </c>
      <c r="I2203">
        <v>281.10219999999998</v>
      </c>
      <c r="J2203">
        <v>-338.97770000000003</v>
      </c>
      <c r="K2203">
        <v>1.109988</v>
      </c>
      <c r="L2203">
        <v>283.42770000000002</v>
      </c>
      <c r="M2203">
        <v>-0.99943570000000004</v>
      </c>
      <c r="N2203">
        <v>0</v>
      </c>
      <c r="O2203">
        <v>-3.0537809999999999E-2</v>
      </c>
      <c r="P2203">
        <v>-0.99933150000000004</v>
      </c>
      <c r="Q2203">
        <v>2.0916830000000001E-2</v>
      </c>
      <c r="R2203">
        <v>2.9993390000000002E-2</v>
      </c>
      <c r="S2203">
        <v>-3.0104060000000001</v>
      </c>
      <c r="T2203">
        <v>-0.1014152</v>
      </c>
      <c r="U2203">
        <v>-0.2133179</v>
      </c>
      <c r="V2203">
        <v>6.0445169999999999E-2</v>
      </c>
      <c r="W2203">
        <v>3.4982050000000001E-2</v>
      </c>
      <c r="X2203">
        <v>0.99755839999999996</v>
      </c>
      <c r="Y2203">
        <v>-4.0180090000000002E-2</v>
      </c>
      <c r="Z2203">
        <v>3.5112979999999999E-4</v>
      </c>
      <c r="AA2203">
        <v>0.99919239999999998</v>
      </c>
      <c r="AB2203">
        <v>48</v>
      </c>
      <c r="AC2203">
        <v>-32.647299999999902</v>
      </c>
      <c r="AD2203">
        <v>-1.1099886720563901</v>
      </c>
      <c r="AE2203">
        <v>-2.3255000000000301</v>
      </c>
      <c r="AF2203">
        <v>-1.32581572614238</v>
      </c>
      <c r="AG2203">
        <v>-1.1099886720563901</v>
      </c>
      <c r="AH2203">
        <v>32.6655239526645</v>
      </c>
      <c r="AI2203">
        <v>91.944586779705006</v>
      </c>
      <c r="AJ2203">
        <v>92.3242233552632</v>
      </c>
      <c r="AK2203">
        <v>32.711256736693599</v>
      </c>
      <c r="AL2203">
        <v>87.995267278672102</v>
      </c>
      <c r="AM2203">
        <v>86.532509804448097</v>
      </c>
      <c r="AN2203">
        <v>1.0000000619045399</v>
      </c>
    </row>
    <row r="2204" spans="1:40" x14ac:dyDescent="0.25">
      <c r="A2204" t="str">
        <f>"20190312154839553"</f>
        <v>20190312154839553</v>
      </c>
      <c r="B2204" t="str">
        <f>"1552376919537997"</f>
        <v>1552376919537997</v>
      </c>
      <c r="C2204" t="s">
        <v>40</v>
      </c>
      <c r="D2204">
        <v>4.737438</v>
      </c>
      <c r="E2204">
        <v>0.46332620000000002</v>
      </c>
      <c r="F2204" t="s">
        <v>50</v>
      </c>
      <c r="G2204">
        <v>-372.18650000000002</v>
      </c>
      <c r="H2204" s="1">
        <v>-3.7324540000000003E-7</v>
      </c>
      <c r="I2204">
        <v>281.09379999999999</v>
      </c>
      <c r="J2204">
        <v>-339.28719999999998</v>
      </c>
      <c r="K2204">
        <v>1.109931</v>
      </c>
      <c r="L2204">
        <v>283.41820000000001</v>
      </c>
      <c r="M2204">
        <v>-0.99943009999999999</v>
      </c>
      <c r="N2204">
        <v>0</v>
      </c>
      <c r="O2204">
        <v>-3.0681699999999999E-2</v>
      </c>
      <c r="P2204">
        <v>-0.99932889999999996</v>
      </c>
      <c r="Q2204">
        <v>2.0419670000000001E-2</v>
      </c>
      <c r="R2204">
        <v>3.0415620000000001E-2</v>
      </c>
      <c r="S2204">
        <v>-3.010437</v>
      </c>
      <c r="T2204">
        <v>-0.1006224</v>
      </c>
      <c r="U2204">
        <v>-0.2115784</v>
      </c>
      <c r="V2204">
        <v>6.1016500000000001E-2</v>
      </c>
      <c r="W2204">
        <v>3.4549820000000002E-2</v>
      </c>
      <c r="X2204">
        <v>0.99753860000000005</v>
      </c>
      <c r="Y2204">
        <v>-3.9461549999999998E-2</v>
      </c>
      <c r="Z2204">
        <v>3.6518230000000002E-4</v>
      </c>
      <c r="AA2204">
        <v>0.99922100000000003</v>
      </c>
      <c r="AB2204">
        <v>48</v>
      </c>
      <c r="AC2204">
        <v>-32.899299999999997</v>
      </c>
      <c r="AD2204">
        <v>-1.1099313732453999</v>
      </c>
      <c r="AE2204">
        <v>-2.3244000000000198</v>
      </c>
      <c r="AF2204">
        <v>-1.31231275878374</v>
      </c>
      <c r="AG2204">
        <v>-1.1099313732453999</v>
      </c>
      <c r="AH2204">
        <v>32.917850707068098</v>
      </c>
      <c r="AI2204">
        <v>91.9296484804063</v>
      </c>
      <c r="AJ2204">
        <v>92.282961527619094</v>
      </c>
      <c r="AK2204">
        <v>32.962691146249</v>
      </c>
      <c r="AL2204">
        <v>88.020047051596606</v>
      </c>
      <c r="AM2204">
        <v>86.499746757975402</v>
      </c>
      <c r="AN2204">
        <v>0.99999998091212094</v>
      </c>
    </row>
    <row r="2205" spans="1:40" x14ac:dyDescent="0.25">
      <c r="A2205" t="str">
        <f>"20190312154839569"</f>
        <v>20190312154839569</v>
      </c>
      <c r="B2205" t="str">
        <f>"1552376919557517"</f>
        <v>1552376919557517</v>
      </c>
      <c r="C2205" t="s">
        <v>40</v>
      </c>
      <c r="D2205">
        <v>4.7357259999999997</v>
      </c>
      <c r="E2205">
        <v>0.46353490000000003</v>
      </c>
      <c r="F2205" t="s">
        <v>50</v>
      </c>
      <c r="G2205">
        <v>-372.3109</v>
      </c>
      <c r="H2205" s="1">
        <v>-3.07060599999999E-7</v>
      </c>
      <c r="I2205">
        <v>281.12200000000001</v>
      </c>
      <c r="J2205">
        <v>-339.62279999999998</v>
      </c>
      <c r="K2205">
        <v>1.109866</v>
      </c>
      <c r="L2205">
        <v>283.40780000000001</v>
      </c>
      <c r="M2205">
        <v>-0.99942520000000001</v>
      </c>
      <c r="N2205">
        <v>0</v>
      </c>
      <c r="O2205">
        <v>-3.0812659999999999E-2</v>
      </c>
      <c r="P2205">
        <v>-0.99929509999999999</v>
      </c>
      <c r="Q2205">
        <v>1.9913179999999999E-2</v>
      </c>
      <c r="R2205">
        <v>3.182517E-2</v>
      </c>
      <c r="S2205">
        <v>-3.0104679999999999</v>
      </c>
      <c r="T2205">
        <v>-0.1011823</v>
      </c>
      <c r="U2205">
        <v>-0.20932010000000001</v>
      </c>
      <c r="V2205">
        <v>6.2560920000000006E-2</v>
      </c>
      <c r="W2205">
        <v>3.4107569999999997E-2</v>
      </c>
      <c r="X2205">
        <v>0.99745819999999996</v>
      </c>
      <c r="Y2205">
        <v>-3.8584470000000003E-2</v>
      </c>
      <c r="Z2205">
        <v>3.8633199999999997E-4</v>
      </c>
      <c r="AA2205">
        <v>0.99925520000000001</v>
      </c>
      <c r="AB2205">
        <v>48</v>
      </c>
      <c r="AC2205">
        <v>-32.688099999999999</v>
      </c>
      <c r="AD2205">
        <v>-1.1098663070606001</v>
      </c>
      <c r="AE2205">
        <v>-2.2857999999999898</v>
      </c>
      <c r="AF2205">
        <v>-1.27594268558033</v>
      </c>
      <c r="AG2205">
        <v>-1.1098663070606001</v>
      </c>
      <c r="AH2205">
        <v>32.7054943398701</v>
      </c>
      <c r="AI2205">
        <v>91.942119532683606</v>
      </c>
      <c r="AJ2205">
        <v>92.234152896411899</v>
      </c>
      <c r="AK2205">
        <v>32.749186142127499</v>
      </c>
      <c r="AL2205">
        <v>88.0454011463803</v>
      </c>
      <c r="AM2205">
        <v>86.411090221933506</v>
      </c>
      <c r="AN2205">
        <v>1.00000002789489</v>
      </c>
    </row>
    <row r="2206" spans="1:40" x14ac:dyDescent="0.25">
      <c r="A2206" t="str">
        <f>"20190312154839590"</f>
        <v>20190312154839590</v>
      </c>
      <c r="B2206" t="str">
        <f>"1552376919578013"</f>
        <v>1552376919578013</v>
      </c>
      <c r="C2206" t="s">
        <v>40</v>
      </c>
      <c r="D2206">
        <v>4.7150069999999999</v>
      </c>
      <c r="E2206">
        <v>0.46369959999999999</v>
      </c>
      <c r="F2206" t="s">
        <v>50</v>
      </c>
      <c r="G2206">
        <v>-372.6327</v>
      </c>
      <c r="H2206" s="1">
        <v>-1.358039E-7</v>
      </c>
      <c r="I2206">
        <v>281.17430000000002</v>
      </c>
      <c r="J2206">
        <v>-340.09429999999998</v>
      </c>
      <c r="K2206">
        <v>1.1097969999999999</v>
      </c>
      <c r="L2206">
        <v>283.3931</v>
      </c>
      <c r="M2206">
        <v>-0.99941950000000002</v>
      </c>
      <c r="N2206">
        <v>0</v>
      </c>
      <c r="O2206">
        <v>-3.0951019999999999E-2</v>
      </c>
      <c r="P2206">
        <v>-0.99923269999999997</v>
      </c>
      <c r="Q2206">
        <v>2.021999E-2</v>
      </c>
      <c r="R2206">
        <v>3.3540519999999997E-2</v>
      </c>
      <c r="S2206">
        <v>-3.0106199999999999</v>
      </c>
      <c r="T2206">
        <v>-0.1012237</v>
      </c>
      <c r="U2206">
        <v>-0.20370479999999999</v>
      </c>
      <c r="V2206">
        <v>6.4418059999999999E-2</v>
      </c>
      <c r="W2206">
        <v>3.44912E-2</v>
      </c>
      <c r="X2206">
        <v>0.99732679999999996</v>
      </c>
      <c r="Y2206">
        <v>-3.6588669999999997E-2</v>
      </c>
      <c r="Z2206">
        <v>4.2464919999999999E-4</v>
      </c>
      <c r="AA2206">
        <v>0.9993303</v>
      </c>
      <c r="AB2206">
        <v>48</v>
      </c>
      <c r="AC2206">
        <v>-32.538400000000003</v>
      </c>
      <c r="AD2206">
        <v>-1.1097971358038901</v>
      </c>
      <c r="AE2206">
        <v>-2.2187999999999799</v>
      </c>
      <c r="AF2206">
        <v>-1.20913792024374</v>
      </c>
      <c r="AG2206">
        <v>-1.1097971358038901</v>
      </c>
      <c r="AH2206">
        <v>32.553794033857997</v>
      </c>
      <c r="AI2206">
        <v>91.951179944546098</v>
      </c>
      <c r="AJ2206">
        <v>92.127145838241603</v>
      </c>
      <c r="AK2206">
        <v>32.59514028489</v>
      </c>
      <c r="AL2206">
        <v>88.023407845479298</v>
      </c>
      <c r="AM2206">
        <v>86.304357777479197</v>
      </c>
      <c r="AN2206">
        <v>1.0000000376649201</v>
      </c>
    </row>
    <row r="2207" spans="1:40" x14ac:dyDescent="0.25">
      <c r="A2207" t="str">
        <f>"20190312154839602"</f>
        <v>20190312154839602</v>
      </c>
      <c r="B2207" t="str">
        <f>"1552376919587772"</f>
        <v>1552376919587772</v>
      </c>
      <c r="C2207" t="s">
        <v>40</v>
      </c>
      <c r="D2207">
        <v>4.7005309999999998</v>
      </c>
      <c r="E2207">
        <v>0.46377859999999999</v>
      </c>
      <c r="F2207" t="s">
        <v>50</v>
      </c>
      <c r="G2207">
        <v>-373.71179999999998</v>
      </c>
      <c r="H2207" s="1">
        <v>4.3842550000000002E-7</v>
      </c>
      <c r="I2207">
        <v>281.19159999999999</v>
      </c>
      <c r="J2207">
        <v>-340.34019999999998</v>
      </c>
      <c r="K2207">
        <v>1.1097629999999901</v>
      </c>
      <c r="L2207">
        <v>283.3854</v>
      </c>
      <c r="M2207">
        <v>-0.99941720000000001</v>
      </c>
      <c r="N2207">
        <v>0</v>
      </c>
      <c r="O2207">
        <v>-3.1008640000000001E-2</v>
      </c>
      <c r="P2207">
        <v>-0.99919709999999995</v>
      </c>
      <c r="Q2207">
        <v>2.0529820000000001E-2</v>
      </c>
      <c r="R2207">
        <v>3.4409750000000003E-2</v>
      </c>
      <c r="S2207">
        <v>-3.0108950000000001</v>
      </c>
      <c r="T2207">
        <v>-9.9397059999999995E-2</v>
      </c>
      <c r="U2207">
        <v>-0.19717409999999999</v>
      </c>
      <c r="V2207">
        <v>6.5346489999999993E-2</v>
      </c>
      <c r="W2207">
        <v>3.4836220000000001E-2</v>
      </c>
      <c r="X2207">
        <v>0.99725439999999999</v>
      </c>
      <c r="Y2207">
        <v>-3.4368129999999997E-2</v>
      </c>
      <c r="Z2207">
        <v>4.5549330000000001E-4</v>
      </c>
      <c r="AA2207">
        <v>0.99940910000000005</v>
      </c>
      <c r="AB2207">
        <v>48</v>
      </c>
      <c r="AC2207">
        <v>-33.371600000000001</v>
      </c>
      <c r="AD2207">
        <v>-1.1097625615744999</v>
      </c>
      <c r="AE2207">
        <v>-2.1938000000000102</v>
      </c>
      <c r="AF2207">
        <v>-1.15655796298028</v>
      </c>
      <c r="AG2207">
        <v>-1.1097625615744999</v>
      </c>
      <c r="AH2207">
        <v>33.386819781816897</v>
      </c>
      <c r="AI2207">
        <v>91.902644056236895</v>
      </c>
      <c r="AJ2207">
        <v>91.983998565169699</v>
      </c>
      <c r="AK2207">
        <v>33.425273886810999</v>
      </c>
      <c r="AL2207">
        <v>88.003627758090204</v>
      </c>
      <c r="AM2207">
        <v>86.250973487485098</v>
      </c>
      <c r="AN2207">
        <v>1.0000000321492799</v>
      </c>
    </row>
    <row r="2208" spans="1:40" x14ac:dyDescent="0.25">
      <c r="A2208" t="str">
        <f>"20190312154839613"</f>
        <v>20190312154839613</v>
      </c>
      <c r="B2208" t="str">
        <f>"1552376919608270"</f>
        <v>1552376919608270</v>
      </c>
      <c r="C2208" t="s">
        <v>40</v>
      </c>
      <c r="D2208">
        <v>4.6767339999999997</v>
      </c>
      <c r="E2208">
        <v>0.46384449999999999</v>
      </c>
      <c r="F2208" t="s">
        <v>50</v>
      </c>
      <c r="G2208">
        <v>-374.41469999999998</v>
      </c>
      <c r="H2208" s="1">
        <v>8.1247410000000002E-7</v>
      </c>
      <c r="I2208">
        <v>281.18869999999998</v>
      </c>
      <c r="J2208">
        <v>-340.5829</v>
      </c>
      <c r="K2208">
        <v>1.1097330000000001</v>
      </c>
      <c r="L2208">
        <v>283.37790000000001</v>
      </c>
      <c r="M2208">
        <v>-0.99941519999999995</v>
      </c>
      <c r="N2208">
        <v>0</v>
      </c>
      <c r="O2208">
        <v>-3.1054140000000001E-2</v>
      </c>
      <c r="P2208">
        <v>-0.99916159999999998</v>
      </c>
      <c r="Q2208">
        <v>2.0839099999999999E-2</v>
      </c>
      <c r="R2208">
        <v>3.5243589999999998E-2</v>
      </c>
      <c r="S2208">
        <v>-3.0111080000000001</v>
      </c>
      <c r="T2208">
        <v>-9.8068119999999995E-2</v>
      </c>
      <c r="U2208">
        <v>-0.1941223</v>
      </c>
      <c r="V2208">
        <v>6.6227040000000001E-2</v>
      </c>
      <c r="W2208">
        <v>3.5177430000000003E-2</v>
      </c>
      <c r="X2208">
        <v>0.99718430000000002</v>
      </c>
      <c r="Y2208">
        <v>-3.3309970000000001E-2</v>
      </c>
      <c r="Z2208">
        <v>4.6808199999999998E-4</v>
      </c>
      <c r="AA2208">
        <v>0.99944500000000003</v>
      </c>
      <c r="AB2208">
        <v>48</v>
      </c>
      <c r="AC2208">
        <v>-33.831799999999902</v>
      </c>
      <c r="AD2208">
        <v>-1.1097321875258901</v>
      </c>
      <c r="AE2208">
        <v>-2.18920000000002</v>
      </c>
      <c r="AF2208">
        <v>-1.1362014539405001</v>
      </c>
      <c r="AG2208">
        <v>-1.1097321875258901</v>
      </c>
      <c r="AH2208">
        <v>33.847204846462901</v>
      </c>
      <c r="AI2208">
        <v>91.876800381329005</v>
      </c>
      <c r="AJ2208">
        <v>91.922614064752096</v>
      </c>
      <c r="AK2208">
        <v>33.884446803664801</v>
      </c>
      <c r="AL2208">
        <v>87.9840658114381</v>
      </c>
      <c r="AM2208">
        <v>86.200335687500996</v>
      </c>
      <c r="AN2208">
        <v>1.00000000028752</v>
      </c>
    </row>
    <row r="2209" spans="1:40" x14ac:dyDescent="0.25">
      <c r="A2209" t="str">
        <f>"20190312154839627"</f>
        <v>20190312154839627</v>
      </c>
      <c r="B2209" t="str">
        <f>"1552376919618029"</f>
        <v>1552376919618029</v>
      </c>
      <c r="C2209" t="s">
        <v>40</v>
      </c>
      <c r="D2209">
        <v>4.7013910000000001</v>
      </c>
      <c r="E2209">
        <v>0.46385470000000001</v>
      </c>
      <c r="F2209" t="s">
        <v>50</v>
      </c>
      <c r="G2209">
        <v>-374.96960000000001</v>
      </c>
      <c r="H2209" s="1">
        <v>1.107775E-6</v>
      </c>
      <c r="I2209">
        <v>281.19839999999999</v>
      </c>
      <c r="J2209">
        <v>-340.87729999999999</v>
      </c>
      <c r="K2209">
        <v>1.109696</v>
      </c>
      <c r="L2209">
        <v>283.36869999999999</v>
      </c>
      <c r="M2209">
        <v>-0.99941310000000005</v>
      </c>
      <c r="N2209">
        <v>0</v>
      </c>
      <c r="O2209">
        <v>-3.1102680000000001E-2</v>
      </c>
      <c r="P2209">
        <v>-0.99913129999999994</v>
      </c>
      <c r="Q2209">
        <v>2.117697E-2</v>
      </c>
      <c r="R2209">
        <v>3.5899140000000003E-2</v>
      </c>
      <c r="S2209">
        <v>-3.0112920000000001</v>
      </c>
      <c r="T2209">
        <v>-9.7180959999999997E-2</v>
      </c>
      <c r="U2209">
        <v>-0.1908569</v>
      </c>
      <c r="V2209">
        <v>6.6933010000000001E-2</v>
      </c>
      <c r="W2209">
        <v>3.5551039999999999E-2</v>
      </c>
      <c r="X2209">
        <v>0.99712389999999995</v>
      </c>
      <c r="Y2209">
        <v>-3.2178739999999997E-2</v>
      </c>
      <c r="Z2209">
        <v>4.8363650000000002E-4</v>
      </c>
      <c r="AA2209">
        <v>0.99948199999999998</v>
      </c>
      <c r="AB2209">
        <v>48</v>
      </c>
      <c r="AC2209">
        <v>-34.092300000000002</v>
      </c>
      <c r="AD2209">
        <v>-1.1096948922250001</v>
      </c>
      <c r="AE2209">
        <v>-2.1702999999999899</v>
      </c>
      <c r="AF2209">
        <v>-1.10760984842982</v>
      </c>
      <c r="AG2209">
        <v>-1.1096948922250001</v>
      </c>
      <c r="AH2209">
        <v>34.1073213407414</v>
      </c>
      <c r="AI2209">
        <v>91.862501877406103</v>
      </c>
      <c r="AJ2209">
        <v>91.859984102182395</v>
      </c>
      <c r="AK2209">
        <v>34.1433389019112</v>
      </c>
      <c r="AL2209">
        <v>87.962646112094205</v>
      </c>
      <c r="AM2209">
        <v>86.159720489129299</v>
      </c>
      <c r="AN2209">
        <v>0.99999998811197499</v>
      </c>
    </row>
    <row r="2210" spans="1:40" x14ac:dyDescent="0.25">
      <c r="A2210" t="str">
        <f>"20190312154839647"</f>
        <v>20190312154839647</v>
      </c>
      <c r="B2210" t="str">
        <f>"1552376919637549"</f>
        <v>1552376919637549</v>
      </c>
      <c r="C2210" t="s">
        <v>40</v>
      </c>
      <c r="D2210">
        <v>4.6991399999999999</v>
      </c>
      <c r="E2210">
        <v>0.46392220000000001</v>
      </c>
      <c r="F2210" t="s">
        <v>50</v>
      </c>
      <c r="G2210">
        <v>-375.6841</v>
      </c>
      <c r="H2210" s="1">
        <v>1.4880209999999999E-6</v>
      </c>
      <c r="I2210">
        <v>281.18529999999998</v>
      </c>
      <c r="J2210">
        <v>-341.28530000000001</v>
      </c>
      <c r="K2210">
        <v>1.109653</v>
      </c>
      <c r="L2210">
        <v>283.35590000000002</v>
      </c>
      <c r="M2210">
        <v>-0.99941089999999999</v>
      </c>
      <c r="N2210">
        <v>0</v>
      </c>
      <c r="O2210">
        <v>-3.1153989999999999E-2</v>
      </c>
      <c r="P2210">
        <v>-0.99906700000000004</v>
      </c>
      <c r="Q2210">
        <v>2.1272739999999998E-2</v>
      </c>
      <c r="R2210">
        <v>3.7590140000000001E-2</v>
      </c>
      <c r="S2210">
        <v>-3.011444</v>
      </c>
      <c r="T2210">
        <v>-9.6009369999999997E-2</v>
      </c>
      <c r="U2210">
        <v>-0.18890380000000001</v>
      </c>
      <c r="V2210">
        <v>6.8676609999999999E-2</v>
      </c>
      <c r="W2210">
        <v>3.5690180000000002E-2</v>
      </c>
      <c r="X2210">
        <v>0.99700040000000001</v>
      </c>
      <c r="Y2210">
        <v>-3.1478949999999999E-2</v>
      </c>
      <c r="Z2210">
        <v>4.905717E-4</v>
      </c>
      <c r="AA2210">
        <v>0.99950430000000001</v>
      </c>
      <c r="AB2210">
        <v>48</v>
      </c>
      <c r="AC2210">
        <v>-34.398799999999902</v>
      </c>
      <c r="AD2210">
        <v>-1.109651511979</v>
      </c>
      <c r="AE2210">
        <v>-2.1706000000000301</v>
      </c>
      <c r="AF2210">
        <v>-1.09663856501381</v>
      </c>
      <c r="AG2210">
        <v>-1.109651511979</v>
      </c>
      <c r="AH2210">
        <v>34.414059629054798</v>
      </c>
      <c r="AI2210">
        <v>91.845876568009302</v>
      </c>
      <c r="AJ2210">
        <v>91.825169926836907</v>
      </c>
      <c r="AK2210">
        <v>34.449404098945699</v>
      </c>
      <c r="AL2210">
        <v>87.954669003877299</v>
      </c>
      <c r="AM2210">
        <v>86.059506068719699</v>
      </c>
      <c r="AN2210">
        <v>1.0000000316548401</v>
      </c>
    </row>
    <row r="2211" spans="1:40" x14ac:dyDescent="0.25">
      <c r="A2211" t="str">
        <f>"20190312154839659"</f>
        <v>20190312154839659</v>
      </c>
      <c r="B2211" t="str">
        <f>"1552376919648285"</f>
        <v>1552376919648285</v>
      </c>
      <c r="C2211" t="s">
        <v>40</v>
      </c>
      <c r="D2211">
        <v>4.6869059999999996</v>
      </c>
      <c r="E2211">
        <v>0.46397480000000002</v>
      </c>
      <c r="F2211" t="s">
        <v>50</v>
      </c>
      <c r="G2211">
        <v>-376.44720000000001</v>
      </c>
      <c r="H2211" s="1">
        <v>1.8940790000000001E-6</v>
      </c>
      <c r="I2211">
        <v>281.21319999999997</v>
      </c>
      <c r="J2211">
        <v>-341.56790000000001</v>
      </c>
      <c r="K2211">
        <v>1.1096299999999999</v>
      </c>
      <c r="L2211">
        <v>283.34699999999998</v>
      </c>
      <c r="M2211">
        <v>-0.9994094</v>
      </c>
      <c r="N2211">
        <v>0</v>
      </c>
      <c r="O2211">
        <v>-3.1181440000000001E-2</v>
      </c>
      <c r="P2211">
        <v>-0.99904939999999998</v>
      </c>
      <c r="Q2211">
        <v>2.1172449999999999E-2</v>
      </c>
      <c r="R2211">
        <v>3.810848E-2</v>
      </c>
      <c r="S2211">
        <v>-3.0116879999999999</v>
      </c>
      <c r="T2211">
        <v>-9.5044020000000007E-2</v>
      </c>
      <c r="U2211">
        <v>-0.18353269999999999</v>
      </c>
      <c r="V2211">
        <v>6.9224229999999998E-2</v>
      </c>
      <c r="W2211">
        <v>3.561632E-2</v>
      </c>
      <c r="X2211">
        <v>0.99696510000000005</v>
      </c>
      <c r="Y2211">
        <v>-2.967152E-2</v>
      </c>
      <c r="Z2211">
        <v>5.1498709999999999E-4</v>
      </c>
      <c r="AA2211">
        <v>0.99955959999999999</v>
      </c>
      <c r="AB2211">
        <v>48</v>
      </c>
      <c r="AC2211">
        <v>-34.879300000000001</v>
      </c>
      <c r="AD2211">
        <v>-1.10962810592099</v>
      </c>
      <c r="AE2211">
        <v>-2.1337999999999999</v>
      </c>
      <c r="AF2211">
        <v>-1.04400927482651</v>
      </c>
      <c r="AG2211">
        <v>-1.10962810592099</v>
      </c>
      <c r="AH2211">
        <v>34.8936940727218</v>
      </c>
      <c r="AI2211">
        <v>91.820592006451406</v>
      </c>
      <c r="AJ2211">
        <v>91.713761959472095</v>
      </c>
      <c r="AK2211">
        <v>34.9269396875832</v>
      </c>
      <c r="AL2211">
        <v>87.958903422978807</v>
      </c>
      <c r="AM2211">
        <v>86.028044975397705</v>
      </c>
      <c r="AN2211">
        <v>0.999999963443722</v>
      </c>
    </row>
    <row r="2212" spans="1:40" x14ac:dyDescent="0.25">
      <c r="A2212" t="str">
        <f>"20190312154839673"</f>
        <v>20190312154839673</v>
      </c>
      <c r="B2212" t="str">
        <f>"1552376919667805"</f>
        <v>1552376919667805</v>
      </c>
      <c r="C2212" t="s">
        <v>40</v>
      </c>
      <c r="D2212">
        <v>4.6909660000000004</v>
      </c>
      <c r="E2212">
        <v>0.46398980000000001</v>
      </c>
      <c r="F2212" t="s">
        <v>50</v>
      </c>
      <c r="G2212">
        <v>-376.81</v>
      </c>
      <c r="H2212" s="1">
        <v>2.0871459999999999E-6</v>
      </c>
      <c r="I2212">
        <v>281.22370000000001</v>
      </c>
      <c r="J2212">
        <v>-341.84989999999999</v>
      </c>
      <c r="K2212">
        <v>1.1096079999999999</v>
      </c>
      <c r="L2212">
        <v>283.33819999999997</v>
      </c>
      <c r="M2212">
        <v>-0.99940839999999997</v>
      </c>
      <c r="N2212">
        <v>0</v>
      </c>
      <c r="O2212">
        <v>-3.120535E-2</v>
      </c>
      <c r="P2212">
        <v>-0.99902329999999995</v>
      </c>
      <c r="Q2212">
        <v>2.0791790000000001E-2</v>
      </c>
      <c r="R2212">
        <v>3.899565E-2</v>
      </c>
      <c r="S2212">
        <v>-3.0117799999999999</v>
      </c>
      <c r="T2212">
        <v>-9.4828609999999994E-2</v>
      </c>
      <c r="U2212">
        <v>-0.18145749999999999</v>
      </c>
      <c r="V2212">
        <v>7.0136680000000007E-2</v>
      </c>
      <c r="W2212">
        <v>3.5259869999999999E-2</v>
      </c>
      <c r="X2212">
        <v>0.99691399999999997</v>
      </c>
      <c r="Y2212">
        <v>-2.89599E-2</v>
      </c>
      <c r="Z2212">
        <v>5.2576000000000001E-4</v>
      </c>
      <c r="AA2212">
        <v>0.99958040000000004</v>
      </c>
      <c r="AB2212">
        <v>48</v>
      </c>
      <c r="AC2212">
        <v>-34.960099999999997</v>
      </c>
      <c r="AD2212">
        <v>-1.1096059128539999</v>
      </c>
      <c r="AE2212">
        <v>-2.1144999999999601</v>
      </c>
      <c r="AF2212">
        <v>-1.02138861854482</v>
      </c>
      <c r="AG2212">
        <v>-1.1096059128539999</v>
      </c>
      <c r="AH2212">
        <v>34.973957731347603</v>
      </c>
      <c r="AI2212">
        <v>91.816418684904505</v>
      </c>
      <c r="AJ2212">
        <v>91.672805481907602</v>
      </c>
      <c r="AK2212">
        <v>35.006459109513202</v>
      </c>
      <c r="AL2212">
        <v>87.979339349702499</v>
      </c>
      <c r="AM2212">
        <v>85.975655622669507</v>
      </c>
      <c r="AN2212">
        <v>0.99999996785491896</v>
      </c>
    </row>
    <row r="2213" spans="1:40" x14ac:dyDescent="0.25">
      <c r="A2213" t="str">
        <f>"20190312154839687"</f>
        <v>20190312154839687</v>
      </c>
      <c r="B2213" t="str">
        <f>"1552376919677565"</f>
        <v>1552376919677565</v>
      </c>
      <c r="C2213" t="s">
        <v>40</v>
      </c>
      <c r="D2213">
        <v>4.8810589999999996</v>
      </c>
      <c r="E2213">
        <v>0.46398980000000001</v>
      </c>
      <c r="F2213" t="s">
        <v>50</v>
      </c>
      <c r="G2213">
        <v>-376.54230000000001</v>
      </c>
      <c r="H2213" s="1">
        <v>1.9447059999999999E-6</v>
      </c>
      <c r="I2213">
        <v>281.2801</v>
      </c>
      <c r="J2213">
        <v>-342.15359999999998</v>
      </c>
      <c r="K2213">
        <v>1.109586</v>
      </c>
      <c r="L2213">
        <v>283.32870000000003</v>
      </c>
      <c r="M2213">
        <v>-0.99940709999999999</v>
      </c>
      <c r="N2213">
        <v>0</v>
      </c>
      <c r="O2213">
        <v>-3.122784E-2</v>
      </c>
      <c r="P2213">
        <v>-0.99900500000000003</v>
      </c>
      <c r="Q2213">
        <v>2.0615830000000002E-2</v>
      </c>
      <c r="R2213">
        <v>3.9549380000000002E-2</v>
      </c>
      <c r="S2213">
        <v>-3.0119319999999998</v>
      </c>
      <c r="T2213">
        <v>-9.6333859999999993E-2</v>
      </c>
      <c r="U2213">
        <v>-0.17868039999999999</v>
      </c>
      <c r="V2213">
        <v>7.0714250000000006E-2</v>
      </c>
      <c r="W2213">
        <v>3.510833E-2</v>
      </c>
      <c r="X2213">
        <v>0.99687859999999995</v>
      </c>
      <c r="Y2213">
        <v>-2.80165E-2</v>
      </c>
      <c r="Z2213">
        <v>5.4988110000000004E-4</v>
      </c>
      <c r="AA2213">
        <v>0.99960729999999998</v>
      </c>
      <c r="AB2213">
        <v>48</v>
      </c>
      <c r="AC2213">
        <v>-34.3887</v>
      </c>
      <c r="AD2213">
        <v>-1.1095840552939999</v>
      </c>
      <c r="AE2213">
        <v>-2.04860000000002</v>
      </c>
      <c r="AF2213">
        <v>-0.97259395039650998</v>
      </c>
      <c r="AG2213">
        <v>-1.1095840552939999</v>
      </c>
      <c r="AH2213">
        <v>34.400217783001501</v>
      </c>
      <c r="AI2213">
        <v>91.8467058050785</v>
      </c>
      <c r="AJ2213">
        <v>91.619486475657297</v>
      </c>
      <c r="AK2213">
        <v>34.431847166337803</v>
      </c>
      <c r="AL2213">
        <v>87.988027439704098</v>
      </c>
      <c r="AM2213">
        <v>85.942482097447296</v>
      </c>
      <c r="AN2213">
        <v>1.0000000215631999</v>
      </c>
    </row>
    <row r="2214" spans="1:40" x14ac:dyDescent="0.25">
      <c r="A2214" t="str">
        <f>"20190312154839701"</f>
        <v>20190312154839701</v>
      </c>
      <c r="B2214" t="str">
        <f>"1552376919698062"</f>
        <v>1552376919698062</v>
      </c>
      <c r="C2214" t="s">
        <v>40</v>
      </c>
      <c r="D2214">
        <v>4.7365380000000004</v>
      </c>
      <c r="E2214">
        <v>0.48671019999999998</v>
      </c>
      <c r="F2214" t="s">
        <v>50</v>
      </c>
      <c r="G2214">
        <v>-376.66250000000002</v>
      </c>
      <c r="H2214" s="1">
        <v>2.0086889999999998E-6</v>
      </c>
      <c r="I2214">
        <v>281.30110000000002</v>
      </c>
      <c r="J2214">
        <v>-342.48169999999999</v>
      </c>
      <c r="K2214">
        <v>1.1095630000000001</v>
      </c>
      <c r="L2214">
        <v>283.3184</v>
      </c>
      <c r="M2214">
        <v>-0.99940609999999996</v>
      </c>
      <c r="N2214">
        <v>0</v>
      </c>
      <c r="O2214">
        <v>-3.1248680000000001E-2</v>
      </c>
      <c r="P2214">
        <v>-0.99897689999999995</v>
      </c>
      <c r="Q2214">
        <v>1.9815300000000001E-2</v>
      </c>
      <c r="R2214">
        <v>4.0652189999999998E-2</v>
      </c>
      <c r="S2214">
        <v>-3.0119630000000002</v>
      </c>
      <c r="T2214">
        <v>-9.6845150000000005E-2</v>
      </c>
      <c r="U2214">
        <v>-0.1769714</v>
      </c>
      <c r="V2214">
        <v>7.1838920000000001E-2</v>
      </c>
      <c r="W2214">
        <v>3.4330600000000003E-2</v>
      </c>
      <c r="X2214">
        <v>0.99682530000000003</v>
      </c>
      <c r="Y2214">
        <v>-2.7430159999999999E-2</v>
      </c>
      <c r="Z2214">
        <v>5.628893E-4</v>
      </c>
      <c r="AA2214">
        <v>0.9996235</v>
      </c>
      <c r="AB2214">
        <v>48</v>
      </c>
      <c r="AC2214">
        <v>-34.180799999999998</v>
      </c>
      <c r="AD2214">
        <v>-1.1095609913109901</v>
      </c>
      <c r="AE2214">
        <v>-2.0172999999999699</v>
      </c>
      <c r="AF2214">
        <v>-0.947102512356228</v>
      </c>
      <c r="AG2214">
        <v>-1.1095609913109901</v>
      </c>
      <c r="AH2214">
        <v>34.191244588939099</v>
      </c>
      <c r="AI2214">
        <v>91.857975929049601</v>
      </c>
      <c r="AJ2214">
        <v>91.586695793723607</v>
      </c>
      <c r="AK2214">
        <v>34.222351399385303</v>
      </c>
      <c r="AL2214">
        <v>88.032615023621403</v>
      </c>
      <c r="AM2214">
        <v>85.877950633030494</v>
      </c>
      <c r="AN2214">
        <v>1.0000000496215999</v>
      </c>
    </row>
    <row r="2215" spans="1:40" x14ac:dyDescent="0.25">
      <c r="A2215" t="str">
        <f>"20190312154839714"</f>
        <v>20190312154839714</v>
      </c>
      <c r="B2215" t="str">
        <f>"1552376919707822"</f>
        <v>1552376919707822</v>
      </c>
      <c r="C2215" t="s">
        <v>40</v>
      </c>
      <c r="D2215">
        <v>4.739509</v>
      </c>
      <c r="E2215">
        <v>0.52630290000000002</v>
      </c>
      <c r="F2215" t="s">
        <v>50</v>
      </c>
      <c r="G2215">
        <v>-358.33949999999999</v>
      </c>
      <c r="H2215" s="1">
        <v>2.901066E-6</v>
      </c>
      <c r="I2215">
        <v>283.32810000000001</v>
      </c>
      <c r="J2215">
        <v>-342.73340000000002</v>
      </c>
      <c r="K2215">
        <v>1.1095429999999999</v>
      </c>
      <c r="L2215">
        <v>283.31049999999999</v>
      </c>
      <c r="M2215">
        <v>-0.99940530000000005</v>
      </c>
      <c r="N2215">
        <v>0</v>
      </c>
      <c r="O2215">
        <v>-3.1263300000000001E-2</v>
      </c>
      <c r="P2215">
        <v>-0.99897469999999999</v>
      </c>
      <c r="Q2215">
        <v>1.932654E-2</v>
      </c>
      <c r="R2215">
        <v>4.0942140000000002E-2</v>
      </c>
      <c r="S2215">
        <v>-3.0072019999999999</v>
      </c>
      <c r="T2215">
        <v>-0.21041180000000001</v>
      </c>
      <c r="U2215">
        <v>1.8310550000000001E-3</v>
      </c>
      <c r="V2215">
        <v>7.2144910000000007E-2</v>
      </c>
      <c r="W2215">
        <v>3.3857859999999997E-2</v>
      </c>
      <c r="X2215">
        <v>0.99681929999999996</v>
      </c>
      <c r="Y2215">
        <v>3.1721220000000001E-2</v>
      </c>
      <c r="Z2215">
        <v>3.2931700000000002E-3</v>
      </c>
      <c r="AA2215">
        <v>0.99949129999999997</v>
      </c>
      <c r="AB2215">
        <v>48</v>
      </c>
      <c r="AC2215">
        <v>-15.6060999999999</v>
      </c>
      <c r="AD2215">
        <v>-1.1095400989340001</v>
      </c>
      <c r="AE2215">
        <v>1.7600000000015801E-2</v>
      </c>
      <c r="AF2215">
        <v>0.50299870659712698</v>
      </c>
      <c r="AG2215">
        <v>-1.1095400989340001</v>
      </c>
      <c r="AH2215">
        <v>15.5194730595574</v>
      </c>
      <c r="AI2215">
        <v>94.087174194369695</v>
      </c>
      <c r="AJ2215">
        <v>88.143647151413504</v>
      </c>
      <c r="AK2215">
        <v>15.567213333680099</v>
      </c>
      <c r="AL2215">
        <v>88.059716650134803</v>
      </c>
      <c r="AM2215">
        <v>85.860429291856505</v>
      </c>
      <c r="AN2215">
        <v>0.99999997978758803</v>
      </c>
    </row>
    <row r="2216" spans="1:40" x14ac:dyDescent="0.25">
      <c r="A2216" t="str">
        <f>"20190312154839737"</f>
        <v>20190312154839737</v>
      </c>
      <c r="B2216" t="str">
        <f>"1552376919728318"</f>
        <v>1552376919728318</v>
      </c>
      <c r="C2216" t="s">
        <v>40</v>
      </c>
      <c r="D2216">
        <v>4.7762099999999998</v>
      </c>
      <c r="E2216">
        <v>0.53555019999999998</v>
      </c>
      <c r="F2216" t="s">
        <v>41</v>
      </c>
      <c r="G2216">
        <v>-343.63529999999997</v>
      </c>
      <c r="H2216">
        <v>0.91822420000000005</v>
      </c>
      <c r="I2216">
        <v>283.3999</v>
      </c>
      <c r="J2216">
        <v>-343.21300000000002</v>
      </c>
      <c r="K2216">
        <v>1.1095200000000001</v>
      </c>
      <c r="L2216">
        <v>283.2955</v>
      </c>
      <c r="M2216">
        <v>-0.99940410000000002</v>
      </c>
      <c r="N2216">
        <v>0</v>
      </c>
      <c r="O2216">
        <v>-3.1289009999999999E-2</v>
      </c>
      <c r="P2216">
        <v>-0.99895540000000005</v>
      </c>
      <c r="Q2216">
        <v>1.8613520000000001E-2</v>
      </c>
      <c r="R2216">
        <v>4.17369E-2</v>
      </c>
      <c r="S2216">
        <v>-3.0032649999999999</v>
      </c>
      <c r="T2216">
        <v>-0.63727559999999905</v>
      </c>
      <c r="U2216">
        <v>0.29650880000000002</v>
      </c>
      <c r="V2216">
        <v>7.2967009999999999E-2</v>
      </c>
      <c r="W2216">
        <v>3.3172069999999998E-2</v>
      </c>
      <c r="X2216">
        <v>0.99678250000000002</v>
      </c>
      <c r="Y2216">
        <v>0.1258754</v>
      </c>
      <c r="Z2216">
        <v>1.9730210000000001E-2</v>
      </c>
      <c r="AA2216">
        <v>0.9918498</v>
      </c>
      <c r="AB2216">
        <v>48</v>
      </c>
      <c r="AC2216">
        <v>-0.42229999999994999</v>
      </c>
      <c r="AD2216">
        <v>-0.19129579999999999</v>
      </c>
      <c r="AE2216">
        <v>0.10439999999999799</v>
      </c>
      <c r="AF2216">
        <v>9.8513370287343402E-2</v>
      </c>
      <c r="AG2216">
        <v>-0.19129579999999999</v>
      </c>
      <c r="AH2216">
        <v>0.35095878703512001</v>
      </c>
      <c r="AI2216">
        <v>117.68977104232501</v>
      </c>
      <c r="AJ2216">
        <v>74.320684253246</v>
      </c>
      <c r="AK2216">
        <v>0.41166860145045597</v>
      </c>
      <c r="AL2216">
        <v>88.099031576162702</v>
      </c>
      <c r="AM2216">
        <v>85.813271150988896</v>
      </c>
      <c r="AN2216">
        <v>0.99999996154133597</v>
      </c>
    </row>
    <row r="2217" spans="1:40" x14ac:dyDescent="0.25">
      <c r="A2217" t="str">
        <f>"20190312154839758"</f>
        <v>20190312154839758</v>
      </c>
      <c r="B2217" t="str">
        <f>"1552376919747837"</f>
        <v>1552376919747837</v>
      </c>
      <c r="C2217" t="s">
        <v>40</v>
      </c>
      <c r="D2217">
        <v>4.7056329999999997</v>
      </c>
      <c r="E2217">
        <v>0.53704209999999997</v>
      </c>
      <c r="F2217" t="s">
        <v>41</v>
      </c>
      <c r="G2217">
        <v>-344.05279999999999</v>
      </c>
      <c r="H2217">
        <v>0.89784179999999902</v>
      </c>
      <c r="I2217">
        <v>283.39800000000002</v>
      </c>
      <c r="J2217">
        <v>-343.67320000000001</v>
      </c>
      <c r="K2217">
        <v>1.1094999999999999</v>
      </c>
      <c r="L2217">
        <v>283.28100000000001</v>
      </c>
      <c r="M2217">
        <v>-0.99940300000000004</v>
      </c>
      <c r="N2217">
        <v>0</v>
      </c>
      <c r="O2217">
        <v>-3.1311690000000003E-2</v>
      </c>
      <c r="P2217">
        <v>-0.99894490000000002</v>
      </c>
      <c r="Q2217">
        <v>1.8726130000000001E-2</v>
      </c>
      <c r="R2217">
        <v>4.1933999999999999E-2</v>
      </c>
      <c r="S2217">
        <v>-3.0018919999999998</v>
      </c>
      <c r="T2217">
        <v>-0.75662779999999996</v>
      </c>
      <c r="U2217">
        <v>0.3665466</v>
      </c>
      <c r="V2217">
        <v>7.3187970000000005E-2</v>
      </c>
      <c r="W2217">
        <v>3.3307410000000003E-2</v>
      </c>
      <c r="X2217">
        <v>0.99676180000000003</v>
      </c>
      <c r="Y2217">
        <v>0.14673649999999999</v>
      </c>
      <c r="Z2217">
        <v>2.5890059999999999E-2</v>
      </c>
      <c r="AA2217">
        <v>0.98883679999999996</v>
      </c>
      <c r="AB2217">
        <v>48</v>
      </c>
      <c r="AC2217">
        <v>-0.37959999999998201</v>
      </c>
      <c r="AD2217">
        <v>-0.21165819999999999</v>
      </c>
      <c r="AE2217">
        <v>0.116999999999961</v>
      </c>
      <c r="AF2217">
        <v>0.100340578423327</v>
      </c>
      <c r="AG2217">
        <v>-0.21165819999999999</v>
      </c>
      <c r="AH2217">
        <v>0.29265719896680897</v>
      </c>
      <c r="AI2217">
        <v>124.377394512119</v>
      </c>
      <c r="AJ2217">
        <v>71.075186119421303</v>
      </c>
      <c r="AK2217">
        <v>0.374854186868263</v>
      </c>
      <c r="AL2217">
        <v>88.091272901878995</v>
      </c>
      <c r="AM2217">
        <v>85.800551213826907</v>
      </c>
      <c r="AN2217">
        <v>0.99999997422643405</v>
      </c>
    </row>
    <row r="2218" spans="1:40" x14ac:dyDescent="0.25">
      <c r="A2218" t="str">
        <f>"20190312154839771"</f>
        <v>20190312154839771</v>
      </c>
      <c r="B2218" t="str">
        <f>"1552376919768334"</f>
        <v>1552376919768334</v>
      </c>
      <c r="C2218" t="s">
        <v>40</v>
      </c>
      <c r="D2218">
        <v>4.759404</v>
      </c>
      <c r="E2218">
        <v>0.53778579999999998</v>
      </c>
      <c r="F2218" t="s">
        <v>41</v>
      </c>
      <c r="G2218">
        <v>-344.47829999999999</v>
      </c>
      <c r="H2218">
        <v>0.89904169999999906</v>
      </c>
      <c r="I2218">
        <v>283.38240000000002</v>
      </c>
      <c r="J2218">
        <v>-343.94819999999999</v>
      </c>
      <c r="K2218">
        <v>1.1094930000000001</v>
      </c>
      <c r="L2218">
        <v>283.27229999999997</v>
      </c>
      <c r="M2218">
        <v>-0.99940249999999997</v>
      </c>
      <c r="N2218">
        <v>0</v>
      </c>
      <c r="O2218">
        <v>-3.1324930000000001E-2</v>
      </c>
      <c r="P2218">
        <v>-0.99894499999999997</v>
      </c>
      <c r="Q2218">
        <v>1.8683970000000001E-2</v>
      </c>
      <c r="R2218">
        <v>4.1955609999999997E-2</v>
      </c>
      <c r="S2218">
        <v>-3.002014</v>
      </c>
      <c r="T2218">
        <v>-0.78482410000000002</v>
      </c>
      <c r="U2218">
        <v>0.3772278</v>
      </c>
      <c r="V2218">
        <v>7.3223720000000006E-2</v>
      </c>
      <c r="W2218">
        <v>3.327691E-2</v>
      </c>
      <c r="X2218">
        <v>0.99676019999999999</v>
      </c>
      <c r="Y2218">
        <v>0.14970349999999999</v>
      </c>
      <c r="Z2218">
        <v>2.7201240000000002E-2</v>
      </c>
      <c r="AA2218">
        <v>0.98835669999999998</v>
      </c>
      <c r="AB2218">
        <v>48</v>
      </c>
      <c r="AC2218">
        <v>-0.53010000000000401</v>
      </c>
      <c r="AD2218">
        <v>-0.21045130000000001</v>
      </c>
      <c r="AE2218">
        <v>0.110100000000045</v>
      </c>
      <c r="AF2218">
        <v>0.110028482071808</v>
      </c>
      <c r="AG2218">
        <v>-0.21045130000000001</v>
      </c>
      <c r="AH2218">
        <v>0.45729607517676402</v>
      </c>
      <c r="AI2218">
        <v>114.10559043515801</v>
      </c>
      <c r="AJ2218">
        <v>76.471405175643</v>
      </c>
      <c r="AK2218">
        <v>0.51528217212590299</v>
      </c>
      <c r="AL2218">
        <v>88.093021405579194</v>
      </c>
      <c r="AM2218">
        <v>85.798500540220303</v>
      </c>
      <c r="AN2218">
        <v>0.99999998110691302</v>
      </c>
    </row>
    <row r="2219" spans="1:40" x14ac:dyDescent="0.25">
      <c r="A2219" t="str">
        <f>"20190312154839783"</f>
        <v>20190312154839783</v>
      </c>
      <c r="B2219" t="str">
        <f>"1552376919778093"</f>
        <v>1552376919778093</v>
      </c>
      <c r="C2219" t="s">
        <v>40</v>
      </c>
      <c r="D2219">
        <v>4.7281969999999998</v>
      </c>
      <c r="E2219">
        <v>0.53789600000000004</v>
      </c>
      <c r="F2219" t="s">
        <v>41</v>
      </c>
      <c r="G2219">
        <v>-344.88799999999998</v>
      </c>
      <c r="H2219">
        <v>0.85983159999999903</v>
      </c>
      <c r="I2219">
        <v>283.39229999999998</v>
      </c>
      <c r="J2219">
        <v>-344.21690000000001</v>
      </c>
      <c r="K2219">
        <v>1.1094869999999999</v>
      </c>
      <c r="L2219">
        <v>283.26389999999998</v>
      </c>
      <c r="M2219">
        <v>-0.9994016</v>
      </c>
      <c r="N2219">
        <v>0</v>
      </c>
      <c r="O2219">
        <v>-3.13376E-2</v>
      </c>
      <c r="P2219">
        <v>-0.99894559999999999</v>
      </c>
      <c r="Q2219">
        <v>1.8969090000000001E-2</v>
      </c>
      <c r="R2219">
        <v>4.1806410000000002E-2</v>
      </c>
      <c r="S2219">
        <v>-3.002014</v>
      </c>
      <c r="T2219">
        <v>-0.79756519999999897</v>
      </c>
      <c r="U2219">
        <v>0.38253779999999998</v>
      </c>
      <c r="V2219">
        <v>7.3087899999999997E-2</v>
      </c>
      <c r="W2219">
        <v>3.3572869999999998E-2</v>
      </c>
      <c r="X2219">
        <v>0.99676019999999999</v>
      </c>
      <c r="Y2219">
        <v>0.15119360000000001</v>
      </c>
      <c r="Z2219">
        <v>2.7822570000000001E-2</v>
      </c>
      <c r="AA2219">
        <v>0.98811260000000001</v>
      </c>
      <c r="AB2219">
        <v>48</v>
      </c>
      <c r="AC2219">
        <v>-0.67110000000002401</v>
      </c>
      <c r="AD2219">
        <v>-0.2496554</v>
      </c>
      <c r="AE2219">
        <v>0.12839999999999899</v>
      </c>
      <c r="AF2219">
        <v>0.13177709886778199</v>
      </c>
      <c r="AG2219">
        <v>-0.2496554</v>
      </c>
      <c r="AH2219">
        <v>0.58821694809868097</v>
      </c>
      <c r="AI2219">
        <v>112.497456746788</v>
      </c>
      <c r="AJ2219">
        <v>77.372632491921493</v>
      </c>
      <c r="AK2219">
        <v>0.65245091812771305</v>
      </c>
      <c r="AL2219">
        <v>88.076054581925106</v>
      </c>
      <c r="AM2219">
        <v>85.806265917639195</v>
      </c>
      <c r="AN2219">
        <v>0.99999993751524097</v>
      </c>
    </row>
    <row r="2220" spans="1:40" x14ac:dyDescent="0.25">
      <c r="A2220" t="str">
        <f>"20190312154839795"</f>
        <v>20190312154839795</v>
      </c>
      <c r="B2220" t="str">
        <f>"1552376919787854"</f>
        <v>1552376919787854</v>
      </c>
      <c r="C2220" t="s">
        <v>40</v>
      </c>
      <c r="D2220">
        <v>4.7836749999999997</v>
      </c>
      <c r="E2220">
        <v>0.53802969999999894</v>
      </c>
      <c r="F2220" t="s">
        <v>41</v>
      </c>
      <c r="G2220">
        <v>-344.91289999999998</v>
      </c>
      <c r="H2220">
        <v>0.92394339999999997</v>
      </c>
      <c r="I2220">
        <v>283.3528</v>
      </c>
      <c r="J2220">
        <v>-344.46550000000002</v>
      </c>
      <c r="K2220">
        <v>1.10948</v>
      </c>
      <c r="L2220">
        <v>283.2561</v>
      </c>
      <c r="M2220">
        <v>-0.99940130000000005</v>
      </c>
      <c r="N2220">
        <v>0</v>
      </c>
      <c r="O2220">
        <v>-3.1348979999999999E-2</v>
      </c>
      <c r="P2220">
        <v>-0.9989555</v>
      </c>
      <c r="Q2220">
        <v>1.9062240000000001E-2</v>
      </c>
      <c r="R2220">
        <v>4.1532189999999997E-2</v>
      </c>
      <c r="S2220">
        <v>-3.002319</v>
      </c>
      <c r="T2220">
        <v>-0.80049359999999903</v>
      </c>
      <c r="U2220">
        <v>0.38272089999999998</v>
      </c>
      <c r="V2220">
        <v>7.2826189999999999E-2</v>
      </c>
      <c r="W2220">
        <v>3.3675330000000003E-2</v>
      </c>
      <c r="X2220">
        <v>0.996776</v>
      </c>
      <c r="Y2220">
        <v>0.15120690000000001</v>
      </c>
      <c r="Z2220">
        <v>2.792321E-2</v>
      </c>
      <c r="AA2220">
        <v>0.98810770000000003</v>
      </c>
      <c r="AB2220">
        <v>48</v>
      </c>
      <c r="AC2220">
        <v>-0.447399999999959</v>
      </c>
      <c r="AD2220">
        <v>-0.185536599999999</v>
      </c>
      <c r="AE2220">
        <v>9.6699999999998398E-2</v>
      </c>
      <c r="AF2220">
        <v>9.5060948250570307E-2</v>
      </c>
      <c r="AG2220">
        <v>-0.185536599999999</v>
      </c>
      <c r="AH2220">
        <v>0.38147224837323102</v>
      </c>
      <c r="AI2220">
        <v>115.26437367951</v>
      </c>
      <c r="AJ2220">
        <v>76.007178782685699</v>
      </c>
      <c r="AK2220">
        <v>0.434720013457841</v>
      </c>
      <c r="AL2220">
        <v>88.070180928588002</v>
      </c>
      <c r="AM2220">
        <v>85.821295372796698</v>
      </c>
      <c r="AN2220">
        <v>1.0000000379882601</v>
      </c>
    </row>
    <row r="2221" spans="1:40" x14ac:dyDescent="0.25">
      <c r="A2221" t="str">
        <f>"20190312154839807"</f>
        <v>20190312154839807</v>
      </c>
      <c r="B2221" t="str">
        <f>"1552376919797613"</f>
        <v>1552376919797613</v>
      </c>
      <c r="C2221" t="s">
        <v>40</v>
      </c>
      <c r="D2221">
        <v>4.7742449999999996</v>
      </c>
      <c r="E2221">
        <v>0.53807059999999995</v>
      </c>
      <c r="F2221" t="s">
        <v>41</v>
      </c>
      <c r="G2221">
        <v>-345.32029999999997</v>
      </c>
      <c r="H2221">
        <v>0.8805096</v>
      </c>
      <c r="I2221">
        <v>283.3655</v>
      </c>
      <c r="J2221">
        <v>-344.714</v>
      </c>
      <c r="K2221">
        <v>1.109475</v>
      </c>
      <c r="L2221">
        <v>283.24829999999997</v>
      </c>
      <c r="M2221">
        <v>-0.99940070000000003</v>
      </c>
      <c r="N2221">
        <v>0</v>
      </c>
      <c r="O2221">
        <v>-3.1359650000000003E-2</v>
      </c>
      <c r="P2221">
        <v>-0.99896589999999996</v>
      </c>
      <c r="Q2221">
        <v>1.9013849999999999E-2</v>
      </c>
      <c r="R2221">
        <v>4.130035E-2</v>
      </c>
      <c r="S2221">
        <v>-3.0025629999999999</v>
      </c>
      <c r="T2221">
        <v>-0.80435219999999996</v>
      </c>
      <c r="U2221">
        <v>0.38293460000000001</v>
      </c>
      <c r="V2221">
        <v>7.2606110000000001E-2</v>
      </c>
      <c r="W2221">
        <v>3.3635770000000002E-2</v>
      </c>
      <c r="X2221">
        <v>0.99679329999999999</v>
      </c>
      <c r="Y2221">
        <v>0.1512172</v>
      </c>
      <c r="Z2221">
        <v>2.8055119999999999E-2</v>
      </c>
      <c r="AA2221">
        <v>0.98810240000000005</v>
      </c>
      <c r="AB2221">
        <v>48</v>
      </c>
      <c r="AC2221">
        <v>-0.60629999999997597</v>
      </c>
      <c r="AD2221">
        <v>-0.22896540000000001</v>
      </c>
      <c r="AE2221">
        <v>0.11720000000002501</v>
      </c>
      <c r="AF2221">
        <v>0.119701454983931</v>
      </c>
      <c r="AG2221">
        <v>-0.22896540000000001</v>
      </c>
      <c r="AH2221">
        <v>0.52952770768355295</v>
      </c>
      <c r="AI2221">
        <v>112.867776165848</v>
      </c>
      <c r="AJ2221">
        <v>77.262190989741995</v>
      </c>
      <c r="AK2221">
        <v>0.589197068837778</v>
      </c>
      <c r="AL2221">
        <v>88.072448659992801</v>
      </c>
      <c r="AM2221">
        <v>85.833950896131896</v>
      </c>
      <c r="AN2221">
        <v>0.99999994757885602</v>
      </c>
    </row>
    <row r="2222" spans="1:40" x14ac:dyDescent="0.25">
      <c r="A2222" t="str">
        <f>"20190312154839820"</f>
        <v>20190312154839820</v>
      </c>
      <c r="B2222" t="str">
        <f>"1552376919808349"</f>
        <v>1552376919808349</v>
      </c>
      <c r="C2222" t="s">
        <v>40</v>
      </c>
      <c r="D2222">
        <v>4.7740119999999999</v>
      </c>
      <c r="E2222">
        <v>0.53816119999999901</v>
      </c>
      <c r="F2222" t="s">
        <v>41</v>
      </c>
      <c r="G2222">
        <v>-345.7276</v>
      </c>
      <c r="H2222">
        <v>0.83677570000000001</v>
      </c>
      <c r="I2222">
        <v>283.3775</v>
      </c>
      <c r="J2222">
        <v>-344.98779999999999</v>
      </c>
      <c r="K2222">
        <v>1.1094710000000001</v>
      </c>
      <c r="L2222">
        <v>283.23970000000003</v>
      </c>
      <c r="M2222">
        <v>-0.99940030000000002</v>
      </c>
      <c r="N2222">
        <v>0</v>
      </c>
      <c r="O2222">
        <v>-3.1371749999999997E-2</v>
      </c>
      <c r="P2222">
        <v>-0.99898390000000004</v>
      </c>
      <c r="Q2222">
        <v>1.893276E-2</v>
      </c>
      <c r="R2222">
        <v>4.0897259999999998E-2</v>
      </c>
      <c r="S2222">
        <v>-3.0026860000000002</v>
      </c>
      <c r="T2222">
        <v>-0.80786199999999997</v>
      </c>
      <c r="U2222">
        <v>0.38214110000000001</v>
      </c>
      <c r="V2222">
        <v>7.2216230000000006E-2</v>
      </c>
      <c r="W2222">
        <v>3.3563330000000002E-2</v>
      </c>
      <c r="X2222">
        <v>0.99682409999999999</v>
      </c>
      <c r="Y2222">
        <v>0.1509228</v>
      </c>
      <c r="Z2222">
        <v>2.8137160000000001E-2</v>
      </c>
      <c r="AA2222">
        <v>0.9881451</v>
      </c>
      <c r="AB2222">
        <v>47</v>
      </c>
      <c r="AC2222">
        <v>-0.73980000000000201</v>
      </c>
      <c r="AD2222">
        <v>-0.27269529999999897</v>
      </c>
      <c r="AE2222">
        <v>0.13779999999997</v>
      </c>
      <c r="AF2222">
        <v>0.142262303883187</v>
      </c>
      <c r="AG2222">
        <v>-0.27269529999999897</v>
      </c>
      <c r="AH2222">
        <v>0.64978570609125197</v>
      </c>
      <c r="AI2222">
        <v>112.291627647102</v>
      </c>
      <c r="AJ2222">
        <v>77.650673726362101</v>
      </c>
      <c r="AK2222">
        <v>0.71890385559457703</v>
      </c>
      <c r="AL2222">
        <v>88.076601580720904</v>
      </c>
      <c r="AM2222">
        <v>85.856371183650694</v>
      </c>
      <c r="AN2222">
        <v>0.99999998366845499</v>
      </c>
    </row>
    <row r="2223" spans="1:40" x14ac:dyDescent="0.25">
      <c r="A2223" t="str">
        <f>"20190312154839836"</f>
        <v>20190312154839836</v>
      </c>
      <c r="B2223" t="str">
        <f>"1552376919827869"</f>
        <v>1552376919827869</v>
      </c>
      <c r="C2223" t="s">
        <v>40</v>
      </c>
      <c r="D2223">
        <v>4.9474039999999997</v>
      </c>
      <c r="E2223">
        <v>0.53870459999999998</v>
      </c>
      <c r="F2223" t="s">
        <v>41</v>
      </c>
      <c r="G2223">
        <v>-345.75290000000001</v>
      </c>
      <c r="H2223">
        <v>0.90283179999999996</v>
      </c>
      <c r="I2223">
        <v>283.33710000000002</v>
      </c>
      <c r="J2223">
        <v>-345.32260000000002</v>
      </c>
      <c r="K2223">
        <v>1.1094740000000001</v>
      </c>
      <c r="L2223">
        <v>283.22919999999999</v>
      </c>
      <c r="M2223">
        <v>-0.9993997</v>
      </c>
      <c r="N2223">
        <v>0</v>
      </c>
      <c r="O2223">
        <v>-3.1385759999999999E-2</v>
      </c>
      <c r="P2223">
        <v>-0.99898609999999999</v>
      </c>
      <c r="Q2223">
        <v>1.8908790000000002E-2</v>
      </c>
      <c r="R2223">
        <v>4.0856719999999999E-2</v>
      </c>
      <c r="S2223">
        <v>-3.0028079999999999</v>
      </c>
      <c r="T2223">
        <v>-0.81097869999999905</v>
      </c>
      <c r="U2223">
        <v>0.38140869999999999</v>
      </c>
      <c r="V2223">
        <v>7.2190389999999993E-2</v>
      </c>
      <c r="W2223">
        <v>3.3548559999999998E-2</v>
      </c>
      <c r="X2223">
        <v>0.99682649999999995</v>
      </c>
      <c r="Y2223">
        <v>0.15065509999999999</v>
      </c>
      <c r="Z2223">
        <v>2.8209640000000001E-2</v>
      </c>
      <c r="AA2223">
        <v>0.98818379999999995</v>
      </c>
      <c r="AB2223">
        <v>47</v>
      </c>
      <c r="AC2223">
        <v>-0.43029999999998803</v>
      </c>
      <c r="AD2223">
        <v>-0.2066422</v>
      </c>
      <c r="AE2223">
        <v>0.107900000000029</v>
      </c>
      <c r="AF2223">
        <v>9.9717307533654903E-2</v>
      </c>
      <c r="AG2223">
        <v>-0.2066422</v>
      </c>
      <c r="AH2223">
        <v>0.35062404944067399</v>
      </c>
      <c r="AI2223">
        <v>119.547853635385</v>
      </c>
      <c r="AJ2223">
        <v>74.124274043096904</v>
      </c>
      <c r="AK2223">
        <v>0.419024777654947</v>
      </c>
      <c r="AL2223">
        <v>88.077448375916404</v>
      </c>
      <c r="AM2223">
        <v>85.857858609891807</v>
      </c>
      <c r="AN2223">
        <v>1.00000001469433</v>
      </c>
    </row>
    <row r="2224" spans="1:40" x14ac:dyDescent="0.25">
      <c r="A2224" t="str">
        <f>"20190312154839848"</f>
        <v>20190312154839848</v>
      </c>
      <c r="B2224" t="str">
        <f>"1552376919837629"</f>
        <v>1552376919837629</v>
      </c>
      <c r="C2224" t="s">
        <v>40</v>
      </c>
      <c r="D2224">
        <v>4.9443570000000001</v>
      </c>
      <c r="E2224">
        <v>0.53900119999999996</v>
      </c>
      <c r="F2224" t="s">
        <v>41</v>
      </c>
      <c r="G2224">
        <v>-346.16789999999997</v>
      </c>
      <c r="H2224">
        <v>0.87958219999999998</v>
      </c>
      <c r="I2224">
        <v>283.33800000000002</v>
      </c>
      <c r="J2224">
        <v>-345.57619999999997</v>
      </c>
      <c r="K2224">
        <v>1.109472</v>
      </c>
      <c r="L2224">
        <v>283.22109999999998</v>
      </c>
      <c r="M2224">
        <v>-0.99939920000000004</v>
      </c>
      <c r="N2224">
        <v>0</v>
      </c>
      <c r="O2224">
        <v>-3.1396220000000002E-2</v>
      </c>
      <c r="P2224">
        <v>-0.99898120000000001</v>
      </c>
      <c r="Q2224">
        <v>1.9422499999999999E-2</v>
      </c>
      <c r="R2224">
        <v>4.0739020000000001E-2</v>
      </c>
      <c r="S2224">
        <v>-3.002777</v>
      </c>
      <c r="T2224">
        <v>-0.81677089999999997</v>
      </c>
      <c r="U2224">
        <v>0.38522339999999999</v>
      </c>
      <c r="V2224">
        <v>7.2083469999999997E-2</v>
      </c>
      <c r="W2224">
        <v>3.4068010000000003E-2</v>
      </c>
      <c r="X2224">
        <v>0.99681660000000005</v>
      </c>
      <c r="Y2224">
        <v>0.15177199999999999</v>
      </c>
      <c r="Z2224">
        <v>2.8553720000000001E-2</v>
      </c>
      <c r="AA2224">
        <v>0.98800299999999996</v>
      </c>
      <c r="AB2224">
        <v>47</v>
      </c>
      <c r="AC2224">
        <v>-0.591700000000002</v>
      </c>
      <c r="AD2224">
        <v>-0.22988980000000001</v>
      </c>
      <c r="AE2224">
        <v>0.116899999999986</v>
      </c>
      <c r="AF2224">
        <v>0.11824309440165499</v>
      </c>
      <c r="AG2224">
        <v>-0.22988980000000001</v>
      </c>
      <c r="AH2224">
        <v>0.51318227740418898</v>
      </c>
      <c r="AI2224">
        <v>113.58277706071399</v>
      </c>
      <c r="AJ2224">
        <v>77.024845272344805</v>
      </c>
      <c r="AK2224">
        <v>0.57461882962488198</v>
      </c>
      <c r="AL2224">
        <v>88.047669021126495</v>
      </c>
      <c r="AM2224">
        <v>85.863931226509393</v>
      </c>
      <c r="AN2224">
        <v>0.99999999499407999</v>
      </c>
    </row>
    <row r="2225" spans="1:40" x14ac:dyDescent="0.25">
      <c r="A2225" t="str">
        <f>"20190312154839860"</f>
        <v>20190312154839860</v>
      </c>
      <c r="B2225" t="str">
        <f>"1552376919848366"</f>
        <v>1552376919848366</v>
      </c>
      <c r="C2225" t="s">
        <v>40</v>
      </c>
      <c r="D2225">
        <v>4.846832</v>
      </c>
      <c r="E2225">
        <v>0.53904069999999904</v>
      </c>
      <c r="F2225" t="s">
        <v>41</v>
      </c>
      <c r="G2225">
        <v>-346.57530000000003</v>
      </c>
      <c r="H2225">
        <v>0.83749099999999999</v>
      </c>
      <c r="I2225">
        <v>283.35000000000002</v>
      </c>
      <c r="J2225">
        <v>-345.84010000000001</v>
      </c>
      <c r="K2225">
        <v>1.109475</v>
      </c>
      <c r="L2225">
        <v>283.21289999999999</v>
      </c>
      <c r="M2225">
        <v>-0.99939880000000003</v>
      </c>
      <c r="N2225">
        <v>0</v>
      </c>
      <c r="O2225">
        <v>-3.1406799999999999E-2</v>
      </c>
      <c r="P2225">
        <v>-0.9989749</v>
      </c>
      <c r="Q2225">
        <v>1.9563259999999999E-2</v>
      </c>
      <c r="R2225">
        <v>4.0823819999999997E-2</v>
      </c>
      <c r="S2225">
        <v>-3.003174</v>
      </c>
      <c r="T2225">
        <v>-0.81764829999999999</v>
      </c>
      <c r="U2225">
        <v>0.38717649999999998</v>
      </c>
      <c r="V2225">
        <v>7.2178800000000001E-2</v>
      </c>
      <c r="W2225">
        <v>3.4214790000000002E-2</v>
      </c>
      <c r="X2225">
        <v>0.99680469999999999</v>
      </c>
      <c r="Y2225">
        <v>0.1523649</v>
      </c>
      <c r="Z2225">
        <v>2.8660399999999999E-2</v>
      </c>
      <c r="AA2225">
        <v>0.98790869999999997</v>
      </c>
      <c r="AB2225">
        <v>47</v>
      </c>
      <c r="AC2225">
        <v>-0.73520000000001995</v>
      </c>
      <c r="AD2225">
        <v>-0.271984</v>
      </c>
      <c r="AE2225">
        <v>0.137100000000032</v>
      </c>
      <c r="AF2225">
        <v>0.14142075318559999</v>
      </c>
      <c r="AG2225">
        <v>-0.271984</v>
      </c>
      <c r="AH2225">
        <v>0.64519688840137002</v>
      </c>
      <c r="AI2225">
        <v>112.380699679502</v>
      </c>
      <c r="AJ2225">
        <v>77.636852044370201</v>
      </c>
      <c r="AK2225">
        <v>0.71432076162631097</v>
      </c>
      <c r="AL2225">
        <v>88.039254290844895</v>
      </c>
      <c r="AM2225">
        <v>85.858431048510894</v>
      </c>
      <c r="AN2225">
        <v>1.0000000204831301</v>
      </c>
    </row>
    <row r="2226" spans="1:40" x14ac:dyDescent="0.25">
      <c r="A2226" t="str">
        <f>"20190312154839871"</f>
        <v>20190312154839871</v>
      </c>
      <c r="B2226" t="str">
        <f>"1552376919867886"</f>
        <v>1552376919867886</v>
      </c>
      <c r="C2226" t="s">
        <v>40</v>
      </c>
      <c r="D2226">
        <v>4.8425570000000002</v>
      </c>
      <c r="E2226">
        <v>0.53912559999999998</v>
      </c>
      <c r="F2226" t="s">
        <v>41</v>
      </c>
      <c r="G2226">
        <v>-346.6</v>
      </c>
      <c r="H2226">
        <v>0.9020532</v>
      </c>
      <c r="I2226">
        <v>283.31099999999998</v>
      </c>
      <c r="J2226">
        <v>-346.0806</v>
      </c>
      <c r="K2226">
        <v>1.109477</v>
      </c>
      <c r="L2226">
        <v>283.20530000000002</v>
      </c>
      <c r="M2226">
        <v>-0.99939829999999996</v>
      </c>
      <c r="N2226">
        <v>0</v>
      </c>
      <c r="O2226">
        <v>-3.141584E-2</v>
      </c>
      <c r="P2226">
        <v>-0.99897250000000004</v>
      </c>
      <c r="Q2226">
        <v>1.981347E-2</v>
      </c>
      <c r="R2226">
        <v>4.0763090000000002E-2</v>
      </c>
      <c r="S2226">
        <v>-3.0032960000000002</v>
      </c>
      <c r="T2226">
        <v>-0.81983359999999905</v>
      </c>
      <c r="U2226">
        <v>0.38748169999999998</v>
      </c>
      <c r="V2226">
        <v>7.2127479999999994E-2</v>
      </c>
      <c r="W2226">
        <v>3.446975E-2</v>
      </c>
      <c r="X2226">
        <v>0.99679960000000001</v>
      </c>
      <c r="Y2226">
        <v>0.15243080000000001</v>
      </c>
      <c r="Z2226">
        <v>2.8744240000000001E-2</v>
      </c>
      <c r="AA2226">
        <v>0.98789610000000005</v>
      </c>
      <c r="AB2226">
        <v>47</v>
      </c>
      <c r="AC2226">
        <v>-0.51940000000001796</v>
      </c>
      <c r="AD2226">
        <v>-0.20742379999999999</v>
      </c>
      <c r="AE2226">
        <v>0.105699999999956</v>
      </c>
      <c r="AF2226">
        <v>0.105769393486165</v>
      </c>
      <c r="AG2226">
        <v>-0.20742379999999999</v>
      </c>
      <c r="AH2226">
        <v>0.44731980114398601</v>
      </c>
      <c r="AI2226">
        <v>114.287768511165</v>
      </c>
      <c r="AJ2226">
        <v>76.696667311619095</v>
      </c>
      <c r="AK2226">
        <v>0.50428841142779202</v>
      </c>
      <c r="AL2226">
        <v>88.024637476541599</v>
      </c>
      <c r="AM2226">
        <v>85.861344417157298</v>
      </c>
      <c r="AN2226">
        <v>0.99999998979818605</v>
      </c>
    </row>
    <row r="2227" spans="1:40" x14ac:dyDescent="0.25">
      <c r="A2227" t="str">
        <f>"20190312154839883"</f>
        <v>20190312154839883</v>
      </c>
      <c r="B2227" t="str">
        <f>"1552376919877645"</f>
        <v>1552376919877645</v>
      </c>
      <c r="C2227" t="s">
        <v>40</v>
      </c>
      <c r="D2227">
        <v>5.0221269999999896</v>
      </c>
      <c r="E2227">
        <v>0.53945790000000005</v>
      </c>
      <c r="F2227" t="s">
        <v>41</v>
      </c>
      <c r="G2227">
        <v>-347.00549999999998</v>
      </c>
      <c r="H2227">
        <v>0.85593569999999997</v>
      </c>
      <c r="I2227">
        <v>283.32530000000003</v>
      </c>
      <c r="J2227">
        <v>-346.34100000000001</v>
      </c>
      <c r="K2227">
        <v>1.1094790000000001</v>
      </c>
      <c r="L2227">
        <v>283.19709999999998</v>
      </c>
      <c r="M2227">
        <v>-0.99939820000000001</v>
      </c>
      <c r="N2227">
        <v>0</v>
      </c>
      <c r="O2227">
        <v>-3.1425599999999998E-2</v>
      </c>
      <c r="P2227">
        <v>-0.99895789999999995</v>
      </c>
      <c r="Q2227">
        <v>1.989374E-2</v>
      </c>
      <c r="R2227">
        <v>4.1084379999999997E-2</v>
      </c>
      <c r="S2227">
        <v>-3.003571</v>
      </c>
      <c r="T2227">
        <v>-0.82339269999999998</v>
      </c>
      <c r="U2227">
        <v>0.3880615</v>
      </c>
      <c r="V2227">
        <v>7.2458220000000004E-2</v>
      </c>
      <c r="W2227">
        <v>3.4554580000000001E-2</v>
      </c>
      <c r="X2227">
        <v>0.99677269999999896</v>
      </c>
      <c r="Y2227">
        <v>0.15255639999999901</v>
      </c>
      <c r="Z2227">
        <v>2.8881250000000001E-2</v>
      </c>
      <c r="AA2227">
        <v>0.98787270000000005</v>
      </c>
      <c r="AB2227">
        <v>47</v>
      </c>
      <c r="AC2227">
        <v>-0.664499999999975</v>
      </c>
      <c r="AD2227">
        <v>-0.25354330000000003</v>
      </c>
      <c r="AE2227">
        <v>0.128200000000049</v>
      </c>
      <c r="AF2227">
        <v>0.130679121468738</v>
      </c>
      <c r="AG2227">
        <v>-0.25354330000000003</v>
      </c>
      <c r="AH2227">
        <v>0.578889635915256</v>
      </c>
      <c r="AI2227">
        <v>113.133709863628</v>
      </c>
      <c r="AJ2227">
        <v>77.279212891251902</v>
      </c>
      <c r="AK2227">
        <v>0.64534831551095595</v>
      </c>
      <c r="AL2227">
        <v>88.019774226392599</v>
      </c>
      <c r="AM2227">
        <v>85.842321233070095</v>
      </c>
      <c r="AN2227">
        <v>1.0000000140549099</v>
      </c>
    </row>
    <row r="2228" spans="1:40" x14ac:dyDescent="0.25">
      <c r="A2228" t="str">
        <f>"20190312154839896"</f>
        <v>20190312154839896</v>
      </c>
      <c r="B2228" t="str">
        <f>"1552376919888381"</f>
        <v>1552376919888381</v>
      </c>
      <c r="C2228" t="s">
        <v>40</v>
      </c>
      <c r="D2228">
        <v>5.1798729999999997</v>
      </c>
      <c r="E2228">
        <v>0.53998380000000001</v>
      </c>
      <c r="F2228" t="s">
        <v>41</v>
      </c>
      <c r="G2228">
        <v>-347.03039999999999</v>
      </c>
      <c r="H2228">
        <v>0.91995360000000004</v>
      </c>
      <c r="I2228">
        <v>283.28739999999999</v>
      </c>
      <c r="J2228">
        <v>-346.5967</v>
      </c>
      <c r="K2228">
        <v>1.1094889999999999</v>
      </c>
      <c r="L2228">
        <v>283.1891</v>
      </c>
      <c r="M2228">
        <v>-0.9993978</v>
      </c>
      <c r="N2228">
        <v>0</v>
      </c>
      <c r="O2228">
        <v>-3.1434759999999999E-2</v>
      </c>
      <c r="P2228">
        <v>-0.99894700000000003</v>
      </c>
      <c r="Q2228">
        <v>1.994603E-2</v>
      </c>
      <c r="R2228">
        <v>4.1322699999999997E-2</v>
      </c>
      <c r="S2228">
        <v>-3.003479</v>
      </c>
      <c r="T2228">
        <v>-0.82576849999999902</v>
      </c>
      <c r="U2228">
        <v>0.39160159999999999</v>
      </c>
      <c r="V2228">
        <v>7.2705309999999995E-2</v>
      </c>
      <c r="W2228">
        <v>3.461082E-2</v>
      </c>
      <c r="X2228">
        <v>0.99675270000000005</v>
      </c>
      <c r="Y2228">
        <v>0.1536372</v>
      </c>
      <c r="Z2228">
        <v>2.9108200000000001E-2</v>
      </c>
      <c r="AA2228">
        <v>0.98769850000000003</v>
      </c>
      <c r="AB2228">
        <v>47</v>
      </c>
      <c r="AC2228">
        <v>-0.43369999999998698</v>
      </c>
      <c r="AD2228">
        <v>-0.18953539999999899</v>
      </c>
      <c r="AE2228">
        <v>9.8299999999994697E-2</v>
      </c>
      <c r="AF2228">
        <v>9.4686027216496799E-2</v>
      </c>
      <c r="AG2228">
        <v>-0.18953539999999899</v>
      </c>
      <c r="AH2228">
        <v>0.364231149313473</v>
      </c>
      <c r="AI2228">
        <v>116.731273961054</v>
      </c>
      <c r="AJ2228">
        <v>75.427857209651094</v>
      </c>
      <c r="AK2228">
        <v>0.42137090755463402</v>
      </c>
      <c r="AL2228">
        <v>88.016549871877501</v>
      </c>
      <c r="AM2228">
        <v>85.828109680435901</v>
      </c>
      <c r="AN2228">
        <v>0.99999995796027796</v>
      </c>
    </row>
    <row r="2229" spans="1:40" x14ac:dyDescent="0.25">
      <c r="A2229" t="str">
        <f>"20190312154839908"</f>
        <v>20190312154839908</v>
      </c>
      <c r="B2229" t="str">
        <f>"1552376919898142"</f>
        <v>1552376919898142</v>
      </c>
      <c r="C2229" t="s">
        <v>40</v>
      </c>
      <c r="D2229">
        <v>4.895613</v>
      </c>
      <c r="E2229">
        <v>0.53999519999999901</v>
      </c>
      <c r="F2229" t="s">
        <v>41</v>
      </c>
      <c r="G2229">
        <v>-347.43699999999899</v>
      </c>
      <c r="H2229">
        <v>0.87781019999999899</v>
      </c>
      <c r="I2229">
        <v>283.30020000000002</v>
      </c>
      <c r="J2229">
        <v>-346.84620000000001</v>
      </c>
      <c r="K2229">
        <v>1.1094919999999999</v>
      </c>
      <c r="L2229">
        <v>283.18119999999999</v>
      </c>
      <c r="M2229">
        <v>-0.99939730000000004</v>
      </c>
      <c r="N2229">
        <v>0</v>
      </c>
      <c r="O2229">
        <v>-3.1443449999999998E-2</v>
      </c>
      <c r="P2229">
        <v>-0.99894320000000003</v>
      </c>
      <c r="Q2229">
        <v>1.969506E-2</v>
      </c>
      <c r="R2229">
        <v>4.1531369999999998E-2</v>
      </c>
      <c r="S2229">
        <v>-3.0032960000000002</v>
      </c>
      <c r="T2229">
        <v>-0.82807109999999995</v>
      </c>
      <c r="U2229">
        <v>0.396698</v>
      </c>
      <c r="V2229">
        <v>7.2922849999999997E-2</v>
      </c>
      <c r="W2229">
        <v>3.4363480000000002E-2</v>
      </c>
      <c r="X2229">
        <v>0.9967454</v>
      </c>
      <c r="Y2229">
        <v>0.15520680000000001</v>
      </c>
      <c r="Z2229">
        <v>2.9399109999999999E-2</v>
      </c>
      <c r="AA2229">
        <v>0.98744449999999995</v>
      </c>
      <c r="AB2229">
        <v>47</v>
      </c>
      <c r="AC2229">
        <v>-0.59079999999994404</v>
      </c>
      <c r="AD2229">
        <v>-0.23168179999999999</v>
      </c>
      <c r="AE2229">
        <v>0.119000000000028</v>
      </c>
      <c r="AF2229">
        <v>0.11981330051012599</v>
      </c>
      <c r="AG2229">
        <v>-0.23168179999999999</v>
      </c>
      <c r="AH2229">
        <v>0.51121549229806695</v>
      </c>
      <c r="AI2229">
        <v>113.80905913514501</v>
      </c>
      <c r="AJ2229">
        <v>76.809690004513598</v>
      </c>
      <c r="AK2229">
        <v>0.57391023949388198</v>
      </c>
      <c r="AL2229">
        <v>88.030729911997994</v>
      </c>
      <c r="AM2229">
        <v>85.815640790685194</v>
      </c>
      <c r="AN2229">
        <v>0.99999999161549602</v>
      </c>
    </row>
    <row r="2230" spans="1:40" x14ac:dyDescent="0.25">
      <c r="A2230" t="str">
        <f>"20190312154839920"</f>
        <v>20190312154839920</v>
      </c>
      <c r="B2230" t="str">
        <f>"1552376919907901"</f>
        <v>1552376919907901</v>
      </c>
      <c r="C2230" t="s">
        <v>40</v>
      </c>
      <c r="D2230">
        <v>5.0529960000000003</v>
      </c>
      <c r="E2230">
        <v>0.54030319999999898</v>
      </c>
      <c r="F2230" t="s">
        <v>41</v>
      </c>
      <c r="G2230">
        <v>-347.84280000000001</v>
      </c>
      <c r="H2230">
        <v>0.83398749999999999</v>
      </c>
      <c r="I2230">
        <v>283.31369999999998</v>
      </c>
      <c r="J2230">
        <v>-347.12709999999998</v>
      </c>
      <c r="K2230">
        <v>1.1094889999999999</v>
      </c>
      <c r="L2230">
        <v>283.17239999999998</v>
      </c>
      <c r="M2230">
        <v>-0.99939699999999998</v>
      </c>
      <c r="N2230">
        <v>0</v>
      </c>
      <c r="O2230">
        <v>-3.1453450000000001E-2</v>
      </c>
      <c r="P2230">
        <v>-0.99893829999999995</v>
      </c>
      <c r="Q2230">
        <v>1.9712380000000002E-2</v>
      </c>
      <c r="R2230">
        <v>4.164201E-2</v>
      </c>
      <c r="S2230">
        <v>-3.0029599999999999</v>
      </c>
      <c r="T2230">
        <v>-0.83025360000000004</v>
      </c>
      <c r="U2230">
        <v>0.39782709999999999</v>
      </c>
      <c r="V2230">
        <v>7.3043269999999993E-2</v>
      </c>
      <c r="W2230">
        <v>3.4384930000000001E-2</v>
      </c>
      <c r="X2230">
        <v>0.99673590000000001</v>
      </c>
      <c r="Y2230">
        <v>0.1555464</v>
      </c>
      <c r="Z2230">
        <v>2.9524910000000001E-2</v>
      </c>
      <c r="AA2230">
        <v>0.98738720000000002</v>
      </c>
      <c r="AB2230">
        <v>47</v>
      </c>
      <c r="AC2230">
        <v>-0.71570000000002598</v>
      </c>
      <c r="AD2230">
        <v>-0.27550149999999901</v>
      </c>
      <c r="AE2230">
        <v>0.14130000000000101</v>
      </c>
      <c r="AF2230">
        <v>0.143305550280523</v>
      </c>
      <c r="AG2230">
        <v>-0.27550149999999901</v>
      </c>
      <c r="AH2230">
        <v>0.62216761113389096</v>
      </c>
      <c r="AI2230">
        <v>113.340707496791</v>
      </c>
      <c r="AJ2230">
        <v>77.029131830637795</v>
      </c>
      <c r="AK2230">
        <v>0.695363281736609</v>
      </c>
      <c r="AL2230">
        <v>88.029500302978306</v>
      </c>
      <c r="AM2230">
        <v>85.8087158133917</v>
      </c>
      <c r="AN2230">
        <v>1.0000000485261</v>
      </c>
    </row>
    <row r="2231" spans="1:40" x14ac:dyDescent="0.25">
      <c r="A2231" t="str">
        <f>"20190312154839938"</f>
        <v>20190312154839938</v>
      </c>
      <c r="B2231" t="str">
        <f>"1552376919927820"</f>
        <v>1552376919927820</v>
      </c>
      <c r="C2231" t="s">
        <v>40</v>
      </c>
      <c r="D2231">
        <v>4.8569170000000002</v>
      </c>
      <c r="E2231">
        <v>0.54054349999999995</v>
      </c>
      <c r="F2231" t="s">
        <v>41</v>
      </c>
      <c r="G2231">
        <v>-347.86959999999999</v>
      </c>
      <c r="H2231">
        <v>0.90367790000000003</v>
      </c>
      <c r="I2231">
        <v>283.27190000000002</v>
      </c>
      <c r="J2231">
        <v>-347.46949999999998</v>
      </c>
      <c r="K2231">
        <v>1.109486</v>
      </c>
      <c r="L2231">
        <v>283.16160000000002</v>
      </c>
      <c r="M2231">
        <v>-0.99939670000000003</v>
      </c>
      <c r="N2231">
        <v>0</v>
      </c>
      <c r="O2231">
        <v>-3.1465239999999998E-2</v>
      </c>
      <c r="P2231">
        <v>-0.99893419999999999</v>
      </c>
      <c r="Q2231">
        <v>1.8944430000000002E-2</v>
      </c>
      <c r="R2231">
        <v>4.209193E-2</v>
      </c>
      <c r="S2231">
        <v>-3.0029300000000001</v>
      </c>
      <c r="T2231">
        <v>-0.83260509999999999</v>
      </c>
      <c r="U2231">
        <v>0.40042109999999997</v>
      </c>
      <c r="V2231">
        <v>7.3504780000000006E-2</v>
      </c>
      <c r="W2231">
        <v>3.3620530000000003E-2</v>
      </c>
      <c r="X2231">
        <v>0.99672799999999995</v>
      </c>
      <c r="Y2231">
        <v>0.1563302</v>
      </c>
      <c r="Z2231">
        <v>2.9713650000000001E-2</v>
      </c>
      <c r="AA2231">
        <v>0.98725779999999996</v>
      </c>
      <c r="AB2231">
        <v>47</v>
      </c>
      <c r="AC2231">
        <v>-0.400100000000008</v>
      </c>
      <c r="AD2231">
        <v>-0.20580809999999899</v>
      </c>
      <c r="AE2231">
        <v>0.110299999999995</v>
      </c>
      <c r="AF2231">
        <v>9.8591401580427104E-2</v>
      </c>
      <c r="AG2231">
        <v>-0.20580809999999899</v>
      </c>
      <c r="AH2231">
        <v>0.31818588355992899</v>
      </c>
      <c r="AI2231">
        <v>121.70932978569201</v>
      </c>
      <c r="AJ2231">
        <v>72.784157643874494</v>
      </c>
      <c r="AK2231">
        <v>0.39156033377758798</v>
      </c>
      <c r="AL2231">
        <v>88.073322441648898</v>
      </c>
      <c r="AM2231">
        <v>85.782295937516906</v>
      </c>
      <c r="AN2231">
        <v>0.99999999935216399</v>
      </c>
    </row>
    <row r="2232" spans="1:40" x14ac:dyDescent="0.25">
      <c r="A2232" t="str">
        <f>"20190312154839960"</f>
        <v>20190312154839960</v>
      </c>
      <c r="B2232" t="str">
        <f>"1552376919948316"</f>
        <v>1552376919948316</v>
      </c>
      <c r="C2232" t="s">
        <v>40</v>
      </c>
      <c r="D2232">
        <v>4.8557259999999998</v>
      </c>
      <c r="E2232">
        <v>0.54055799999999998</v>
      </c>
      <c r="F2232" t="s">
        <v>41</v>
      </c>
      <c r="G2232">
        <v>-348.2835</v>
      </c>
      <c r="H2232">
        <v>0.88212489999999999</v>
      </c>
      <c r="I2232">
        <v>283.2713</v>
      </c>
      <c r="J2232">
        <v>-347.93880000000001</v>
      </c>
      <c r="K2232">
        <v>1.1094930000000001</v>
      </c>
      <c r="L2232">
        <v>283.14679999999998</v>
      </c>
      <c r="M2232">
        <v>-0.9993959</v>
      </c>
      <c r="N2232">
        <v>0</v>
      </c>
      <c r="O2232">
        <v>-3.1480609999999999E-2</v>
      </c>
      <c r="P2232">
        <v>-0.99893240000000005</v>
      </c>
      <c r="Q2232">
        <v>1.788493E-2</v>
      </c>
      <c r="R2232">
        <v>4.2591940000000002E-2</v>
      </c>
      <c r="S2232">
        <v>-3.0020449999999999</v>
      </c>
      <c r="T2232">
        <v>-0.83845190000000003</v>
      </c>
      <c r="U2232">
        <v>0.40383910000000001</v>
      </c>
      <c r="V2232">
        <v>7.4020160000000002E-2</v>
      </c>
      <c r="W2232">
        <v>3.256539E-2</v>
      </c>
      <c r="X2232">
        <v>0.99672490000000002</v>
      </c>
      <c r="Y2232">
        <v>0.1573494</v>
      </c>
      <c r="Z2232">
        <v>3.0064339999999998E-2</v>
      </c>
      <c r="AA2232">
        <v>0.98708530000000005</v>
      </c>
      <c r="AB2232">
        <v>47</v>
      </c>
      <c r="AC2232">
        <v>-0.34469999999998802</v>
      </c>
      <c r="AD2232">
        <v>-0.22736809999999999</v>
      </c>
      <c r="AE2232">
        <v>0.124500000000011</v>
      </c>
      <c r="AF2232">
        <v>9.7691468290108802E-2</v>
      </c>
      <c r="AG2232">
        <v>-0.22736809999999999</v>
      </c>
      <c r="AH2232">
        <v>0.24594889336981701</v>
      </c>
      <c r="AI2232">
        <v>130.66782221975899</v>
      </c>
      <c r="AJ2232">
        <v>68.336909804464696</v>
      </c>
      <c r="AK2232">
        <v>0.34889931789002498</v>
      </c>
      <c r="AL2232">
        <v>88.133810659223101</v>
      </c>
      <c r="AM2232">
        <v>85.7528181104053</v>
      </c>
      <c r="AN2232">
        <v>1.0000000074961399</v>
      </c>
    </row>
    <row r="2233" spans="1:40" x14ac:dyDescent="0.25">
      <c r="A2233" t="str">
        <f>"20190312154839972"</f>
        <v>20190312154839972</v>
      </c>
      <c r="B2233" t="str">
        <f>"1552376919967836"</f>
        <v>1552376919967836</v>
      </c>
      <c r="C2233" t="s">
        <v>40</v>
      </c>
      <c r="D2233">
        <v>4.8355259999999998</v>
      </c>
      <c r="E2233">
        <v>0.54052659999999997</v>
      </c>
      <c r="F2233" t="s">
        <v>41</v>
      </c>
      <c r="G2233">
        <v>-348.70949999999999</v>
      </c>
      <c r="H2233">
        <v>0.89266809999999996</v>
      </c>
      <c r="I2233">
        <v>283.25150000000002</v>
      </c>
      <c r="J2233">
        <v>-348.21530000000001</v>
      </c>
      <c r="K2233">
        <v>1.109499</v>
      </c>
      <c r="L2233">
        <v>283.13810000000001</v>
      </c>
      <c r="M2233">
        <v>-0.99939560000000005</v>
      </c>
      <c r="N2233">
        <v>0</v>
      </c>
      <c r="O2233">
        <v>-3.1489900000000001E-2</v>
      </c>
      <c r="P2233">
        <v>-0.99892879999999995</v>
      </c>
      <c r="Q2233">
        <v>1.7669580000000001E-2</v>
      </c>
      <c r="R2233">
        <v>4.276841E-2</v>
      </c>
      <c r="S2233">
        <v>-3.0010379999999999</v>
      </c>
      <c r="T2233">
        <v>-0.844350499999999</v>
      </c>
      <c r="U2233">
        <v>0.40539550000000002</v>
      </c>
      <c r="V2233">
        <v>7.4205720000000003E-2</v>
      </c>
      <c r="W2233">
        <v>3.2352350000000002E-2</v>
      </c>
      <c r="X2233">
        <v>0.99671799999999999</v>
      </c>
      <c r="Y2233">
        <v>0.15778539999999999</v>
      </c>
      <c r="Z2233">
        <v>3.033926E-2</v>
      </c>
      <c r="AA2233">
        <v>0.98700730000000003</v>
      </c>
      <c r="AB2233">
        <v>47</v>
      </c>
      <c r="AC2233">
        <v>-0.49419999999997699</v>
      </c>
      <c r="AD2233">
        <v>-0.21683089999999899</v>
      </c>
      <c r="AE2233">
        <v>0.11340000000001201</v>
      </c>
      <c r="AF2233">
        <v>0.108978432977915</v>
      </c>
      <c r="AG2233">
        <v>-0.21683089999999899</v>
      </c>
      <c r="AH2233">
        <v>0.41456955938028001</v>
      </c>
      <c r="AI2233">
        <v>116.832173028672</v>
      </c>
      <c r="AJ2233">
        <v>75.271796180877402</v>
      </c>
      <c r="AK2233">
        <v>0.48037470542680699</v>
      </c>
      <c r="AL2233">
        <v>88.146023313030497</v>
      </c>
      <c r="AM2233">
        <v>85.742180654747798</v>
      </c>
      <c r="AN2233">
        <v>0.99999996747761999</v>
      </c>
    </row>
    <row r="2234" spans="1:40" x14ac:dyDescent="0.25">
      <c r="A2234" t="str">
        <f>"20190312154839986"</f>
        <v>20190312154839986</v>
      </c>
      <c r="B2234" t="str">
        <f>"1552376919977596"</f>
        <v>1552376919977596</v>
      </c>
      <c r="C2234" t="s">
        <v>40</v>
      </c>
      <c r="D2234">
        <v>4.821898</v>
      </c>
      <c r="E2234">
        <v>0.54043009999999903</v>
      </c>
      <c r="F2234" t="s">
        <v>41</v>
      </c>
      <c r="G2234">
        <v>-349.11660000000001</v>
      </c>
      <c r="H2234">
        <v>0.85504899999999995</v>
      </c>
      <c r="I2234">
        <v>283.25970000000001</v>
      </c>
      <c r="J2234">
        <v>-348.48140000000001</v>
      </c>
      <c r="K2234">
        <v>1.1095079999999999</v>
      </c>
      <c r="L2234">
        <v>283.12970000000001</v>
      </c>
      <c r="M2234">
        <v>-0.99939540000000004</v>
      </c>
      <c r="N2234">
        <v>0</v>
      </c>
      <c r="O2234">
        <v>-3.1499069999999997E-2</v>
      </c>
      <c r="P2234">
        <v>-0.99893609999999999</v>
      </c>
      <c r="Q2234">
        <v>1.721667E-2</v>
      </c>
      <c r="R2234">
        <v>4.2786129999999999E-2</v>
      </c>
      <c r="S2234">
        <v>-3.0008539999999999</v>
      </c>
      <c r="T2234">
        <v>-0.84710359999999996</v>
      </c>
      <c r="U2234">
        <v>0.40539550000000002</v>
      </c>
      <c r="V2234">
        <v>7.4233049999999995E-2</v>
      </c>
      <c r="W2234">
        <v>3.1901489999999998E-2</v>
      </c>
      <c r="X2234">
        <v>0.99673049999999996</v>
      </c>
      <c r="Y2234">
        <v>0.15775610000000001</v>
      </c>
      <c r="Z2234">
        <v>3.043477E-2</v>
      </c>
      <c r="AA2234">
        <v>0.98700900000000003</v>
      </c>
      <c r="AB2234">
        <v>47</v>
      </c>
      <c r="AC2234">
        <v>-0.63519999999999699</v>
      </c>
      <c r="AD2234">
        <v>-0.25445899999999999</v>
      </c>
      <c r="AE2234">
        <v>0.12999999999999501</v>
      </c>
      <c r="AF2234">
        <v>0.12993280010557601</v>
      </c>
      <c r="AG2234">
        <v>-0.25445899999999999</v>
      </c>
      <c r="AH2234">
        <v>0.54659886853959505</v>
      </c>
      <c r="AI2234">
        <v>114.36629943915599</v>
      </c>
      <c r="AJ2234">
        <v>76.628314735112397</v>
      </c>
      <c r="AK2234">
        <v>0.61676757235853497</v>
      </c>
      <c r="AL2234">
        <v>88.171869035857299</v>
      </c>
      <c r="AM2234">
        <v>85.740671488448399</v>
      </c>
      <c r="AN2234">
        <v>0.99999997020338505</v>
      </c>
    </row>
    <row r="2235" spans="1:40" x14ac:dyDescent="0.25">
      <c r="A2235" t="str">
        <f>"20190312154839999"</f>
        <v>20190312154839999</v>
      </c>
      <c r="B2235" t="str">
        <f>"1552376919988332"</f>
        <v>1552376919988332</v>
      </c>
      <c r="C2235" t="s">
        <v>40</v>
      </c>
      <c r="D2235">
        <v>4.7820299999999998</v>
      </c>
      <c r="E2235">
        <v>0.54033169999999897</v>
      </c>
      <c r="F2235" t="s">
        <v>41</v>
      </c>
      <c r="G2235">
        <v>-349.52260000000001</v>
      </c>
      <c r="H2235">
        <v>0.81499100000000002</v>
      </c>
      <c r="I2235">
        <v>283.2704</v>
      </c>
      <c r="J2235">
        <v>-348.77409999999998</v>
      </c>
      <c r="K2235">
        <v>1.109521</v>
      </c>
      <c r="L2235">
        <v>283.12049999999999</v>
      </c>
      <c r="M2235">
        <v>-0.99939480000000003</v>
      </c>
      <c r="N2235">
        <v>0</v>
      </c>
      <c r="O2235">
        <v>-3.1508719999999997E-2</v>
      </c>
      <c r="P2235">
        <v>-0.99894240000000001</v>
      </c>
      <c r="Q2235">
        <v>1.6733669999999999E-2</v>
      </c>
      <c r="R2235">
        <v>4.282714E-2</v>
      </c>
      <c r="S2235">
        <v>-3.0005190000000002</v>
      </c>
      <c r="T2235">
        <v>-0.84869309999999998</v>
      </c>
      <c r="U2235">
        <v>0.40444950000000002</v>
      </c>
      <c r="V2235">
        <v>7.4284050000000004E-2</v>
      </c>
      <c r="W2235">
        <v>3.1420129999999998E-2</v>
      </c>
      <c r="X2235">
        <v>0.99674200000000002</v>
      </c>
      <c r="Y2235">
        <v>0.15745700000000001</v>
      </c>
      <c r="Z2235">
        <v>3.0454970000000001E-2</v>
      </c>
      <c r="AA2235">
        <v>0.98705609999999999</v>
      </c>
      <c r="AB2235">
        <v>47</v>
      </c>
      <c r="AC2235">
        <v>-0.74850000000003503</v>
      </c>
      <c r="AD2235">
        <v>-0.29453000000000001</v>
      </c>
      <c r="AE2235">
        <v>0.149900000000002</v>
      </c>
      <c r="AF2235">
        <v>0.15094214057618799</v>
      </c>
      <c r="AG2235">
        <v>-0.29453000000000001</v>
      </c>
      <c r="AH2235">
        <v>0.64707648206937596</v>
      </c>
      <c r="AI2235">
        <v>113.90627438627899</v>
      </c>
      <c r="AJ2235">
        <v>76.869535871137202</v>
      </c>
      <c r="AK2235">
        <v>0.72680081476908198</v>
      </c>
      <c r="AL2235">
        <v>88.199462783854699</v>
      </c>
      <c r="AM2235">
        <v>85.737804996011405</v>
      </c>
      <c r="AN2235">
        <v>0.99999997960880904</v>
      </c>
    </row>
    <row r="2236" spans="1:40" x14ac:dyDescent="0.25">
      <c r="A2236" t="str">
        <f>"20190312154840015"</f>
        <v>20190312154840015</v>
      </c>
      <c r="B2236" t="str">
        <f>"1552376920007853"</f>
        <v>1552376920007853</v>
      </c>
      <c r="C2236" t="s">
        <v>40</v>
      </c>
      <c r="D2236">
        <v>4.7746420000000001</v>
      </c>
      <c r="E2236">
        <v>0.54021949999999996</v>
      </c>
      <c r="F2236" t="s">
        <v>41</v>
      </c>
      <c r="G2236">
        <v>-349.55110000000002</v>
      </c>
      <c r="H2236">
        <v>0.88927440000000002</v>
      </c>
      <c r="I2236">
        <v>283.2253</v>
      </c>
      <c r="J2236">
        <v>-349.1071</v>
      </c>
      <c r="K2236">
        <v>1.109558</v>
      </c>
      <c r="L2236">
        <v>283.11</v>
      </c>
      <c r="M2236">
        <v>-0.99939469999999997</v>
      </c>
      <c r="N2236">
        <v>0</v>
      </c>
      <c r="O2236">
        <v>-3.1520270000000003E-2</v>
      </c>
      <c r="P2236">
        <v>-0.99893770000000004</v>
      </c>
      <c r="Q2236">
        <v>1.6288110000000001E-2</v>
      </c>
      <c r="R2236">
        <v>4.3107409999999999E-2</v>
      </c>
      <c r="S2236">
        <v>-3.0001220000000002</v>
      </c>
      <c r="T2236">
        <v>-0.85037819999999997</v>
      </c>
      <c r="U2236">
        <v>0.40374759999999998</v>
      </c>
      <c r="V2236">
        <v>7.4575550000000004E-2</v>
      </c>
      <c r="W2236">
        <v>3.097546E-2</v>
      </c>
      <c r="X2236">
        <v>0.99673409999999996</v>
      </c>
      <c r="Y2236">
        <v>0.1572364</v>
      </c>
      <c r="Z2236">
        <v>3.0490130000000001E-2</v>
      </c>
      <c r="AA2236">
        <v>0.98709020000000003</v>
      </c>
      <c r="AB2236">
        <v>47</v>
      </c>
      <c r="AC2236">
        <v>-0.44400000000001599</v>
      </c>
      <c r="AD2236">
        <v>-0.2202836</v>
      </c>
      <c r="AE2236">
        <v>0.11529999999998999</v>
      </c>
      <c r="AF2236">
        <v>0.105021428482721</v>
      </c>
      <c r="AG2236">
        <v>-0.2202836</v>
      </c>
      <c r="AH2236">
        <v>0.35766714411315897</v>
      </c>
      <c r="AI2236">
        <v>120.580611169886</v>
      </c>
      <c r="AJ2236">
        <v>73.636233956481405</v>
      </c>
      <c r="AK2236">
        <v>0.43298978145861</v>
      </c>
      <c r="AL2236">
        <v>88.224952816714605</v>
      </c>
      <c r="AM2236">
        <v>85.721107812803297</v>
      </c>
      <c r="AN2236">
        <v>0.99999992894140899</v>
      </c>
    </row>
    <row r="2237" spans="1:40" x14ac:dyDescent="0.25">
      <c r="A2237" t="str">
        <f>"20190312154840029"</f>
        <v>20190312154840029</v>
      </c>
      <c r="B2237" t="str">
        <f>"1552376920017612"</f>
        <v>1552376920017612</v>
      </c>
      <c r="C2237" t="s">
        <v>40</v>
      </c>
      <c r="D2237">
        <v>4.7694349999999996</v>
      </c>
      <c r="E2237">
        <v>0.54014240000000002</v>
      </c>
      <c r="F2237" t="s">
        <v>41</v>
      </c>
      <c r="G2237">
        <v>-349.9633</v>
      </c>
      <c r="H2237">
        <v>0.8664558</v>
      </c>
      <c r="I2237">
        <v>283.22519999999997</v>
      </c>
      <c r="J2237">
        <v>-349.3843</v>
      </c>
      <c r="K2237">
        <v>1.1095820000000001</v>
      </c>
      <c r="L2237">
        <v>283.10120000000001</v>
      </c>
      <c r="M2237">
        <v>-0.99939420000000001</v>
      </c>
      <c r="N2237">
        <v>0</v>
      </c>
      <c r="O2237">
        <v>-3.1529679999999997E-2</v>
      </c>
      <c r="P2237">
        <v>-0.99891439999999998</v>
      </c>
      <c r="Q2237">
        <v>1.6467590000000001E-2</v>
      </c>
      <c r="R2237">
        <v>4.3576770000000001E-2</v>
      </c>
      <c r="S2237">
        <v>-2.9996339999999999</v>
      </c>
      <c r="T2237">
        <v>-0.85172769999999998</v>
      </c>
      <c r="U2237">
        <v>0.4036865</v>
      </c>
      <c r="V2237">
        <v>7.5053380000000003E-2</v>
      </c>
      <c r="W2237">
        <v>3.115561E-2</v>
      </c>
      <c r="X2237">
        <v>0.99669269999999999</v>
      </c>
      <c r="Y2237">
        <v>0.15722220000000001</v>
      </c>
      <c r="Z2237">
        <v>3.0542130000000001E-2</v>
      </c>
      <c r="AA2237">
        <v>0.98709080000000005</v>
      </c>
      <c r="AB2237">
        <v>47</v>
      </c>
      <c r="AC2237">
        <v>-0.57900000000000695</v>
      </c>
      <c r="AD2237">
        <v>-0.24312619999999999</v>
      </c>
      <c r="AE2237">
        <v>0.123999999999966</v>
      </c>
      <c r="AF2237">
        <v>0.121681737751987</v>
      </c>
      <c r="AG2237">
        <v>-0.24312619999999999</v>
      </c>
      <c r="AH2237">
        <v>0.49187670860601201</v>
      </c>
      <c r="AI2237">
        <v>115.632567412119</v>
      </c>
      <c r="AJ2237">
        <v>76.104987813070196</v>
      </c>
      <c r="AK2237">
        <v>0.56201378176862105</v>
      </c>
      <c r="AL2237">
        <v>88.214626141916895</v>
      </c>
      <c r="AM2237">
        <v>85.693616152278395</v>
      </c>
      <c r="AN2237">
        <v>1.00000001005859</v>
      </c>
    </row>
    <row r="2238" spans="1:40" x14ac:dyDescent="0.25">
      <c r="A2238" t="str">
        <f>"20190312154840042"</f>
        <v>20190312154840042</v>
      </c>
      <c r="B2238" t="str">
        <f>"1552376920028348"</f>
        <v>1552376920028348</v>
      </c>
      <c r="C2238" t="s">
        <v>40</v>
      </c>
      <c r="D2238">
        <v>4.7653889999999999</v>
      </c>
      <c r="E2238">
        <v>0.54010499999999995</v>
      </c>
      <c r="F2238" t="s">
        <v>41</v>
      </c>
      <c r="G2238">
        <v>-350.37009999999998</v>
      </c>
      <c r="H2238">
        <v>0.83002160000000003</v>
      </c>
      <c r="I2238">
        <v>283.23469999999998</v>
      </c>
      <c r="J2238">
        <v>-349.6601</v>
      </c>
      <c r="K2238">
        <v>1.1096140000000001</v>
      </c>
      <c r="L2238">
        <v>283.09249999999997</v>
      </c>
      <c r="M2238">
        <v>-0.99939389999999995</v>
      </c>
      <c r="N2238">
        <v>0</v>
      </c>
      <c r="O2238">
        <v>-3.1538610000000002E-2</v>
      </c>
      <c r="P2238">
        <v>-0.9988804</v>
      </c>
      <c r="Q2238">
        <v>1.7153740000000001E-2</v>
      </c>
      <c r="R2238">
        <v>4.4091869999999998E-2</v>
      </c>
      <c r="S2238">
        <v>-2.999603</v>
      </c>
      <c r="T2238">
        <v>-0.85069660000000002</v>
      </c>
      <c r="U2238">
        <v>0.40505980000000003</v>
      </c>
      <c r="V2238">
        <v>7.5576199999999996E-2</v>
      </c>
      <c r="W2238">
        <v>3.184145E-2</v>
      </c>
      <c r="X2238">
        <v>0.9966315</v>
      </c>
      <c r="Y2238">
        <v>0.15767610000000001</v>
      </c>
      <c r="Z2238">
        <v>3.0571290000000001E-2</v>
      </c>
      <c r="AA2238">
        <v>0.98701760000000005</v>
      </c>
      <c r="AB2238">
        <v>47</v>
      </c>
      <c r="AC2238">
        <v>-0.70999999999997898</v>
      </c>
      <c r="AD2238">
        <v>-0.27959239999999902</v>
      </c>
      <c r="AE2238">
        <v>0.14220000000000199</v>
      </c>
      <c r="AF2238">
        <v>0.143177505317794</v>
      </c>
      <c r="AG2238">
        <v>-0.27959239999999902</v>
      </c>
      <c r="AH2238">
        <v>0.61366853166956703</v>
      </c>
      <c r="AI2238">
        <v>113.926473844518</v>
      </c>
      <c r="AJ2238">
        <v>76.867024190748793</v>
      </c>
      <c r="AK2238">
        <v>0.689391597662946</v>
      </c>
      <c r="AL2238">
        <v>88.175310865357304</v>
      </c>
      <c r="AM2238">
        <v>85.663466751664998</v>
      </c>
      <c r="AN2238">
        <v>0.99999999336839596</v>
      </c>
    </row>
    <row r="2239" spans="1:40" x14ac:dyDescent="0.25">
      <c r="A2239" t="str">
        <f>"20190312154840053"</f>
        <v>20190312154840053</v>
      </c>
      <c r="B2239" t="str">
        <f>"1552376920047868"</f>
        <v>1552376920047868</v>
      </c>
      <c r="C2239" t="s">
        <v>40</v>
      </c>
      <c r="D2239">
        <v>4.709003</v>
      </c>
      <c r="E2239">
        <v>0.54012950000000004</v>
      </c>
      <c r="F2239" t="s">
        <v>41</v>
      </c>
      <c r="G2239">
        <v>-350.3974</v>
      </c>
      <c r="H2239">
        <v>0.90104960000000001</v>
      </c>
      <c r="I2239">
        <v>283.1927</v>
      </c>
      <c r="J2239">
        <v>-349.91829999999999</v>
      </c>
      <c r="K2239">
        <v>1.109648</v>
      </c>
      <c r="L2239">
        <v>283.08429999999998</v>
      </c>
      <c r="M2239">
        <v>-0.9993938</v>
      </c>
      <c r="N2239">
        <v>0</v>
      </c>
      <c r="O2239">
        <v>-3.1547190000000003E-2</v>
      </c>
      <c r="P2239">
        <v>-0.99884209999999995</v>
      </c>
      <c r="Q2239">
        <v>1.7711040000000001E-2</v>
      </c>
      <c r="R2239">
        <v>4.4732960000000002E-2</v>
      </c>
      <c r="S2239">
        <v>-3.0000309999999999</v>
      </c>
      <c r="T2239">
        <v>-0.84858869999999897</v>
      </c>
      <c r="U2239">
        <v>0.40625</v>
      </c>
      <c r="V2239">
        <v>7.6224109999999998E-2</v>
      </c>
      <c r="W2239">
        <v>3.2398580000000003E-2</v>
      </c>
      <c r="X2239">
        <v>0.99656420000000001</v>
      </c>
      <c r="Y2239">
        <v>0.15807289999999999</v>
      </c>
      <c r="Z2239">
        <v>3.055066E-2</v>
      </c>
      <c r="AA2239">
        <v>0.98695469999999996</v>
      </c>
      <c r="AB2239">
        <v>47</v>
      </c>
      <c r="AC2239">
        <v>-0.47910000000001601</v>
      </c>
      <c r="AD2239">
        <v>-0.20859839999999999</v>
      </c>
      <c r="AE2239">
        <v>0.108400000000017</v>
      </c>
      <c r="AF2239">
        <v>0.104598789871378</v>
      </c>
      <c r="AG2239">
        <v>-0.20859839999999999</v>
      </c>
      <c r="AH2239">
        <v>0.4028010439536</v>
      </c>
      <c r="AI2239">
        <v>116.622090941111</v>
      </c>
      <c r="AJ2239">
        <v>75.443036832008801</v>
      </c>
      <c r="AK2239">
        <v>0.46551356622039203</v>
      </c>
      <c r="AL2239">
        <v>88.143373188713099</v>
      </c>
      <c r="AM2239">
        <v>85.626139351528906</v>
      </c>
      <c r="AN2239">
        <v>0.99999999382647398</v>
      </c>
    </row>
    <row r="2240" spans="1:40" x14ac:dyDescent="0.25">
      <c r="A2240" t="str">
        <f>"20190312154840066"</f>
        <v>20190312154840066</v>
      </c>
      <c r="B2240" t="str">
        <f>"1552376920057628"</f>
        <v>1552376920057628</v>
      </c>
      <c r="C2240" t="s">
        <v>40</v>
      </c>
      <c r="D2240">
        <v>4.727322</v>
      </c>
      <c r="E2240">
        <v>0.54011989999999999</v>
      </c>
      <c r="F2240" t="s">
        <v>41</v>
      </c>
      <c r="G2240">
        <v>-350.80220000000003</v>
      </c>
      <c r="H2240">
        <v>0.86024889999999998</v>
      </c>
      <c r="I2240">
        <v>283.2047</v>
      </c>
      <c r="J2240">
        <v>-350.1789</v>
      </c>
      <c r="K2240">
        <v>1.1096839999999999</v>
      </c>
      <c r="L2240">
        <v>283.0761</v>
      </c>
      <c r="M2240">
        <v>-0.99939350000000005</v>
      </c>
      <c r="N2240">
        <v>0</v>
      </c>
      <c r="O2240">
        <v>-3.1555769999999997E-2</v>
      </c>
      <c r="P2240">
        <v>-0.99878999999999996</v>
      </c>
      <c r="Q2240">
        <v>1.871811E-2</v>
      </c>
      <c r="R2240">
        <v>4.547963E-2</v>
      </c>
      <c r="S2240">
        <v>-3.0002140000000002</v>
      </c>
      <c r="T2240">
        <v>-0.84653750000000005</v>
      </c>
      <c r="U2240">
        <v>0.40826420000000002</v>
      </c>
      <c r="V2240">
        <v>7.6977429999999999E-2</v>
      </c>
      <c r="W2240">
        <v>3.3404639999999999E-2</v>
      </c>
      <c r="X2240">
        <v>0.9964731</v>
      </c>
      <c r="Y2240">
        <v>0.1587345</v>
      </c>
      <c r="Z2240">
        <v>3.057002E-2</v>
      </c>
      <c r="AA2240">
        <v>0.9868479</v>
      </c>
      <c r="AB2240">
        <v>47</v>
      </c>
      <c r="AC2240">
        <v>-0.62330000000002805</v>
      </c>
      <c r="AD2240">
        <v>-0.24943509999999999</v>
      </c>
      <c r="AE2240">
        <v>0.12860000000000499</v>
      </c>
      <c r="AF2240">
        <v>0.128472301275837</v>
      </c>
      <c r="AG2240">
        <v>-0.24943509999999999</v>
      </c>
      <c r="AH2240">
        <v>0.536517208066837</v>
      </c>
      <c r="AI2240">
        <v>114.32932220118001</v>
      </c>
      <c r="AJ2240">
        <v>76.533738002505601</v>
      </c>
      <c r="AK2240">
        <v>0.60545331435128302</v>
      </c>
      <c r="AL2240">
        <v>88.085699013010299</v>
      </c>
      <c r="AM2240">
        <v>85.582680668831102</v>
      </c>
      <c r="AN2240">
        <v>1.0000000168632699</v>
      </c>
    </row>
    <row r="2241" spans="1:40" x14ac:dyDescent="0.25">
      <c r="A2241" t="str">
        <f>"20190312154840082"</f>
        <v>20190312154840082</v>
      </c>
      <c r="B2241" t="str">
        <f>"1552376920068364"</f>
        <v>1552376920068364</v>
      </c>
      <c r="C2241" t="s">
        <v>40</v>
      </c>
      <c r="D2241">
        <v>4.7103419999999998</v>
      </c>
      <c r="E2241">
        <v>0.54011809999999905</v>
      </c>
      <c r="F2241" t="s">
        <v>41</v>
      </c>
      <c r="G2241">
        <v>-351.2072</v>
      </c>
      <c r="H2241">
        <v>0.82056519999999999</v>
      </c>
      <c r="I2241">
        <v>283.21710000000002</v>
      </c>
      <c r="J2241">
        <v>-350.51769999999999</v>
      </c>
      <c r="K2241">
        <v>1.1097600000000001</v>
      </c>
      <c r="L2241">
        <v>283.06540000000001</v>
      </c>
      <c r="M2241">
        <v>-0.99939319999999998</v>
      </c>
      <c r="N2241">
        <v>0</v>
      </c>
      <c r="O2241">
        <v>-3.1566730000000001E-2</v>
      </c>
      <c r="P2241">
        <v>-0.99864129999999995</v>
      </c>
      <c r="Q2241">
        <v>2.2616899999999999E-2</v>
      </c>
      <c r="R2241">
        <v>4.6948160000000003E-2</v>
      </c>
      <c r="S2241">
        <v>-3.0007630000000001</v>
      </c>
      <c r="T2241">
        <v>-0.84366129999999995</v>
      </c>
      <c r="U2241">
        <v>0.41049190000000002</v>
      </c>
      <c r="V2241">
        <v>7.8451300000000002E-2</v>
      </c>
      <c r="W2241">
        <v>3.7300819999999998E-2</v>
      </c>
      <c r="X2241">
        <v>0.99621990000000005</v>
      </c>
      <c r="Y2241">
        <v>0.1594642</v>
      </c>
      <c r="Z2241">
        <v>3.0566449999999998E-2</v>
      </c>
      <c r="AA2241">
        <v>0.98673040000000001</v>
      </c>
      <c r="AB2241">
        <v>47</v>
      </c>
      <c r="AC2241">
        <v>-0.68950000000000899</v>
      </c>
      <c r="AD2241">
        <v>-0.28919479999999997</v>
      </c>
      <c r="AE2241">
        <v>0.151700000000005</v>
      </c>
      <c r="AF2241">
        <v>0.148477933390534</v>
      </c>
      <c r="AG2241">
        <v>-0.28919479999999997</v>
      </c>
      <c r="AH2241">
        <v>0.58603288278515897</v>
      </c>
      <c r="AI2241">
        <v>115.564776120907</v>
      </c>
      <c r="AJ2241">
        <v>75.782651790258697</v>
      </c>
      <c r="AK2241">
        <v>0.670159584544195</v>
      </c>
      <c r="AL2241">
        <v>87.862324586567595</v>
      </c>
      <c r="AM2241">
        <v>85.497308185971093</v>
      </c>
      <c r="AN2241">
        <v>1.00000002340018</v>
      </c>
    </row>
    <row r="2242" spans="1:40" x14ac:dyDescent="0.25">
      <c r="A2242" t="str">
        <f>"20190312154840093"</f>
        <v>20190312154840093</v>
      </c>
      <c r="B2242" t="str">
        <f>"1552376920087886"</f>
        <v>1552376920087886</v>
      </c>
      <c r="C2242" t="s">
        <v>40</v>
      </c>
      <c r="D2242">
        <v>4.6783739999999998</v>
      </c>
      <c r="E2242">
        <v>0.54012839999999995</v>
      </c>
      <c r="F2242" t="s">
        <v>41</v>
      </c>
      <c r="G2242">
        <v>-351.24149999999997</v>
      </c>
      <c r="H2242">
        <v>0.90936830000000002</v>
      </c>
      <c r="I2242">
        <v>283.16590000000002</v>
      </c>
      <c r="J2242">
        <v>-350.75</v>
      </c>
      <c r="K2242">
        <v>1.109799</v>
      </c>
      <c r="L2242">
        <v>283.05810000000002</v>
      </c>
      <c r="M2242">
        <v>-0.99939290000000003</v>
      </c>
      <c r="N2242">
        <v>0</v>
      </c>
      <c r="O2242">
        <v>-3.1574230000000002E-2</v>
      </c>
      <c r="P2242">
        <v>-0.99855950000000004</v>
      </c>
      <c r="Q2242">
        <v>2.4920970000000001E-2</v>
      </c>
      <c r="R2242">
        <v>4.7518390000000001E-2</v>
      </c>
      <c r="S2242">
        <v>-3.003387</v>
      </c>
      <c r="T2242">
        <v>-0.83156569999999996</v>
      </c>
      <c r="U2242">
        <v>0.41583249999999999</v>
      </c>
      <c r="V2242">
        <v>7.9026319999999997E-2</v>
      </c>
      <c r="W2242">
        <v>3.9603190000000003E-2</v>
      </c>
      <c r="X2242">
        <v>0.99608549999999996</v>
      </c>
      <c r="Y2242">
        <v>0.1612296</v>
      </c>
      <c r="Z2242">
        <v>3.0356330000000001E-2</v>
      </c>
      <c r="AA2242">
        <v>0.98645000000000005</v>
      </c>
      <c r="AB2242">
        <v>47</v>
      </c>
      <c r="AC2242">
        <v>-0.49149999999997301</v>
      </c>
      <c r="AD2242">
        <v>-0.20043069999999899</v>
      </c>
      <c r="AE2242">
        <v>0.107799999999997</v>
      </c>
      <c r="AF2242">
        <v>0.106386947452944</v>
      </c>
      <c r="AG2242">
        <v>-0.20043069999999899</v>
      </c>
      <c r="AH2242">
        <v>0.42104621309517598</v>
      </c>
      <c r="AI2242">
        <v>114.774522798083</v>
      </c>
      <c r="AJ2242">
        <v>75.819712711182603</v>
      </c>
      <c r="AK2242">
        <v>0.47829965675571401</v>
      </c>
      <c r="AL2242">
        <v>87.730310673361899</v>
      </c>
      <c r="AM2242">
        <v>85.463832845909195</v>
      </c>
      <c r="AN2242">
        <v>0.99999994761058197</v>
      </c>
    </row>
    <row r="2243" spans="1:40" x14ac:dyDescent="0.25">
      <c r="A2243" t="str">
        <f>"20190312154840106"</f>
        <v>20190312154840106</v>
      </c>
      <c r="B2243" t="str">
        <f>"1552376920098620"</f>
        <v>1552376920098620</v>
      </c>
      <c r="C2243" t="s">
        <v>40</v>
      </c>
      <c r="D2243">
        <v>4.7923730000000004</v>
      </c>
      <c r="E2243">
        <v>0.54025429999999997</v>
      </c>
      <c r="F2243" t="s">
        <v>41</v>
      </c>
      <c r="G2243">
        <v>-351.64429999999999</v>
      </c>
      <c r="H2243">
        <v>0.86434560000000005</v>
      </c>
      <c r="I2243">
        <v>283.18239999999997</v>
      </c>
      <c r="J2243">
        <v>-351.00630000000001</v>
      </c>
      <c r="K2243">
        <v>1.1098349999999999</v>
      </c>
      <c r="L2243">
        <v>283.05</v>
      </c>
      <c r="M2243">
        <v>-0.99939259999999996</v>
      </c>
      <c r="N2243">
        <v>0</v>
      </c>
      <c r="O2243">
        <v>-3.1582579999999999E-2</v>
      </c>
      <c r="P2243">
        <v>-0.99845470000000003</v>
      </c>
      <c r="Q2243">
        <v>2.7790929999999998E-2</v>
      </c>
      <c r="R2243">
        <v>4.8124439999999997E-2</v>
      </c>
      <c r="S2243">
        <v>-3.0049739999999998</v>
      </c>
      <c r="T2243">
        <v>-0.82474179999999997</v>
      </c>
      <c r="U2243">
        <v>0.4187012</v>
      </c>
      <c r="V2243">
        <v>7.9636970000000001E-2</v>
      </c>
      <c r="W2243">
        <v>4.2470849999999997E-2</v>
      </c>
      <c r="X2243">
        <v>0.99591879999999999</v>
      </c>
      <c r="Y2243">
        <v>0.16217879999999901</v>
      </c>
      <c r="Z2243">
        <v>3.022855E-2</v>
      </c>
      <c r="AA2243">
        <v>0.98629829999999996</v>
      </c>
      <c r="AB2243">
        <v>47</v>
      </c>
      <c r="AC2243">
        <v>-0.63799999999997603</v>
      </c>
      <c r="AD2243">
        <v>-0.2454894</v>
      </c>
      <c r="AE2243">
        <v>0.13239999999996099</v>
      </c>
      <c r="AF2243">
        <v>0.13353195504948101</v>
      </c>
      <c r="AG2243">
        <v>-0.2454894</v>
      </c>
      <c r="AH2243">
        <v>0.55475621130853003</v>
      </c>
      <c r="AI2243">
        <v>113.278811232186</v>
      </c>
      <c r="AJ2243">
        <v>76.466141621685907</v>
      </c>
      <c r="AK2243">
        <v>0.621168481586994</v>
      </c>
      <c r="AL2243">
        <v>87.565867490748104</v>
      </c>
      <c r="AM2243">
        <v>85.428167202035297</v>
      </c>
      <c r="AN2243">
        <v>1.00000003814197</v>
      </c>
    </row>
    <row r="2244" spans="1:40" x14ac:dyDescent="0.25">
      <c r="A2244" t="str">
        <f>"20190312154840118"</f>
        <v>20190312154840118</v>
      </c>
      <c r="B2244" t="str">
        <f>"1552376920108380"</f>
        <v>1552376920108380</v>
      </c>
      <c r="C2244" t="s">
        <v>40</v>
      </c>
      <c r="D2244">
        <v>4.6493399999999996</v>
      </c>
      <c r="E2244">
        <v>0.54024550000000005</v>
      </c>
      <c r="F2244" t="s">
        <v>41</v>
      </c>
      <c r="G2244">
        <v>-352.04969999999997</v>
      </c>
      <c r="H2244">
        <v>0.82665499999999903</v>
      </c>
      <c r="I2244">
        <v>283.19659999999999</v>
      </c>
      <c r="J2244">
        <v>-351.27300000000002</v>
      </c>
      <c r="K2244">
        <v>1.109864</v>
      </c>
      <c r="L2244">
        <v>283.04160000000002</v>
      </c>
      <c r="M2244">
        <v>-0.99939230000000001</v>
      </c>
      <c r="N2244">
        <v>0</v>
      </c>
      <c r="O2244">
        <v>-3.1590800000000002E-2</v>
      </c>
      <c r="P2244">
        <v>-0.99837109999999996</v>
      </c>
      <c r="Q2244">
        <v>3.0604929999999999E-2</v>
      </c>
      <c r="R2244">
        <v>4.8152349999999997E-2</v>
      </c>
      <c r="S2244">
        <v>-3.0070190000000001</v>
      </c>
      <c r="T2244">
        <v>-0.81619949999999997</v>
      </c>
      <c r="U2244">
        <v>0.42224119999999998</v>
      </c>
      <c r="V2244">
        <v>7.9670439999999995E-2</v>
      </c>
      <c r="W2244">
        <v>4.5283860000000002E-2</v>
      </c>
      <c r="X2244">
        <v>0.99579220000000002</v>
      </c>
      <c r="Y2244">
        <v>0.1633452</v>
      </c>
      <c r="Z2244">
        <v>3.0061540000000001E-2</v>
      </c>
      <c r="AA2244">
        <v>0.98611090000000001</v>
      </c>
      <c r="AB2244">
        <v>47</v>
      </c>
      <c r="AC2244">
        <v>-0.77669999999994799</v>
      </c>
      <c r="AD2244">
        <v>-0.28320899999999999</v>
      </c>
      <c r="AE2244">
        <v>0.15499999999997199</v>
      </c>
      <c r="AF2244">
        <v>0.15911662151345399</v>
      </c>
      <c r="AG2244">
        <v>-0.28320899999999999</v>
      </c>
      <c r="AH2244">
        <v>0.68396133561202899</v>
      </c>
      <c r="AI2244">
        <v>111.964311377274</v>
      </c>
      <c r="AJ2244">
        <v>76.903668818468404</v>
      </c>
      <c r="AK2244">
        <v>0.75718461786742997</v>
      </c>
      <c r="AL2244">
        <v>87.404538517816803</v>
      </c>
      <c r="AM2244">
        <v>85.425674877412703</v>
      </c>
      <c r="AN2244">
        <v>1.00000005628356</v>
      </c>
    </row>
    <row r="2245" spans="1:40" x14ac:dyDescent="0.25">
      <c r="A2245" t="str">
        <f>"20190312154840131"</f>
        <v>20190312154840131</v>
      </c>
      <c r="B2245" t="str">
        <f>"1552376920118140"</f>
        <v>1552376920118140</v>
      </c>
      <c r="C2245" t="s">
        <v>40</v>
      </c>
      <c r="D2245">
        <v>4.6592070000000003</v>
      </c>
      <c r="E2245">
        <v>0.54023999999999905</v>
      </c>
      <c r="F2245" t="s">
        <v>41</v>
      </c>
      <c r="G2245">
        <v>-352.07560000000001</v>
      </c>
      <c r="H2245">
        <v>0.89447259999999995</v>
      </c>
      <c r="I2245">
        <v>283.15449999999998</v>
      </c>
      <c r="J2245">
        <v>-351.54430000000002</v>
      </c>
      <c r="K2245">
        <v>1.10989</v>
      </c>
      <c r="L2245">
        <v>283.03300000000002</v>
      </c>
      <c r="M2245">
        <v>-0.99939199999999995</v>
      </c>
      <c r="N2245">
        <v>0</v>
      </c>
      <c r="O2245">
        <v>-3.1599500000000003E-2</v>
      </c>
      <c r="P2245">
        <v>-0.99829250000000003</v>
      </c>
      <c r="Q2245">
        <v>3.2761709999999999E-2</v>
      </c>
      <c r="R2245">
        <v>4.8361649999999999E-2</v>
      </c>
      <c r="S2245">
        <v>-3.0092469999999998</v>
      </c>
      <c r="T2245">
        <v>-0.80764349999999996</v>
      </c>
      <c r="U2245">
        <v>0.42309570000000002</v>
      </c>
      <c r="V2245">
        <v>7.9885890000000001E-2</v>
      </c>
      <c r="W2245">
        <v>4.7438760000000003E-2</v>
      </c>
      <c r="X2245">
        <v>0.99567459999999997</v>
      </c>
      <c r="Y2245">
        <v>0.16366849999999999</v>
      </c>
      <c r="Z2245">
        <v>2.978018E-2</v>
      </c>
      <c r="AA2245">
        <v>0.98606579999999999</v>
      </c>
      <c r="AB2245">
        <v>47</v>
      </c>
      <c r="AC2245">
        <v>-0.531299999999987</v>
      </c>
      <c r="AD2245">
        <v>-0.21541740000000001</v>
      </c>
      <c r="AE2245">
        <v>0.12149999999996899</v>
      </c>
      <c r="AF2245">
        <v>0.119553061287738</v>
      </c>
      <c r="AG2245">
        <v>-0.21541740000000001</v>
      </c>
      <c r="AH2245">
        <v>0.455963127841362</v>
      </c>
      <c r="AI2245">
        <v>114.560257919181</v>
      </c>
      <c r="AJ2245">
        <v>75.307833317959606</v>
      </c>
      <c r="AK2245">
        <v>0.51826630667728002</v>
      </c>
      <c r="AL2245">
        <v>87.280938906787796</v>
      </c>
      <c r="AM2245">
        <v>85.412817978281794</v>
      </c>
      <c r="AN2245">
        <v>1.00000005022829</v>
      </c>
    </row>
    <row r="2246" spans="1:40" x14ac:dyDescent="0.25">
      <c r="A2246" t="str">
        <f>"20190312154840147"</f>
        <v>20190312154840147</v>
      </c>
      <c r="B2246" t="str">
        <f>"1552376920138637"</f>
        <v>1552376920138637</v>
      </c>
      <c r="C2246" t="s">
        <v>40</v>
      </c>
      <c r="D2246">
        <v>4.6662660000000002</v>
      </c>
      <c r="E2246">
        <v>0.54025069999999997</v>
      </c>
      <c r="F2246" t="s">
        <v>41</v>
      </c>
      <c r="G2246">
        <v>-352.48200000000003</v>
      </c>
      <c r="H2246">
        <v>0.86038340000000002</v>
      </c>
      <c r="I2246">
        <v>283.1651</v>
      </c>
      <c r="J2246">
        <v>-351.87270000000001</v>
      </c>
      <c r="K2246">
        <v>1.1099110000000001</v>
      </c>
      <c r="L2246">
        <v>283.02260000000001</v>
      </c>
      <c r="M2246">
        <v>-0.99939180000000005</v>
      </c>
      <c r="N2246">
        <v>0</v>
      </c>
      <c r="O2246">
        <v>-3.161009E-2</v>
      </c>
      <c r="P2246">
        <v>-0.99822339999999998</v>
      </c>
      <c r="Q2246">
        <v>3.4715429999999999E-2</v>
      </c>
      <c r="R2246">
        <v>4.8426599999999903E-2</v>
      </c>
      <c r="S2246">
        <v>-3.010834</v>
      </c>
      <c r="T2246">
        <v>-0.80116929999999997</v>
      </c>
      <c r="U2246">
        <v>0.42419430000000002</v>
      </c>
      <c r="V2246">
        <v>7.9959240000000001E-2</v>
      </c>
      <c r="W2246">
        <v>4.9390549999999998E-2</v>
      </c>
      <c r="X2246">
        <v>0.99557379999999995</v>
      </c>
      <c r="Y2246">
        <v>0.16406009999999999</v>
      </c>
      <c r="Z2246">
        <v>2.9587530000000001E-2</v>
      </c>
      <c r="AA2246">
        <v>0.98600650000000001</v>
      </c>
      <c r="AB2246">
        <v>47</v>
      </c>
      <c r="AC2246">
        <v>-0.60929999999996198</v>
      </c>
      <c r="AD2246">
        <v>-0.24952759999999999</v>
      </c>
      <c r="AE2246">
        <v>0.142499999999984</v>
      </c>
      <c r="AF2246">
        <v>0.13950677063224901</v>
      </c>
      <c r="AG2246">
        <v>-0.24952759999999999</v>
      </c>
      <c r="AH2246">
        <v>0.52155394197435001</v>
      </c>
      <c r="AI2246">
        <v>114.805564976521</v>
      </c>
      <c r="AJ2246">
        <v>75.024928823658698</v>
      </c>
      <c r="AK2246">
        <v>0.59476438747035199</v>
      </c>
      <c r="AL2246">
        <v>87.168978267490402</v>
      </c>
      <c r="AM2246">
        <v>85.408161217495504</v>
      </c>
      <c r="AN2246">
        <v>1.0000000488685501</v>
      </c>
    </row>
    <row r="2247" spans="1:40" x14ac:dyDescent="0.25">
      <c r="A2247" t="str">
        <f>"20190312154840162"</f>
        <v>20190312154840162</v>
      </c>
      <c r="B2247" t="str">
        <f>"1552376920148397"</f>
        <v>1552376920148397</v>
      </c>
      <c r="C2247" t="s">
        <v>40</v>
      </c>
      <c r="D2247">
        <v>4.6758540000000002</v>
      </c>
      <c r="E2247">
        <v>0.54023949999999998</v>
      </c>
      <c r="F2247" t="s">
        <v>41</v>
      </c>
      <c r="G2247">
        <v>-352.89330000000001</v>
      </c>
      <c r="H2247">
        <v>0.84016440000000003</v>
      </c>
      <c r="I2247">
        <v>283.1669</v>
      </c>
      <c r="J2247">
        <v>-352.1764</v>
      </c>
      <c r="K2247">
        <v>1.109931</v>
      </c>
      <c r="L2247">
        <v>283.01299999999998</v>
      </c>
      <c r="M2247">
        <v>-0.99939149999999999</v>
      </c>
      <c r="N2247">
        <v>0</v>
      </c>
      <c r="O2247">
        <v>-3.1620089999999997E-2</v>
      </c>
      <c r="P2247">
        <v>-0.99817750000000005</v>
      </c>
      <c r="Q2247">
        <v>3.6618480000000002E-2</v>
      </c>
      <c r="R2247">
        <v>4.7965460000000001E-2</v>
      </c>
      <c r="S2247">
        <v>-3.0123899999999999</v>
      </c>
      <c r="T2247">
        <v>-0.79620109999999999</v>
      </c>
      <c r="U2247">
        <v>0.42495729999999998</v>
      </c>
      <c r="V2247">
        <v>7.9506599999999997E-2</v>
      </c>
      <c r="W2247">
        <v>5.1292619999999997E-2</v>
      </c>
      <c r="X2247">
        <v>0.9955138</v>
      </c>
      <c r="Y2247">
        <v>0.16432349999999901</v>
      </c>
      <c r="Z2247">
        <v>2.943169E-2</v>
      </c>
      <c r="AA2247">
        <v>0.98596729999999999</v>
      </c>
      <c r="AB2247">
        <v>47</v>
      </c>
      <c r="AC2247">
        <v>-0.71690000000000897</v>
      </c>
      <c r="AD2247">
        <v>-0.26976660000000002</v>
      </c>
      <c r="AE2247">
        <v>0.15390000000002099</v>
      </c>
      <c r="AF2247">
        <v>0.15545187208182901</v>
      </c>
      <c r="AG2247">
        <v>-0.26976660000000002</v>
      </c>
      <c r="AH2247">
        <v>0.62682692877335999</v>
      </c>
      <c r="AI2247">
        <v>112.67101807100499</v>
      </c>
      <c r="AJ2247">
        <v>76.071761931365003</v>
      </c>
      <c r="AK2247">
        <v>0.69989377882986503</v>
      </c>
      <c r="AL2247">
        <v>87.059859111295296</v>
      </c>
      <c r="AM2247">
        <v>85.4337708340733</v>
      </c>
      <c r="AN2247">
        <v>0.99999997915023198</v>
      </c>
    </row>
    <row r="2248" spans="1:40" x14ac:dyDescent="0.25">
      <c r="A2248" t="str">
        <f>"20190312154840182"</f>
        <v>20190312154840182</v>
      </c>
      <c r="B2248" t="str">
        <f>"1552376920177677"</f>
        <v>1552376920177677</v>
      </c>
      <c r="C2248" t="s">
        <v>40</v>
      </c>
      <c r="D2248">
        <v>4.8304900000000002</v>
      </c>
      <c r="E2248">
        <v>0.54032400000000003</v>
      </c>
      <c r="F2248" t="s">
        <v>41</v>
      </c>
      <c r="G2248">
        <v>-352.92140000000001</v>
      </c>
      <c r="H2248">
        <v>0.91438149999999996</v>
      </c>
      <c r="I2248">
        <v>283.11810000000003</v>
      </c>
      <c r="J2248">
        <v>-352.61250000000001</v>
      </c>
      <c r="K2248">
        <v>1.109936</v>
      </c>
      <c r="L2248">
        <v>282.99919999999997</v>
      </c>
      <c r="M2248">
        <v>-0.99939109999999998</v>
      </c>
      <c r="N2248">
        <v>0</v>
      </c>
      <c r="O2248">
        <v>-3.1634379999999997E-2</v>
      </c>
      <c r="P2248">
        <v>-0.99819720000000001</v>
      </c>
      <c r="Q2248">
        <v>3.6713860000000001E-2</v>
      </c>
      <c r="R2248">
        <v>4.7485319999999998E-2</v>
      </c>
      <c r="S2248">
        <v>-3.0140989999999999</v>
      </c>
      <c r="T2248">
        <v>-0.79117850000000001</v>
      </c>
      <c r="U2248">
        <v>0.42376710000000001</v>
      </c>
      <c r="V2248">
        <v>7.9041970000000003E-2</v>
      </c>
      <c r="W2248">
        <v>5.1386899999999999E-2</v>
      </c>
      <c r="X2248">
        <v>0.99554600000000004</v>
      </c>
      <c r="Y2248">
        <v>0.16397799999999901</v>
      </c>
      <c r="Z2248">
        <v>2.919621E-2</v>
      </c>
      <c r="AA2248">
        <v>0.98603180000000001</v>
      </c>
      <c r="AB2248">
        <v>47</v>
      </c>
      <c r="AC2248">
        <v>-0.30889999999999401</v>
      </c>
      <c r="AD2248">
        <v>-0.19555449999999999</v>
      </c>
      <c r="AE2248">
        <v>0.118900000000053</v>
      </c>
      <c r="AF2248">
        <v>9.5335695093691802E-2</v>
      </c>
      <c r="AG2248">
        <v>-0.19555449999999999</v>
      </c>
      <c r="AH2248">
        <v>0.22607152004901701</v>
      </c>
      <c r="AI2248">
        <v>128.55621184107099</v>
      </c>
      <c r="AJ2248">
        <v>67.134559901553104</v>
      </c>
      <c r="AK2248">
        <v>0.313749564790966</v>
      </c>
      <c r="AL2248">
        <v>87.054450318186795</v>
      </c>
      <c r="AM2248">
        <v>85.460489852769797</v>
      </c>
      <c r="AN2248">
        <v>1.0000000423145401</v>
      </c>
    </row>
    <row r="2249" spans="1:40" x14ac:dyDescent="0.25">
      <c r="A2249" t="str">
        <f>"20190312154840195"</f>
        <v>20190312154840195</v>
      </c>
      <c r="B2249" t="str">
        <f>"1552376920188413"</f>
        <v>1552376920188413</v>
      </c>
      <c r="C2249" t="s">
        <v>40</v>
      </c>
      <c r="D2249">
        <v>4.5398300000000003</v>
      </c>
      <c r="E2249">
        <v>0.54028140000000002</v>
      </c>
      <c r="F2249" t="s">
        <v>41</v>
      </c>
      <c r="G2249">
        <v>-353.34129999999999</v>
      </c>
      <c r="H2249">
        <v>0.91804699999999995</v>
      </c>
      <c r="I2249">
        <v>283.10160000000002</v>
      </c>
      <c r="J2249">
        <v>-352.86930000000001</v>
      </c>
      <c r="K2249">
        <v>1.109926</v>
      </c>
      <c r="L2249">
        <v>282.99110000000002</v>
      </c>
      <c r="M2249">
        <v>-0.99939069999999997</v>
      </c>
      <c r="N2249">
        <v>0</v>
      </c>
      <c r="O2249">
        <v>-3.1642490000000002E-2</v>
      </c>
      <c r="P2249">
        <v>-0.99826769999999998</v>
      </c>
      <c r="Q2249">
        <v>3.560642E-2</v>
      </c>
      <c r="R2249">
        <v>4.6838890000000001E-2</v>
      </c>
      <c r="S2249">
        <v>-3.0144959999999998</v>
      </c>
      <c r="T2249">
        <v>-0.79379149999999998</v>
      </c>
      <c r="U2249">
        <v>0.42276000000000002</v>
      </c>
      <c r="V2249">
        <v>7.8405909999999995E-2</v>
      </c>
      <c r="W2249">
        <v>5.0280650000000003E-2</v>
      </c>
      <c r="X2249">
        <v>0.99565269999999995</v>
      </c>
      <c r="Y2249">
        <v>0.16361589999999901</v>
      </c>
      <c r="Z2249">
        <v>2.9241860000000001E-2</v>
      </c>
      <c r="AA2249">
        <v>0.98609069999999999</v>
      </c>
      <c r="AB2249">
        <v>47</v>
      </c>
      <c r="AC2249">
        <v>-0.47199999999997899</v>
      </c>
      <c r="AD2249">
        <v>-0.19187899999999999</v>
      </c>
      <c r="AE2249">
        <v>0.110500000000001</v>
      </c>
      <c r="AF2249">
        <v>0.108398306465747</v>
      </c>
      <c r="AG2249">
        <v>-0.19187899999999999</v>
      </c>
      <c r="AH2249">
        <v>0.40483888689409803</v>
      </c>
      <c r="AI2249">
        <v>114.600010121523</v>
      </c>
      <c r="AJ2249">
        <v>75.010293062427493</v>
      </c>
      <c r="AK2249">
        <v>0.46093629476023501</v>
      </c>
      <c r="AL2249">
        <v>87.117915603906596</v>
      </c>
      <c r="AM2249">
        <v>85.497349568390604</v>
      </c>
      <c r="AN2249">
        <v>0.999999964752319</v>
      </c>
    </row>
    <row r="2250" spans="1:40" x14ac:dyDescent="0.25">
      <c r="A2250" t="str">
        <f>"20190312154840207"</f>
        <v>20190312154840207</v>
      </c>
      <c r="B2250" t="str">
        <f>"1552376920198172"</f>
        <v>1552376920198172</v>
      </c>
      <c r="C2250" t="s">
        <v>40</v>
      </c>
      <c r="D2250">
        <v>4.6457290000000002</v>
      </c>
      <c r="E2250">
        <v>0.5402479</v>
      </c>
      <c r="F2250" t="s">
        <v>41</v>
      </c>
      <c r="G2250">
        <v>-353.74439999999998</v>
      </c>
      <c r="H2250">
        <v>0.87858530000000001</v>
      </c>
      <c r="I2250">
        <v>283.11329999999998</v>
      </c>
      <c r="J2250">
        <v>-353.1429</v>
      </c>
      <c r="K2250">
        <v>1.109912</v>
      </c>
      <c r="L2250">
        <v>282.98239999999998</v>
      </c>
      <c r="M2250">
        <v>-0.99939049999999996</v>
      </c>
      <c r="N2250">
        <v>0</v>
      </c>
      <c r="O2250">
        <v>-3.1651180000000001E-2</v>
      </c>
      <c r="P2250">
        <v>-0.99837569999999998</v>
      </c>
      <c r="Q2250">
        <v>3.3358350000000002E-2</v>
      </c>
      <c r="R2250">
        <v>4.6186329999999998E-2</v>
      </c>
      <c r="S2250">
        <v>-3.013916</v>
      </c>
      <c r="T2250">
        <v>-0.79675949999999995</v>
      </c>
      <c r="U2250">
        <v>0.4202881</v>
      </c>
      <c r="V2250">
        <v>7.7765879999999996E-2</v>
      </c>
      <c r="W2250">
        <v>4.8033640000000002E-2</v>
      </c>
      <c r="X2250">
        <v>0.99581379999999997</v>
      </c>
      <c r="Y2250">
        <v>0.1628319</v>
      </c>
      <c r="Z2250">
        <v>2.9255420000000001E-2</v>
      </c>
      <c r="AA2250">
        <v>0.98621999999999999</v>
      </c>
      <c r="AB2250">
        <v>47</v>
      </c>
      <c r="AC2250">
        <v>-0.60149999999998705</v>
      </c>
      <c r="AD2250">
        <v>-0.231326699999999</v>
      </c>
      <c r="AE2250">
        <v>0.13089999999999599</v>
      </c>
      <c r="AF2250">
        <v>0.13132888768916201</v>
      </c>
      <c r="AG2250">
        <v>-0.231326699999999</v>
      </c>
      <c r="AH2250">
        <v>0.52317430566460998</v>
      </c>
      <c r="AI2250">
        <v>113.212299260156</v>
      </c>
      <c r="AJ2250">
        <v>75.908593389788905</v>
      </c>
      <c r="AK2250">
        <v>0.58691624017589505</v>
      </c>
      <c r="AL2250">
        <v>87.246815599526997</v>
      </c>
      <c r="AM2250">
        <v>85.534675128048804</v>
      </c>
      <c r="AN2250">
        <v>0.99999994346712995</v>
      </c>
    </row>
    <row r="2251" spans="1:40" x14ac:dyDescent="0.25">
      <c r="A2251" t="str">
        <f>"20190312154840220"</f>
        <v>20190312154840220</v>
      </c>
      <c r="B2251" t="str">
        <f>"1552376920207933"</f>
        <v>1552376920207933</v>
      </c>
      <c r="C2251" t="s">
        <v>40</v>
      </c>
      <c r="D2251">
        <v>4.6309649999999998</v>
      </c>
      <c r="E2251">
        <v>0.54021399999999997</v>
      </c>
      <c r="F2251" t="s">
        <v>41</v>
      </c>
      <c r="G2251">
        <v>-354.1481</v>
      </c>
      <c r="H2251">
        <v>0.84180499999999903</v>
      </c>
      <c r="I2251">
        <v>283.12169999999998</v>
      </c>
      <c r="J2251">
        <v>-353.41390000000001</v>
      </c>
      <c r="K2251">
        <v>1.1099019999999999</v>
      </c>
      <c r="L2251">
        <v>282.97379999999998</v>
      </c>
      <c r="M2251">
        <v>-0.99939020000000001</v>
      </c>
      <c r="N2251">
        <v>0</v>
      </c>
      <c r="O2251">
        <v>-3.1659880000000001E-2</v>
      </c>
      <c r="P2251">
        <v>-0.99847819999999998</v>
      </c>
      <c r="Q2251">
        <v>3.1145340000000001E-2</v>
      </c>
      <c r="R2251">
        <v>4.5516250000000001E-2</v>
      </c>
      <c r="S2251">
        <v>-3.0124209999999998</v>
      </c>
      <c r="T2251">
        <v>-0.80344190000000004</v>
      </c>
      <c r="U2251">
        <v>0.41732789999999997</v>
      </c>
      <c r="V2251">
        <v>7.7108270000000007E-2</v>
      </c>
      <c r="W2251">
        <v>4.582166E-2</v>
      </c>
      <c r="X2251">
        <v>0.9959692</v>
      </c>
      <c r="Y2251">
        <v>0.16187299999999999</v>
      </c>
      <c r="Z2251">
        <v>2.9385700000000001E-2</v>
      </c>
      <c r="AA2251">
        <v>0.98637399999999997</v>
      </c>
      <c r="AB2251">
        <v>47</v>
      </c>
      <c r="AC2251">
        <v>-0.73419999999998697</v>
      </c>
      <c r="AD2251">
        <v>-0.26809699999999997</v>
      </c>
      <c r="AE2251">
        <v>0.14789999999999201</v>
      </c>
      <c r="AF2251">
        <v>0.15164187481032401</v>
      </c>
      <c r="AG2251">
        <v>-0.26809699999999997</v>
      </c>
      <c r="AH2251">
        <v>0.64632917099156395</v>
      </c>
      <c r="AI2251">
        <v>111.990507730079</v>
      </c>
      <c r="AJ2251">
        <v>76.7960730164518</v>
      </c>
      <c r="AK2251">
        <v>0.715969731818065</v>
      </c>
      <c r="AL2251">
        <v>87.373692624909594</v>
      </c>
      <c r="AM2251">
        <v>85.572972477334105</v>
      </c>
      <c r="AN2251">
        <v>0.99999997858809397</v>
      </c>
    </row>
    <row r="2252" spans="1:40" x14ac:dyDescent="0.25">
      <c r="A2252" t="str">
        <f>"20190312154840232"</f>
        <v>20190312154840232</v>
      </c>
      <c r="B2252" t="str">
        <f>"1552376920228429"</f>
        <v>1552376920228429</v>
      </c>
      <c r="C2252" t="s">
        <v>40</v>
      </c>
      <c r="D2252">
        <v>4.6169969999999996</v>
      </c>
      <c r="E2252">
        <v>0.54006669999999901</v>
      </c>
      <c r="F2252" t="s">
        <v>41</v>
      </c>
      <c r="G2252">
        <v>-354.17230000000001</v>
      </c>
      <c r="H2252">
        <v>0.9058176</v>
      </c>
      <c r="I2252">
        <v>283.07819999999998</v>
      </c>
      <c r="J2252">
        <v>-353.64830000000001</v>
      </c>
      <c r="K2252">
        <v>1.109885</v>
      </c>
      <c r="L2252">
        <v>282.96640000000002</v>
      </c>
      <c r="M2252">
        <v>-0.99938990000000005</v>
      </c>
      <c r="N2252">
        <v>0</v>
      </c>
      <c r="O2252">
        <v>-3.166749E-2</v>
      </c>
      <c r="P2252">
        <v>-0.99858930000000001</v>
      </c>
      <c r="Q2252">
        <v>2.815405E-2</v>
      </c>
      <c r="R2252">
        <v>4.5021239999999997E-2</v>
      </c>
      <c r="S2252">
        <v>-3.0109249999999999</v>
      </c>
      <c r="T2252">
        <v>-0.81023179999999995</v>
      </c>
      <c r="U2252">
        <v>0.41427609999999898</v>
      </c>
      <c r="V2252">
        <v>7.6624559999999994E-2</v>
      </c>
      <c r="W2252">
        <v>4.2831969999999997E-2</v>
      </c>
      <c r="X2252">
        <v>0.99613960000000001</v>
      </c>
      <c r="Y2252">
        <v>0.16088179999999999</v>
      </c>
      <c r="Z2252">
        <v>2.9513210000000002E-2</v>
      </c>
      <c r="AA2252">
        <v>0.98653230000000003</v>
      </c>
      <c r="AB2252">
        <v>47</v>
      </c>
      <c r="AC2252">
        <v>-0.52400000000000002</v>
      </c>
      <c r="AD2252">
        <v>-0.20406740000000001</v>
      </c>
      <c r="AE2252">
        <v>0.111799999999959</v>
      </c>
      <c r="AF2252">
        <v>0.112080883794766</v>
      </c>
      <c r="AG2252">
        <v>-0.20406740000000001</v>
      </c>
      <c r="AH2252">
        <v>0.45429561892349701</v>
      </c>
      <c r="AI2252">
        <v>113.562905767331</v>
      </c>
      <c r="AJ2252">
        <v>76.141116506718006</v>
      </c>
      <c r="AK2252">
        <v>0.51048030092067098</v>
      </c>
      <c r="AL2252">
        <v>87.545157904842398</v>
      </c>
      <c r="AM2252">
        <v>85.601384020942703</v>
      </c>
      <c r="AN2252">
        <v>1.0000000017687101</v>
      </c>
    </row>
    <row r="2253" spans="1:40" x14ac:dyDescent="0.25">
      <c r="A2253" t="str">
        <f>"20190312154840244"</f>
        <v>20190312154840244</v>
      </c>
      <c r="B2253" t="str">
        <f>"1552376920238188"</f>
        <v>1552376920238188</v>
      </c>
      <c r="C2253" t="s">
        <v>40</v>
      </c>
      <c r="D2253">
        <v>4.6633449999999996</v>
      </c>
      <c r="E2253">
        <v>0.54013829999999996</v>
      </c>
      <c r="F2253" t="s">
        <v>41</v>
      </c>
      <c r="G2253">
        <v>-354.5718</v>
      </c>
      <c r="H2253">
        <v>0.85874409999999901</v>
      </c>
      <c r="I2253">
        <v>283.09269999999998</v>
      </c>
      <c r="J2253">
        <v>-353.91489999999999</v>
      </c>
      <c r="K2253">
        <v>1.1098669999999999</v>
      </c>
      <c r="L2253">
        <v>282.95800000000003</v>
      </c>
      <c r="M2253">
        <v>-0.99938979999999999</v>
      </c>
      <c r="N2253">
        <v>0</v>
      </c>
      <c r="O2253">
        <v>-3.1675950000000001E-2</v>
      </c>
      <c r="P2253">
        <v>-0.99871670000000001</v>
      </c>
      <c r="Q2253">
        <v>2.438587E-2</v>
      </c>
      <c r="R2253">
        <v>4.4393000000000002E-2</v>
      </c>
      <c r="S2253">
        <v>-3.0087890000000002</v>
      </c>
      <c r="T2253">
        <v>-0.81828509999999999</v>
      </c>
      <c r="U2253">
        <v>0.41101070000000001</v>
      </c>
      <c r="V2253">
        <v>7.6009300000000002E-2</v>
      </c>
      <c r="W2253">
        <v>3.9065740000000002E-2</v>
      </c>
      <c r="X2253">
        <v>0.99634149999999999</v>
      </c>
      <c r="Y2253">
        <v>0.1598282</v>
      </c>
      <c r="Z2253">
        <v>2.9680890000000001E-2</v>
      </c>
      <c r="AA2253">
        <v>0.98669850000000003</v>
      </c>
      <c r="AB2253">
        <v>47</v>
      </c>
      <c r="AC2253">
        <v>-0.65690000000000703</v>
      </c>
      <c r="AD2253">
        <v>-0.25112289999999998</v>
      </c>
      <c r="AE2253">
        <v>0.13470000000000901</v>
      </c>
      <c r="AF2253">
        <v>0.136323865772287</v>
      </c>
      <c r="AG2253">
        <v>-0.25112289999999998</v>
      </c>
      <c r="AH2253">
        <v>0.57207284174661899</v>
      </c>
      <c r="AI2253">
        <v>113.12312971972</v>
      </c>
      <c r="AJ2253">
        <v>76.596503695826101</v>
      </c>
      <c r="AK2253">
        <v>0.63946402834527205</v>
      </c>
      <c r="AL2253">
        <v>87.761128181019103</v>
      </c>
      <c r="AM2253">
        <v>85.637446732623502</v>
      </c>
      <c r="AN2253">
        <v>0.99999996517524303</v>
      </c>
    </row>
    <row r="2254" spans="1:40" x14ac:dyDescent="0.25">
      <c r="A2254" t="str">
        <f>"20190312154840261"</f>
        <v>20190312154840261</v>
      </c>
      <c r="B2254" t="str">
        <f>"1552376920257708"</f>
        <v>1552376920257708</v>
      </c>
      <c r="C2254" t="s">
        <v>40</v>
      </c>
      <c r="D2254">
        <v>4.8332819999999996</v>
      </c>
      <c r="E2254">
        <v>0.54057659999999996</v>
      </c>
      <c r="F2254" t="s">
        <v>41</v>
      </c>
      <c r="G2254">
        <v>-354.59559999999999</v>
      </c>
      <c r="H2254">
        <v>0.9213846</v>
      </c>
      <c r="I2254">
        <v>283.0505</v>
      </c>
      <c r="J2254">
        <v>-354.2552</v>
      </c>
      <c r="K2254">
        <v>1.1098250000000001</v>
      </c>
      <c r="L2254">
        <v>282.94709999999998</v>
      </c>
      <c r="M2254">
        <v>-0.99938939999999998</v>
      </c>
      <c r="N2254">
        <v>0</v>
      </c>
      <c r="O2254">
        <v>-3.1686789999999999E-2</v>
      </c>
      <c r="P2254">
        <v>-0.99891569999999996</v>
      </c>
      <c r="Q2254">
        <v>1.584853E-2</v>
      </c>
      <c r="R2254">
        <v>4.3773989999999999E-2</v>
      </c>
      <c r="S2254">
        <v>-3.0060730000000002</v>
      </c>
      <c r="T2254">
        <v>-0.83227249999999997</v>
      </c>
      <c r="U2254">
        <v>0.40826420000000002</v>
      </c>
      <c r="V2254">
        <v>7.5407470000000004E-2</v>
      </c>
      <c r="W2254">
        <v>3.0531260000000001E-2</v>
      </c>
      <c r="X2254">
        <v>0.9966853</v>
      </c>
      <c r="Y2254">
        <v>0.15886359999999999</v>
      </c>
      <c r="Z2254">
        <v>3.0070469999999998E-2</v>
      </c>
      <c r="AA2254">
        <v>0.98684249999999996</v>
      </c>
      <c r="AB2254">
        <v>47</v>
      </c>
      <c r="AC2254">
        <v>-0.34039999999998799</v>
      </c>
      <c r="AD2254">
        <v>-0.18844040000000001</v>
      </c>
      <c r="AE2254">
        <v>0.103400000000021</v>
      </c>
      <c r="AF2254">
        <v>8.9128715030676806E-2</v>
      </c>
      <c r="AG2254">
        <v>-0.18844040000000001</v>
      </c>
      <c r="AH2254">
        <v>0.26312710262517203</v>
      </c>
      <c r="AI2254">
        <v>124.149067740227</v>
      </c>
      <c r="AJ2254">
        <v>71.287281726558106</v>
      </c>
      <c r="AK2254">
        <v>0.335692693294175</v>
      </c>
      <c r="AL2254">
        <v>88.250415799841093</v>
      </c>
      <c r="AM2254">
        <v>85.673344279103404</v>
      </c>
      <c r="AN2254">
        <v>1.00000001580253</v>
      </c>
    </row>
    <row r="2255" spans="1:40" x14ac:dyDescent="0.25">
      <c r="A2255" t="str">
        <f>"20190312154840273"</f>
        <v>20190312154840273</v>
      </c>
      <c r="B2255" t="str">
        <f>"1552376920268444"</f>
        <v>1552376920268444</v>
      </c>
      <c r="C2255" t="s">
        <v>40</v>
      </c>
      <c r="D2255">
        <v>4.65001</v>
      </c>
      <c r="E2255">
        <v>0.540678199999999</v>
      </c>
      <c r="F2255" t="s">
        <v>41</v>
      </c>
      <c r="G2255">
        <v>-355.00220000000002</v>
      </c>
      <c r="H2255">
        <v>0.89502999999999899</v>
      </c>
      <c r="I2255">
        <v>283.0489</v>
      </c>
      <c r="J2255">
        <v>-354.5093</v>
      </c>
      <c r="K2255">
        <v>1.109809</v>
      </c>
      <c r="L2255">
        <v>282.9391</v>
      </c>
      <c r="M2255">
        <v>-0.99938910000000003</v>
      </c>
      <c r="N2255">
        <v>0</v>
      </c>
      <c r="O2255">
        <v>-3.1694760000000002E-2</v>
      </c>
      <c r="P2255">
        <v>-0.99898319999999996</v>
      </c>
      <c r="Q2255">
        <v>1.1654629999999999E-2</v>
      </c>
      <c r="R2255">
        <v>4.3548490000000002E-2</v>
      </c>
      <c r="S2255">
        <v>-2.9990230000000002</v>
      </c>
      <c r="T2255">
        <v>-0.86223050000000001</v>
      </c>
      <c r="U2255">
        <v>0.40869139999999998</v>
      </c>
      <c r="V2255">
        <v>7.5192270000000005E-2</v>
      </c>
      <c r="W2255">
        <v>2.6337739999999998E-2</v>
      </c>
      <c r="X2255">
        <v>0.99682119999999996</v>
      </c>
      <c r="Y2255">
        <v>0.1587808</v>
      </c>
      <c r="Z2255">
        <v>3.1172160000000001E-2</v>
      </c>
      <c r="AA2255">
        <v>0.98682170000000002</v>
      </c>
      <c r="AB2255">
        <v>47</v>
      </c>
      <c r="AC2255">
        <v>-0.49290000000001999</v>
      </c>
      <c r="AD2255">
        <v>-0.214779</v>
      </c>
      <c r="AE2255">
        <v>0.109800000000006</v>
      </c>
      <c r="AF2255">
        <v>0.10616405723644901</v>
      </c>
      <c r="AG2255">
        <v>-0.214779</v>
      </c>
      <c r="AH2255">
        <v>0.41423736242327203</v>
      </c>
      <c r="AI2255">
        <v>116.66853922974801</v>
      </c>
      <c r="AJ2255">
        <v>75.625179277590902</v>
      </c>
      <c r="AK2255">
        <v>0.47853256766629099</v>
      </c>
      <c r="AL2255">
        <v>88.490784181543205</v>
      </c>
      <c r="AM2255">
        <v>85.686231095961304</v>
      </c>
      <c r="AN2255">
        <v>1.00000002939274</v>
      </c>
    </row>
    <row r="2256" spans="1:40" x14ac:dyDescent="0.25">
      <c r="A2256" t="str">
        <f>"20190312154840286"</f>
        <v>20190312154840286</v>
      </c>
      <c r="B2256" t="str">
        <f>"1552376920278204"</f>
        <v>1552376920278204</v>
      </c>
      <c r="C2256" t="s">
        <v>40</v>
      </c>
      <c r="D2256">
        <v>4.651853</v>
      </c>
      <c r="E2256">
        <v>0.54075069999999903</v>
      </c>
      <c r="F2256" t="s">
        <v>41</v>
      </c>
      <c r="G2256">
        <v>-355.40129999999999</v>
      </c>
      <c r="H2256">
        <v>0.84890319999999997</v>
      </c>
      <c r="I2256">
        <v>283.06079999999997</v>
      </c>
      <c r="J2256">
        <v>-354.7842</v>
      </c>
      <c r="K2256">
        <v>1.109793</v>
      </c>
      <c r="L2256">
        <v>282.93040000000002</v>
      </c>
      <c r="M2256">
        <v>-0.99938879999999997</v>
      </c>
      <c r="N2256">
        <v>0</v>
      </c>
      <c r="O2256">
        <v>-3.1703700000000001E-2</v>
      </c>
      <c r="P2256">
        <v>-0.99902360000000001</v>
      </c>
      <c r="Q2256">
        <v>7.7694510000000001E-3</v>
      </c>
      <c r="R2256">
        <v>4.349103E-2</v>
      </c>
      <c r="S2256">
        <v>-2.9954529999999999</v>
      </c>
      <c r="T2256">
        <v>-0.87614179999999997</v>
      </c>
      <c r="U2256">
        <v>0.40826420000000002</v>
      </c>
      <c r="V2256">
        <v>7.5145219999999999E-2</v>
      </c>
      <c r="W2256">
        <v>2.2452199999999999E-2</v>
      </c>
      <c r="X2256">
        <v>0.99691980000000002</v>
      </c>
      <c r="Y2256">
        <v>0.15855739999999999</v>
      </c>
      <c r="Z2256">
        <v>3.1662210000000003E-2</v>
      </c>
      <c r="AA2256">
        <v>0.986842</v>
      </c>
      <c r="AB2256">
        <v>47</v>
      </c>
      <c r="AC2256">
        <v>-0.61709999999999299</v>
      </c>
      <c r="AD2256">
        <v>-0.26088980000000001</v>
      </c>
      <c r="AE2256">
        <v>0.130399999999951</v>
      </c>
      <c r="AF2256">
        <v>0.128000898705424</v>
      </c>
      <c r="AG2256">
        <v>-0.26088980000000001</v>
      </c>
      <c r="AH2256">
        <v>0.52314828986956197</v>
      </c>
      <c r="AI2256">
        <v>115.845691793303</v>
      </c>
      <c r="AJ2256">
        <v>76.251309597732501</v>
      </c>
      <c r="AK2256">
        <v>0.59844118425028503</v>
      </c>
      <c r="AL2256">
        <v>88.713475589506402</v>
      </c>
      <c r="AM2256">
        <v>85.689344946363093</v>
      </c>
      <c r="AN2256">
        <v>0.99999999650286397</v>
      </c>
    </row>
    <row r="2257" spans="1:40" x14ac:dyDescent="0.25">
      <c r="A2257" t="str">
        <f>"20190312154840298"</f>
        <v>20190312154840298</v>
      </c>
      <c r="B2257" t="str">
        <f>"1552376920287964"</f>
        <v>1552376920287964</v>
      </c>
      <c r="C2257" t="s">
        <v>40</v>
      </c>
      <c r="D2257">
        <v>4.6582600000000003</v>
      </c>
      <c r="E2257">
        <v>0.54084759999999998</v>
      </c>
      <c r="F2257" t="s">
        <v>41</v>
      </c>
      <c r="G2257">
        <v>-355.80180000000001</v>
      </c>
      <c r="H2257">
        <v>0.80755540000000003</v>
      </c>
      <c r="I2257">
        <v>283.06889999999999</v>
      </c>
      <c r="J2257">
        <v>-355.0591</v>
      </c>
      <c r="K2257">
        <v>1.10978</v>
      </c>
      <c r="L2257">
        <v>282.92160000000001</v>
      </c>
      <c r="M2257">
        <v>-0.99938859999999996</v>
      </c>
      <c r="N2257">
        <v>0</v>
      </c>
      <c r="O2257">
        <v>-3.1712629999999999E-2</v>
      </c>
      <c r="P2257">
        <v>-0.99904170000000003</v>
      </c>
      <c r="Q2257">
        <v>4.4491699999999997E-3</v>
      </c>
      <c r="R2257">
        <v>4.3543489999999997E-2</v>
      </c>
      <c r="S2257">
        <v>-2.992035</v>
      </c>
      <c r="T2257">
        <v>-0.88862050000000004</v>
      </c>
      <c r="U2257">
        <v>0.40814210000000001</v>
      </c>
      <c r="V2257">
        <v>7.5207170000000004E-2</v>
      </c>
      <c r="W2257">
        <v>1.9130790000000002E-2</v>
      </c>
      <c r="X2257">
        <v>0.99698439999999999</v>
      </c>
      <c r="Y2257">
        <v>0.1584438</v>
      </c>
      <c r="Z2257">
        <v>3.2115970000000001E-2</v>
      </c>
      <c r="AA2257">
        <v>0.98684559999999999</v>
      </c>
      <c r="AB2257">
        <v>47</v>
      </c>
      <c r="AC2257">
        <v>-0.74270000000001302</v>
      </c>
      <c r="AD2257">
        <v>-0.30222459999999901</v>
      </c>
      <c r="AE2257">
        <v>0.14729999999997201</v>
      </c>
      <c r="AF2257">
        <v>0.147311392884974</v>
      </c>
      <c r="AG2257">
        <v>-0.30222459999999901</v>
      </c>
      <c r="AH2257">
        <v>0.636280719875286</v>
      </c>
      <c r="AI2257">
        <v>114.832162889266</v>
      </c>
      <c r="AJ2257">
        <v>76.964576281782598</v>
      </c>
      <c r="AK2257">
        <v>0.71964818474299197</v>
      </c>
      <c r="AL2257">
        <v>88.903819602326706</v>
      </c>
      <c r="AM2257">
        <v>85.686083122406799</v>
      </c>
      <c r="AN2257">
        <v>0.99999999969439601</v>
      </c>
    </row>
    <row r="2258" spans="1:40" x14ac:dyDescent="0.25">
      <c r="A2258" t="str">
        <f>"20190312154840312"</f>
        <v>20190312154840312</v>
      </c>
      <c r="B2258" t="str">
        <f>"1552376920308461"</f>
        <v>1552376920308461</v>
      </c>
      <c r="C2258" t="s">
        <v>40</v>
      </c>
      <c r="D2258">
        <v>4.6845460000000001</v>
      </c>
      <c r="E2258">
        <v>0.54095139999999997</v>
      </c>
      <c r="F2258" t="s">
        <v>41</v>
      </c>
      <c r="G2258">
        <v>-355.8288</v>
      </c>
      <c r="H2258">
        <v>0.87813090000000005</v>
      </c>
      <c r="I2258">
        <v>283.02659999999997</v>
      </c>
      <c r="J2258">
        <v>-355.3109</v>
      </c>
      <c r="K2258">
        <v>1.109774</v>
      </c>
      <c r="L2258">
        <v>282.91359999999997</v>
      </c>
      <c r="M2258">
        <v>-0.99938830000000001</v>
      </c>
      <c r="N2258">
        <v>0</v>
      </c>
      <c r="O2258">
        <v>-3.1720959999999999E-2</v>
      </c>
      <c r="P2258">
        <v>-0.99904630000000005</v>
      </c>
      <c r="Q2258">
        <v>1.8743589999999999E-3</v>
      </c>
      <c r="R2258">
        <v>4.3624429999999999E-2</v>
      </c>
      <c r="S2258">
        <v>-2.9890750000000001</v>
      </c>
      <c r="T2258">
        <v>-0.89951320000000001</v>
      </c>
      <c r="U2258">
        <v>0.40872190000000003</v>
      </c>
      <c r="V2258">
        <v>7.5296470000000004E-2</v>
      </c>
      <c r="W2258">
        <v>1.6555810000000001E-2</v>
      </c>
      <c r="X2258">
        <v>0.99702380000000002</v>
      </c>
      <c r="Y2258">
        <v>0.1585551</v>
      </c>
      <c r="Z2258">
        <v>3.25422E-2</v>
      </c>
      <c r="AA2258">
        <v>0.98681370000000002</v>
      </c>
      <c r="AB2258">
        <v>47</v>
      </c>
      <c r="AC2258">
        <v>-0.51789999999999703</v>
      </c>
      <c r="AD2258">
        <v>-0.23164309999999899</v>
      </c>
      <c r="AE2258">
        <v>0.112999999999999</v>
      </c>
      <c r="AF2258">
        <v>0.108629075423007</v>
      </c>
      <c r="AG2258">
        <v>-0.23164309999999899</v>
      </c>
      <c r="AH2258">
        <v>0.431629315654107</v>
      </c>
      <c r="AI2258">
        <v>117.49437614694899</v>
      </c>
      <c r="AJ2258">
        <v>75.873620952364504</v>
      </c>
      <c r="AK2258">
        <v>0.50175957184382602</v>
      </c>
      <c r="AL2258">
        <v>89.051378674497997</v>
      </c>
      <c r="AM2258">
        <v>85.681150236893799</v>
      </c>
      <c r="AN2258">
        <v>1.0000000555028199</v>
      </c>
    </row>
    <row r="2259" spans="1:40" x14ac:dyDescent="0.25">
      <c r="A2259" t="str">
        <f>"20190312154840327"</f>
        <v>20190312154840327</v>
      </c>
      <c r="B2259" t="str">
        <f>"1552376920318221"</f>
        <v>1552376920318221</v>
      </c>
      <c r="C2259" t="s">
        <v>40</v>
      </c>
      <c r="D2259">
        <v>4.6635390000000001</v>
      </c>
      <c r="E2259">
        <v>0.54094830000000005</v>
      </c>
      <c r="F2259" t="s">
        <v>41</v>
      </c>
      <c r="G2259">
        <v>-356.22699999999998</v>
      </c>
      <c r="H2259">
        <v>0.83130759999999904</v>
      </c>
      <c r="I2259">
        <v>283.03930000000003</v>
      </c>
      <c r="J2259">
        <v>-355.64600000000002</v>
      </c>
      <c r="K2259">
        <v>1.1097629999999901</v>
      </c>
      <c r="L2259">
        <v>282.90300000000002</v>
      </c>
      <c r="M2259">
        <v>-0.99938800000000005</v>
      </c>
      <c r="N2259">
        <v>0</v>
      </c>
      <c r="O2259">
        <v>-3.1731910000000002E-2</v>
      </c>
      <c r="P2259">
        <v>-0.99901660000000003</v>
      </c>
      <c r="Q2259">
        <v>7.1541589999999896E-4</v>
      </c>
      <c r="R2259">
        <v>4.4334320000000003E-2</v>
      </c>
      <c r="S2259">
        <v>-2.986694</v>
      </c>
      <c r="T2259">
        <v>-0.90792729999999999</v>
      </c>
      <c r="U2259">
        <v>0.40939330000000002</v>
      </c>
      <c r="V2259">
        <v>7.6016169999999994E-2</v>
      </c>
      <c r="W2259">
        <v>1.539391E-2</v>
      </c>
      <c r="X2259">
        <v>0.99698779999999998</v>
      </c>
      <c r="Y2259">
        <v>0.15871640000000001</v>
      </c>
      <c r="Z2259">
        <v>3.2885169999999998E-2</v>
      </c>
      <c r="AA2259">
        <v>0.9867764</v>
      </c>
      <c r="AB2259">
        <v>47</v>
      </c>
      <c r="AC2259">
        <v>-0.58100000000001695</v>
      </c>
      <c r="AD2259">
        <v>-0.27845539999999902</v>
      </c>
      <c r="AE2259">
        <v>0.136300000000005</v>
      </c>
      <c r="AF2259">
        <v>0.12701604533472999</v>
      </c>
      <c r="AG2259">
        <v>-0.27845539999999902</v>
      </c>
      <c r="AH2259">
        <v>0.47332990832306898</v>
      </c>
      <c r="AI2259">
        <v>119.604737785124</v>
      </c>
      <c r="AJ2259">
        <v>74.978805750852601</v>
      </c>
      <c r="AK2259">
        <v>0.56365919461564595</v>
      </c>
      <c r="AL2259">
        <v>89.117959133720703</v>
      </c>
      <c r="AM2259">
        <v>85.639871332875799</v>
      </c>
      <c r="AN2259">
        <v>1.0000000519576899</v>
      </c>
    </row>
    <row r="2260" spans="1:40" x14ac:dyDescent="0.25">
      <c r="A2260" t="str">
        <f>"20190312154840351"</f>
        <v>20190312154840351</v>
      </c>
      <c r="B2260" t="str">
        <f>"1552376920348476"</f>
        <v>1552376920348476</v>
      </c>
      <c r="C2260" t="s">
        <v>40</v>
      </c>
      <c r="D2260">
        <v>4.7011789999999998</v>
      </c>
      <c r="E2260">
        <v>0.5409043</v>
      </c>
      <c r="F2260" t="s">
        <v>41</v>
      </c>
      <c r="G2260">
        <v>-356.63420000000002</v>
      </c>
      <c r="H2260">
        <v>0.80805640000000001</v>
      </c>
      <c r="I2260">
        <v>283.03879999999998</v>
      </c>
      <c r="J2260">
        <v>-356.12349999999998</v>
      </c>
      <c r="K2260">
        <v>1.1097729999999999</v>
      </c>
      <c r="L2260">
        <v>282.88780000000003</v>
      </c>
      <c r="M2260">
        <v>-0.99938760000000004</v>
      </c>
      <c r="N2260">
        <v>0</v>
      </c>
      <c r="O2260">
        <v>-3.1747280000000003E-2</v>
      </c>
      <c r="P2260">
        <v>-0.99895319999999999</v>
      </c>
      <c r="Q2260">
        <v>1.2675189999999999E-3</v>
      </c>
      <c r="R2260">
        <v>4.5729159999999998E-2</v>
      </c>
      <c r="S2260">
        <v>-2.985382</v>
      </c>
      <c r="T2260">
        <v>-0.91139049999999999</v>
      </c>
      <c r="U2260">
        <v>0.41067500000000001</v>
      </c>
      <c r="V2260">
        <v>7.7423569999999997E-2</v>
      </c>
      <c r="W2260">
        <v>1.5942680000000001E-2</v>
      </c>
      <c r="X2260">
        <v>0.99687079999999995</v>
      </c>
      <c r="Y2260">
        <v>0.15911710000000001</v>
      </c>
      <c r="Z2260">
        <v>3.3082210000000001E-2</v>
      </c>
      <c r="AA2260">
        <v>0.98670530000000001</v>
      </c>
      <c r="AB2260">
        <v>47</v>
      </c>
      <c r="AC2260">
        <v>-0.51070000000004201</v>
      </c>
      <c r="AD2260">
        <v>-0.301716599999999</v>
      </c>
      <c r="AE2260">
        <v>0.15099999999995301</v>
      </c>
      <c r="AF2260">
        <v>0.126527161234497</v>
      </c>
      <c r="AG2260">
        <v>-0.301716599999999</v>
      </c>
      <c r="AH2260">
        <v>0.38278463454522499</v>
      </c>
      <c r="AI2260">
        <v>126.81082631177701</v>
      </c>
      <c r="AJ2260">
        <v>71.709007066964304</v>
      </c>
      <c r="AK2260">
        <v>0.50355347848023202</v>
      </c>
      <c r="AL2260">
        <v>89.086513008755503</v>
      </c>
      <c r="AM2260">
        <v>85.558946671708796</v>
      </c>
      <c r="AN2260">
        <v>0.99999998506488297</v>
      </c>
    </row>
    <row r="2261" spans="1:40" x14ac:dyDescent="0.25">
      <c r="A2261" t="str">
        <f>"20190312154840366"</f>
        <v>20190312154840366</v>
      </c>
      <c r="B2261" t="str">
        <f>"1552376920358236"</f>
        <v>1552376920358236</v>
      </c>
      <c r="C2261" t="s">
        <v>40</v>
      </c>
      <c r="D2261">
        <v>4.7203350000000004</v>
      </c>
      <c r="E2261">
        <v>0.54094049999999905</v>
      </c>
      <c r="F2261" t="s">
        <v>41</v>
      </c>
      <c r="G2261">
        <v>-357.05680000000001</v>
      </c>
      <c r="H2261">
        <v>0.82589239999999997</v>
      </c>
      <c r="I2261">
        <v>283.01749999999998</v>
      </c>
      <c r="J2261">
        <v>-356.43740000000003</v>
      </c>
      <c r="K2261">
        <v>1.10978</v>
      </c>
      <c r="L2261">
        <v>282.87790000000001</v>
      </c>
      <c r="M2261">
        <v>-0.99938729999999998</v>
      </c>
      <c r="N2261">
        <v>0</v>
      </c>
      <c r="O2261">
        <v>-3.1757399999999998E-2</v>
      </c>
      <c r="P2261">
        <v>-0.99891909999999895</v>
      </c>
      <c r="Q2261">
        <v>2.3583789999999999E-3</v>
      </c>
      <c r="R2261">
        <v>4.6424960000000001E-2</v>
      </c>
      <c r="S2261">
        <v>-2.9853209999999999</v>
      </c>
      <c r="T2261">
        <v>-0.90803769999999995</v>
      </c>
      <c r="U2261">
        <v>0.41427609999999898</v>
      </c>
      <c r="V2261">
        <v>7.8128039999999996E-2</v>
      </c>
      <c r="W2261">
        <v>1.7030670000000001E-2</v>
      </c>
      <c r="X2261">
        <v>0.99679790000000001</v>
      </c>
      <c r="Y2261">
        <v>0.1603069</v>
      </c>
      <c r="Z2261">
        <v>3.3143020000000002E-2</v>
      </c>
      <c r="AA2261">
        <v>0.98651060000000002</v>
      </c>
      <c r="AB2261">
        <v>47</v>
      </c>
      <c r="AC2261">
        <v>-0.61939999999998396</v>
      </c>
      <c r="AD2261">
        <v>-0.28388759999999902</v>
      </c>
      <c r="AE2261">
        <v>0.139599999999973</v>
      </c>
      <c r="AF2261">
        <v>0.132678603563368</v>
      </c>
      <c r="AG2261">
        <v>-0.28388759999999902</v>
      </c>
      <c r="AH2261">
        <v>0.51225031193832504</v>
      </c>
      <c r="AI2261">
        <v>118.213260387608</v>
      </c>
      <c r="AJ2261">
        <v>75.478859594828705</v>
      </c>
      <c r="AK2261">
        <v>0.60049659729110605</v>
      </c>
      <c r="AL2261">
        <v>89.024167353328295</v>
      </c>
      <c r="AM2261">
        <v>85.518375388790005</v>
      </c>
      <c r="AN2261">
        <v>1.0000000438996399</v>
      </c>
    </row>
    <row r="2262" spans="1:40" x14ac:dyDescent="0.25">
      <c r="A2262" t="str">
        <f>"20190312154840383"</f>
        <v>20190312154840383</v>
      </c>
      <c r="B2262" t="str">
        <f>"1552376920377756"</f>
        <v>1552376920377756</v>
      </c>
      <c r="C2262" t="s">
        <v>40</v>
      </c>
      <c r="D2262">
        <v>4.7126229999999998</v>
      </c>
      <c r="E2262">
        <v>0.5408636</v>
      </c>
      <c r="F2262" t="s">
        <v>41</v>
      </c>
      <c r="G2262">
        <v>-357.46230000000003</v>
      </c>
      <c r="H2262">
        <v>0.79927490000000001</v>
      </c>
      <c r="I2262">
        <v>283.02089999999998</v>
      </c>
      <c r="J2262">
        <v>-356.81369999999998</v>
      </c>
      <c r="K2262">
        <v>1.109799</v>
      </c>
      <c r="L2262">
        <v>282.86599999999999</v>
      </c>
      <c r="M2262">
        <v>-0.99938700000000003</v>
      </c>
      <c r="N2262">
        <v>0</v>
      </c>
      <c r="O2262">
        <v>-3.176884E-2</v>
      </c>
      <c r="P2262">
        <v>-0.99881560000000003</v>
      </c>
      <c r="Q2262">
        <v>5.0305130000000003E-3</v>
      </c>
      <c r="R2262">
        <v>4.8395859999999999E-2</v>
      </c>
      <c r="S2262">
        <v>-2.9860530000000001</v>
      </c>
      <c r="T2262">
        <v>-0.90465379999999995</v>
      </c>
      <c r="U2262">
        <v>0.41632079999999999</v>
      </c>
      <c r="V2262">
        <v>8.010594E-2</v>
      </c>
      <c r="W2262">
        <v>1.969812E-2</v>
      </c>
      <c r="X2262">
        <v>0.99659169999999997</v>
      </c>
      <c r="Y2262">
        <v>0.16098470000000001</v>
      </c>
      <c r="Z2262">
        <v>3.3118969999999998E-2</v>
      </c>
      <c r="AA2262">
        <v>0.98640110000000003</v>
      </c>
      <c r="AB2262">
        <v>47</v>
      </c>
      <c r="AC2262">
        <v>-0.64860000000004403</v>
      </c>
      <c r="AD2262">
        <v>-0.31052410000000003</v>
      </c>
      <c r="AE2262">
        <v>0.15489999999999701</v>
      </c>
      <c r="AF2262">
        <v>0.14416747549085401</v>
      </c>
      <c r="AG2262">
        <v>-0.31052410000000003</v>
      </c>
      <c r="AH2262">
        <v>0.52870469519135599</v>
      </c>
      <c r="AI2262">
        <v>119.53768671195</v>
      </c>
      <c r="AJ2262">
        <v>74.747374177986103</v>
      </c>
      <c r="AK2262">
        <v>0.62987152054018203</v>
      </c>
      <c r="AL2262">
        <v>88.871307856525604</v>
      </c>
      <c r="AM2262">
        <v>85.404451216183503</v>
      </c>
      <c r="AN2262">
        <v>0.99999999703185305</v>
      </c>
    </row>
    <row r="2263" spans="1:40" x14ac:dyDescent="0.25">
      <c r="A2263" t="str">
        <f>"20190312154840396"</f>
        <v>20190312154840396</v>
      </c>
      <c r="B2263" t="str">
        <f>"1552376920388493"</f>
        <v>1552376920388493</v>
      </c>
      <c r="C2263" t="s">
        <v>40</v>
      </c>
      <c r="D2263">
        <v>4.658779</v>
      </c>
      <c r="E2263">
        <v>0.54087629999999998</v>
      </c>
      <c r="F2263" t="s">
        <v>41</v>
      </c>
      <c r="G2263">
        <v>-357.5025</v>
      </c>
      <c r="H2263">
        <v>0.90342710000000004</v>
      </c>
      <c r="I2263">
        <v>282.96319999999997</v>
      </c>
      <c r="J2263">
        <v>-357.0582</v>
      </c>
      <c r="K2263">
        <v>1.1098059999999901</v>
      </c>
      <c r="L2263">
        <v>282.85820000000001</v>
      </c>
      <c r="M2263">
        <v>-0.99938669999999996</v>
      </c>
      <c r="N2263">
        <v>0</v>
      </c>
      <c r="O2263">
        <v>-3.1776810000000003E-2</v>
      </c>
      <c r="P2263">
        <v>-0.99875460000000005</v>
      </c>
      <c r="Q2263">
        <v>6.471816E-3</v>
      </c>
      <c r="R2263">
        <v>4.947418E-2</v>
      </c>
      <c r="S2263">
        <v>-2.9876710000000002</v>
      </c>
      <c r="T2263">
        <v>-0.89512800000000003</v>
      </c>
      <c r="U2263">
        <v>0.420929</v>
      </c>
      <c r="V2263">
        <v>8.1189720000000007E-2</v>
      </c>
      <c r="W2263">
        <v>2.1136439999999999E-2</v>
      </c>
      <c r="X2263">
        <v>0.99647450000000004</v>
      </c>
      <c r="Y2263">
        <v>0.1625296</v>
      </c>
      <c r="Z2263">
        <v>3.2992489999999999E-2</v>
      </c>
      <c r="AA2263">
        <v>0.98615189999999997</v>
      </c>
      <c r="AB2263">
        <v>47</v>
      </c>
      <c r="AC2263">
        <v>-0.44429999999999797</v>
      </c>
      <c r="AD2263">
        <v>-0.206378899999999</v>
      </c>
      <c r="AE2263">
        <v>0.104999999999961</v>
      </c>
      <c r="AF2263">
        <v>9.8864020738955893E-2</v>
      </c>
      <c r="AG2263">
        <v>-0.206378899999999</v>
      </c>
      <c r="AH2263">
        <v>0.36595548319175802</v>
      </c>
      <c r="AI2263">
        <v>118.565122133248</v>
      </c>
      <c r="AJ2263">
        <v>74.882247413221506</v>
      </c>
      <c r="AK2263">
        <v>0.43161297552320599</v>
      </c>
      <c r="AL2263">
        <v>88.788880973971004</v>
      </c>
      <c r="AM2263">
        <v>85.342002842477996</v>
      </c>
      <c r="AN2263">
        <v>0.99999997443989996</v>
      </c>
    </row>
    <row r="2264" spans="1:40" x14ac:dyDescent="0.25">
      <c r="A2264" t="str">
        <f>"20190312154840408"</f>
        <v>20190312154840408</v>
      </c>
      <c r="B2264" t="str">
        <f>"1552376920398252"</f>
        <v>1552376920398252</v>
      </c>
      <c r="C2264" t="s">
        <v>40</v>
      </c>
      <c r="D2264">
        <v>4.7557429999999998</v>
      </c>
      <c r="E2264">
        <v>0.54087109999999905</v>
      </c>
      <c r="F2264" t="s">
        <v>41</v>
      </c>
      <c r="G2264">
        <v>-357.90039999999999</v>
      </c>
      <c r="H2264">
        <v>0.85843749999999996</v>
      </c>
      <c r="I2264">
        <v>282.97770000000003</v>
      </c>
      <c r="J2264">
        <v>-357.33080000000001</v>
      </c>
      <c r="K2264">
        <v>1.1098140000000001</v>
      </c>
      <c r="L2264">
        <v>282.84949999999998</v>
      </c>
      <c r="M2264">
        <v>-0.99938649999999996</v>
      </c>
      <c r="N2264">
        <v>0</v>
      </c>
      <c r="O2264">
        <v>-3.1785260000000003E-2</v>
      </c>
      <c r="P2264">
        <v>-0.99868579999999996</v>
      </c>
      <c r="Q2264">
        <v>7.68018E-3</v>
      </c>
      <c r="R2264">
        <v>5.0674700000000003E-2</v>
      </c>
      <c r="S2264">
        <v>-2.988556</v>
      </c>
      <c r="T2264">
        <v>-0.89189799999999997</v>
      </c>
      <c r="U2264">
        <v>0.42367549999999998</v>
      </c>
      <c r="V2264">
        <v>8.2395839999999998E-2</v>
      </c>
      <c r="W2264">
        <v>2.2341610000000001E-2</v>
      </c>
      <c r="X2264">
        <v>0.99634920000000005</v>
      </c>
      <c r="Y2264">
        <v>0.16341310000000001</v>
      </c>
      <c r="Z2264">
        <v>3.2998039999999999E-2</v>
      </c>
      <c r="AA2264">
        <v>0.98600569999999998</v>
      </c>
      <c r="AB2264">
        <v>46</v>
      </c>
      <c r="AC2264">
        <v>-0.56959999999997901</v>
      </c>
      <c r="AD2264">
        <v>-0.251376499999999</v>
      </c>
      <c r="AE2264">
        <v>0.128200000000049</v>
      </c>
      <c r="AF2264">
        <v>0.123372086658253</v>
      </c>
      <c r="AG2264">
        <v>-0.251376499999999</v>
      </c>
      <c r="AH2264">
        <v>0.47684263869145099</v>
      </c>
      <c r="AI2264">
        <v>117.038109959973</v>
      </c>
      <c r="AJ2264">
        <v>75.494121712965807</v>
      </c>
      <c r="AK2264">
        <v>0.55298256626487496</v>
      </c>
      <c r="AL2264">
        <v>88.719813492285397</v>
      </c>
      <c r="AM2264">
        <v>85.272525134638897</v>
      </c>
      <c r="AN2264">
        <v>0.99999997516366801</v>
      </c>
    </row>
    <row r="2265" spans="1:40" x14ac:dyDescent="0.25">
      <c r="A2265" t="str">
        <f>"20190312154840420"</f>
        <v>20190312154840420</v>
      </c>
      <c r="B2265" t="str">
        <f>"1552376920417772"</f>
        <v>1552376920417772</v>
      </c>
      <c r="C2265" t="s">
        <v>40</v>
      </c>
      <c r="D2265">
        <v>4.7729350000000004</v>
      </c>
      <c r="E2265">
        <v>0.54092910000000005</v>
      </c>
      <c r="F2265" t="s">
        <v>41</v>
      </c>
      <c r="G2265">
        <v>-358.30110000000002</v>
      </c>
      <c r="H2265">
        <v>0.8216059</v>
      </c>
      <c r="I2265">
        <v>282.988</v>
      </c>
      <c r="J2265">
        <v>-357.59230000000002</v>
      </c>
      <c r="K2265">
        <v>1.109815</v>
      </c>
      <c r="L2265">
        <v>282.84120000000001</v>
      </c>
      <c r="M2265">
        <v>-0.99938629999999995</v>
      </c>
      <c r="N2265">
        <v>0</v>
      </c>
      <c r="O2265">
        <v>-3.1793479999999999E-2</v>
      </c>
      <c r="P2265">
        <v>-0.9986235</v>
      </c>
      <c r="Q2265">
        <v>9.1574970000000006E-3</v>
      </c>
      <c r="R2265">
        <v>5.1647650000000003E-2</v>
      </c>
      <c r="S2265">
        <v>-2.9891359999999998</v>
      </c>
      <c r="T2265">
        <v>-0.88774229999999998</v>
      </c>
      <c r="U2265">
        <v>0.42660520000000002</v>
      </c>
      <c r="V2265">
        <v>8.3374610000000002E-2</v>
      </c>
      <c r="W2265">
        <v>2.3816070000000002E-2</v>
      </c>
      <c r="X2265">
        <v>0.99623360000000005</v>
      </c>
      <c r="Y2265">
        <v>0.1643809</v>
      </c>
      <c r="Z2265">
        <v>3.2984819999999998E-2</v>
      </c>
      <c r="AA2265">
        <v>0.98584530000000004</v>
      </c>
      <c r="AB2265">
        <v>46</v>
      </c>
      <c r="AC2265">
        <v>-0.70879999999999599</v>
      </c>
      <c r="AD2265">
        <v>-0.288209099999999</v>
      </c>
      <c r="AE2265">
        <v>0.146799999999984</v>
      </c>
      <c r="AF2265">
        <v>0.14610115620397299</v>
      </c>
      <c r="AG2265">
        <v>-0.288209099999999</v>
      </c>
      <c r="AH2265">
        <v>0.60746830949528297</v>
      </c>
      <c r="AI2265">
        <v>114.763361545932</v>
      </c>
      <c r="AJ2265">
        <v>76.476733868451504</v>
      </c>
      <c r="AK2265">
        <v>0.688060884085126</v>
      </c>
      <c r="AL2265">
        <v>88.635310616910203</v>
      </c>
      <c r="AM2265">
        <v>85.2160746282118</v>
      </c>
      <c r="AN2265">
        <v>0.99999995827592703</v>
      </c>
    </row>
    <row r="2266" spans="1:40" x14ac:dyDescent="0.25">
      <c r="A2266" t="str">
        <f>"20190312154840434"</f>
        <v>20190312154840434</v>
      </c>
      <c r="B2266" t="str">
        <f>"1552376920428508"</f>
        <v>1552376920428508</v>
      </c>
      <c r="C2266" t="s">
        <v>40</v>
      </c>
      <c r="D2266">
        <v>4.7716830000000003</v>
      </c>
      <c r="E2266">
        <v>0.54093239999999998</v>
      </c>
      <c r="F2266" t="s">
        <v>41</v>
      </c>
      <c r="G2266">
        <v>-358.32850000000002</v>
      </c>
      <c r="H2266">
        <v>0.89238519999999899</v>
      </c>
      <c r="I2266">
        <v>282.9468</v>
      </c>
      <c r="J2266">
        <v>-357.84440000000001</v>
      </c>
      <c r="K2266">
        <v>1.1098209999999999</v>
      </c>
      <c r="L2266">
        <v>282.8331</v>
      </c>
      <c r="M2266">
        <v>-0.999386</v>
      </c>
      <c r="N2266">
        <v>0</v>
      </c>
      <c r="O2266">
        <v>-3.1801570000000001E-2</v>
      </c>
      <c r="P2266">
        <v>-0.99856730000000005</v>
      </c>
      <c r="Q2266">
        <v>1.0429590000000001E-2</v>
      </c>
      <c r="R2266">
        <v>5.2483019999999998E-2</v>
      </c>
      <c r="S2266">
        <v>-2.990021</v>
      </c>
      <c r="T2266">
        <v>-0.88315330000000003</v>
      </c>
      <c r="U2266">
        <v>0.42932130000000002</v>
      </c>
      <c r="V2266">
        <v>8.4215509999999993E-2</v>
      </c>
      <c r="W2266">
        <v>2.5085509999999998E-2</v>
      </c>
      <c r="X2266">
        <v>0.99613180000000001</v>
      </c>
      <c r="Y2266">
        <v>0.16527749999999999</v>
      </c>
      <c r="Z2266">
        <v>3.2941419999999999E-2</v>
      </c>
      <c r="AA2266">
        <v>0.98569680000000004</v>
      </c>
      <c r="AB2266">
        <v>46</v>
      </c>
      <c r="AC2266">
        <v>-0.48410000000001202</v>
      </c>
      <c r="AD2266">
        <v>-0.21743580000000001</v>
      </c>
      <c r="AE2266">
        <v>0.113699999999994</v>
      </c>
      <c r="AF2266">
        <v>0.10832776208424399</v>
      </c>
      <c r="AG2266">
        <v>-0.21743580000000001</v>
      </c>
      <c r="AH2266">
        <v>0.403157857295662</v>
      </c>
      <c r="AI2266">
        <v>117.51305748318801</v>
      </c>
      <c r="AJ2266">
        <v>74.959971064135004</v>
      </c>
      <c r="AK2266">
        <v>0.47069043867392302</v>
      </c>
      <c r="AL2266">
        <v>88.562555433694101</v>
      </c>
      <c r="AM2266">
        <v>85.167560743893006</v>
      </c>
      <c r="AN2266">
        <v>1.0000000489538701</v>
      </c>
    </row>
    <row r="2267" spans="1:40" x14ac:dyDescent="0.25">
      <c r="A2267" t="str">
        <f>"20190312154840450"</f>
        <v>20190312154840450</v>
      </c>
      <c r="B2267" t="str">
        <f>"1552376920448029"</f>
        <v>1552376920448029</v>
      </c>
      <c r="C2267" t="s">
        <v>40</v>
      </c>
      <c r="D2267">
        <v>4.7637029999999996</v>
      </c>
      <c r="E2267">
        <v>0.54093690000000005</v>
      </c>
      <c r="F2267" t="s">
        <v>41</v>
      </c>
      <c r="G2267">
        <v>-358.7269</v>
      </c>
      <c r="H2267">
        <v>0.85036160000000005</v>
      </c>
      <c r="I2267">
        <v>282.9606</v>
      </c>
      <c r="J2267">
        <v>-358.19380000000001</v>
      </c>
      <c r="K2267">
        <v>1.1098300000000001</v>
      </c>
      <c r="L2267">
        <v>282.822</v>
      </c>
      <c r="M2267">
        <v>-0.99938570000000004</v>
      </c>
      <c r="N2267">
        <v>0</v>
      </c>
      <c r="O2267">
        <v>-3.1812880000000002E-2</v>
      </c>
      <c r="P2267">
        <v>-0.9984326</v>
      </c>
      <c r="Q2267">
        <v>1.2706790000000001E-2</v>
      </c>
      <c r="R2267">
        <v>5.4507750000000001E-2</v>
      </c>
      <c r="S2267">
        <v>-2.9908139999999999</v>
      </c>
      <c r="T2267">
        <v>-0.87931440000000005</v>
      </c>
      <c r="U2267">
        <v>0.43121340000000002</v>
      </c>
      <c r="V2267">
        <v>8.6246409999999996E-2</v>
      </c>
      <c r="W2267">
        <v>2.7357329999999999E-2</v>
      </c>
      <c r="X2267">
        <v>0.99589810000000001</v>
      </c>
      <c r="Y2267">
        <v>0.16591129999999901</v>
      </c>
      <c r="Z2267">
        <v>3.2888380000000002E-2</v>
      </c>
      <c r="AA2267">
        <v>0.98559209999999997</v>
      </c>
      <c r="AB2267">
        <v>46</v>
      </c>
      <c r="AC2267">
        <v>-0.53309999999999003</v>
      </c>
      <c r="AD2267">
        <v>-0.25946839999999899</v>
      </c>
      <c r="AE2267">
        <v>0.138599999999996</v>
      </c>
      <c r="AF2267">
        <v>0.12725418199712299</v>
      </c>
      <c r="AG2267">
        <v>-0.25946839999999899</v>
      </c>
      <c r="AH2267">
        <v>0.43246010103850702</v>
      </c>
      <c r="AI2267">
        <v>119.92389890456199</v>
      </c>
      <c r="AJ2267">
        <v>73.603139341716101</v>
      </c>
      <c r="AK2267">
        <v>0.52013384472129198</v>
      </c>
      <c r="AL2267">
        <v>88.432344781360996</v>
      </c>
      <c r="AM2267">
        <v>85.050440448116106</v>
      </c>
      <c r="AN2267">
        <v>0.99999994616311205</v>
      </c>
    </row>
    <row r="2268" spans="1:40" x14ac:dyDescent="0.25">
      <c r="A2268" t="str">
        <f>"20190312154840463"</f>
        <v>20190312154840463</v>
      </c>
      <c r="B2268" t="str">
        <f>"1552376920457788"</f>
        <v>1552376920457788</v>
      </c>
      <c r="C2268" t="s">
        <v>40</v>
      </c>
      <c r="D2268">
        <v>4.7784339999999998</v>
      </c>
      <c r="E2268">
        <v>0.54092779999999996</v>
      </c>
      <c r="F2268" t="s">
        <v>41</v>
      </c>
      <c r="G2268">
        <v>-359.13549999999998</v>
      </c>
      <c r="H2268">
        <v>0.83517909999999995</v>
      </c>
      <c r="I2268">
        <v>282.95920000000001</v>
      </c>
      <c r="J2268">
        <v>-358.46120000000002</v>
      </c>
      <c r="K2268">
        <v>1.109834</v>
      </c>
      <c r="L2268">
        <v>282.81349999999998</v>
      </c>
      <c r="M2268">
        <v>-0.99938539999999998</v>
      </c>
      <c r="N2268">
        <v>0</v>
      </c>
      <c r="O2268">
        <v>-3.1821679999999998E-2</v>
      </c>
      <c r="P2268">
        <v>-0.99838179999999999</v>
      </c>
      <c r="Q2268">
        <v>1.3516210000000001E-2</v>
      </c>
      <c r="R2268">
        <v>5.523873E-2</v>
      </c>
      <c r="S2268">
        <v>-2.992035</v>
      </c>
      <c r="T2268">
        <v>-0.87266679999999996</v>
      </c>
      <c r="U2268">
        <v>0.43563839999999998</v>
      </c>
      <c r="V2268">
        <v>8.6984240000000004E-2</v>
      </c>
      <c r="W2268">
        <v>2.8163830000000001E-2</v>
      </c>
      <c r="X2268">
        <v>0.99581149999999996</v>
      </c>
      <c r="Y2268">
        <v>0.1673607</v>
      </c>
      <c r="Z2268">
        <v>3.284227E-2</v>
      </c>
      <c r="AA2268">
        <v>0.98534860000000002</v>
      </c>
      <c r="AB2268">
        <v>46</v>
      </c>
      <c r="AC2268">
        <v>-0.67429999999995904</v>
      </c>
      <c r="AD2268">
        <v>-0.27465489999999998</v>
      </c>
      <c r="AE2268">
        <v>0.145700000000033</v>
      </c>
      <c r="AF2268">
        <v>0.144225067902119</v>
      </c>
      <c r="AG2268">
        <v>-0.27465489999999998</v>
      </c>
      <c r="AH2268">
        <v>0.57774447456302702</v>
      </c>
      <c r="AI2268">
        <v>114.760912104703</v>
      </c>
      <c r="AJ2268">
        <v>75.983457251365806</v>
      </c>
      <c r="AK2268">
        <v>0.65576280940099796</v>
      </c>
      <c r="AL2268">
        <v>88.386118004860805</v>
      </c>
      <c r="AM2268">
        <v>85.007878556999401</v>
      </c>
      <c r="AN2268">
        <v>1.00000000143044</v>
      </c>
    </row>
    <row r="2269" spans="1:40" x14ac:dyDescent="0.25">
      <c r="A2269" t="str">
        <f>"20190312154840476"</f>
        <v>20190312154840476</v>
      </c>
      <c r="B2269" t="str">
        <f>"1552376920468525"</f>
        <v>1552376920468525</v>
      </c>
      <c r="C2269" t="s">
        <v>40</v>
      </c>
      <c r="D2269">
        <v>4.8237610000000002</v>
      </c>
      <c r="E2269">
        <v>0.54093150000000001</v>
      </c>
      <c r="F2269" t="s">
        <v>41</v>
      </c>
      <c r="G2269">
        <v>-359.1626</v>
      </c>
      <c r="H2269">
        <v>0.90584900000000002</v>
      </c>
      <c r="I2269">
        <v>282.91609999999997</v>
      </c>
      <c r="J2269">
        <v>-358.71620000000001</v>
      </c>
      <c r="K2269">
        <v>1.109839</v>
      </c>
      <c r="L2269">
        <v>282.80540000000002</v>
      </c>
      <c r="M2269">
        <v>-0.99938539999999998</v>
      </c>
      <c r="N2269">
        <v>0</v>
      </c>
      <c r="O2269">
        <v>-3.1829900000000001E-2</v>
      </c>
      <c r="P2269">
        <v>-0.99833939999999999</v>
      </c>
      <c r="Q2269">
        <v>1.4206770000000001E-2</v>
      </c>
      <c r="R2269">
        <v>5.5828750000000003E-2</v>
      </c>
      <c r="S2269">
        <v>-2.992432</v>
      </c>
      <c r="T2269">
        <v>-0.87031009999999998</v>
      </c>
      <c r="U2269">
        <v>0.43746950000000001</v>
      </c>
      <c r="V2269">
        <v>8.7580729999999996E-2</v>
      </c>
      <c r="W2269">
        <v>2.8852099999999901E-2</v>
      </c>
      <c r="X2269">
        <v>0.9957395</v>
      </c>
      <c r="Y2269">
        <v>0.16796169999999999</v>
      </c>
      <c r="Z2269">
        <v>3.2839119999999999E-2</v>
      </c>
      <c r="AA2269">
        <v>0.98524639999999997</v>
      </c>
      <c r="AB2269">
        <v>46</v>
      </c>
      <c r="AC2269">
        <v>-0.44639999999998198</v>
      </c>
      <c r="AD2269">
        <v>-0.20399</v>
      </c>
      <c r="AE2269">
        <v>0.110699999999951</v>
      </c>
      <c r="AF2269">
        <v>0.104330317614737</v>
      </c>
      <c r="AG2269">
        <v>-0.20399</v>
      </c>
      <c r="AH2269">
        <v>0.36988551255847801</v>
      </c>
      <c r="AI2269">
        <v>117.958682811675</v>
      </c>
      <c r="AJ2269">
        <v>74.248304823548196</v>
      </c>
      <c r="AK2269">
        <v>0.43510002031054801</v>
      </c>
      <c r="AL2269">
        <v>88.346666984650597</v>
      </c>
      <c r="AM2269">
        <v>84.973458529665095</v>
      </c>
      <c r="AN2269">
        <v>0.99999998990099603</v>
      </c>
    </row>
    <row r="2270" spans="1:40" x14ac:dyDescent="0.25">
      <c r="A2270" t="str">
        <f>"20190312154840488"</f>
        <v>20190312154840488</v>
      </c>
      <c r="B2270" t="str">
        <f>"1552376920478284"</f>
        <v>1552376920478284</v>
      </c>
      <c r="C2270" t="s">
        <v>40</v>
      </c>
      <c r="D2270">
        <v>4.9268460000000003</v>
      </c>
      <c r="E2270">
        <v>0.54097859999999998</v>
      </c>
      <c r="F2270" t="s">
        <v>41</v>
      </c>
      <c r="G2270">
        <v>-359.56079999999997</v>
      </c>
      <c r="H2270">
        <v>0.8647456</v>
      </c>
      <c r="I2270">
        <v>282.92910000000001</v>
      </c>
      <c r="J2270">
        <v>-358.9717</v>
      </c>
      <c r="K2270">
        <v>1.109839</v>
      </c>
      <c r="L2270">
        <v>282.79719999999998</v>
      </c>
      <c r="M2270">
        <v>-0.99938510000000003</v>
      </c>
      <c r="N2270">
        <v>0</v>
      </c>
      <c r="O2270">
        <v>-3.1837999999999998E-2</v>
      </c>
      <c r="P2270">
        <v>-0.99829699999999999</v>
      </c>
      <c r="Q2270">
        <v>1.480011E-2</v>
      </c>
      <c r="R2270">
        <v>5.6433169999999998E-2</v>
      </c>
      <c r="S2270">
        <v>-2.9928279999999998</v>
      </c>
      <c r="T2270">
        <v>-0.868515699999999</v>
      </c>
      <c r="U2270">
        <v>0.438446</v>
      </c>
      <c r="V2270">
        <v>8.8191599999999995E-2</v>
      </c>
      <c r="W2270">
        <v>2.9443130000000001E-2</v>
      </c>
      <c r="X2270">
        <v>0.99566829999999995</v>
      </c>
      <c r="Y2270">
        <v>0.16828750000000001</v>
      </c>
      <c r="Z2270">
        <v>3.2817590000000001E-2</v>
      </c>
      <c r="AA2270">
        <v>0.9851915</v>
      </c>
      <c r="AB2270">
        <v>46</v>
      </c>
      <c r="AC2270">
        <v>-0.58909999999997298</v>
      </c>
      <c r="AD2270">
        <v>-0.24509339999999999</v>
      </c>
      <c r="AE2270">
        <v>0.13190000000002999</v>
      </c>
      <c r="AF2270">
        <v>0.12928122739831299</v>
      </c>
      <c r="AG2270">
        <v>-0.24509339999999999</v>
      </c>
      <c r="AH2270">
        <v>0.50187616259583201</v>
      </c>
      <c r="AI2270">
        <v>115.310216509559</v>
      </c>
      <c r="AJ2270">
        <v>75.554883549542495</v>
      </c>
      <c r="AK2270">
        <v>0.57329232775530103</v>
      </c>
      <c r="AL2270">
        <v>88.312789098915999</v>
      </c>
      <c r="AM2270">
        <v>84.938220150202298</v>
      </c>
      <c r="AN2270">
        <v>1.0000000099198201</v>
      </c>
    </row>
    <row r="2271" spans="1:40" x14ac:dyDescent="0.25">
      <c r="A2271" t="str">
        <f>"20190312154840506"</f>
        <v>20190312154840506</v>
      </c>
      <c r="B2271" t="str">
        <f>"1552376920497804"</f>
        <v>1552376920497804</v>
      </c>
      <c r="C2271" t="s">
        <v>40</v>
      </c>
      <c r="D2271">
        <v>4.7793049999999999</v>
      </c>
      <c r="E2271">
        <v>0.54093279999999999</v>
      </c>
      <c r="F2271" t="s">
        <v>41</v>
      </c>
      <c r="G2271">
        <v>-359.95890000000003</v>
      </c>
      <c r="H2271">
        <v>0.8238972</v>
      </c>
      <c r="I2271">
        <v>282.94229999999999</v>
      </c>
      <c r="J2271">
        <v>-359.3381</v>
      </c>
      <c r="K2271">
        <v>1.109842</v>
      </c>
      <c r="L2271">
        <v>282.78559999999999</v>
      </c>
      <c r="M2271">
        <v>-0.99938450000000001</v>
      </c>
      <c r="N2271">
        <v>0</v>
      </c>
      <c r="O2271">
        <v>-3.1849429999999998E-2</v>
      </c>
      <c r="P2271">
        <v>-0.99823799999999996</v>
      </c>
      <c r="Q2271">
        <v>1.5128340000000001E-2</v>
      </c>
      <c r="R2271">
        <v>5.7377900000000003E-2</v>
      </c>
      <c r="S2271">
        <v>-2.9931030000000001</v>
      </c>
      <c r="T2271">
        <v>-0.86696419999999996</v>
      </c>
      <c r="U2271">
        <v>0.44018550000000001</v>
      </c>
      <c r="V2271">
        <v>8.914532E-2</v>
      </c>
      <c r="W2271">
        <v>2.9767709999999999E-2</v>
      </c>
      <c r="X2271">
        <v>0.99557370000000001</v>
      </c>
      <c r="Y2271">
        <v>0.16885349999999999</v>
      </c>
      <c r="Z2271">
        <v>3.2840269999999998E-2</v>
      </c>
      <c r="AA2271">
        <v>0.98509389999999997</v>
      </c>
      <c r="AB2271">
        <v>46</v>
      </c>
      <c r="AC2271">
        <v>-0.62080000000003099</v>
      </c>
      <c r="AD2271">
        <v>-0.2859448</v>
      </c>
      <c r="AE2271">
        <v>0.15670000000000001</v>
      </c>
      <c r="AF2271">
        <v>0.14706291084709899</v>
      </c>
      <c r="AG2271">
        <v>-0.2859448</v>
      </c>
      <c r="AH2271">
        <v>0.51314614883611198</v>
      </c>
      <c r="AI2271">
        <v>118.176796326775</v>
      </c>
      <c r="AJ2271">
        <v>74.0081901389823</v>
      </c>
      <c r="AK2271">
        <v>0.60556659291872705</v>
      </c>
      <c r="AL2271">
        <v>88.294183859873698</v>
      </c>
      <c r="AM2271">
        <v>84.883286549281095</v>
      </c>
      <c r="AN2271">
        <v>0.99999999838411802</v>
      </c>
    </row>
    <row r="2272" spans="1:40" x14ac:dyDescent="0.25">
      <c r="A2272" t="str">
        <f>"20190312154840518"</f>
        <v>20190312154840518</v>
      </c>
      <c r="B2272" t="str">
        <f>"1552376920508540"</f>
        <v>1552376920508540</v>
      </c>
      <c r="C2272" t="s">
        <v>40</v>
      </c>
      <c r="D2272">
        <v>4.8316990000000004</v>
      </c>
      <c r="E2272">
        <v>0.54092299999999904</v>
      </c>
      <c r="F2272" t="s">
        <v>41</v>
      </c>
      <c r="G2272">
        <v>-360.36770000000001</v>
      </c>
      <c r="H2272">
        <v>0.81193280000000001</v>
      </c>
      <c r="I2272">
        <v>282.93799999999999</v>
      </c>
      <c r="J2272">
        <v>-359.60840000000002</v>
      </c>
      <c r="K2272">
        <v>1.1098460000000001</v>
      </c>
      <c r="L2272">
        <v>282.77699999999999</v>
      </c>
      <c r="M2272">
        <v>-0.99938439999999995</v>
      </c>
      <c r="N2272">
        <v>0</v>
      </c>
      <c r="O2272">
        <v>-3.1858119999999997E-2</v>
      </c>
      <c r="P2272">
        <v>-0.99822489999999997</v>
      </c>
      <c r="Q2272">
        <v>1.49309E-2</v>
      </c>
      <c r="R2272">
        <v>5.7657470000000002E-2</v>
      </c>
      <c r="S2272">
        <v>-2.9929809999999999</v>
      </c>
      <c r="T2272">
        <v>-0.86603940000000001</v>
      </c>
      <c r="U2272">
        <v>0.44216919999999998</v>
      </c>
      <c r="V2272">
        <v>8.9433040000000005E-2</v>
      </c>
      <c r="W2272">
        <v>2.9568009999999999E-2</v>
      </c>
      <c r="X2272">
        <v>0.99555389999999999</v>
      </c>
      <c r="Y2272">
        <v>0.169497799999999</v>
      </c>
      <c r="Z2272">
        <v>3.2899730000000002E-2</v>
      </c>
      <c r="AA2272">
        <v>0.98498129999999995</v>
      </c>
      <c r="AB2272">
        <v>46</v>
      </c>
      <c r="AC2272">
        <v>-0.75929999999999598</v>
      </c>
      <c r="AD2272">
        <v>-0.29791319999999899</v>
      </c>
      <c r="AE2272">
        <v>0.161000000000001</v>
      </c>
      <c r="AF2272">
        <v>0.16134226983111499</v>
      </c>
      <c r="AG2272">
        <v>-0.29791319999999899</v>
      </c>
      <c r="AH2272">
        <v>0.65699779333791297</v>
      </c>
      <c r="AI2272">
        <v>113.76687704007399</v>
      </c>
      <c r="AJ2272">
        <v>76.202620901527197</v>
      </c>
      <c r="AK2272">
        <v>0.73920883599926202</v>
      </c>
      <c r="AL2272">
        <v>88.305630956499897</v>
      </c>
      <c r="AM2272">
        <v>84.866758697219694</v>
      </c>
      <c r="AN2272">
        <v>1.0000000518320999</v>
      </c>
    </row>
    <row r="2273" spans="1:40" x14ac:dyDescent="0.25">
      <c r="A2273" t="str">
        <f>"20190312154840531"</f>
        <v>20190312154840531</v>
      </c>
      <c r="B2273" t="str">
        <f>"1552376920528060"</f>
        <v>1552376920528060</v>
      </c>
      <c r="C2273" t="s">
        <v>40</v>
      </c>
      <c r="D2273">
        <v>4.7133919999999998</v>
      </c>
      <c r="E2273">
        <v>0.54087319999999905</v>
      </c>
      <c r="F2273" t="s">
        <v>41</v>
      </c>
      <c r="G2273">
        <v>-360.39449999999999</v>
      </c>
      <c r="H2273">
        <v>0.88212420000000002</v>
      </c>
      <c r="I2273">
        <v>282.89350000000002</v>
      </c>
      <c r="J2273">
        <v>-359.85700000000003</v>
      </c>
      <c r="K2273">
        <v>1.1098490000000001</v>
      </c>
      <c r="L2273">
        <v>282.76900000000001</v>
      </c>
      <c r="M2273">
        <v>-0.99938419999999895</v>
      </c>
      <c r="N2273">
        <v>0</v>
      </c>
      <c r="O2273">
        <v>-3.186597E-2</v>
      </c>
      <c r="P2273">
        <v>-0.99821309999999996</v>
      </c>
      <c r="Q2273">
        <v>1.465062E-2</v>
      </c>
      <c r="R2273">
        <v>5.7934840000000001E-2</v>
      </c>
      <c r="S2273">
        <v>-2.992737</v>
      </c>
      <c r="T2273">
        <v>-0.86698790000000003</v>
      </c>
      <c r="U2273">
        <v>0.44268800000000003</v>
      </c>
      <c r="V2273">
        <v>8.9717690000000003E-2</v>
      </c>
      <c r="W2273">
        <v>2.928584E-2</v>
      </c>
      <c r="X2273">
        <v>0.99553659999999999</v>
      </c>
      <c r="Y2273">
        <v>0.1696589</v>
      </c>
      <c r="Z2273">
        <v>3.2961520000000001E-2</v>
      </c>
      <c r="AA2273">
        <v>0.98495140000000003</v>
      </c>
      <c r="AB2273">
        <v>46</v>
      </c>
      <c r="AC2273">
        <v>-0.53750000000002196</v>
      </c>
      <c r="AD2273">
        <v>-0.2277248</v>
      </c>
      <c r="AE2273">
        <v>0.124500000000011</v>
      </c>
      <c r="AF2273">
        <v>0.12095988303517401</v>
      </c>
      <c r="AG2273">
        <v>-0.2277248</v>
      </c>
      <c r="AH2273">
        <v>0.45563706102617202</v>
      </c>
      <c r="AI2273">
        <v>115.783414314338</v>
      </c>
      <c r="AJ2273">
        <v>75.132389202894203</v>
      </c>
      <c r="AK2273">
        <v>0.523540838158295</v>
      </c>
      <c r="AL2273">
        <v>88.321805062113</v>
      </c>
      <c r="AM2273">
        <v>84.850419170124795</v>
      </c>
      <c r="AN2273">
        <v>1.0000000231315</v>
      </c>
    </row>
    <row r="2274" spans="1:40" x14ac:dyDescent="0.25">
      <c r="A2274" t="str">
        <f>"20190312154840553"</f>
        <v>20190312154840553</v>
      </c>
      <c r="B2274" t="str">
        <f>"1552376920548557"</f>
        <v>1552376920548557</v>
      </c>
      <c r="C2274" t="s">
        <v>40</v>
      </c>
      <c r="D2274">
        <v>5.02088</v>
      </c>
      <c r="E2274">
        <v>0.54093970000000002</v>
      </c>
      <c r="F2274" t="s">
        <v>41</v>
      </c>
      <c r="G2274">
        <v>-360.79090000000002</v>
      </c>
      <c r="H2274">
        <v>0.83887789999999995</v>
      </c>
      <c r="I2274">
        <v>282.90730000000002</v>
      </c>
      <c r="J2274">
        <v>-360.298</v>
      </c>
      <c r="K2274">
        <v>1.1098490000000001</v>
      </c>
      <c r="L2274">
        <v>282.75490000000002</v>
      </c>
      <c r="M2274">
        <v>-0.99938369999999999</v>
      </c>
      <c r="N2274">
        <v>0</v>
      </c>
      <c r="O2274">
        <v>-3.1880020000000002E-2</v>
      </c>
      <c r="P2274">
        <v>-0.99819869999999999</v>
      </c>
      <c r="Q2274">
        <v>1.406965E-2</v>
      </c>
      <c r="R2274">
        <v>5.8321970000000001E-2</v>
      </c>
      <c r="S2274">
        <v>-2.992432</v>
      </c>
      <c r="T2274">
        <v>-0.86823809999999901</v>
      </c>
      <c r="U2274">
        <v>0.44317630000000002</v>
      </c>
      <c r="V2274">
        <v>9.0118119999999996E-2</v>
      </c>
      <c r="W2274">
        <v>2.8702439999999999E-2</v>
      </c>
      <c r="X2274">
        <v>0.9955174</v>
      </c>
      <c r="Y2274">
        <v>0.1698134</v>
      </c>
      <c r="Z2274">
        <v>3.303586E-2</v>
      </c>
      <c r="AA2274">
        <v>0.98492230000000003</v>
      </c>
      <c r="AB2274">
        <v>46</v>
      </c>
      <c r="AC2274">
        <v>-0.49290000000001999</v>
      </c>
      <c r="AD2274">
        <v>-0.27097109999999902</v>
      </c>
      <c r="AE2274">
        <v>0.15240000000000001</v>
      </c>
      <c r="AF2274">
        <v>0.13170636058958601</v>
      </c>
      <c r="AG2274">
        <v>-0.27097109999999902</v>
      </c>
      <c r="AH2274">
        <v>0.38232507478612199</v>
      </c>
      <c r="AI2274">
        <v>123.825991126636</v>
      </c>
      <c r="AJ2274">
        <v>70.991790287878203</v>
      </c>
      <c r="AK2274">
        <v>0.48676931421894098</v>
      </c>
      <c r="AL2274">
        <v>88.355245439933</v>
      </c>
      <c r="AM2274">
        <v>84.827460625768296</v>
      </c>
      <c r="AN2274">
        <v>0.99999999965852304</v>
      </c>
    </row>
    <row r="2275" spans="1:40" x14ac:dyDescent="0.25">
      <c r="A2275" t="str">
        <f>"20190312154840573"</f>
        <v>20190312154840573</v>
      </c>
      <c r="B2275" t="str">
        <f>"1552376920568076"</f>
        <v>1552376920568076</v>
      </c>
      <c r="C2275" t="s">
        <v>40</v>
      </c>
      <c r="D2275">
        <v>4.8525099999999997</v>
      </c>
      <c r="E2275">
        <v>0.54098239999999997</v>
      </c>
      <c r="F2275" t="s">
        <v>41</v>
      </c>
      <c r="G2275">
        <v>-361.20609999999999</v>
      </c>
      <c r="H2275">
        <v>0.845607</v>
      </c>
      <c r="I2275">
        <v>282.89010000000002</v>
      </c>
      <c r="J2275">
        <v>-360.745</v>
      </c>
      <c r="K2275">
        <v>1.1098479999999999</v>
      </c>
      <c r="L2275">
        <v>282.7407</v>
      </c>
      <c r="M2275">
        <v>-0.99938340000000003</v>
      </c>
      <c r="N2275">
        <v>0</v>
      </c>
      <c r="O2275">
        <v>-3.1894069999999997E-2</v>
      </c>
      <c r="P2275">
        <v>-0.99817429999999996</v>
      </c>
      <c r="Q2275">
        <v>1.387265E-2</v>
      </c>
      <c r="R2275">
        <v>5.8786110000000003E-2</v>
      </c>
      <c r="S2275">
        <v>-2.9916689999999999</v>
      </c>
      <c r="T2275">
        <v>-0.87049529999999997</v>
      </c>
      <c r="U2275">
        <v>0.44500729999999999</v>
      </c>
      <c r="V2275">
        <v>9.0595079999999995E-2</v>
      </c>
      <c r="W2275">
        <v>2.850225E-2</v>
      </c>
      <c r="X2275">
        <v>0.99547989999999997</v>
      </c>
      <c r="Y2275">
        <v>0.1703848</v>
      </c>
      <c r="Z2275">
        <v>3.3210049999999998E-2</v>
      </c>
      <c r="AA2275">
        <v>0.98481779999999997</v>
      </c>
      <c r="AB2275">
        <v>46</v>
      </c>
      <c r="AC2275">
        <v>-0.46109999999998702</v>
      </c>
      <c r="AD2275">
        <v>-0.264240999999999</v>
      </c>
      <c r="AE2275">
        <v>0.14940000000001399</v>
      </c>
      <c r="AF2275">
        <v>0.12645031884167501</v>
      </c>
      <c r="AG2275">
        <v>-0.264240999999999</v>
      </c>
      <c r="AH2275">
        <v>0.35160215011937801</v>
      </c>
      <c r="AI2275">
        <v>125.26756761231</v>
      </c>
      <c r="AJ2275">
        <v>70.219368184344702</v>
      </c>
      <c r="AK2275">
        <v>0.45764294071331502</v>
      </c>
      <c r="AL2275">
        <v>88.366720241062495</v>
      </c>
      <c r="AM2275">
        <v>84.800039269787504</v>
      </c>
      <c r="AN2275">
        <v>1.00000003903963</v>
      </c>
    </row>
    <row r="2276" spans="1:40" x14ac:dyDescent="0.25">
      <c r="A2276" t="str">
        <f>"20190312154840596"</f>
        <v>20190312154840596</v>
      </c>
      <c r="B2276" t="str">
        <f>"1552376920588572"</f>
        <v>1552376920588572</v>
      </c>
      <c r="C2276" t="s">
        <v>40</v>
      </c>
      <c r="D2276">
        <v>4.8085370000000003</v>
      </c>
      <c r="E2276">
        <v>0.54102640000000002</v>
      </c>
      <c r="F2276" t="s">
        <v>41</v>
      </c>
      <c r="G2276">
        <v>-361.62180000000001</v>
      </c>
      <c r="H2276">
        <v>0.8543984</v>
      </c>
      <c r="I2276">
        <v>282.87180000000001</v>
      </c>
      <c r="J2276">
        <v>-361.19150000000002</v>
      </c>
      <c r="K2276">
        <v>1.109845</v>
      </c>
      <c r="L2276">
        <v>282.72640000000001</v>
      </c>
      <c r="M2276">
        <v>-0.99938289999999996</v>
      </c>
      <c r="N2276">
        <v>0</v>
      </c>
      <c r="O2276">
        <v>-3.1908119999999998E-2</v>
      </c>
      <c r="P2276">
        <v>-0.99817469999999997</v>
      </c>
      <c r="Q2276">
        <v>1.389044E-2</v>
      </c>
      <c r="R2276">
        <v>5.8773010000000001E-2</v>
      </c>
      <c r="S2276">
        <v>-2.9913020000000001</v>
      </c>
      <c r="T2276">
        <v>-0.87139140000000004</v>
      </c>
      <c r="U2276">
        <v>0.44686890000000001</v>
      </c>
      <c r="V2276">
        <v>9.0596040000000003E-2</v>
      </c>
      <c r="W2276">
        <v>2.8517500000000001E-2</v>
      </c>
      <c r="X2276">
        <v>0.99547929999999996</v>
      </c>
      <c r="Y2276">
        <v>0.1709735</v>
      </c>
      <c r="Z2276">
        <v>3.3332899999999999E-2</v>
      </c>
      <c r="AA2276">
        <v>0.98471160000000002</v>
      </c>
      <c r="AB2276">
        <v>46</v>
      </c>
      <c r="AC2276">
        <v>-0.43029999999998803</v>
      </c>
      <c r="AD2276">
        <v>-0.25544660000000002</v>
      </c>
      <c r="AE2276">
        <v>0.14539999999999501</v>
      </c>
      <c r="AF2276">
        <v>0.12083658130269299</v>
      </c>
      <c r="AG2276">
        <v>-0.25544660000000002</v>
      </c>
      <c r="AH2276">
        <v>0.32320907269392901</v>
      </c>
      <c r="AI2276">
        <v>126.51249915747201</v>
      </c>
      <c r="AJ2276">
        <v>69.500985949976695</v>
      </c>
      <c r="AK2276">
        <v>0.42932336240199198</v>
      </c>
      <c r="AL2276">
        <v>88.365846001662206</v>
      </c>
      <c r="AM2276">
        <v>84.799981352957701</v>
      </c>
      <c r="AN2276">
        <v>0.99999996349920905</v>
      </c>
    </row>
    <row r="2277" spans="1:40" x14ac:dyDescent="0.25">
      <c r="A2277" t="str">
        <f>"20190312154840617"</f>
        <v>20190312154840617</v>
      </c>
      <c r="B2277" t="str">
        <f>"1552376920608093"</f>
        <v>1552376920608093</v>
      </c>
      <c r="C2277" t="s">
        <v>40</v>
      </c>
      <c r="D2277">
        <v>4.7554850000000002</v>
      </c>
      <c r="E2277">
        <v>0.54105000000000003</v>
      </c>
      <c r="F2277" t="s">
        <v>41</v>
      </c>
      <c r="G2277">
        <v>-362.03730000000002</v>
      </c>
      <c r="H2277">
        <v>0.8633478</v>
      </c>
      <c r="I2277">
        <v>282.85300000000001</v>
      </c>
      <c r="J2277">
        <v>-361.6456</v>
      </c>
      <c r="K2277">
        <v>1.109839</v>
      </c>
      <c r="L2277">
        <v>282.71190000000001</v>
      </c>
      <c r="M2277">
        <v>-0.99938260000000001</v>
      </c>
      <c r="N2277">
        <v>0</v>
      </c>
      <c r="O2277">
        <v>-3.1922760000000001E-2</v>
      </c>
      <c r="P2277">
        <v>-0.99821539999999997</v>
      </c>
      <c r="Q2277">
        <v>1.3970700000000001E-2</v>
      </c>
      <c r="R2277">
        <v>5.8062500000000003E-2</v>
      </c>
      <c r="S2277">
        <v>-2.991241</v>
      </c>
      <c r="T2277">
        <v>-0.87177769999999999</v>
      </c>
      <c r="U2277">
        <v>0.44732670000000002</v>
      </c>
      <c r="V2277">
        <v>8.9901990000000001E-2</v>
      </c>
      <c r="W2277">
        <v>2.859567E-2</v>
      </c>
      <c r="X2277">
        <v>0.99553999999999998</v>
      </c>
      <c r="Y2277">
        <v>0.1711242</v>
      </c>
      <c r="Z2277">
        <v>3.3372949999999998E-2</v>
      </c>
      <c r="AA2277">
        <v>0.98468409999999995</v>
      </c>
      <c r="AB2277">
        <v>46</v>
      </c>
      <c r="AC2277">
        <v>-0.39170000000001398</v>
      </c>
      <c r="AD2277">
        <v>-0.24649119999999899</v>
      </c>
      <c r="AE2277">
        <v>0.14109999999999401</v>
      </c>
      <c r="AF2277">
        <v>0.11368504706174901</v>
      </c>
      <c r="AG2277">
        <v>-0.24649119999999899</v>
      </c>
      <c r="AH2277">
        <v>0.28655366859181403</v>
      </c>
      <c r="AI2277">
        <v>128.644646978108</v>
      </c>
      <c r="AJ2277">
        <v>68.360181836046706</v>
      </c>
      <c r="AK2277">
        <v>0.394709015081109</v>
      </c>
      <c r="AL2277">
        <v>88.361365399782699</v>
      </c>
      <c r="AM2277">
        <v>84.839915368388503</v>
      </c>
      <c r="AN2277">
        <v>0.99999998587435401</v>
      </c>
    </row>
    <row r="2278" spans="1:40" x14ac:dyDescent="0.25">
      <c r="A2278" t="str">
        <f>"20190312154840641"</f>
        <v>20190312154840641</v>
      </c>
      <c r="B2278" t="str">
        <f>"1552376920638348"</f>
        <v>1552376920638348</v>
      </c>
      <c r="C2278" t="s">
        <v>40</v>
      </c>
      <c r="D2278">
        <v>4.6721969999999997</v>
      </c>
      <c r="E2278">
        <v>0.54099209999999998</v>
      </c>
      <c r="F2278" t="s">
        <v>41</v>
      </c>
      <c r="G2278">
        <v>-362.45319999999998</v>
      </c>
      <c r="H2278">
        <v>0.87452030000000003</v>
      </c>
      <c r="I2278">
        <v>282.83229999999998</v>
      </c>
      <c r="J2278">
        <v>-362.12119999999999</v>
      </c>
      <c r="K2278">
        <v>1.109837</v>
      </c>
      <c r="L2278">
        <v>282.69670000000002</v>
      </c>
      <c r="M2278">
        <v>-0.99938199999999999</v>
      </c>
      <c r="N2278">
        <v>0</v>
      </c>
      <c r="O2278">
        <v>-3.193787E-2</v>
      </c>
      <c r="P2278">
        <v>-0.99827650000000001</v>
      </c>
      <c r="Q2278">
        <v>1.4585870000000001E-2</v>
      </c>
      <c r="R2278">
        <v>5.6845180000000002E-2</v>
      </c>
      <c r="S2278">
        <v>-2.991638</v>
      </c>
      <c r="T2278">
        <v>-0.87165210000000004</v>
      </c>
      <c r="U2278">
        <v>0.44561770000000001</v>
      </c>
      <c r="V2278">
        <v>8.8702160000000002E-2</v>
      </c>
      <c r="W2278">
        <v>2.9209100000000002E-2</v>
      </c>
      <c r="X2278">
        <v>0.99562980000000001</v>
      </c>
      <c r="Y2278">
        <v>0.1705943</v>
      </c>
      <c r="Z2278">
        <v>3.3294499999999998E-2</v>
      </c>
      <c r="AA2278">
        <v>0.98477870000000001</v>
      </c>
      <c r="AB2278">
        <v>46</v>
      </c>
      <c r="AC2278">
        <v>-0.33199999999999302</v>
      </c>
      <c r="AD2278">
        <v>-0.23531669999999999</v>
      </c>
      <c r="AE2278">
        <v>0.13559999999995301</v>
      </c>
      <c r="AF2278">
        <v>0.102153063411603</v>
      </c>
      <c r="AG2278">
        <v>-0.23531669999999999</v>
      </c>
      <c r="AH2278">
        <v>0.22893206760693199</v>
      </c>
      <c r="AI2278">
        <v>133.188308013713</v>
      </c>
      <c r="AJ2278">
        <v>65.952825209803194</v>
      </c>
      <c r="AK2278">
        <v>0.34383002958155001</v>
      </c>
      <c r="AL2278">
        <v>88.326203735771898</v>
      </c>
      <c r="AM2278">
        <v>84.908874150795</v>
      </c>
      <c r="AN2278">
        <v>0.99999997167975696</v>
      </c>
    </row>
    <row r="2279" spans="1:40" x14ac:dyDescent="0.25">
      <c r="A2279" t="str">
        <f>"20190312154840663"</f>
        <v>20190312154840663</v>
      </c>
      <c r="B2279" t="str">
        <f>"1552376920657870"</f>
        <v>1552376920657870</v>
      </c>
      <c r="C2279" t="s">
        <v>40</v>
      </c>
      <c r="D2279">
        <v>4.6701899999999998</v>
      </c>
      <c r="E2279">
        <v>0.54097280000000003</v>
      </c>
      <c r="F2279" t="s">
        <v>41</v>
      </c>
      <c r="G2279">
        <v>-362.87119999999999</v>
      </c>
      <c r="H2279">
        <v>0.89190729999999996</v>
      </c>
      <c r="I2279">
        <v>282.80759999999998</v>
      </c>
      <c r="J2279">
        <v>-362.5797</v>
      </c>
      <c r="K2279">
        <v>1.1098460000000001</v>
      </c>
      <c r="L2279">
        <v>282.68200000000002</v>
      </c>
      <c r="M2279">
        <v>-0.99938159999999998</v>
      </c>
      <c r="N2279">
        <v>0</v>
      </c>
      <c r="O2279">
        <v>-3.195216E-2</v>
      </c>
      <c r="P2279">
        <v>-0.998336</v>
      </c>
      <c r="Q2279">
        <v>1.5946100000000001E-2</v>
      </c>
      <c r="R2279">
        <v>5.5414829999999998E-2</v>
      </c>
      <c r="S2279">
        <v>-2.9927670000000002</v>
      </c>
      <c r="T2279">
        <v>-0.8697684</v>
      </c>
      <c r="U2279">
        <v>0.44140629999999997</v>
      </c>
      <c r="V2279">
        <v>8.7288660000000004E-2</v>
      </c>
      <c r="W2279">
        <v>3.0568430000000001E-2</v>
      </c>
      <c r="X2279">
        <v>0.99571390000000004</v>
      </c>
      <c r="Y2279">
        <v>0.16928940000000001</v>
      </c>
      <c r="Z2279">
        <v>3.303582E-2</v>
      </c>
      <c r="AA2279">
        <v>0.98501249999999996</v>
      </c>
      <c r="AB2279">
        <v>46</v>
      </c>
      <c r="AC2279">
        <v>-0.29149999999998499</v>
      </c>
      <c r="AD2279">
        <v>-0.21793869999999901</v>
      </c>
      <c r="AE2279">
        <v>0.12559999999996299</v>
      </c>
      <c r="AF2279">
        <v>9.1645030543920897E-2</v>
      </c>
      <c r="AG2279">
        <v>-0.21793869999999901</v>
      </c>
      <c r="AH2279">
        <v>0.195275313669347</v>
      </c>
      <c r="AI2279">
        <v>135.29432385348699</v>
      </c>
      <c r="AJ2279">
        <v>64.858775469231503</v>
      </c>
      <c r="AK2279">
        <v>0.30664072904581302</v>
      </c>
      <c r="AL2279">
        <v>88.248285014466205</v>
      </c>
      <c r="AM2279">
        <v>84.990007771576501</v>
      </c>
      <c r="AN2279">
        <v>0.99999995486523396</v>
      </c>
    </row>
    <row r="2280" spans="1:40" x14ac:dyDescent="0.25">
      <c r="A2280" t="str">
        <f>"20190312154840685"</f>
        <v>20190312154840685</v>
      </c>
      <c r="B2280" t="str">
        <f>"1552376920678364"</f>
        <v>1552376920678364</v>
      </c>
      <c r="C2280" t="s">
        <v>40</v>
      </c>
      <c r="D2280">
        <v>4.6145100000000001</v>
      </c>
      <c r="E2280">
        <v>0.54093780000000002</v>
      </c>
      <c r="F2280" t="s">
        <v>41</v>
      </c>
      <c r="G2280">
        <v>-363.28730000000002</v>
      </c>
      <c r="H2280">
        <v>0.9052751</v>
      </c>
      <c r="I2280">
        <v>282.78539999999998</v>
      </c>
      <c r="J2280">
        <v>-363.03489999999999</v>
      </c>
      <c r="K2280">
        <v>1.1098539999999999</v>
      </c>
      <c r="L2280">
        <v>282.66750000000002</v>
      </c>
      <c r="M2280">
        <v>-0.99938130000000003</v>
      </c>
      <c r="N2280">
        <v>0</v>
      </c>
      <c r="O2280">
        <v>-3.1966689999999999E-2</v>
      </c>
      <c r="P2280">
        <v>-0.99836279999999999</v>
      </c>
      <c r="Q2280">
        <v>1.7630030000000001E-2</v>
      </c>
      <c r="R2280">
        <v>5.4420469999999999E-2</v>
      </c>
      <c r="S2280">
        <v>-2.9945680000000001</v>
      </c>
      <c r="T2280">
        <v>-0.86582019999999904</v>
      </c>
      <c r="U2280">
        <v>0.43713380000000002</v>
      </c>
      <c r="V2280">
        <v>8.6310319999999996E-2</v>
      </c>
      <c r="W2280">
        <v>3.2250359999999999E-2</v>
      </c>
      <c r="X2280">
        <v>0.99574620000000003</v>
      </c>
      <c r="Y2280">
        <v>0.1679745</v>
      </c>
      <c r="Z2280">
        <v>3.2694760000000003E-2</v>
      </c>
      <c r="AA2280">
        <v>0.98524900000000004</v>
      </c>
      <c r="AB2280">
        <v>46</v>
      </c>
      <c r="AC2280">
        <v>-0.252400000000022</v>
      </c>
      <c r="AD2280">
        <v>-0.20457890000000001</v>
      </c>
      <c r="AE2280">
        <v>0.11789999999996301</v>
      </c>
      <c r="AF2280">
        <v>8.1796595998930605E-2</v>
      </c>
      <c r="AG2280">
        <v>-0.20457890000000001</v>
      </c>
      <c r="AH2280">
        <v>0.161438772193158</v>
      </c>
      <c r="AI2280">
        <v>138.502793249745</v>
      </c>
      <c r="AJ2280">
        <v>63.129918222774101</v>
      </c>
      <c r="AK2280">
        <v>0.273140415554814</v>
      </c>
      <c r="AL2280">
        <v>88.151870068779402</v>
      </c>
      <c r="AM2280">
        <v>85.046039136759603</v>
      </c>
      <c r="AN2280">
        <v>1.00000002593653</v>
      </c>
    </row>
    <row r="2281" spans="1:40" x14ac:dyDescent="0.25">
      <c r="A2281" t="str">
        <f>"20190312154840697"</f>
        <v>20190312154840697</v>
      </c>
      <c r="B2281" t="str">
        <f>"1552376920688125"</f>
        <v>1552376920688125</v>
      </c>
      <c r="C2281" t="s">
        <v>40</v>
      </c>
      <c r="D2281">
        <v>4.4790299999999998</v>
      </c>
      <c r="E2281">
        <v>0.54093780000000002</v>
      </c>
      <c r="F2281" t="s">
        <v>41</v>
      </c>
      <c r="G2281">
        <v>-364.0729</v>
      </c>
      <c r="H2281">
        <v>0.81175830000000004</v>
      </c>
      <c r="I2281">
        <v>282.81779999999998</v>
      </c>
      <c r="J2281">
        <v>-363.29349999999999</v>
      </c>
      <c r="K2281">
        <v>1.1098570000000001</v>
      </c>
      <c r="L2281">
        <v>282.6592</v>
      </c>
      <c r="M2281">
        <v>-0.99938090000000002</v>
      </c>
      <c r="N2281">
        <v>0</v>
      </c>
      <c r="O2281">
        <v>-3.1974780000000001E-2</v>
      </c>
      <c r="P2281">
        <v>-0.99836259999999999</v>
      </c>
      <c r="Q2281">
        <v>1.8620000000000001E-2</v>
      </c>
      <c r="R2281">
        <v>5.4086960000000003E-2</v>
      </c>
      <c r="S2281">
        <v>-2.996521</v>
      </c>
      <c r="T2281">
        <v>-0.86051440000000001</v>
      </c>
      <c r="U2281">
        <v>0.43347170000000002</v>
      </c>
      <c r="V2281">
        <v>8.5984870000000005E-2</v>
      </c>
      <c r="W2281">
        <v>3.3238789999999997E-2</v>
      </c>
      <c r="X2281">
        <v>0.99574180000000001</v>
      </c>
      <c r="Y2281">
        <v>0.16685990000000001</v>
      </c>
      <c r="Z2281">
        <v>3.2330739999999997E-2</v>
      </c>
      <c r="AA2281">
        <v>0.98545039999999995</v>
      </c>
      <c r="AB2281">
        <v>46</v>
      </c>
      <c r="AC2281">
        <v>-0.77940000000000897</v>
      </c>
      <c r="AD2281">
        <v>-0.298098699999999</v>
      </c>
      <c r="AE2281">
        <v>0.15859999999997801</v>
      </c>
      <c r="AF2281">
        <v>0.16084858393127899</v>
      </c>
      <c r="AG2281">
        <v>-0.298098699999999</v>
      </c>
      <c r="AH2281">
        <v>0.678606871987253</v>
      </c>
      <c r="AI2281">
        <v>113.143670865701</v>
      </c>
      <c r="AJ2281">
        <v>76.665403542264698</v>
      </c>
      <c r="AK2281">
        <v>0.75844735387679496</v>
      </c>
      <c r="AL2281">
        <v>88.0952067154345</v>
      </c>
      <c r="AM2281">
        <v>85.064604880215498</v>
      </c>
      <c r="AN2281">
        <v>0.99999997364840998</v>
      </c>
    </row>
    <row r="2282" spans="1:40" x14ac:dyDescent="0.25">
      <c r="A2282" t="str">
        <f>"20190312154840710"</f>
        <v>20190312154840710</v>
      </c>
      <c r="B2282" t="str">
        <f>"1552376920697885"</f>
        <v>1552376920697885</v>
      </c>
      <c r="C2282" t="s">
        <v>40</v>
      </c>
      <c r="D2282">
        <v>4.5918299999999999</v>
      </c>
      <c r="E2282">
        <v>0.53602490000000003</v>
      </c>
      <c r="F2282" t="s">
        <v>41</v>
      </c>
      <c r="G2282">
        <v>-364.09879999999998</v>
      </c>
      <c r="H2282">
        <v>0.87948040000000005</v>
      </c>
      <c r="I2282">
        <v>282.77550000000002</v>
      </c>
      <c r="J2282">
        <v>-363.5471</v>
      </c>
      <c r="K2282">
        <v>1.1098600000000001</v>
      </c>
      <c r="L2282">
        <v>282.65109999999999</v>
      </c>
      <c r="M2282">
        <v>-0.99938059999999995</v>
      </c>
      <c r="N2282">
        <v>0</v>
      </c>
      <c r="O2282">
        <v>-3.198264E-2</v>
      </c>
      <c r="P2282">
        <v>-0.99835620000000003</v>
      </c>
      <c r="Q2282">
        <v>1.9128200000000001E-2</v>
      </c>
      <c r="R2282">
        <v>5.4027249999999999E-2</v>
      </c>
      <c r="S2282">
        <v>-2.9974669999999999</v>
      </c>
      <c r="T2282">
        <v>-0.85753699999999999</v>
      </c>
      <c r="U2282">
        <v>0.43252560000000001</v>
      </c>
      <c r="V2282">
        <v>8.5932770000000006E-2</v>
      </c>
      <c r="W2282">
        <v>3.3744910000000003E-2</v>
      </c>
      <c r="X2282">
        <v>0.99572930000000004</v>
      </c>
      <c r="Y2282">
        <v>0.16658709999999999</v>
      </c>
      <c r="Z2282">
        <v>3.2178270000000002E-2</v>
      </c>
      <c r="AA2282">
        <v>0.98550150000000003</v>
      </c>
      <c r="AB2282">
        <v>46</v>
      </c>
      <c r="AC2282">
        <v>-0.55169999999998198</v>
      </c>
      <c r="AD2282">
        <v>-0.23037959999999999</v>
      </c>
      <c r="AE2282">
        <v>0.124400000000036</v>
      </c>
      <c r="AF2282">
        <v>0.121775903915549</v>
      </c>
      <c r="AG2282">
        <v>-0.23037959999999999</v>
      </c>
      <c r="AH2282">
        <v>0.46952664285580598</v>
      </c>
      <c r="AI2282">
        <v>115.405346939213</v>
      </c>
      <c r="AJ2282">
        <v>75.460196727574996</v>
      </c>
      <c r="AK2282">
        <v>0.53699106065376201</v>
      </c>
      <c r="AL2282">
        <v>88.066191946653404</v>
      </c>
      <c r="AM2282">
        <v>85.067518966013907</v>
      </c>
      <c r="AN2282">
        <v>0.99999999939463502</v>
      </c>
    </row>
    <row r="2283" spans="1:40" x14ac:dyDescent="0.25">
      <c r="A2283" t="str">
        <f>"20190312154840722"</f>
        <v>20190312154840722</v>
      </c>
      <c r="B2283" t="str">
        <f>"1552376920718381"</f>
        <v>1552376920718381</v>
      </c>
      <c r="C2283" t="s">
        <v>40</v>
      </c>
      <c r="D2283">
        <v>4.5469809999999997</v>
      </c>
      <c r="E2283">
        <v>0.53599560000000002</v>
      </c>
      <c r="F2283" t="s">
        <v>41</v>
      </c>
      <c r="G2283">
        <v>-364.50560000000002</v>
      </c>
      <c r="H2283">
        <v>0.86863330000000005</v>
      </c>
      <c r="I2283">
        <v>282.77890000000002</v>
      </c>
      <c r="J2283">
        <v>-363.803</v>
      </c>
      <c r="K2283">
        <v>1.109858</v>
      </c>
      <c r="L2283">
        <v>282.6429</v>
      </c>
      <c r="M2283">
        <v>-0.99938059999999995</v>
      </c>
      <c r="N2283">
        <v>0</v>
      </c>
      <c r="O2283">
        <v>-3.1990970000000001E-2</v>
      </c>
      <c r="P2283">
        <v>-0.99833450000000001</v>
      </c>
      <c r="Q2283">
        <v>1.972757E-2</v>
      </c>
      <c r="R2283">
        <v>5.4216140000000003E-2</v>
      </c>
      <c r="S2283">
        <v>-2.9977719999999999</v>
      </c>
      <c r="T2283">
        <v>-0.75447580000000003</v>
      </c>
      <c r="U2283">
        <v>0.39910889999999999</v>
      </c>
      <c r="V2283">
        <v>8.6129250000000004E-2</v>
      </c>
      <c r="W2283">
        <v>3.4342039999999997E-2</v>
      </c>
      <c r="X2283">
        <v>0.99569189999999996</v>
      </c>
      <c r="Y2283">
        <v>0.15779470000000001</v>
      </c>
      <c r="Z2283">
        <v>2.7368409999999999E-2</v>
      </c>
      <c r="AA2283">
        <v>0.98709259999999999</v>
      </c>
      <c r="AB2283">
        <v>46</v>
      </c>
      <c r="AC2283">
        <v>-0.70259999999996103</v>
      </c>
      <c r="AD2283">
        <v>-0.24122469999999999</v>
      </c>
      <c r="AE2283">
        <v>0.13600000000002399</v>
      </c>
      <c r="AF2283">
        <v>0.142247563072427</v>
      </c>
      <c r="AG2283">
        <v>-0.24122469999999999</v>
      </c>
      <c r="AH2283">
        <v>0.62668543607399096</v>
      </c>
      <c r="AI2283">
        <v>110.574780078873</v>
      </c>
      <c r="AJ2283">
        <v>77.211465596053401</v>
      </c>
      <c r="AK2283">
        <v>0.68640976164196699</v>
      </c>
      <c r="AL2283">
        <v>88.031959058913699</v>
      </c>
      <c r="AM2283">
        <v>85.056112205315799</v>
      </c>
      <c r="AN2283">
        <v>0.99999999157126696</v>
      </c>
    </row>
    <row r="2284" spans="1:40" x14ac:dyDescent="0.25">
      <c r="A2284" t="str">
        <f>"20190312154840734"</f>
        <v>20190312154840734</v>
      </c>
      <c r="B2284" t="str">
        <f>"1552376920728141"</f>
        <v>1552376920728141</v>
      </c>
      <c r="C2284" t="s">
        <v>40</v>
      </c>
      <c r="D2284">
        <v>4.5088299999999997</v>
      </c>
      <c r="E2284">
        <v>0.53600530000000002</v>
      </c>
      <c r="F2284" t="s">
        <v>41</v>
      </c>
      <c r="G2284">
        <v>-364.52870000000001</v>
      </c>
      <c r="H2284">
        <v>0.92832139999999996</v>
      </c>
      <c r="I2284">
        <v>282.73989999999998</v>
      </c>
      <c r="J2284">
        <v>-364.04219999999998</v>
      </c>
      <c r="K2284">
        <v>1.109861</v>
      </c>
      <c r="L2284">
        <v>282.6352</v>
      </c>
      <c r="M2284">
        <v>-0.9993803</v>
      </c>
      <c r="N2284">
        <v>0</v>
      </c>
      <c r="O2284">
        <v>-3.199871E-2</v>
      </c>
      <c r="P2284">
        <v>-0.99832140000000003</v>
      </c>
      <c r="Q2284">
        <v>2.0133399999999999E-2</v>
      </c>
      <c r="R2284">
        <v>5.4308309999999999E-2</v>
      </c>
      <c r="S2284">
        <v>-2.9981080000000002</v>
      </c>
      <c r="T2284">
        <v>-0.75006219999999901</v>
      </c>
      <c r="U2284">
        <v>0.39978029999999998</v>
      </c>
      <c r="V2284">
        <v>8.622871E-2</v>
      </c>
      <c r="W2284">
        <v>3.4746150000000003E-2</v>
      </c>
      <c r="X2284">
        <v>0.99566929999999998</v>
      </c>
      <c r="Y2284">
        <v>0.15806500000000001</v>
      </c>
      <c r="Z2284">
        <v>2.72448E-2</v>
      </c>
      <c r="AA2284">
        <v>0.98705279999999995</v>
      </c>
      <c r="AB2284">
        <v>46</v>
      </c>
      <c r="AC2284">
        <v>-0.48650000000003402</v>
      </c>
      <c r="AD2284">
        <v>-0.1815396</v>
      </c>
      <c r="AE2284">
        <v>0.104699999999979</v>
      </c>
      <c r="AF2284">
        <v>0.10609610020262999</v>
      </c>
      <c r="AG2284">
        <v>-0.1815396</v>
      </c>
      <c r="AH2284">
        <v>0.42618348835148301</v>
      </c>
      <c r="AI2284">
        <v>112.457753881947</v>
      </c>
      <c r="AJ2284">
        <v>76.0206807525161</v>
      </c>
      <c r="AK2284">
        <v>0.47523191663629399</v>
      </c>
      <c r="AL2284">
        <v>88.008791491034799</v>
      </c>
      <c r="AM2284">
        <v>85.050319677577505</v>
      </c>
      <c r="AN2284">
        <v>1.0000000201652799</v>
      </c>
    </row>
    <row r="2285" spans="1:40" x14ac:dyDescent="0.25">
      <c r="A2285" t="str">
        <f>"20190312154840753"</f>
        <v>20190312154840753</v>
      </c>
      <c r="B2285" t="str">
        <f>"1552376920748637"</f>
        <v>1552376920748637</v>
      </c>
      <c r="C2285" t="s">
        <v>40</v>
      </c>
      <c r="D2285">
        <v>4.4970460000000001</v>
      </c>
      <c r="E2285">
        <v>0.53610279999999999</v>
      </c>
      <c r="F2285" t="s">
        <v>41</v>
      </c>
      <c r="G2285">
        <v>-364.92360000000002</v>
      </c>
      <c r="H2285">
        <v>0.88966880000000004</v>
      </c>
      <c r="I2285">
        <v>282.75290000000001</v>
      </c>
      <c r="J2285">
        <v>-364.41570000000002</v>
      </c>
      <c r="K2285">
        <v>1.1098629999999901</v>
      </c>
      <c r="L2285">
        <v>282.62329999999997</v>
      </c>
      <c r="M2285">
        <v>-0.99937989999999999</v>
      </c>
      <c r="N2285">
        <v>0</v>
      </c>
      <c r="O2285">
        <v>-3.201085E-2</v>
      </c>
      <c r="P2285">
        <v>-0.99826479999999995</v>
      </c>
      <c r="Q2285">
        <v>2.0351830000000001E-2</v>
      </c>
      <c r="R2285">
        <v>5.5256699999999999E-2</v>
      </c>
      <c r="S2285">
        <v>-2.9984130000000002</v>
      </c>
      <c r="T2285">
        <v>-0.74900769999999905</v>
      </c>
      <c r="U2285">
        <v>0.40008539999999998</v>
      </c>
      <c r="V2285">
        <v>8.7186910000000006E-2</v>
      </c>
      <c r="W2285">
        <v>3.4961069999999997E-2</v>
      </c>
      <c r="X2285">
        <v>0.99557830000000003</v>
      </c>
      <c r="Y2285">
        <v>0.15817600000000001</v>
      </c>
      <c r="Z2285">
        <v>2.722136E-2</v>
      </c>
      <c r="AA2285">
        <v>0.98703560000000001</v>
      </c>
      <c r="AB2285">
        <v>46</v>
      </c>
      <c r="AC2285">
        <v>-0.50790000000000601</v>
      </c>
      <c r="AD2285">
        <v>-0.22019419999999901</v>
      </c>
      <c r="AE2285">
        <v>0.12960000000003899</v>
      </c>
      <c r="AF2285">
        <v>0.123925090345198</v>
      </c>
      <c r="AG2285">
        <v>-0.22019419999999901</v>
      </c>
      <c r="AH2285">
        <v>0.427968761754423</v>
      </c>
      <c r="AI2285">
        <v>116.29893933870299</v>
      </c>
      <c r="AJ2285">
        <v>73.850794833744601</v>
      </c>
      <c r="AK2285">
        <v>0.49699112141799801</v>
      </c>
      <c r="AL2285">
        <v>87.996469940807003</v>
      </c>
      <c r="AM2285">
        <v>84.995139992055897</v>
      </c>
      <c r="AN2285">
        <v>0.999999992560891</v>
      </c>
    </row>
    <row r="2286" spans="1:40" x14ac:dyDescent="0.25">
      <c r="A2286" t="str">
        <f>"20190312154840775"</f>
        <v>20190312154840775</v>
      </c>
      <c r="B2286" t="str">
        <f>"1552376920768157"</f>
        <v>1552376920768157</v>
      </c>
      <c r="C2286" t="s">
        <v>40</v>
      </c>
      <c r="D2286">
        <v>4.4464090000000001</v>
      </c>
      <c r="E2286">
        <v>0.53624729999999998</v>
      </c>
      <c r="F2286" t="s">
        <v>41</v>
      </c>
      <c r="G2286">
        <v>-365.33030000000002</v>
      </c>
      <c r="H2286">
        <v>0.88164619999999905</v>
      </c>
      <c r="I2286">
        <v>282.74669999999998</v>
      </c>
      <c r="J2286">
        <v>-364.87220000000002</v>
      </c>
      <c r="K2286">
        <v>1.1098650000000001</v>
      </c>
      <c r="L2286">
        <v>282.60860000000002</v>
      </c>
      <c r="M2286">
        <v>-0.99937960000000003</v>
      </c>
      <c r="N2286">
        <v>0</v>
      </c>
      <c r="O2286">
        <v>-3.2025369999999997E-2</v>
      </c>
      <c r="P2286">
        <v>-0.99820880000000001</v>
      </c>
      <c r="Q2286">
        <v>2.0244700000000001E-2</v>
      </c>
      <c r="R2286">
        <v>5.6301440000000001E-2</v>
      </c>
      <c r="S2286">
        <v>-2.9981689999999999</v>
      </c>
      <c r="T2286">
        <v>-0.7481449</v>
      </c>
      <c r="U2286">
        <v>0.40359499999999998</v>
      </c>
      <c r="V2286">
        <v>8.8243920000000003E-2</v>
      </c>
      <c r="W2286">
        <v>3.4850039999999999E-2</v>
      </c>
      <c r="X2286">
        <v>0.99548910000000002</v>
      </c>
      <c r="Y2286">
        <v>0.15931409999999999</v>
      </c>
      <c r="Z2286">
        <v>2.733389E-2</v>
      </c>
      <c r="AA2286">
        <v>0.98684950000000005</v>
      </c>
      <c r="AB2286">
        <v>46</v>
      </c>
      <c r="AC2286">
        <v>-0.45810000000000101</v>
      </c>
      <c r="AD2286">
        <v>-0.228218799999999</v>
      </c>
      <c r="AE2286">
        <v>0.13809999999995101</v>
      </c>
      <c r="AF2286">
        <v>0.1243991699437</v>
      </c>
      <c r="AG2286">
        <v>-0.228218799999999</v>
      </c>
      <c r="AH2286">
        <v>0.36939889789977698</v>
      </c>
      <c r="AI2286">
        <v>120.349073702279</v>
      </c>
      <c r="AJ2286">
        <v>71.388477695800105</v>
      </c>
      <c r="AK2286">
        <v>0.45167966516735197</v>
      </c>
      <c r="AL2286">
        <v>88.002835447974604</v>
      </c>
      <c r="AM2286">
        <v>84.934325868737304</v>
      </c>
      <c r="AN2286">
        <v>1.00000003146188</v>
      </c>
    </row>
    <row r="2287" spans="1:40" x14ac:dyDescent="0.25">
      <c r="A2287" t="str">
        <f>"20190312154840796"</f>
        <v>20190312154840796</v>
      </c>
      <c r="B2287" t="str">
        <f>"1552376920788653"</f>
        <v>1552376920788653</v>
      </c>
      <c r="C2287" t="s">
        <v>40</v>
      </c>
      <c r="D2287">
        <v>4.4310450000000001</v>
      </c>
      <c r="E2287">
        <v>0.53648530000000005</v>
      </c>
      <c r="F2287" t="s">
        <v>41</v>
      </c>
      <c r="G2287">
        <v>-365.74349999999998</v>
      </c>
      <c r="H2287">
        <v>0.89206240000000003</v>
      </c>
      <c r="I2287">
        <v>282.72710000000001</v>
      </c>
      <c r="J2287">
        <v>-365.31150000000002</v>
      </c>
      <c r="K2287">
        <v>1.1098680000000001</v>
      </c>
      <c r="L2287">
        <v>282.59449999999998</v>
      </c>
      <c r="M2287">
        <v>-0.99937909999999996</v>
      </c>
      <c r="N2287">
        <v>0</v>
      </c>
      <c r="O2287">
        <v>-3.20393E-2</v>
      </c>
      <c r="P2287">
        <v>-0.99815730000000003</v>
      </c>
      <c r="Q2287">
        <v>1.979088E-2</v>
      </c>
      <c r="R2287">
        <v>5.7363879999999999E-2</v>
      </c>
      <c r="S2287">
        <v>-2.99762</v>
      </c>
      <c r="T2287">
        <v>-0.74943490000000001</v>
      </c>
      <c r="U2287">
        <v>0.40701290000000001</v>
      </c>
      <c r="V2287">
        <v>8.9317709999999995E-2</v>
      </c>
      <c r="W2287">
        <v>3.4392069999999997E-2</v>
      </c>
      <c r="X2287">
        <v>0.99540930000000005</v>
      </c>
      <c r="Y2287">
        <v>0.16040270000000001</v>
      </c>
      <c r="Z2287">
        <v>2.7519350000000001E-2</v>
      </c>
      <c r="AA2287">
        <v>0.98666790000000004</v>
      </c>
      <c r="AB2287">
        <v>46</v>
      </c>
      <c r="AC2287">
        <v>-0.43199999999995897</v>
      </c>
      <c r="AD2287">
        <v>-0.21780559999999999</v>
      </c>
      <c r="AE2287">
        <v>0.132600000000024</v>
      </c>
      <c r="AF2287">
        <v>0.118780477971113</v>
      </c>
      <c r="AG2287">
        <v>-0.21780559999999999</v>
      </c>
      <c r="AH2287">
        <v>0.34693322960679202</v>
      </c>
      <c r="AI2287">
        <v>120.70843060934</v>
      </c>
      <c r="AJ2287">
        <v>71.100194509786903</v>
      </c>
      <c r="AK2287">
        <v>0.42650996136527197</v>
      </c>
      <c r="AL2287">
        <v>88.029091013659894</v>
      </c>
      <c r="AM2287">
        <v>84.872602299704496</v>
      </c>
      <c r="AN2287">
        <v>1.0000000711624999</v>
      </c>
    </row>
    <row r="2288" spans="1:40" x14ac:dyDescent="0.25">
      <c r="A2288" t="str">
        <f>"20190312154840808"</f>
        <v>20190312154840808</v>
      </c>
      <c r="B2288" t="str">
        <f>"1552376920798412"</f>
        <v>1552376920798412</v>
      </c>
      <c r="C2288" t="s">
        <v>40</v>
      </c>
      <c r="D2288">
        <v>4.4284049999999997</v>
      </c>
      <c r="E2288">
        <v>0.53658850000000002</v>
      </c>
      <c r="F2288" t="s">
        <v>41</v>
      </c>
      <c r="G2288">
        <v>-366.15499999999997</v>
      </c>
      <c r="H2288">
        <v>0.89840810000000004</v>
      </c>
      <c r="I2288">
        <v>282.71069999999997</v>
      </c>
      <c r="J2288">
        <v>-365.55829999999997</v>
      </c>
      <c r="K2288">
        <v>1.1098629999999901</v>
      </c>
      <c r="L2288">
        <v>282.58659999999998</v>
      </c>
      <c r="M2288">
        <v>-0.99937880000000001</v>
      </c>
      <c r="N2288">
        <v>0</v>
      </c>
      <c r="O2288">
        <v>-3.2046909999999998E-2</v>
      </c>
      <c r="P2288">
        <v>-0.99813070000000004</v>
      </c>
      <c r="Q2288">
        <v>1.951282E-2</v>
      </c>
      <c r="R2288">
        <v>5.7915700000000001E-2</v>
      </c>
      <c r="S2288">
        <v>-2.9967350000000001</v>
      </c>
      <c r="T2288">
        <v>-0.75133709999999998</v>
      </c>
      <c r="U2288">
        <v>0.41162109999999902</v>
      </c>
      <c r="V2288">
        <v>8.9876150000000002E-2</v>
      </c>
      <c r="W2288">
        <v>3.4111860000000001E-2</v>
      </c>
      <c r="X2288">
        <v>0.99536860000000005</v>
      </c>
      <c r="Y2288">
        <v>0.1618626</v>
      </c>
      <c r="Z2288">
        <v>2.7773570000000001E-2</v>
      </c>
      <c r="AA2288">
        <v>0.98642240000000003</v>
      </c>
      <c r="AB2288">
        <v>46</v>
      </c>
      <c r="AC2288">
        <v>-0.59669999999999801</v>
      </c>
      <c r="AD2288">
        <v>-0.211454899999999</v>
      </c>
      <c r="AE2288">
        <v>0.124099999999998</v>
      </c>
      <c r="AF2288">
        <v>0.127779362184687</v>
      </c>
      <c r="AG2288">
        <v>-0.211454899999999</v>
      </c>
      <c r="AH2288">
        <v>0.52876622573858501</v>
      </c>
      <c r="AI2288">
        <v>111.24177722193301</v>
      </c>
      <c r="AJ2288">
        <v>76.414603512834105</v>
      </c>
      <c r="AK2288">
        <v>0.58363898226229105</v>
      </c>
      <c r="AL2288">
        <v>88.045155141219496</v>
      </c>
      <c r="AM2288">
        <v>84.840506992132006</v>
      </c>
      <c r="AN2288">
        <v>0.99999999559872099</v>
      </c>
    </row>
    <row r="2289" spans="1:40" x14ac:dyDescent="0.25">
      <c r="A2289" t="str">
        <f>"20190312154840820"</f>
        <v>20190312154840820</v>
      </c>
      <c r="B2289" t="str">
        <f>"1552376920817932"</f>
        <v>1552376920817932</v>
      </c>
      <c r="C2289" t="s">
        <v>40</v>
      </c>
      <c r="D2289">
        <v>4.3639140000000003</v>
      </c>
      <c r="E2289">
        <v>0.5364717</v>
      </c>
      <c r="F2289" t="s">
        <v>41</v>
      </c>
      <c r="G2289">
        <v>-366.54950000000002</v>
      </c>
      <c r="H2289">
        <v>0.86077569999999903</v>
      </c>
      <c r="I2289">
        <v>282.7235</v>
      </c>
      <c r="J2289">
        <v>-365.82389999999998</v>
      </c>
      <c r="K2289">
        <v>1.109866</v>
      </c>
      <c r="L2289">
        <v>282.57810000000001</v>
      </c>
      <c r="M2289">
        <v>-0.99937860000000001</v>
      </c>
      <c r="N2289">
        <v>0</v>
      </c>
      <c r="O2289">
        <v>-3.2055479999999997E-2</v>
      </c>
      <c r="P2289">
        <v>-0.99811640000000001</v>
      </c>
      <c r="Q2289">
        <v>1.913345E-2</v>
      </c>
      <c r="R2289">
        <v>5.8290790000000002E-2</v>
      </c>
      <c r="S2289">
        <v>-2.9962770000000001</v>
      </c>
      <c r="T2289">
        <v>-0.75309209999999904</v>
      </c>
      <c r="U2289">
        <v>0.41369630000000002</v>
      </c>
      <c r="V2289">
        <v>9.0259099999999995E-2</v>
      </c>
      <c r="W2289">
        <v>3.3730610000000001E-2</v>
      </c>
      <c r="X2289">
        <v>0.99534699999999998</v>
      </c>
      <c r="Y2289">
        <v>0.162513299999999</v>
      </c>
      <c r="Z2289">
        <v>2.7921660000000001E-2</v>
      </c>
      <c r="AA2289">
        <v>0.98631120000000005</v>
      </c>
      <c r="AB2289">
        <v>46</v>
      </c>
      <c r="AC2289">
        <v>-0.72560000000004199</v>
      </c>
      <c r="AD2289">
        <v>-0.24909029999999999</v>
      </c>
      <c r="AE2289">
        <v>0.14539999999999501</v>
      </c>
      <c r="AF2289">
        <v>0.15143048590334701</v>
      </c>
      <c r="AG2289">
        <v>-0.24909029999999999</v>
      </c>
      <c r="AH2289">
        <v>0.64723535940813903</v>
      </c>
      <c r="AI2289">
        <v>110.542632139196</v>
      </c>
      <c r="AJ2289">
        <v>76.831653905649404</v>
      </c>
      <c r="AK2289">
        <v>0.70985264673958703</v>
      </c>
      <c r="AL2289">
        <v>88.067011850126406</v>
      </c>
      <c r="AM2289">
        <v>84.818530675850795</v>
      </c>
      <c r="AN2289">
        <v>1.0000000547963801</v>
      </c>
    </row>
    <row r="2290" spans="1:40" x14ac:dyDescent="0.25">
      <c r="A2290" t="str">
        <f>"20190312154840833"</f>
        <v>20190312154840833</v>
      </c>
      <c r="B2290" t="str">
        <f>"1552376920827693"</f>
        <v>1552376920827693</v>
      </c>
      <c r="C2290" t="s">
        <v>40</v>
      </c>
      <c r="D2290">
        <v>4.3532769999999896</v>
      </c>
      <c r="E2290">
        <v>0.53637939999999995</v>
      </c>
      <c r="F2290" t="s">
        <v>41</v>
      </c>
      <c r="G2290">
        <v>-366.57240000000002</v>
      </c>
      <c r="H2290">
        <v>0.92178610000000005</v>
      </c>
      <c r="I2290">
        <v>282.6816</v>
      </c>
      <c r="J2290">
        <v>-366.07569999999998</v>
      </c>
      <c r="K2290">
        <v>1.1098589999999999</v>
      </c>
      <c r="L2290">
        <v>282.57</v>
      </c>
      <c r="M2290">
        <v>-0.9993784</v>
      </c>
      <c r="N2290">
        <v>0</v>
      </c>
      <c r="O2290">
        <v>-3.2063340000000003E-2</v>
      </c>
      <c r="P2290">
        <v>-0.99811179999999999</v>
      </c>
      <c r="Q2290">
        <v>1.8825930000000001E-2</v>
      </c>
      <c r="R2290">
        <v>5.8470849999999998E-2</v>
      </c>
      <c r="S2290">
        <v>-2.995911</v>
      </c>
      <c r="T2290">
        <v>-0.75289110000000004</v>
      </c>
      <c r="U2290">
        <v>0.41397089999999998</v>
      </c>
      <c r="V2290">
        <v>9.0446869999999999E-2</v>
      </c>
      <c r="W2290">
        <v>3.3421319999999997E-2</v>
      </c>
      <c r="X2290">
        <v>0.99534029999999996</v>
      </c>
      <c r="Y2290">
        <v>0.1626243</v>
      </c>
      <c r="Z2290">
        <v>2.793315E-2</v>
      </c>
      <c r="AA2290">
        <v>0.98629259999999996</v>
      </c>
      <c r="AB2290">
        <v>46</v>
      </c>
      <c r="AC2290">
        <v>-0.496700000000032</v>
      </c>
      <c r="AD2290">
        <v>-0.18807289999999999</v>
      </c>
      <c r="AE2290">
        <v>0.111600000000009</v>
      </c>
      <c r="AF2290">
        <v>0.11216207562870301</v>
      </c>
      <c r="AG2290">
        <v>-0.18807289999999999</v>
      </c>
      <c r="AH2290">
        <v>0.43367683228003101</v>
      </c>
      <c r="AI2290">
        <v>112.77538545176201</v>
      </c>
      <c r="AJ2290">
        <v>75.499303947453697</v>
      </c>
      <c r="AK2290">
        <v>0.48582645232653898</v>
      </c>
      <c r="AL2290">
        <v>88.084742689698203</v>
      </c>
      <c r="AM2290">
        <v>84.807775532631297</v>
      </c>
      <c r="AN2290">
        <v>0.99999996686371395</v>
      </c>
    </row>
    <row r="2291" spans="1:40" x14ac:dyDescent="0.25">
      <c r="A2291" t="str">
        <f>"20190312154840847"</f>
        <v>20190312154840847</v>
      </c>
      <c r="B2291" t="str">
        <f>"1552376920838428"</f>
        <v>1552376920838428</v>
      </c>
      <c r="C2291" t="s">
        <v>40</v>
      </c>
      <c r="D2291">
        <v>4.3540669999999997</v>
      </c>
      <c r="E2291">
        <v>0.53621819999999998</v>
      </c>
      <c r="F2291" t="s">
        <v>41</v>
      </c>
      <c r="G2291">
        <v>-366.96710000000002</v>
      </c>
      <c r="H2291">
        <v>0.88550879999999998</v>
      </c>
      <c r="I2291">
        <v>282.6934</v>
      </c>
      <c r="J2291">
        <v>-366.33679999999998</v>
      </c>
      <c r="K2291">
        <v>1.10985</v>
      </c>
      <c r="L2291">
        <v>282.5616</v>
      </c>
      <c r="M2291">
        <v>-0.99937810000000005</v>
      </c>
      <c r="N2291">
        <v>0</v>
      </c>
      <c r="O2291">
        <v>-3.207144E-2</v>
      </c>
      <c r="P2291">
        <v>-0.99810980000000005</v>
      </c>
      <c r="Q2291">
        <v>1.825748E-2</v>
      </c>
      <c r="R2291">
        <v>5.8682779999999997E-2</v>
      </c>
      <c r="S2291">
        <v>-2.9956670000000001</v>
      </c>
      <c r="T2291">
        <v>-0.75389079999999997</v>
      </c>
      <c r="U2291">
        <v>0.41345209999999999</v>
      </c>
      <c r="V2291">
        <v>9.0666529999999995E-2</v>
      </c>
      <c r="W2291">
        <v>3.2851329999999998E-2</v>
      </c>
      <c r="X2291">
        <v>0.99533930000000004</v>
      </c>
      <c r="Y2291">
        <v>0.16246360000000001</v>
      </c>
      <c r="Z2291">
        <v>2.7953809999999999E-2</v>
      </c>
      <c r="AA2291">
        <v>0.98631849999999999</v>
      </c>
      <c r="AB2291">
        <v>46</v>
      </c>
      <c r="AC2291">
        <v>-0.63030000000003295</v>
      </c>
      <c r="AD2291">
        <v>-0.22434119999999999</v>
      </c>
      <c r="AE2291">
        <v>0.131799999999998</v>
      </c>
      <c r="AF2291">
        <v>0.13550211771038601</v>
      </c>
      <c r="AG2291">
        <v>-0.22434119999999999</v>
      </c>
      <c r="AH2291">
        <v>0.55801760703243597</v>
      </c>
      <c r="AI2291">
        <v>111.339552927136</v>
      </c>
      <c r="AJ2291">
        <v>76.351175265942004</v>
      </c>
      <c r="AK2291">
        <v>0.61650097135336701</v>
      </c>
      <c r="AL2291">
        <v>88.117418673780094</v>
      </c>
      <c r="AM2291">
        <v>84.795229627111894</v>
      </c>
      <c r="AN2291">
        <v>0.99999997583474898</v>
      </c>
    </row>
    <row r="2292" spans="1:40" x14ac:dyDescent="0.25">
      <c r="A2292" t="str">
        <f>"20190312154840858"</f>
        <v>20190312154840858</v>
      </c>
      <c r="B2292" t="str">
        <f>"1552376920848190"</f>
        <v>1552376920848190</v>
      </c>
      <c r="C2292" t="s">
        <v>40</v>
      </c>
      <c r="D2292">
        <v>4.3265599999999997</v>
      </c>
      <c r="E2292">
        <v>0.53632659999999999</v>
      </c>
      <c r="F2292" t="s">
        <v>41</v>
      </c>
      <c r="G2292">
        <v>-367.36219999999997</v>
      </c>
      <c r="H2292">
        <v>0.85131650000000003</v>
      </c>
      <c r="I2292">
        <v>282.70319999999998</v>
      </c>
      <c r="J2292">
        <v>-366.601</v>
      </c>
      <c r="K2292">
        <v>1.1098479999999999</v>
      </c>
      <c r="L2292">
        <v>282.55309999999997</v>
      </c>
      <c r="M2292">
        <v>-0.99937779999999998</v>
      </c>
      <c r="N2292">
        <v>0</v>
      </c>
      <c r="O2292">
        <v>-3.2079770000000001E-2</v>
      </c>
      <c r="P2292">
        <v>-0.99811870000000003</v>
      </c>
      <c r="Q2292">
        <v>1.7609280000000001E-2</v>
      </c>
      <c r="R2292">
        <v>5.8726359999999998E-2</v>
      </c>
      <c r="S2292">
        <v>-2.9952390000000002</v>
      </c>
      <c r="T2292">
        <v>-0.75516459999999996</v>
      </c>
      <c r="U2292">
        <v>0.4127808</v>
      </c>
      <c r="V2292">
        <v>9.0718679999999996E-2</v>
      </c>
      <c r="W2292">
        <v>3.2201279999999999E-2</v>
      </c>
      <c r="X2292">
        <v>0.99535580000000001</v>
      </c>
      <c r="Y2292">
        <v>0.16225819999999999</v>
      </c>
      <c r="Z2292">
        <v>2.798055E-2</v>
      </c>
      <c r="AA2292">
        <v>0.98635150000000005</v>
      </c>
      <c r="AB2292">
        <v>46</v>
      </c>
      <c r="AC2292">
        <v>-0.76119999999997301</v>
      </c>
      <c r="AD2292">
        <v>-0.25853149999999903</v>
      </c>
      <c r="AE2292">
        <v>0.150100000000009</v>
      </c>
      <c r="AF2292">
        <v>0.15701068474489199</v>
      </c>
      <c r="AG2292">
        <v>-0.25853149999999903</v>
      </c>
      <c r="AH2292">
        <v>0.680439389520621</v>
      </c>
      <c r="AI2292">
        <v>110.315535347921</v>
      </c>
      <c r="AJ2292">
        <v>77.006485657114894</v>
      </c>
      <c r="AK2292">
        <v>0.74463994952426804</v>
      </c>
      <c r="AL2292">
        <v>88.154683531245993</v>
      </c>
      <c r="AM2292">
        <v>84.792338233220605</v>
      </c>
      <c r="AN2292">
        <v>0.99999998496411002</v>
      </c>
    </row>
    <row r="2293" spans="1:40" x14ac:dyDescent="0.25">
      <c r="A2293" t="str">
        <f>"20190312154840875"</f>
        <v>20190312154840875</v>
      </c>
      <c r="B2293" t="str">
        <f>"1552376920868684"</f>
        <v>1552376920868684</v>
      </c>
      <c r="C2293" t="s">
        <v>40</v>
      </c>
      <c r="D2293">
        <v>4.2695480000000003</v>
      </c>
      <c r="E2293">
        <v>0.53643750000000001</v>
      </c>
      <c r="F2293" t="s">
        <v>41</v>
      </c>
      <c r="G2293">
        <v>-367.38479999999998</v>
      </c>
      <c r="H2293">
        <v>0.91131700000000004</v>
      </c>
      <c r="I2293">
        <v>282.66140000000001</v>
      </c>
      <c r="J2293">
        <v>-366.92660000000001</v>
      </c>
      <c r="K2293">
        <v>1.1098410000000001</v>
      </c>
      <c r="L2293">
        <v>282.54270000000002</v>
      </c>
      <c r="M2293">
        <v>-0.99937759999999998</v>
      </c>
      <c r="N2293">
        <v>0</v>
      </c>
      <c r="O2293">
        <v>-3.2090359999999998E-2</v>
      </c>
      <c r="P2293">
        <v>-0.99814239999999999</v>
      </c>
      <c r="Q2293">
        <v>1.6588749999999999E-2</v>
      </c>
      <c r="R2293">
        <v>5.8621859999999998E-2</v>
      </c>
      <c r="S2293">
        <v>-2.9946899999999999</v>
      </c>
      <c r="T2293">
        <v>-0.7586195</v>
      </c>
      <c r="U2293">
        <v>0.41329959999999999</v>
      </c>
      <c r="V2293">
        <v>9.0625650000000002E-2</v>
      </c>
      <c r="W2293">
        <v>3.117897E-2</v>
      </c>
      <c r="X2293">
        <v>0.99539690000000003</v>
      </c>
      <c r="Y2293">
        <v>0.16240009999999999</v>
      </c>
      <c r="Z2293">
        <v>2.8129589999999999E-2</v>
      </c>
      <c r="AA2293">
        <v>0.98632399999999998</v>
      </c>
      <c r="AB2293">
        <v>46</v>
      </c>
      <c r="AC2293">
        <v>-0.45819999999997602</v>
      </c>
      <c r="AD2293">
        <v>-0.19852400000000001</v>
      </c>
      <c r="AE2293">
        <v>0.11869999999998899</v>
      </c>
      <c r="AF2293">
        <v>0.11339601170679001</v>
      </c>
      <c r="AG2293">
        <v>-0.19852400000000001</v>
      </c>
      <c r="AH2293">
        <v>0.38621318180779302</v>
      </c>
      <c r="AI2293">
        <v>116.252860754913</v>
      </c>
      <c r="AJ2293">
        <v>73.637239155834905</v>
      </c>
      <c r="AK2293">
        <v>0.44881071271651501</v>
      </c>
      <c r="AL2293">
        <v>88.213287155822997</v>
      </c>
      <c r="AM2293">
        <v>84.797862883828302</v>
      </c>
      <c r="AN2293">
        <v>1.0000000625688901</v>
      </c>
    </row>
    <row r="2294" spans="1:40" x14ac:dyDescent="0.25">
      <c r="A2294" t="str">
        <f>"20190312154840896"</f>
        <v>20190312154840896</v>
      </c>
      <c r="B2294" t="str">
        <f>"1552376920888208"</f>
        <v>1552376920888208</v>
      </c>
      <c r="C2294" t="s">
        <v>40</v>
      </c>
      <c r="D2294">
        <v>4.2844509999999998</v>
      </c>
      <c r="E2294">
        <v>0.53654040000000003</v>
      </c>
      <c r="F2294" t="s">
        <v>41</v>
      </c>
      <c r="G2294">
        <v>-367.78489999999999</v>
      </c>
      <c r="H2294">
        <v>0.89112459999999905</v>
      </c>
      <c r="I2294">
        <v>282.66160000000002</v>
      </c>
      <c r="J2294">
        <v>-367.3623</v>
      </c>
      <c r="K2294">
        <v>1.1098380000000001</v>
      </c>
      <c r="L2294">
        <v>282.52870000000001</v>
      </c>
      <c r="M2294">
        <v>-0.99937719999999997</v>
      </c>
      <c r="N2294">
        <v>0</v>
      </c>
      <c r="O2294">
        <v>-3.2104519999999998E-2</v>
      </c>
      <c r="P2294">
        <v>-0.99814689999999995</v>
      </c>
      <c r="Q2294">
        <v>1.6233669999999999E-2</v>
      </c>
      <c r="R2294">
        <v>5.8646200000000002E-2</v>
      </c>
      <c r="S2294">
        <v>-2.9939269999999998</v>
      </c>
      <c r="T2294">
        <v>-0.76291430000000005</v>
      </c>
      <c r="U2294">
        <v>0.41415410000000002</v>
      </c>
      <c r="V2294">
        <v>9.0664190000000006E-2</v>
      </c>
      <c r="W2294">
        <v>3.0821029999999999E-2</v>
      </c>
      <c r="X2294">
        <v>0.99540450000000003</v>
      </c>
      <c r="Y2294">
        <v>0.16264589999999901</v>
      </c>
      <c r="Z2294">
        <v>2.8324619999999998E-2</v>
      </c>
      <c r="AA2294">
        <v>0.98627790000000004</v>
      </c>
      <c r="AB2294">
        <v>46</v>
      </c>
      <c r="AC2294">
        <v>-0.42259999999998799</v>
      </c>
      <c r="AD2294">
        <v>-0.218713399999999</v>
      </c>
      <c r="AE2294">
        <v>0.13290000000000601</v>
      </c>
      <c r="AF2294">
        <v>0.117709345315698</v>
      </c>
      <c r="AG2294">
        <v>-0.218713399999999</v>
      </c>
      <c r="AH2294">
        <v>0.33617442958925198</v>
      </c>
      <c r="AI2294">
        <v>121.55167290791201</v>
      </c>
      <c r="AJ2294">
        <v>70.702621248992102</v>
      </c>
      <c r="AK2294">
        <v>0.41797642089461101</v>
      </c>
      <c r="AL2294">
        <v>88.233805400886197</v>
      </c>
      <c r="AM2294">
        <v>84.7957022554627</v>
      </c>
      <c r="AN2294">
        <v>1.0000000249294301</v>
      </c>
    </row>
    <row r="2295" spans="1:40" x14ac:dyDescent="0.25">
      <c r="A2295" t="str">
        <f>"20190312154840920"</f>
        <v>20190312154840920</v>
      </c>
      <c r="B2295" t="str">
        <f>"1552376920907725"</f>
        <v>1552376920907725</v>
      </c>
      <c r="C2295" t="s">
        <v>40</v>
      </c>
      <c r="D2295">
        <v>4.2531109999999996</v>
      </c>
      <c r="E2295">
        <v>0.53656019999999904</v>
      </c>
      <c r="F2295" t="s">
        <v>41</v>
      </c>
      <c r="G2295">
        <v>-368.19470000000001</v>
      </c>
      <c r="H2295">
        <v>0.8974898</v>
      </c>
      <c r="I2295">
        <v>282.64420000000001</v>
      </c>
      <c r="J2295">
        <v>-367.82940000000002</v>
      </c>
      <c r="K2295">
        <v>1.1098410000000001</v>
      </c>
      <c r="L2295">
        <v>282.51369999999997</v>
      </c>
      <c r="M2295">
        <v>-0.9993765</v>
      </c>
      <c r="N2295">
        <v>0</v>
      </c>
      <c r="O2295">
        <v>-3.2119700000000001E-2</v>
      </c>
      <c r="P2295">
        <v>-0.99814400000000003</v>
      </c>
      <c r="Q2295">
        <v>1.6652130000000001E-2</v>
      </c>
      <c r="R2295">
        <v>5.8579340000000001E-2</v>
      </c>
      <c r="S2295">
        <v>-2.9935909999999999</v>
      </c>
      <c r="T2295">
        <v>-0.76367779999999996</v>
      </c>
      <c r="U2295">
        <v>0.41513060000000002</v>
      </c>
      <c r="V2295">
        <v>9.0612440000000002E-2</v>
      </c>
      <c r="W2295">
        <v>3.1244259999999999E-2</v>
      </c>
      <c r="X2295">
        <v>0.99539599999999995</v>
      </c>
      <c r="Y2295">
        <v>0.1629678</v>
      </c>
      <c r="Z2295">
        <v>2.8398590000000001E-2</v>
      </c>
      <c r="AA2295">
        <v>0.98622259999999995</v>
      </c>
      <c r="AB2295">
        <v>46</v>
      </c>
      <c r="AC2295">
        <v>-0.36529999999999002</v>
      </c>
      <c r="AD2295">
        <v>-0.21235119999999999</v>
      </c>
      <c r="AE2295">
        <v>0.13050000000004</v>
      </c>
      <c r="AF2295">
        <v>0.109386965788969</v>
      </c>
      <c r="AG2295">
        <v>-0.21235119999999999</v>
      </c>
      <c r="AH2295">
        <v>0.27770025497754902</v>
      </c>
      <c r="AI2295">
        <v>125.430763192908</v>
      </c>
      <c r="AJ2295">
        <v>68.500370386353794</v>
      </c>
      <c r="AK2295">
        <v>0.36630038498553702</v>
      </c>
      <c r="AL2295">
        <v>88.209544392445295</v>
      </c>
      <c r="AM2295">
        <v>84.798612333909801</v>
      </c>
      <c r="AN2295">
        <v>1.0000000074408499</v>
      </c>
    </row>
    <row r="2296" spans="1:40" x14ac:dyDescent="0.25">
      <c r="A2296" t="str">
        <f>"20190312154840932"</f>
        <v>20190312154840932</v>
      </c>
      <c r="B2296" t="str">
        <f>"1552376920928221"</f>
        <v>1552376920928221</v>
      </c>
      <c r="C2296" t="s">
        <v>40</v>
      </c>
      <c r="D2296">
        <v>4.2684449999999998</v>
      </c>
      <c r="E2296">
        <v>0.53660390000000002</v>
      </c>
      <c r="F2296" t="s">
        <v>41</v>
      </c>
      <c r="G2296">
        <v>-368.60719999999998</v>
      </c>
      <c r="H2296">
        <v>0.91179779999999999</v>
      </c>
      <c r="I2296">
        <v>282.62200000000001</v>
      </c>
      <c r="J2296">
        <v>-368.07929999999999</v>
      </c>
      <c r="K2296">
        <v>1.1098539999999999</v>
      </c>
      <c r="L2296">
        <v>282.50560000000002</v>
      </c>
      <c r="M2296">
        <v>-0.99937589999999998</v>
      </c>
      <c r="N2296">
        <v>0</v>
      </c>
      <c r="O2296">
        <v>-3.2126380000000003E-2</v>
      </c>
      <c r="P2296">
        <v>-0.99813779999999996</v>
      </c>
      <c r="Q2296">
        <v>1.7057070000000001E-2</v>
      </c>
      <c r="R2296">
        <v>5.8569320000000001E-2</v>
      </c>
      <c r="S2296">
        <v>-2.9938660000000001</v>
      </c>
      <c r="T2296">
        <v>-0.76239259999999998</v>
      </c>
      <c r="U2296">
        <v>0.41540529999999998</v>
      </c>
      <c r="V2296">
        <v>9.0608919999999996E-2</v>
      </c>
      <c r="W2296">
        <v>3.1682740000000001E-2</v>
      </c>
      <c r="X2296">
        <v>0.9953824</v>
      </c>
      <c r="Y2296">
        <v>0.16306899999999999</v>
      </c>
      <c r="Z2296">
        <v>2.8363900000000001E-2</v>
      </c>
      <c r="AA2296">
        <v>0.9862069</v>
      </c>
      <c r="AB2296">
        <v>46</v>
      </c>
      <c r="AC2296">
        <v>-0.52789999999998805</v>
      </c>
      <c r="AD2296">
        <v>-0.19805619999999999</v>
      </c>
      <c r="AE2296">
        <v>0.11639999999999801</v>
      </c>
      <c r="AF2296">
        <v>0.11752555993154599</v>
      </c>
      <c r="AG2296">
        <v>-0.19805619999999999</v>
      </c>
      <c r="AH2296">
        <v>0.46188746425771399</v>
      </c>
      <c r="AI2296">
        <v>112.565636092525</v>
      </c>
      <c r="AJ2296">
        <v>75.724239403014096</v>
      </c>
      <c r="AK2296">
        <v>0.51611873172176603</v>
      </c>
      <c r="AL2296">
        <v>88.1844087852797</v>
      </c>
      <c r="AM2296">
        <v>84.79874260823</v>
      </c>
      <c r="AN2296">
        <v>0.99999994731361497</v>
      </c>
    </row>
    <row r="2297" spans="1:40" x14ac:dyDescent="0.25">
      <c r="A2297" t="str">
        <f>"20190312154840945"</f>
        <v>20190312154840945</v>
      </c>
      <c r="B2297" t="str">
        <f>"1552376920937981"</f>
        <v>1552376920937981</v>
      </c>
      <c r="C2297" t="s">
        <v>40</v>
      </c>
      <c r="D2297">
        <v>4.2148919999999999</v>
      </c>
      <c r="E2297">
        <v>0.5365626</v>
      </c>
      <c r="F2297" t="s">
        <v>41</v>
      </c>
      <c r="G2297">
        <v>-369.00020000000001</v>
      </c>
      <c r="H2297">
        <v>0.87586010000000003</v>
      </c>
      <c r="I2297">
        <v>282.63350000000003</v>
      </c>
      <c r="J2297">
        <v>-368.34249999999997</v>
      </c>
      <c r="K2297">
        <v>1.109877</v>
      </c>
      <c r="L2297">
        <v>282.49720000000002</v>
      </c>
      <c r="M2297">
        <v>-0.99937489999999995</v>
      </c>
      <c r="N2297">
        <v>0</v>
      </c>
      <c r="O2297">
        <v>-3.2132529999999999E-2</v>
      </c>
      <c r="P2297">
        <v>-0.99814829999999999</v>
      </c>
      <c r="Q2297">
        <v>1.6948109999999999E-2</v>
      </c>
      <c r="R2297">
        <v>5.841913E-2</v>
      </c>
      <c r="S2297">
        <v>-2.994202</v>
      </c>
      <c r="T2297">
        <v>-0.76076889999999997</v>
      </c>
      <c r="U2297">
        <v>0.41567989999999999</v>
      </c>
      <c r="V2297">
        <v>9.0465119999999996E-2</v>
      </c>
      <c r="W2297">
        <v>3.1631739999999998E-2</v>
      </c>
      <c r="X2297">
        <v>0.99539719999999998</v>
      </c>
      <c r="Y2297">
        <v>0.1631724</v>
      </c>
      <c r="Z2297">
        <v>2.8316520000000001E-2</v>
      </c>
      <c r="AA2297">
        <v>0.98619109999999999</v>
      </c>
      <c r="AB2297">
        <v>46</v>
      </c>
      <c r="AC2297">
        <v>-0.65770000000003304</v>
      </c>
      <c r="AD2297">
        <v>-0.2340169</v>
      </c>
      <c r="AE2297">
        <v>0.136300000000005</v>
      </c>
      <c r="AF2297">
        <v>0.140330945631541</v>
      </c>
      <c r="AG2297">
        <v>-0.2340169</v>
      </c>
      <c r="AH2297">
        <v>0.58229627758727398</v>
      </c>
      <c r="AI2297">
        <v>111.34062131623899</v>
      </c>
      <c r="AJ2297">
        <v>76.450332257103696</v>
      </c>
      <c r="AK2297">
        <v>0.64305959185712203</v>
      </c>
      <c r="AL2297">
        <v>88.187332513267904</v>
      </c>
      <c r="AM2297">
        <v>84.807028835024695</v>
      </c>
      <c r="AN2297">
        <v>1.00000004533994</v>
      </c>
    </row>
    <row r="2298" spans="1:40" x14ac:dyDescent="0.25">
      <c r="A2298" t="str">
        <f>"20190312154840965"</f>
        <v>20190312154840965</v>
      </c>
      <c r="B2298" t="str">
        <f>"1552376920958476"</f>
        <v>1552376920958476</v>
      </c>
      <c r="C2298" t="s">
        <v>40</v>
      </c>
      <c r="D2298">
        <v>4.2789469999999996</v>
      </c>
      <c r="E2298">
        <v>0.53626249999999998</v>
      </c>
      <c r="F2298" t="s">
        <v>41</v>
      </c>
      <c r="G2298">
        <v>-369.39330000000001</v>
      </c>
      <c r="H2298">
        <v>0.84309730000000005</v>
      </c>
      <c r="I2298">
        <v>282.6431</v>
      </c>
      <c r="J2298">
        <v>-368.74709999999999</v>
      </c>
      <c r="K2298">
        <v>1.109939</v>
      </c>
      <c r="L2298">
        <v>282.48410000000001</v>
      </c>
      <c r="M2298">
        <v>-0.99937140000000002</v>
      </c>
      <c r="N2298">
        <v>0</v>
      </c>
      <c r="O2298">
        <v>-3.2142459999999998E-2</v>
      </c>
      <c r="P2298">
        <v>-0.99813379999999996</v>
      </c>
      <c r="Q2298">
        <v>1.7299149999999999E-2</v>
      </c>
      <c r="R2298">
        <v>5.856513E-2</v>
      </c>
      <c r="S2298">
        <v>-2.994202</v>
      </c>
      <c r="T2298">
        <v>-0.76015379999999999</v>
      </c>
      <c r="U2298">
        <v>0.4153442</v>
      </c>
      <c r="V2298">
        <v>9.0620530000000005E-2</v>
      </c>
      <c r="W2298">
        <v>3.2202219999999997E-2</v>
      </c>
      <c r="X2298">
        <v>0.99536469999999999</v>
      </c>
      <c r="Y2298">
        <v>0.1630858</v>
      </c>
      <c r="Z2298">
        <v>2.8286249999999999E-2</v>
      </c>
      <c r="AA2298">
        <v>0.98620629999999998</v>
      </c>
      <c r="AB2298">
        <v>45</v>
      </c>
      <c r="AC2298">
        <v>-0.64620000000002098</v>
      </c>
      <c r="AD2298">
        <v>-0.26684170000000001</v>
      </c>
      <c r="AE2298">
        <v>0.15899999999999101</v>
      </c>
      <c r="AF2298">
        <v>0.154800943740385</v>
      </c>
      <c r="AG2298">
        <v>-0.26684170000000001</v>
      </c>
      <c r="AH2298">
        <v>0.55200130360099497</v>
      </c>
      <c r="AI2298">
        <v>114.959696149179</v>
      </c>
      <c r="AJ2298">
        <v>74.334600359187604</v>
      </c>
      <c r="AK2298">
        <v>0.63235533066386096</v>
      </c>
      <c r="AL2298">
        <v>88.154629626352701</v>
      </c>
      <c r="AM2298">
        <v>84.797987815930696</v>
      </c>
      <c r="AN2298">
        <v>0.99999997471824897</v>
      </c>
    </row>
    <row r="2299" spans="1:40" x14ac:dyDescent="0.25">
      <c r="A2299" t="str">
        <f>"20190312154840986"</f>
        <v>20190312154840986</v>
      </c>
      <c r="B2299" t="str">
        <f>"1552376920977997"</f>
        <v>1552376920977997</v>
      </c>
      <c r="C2299" t="s">
        <v>40</v>
      </c>
      <c r="D2299">
        <v>4.2608699999999997</v>
      </c>
      <c r="E2299">
        <v>0.53625559999999906</v>
      </c>
      <c r="F2299" t="s">
        <v>41</v>
      </c>
      <c r="G2299">
        <v>-369.79820000000001</v>
      </c>
      <c r="H2299">
        <v>0.84446290000000002</v>
      </c>
      <c r="I2299">
        <v>282.62959999999998</v>
      </c>
      <c r="J2299">
        <v>-369.18650000000002</v>
      </c>
      <c r="K2299">
        <v>1.1100410000000001</v>
      </c>
      <c r="L2299">
        <v>282.47000000000003</v>
      </c>
      <c r="M2299">
        <v>-0.99936460000000005</v>
      </c>
      <c r="N2299">
        <v>0</v>
      </c>
      <c r="O2299">
        <v>-3.2154429999999998E-2</v>
      </c>
      <c r="P2299">
        <v>-0.9981061</v>
      </c>
      <c r="Q2299">
        <v>1.753234E-2</v>
      </c>
      <c r="R2299">
        <v>5.896465E-2</v>
      </c>
      <c r="S2299">
        <v>-2.994415</v>
      </c>
      <c r="T2299">
        <v>-0.75638470000000002</v>
      </c>
      <c r="U2299">
        <v>0.4135742</v>
      </c>
      <c r="V2299">
        <v>9.1031119999999993E-2</v>
      </c>
      <c r="W2299">
        <v>3.2847040000000001E-2</v>
      </c>
      <c r="X2299">
        <v>0.99530620000000003</v>
      </c>
      <c r="Y2299">
        <v>0.1625907</v>
      </c>
      <c r="Z2299">
        <v>2.8091089999999999E-2</v>
      </c>
      <c r="AA2299">
        <v>0.98629359999999999</v>
      </c>
      <c r="AB2299">
        <v>45</v>
      </c>
      <c r="AC2299">
        <v>-0.61169999999998403</v>
      </c>
      <c r="AD2299">
        <v>-0.26557809999999898</v>
      </c>
      <c r="AE2299">
        <v>0.159599999999954</v>
      </c>
      <c r="AF2299">
        <v>0.15230859052624601</v>
      </c>
      <c r="AG2299">
        <v>-0.26557809999999898</v>
      </c>
      <c r="AH2299">
        <v>0.51530754860252703</v>
      </c>
      <c r="AI2299">
        <v>116.30047998585199</v>
      </c>
      <c r="AJ2299">
        <v>73.533989514758105</v>
      </c>
      <c r="AK2299">
        <v>0.59939261222878604</v>
      </c>
      <c r="AL2299">
        <v>88.1176646740725</v>
      </c>
      <c r="AM2299">
        <v>84.774242923390702</v>
      </c>
      <c r="AN2299">
        <v>1.00000001230182</v>
      </c>
    </row>
    <row r="2300" spans="1:40" x14ac:dyDescent="0.25">
      <c r="A2300" t="str">
        <f>"20190312154841009"</f>
        <v>20190312154841009</v>
      </c>
      <c r="B2300" t="str">
        <f>"1552376920998493"</f>
        <v>1552376920998493</v>
      </c>
      <c r="C2300" t="s">
        <v>40</v>
      </c>
      <c r="D2300">
        <v>4.2455379999999998</v>
      </c>
      <c r="E2300">
        <v>0.53614229999999996</v>
      </c>
      <c r="F2300" t="s">
        <v>41</v>
      </c>
      <c r="G2300">
        <v>-370.20429999999999</v>
      </c>
      <c r="H2300">
        <v>0.85275319999999899</v>
      </c>
      <c r="I2300">
        <v>282.61130000000003</v>
      </c>
      <c r="J2300">
        <v>-369.63209999999998</v>
      </c>
      <c r="K2300">
        <v>1.110161</v>
      </c>
      <c r="L2300">
        <v>282.45569999999998</v>
      </c>
      <c r="M2300">
        <v>-0.99935589999999996</v>
      </c>
      <c r="N2300">
        <v>0</v>
      </c>
      <c r="O2300">
        <v>-3.2168139999999998E-2</v>
      </c>
      <c r="P2300">
        <v>-0.99810339999999997</v>
      </c>
      <c r="Q2300">
        <v>1.8228629999999999E-2</v>
      </c>
      <c r="R2300">
        <v>5.8802149999999997E-2</v>
      </c>
      <c r="S2300">
        <v>-2.9944459999999999</v>
      </c>
      <c r="T2300">
        <v>-0.75697819999999905</v>
      </c>
      <c r="U2300">
        <v>0.4150085</v>
      </c>
      <c r="V2300">
        <v>9.0882840000000006E-2</v>
      </c>
      <c r="W2300">
        <v>3.406373E-2</v>
      </c>
      <c r="X2300">
        <v>0.99527880000000002</v>
      </c>
      <c r="Y2300">
        <v>0.16304360000000001</v>
      </c>
      <c r="Z2300">
        <v>2.8170890000000001E-2</v>
      </c>
      <c r="AA2300">
        <v>0.9862166</v>
      </c>
      <c r="AB2300">
        <v>45</v>
      </c>
      <c r="AC2300">
        <v>-0.57220000000000903</v>
      </c>
      <c r="AD2300">
        <v>-0.25740780000000002</v>
      </c>
      <c r="AE2300">
        <v>0.155600000000049</v>
      </c>
      <c r="AF2300">
        <v>0.14635061687469</v>
      </c>
      <c r="AG2300">
        <v>-0.25740780000000002</v>
      </c>
      <c r="AH2300">
        <v>0.47701150049676999</v>
      </c>
      <c r="AI2300">
        <v>117.28881758434601</v>
      </c>
      <c r="AJ2300">
        <v>72.9436035683851</v>
      </c>
      <c r="AK2300">
        <v>0.56144211648808695</v>
      </c>
      <c r="AL2300">
        <v>88.047914319224105</v>
      </c>
      <c r="AM2300">
        <v>84.782565272003396</v>
      </c>
      <c r="AN2300">
        <v>0.99999995901870797</v>
      </c>
    </row>
    <row r="2301" spans="1:40" x14ac:dyDescent="0.25">
      <c r="A2301" t="str">
        <f>"20190312154841021"</f>
        <v>20190312154841021</v>
      </c>
      <c r="B2301" t="str">
        <f>"1552376921008253"</f>
        <v>1552376921008253</v>
      </c>
      <c r="C2301" t="s">
        <v>40</v>
      </c>
      <c r="D2301">
        <v>4.2909459999999999</v>
      </c>
      <c r="E2301">
        <v>0.53614229999999996</v>
      </c>
      <c r="F2301" t="s">
        <v>41</v>
      </c>
      <c r="G2301">
        <v>-370.60989999999998</v>
      </c>
      <c r="H2301">
        <v>0.86354370000000003</v>
      </c>
      <c r="I2301">
        <v>282.59100000000001</v>
      </c>
      <c r="J2301">
        <v>-369.89490000000001</v>
      </c>
      <c r="K2301">
        <v>1.1102270000000001</v>
      </c>
      <c r="L2301">
        <v>282.44720000000001</v>
      </c>
      <c r="M2301">
        <v>-0.99935050000000003</v>
      </c>
      <c r="N2301">
        <v>0</v>
      </c>
      <c r="O2301">
        <v>-3.217594E-2</v>
      </c>
      <c r="P2301">
        <v>-0.9980928</v>
      </c>
      <c r="Q2301">
        <v>1.8671879999999998E-2</v>
      </c>
      <c r="R2301">
        <v>5.8841299999999999E-2</v>
      </c>
      <c r="S2301">
        <v>-2.9951479999999999</v>
      </c>
      <c r="T2301">
        <v>-0.75550569999999995</v>
      </c>
      <c r="U2301">
        <v>0.41354370000000001</v>
      </c>
      <c r="V2301">
        <v>9.0929399999999994E-2</v>
      </c>
      <c r="W2301">
        <v>3.4836699999999998E-2</v>
      </c>
      <c r="X2301">
        <v>0.99524780000000002</v>
      </c>
      <c r="Y2301">
        <v>0.16258590000000001</v>
      </c>
      <c r="Z2301">
        <v>2.8057680000000002E-2</v>
      </c>
      <c r="AA2301">
        <v>0.98629540000000004</v>
      </c>
      <c r="AB2301">
        <v>45</v>
      </c>
      <c r="AC2301">
        <v>-0.71499999999997499</v>
      </c>
      <c r="AD2301">
        <v>-0.24668329999999999</v>
      </c>
      <c r="AE2301">
        <v>0.14379999999999801</v>
      </c>
      <c r="AF2301">
        <v>0.14961731430759101</v>
      </c>
      <c r="AG2301">
        <v>-0.24668329999999999</v>
      </c>
      <c r="AH2301">
        <v>0.63711298518346704</v>
      </c>
      <c r="AI2301">
        <v>110.65318690410101</v>
      </c>
      <c r="AJ2301">
        <v>76.784332626864696</v>
      </c>
      <c r="AK2301">
        <v>0.69939327072033997</v>
      </c>
      <c r="AL2301">
        <v>88.003600110151993</v>
      </c>
      <c r="AM2301">
        <v>84.779745404618097</v>
      </c>
      <c r="AN2301">
        <v>0.99999996742804398</v>
      </c>
    </row>
    <row r="2302" spans="1:40" x14ac:dyDescent="0.25">
      <c r="A2302" t="str">
        <f>"20190312154841036"</f>
        <v>20190312154841036</v>
      </c>
      <c r="B2302" t="str">
        <f>"1552376921027773"</f>
        <v>1552376921027773</v>
      </c>
      <c r="C2302" t="s">
        <v>40</v>
      </c>
      <c r="D2302">
        <v>4.2685089999999999</v>
      </c>
      <c r="E2302">
        <v>0.52000859999999904</v>
      </c>
      <c r="F2302" t="s">
        <v>41</v>
      </c>
      <c r="G2302">
        <v>-370.63299999999998</v>
      </c>
      <c r="H2302">
        <v>0.92439850000000001</v>
      </c>
      <c r="I2302">
        <v>282.54939999999999</v>
      </c>
      <c r="J2302">
        <v>-370.16809999999998</v>
      </c>
      <c r="K2302">
        <v>1.1102890000000001</v>
      </c>
      <c r="L2302">
        <v>282.4384</v>
      </c>
      <c r="M2302">
        <v>-0.99934440000000002</v>
      </c>
      <c r="N2302">
        <v>0</v>
      </c>
      <c r="O2302">
        <v>-3.218265E-2</v>
      </c>
      <c r="P2302">
        <v>-0.99807769999999996</v>
      </c>
      <c r="Q2302">
        <v>1.9484930000000001E-2</v>
      </c>
      <c r="R2302">
        <v>5.8835520000000002E-2</v>
      </c>
      <c r="S2302">
        <v>-2.9954830000000001</v>
      </c>
      <c r="T2302">
        <v>-0.75415739999999998</v>
      </c>
      <c r="U2302">
        <v>0.41366579999999997</v>
      </c>
      <c r="V2302">
        <v>9.0930339999999998E-2</v>
      </c>
      <c r="W2302">
        <v>3.5999450000000002E-2</v>
      </c>
      <c r="X2302">
        <v>0.99520640000000005</v>
      </c>
      <c r="Y2302">
        <v>0.1626378</v>
      </c>
      <c r="Z2302">
        <v>2.801412E-2</v>
      </c>
      <c r="AA2302">
        <v>0.9862881</v>
      </c>
      <c r="AB2302">
        <v>45</v>
      </c>
      <c r="AC2302">
        <v>-0.46490000000005599</v>
      </c>
      <c r="AD2302">
        <v>-0.18589049999999899</v>
      </c>
      <c r="AE2302">
        <v>0.11099999999999</v>
      </c>
      <c r="AF2302">
        <v>0.10936409642596601</v>
      </c>
      <c r="AG2302">
        <v>-0.18589049999999899</v>
      </c>
      <c r="AH2302">
        <v>0.40050663724939201</v>
      </c>
      <c r="AI2302">
        <v>114.120237697178</v>
      </c>
      <c r="AJ2302">
        <v>74.7269052133163</v>
      </c>
      <c r="AK2302">
        <v>0.45488608470487901</v>
      </c>
      <c r="AL2302">
        <v>87.936937746466896</v>
      </c>
      <c r="AM2302">
        <v>84.779475775551404</v>
      </c>
      <c r="AN2302">
        <v>1.0000000328668801</v>
      </c>
    </row>
    <row r="2303" spans="1:40" x14ac:dyDescent="0.25">
      <c r="A2303" t="str">
        <f>"20190312154841049"</f>
        <v>20190312154841049</v>
      </c>
      <c r="B2303" t="str">
        <f>"1552376921038509"</f>
        <v>1552376921038509</v>
      </c>
      <c r="C2303" t="s">
        <v>40</v>
      </c>
      <c r="D2303">
        <v>4.249301</v>
      </c>
      <c r="E2303">
        <v>0.48851919999999999</v>
      </c>
      <c r="F2303" t="s">
        <v>41</v>
      </c>
      <c r="G2303">
        <v>-371.03519999999997</v>
      </c>
      <c r="H2303">
        <v>0.93036810000000003</v>
      </c>
      <c r="I2303">
        <v>282.52359999999999</v>
      </c>
      <c r="J2303">
        <v>-370.4479</v>
      </c>
      <c r="K2303">
        <v>1.110349</v>
      </c>
      <c r="L2303">
        <v>282.42939999999999</v>
      </c>
      <c r="M2303">
        <v>-0.99933819999999995</v>
      </c>
      <c r="N2303">
        <v>0</v>
      </c>
      <c r="O2303">
        <v>-3.2188649999999999E-2</v>
      </c>
      <c r="P2303">
        <v>-0.9980696</v>
      </c>
      <c r="Q2303">
        <v>1.97729E-2</v>
      </c>
      <c r="R2303">
        <v>5.8875799999999999E-2</v>
      </c>
      <c r="S2303">
        <v>-3.0006710000000001</v>
      </c>
      <c r="T2303">
        <v>-0.62269680000000005</v>
      </c>
      <c r="U2303">
        <v>0.29342649999999998</v>
      </c>
      <c r="V2303">
        <v>9.0976669999999996E-2</v>
      </c>
      <c r="W2303">
        <v>3.6646089999999999E-2</v>
      </c>
      <c r="X2303">
        <v>0.99517849999999997</v>
      </c>
      <c r="Y2303">
        <v>0.1259721</v>
      </c>
      <c r="Z2303">
        <v>1.9499989999999998E-2</v>
      </c>
      <c r="AA2303">
        <v>0.99184209999999995</v>
      </c>
      <c r="AB2303">
        <v>45</v>
      </c>
      <c r="AC2303">
        <v>-0.58729999999996996</v>
      </c>
      <c r="AD2303">
        <v>-0.1799809</v>
      </c>
      <c r="AE2303">
        <v>9.42000000000007E-2</v>
      </c>
      <c r="AF2303">
        <v>0.10357504852499499</v>
      </c>
      <c r="AG2303">
        <v>-0.1799809</v>
      </c>
      <c r="AH2303">
        <v>0.53498065833433195</v>
      </c>
      <c r="AI2303">
        <v>108.27796784667299</v>
      </c>
      <c r="AJ2303">
        <v>79.042798634636796</v>
      </c>
      <c r="AK2303">
        <v>0.57386864336152799</v>
      </c>
      <c r="AL2303">
        <v>87.899863404323597</v>
      </c>
      <c r="AM2303">
        <v>84.776684947512194</v>
      </c>
      <c r="AN2303">
        <v>0.99999996862941198</v>
      </c>
    </row>
    <row r="2304" spans="1:40" x14ac:dyDescent="0.25">
      <c r="A2304" t="str">
        <f>"20190312154841064"</f>
        <v>20190312154841064</v>
      </c>
      <c r="B2304" t="str">
        <f>"1552376921058029"</f>
        <v>1552376921058029</v>
      </c>
      <c r="C2304" t="s">
        <v>40</v>
      </c>
      <c r="D2304">
        <v>4.2817179999999997</v>
      </c>
      <c r="E2304">
        <v>0.4824195</v>
      </c>
      <c r="F2304" t="s">
        <v>41</v>
      </c>
      <c r="G2304">
        <v>-371.48390000000001</v>
      </c>
      <c r="H2304">
        <v>1.0361359999999999</v>
      </c>
      <c r="I2304">
        <v>282.4529</v>
      </c>
      <c r="J2304">
        <v>-370.75439999999998</v>
      </c>
      <c r="K2304">
        <v>1.110409</v>
      </c>
      <c r="L2304">
        <v>282.41950000000003</v>
      </c>
      <c r="M2304">
        <v>-0.99933130000000003</v>
      </c>
      <c r="N2304">
        <v>0</v>
      </c>
      <c r="O2304">
        <v>-3.2193760000000002E-2</v>
      </c>
      <c r="P2304">
        <v>-0.99809950000000003</v>
      </c>
      <c r="Q2304">
        <v>2.0208940000000002E-2</v>
      </c>
      <c r="R2304">
        <v>5.8217779999999997E-2</v>
      </c>
      <c r="S2304">
        <v>-3.0060730000000002</v>
      </c>
      <c r="T2304">
        <v>-0.21542890000000001</v>
      </c>
      <c r="U2304">
        <v>6.7871089999999995E-2</v>
      </c>
      <c r="V2304">
        <v>9.0325470000000005E-2</v>
      </c>
      <c r="W2304">
        <v>3.7471409999999997E-2</v>
      </c>
      <c r="X2304">
        <v>0.99520710000000001</v>
      </c>
      <c r="Y2304">
        <v>5.452862E-2</v>
      </c>
      <c r="Z2304">
        <v>4.2552980000000002E-3</v>
      </c>
      <c r="AA2304">
        <v>0.99850309999999998</v>
      </c>
      <c r="AB2304">
        <v>45</v>
      </c>
      <c r="AC2304">
        <v>-0.72950000000003001</v>
      </c>
      <c r="AD2304">
        <v>-7.4272999999999798E-2</v>
      </c>
      <c r="AE2304">
        <v>3.3399999999971897E-2</v>
      </c>
      <c r="AF2304">
        <v>5.6289285030841497E-2</v>
      </c>
      <c r="AG2304">
        <v>-7.4272999999999798E-2</v>
      </c>
      <c r="AH2304">
        <v>0.72059227789928804</v>
      </c>
      <c r="AI2304">
        <v>95.8670704514617</v>
      </c>
      <c r="AJ2304">
        <v>85.533393094290503</v>
      </c>
      <c r="AK2304">
        <v>0.72659355426976402</v>
      </c>
      <c r="AL2304">
        <v>87.852543578274606</v>
      </c>
      <c r="AM2304">
        <v>84.814016423835298</v>
      </c>
      <c r="AN2304">
        <v>0.99999998449425898</v>
      </c>
    </row>
    <row r="2305" spans="1:40" x14ac:dyDescent="0.25">
      <c r="A2305" t="str">
        <f>"20190312154841078"</f>
        <v>20190312154841078</v>
      </c>
      <c r="B2305" t="str">
        <f>"1552376921067788"</f>
        <v>1552376921067788</v>
      </c>
      <c r="C2305" t="s">
        <v>40</v>
      </c>
      <c r="D2305">
        <v>4.2543920000000002</v>
      </c>
      <c r="E2305">
        <v>0.48165540000000001</v>
      </c>
      <c r="F2305" t="s">
        <v>50</v>
      </c>
      <c r="G2305">
        <v>-397.05619999999999</v>
      </c>
      <c r="H2305" s="1">
        <v>2.2181399999999998E-6</v>
      </c>
      <c r="I2305">
        <v>282.61829999999998</v>
      </c>
      <c r="J2305">
        <v>-371.00510000000003</v>
      </c>
      <c r="K2305">
        <v>1.1104480000000001</v>
      </c>
      <c r="L2305">
        <v>282.41140000000001</v>
      </c>
      <c r="M2305">
        <v>-0.99932580000000004</v>
      </c>
      <c r="N2305">
        <v>0</v>
      </c>
      <c r="O2305">
        <v>-3.2196330000000002E-2</v>
      </c>
      <c r="P2305">
        <v>-0.99811919999999998</v>
      </c>
      <c r="Q2305">
        <v>1.999153E-2</v>
      </c>
      <c r="R2305">
        <v>5.7951200000000001E-2</v>
      </c>
      <c r="S2305">
        <v>-3.006958</v>
      </c>
      <c r="T2305">
        <v>-0.12694749999999999</v>
      </c>
      <c r="U2305">
        <v>2.2735600000000002E-2</v>
      </c>
      <c r="V2305">
        <v>9.0062219999999998E-2</v>
      </c>
      <c r="W2305">
        <v>3.7558599999999998E-2</v>
      </c>
      <c r="X2305">
        <v>0.99522770000000005</v>
      </c>
      <c r="Y2305">
        <v>3.9693239999999998E-2</v>
      </c>
      <c r="Z2305">
        <v>2.1962119999999999E-3</v>
      </c>
      <c r="AA2305">
        <v>0.99920949999999997</v>
      </c>
      <c r="AB2305">
        <v>45</v>
      </c>
      <c r="AC2305">
        <v>-26.051099999999899</v>
      </c>
      <c r="AD2305">
        <v>-1.11044578186</v>
      </c>
      <c r="AE2305">
        <v>0.206899999999961</v>
      </c>
      <c r="AF2305">
        <v>1.04377674518994</v>
      </c>
      <c r="AG2305">
        <v>-1.11044578186</v>
      </c>
      <c r="AH2305">
        <v>25.983719402171399</v>
      </c>
      <c r="AI2305">
        <v>92.445145976141504</v>
      </c>
      <c r="AJ2305">
        <v>87.699641663310501</v>
      </c>
      <c r="AK2305">
        <v>26.028373627620901</v>
      </c>
      <c r="AL2305">
        <v>87.847544502305098</v>
      </c>
      <c r="AM2305">
        <v>84.829155162588904</v>
      </c>
      <c r="AN2305">
        <v>1.0000000133762801</v>
      </c>
    </row>
    <row r="2306" spans="1:40" x14ac:dyDescent="0.25">
      <c r="A2306" t="str">
        <f>"20190312154841092"</f>
        <v>20190312154841092</v>
      </c>
      <c r="B2306" t="str">
        <f>"1552376921088285"</f>
        <v>1552376921088285</v>
      </c>
      <c r="C2306" t="s">
        <v>40</v>
      </c>
      <c r="D2306">
        <v>4.3056960000000002</v>
      </c>
      <c r="E2306">
        <v>0.48071009999999997</v>
      </c>
      <c r="F2306" t="s">
        <v>51</v>
      </c>
      <c r="G2306">
        <v>-400.07040000000001</v>
      </c>
      <c r="H2306" s="1">
        <v>8.7932549999999996E-6</v>
      </c>
      <c r="I2306">
        <v>282.57310000000001</v>
      </c>
      <c r="J2306">
        <v>-371.27870000000001</v>
      </c>
      <c r="K2306">
        <v>1.1104799999999999</v>
      </c>
      <c r="L2306">
        <v>282.40260000000001</v>
      </c>
      <c r="M2306">
        <v>-0.99931999999999999</v>
      </c>
      <c r="N2306">
        <v>0</v>
      </c>
      <c r="O2306">
        <v>-3.2198619999999997E-2</v>
      </c>
      <c r="P2306">
        <v>-0.99814899999999995</v>
      </c>
      <c r="Q2306">
        <v>1.97343E-2</v>
      </c>
      <c r="R2306">
        <v>5.7529160000000003E-2</v>
      </c>
      <c r="S2306">
        <v>-3.0069889999999999</v>
      </c>
      <c r="T2306">
        <v>-0.1148819</v>
      </c>
      <c r="U2306">
        <v>1.672363E-2</v>
      </c>
      <c r="V2306">
        <v>8.9644109999999999E-2</v>
      </c>
      <c r="W2306">
        <v>3.7625789999999999E-2</v>
      </c>
      <c r="X2306">
        <v>0.99526289999999995</v>
      </c>
      <c r="Y2306">
        <v>3.7710929999999997E-2</v>
      </c>
      <c r="Z2306">
        <v>1.9498600000000001E-3</v>
      </c>
      <c r="AA2306">
        <v>0.99928680000000003</v>
      </c>
      <c r="AB2306">
        <v>45</v>
      </c>
      <c r="AC2306">
        <v>-28.791699999999899</v>
      </c>
      <c r="AD2306">
        <v>-1.110471206745</v>
      </c>
      <c r="AE2306">
        <v>0.17050000000000401</v>
      </c>
      <c r="AF2306">
        <v>1.09598392395747</v>
      </c>
      <c r="AG2306">
        <v>-1.110471206745</v>
      </c>
      <c r="AH2306">
        <v>28.7285411724325</v>
      </c>
      <c r="AI2306">
        <v>92.2119979126891</v>
      </c>
      <c r="AJ2306">
        <v>87.815245282905707</v>
      </c>
      <c r="AK2306">
        <v>28.770877723120201</v>
      </c>
      <c r="AL2306">
        <v>87.843692054208503</v>
      </c>
      <c r="AM2306">
        <v>84.853212411941499</v>
      </c>
      <c r="AN2306">
        <v>1.0000000033236101</v>
      </c>
    </row>
    <row r="2307" spans="1:40" x14ac:dyDescent="0.25">
      <c r="A2307" t="str">
        <f>"20190312154841103"</f>
        <v>20190312154841103</v>
      </c>
      <c r="B2307" t="str">
        <f>"1552376921098045"</f>
        <v>1552376921098045</v>
      </c>
      <c r="C2307" t="s">
        <v>40</v>
      </c>
      <c r="D2307">
        <v>4.31515</v>
      </c>
      <c r="E2307">
        <v>0.48050680000000001</v>
      </c>
      <c r="F2307" t="s">
        <v>50</v>
      </c>
      <c r="G2307">
        <v>-399.09309999999999</v>
      </c>
      <c r="H2307" s="1">
        <v>3.3021289999999999E-6</v>
      </c>
      <c r="I2307">
        <v>282.47289999999998</v>
      </c>
      <c r="J2307">
        <v>-371.54250000000002</v>
      </c>
      <c r="K2307">
        <v>1.1105130000000001</v>
      </c>
      <c r="L2307">
        <v>282.39409999999998</v>
      </c>
      <c r="M2307">
        <v>-0.99931440000000005</v>
      </c>
      <c r="N2307">
        <v>0</v>
      </c>
      <c r="O2307">
        <v>-3.2200060000000003E-2</v>
      </c>
      <c r="P2307">
        <v>-0.99817020000000001</v>
      </c>
      <c r="Q2307">
        <v>1.9650299999999999E-2</v>
      </c>
      <c r="R2307">
        <v>5.7185069999999998E-2</v>
      </c>
      <c r="S2307">
        <v>-3.0075069999999999</v>
      </c>
      <c r="T2307">
        <v>-0.120073</v>
      </c>
      <c r="U2307">
        <v>7.59887699999999E-3</v>
      </c>
      <c r="V2307">
        <v>8.9302499999999896E-2</v>
      </c>
      <c r="W2307">
        <v>3.7843559999999998E-2</v>
      </c>
      <c r="X2307">
        <v>0.99528530000000004</v>
      </c>
      <c r="Y2307">
        <v>3.4677380000000001E-2</v>
      </c>
      <c r="Z2307">
        <v>1.977075E-3</v>
      </c>
      <c r="AA2307">
        <v>0.99939659999999997</v>
      </c>
      <c r="AB2307">
        <v>44</v>
      </c>
      <c r="AC2307">
        <v>-27.5505999999999</v>
      </c>
      <c r="AD2307">
        <v>-1.1105096978709901</v>
      </c>
      <c r="AE2307">
        <v>7.8800000000000994E-2</v>
      </c>
      <c r="AF2307">
        <v>0.96447123703967497</v>
      </c>
      <c r="AG2307">
        <v>-1.1105096978709901</v>
      </c>
      <c r="AH2307">
        <v>27.489108742113299</v>
      </c>
      <c r="AI2307">
        <v>92.311965687416702</v>
      </c>
      <c r="AJ2307">
        <v>87.9905687898503</v>
      </c>
      <c r="AK2307">
        <v>27.528431411758099</v>
      </c>
      <c r="AL2307">
        <v>87.831205743799202</v>
      </c>
      <c r="AM2307">
        <v>84.872835499309005</v>
      </c>
      <c r="AN2307">
        <v>0.99999994996790498</v>
      </c>
    </row>
    <row r="2308" spans="1:40" x14ac:dyDescent="0.25">
      <c r="A2308" t="str">
        <f>"20190312154841120"</f>
        <v>20190312154841120</v>
      </c>
      <c r="B2308" t="str">
        <f>"1552376921107805"</f>
        <v>1552376921107805</v>
      </c>
      <c r="C2308" t="s">
        <v>40</v>
      </c>
      <c r="D2308">
        <v>4.346597</v>
      </c>
      <c r="E2308">
        <v>0.48041689999999998</v>
      </c>
      <c r="F2308" t="s">
        <v>51</v>
      </c>
      <c r="G2308">
        <v>-400.44310000000002</v>
      </c>
      <c r="H2308" s="1">
        <v>8.6545129999999903E-6</v>
      </c>
      <c r="I2308">
        <v>282.44450000000001</v>
      </c>
      <c r="J2308">
        <v>-371.85120000000001</v>
      </c>
      <c r="K2308">
        <v>1.1105510000000001</v>
      </c>
      <c r="L2308">
        <v>282.38409999999999</v>
      </c>
      <c r="M2308">
        <v>-0.99930819999999998</v>
      </c>
      <c r="N2308">
        <v>0</v>
      </c>
      <c r="O2308">
        <v>-3.2200630000000001E-2</v>
      </c>
      <c r="P2308">
        <v>-0.99821159999999998</v>
      </c>
      <c r="Q2308">
        <v>2.0200969999999999E-2</v>
      </c>
      <c r="R2308">
        <v>5.6261440000000003E-2</v>
      </c>
      <c r="S2308">
        <v>-3.0075069999999999</v>
      </c>
      <c r="T2308">
        <v>-0.1155635</v>
      </c>
      <c r="U2308">
        <v>5.2490230000000002E-3</v>
      </c>
      <c r="V2308">
        <v>8.8381479999999998E-2</v>
      </c>
      <c r="W2308">
        <v>3.8728859999999997E-2</v>
      </c>
      <c r="X2308">
        <v>0.99533349999999998</v>
      </c>
      <c r="Y2308">
        <v>3.3901779999999999E-2</v>
      </c>
      <c r="Z2308">
        <v>1.8880119999999999E-3</v>
      </c>
      <c r="AA2308">
        <v>0.99942339999999996</v>
      </c>
      <c r="AB2308">
        <v>44</v>
      </c>
      <c r="AC2308">
        <v>-28.591899999999999</v>
      </c>
      <c r="AD2308">
        <v>-1.110542345487</v>
      </c>
      <c r="AE2308">
        <v>6.0400000000015497E-2</v>
      </c>
      <c r="AF2308">
        <v>0.97972724522077803</v>
      </c>
      <c r="AG2308">
        <v>-1.110542345487</v>
      </c>
      <c r="AH2308">
        <v>28.5320782677971</v>
      </c>
      <c r="AI2308">
        <v>92.2276633160253</v>
      </c>
      <c r="AJ2308">
        <v>88.033364796386905</v>
      </c>
      <c r="AK2308">
        <v>28.570485821138</v>
      </c>
      <c r="AL2308">
        <v>87.780444665096994</v>
      </c>
      <c r="AM2308">
        <v>84.9256813677612</v>
      </c>
      <c r="AN2308">
        <v>0.99999999341307</v>
      </c>
    </row>
    <row r="2309" spans="1:40" x14ac:dyDescent="0.25">
      <c r="A2309" t="str">
        <f>"20190312154841134"</f>
        <v>20190312154841134</v>
      </c>
      <c r="B2309" t="str">
        <f>"1552376921128301"</f>
        <v>1552376921128301</v>
      </c>
      <c r="C2309" t="s">
        <v>40</v>
      </c>
      <c r="D2309">
        <v>4.3534709999999999</v>
      </c>
      <c r="E2309">
        <v>0.48039660000000001</v>
      </c>
      <c r="F2309" t="s">
        <v>51</v>
      </c>
      <c r="G2309">
        <v>-401.53379999999999</v>
      </c>
      <c r="H2309" s="1">
        <v>8.1793899999999993E-6</v>
      </c>
      <c r="I2309">
        <v>282.40309999999999</v>
      </c>
      <c r="J2309">
        <v>-372.1157</v>
      </c>
      <c r="K2309">
        <v>1.110576</v>
      </c>
      <c r="L2309">
        <v>282.37560000000002</v>
      </c>
      <c r="M2309">
        <v>-0.9993031</v>
      </c>
      <c r="N2309">
        <v>0</v>
      </c>
      <c r="O2309">
        <v>-3.2198539999999998E-2</v>
      </c>
      <c r="P2309">
        <v>-0.99824480000000004</v>
      </c>
      <c r="Q2309">
        <v>2.0302710000000002E-2</v>
      </c>
      <c r="R2309">
        <v>5.5635320000000002E-2</v>
      </c>
      <c r="S2309">
        <v>-3.0075379999999998</v>
      </c>
      <c r="T2309">
        <v>-0.1125237</v>
      </c>
      <c r="U2309">
        <v>1.922607E-3</v>
      </c>
      <c r="V2309">
        <v>8.775529E-2</v>
      </c>
      <c r="W2309">
        <v>3.9103850000000002E-2</v>
      </c>
      <c r="X2309">
        <v>0.99537430000000005</v>
      </c>
      <c r="Y2309">
        <v>3.2797739999999999E-2</v>
      </c>
      <c r="Z2309">
        <v>1.8176430000000001E-3</v>
      </c>
      <c r="AA2309">
        <v>0.99946029999999997</v>
      </c>
      <c r="AB2309">
        <v>44</v>
      </c>
      <c r="AC2309">
        <v>-29.4180999999999</v>
      </c>
      <c r="AD2309">
        <v>-1.11056782061</v>
      </c>
      <c r="AE2309">
        <v>2.7499999999974899E-2</v>
      </c>
      <c r="AF2309">
        <v>0.97348715987793599</v>
      </c>
      <c r="AG2309">
        <v>-1.11056782061</v>
      </c>
      <c r="AH2309">
        <v>29.360112874636901</v>
      </c>
      <c r="AI2309">
        <v>92.165033547565798</v>
      </c>
      <c r="AJ2309">
        <v>88.100951464923099</v>
      </c>
      <c r="AK2309">
        <v>29.397232287173601</v>
      </c>
      <c r="AL2309">
        <v>87.758943158253999</v>
      </c>
      <c r="AM2309">
        <v>84.961653074190593</v>
      </c>
      <c r="AN2309">
        <v>1.0000000495541399</v>
      </c>
    </row>
    <row r="2310" spans="1:40" x14ac:dyDescent="0.25">
      <c r="A2310" t="str">
        <f>"20190312154841147"</f>
        <v>20190312154841147</v>
      </c>
      <c r="B2310" t="str">
        <f>"1552376921138061"</f>
        <v>1552376921138061</v>
      </c>
      <c r="C2310" t="s">
        <v>40</v>
      </c>
      <c r="D2310">
        <v>4.3679269999999999</v>
      </c>
      <c r="E2310">
        <v>0.48043409999999898</v>
      </c>
      <c r="F2310" t="s">
        <v>51</v>
      </c>
      <c r="G2310">
        <v>-402.8329</v>
      </c>
      <c r="H2310" s="1">
        <v>7.6088059999999996E-6</v>
      </c>
      <c r="I2310">
        <v>282.3766</v>
      </c>
      <c r="J2310">
        <v>-372.38249999999999</v>
      </c>
      <c r="K2310">
        <v>1.1106</v>
      </c>
      <c r="L2310">
        <v>282.36700000000002</v>
      </c>
      <c r="M2310">
        <v>-0.99929820000000003</v>
      </c>
      <c r="N2310">
        <v>0</v>
      </c>
      <c r="O2310">
        <v>-3.2194239999999999E-2</v>
      </c>
      <c r="P2310">
        <v>-0.99826899999999996</v>
      </c>
      <c r="Q2310">
        <v>2.0363869999999999E-2</v>
      </c>
      <c r="R2310">
        <v>5.5175420000000003E-2</v>
      </c>
      <c r="S2310">
        <v>-3.0074459999999998</v>
      </c>
      <c r="T2310">
        <v>-0.1087332</v>
      </c>
      <c r="U2310" s="1">
        <v>9.1552730000000004E-5</v>
      </c>
      <c r="V2310">
        <v>8.7292369999999994E-2</v>
      </c>
      <c r="W2310">
        <v>3.9430720000000002E-2</v>
      </c>
      <c r="X2310">
        <v>0.99540200000000001</v>
      </c>
      <c r="Y2310">
        <v>3.2188509999999997E-2</v>
      </c>
      <c r="Z2310">
        <v>1.7453460000000001E-3</v>
      </c>
      <c r="AA2310">
        <v>0.99948029999999999</v>
      </c>
      <c r="AB2310">
        <v>44</v>
      </c>
      <c r="AC2310">
        <v>-30.450399999999998</v>
      </c>
      <c r="AD2310">
        <v>-1.1105923911939899</v>
      </c>
      <c r="AE2310">
        <v>9.5999999999776195E-3</v>
      </c>
      <c r="AF2310">
        <v>0.98878696600980198</v>
      </c>
      <c r="AG2310">
        <v>-1.1105923911939899</v>
      </c>
      <c r="AH2310">
        <v>30.3938700260723</v>
      </c>
      <c r="AI2310">
        <v>92.091551947688004</v>
      </c>
      <c r="AJ2310">
        <v>88.136685256416797</v>
      </c>
      <c r="AK2310">
        <v>30.4302226460029</v>
      </c>
      <c r="AL2310">
        <v>87.740200185781006</v>
      </c>
      <c r="AM2310">
        <v>84.988234010736207</v>
      </c>
      <c r="AN2310">
        <v>0.99999994057196595</v>
      </c>
    </row>
    <row r="2311" spans="1:40" x14ac:dyDescent="0.25">
      <c r="A2311" t="str">
        <f>"20190312154841166"</f>
        <v>20190312154841166</v>
      </c>
      <c r="B2311" t="str">
        <f>"1552376921158558"</f>
        <v>1552376921158558</v>
      </c>
      <c r="C2311" t="s">
        <v>40</v>
      </c>
      <c r="D2311">
        <v>4.4209040000000002</v>
      </c>
      <c r="E2311">
        <v>0.48063660000000002</v>
      </c>
      <c r="F2311" t="s">
        <v>51</v>
      </c>
      <c r="G2311">
        <v>-403.26909999999998</v>
      </c>
      <c r="H2311" s="1">
        <v>7.4195239999999997E-6</v>
      </c>
      <c r="I2311">
        <v>282.35629999999998</v>
      </c>
      <c r="J2311">
        <v>-372.74849999999998</v>
      </c>
      <c r="K2311">
        <v>1.1106259999999999</v>
      </c>
      <c r="L2311">
        <v>282.35520000000002</v>
      </c>
      <c r="M2311">
        <v>-0.99929219999999996</v>
      </c>
      <c r="N2311">
        <v>0</v>
      </c>
      <c r="O2311">
        <v>-3.2180300000000002E-2</v>
      </c>
      <c r="P2311">
        <v>-0.99831049999999999</v>
      </c>
      <c r="Q2311">
        <v>2.0680270000000001E-2</v>
      </c>
      <c r="R2311">
        <v>5.4302320000000001E-2</v>
      </c>
      <c r="S2311">
        <v>-3.0074459999999998</v>
      </c>
      <c r="T2311">
        <v>-0.108139</v>
      </c>
      <c r="U2311">
        <v>-1.037598E-3</v>
      </c>
      <c r="V2311">
        <v>8.6408250000000006E-2</v>
      </c>
      <c r="W2311">
        <v>4.0084410000000001E-2</v>
      </c>
      <c r="X2311">
        <v>0.99545309999999998</v>
      </c>
      <c r="Y2311">
        <v>3.180024E-2</v>
      </c>
      <c r="Z2311">
        <v>1.7283419999999999E-3</v>
      </c>
      <c r="AA2311">
        <v>0.99949279999999996</v>
      </c>
      <c r="AB2311">
        <v>44</v>
      </c>
      <c r="AC2311">
        <v>-30.520600000000002</v>
      </c>
      <c r="AD2311">
        <v>-1.110618580476</v>
      </c>
      <c r="AE2311">
        <v>1.09999999995125E-3</v>
      </c>
      <c r="AF2311">
        <v>0.982147395894858</v>
      </c>
      <c r="AG2311">
        <v>-1.110618580476</v>
      </c>
      <c r="AH2311">
        <v>30.464411304823301</v>
      </c>
      <c r="AI2311">
        <v>92.086782127256697</v>
      </c>
      <c r="AJ2311">
        <v>88.153471070957593</v>
      </c>
      <c r="AK2311">
        <v>30.5004662798457</v>
      </c>
      <c r="AL2311">
        <v>87.7027170282486</v>
      </c>
      <c r="AM2311">
        <v>85.038993261198002</v>
      </c>
      <c r="AN2311">
        <v>1.00000000994636</v>
      </c>
    </row>
    <row r="2312" spans="1:40" x14ac:dyDescent="0.25">
      <c r="A2312" t="str">
        <f>"20190312154841188"</f>
        <v>20190312154841188</v>
      </c>
      <c r="B2312" t="str">
        <f>"1552376921178077"</f>
        <v>1552376921178077</v>
      </c>
      <c r="C2312" t="s">
        <v>40</v>
      </c>
      <c r="D2312">
        <v>4.4482350000000004</v>
      </c>
      <c r="E2312">
        <v>0.48077959999999897</v>
      </c>
      <c r="F2312" t="s">
        <v>51</v>
      </c>
      <c r="G2312">
        <v>-403.80849999999998</v>
      </c>
      <c r="H2312" s="1">
        <v>7.1852570000000003E-6</v>
      </c>
      <c r="I2312">
        <v>282.33249999999998</v>
      </c>
      <c r="J2312">
        <v>-373.17869999999999</v>
      </c>
      <c r="K2312">
        <v>1.1106400000000001</v>
      </c>
      <c r="L2312">
        <v>282.34140000000002</v>
      </c>
      <c r="M2312">
        <v>-0.99928600000000001</v>
      </c>
      <c r="N2312">
        <v>0</v>
      </c>
      <c r="O2312">
        <v>-3.2148129999999997E-2</v>
      </c>
      <c r="P2312">
        <v>-0.99832719999999997</v>
      </c>
      <c r="Q2312">
        <v>2.0778149999999999E-2</v>
      </c>
      <c r="R2312">
        <v>5.3957499999999999E-2</v>
      </c>
      <c r="S2312">
        <v>-3.0073850000000002</v>
      </c>
      <c r="T2312">
        <v>-0.1075358</v>
      </c>
      <c r="U2312">
        <v>-2.1972659999999998E-3</v>
      </c>
      <c r="V2312">
        <v>8.6033719999999994E-2</v>
      </c>
      <c r="W2312">
        <v>4.053752E-2</v>
      </c>
      <c r="X2312">
        <v>0.9954672</v>
      </c>
      <c r="Y2312">
        <v>3.1383609999999999E-2</v>
      </c>
      <c r="Z2312">
        <v>1.7101519999999999E-3</v>
      </c>
      <c r="AA2312">
        <v>0.99950589999999995</v>
      </c>
      <c r="AB2312">
        <v>44</v>
      </c>
      <c r="AC2312">
        <v>-30.6297999999999</v>
      </c>
      <c r="AD2312">
        <v>-1.110632814743</v>
      </c>
      <c r="AE2312">
        <v>-8.9000000000396505E-3</v>
      </c>
      <c r="AF2312">
        <v>0.97470790470518198</v>
      </c>
      <c r="AG2312">
        <v>-1.110632814743</v>
      </c>
      <c r="AH2312">
        <v>30.574049749682601</v>
      </c>
      <c r="AI2312">
        <v>92.079356021969602</v>
      </c>
      <c r="AJ2312">
        <v>88.1740155039695</v>
      </c>
      <c r="AK2312">
        <v>30.609738300821</v>
      </c>
      <c r="AL2312">
        <v>87.676734639467497</v>
      </c>
      <c r="AM2312">
        <v>85.060459367150102</v>
      </c>
      <c r="AN2312">
        <v>1.00000001889031</v>
      </c>
    </row>
    <row r="2313" spans="1:40" x14ac:dyDescent="0.25">
      <c r="A2313" t="str">
        <f>"20190312154841210"</f>
        <v>20190312154841210</v>
      </c>
      <c r="B2313" t="str">
        <f>"1552376921197597"</f>
        <v>1552376921197597</v>
      </c>
      <c r="C2313" t="s">
        <v>40</v>
      </c>
      <c r="D2313">
        <v>4.4718249999999999</v>
      </c>
      <c r="E2313">
        <v>0.48092059999999998</v>
      </c>
      <c r="F2313" t="s">
        <v>51</v>
      </c>
      <c r="G2313">
        <v>-404.07069999999999</v>
      </c>
      <c r="H2313" s="1">
        <v>7.0714910000000004E-6</v>
      </c>
      <c r="I2313">
        <v>282.32040000000001</v>
      </c>
      <c r="J2313">
        <v>-373.60129999999998</v>
      </c>
      <c r="K2313">
        <v>1.1106480000000001</v>
      </c>
      <c r="L2313">
        <v>282.3279</v>
      </c>
      <c r="M2313">
        <v>-0.99928110000000003</v>
      </c>
      <c r="N2313">
        <v>0</v>
      </c>
      <c r="O2313">
        <v>-3.210035E-2</v>
      </c>
      <c r="P2313">
        <v>-0.99834579999999995</v>
      </c>
      <c r="Q2313">
        <v>2.0815790000000001E-2</v>
      </c>
      <c r="R2313">
        <v>5.3597600000000002E-2</v>
      </c>
      <c r="S2313">
        <v>-3.0073850000000002</v>
      </c>
      <c r="T2313">
        <v>-0.108122</v>
      </c>
      <c r="U2313">
        <v>-2.0446779999999999E-3</v>
      </c>
      <c r="V2313">
        <v>8.5628709999999997E-2</v>
      </c>
      <c r="W2313">
        <v>4.0898190000000001E-2</v>
      </c>
      <c r="X2313">
        <v>0.99548729999999996</v>
      </c>
      <c r="Y2313">
        <v>3.1386320000000002E-2</v>
      </c>
      <c r="Z2313">
        <v>1.717807E-3</v>
      </c>
      <c r="AA2313">
        <v>0.99950589999999995</v>
      </c>
      <c r="AB2313">
        <v>44</v>
      </c>
      <c r="AC2313">
        <v>-30.4694</v>
      </c>
      <c r="AD2313">
        <v>-1.11064092850899</v>
      </c>
      <c r="AE2313">
        <v>-7.4999999999931797E-3</v>
      </c>
      <c r="AF2313">
        <v>0.96949315411137604</v>
      </c>
      <c r="AG2313">
        <v>-1.11064092850899</v>
      </c>
      <c r="AH2313">
        <v>30.4135222763983</v>
      </c>
      <c r="AI2313">
        <v>92.090336957367398</v>
      </c>
      <c r="AJ2313">
        <v>88.174198238394197</v>
      </c>
      <c r="AK2313">
        <v>30.449232790087201</v>
      </c>
      <c r="AL2313">
        <v>87.656052460252397</v>
      </c>
      <c r="AM2313">
        <v>85.083697154889904</v>
      </c>
      <c r="AN2313">
        <v>0.99999995119141305</v>
      </c>
    </row>
    <row r="2314" spans="1:40" x14ac:dyDescent="0.25">
      <c r="A2314" t="str">
        <f>"20190312154841232"</f>
        <v>20190312154841232</v>
      </c>
      <c r="B2314" t="str">
        <f>"1552376921218093"</f>
        <v>1552376921218093</v>
      </c>
      <c r="C2314" t="s">
        <v>40</v>
      </c>
      <c r="D2314">
        <v>4.5150790000000001</v>
      </c>
      <c r="E2314">
        <v>0.48106850000000001</v>
      </c>
      <c r="F2314" t="s">
        <v>51</v>
      </c>
      <c r="G2314">
        <v>-404.4178</v>
      </c>
      <c r="H2314" s="1">
        <v>6.92033E-6</v>
      </c>
      <c r="I2314">
        <v>282.30689999999998</v>
      </c>
      <c r="J2314">
        <v>-374.03129999999999</v>
      </c>
      <c r="K2314">
        <v>1.1106590000000001</v>
      </c>
      <c r="L2314">
        <v>282.3141</v>
      </c>
      <c r="M2314">
        <v>-0.99927699999999997</v>
      </c>
      <c r="N2314">
        <v>0</v>
      </c>
      <c r="O2314">
        <v>-3.2028840000000003E-2</v>
      </c>
      <c r="P2314">
        <v>-0.99835320000000005</v>
      </c>
      <c r="Q2314">
        <v>2.1030119999999999E-2</v>
      </c>
      <c r="R2314">
        <v>5.3377189999999998E-2</v>
      </c>
      <c r="S2314">
        <v>-3.0073240000000001</v>
      </c>
      <c r="T2314">
        <v>-0.1083851</v>
      </c>
      <c r="U2314">
        <v>-2.0446779999999999E-3</v>
      </c>
      <c r="V2314">
        <v>8.5339609999999996E-2</v>
      </c>
      <c r="W2314">
        <v>4.1424639999999999E-2</v>
      </c>
      <c r="X2314">
        <v>0.9954904</v>
      </c>
      <c r="Y2314">
        <v>3.1314880000000003E-2</v>
      </c>
      <c r="Z2314">
        <v>1.7181640000000001E-3</v>
      </c>
      <c r="AA2314">
        <v>0.99950810000000001</v>
      </c>
      <c r="AB2314">
        <v>43</v>
      </c>
      <c r="AC2314">
        <v>-30.386500000000002</v>
      </c>
      <c r="AD2314">
        <v>-1.1106520796699999</v>
      </c>
      <c r="AE2314">
        <v>-7.2000000000116398E-3</v>
      </c>
      <c r="AF2314">
        <v>0.964963152267034</v>
      </c>
      <c r="AG2314">
        <v>-1.1106520796699999</v>
      </c>
      <c r="AH2314">
        <v>30.3306135654272</v>
      </c>
      <c r="AI2314">
        <v>92.096070973656197</v>
      </c>
      <c r="AJ2314">
        <v>88.177759469121895</v>
      </c>
      <c r="AK2314">
        <v>30.366277697185499</v>
      </c>
      <c r="AL2314">
        <v>87.625863610168096</v>
      </c>
      <c r="AM2314">
        <v>85.100229837540496</v>
      </c>
      <c r="AN2314">
        <v>0.99999999316312005</v>
      </c>
    </row>
    <row r="2315" spans="1:40" x14ac:dyDescent="0.25">
      <c r="A2315" t="str">
        <f>"20190312154841255"</f>
        <v>20190312154841255</v>
      </c>
      <c r="B2315" t="str">
        <f>"1552376921248349"</f>
        <v>1552376921248349</v>
      </c>
      <c r="C2315" t="s">
        <v>40</v>
      </c>
      <c r="D2315">
        <v>4.5065869999999997</v>
      </c>
      <c r="E2315">
        <v>0.48099560000000002</v>
      </c>
      <c r="F2315" t="s">
        <v>51</v>
      </c>
      <c r="G2315">
        <v>-404.69529999999997</v>
      </c>
      <c r="H2315" s="1">
        <v>6.7989899999999896E-6</v>
      </c>
      <c r="I2315">
        <v>282.29849999999999</v>
      </c>
      <c r="J2315">
        <v>-374.4624</v>
      </c>
      <c r="K2315">
        <v>1.1106640000000001</v>
      </c>
      <c r="L2315">
        <v>282.30040000000002</v>
      </c>
      <c r="M2315">
        <v>-0.99927370000000004</v>
      </c>
      <c r="N2315">
        <v>0</v>
      </c>
      <c r="O2315">
        <v>-3.1931359999999999E-2</v>
      </c>
      <c r="P2315">
        <v>-0.99836119999999995</v>
      </c>
      <c r="Q2315">
        <v>2.1012019999999999E-2</v>
      </c>
      <c r="R2315">
        <v>5.323224E-2</v>
      </c>
      <c r="S2315">
        <v>-3.0073240000000001</v>
      </c>
      <c r="T2315">
        <v>-0.1089253</v>
      </c>
      <c r="U2315">
        <v>-1.525879E-3</v>
      </c>
      <c r="V2315">
        <v>8.5100149999999999E-2</v>
      </c>
      <c r="W2315">
        <v>4.1712409999999998E-2</v>
      </c>
      <c r="X2315">
        <v>0.99549889999999996</v>
      </c>
      <c r="Y2315">
        <v>3.1389609999999998E-2</v>
      </c>
      <c r="Z2315">
        <v>1.7245559999999999E-3</v>
      </c>
      <c r="AA2315">
        <v>0.9995058</v>
      </c>
      <c r="AB2315">
        <v>43</v>
      </c>
      <c r="AC2315">
        <v>-30.232899999999901</v>
      </c>
      <c r="AD2315">
        <v>-1.11065720101</v>
      </c>
      <c r="AE2315">
        <v>-1.90000000003465E-3</v>
      </c>
      <c r="AF2315">
        <v>0.96238856891144797</v>
      </c>
      <c r="AG2315">
        <v>-1.11065720101</v>
      </c>
      <c r="AH2315">
        <v>30.176810978571702</v>
      </c>
      <c r="AI2315">
        <v>92.106749006108302</v>
      </c>
      <c r="AJ2315">
        <v>88.173361641007602</v>
      </c>
      <c r="AK2315">
        <v>30.212574733249198</v>
      </c>
      <c r="AL2315">
        <v>87.609361380844902</v>
      </c>
      <c r="AM2315">
        <v>85.113953288272</v>
      </c>
      <c r="AN2315">
        <v>1.00000001028962</v>
      </c>
    </row>
    <row r="2316" spans="1:40" x14ac:dyDescent="0.25">
      <c r="A2316" t="str">
        <f>"20190312154841267"</f>
        <v>20190312154841267</v>
      </c>
      <c r="B2316" t="str">
        <f>"1552376921258109"</f>
        <v>1552376921258109</v>
      </c>
      <c r="C2316" t="s">
        <v>40</v>
      </c>
      <c r="D2316">
        <v>4.5391309999999896</v>
      </c>
      <c r="E2316">
        <v>0.48105179999999997</v>
      </c>
      <c r="F2316" t="s">
        <v>51</v>
      </c>
      <c r="G2316">
        <v>-403.62509999999997</v>
      </c>
      <c r="H2316" s="1">
        <v>7.2794070000000001E-6</v>
      </c>
      <c r="I2316">
        <v>282.27050000000003</v>
      </c>
      <c r="J2316">
        <v>-374.71969999999999</v>
      </c>
      <c r="K2316">
        <v>1.1106659999999999</v>
      </c>
      <c r="L2316">
        <v>282.29219999999998</v>
      </c>
      <c r="M2316">
        <v>-0.99927200000000005</v>
      </c>
      <c r="N2316">
        <v>0</v>
      </c>
      <c r="O2316">
        <v>-3.1860909999999999E-2</v>
      </c>
      <c r="P2316">
        <v>-0.99835450000000003</v>
      </c>
      <c r="Q2316">
        <v>2.1021339999999999E-2</v>
      </c>
      <c r="R2316">
        <v>5.3352099999999902E-2</v>
      </c>
      <c r="S2316">
        <v>-3.0074770000000002</v>
      </c>
      <c r="T2316">
        <v>-0.1145394</v>
      </c>
      <c r="U2316">
        <v>-3.0822750000000002E-3</v>
      </c>
      <c r="V2316">
        <v>8.5151119999999997E-2</v>
      </c>
      <c r="W2316">
        <v>4.1896299999999997E-2</v>
      </c>
      <c r="X2316">
        <v>0.99548680000000001</v>
      </c>
      <c r="Y2316">
        <v>3.0798140000000002E-2</v>
      </c>
      <c r="Z2316">
        <v>1.7993460000000001E-3</v>
      </c>
      <c r="AA2316">
        <v>0.99952399999999997</v>
      </c>
      <c r="AB2316">
        <v>43</v>
      </c>
      <c r="AC2316">
        <v>-28.905399999999901</v>
      </c>
      <c r="AD2316">
        <v>-1.1106587205930001</v>
      </c>
      <c r="AE2316">
        <v>-2.1699999999952899E-2</v>
      </c>
      <c r="AF2316">
        <v>0.89814019721157301</v>
      </c>
      <c r="AG2316">
        <v>-1.1106587205930001</v>
      </c>
      <c r="AH2316">
        <v>28.848817854414701</v>
      </c>
      <c r="AI2316">
        <v>92.203690761229893</v>
      </c>
      <c r="AJ2316">
        <v>88.216806421078701</v>
      </c>
      <c r="AK2316">
        <v>28.884156733487501</v>
      </c>
      <c r="AL2316">
        <v>87.598815995328707</v>
      </c>
      <c r="AM2316">
        <v>85.110981876233694</v>
      </c>
      <c r="AN2316">
        <v>0.99999999108259197</v>
      </c>
    </row>
    <row r="2317" spans="1:40" x14ac:dyDescent="0.25">
      <c r="A2317" t="str">
        <f>"20190312154841281"</f>
        <v>20190312154841281</v>
      </c>
      <c r="B2317" t="str">
        <f>"1552376921278606"</f>
        <v>1552376921278606</v>
      </c>
      <c r="C2317" t="s">
        <v>40</v>
      </c>
      <c r="D2317">
        <v>4.5768430000000002</v>
      </c>
      <c r="E2317">
        <v>0.4810545</v>
      </c>
      <c r="F2317" t="s">
        <v>51</v>
      </c>
      <c r="G2317">
        <v>-403.72430000000003</v>
      </c>
      <c r="H2317" s="1">
        <v>7.2356160000000002E-6</v>
      </c>
      <c r="I2317">
        <v>282.26949999999999</v>
      </c>
      <c r="J2317">
        <v>-374.97460000000001</v>
      </c>
      <c r="K2317">
        <v>1.1106659999999999</v>
      </c>
      <c r="L2317">
        <v>282.28410000000002</v>
      </c>
      <c r="M2317">
        <v>-0.99927120000000003</v>
      </c>
      <c r="N2317">
        <v>0</v>
      </c>
      <c r="O2317">
        <v>-3.1779000000000002E-2</v>
      </c>
      <c r="P2317">
        <v>-0.99835339999999995</v>
      </c>
      <c r="Q2317">
        <v>2.0948789999999998E-2</v>
      </c>
      <c r="R2317">
        <v>5.3402079999999998E-2</v>
      </c>
      <c r="S2317">
        <v>-3.0074770000000002</v>
      </c>
      <c r="T2317">
        <v>-0.1151639</v>
      </c>
      <c r="U2317">
        <v>-2.3498540000000002E-3</v>
      </c>
      <c r="V2317">
        <v>8.5121139999999998E-2</v>
      </c>
      <c r="W2317">
        <v>4.1986820000000001E-2</v>
      </c>
      <c r="X2317">
        <v>0.99548550000000002</v>
      </c>
      <c r="Y2317">
        <v>3.0959190000000001E-2</v>
      </c>
      <c r="Z2317">
        <v>1.8091030000000001E-3</v>
      </c>
      <c r="AA2317">
        <v>0.99951900000000005</v>
      </c>
      <c r="AB2317">
        <v>43</v>
      </c>
      <c r="AC2317">
        <v>-28.749700000000001</v>
      </c>
      <c r="AD2317">
        <v>-1.110658764384</v>
      </c>
      <c r="AE2317">
        <v>-1.46000000000299E-2</v>
      </c>
      <c r="AF2317">
        <v>0.897908367856454</v>
      </c>
      <c r="AG2317">
        <v>-1.110658764384</v>
      </c>
      <c r="AH2317">
        <v>28.692814607274599</v>
      </c>
      <c r="AI2317">
        <v>92.215649312403599</v>
      </c>
      <c r="AJ2317">
        <v>88.207579962118601</v>
      </c>
      <c r="AK2317">
        <v>28.7283381422491</v>
      </c>
      <c r="AL2317">
        <v>87.593624893295001</v>
      </c>
      <c r="AM2317">
        <v>85.112688511067503</v>
      </c>
      <c r="AN2317">
        <v>0.99999994111942903</v>
      </c>
    </row>
    <row r="2318" spans="1:40" x14ac:dyDescent="0.25">
      <c r="A2318" t="str">
        <f>"20190312154841294"</f>
        <v>20190312154841294</v>
      </c>
      <c r="B2318" t="str">
        <f>"1552376921288366"</f>
        <v>1552376921288366</v>
      </c>
      <c r="C2318" t="s">
        <v>40</v>
      </c>
      <c r="D2318">
        <v>4.5584179999999996</v>
      </c>
      <c r="E2318">
        <v>0.48110649999999999</v>
      </c>
      <c r="F2318" t="s">
        <v>51</v>
      </c>
      <c r="G2318">
        <v>-403.63249999999999</v>
      </c>
      <c r="H2318" s="1">
        <v>7.2774969999999902E-6</v>
      </c>
      <c r="I2318">
        <v>282.2638</v>
      </c>
      <c r="J2318">
        <v>-375.2226</v>
      </c>
      <c r="K2318">
        <v>1.1106659999999999</v>
      </c>
      <c r="L2318">
        <v>282.27629999999999</v>
      </c>
      <c r="M2318">
        <v>-0.99927089999999996</v>
      </c>
      <c r="N2318">
        <v>0</v>
      </c>
      <c r="O2318">
        <v>-3.1689549999999997E-2</v>
      </c>
      <c r="P2318">
        <v>-0.99834940000000005</v>
      </c>
      <c r="Q2318">
        <v>2.0918389999999999E-2</v>
      </c>
      <c r="R2318">
        <v>5.3489830000000002E-2</v>
      </c>
      <c r="S2318">
        <v>-3.0074770000000002</v>
      </c>
      <c r="T2318">
        <v>-0.1165571</v>
      </c>
      <c r="U2318">
        <v>-2.1362299999999998E-3</v>
      </c>
      <c r="V2318">
        <v>8.5121269999999999E-2</v>
      </c>
      <c r="W2318">
        <v>4.2104500000000003E-2</v>
      </c>
      <c r="X2318">
        <v>0.99548060000000005</v>
      </c>
      <c r="Y2318">
        <v>3.0939769999999998E-2</v>
      </c>
      <c r="Z2318">
        <v>1.827136E-3</v>
      </c>
      <c r="AA2318">
        <v>0.99951959999999995</v>
      </c>
      <c r="AB2318">
        <v>43</v>
      </c>
      <c r="AC2318">
        <v>-28.4099</v>
      </c>
      <c r="AD2318">
        <v>-1.110658722503</v>
      </c>
      <c r="AE2318">
        <v>-1.24999999999886E-2</v>
      </c>
      <c r="AF2318">
        <v>0.88665230077287704</v>
      </c>
      <c r="AG2318">
        <v>-1.110658722503</v>
      </c>
      <c r="AH2318">
        <v>28.3526884226441</v>
      </c>
      <c r="AI2318">
        <v>92.242203273766705</v>
      </c>
      <c r="AJ2318">
        <v>88.208815925912901</v>
      </c>
      <c r="AK2318">
        <v>28.3882837785569</v>
      </c>
      <c r="AL2318">
        <v>87.586876553661995</v>
      </c>
      <c r="AM2318">
        <v>85.112657143085301</v>
      </c>
      <c r="AN2318">
        <v>1.00000002225151</v>
      </c>
    </row>
    <row r="2319" spans="1:40" x14ac:dyDescent="0.25">
      <c r="A2319" t="str">
        <f>"20190312154841307"</f>
        <v>20190312154841307</v>
      </c>
      <c r="B2319" t="str">
        <f>"1552376921298125"</f>
        <v>1552376921298125</v>
      </c>
      <c r="C2319" t="s">
        <v>40</v>
      </c>
      <c r="D2319">
        <v>4.5611560000000004</v>
      </c>
      <c r="E2319">
        <v>0.48116609999999999</v>
      </c>
      <c r="F2319" t="s">
        <v>51</v>
      </c>
      <c r="G2319">
        <v>-403.69479999999999</v>
      </c>
      <c r="H2319" s="1">
        <v>7.2503979999999996E-6</v>
      </c>
      <c r="I2319">
        <v>282.26130000000001</v>
      </c>
      <c r="J2319">
        <v>-375.4674</v>
      </c>
      <c r="K2319">
        <v>1.1106640000000001</v>
      </c>
      <c r="L2319">
        <v>282.26859999999999</v>
      </c>
      <c r="M2319">
        <v>-0.99927089999999996</v>
      </c>
      <c r="N2319">
        <v>0</v>
      </c>
      <c r="O2319">
        <v>-3.159526E-2</v>
      </c>
      <c r="P2319">
        <v>-0.99834279999999997</v>
      </c>
      <c r="Q2319">
        <v>2.07403E-2</v>
      </c>
      <c r="R2319">
        <v>5.3681930000000003E-2</v>
      </c>
      <c r="S2319">
        <v>-3.0074770000000002</v>
      </c>
      <c r="T2319">
        <v>-0.1173172</v>
      </c>
      <c r="U2319">
        <v>-1.586914E-3</v>
      </c>
      <c r="V2319">
        <v>8.5220749999999998E-2</v>
      </c>
      <c r="W2319">
        <v>4.2065430000000001E-2</v>
      </c>
      <c r="X2319">
        <v>0.99547370000000002</v>
      </c>
      <c r="Y2319">
        <v>3.1027490000000001E-2</v>
      </c>
      <c r="Z2319">
        <v>1.83708E-3</v>
      </c>
      <c r="AA2319">
        <v>0.99951679999999998</v>
      </c>
      <c r="AB2319">
        <v>43</v>
      </c>
      <c r="AC2319">
        <v>-28.2273999999999</v>
      </c>
      <c r="AD2319">
        <v>-1.1106567496019999</v>
      </c>
      <c r="AE2319">
        <v>-7.2999999999865299E-3</v>
      </c>
      <c r="AF2319">
        <v>0.88339298066537097</v>
      </c>
      <c r="AG2319">
        <v>-1.1106567496019999</v>
      </c>
      <c r="AH2319">
        <v>28.169919799712101</v>
      </c>
      <c r="AI2319">
        <v>92.256725715296696</v>
      </c>
      <c r="AJ2319">
        <v>88.203824936516995</v>
      </c>
      <c r="AK2319">
        <v>28.205643461831102</v>
      </c>
      <c r="AL2319">
        <v>87.589116987678196</v>
      </c>
      <c r="AM2319">
        <v>85.106939339583903</v>
      </c>
      <c r="AN2319">
        <v>0.99999998201166795</v>
      </c>
    </row>
    <row r="2320" spans="1:40" x14ac:dyDescent="0.25">
      <c r="A2320" t="str">
        <f>"20190312154841320"</f>
        <v>20190312154841320</v>
      </c>
      <c r="B2320" t="str">
        <f>"1552376921307886"</f>
        <v>1552376921307886</v>
      </c>
      <c r="C2320" t="s">
        <v>40</v>
      </c>
      <c r="D2320">
        <v>4.6004740000000002</v>
      </c>
      <c r="E2320">
        <v>0.48116059999999999</v>
      </c>
      <c r="F2320" t="s">
        <v>51</v>
      </c>
      <c r="G2320">
        <v>-403.63900000000001</v>
      </c>
      <c r="H2320" s="1">
        <v>7.27477499999999E-6</v>
      </c>
      <c r="I2320">
        <v>282.2629</v>
      </c>
      <c r="J2320">
        <v>-375.73160000000001</v>
      </c>
      <c r="K2320">
        <v>1.1106640000000001</v>
      </c>
      <c r="L2320">
        <v>282.2604</v>
      </c>
      <c r="M2320">
        <v>-0.99927120000000003</v>
      </c>
      <c r="N2320">
        <v>0</v>
      </c>
      <c r="O2320">
        <v>-3.1482099999999999E-2</v>
      </c>
      <c r="P2320">
        <v>-0.99832560000000004</v>
      </c>
      <c r="Q2320">
        <v>2.0524130000000002E-2</v>
      </c>
      <c r="R2320">
        <v>5.4084880000000002E-2</v>
      </c>
      <c r="S2320">
        <v>-3.0075069999999999</v>
      </c>
      <c r="T2320">
        <v>-0.11856989999999901</v>
      </c>
      <c r="U2320">
        <v>-6.1035159999999996E-4</v>
      </c>
      <c r="V2320">
        <v>8.5512019999999994E-2</v>
      </c>
      <c r="W2320">
        <v>4.1986820000000001E-2</v>
      </c>
      <c r="X2320">
        <v>0.995452</v>
      </c>
      <c r="Y2320">
        <v>3.1237870000000001E-2</v>
      </c>
      <c r="Z2320">
        <v>1.8563539999999999E-3</v>
      </c>
      <c r="AA2320">
        <v>0.99951020000000002</v>
      </c>
      <c r="AB2320">
        <v>43</v>
      </c>
      <c r="AC2320">
        <v>-27.907399999999999</v>
      </c>
      <c r="AD2320">
        <v>-1.1106567252249999</v>
      </c>
      <c r="AE2320">
        <v>2.4999999999977202E-3</v>
      </c>
      <c r="AF2320">
        <v>0.87989343431735301</v>
      </c>
      <c r="AG2320">
        <v>-1.1106567252249999</v>
      </c>
      <c r="AH2320">
        <v>27.849371642554001</v>
      </c>
      <c r="AI2320">
        <v>92.282656539046201</v>
      </c>
      <c r="AJ2320">
        <v>88.190357184321499</v>
      </c>
      <c r="AK2320">
        <v>27.885395311921499</v>
      </c>
      <c r="AL2320">
        <v>87.593624894117596</v>
      </c>
      <c r="AM2320">
        <v>85.090190795960694</v>
      </c>
      <c r="AN2320">
        <v>0.99999994146109406</v>
      </c>
    </row>
    <row r="2321" spans="1:40" x14ac:dyDescent="0.25">
      <c r="A2321" t="str">
        <f>"20190312154841343"</f>
        <v>20190312154841343</v>
      </c>
      <c r="B2321" t="str">
        <f>"1552376921338145"</f>
        <v>1552376921338145</v>
      </c>
      <c r="C2321" t="s">
        <v>40</v>
      </c>
      <c r="D2321">
        <v>4.6029669999999996</v>
      </c>
      <c r="E2321">
        <v>0.4811703</v>
      </c>
      <c r="F2321" t="s">
        <v>51</v>
      </c>
      <c r="G2321">
        <v>-403.42759999999998</v>
      </c>
      <c r="H2321" s="1">
        <v>7.3685059999999996E-6</v>
      </c>
      <c r="I2321">
        <v>282.26319999999998</v>
      </c>
      <c r="J2321">
        <v>-376.1678</v>
      </c>
      <c r="K2321">
        <v>1.1106549999999999</v>
      </c>
      <c r="L2321">
        <v>282.24680000000001</v>
      </c>
      <c r="M2321">
        <v>-0.99927339999999998</v>
      </c>
      <c r="N2321">
        <v>0</v>
      </c>
      <c r="O2321">
        <v>-3.1277520000000003E-2</v>
      </c>
      <c r="P2321">
        <v>-0.99829460000000003</v>
      </c>
      <c r="Q2321">
        <v>2.0701669999999998E-2</v>
      </c>
      <c r="R2321">
        <v>5.458234E-2</v>
      </c>
      <c r="S2321">
        <v>-3.0075379999999998</v>
      </c>
      <c r="T2321">
        <v>-0.1206074</v>
      </c>
      <c r="U2321">
        <v>3.0517579999999998E-4</v>
      </c>
      <c r="V2321">
        <v>8.5807010000000003E-2</v>
      </c>
      <c r="W2321">
        <v>4.2356520000000002E-2</v>
      </c>
      <c r="X2321">
        <v>0.99541100000000005</v>
      </c>
      <c r="Y2321">
        <v>3.1336040000000003E-2</v>
      </c>
      <c r="Z2321">
        <v>1.881984E-3</v>
      </c>
      <c r="AA2321">
        <v>0.99950709999999998</v>
      </c>
      <c r="AB2321">
        <v>43</v>
      </c>
      <c r="AC2321">
        <v>-27.259799999999899</v>
      </c>
      <c r="AD2321">
        <v>-1.1106476314939999</v>
      </c>
      <c r="AE2321">
        <v>1.6399999999975899E-2</v>
      </c>
      <c r="AF2321">
        <v>0.86777272097302804</v>
      </c>
      <c r="AG2321">
        <v>-1.1106476314939999</v>
      </c>
      <c r="AH2321">
        <v>27.200790220502999</v>
      </c>
      <c r="AI2321">
        <v>92.336983139953404</v>
      </c>
      <c r="AJ2321">
        <v>88.172742164437594</v>
      </c>
      <c r="AK2321">
        <v>27.237282468638799</v>
      </c>
      <c r="AL2321">
        <v>87.572423895983604</v>
      </c>
      <c r="AM2321">
        <v>85.073134768899493</v>
      </c>
      <c r="AN2321">
        <v>0.99999998833632497</v>
      </c>
    </row>
    <row r="2322" spans="1:40" x14ac:dyDescent="0.25">
      <c r="A2322" t="str">
        <f>"20190312154841367"</f>
        <v>20190312154841367</v>
      </c>
      <c r="B2322" t="str">
        <f>"1552376921357661"</f>
        <v>1552376921357661</v>
      </c>
      <c r="C2322" t="s">
        <v>40</v>
      </c>
      <c r="D2322">
        <v>4.6053240000000004</v>
      </c>
      <c r="E2322">
        <v>0.48114109999999999</v>
      </c>
      <c r="F2322" t="s">
        <v>51</v>
      </c>
      <c r="G2322">
        <v>-403.55169999999998</v>
      </c>
      <c r="H2322" s="1">
        <v>7.3135560000000002E-6</v>
      </c>
      <c r="I2322">
        <v>282.2627</v>
      </c>
      <c r="J2322">
        <v>-376.5872</v>
      </c>
      <c r="K2322">
        <v>1.110646</v>
      </c>
      <c r="L2322">
        <v>282.23390000000001</v>
      </c>
      <c r="M2322">
        <v>-0.99927690000000002</v>
      </c>
      <c r="N2322">
        <v>0</v>
      </c>
      <c r="O2322">
        <v>-3.1060959999999999E-2</v>
      </c>
      <c r="P2322">
        <v>-0.99826009999999998</v>
      </c>
      <c r="Q2322">
        <v>2.109221E-2</v>
      </c>
      <c r="R2322">
        <v>5.5063399999999998E-2</v>
      </c>
      <c r="S2322">
        <v>-3.007568</v>
      </c>
      <c r="T2322">
        <v>-0.1219823</v>
      </c>
      <c r="U2322">
        <v>1.739502E-3</v>
      </c>
      <c r="V2322">
        <v>8.6073570000000002E-2</v>
      </c>
      <c r="W2322">
        <v>4.2888660000000002E-2</v>
      </c>
      <c r="X2322">
        <v>0.99536519999999995</v>
      </c>
      <c r="Y2322">
        <v>3.159501E-2</v>
      </c>
      <c r="Z2322">
        <v>1.8998789999999999E-3</v>
      </c>
      <c r="AA2322">
        <v>0.99949900000000003</v>
      </c>
      <c r="AB2322">
        <v>42</v>
      </c>
      <c r="AC2322">
        <v>-26.964499999999902</v>
      </c>
      <c r="AD2322">
        <v>-1.1106386864440001</v>
      </c>
      <c r="AE2322">
        <v>2.8799999999989698E-2</v>
      </c>
      <c r="AF2322">
        <v>0.86506320871181197</v>
      </c>
      <c r="AG2322">
        <v>-1.1106386864440001</v>
      </c>
      <c r="AH2322">
        <v>26.904943461477</v>
      </c>
      <c r="AI2322">
        <v>92.362613753296401</v>
      </c>
      <c r="AJ2322">
        <v>88.158427583804993</v>
      </c>
      <c r="AK2322">
        <v>26.9417489282372</v>
      </c>
      <c r="AL2322">
        <v>87.541906788171602</v>
      </c>
      <c r="AM2322">
        <v>85.057678842250994</v>
      </c>
      <c r="AN2322">
        <v>0.99999998899009002</v>
      </c>
    </row>
    <row r="2323" spans="1:40" x14ac:dyDescent="0.25">
      <c r="A2323" t="str">
        <f>"20190312154841389"</f>
        <v>20190312154841389</v>
      </c>
      <c r="B2323" t="str">
        <f>"1552376921378157"</f>
        <v>1552376921378157</v>
      </c>
      <c r="C2323" t="s">
        <v>40</v>
      </c>
      <c r="D2323">
        <v>4.6191180000000003</v>
      </c>
      <c r="E2323">
        <v>0.48110819999999999</v>
      </c>
      <c r="F2323" t="s">
        <v>51</v>
      </c>
      <c r="G2323">
        <v>-403.97460000000001</v>
      </c>
      <c r="H2323" s="1">
        <v>7.1264819999999901E-6</v>
      </c>
      <c r="I2323">
        <v>282.26029999999997</v>
      </c>
      <c r="J2323">
        <v>-377.00749999999999</v>
      </c>
      <c r="K2323">
        <v>1.110638</v>
      </c>
      <c r="L2323">
        <v>282.22109999999998</v>
      </c>
      <c r="M2323">
        <v>-0.99928130000000004</v>
      </c>
      <c r="N2323">
        <v>0</v>
      </c>
      <c r="O2323">
        <v>-3.0828379999999999E-2</v>
      </c>
      <c r="P2323">
        <v>-0.99823910000000005</v>
      </c>
      <c r="Q2323">
        <v>2.158465E-2</v>
      </c>
      <c r="R2323">
        <v>5.525248E-2</v>
      </c>
      <c r="S2323">
        <v>-3.0076290000000001</v>
      </c>
      <c r="T2323">
        <v>-0.12196799999999999</v>
      </c>
      <c r="U2323">
        <v>2.89917E-3</v>
      </c>
      <c r="V2323">
        <v>8.6032510000000006E-2</v>
      </c>
      <c r="W2323">
        <v>4.3499870000000003E-2</v>
      </c>
      <c r="X2323">
        <v>0.99534230000000001</v>
      </c>
      <c r="Y2323">
        <v>3.1747909999999997E-2</v>
      </c>
      <c r="Z2323">
        <v>1.893296E-3</v>
      </c>
      <c r="AA2323">
        <v>0.99949410000000005</v>
      </c>
      <c r="AB2323">
        <v>42</v>
      </c>
      <c r="AC2323">
        <v>-26.967099999999999</v>
      </c>
      <c r="AD2323">
        <v>-1.1106308735179999</v>
      </c>
      <c r="AE2323">
        <v>3.9199999999993899E-2</v>
      </c>
      <c r="AF2323">
        <v>0.86926124584672404</v>
      </c>
      <c r="AG2323">
        <v>-1.1106308735179999</v>
      </c>
      <c r="AH2323">
        <v>26.907427684356499</v>
      </c>
      <c r="AI2323">
        <v>92.362367645399303</v>
      </c>
      <c r="AJ2323">
        <v>88.149667603993805</v>
      </c>
      <c r="AK2323">
        <v>26.9443645432513</v>
      </c>
      <c r="AL2323">
        <v>87.506854503277495</v>
      </c>
      <c r="AM2323">
        <v>85.059911734554305</v>
      </c>
      <c r="AN2323">
        <v>1.0000000628181001</v>
      </c>
    </row>
    <row r="2324" spans="1:40" x14ac:dyDescent="0.25">
      <c r="A2324" t="str">
        <f>"20190312154841411"</f>
        <v>20190312154841411</v>
      </c>
      <c r="B2324" t="str">
        <f>"1552376921397677"</f>
        <v>1552376921397677</v>
      </c>
      <c r="C2324" t="s">
        <v>40</v>
      </c>
      <c r="D2324">
        <v>4.5906729999999998</v>
      </c>
      <c r="E2324">
        <v>0.48110950000000002</v>
      </c>
      <c r="F2324" t="s">
        <v>51</v>
      </c>
      <c r="G2324">
        <v>-404.5247</v>
      </c>
      <c r="H2324" s="1">
        <v>6.8848970000000001E-6</v>
      </c>
      <c r="I2324">
        <v>282.24900000000002</v>
      </c>
      <c r="J2324">
        <v>-377.41239999999999</v>
      </c>
      <c r="K2324">
        <v>1.110641</v>
      </c>
      <c r="L2324">
        <v>282.2088</v>
      </c>
      <c r="M2324">
        <v>-0.99928589999999995</v>
      </c>
      <c r="N2324">
        <v>0</v>
      </c>
      <c r="O2324">
        <v>-3.0593720000000001E-2</v>
      </c>
      <c r="P2324">
        <v>-0.99821380000000004</v>
      </c>
      <c r="Q2324">
        <v>2.1558150000000002E-2</v>
      </c>
      <c r="R2324">
        <v>5.5717969999999999E-2</v>
      </c>
      <c r="S2324">
        <v>-3.0077509999999998</v>
      </c>
      <c r="T2324">
        <v>-0.121396699999999</v>
      </c>
      <c r="U2324">
        <v>3.0517579999999999E-3</v>
      </c>
      <c r="V2324">
        <v>8.6264599999999997E-2</v>
      </c>
      <c r="W2324">
        <v>4.3588010000000003E-2</v>
      </c>
      <c r="X2324">
        <v>0.99531829999999999</v>
      </c>
      <c r="Y2324">
        <v>3.1564780000000001E-2</v>
      </c>
      <c r="Z2324">
        <v>1.8711999999999999E-3</v>
      </c>
      <c r="AA2324">
        <v>0.99950000000000006</v>
      </c>
      <c r="AB2324">
        <v>42</v>
      </c>
      <c r="AC2324">
        <v>-27.112300000000001</v>
      </c>
      <c r="AD2324">
        <v>-1.1106341151029999</v>
      </c>
      <c r="AE2324">
        <v>4.0200000000027103E-2</v>
      </c>
      <c r="AF2324">
        <v>0.86839407318557704</v>
      </c>
      <c r="AG2324">
        <v>-1.1106341151029999</v>
      </c>
      <c r="AH2324">
        <v>27.052975781565902</v>
      </c>
      <c r="AI2324">
        <v>92.349694515131503</v>
      </c>
      <c r="AJ2324">
        <v>88.161450440706005</v>
      </c>
      <c r="AK2324">
        <v>27.089686506897198</v>
      </c>
      <c r="AL2324">
        <v>87.501799519779098</v>
      </c>
      <c r="AM2324">
        <v>85.046532223186304</v>
      </c>
      <c r="AN2324">
        <v>1.0000000070719</v>
      </c>
    </row>
    <row r="2325" spans="1:40" x14ac:dyDescent="0.25">
      <c r="A2325" t="str">
        <f>"20190312154841423"</f>
        <v>20190312154841423</v>
      </c>
      <c r="B2325" t="str">
        <f>"1552376921418174"</f>
        <v>1552376921418174</v>
      </c>
      <c r="C2325" t="s">
        <v>40</v>
      </c>
      <c r="D2325">
        <v>4.5459670000000001</v>
      </c>
      <c r="E2325">
        <v>0.48123660000000001</v>
      </c>
      <c r="F2325" t="s">
        <v>51</v>
      </c>
      <c r="G2325">
        <v>-404.6311</v>
      </c>
      <c r="H2325" s="1">
        <v>6.8380950000000003E-6</v>
      </c>
      <c r="I2325">
        <v>282.24720000000002</v>
      </c>
      <c r="J2325">
        <v>-377.6472</v>
      </c>
      <c r="K2325">
        <v>1.1106419999999999</v>
      </c>
      <c r="L2325">
        <v>282.20179999999999</v>
      </c>
      <c r="M2325">
        <v>-0.99928870000000003</v>
      </c>
      <c r="N2325">
        <v>0</v>
      </c>
      <c r="O2325">
        <v>-3.0454789999999999E-2</v>
      </c>
      <c r="P2325">
        <v>-0.9981989</v>
      </c>
      <c r="Q2325">
        <v>2.1756959999999999E-2</v>
      </c>
      <c r="R2325">
        <v>5.5908159999999998E-2</v>
      </c>
      <c r="S2325">
        <v>-3.0077509999999998</v>
      </c>
      <c r="T2325">
        <v>-0.1227287</v>
      </c>
      <c r="U2325">
        <v>4.2419429999999998E-3</v>
      </c>
      <c r="V2325">
        <v>8.6316850000000001E-2</v>
      </c>
      <c r="W2325">
        <v>4.3852870000000002E-2</v>
      </c>
      <c r="X2325">
        <v>0.99530209999999997</v>
      </c>
      <c r="Y2325">
        <v>3.182016E-2</v>
      </c>
      <c r="Z2325">
        <v>1.8912600000000001E-3</v>
      </c>
      <c r="AA2325">
        <v>0.99949180000000004</v>
      </c>
      <c r="AB2325">
        <v>42</v>
      </c>
      <c r="AC2325">
        <v>-26.983899999999998</v>
      </c>
      <c r="AD2325">
        <v>-1.1106351619049999</v>
      </c>
      <c r="AE2325">
        <v>4.5400000000029202E-2</v>
      </c>
      <c r="AF2325">
        <v>0.86590433689339597</v>
      </c>
      <c r="AG2325">
        <v>-1.1106351619049999</v>
      </c>
      <c r="AH2325">
        <v>26.924382332088101</v>
      </c>
      <c r="AI2325">
        <v>92.360901832044306</v>
      </c>
      <c r="AJ2325">
        <v>88.157968153269195</v>
      </c>
      <c r="AK2325">
        <v>26.961188118255599</v>
      </c>
      <c r="AL2325">
        <v>87.486609545798402</v>
      </c>
      <c r="AM2325">
        <v>85.043466604272794</v>
      </c>
      <c r="AN2325">
        <v>0.99999997153278397</v>
      </c>
    </row>
    <row r="2326" spans="1:40" x14ac:dyDescent="0.25">
      <c r="A2326" t="str">
        <f>"20190312154841436"</f>
        <v>20190312154841436</v>
      </c>
      <c r="B2326" t="str">
        <f>"1552376921427933"</f>
        <v>1552376921427933</v>
      </c>
      <c r="C2326" t="s">
        <v>40</v>
      </c>
      <c r="D2326">
        <v>4.5488460000000002</v>
      </c>
      <c r="E2326">
        <v>0.48129379999999999</v>
      </c>
      <c r="F2326" t="s">
        <v>51</v>
      </c>
      <c r="G2326">
        <v>-404.70420000000001</v>
      </c>
      <c r="H2326" s="1">
        <v>6.8043369999999998E-6</v>
      </c>
      <c r="I2326">
        <v>282.25360000000001</v>
      </c>
      <c r="J2326">
        <v>-377.88490000000002</v>
      </c>
      <c r="K2326">
        <v>1.110646</v>
      </c>
      <c r="L2326">
        <v>282.19459999999998</v>
      </c>
      <c r="M2326">
        <v>-0.99929159999999995</v>
      </c>
      <c r="N2326">
        <v>0</v>
      </c>
      <c r="O2326">
        <v>-3.031232E-2</v>
      </c>
      <c r="P2326">
        <v>-0.99819239999999998</v>
      </c>
      <c r="Q2326">
        <v>2.1704230000000001E-2</v>
      </c>
      <c r="R2326">
        <v>5.6047769999999997E-2</v>
      </c>
      <c r="S2326">
        <v>-3.0077820000000002</v>
      </c>
      <c r="T2326">
        <v>-0.1234634</v>
      </c>
      <c r="U2326">
        <v>5.7678219999999997E-3</v>
      </c>
      <c r="V2326">
        <v>8.6314959999999996E-2</v>
      </c>
      <c r="W2326">
        <v>4.3868110000000002E-2</v>
      </c>
      <c r="X2326">
        <v>0.99530160000000001</v>
      </c>
      <c r="Y2326">
        <v>3.2183919999999998E-2</v>
      </c>
      <c r="Z2326">
        <v>1.904174E-3</v>
      </c>
      <c r="AA2326">
        <v>0.99948009999999998</v>
      </c>
      <c r="AB2326">
        <v>42</v>
      </c>
      <c r="AC2326">
        <v>-26.819299999999998</v>
      </c>
      <c r="AD2326">
        <v>-1.110639195663</v>
      </c>
      <c r="AE2326">
        <v>5.90000000000259E-2</v>
      </c>
      <c r="AF2326">
        <v>0.87063726979988199</v>
      </c>
      <c r="AG2326">
        <v>-1.110639195663</v>
      </c>
      <c r="AH2326">
        <v>26.759290295988599</v>
      </c>
      <c r="AI2326">
        <v>92.375430677260795</v>
      </c>
      <c r="AJ2326">
        <v>88.136488315364005</v>
      </c>
      <c r="AK2326">
        <v>26.796476369543299</v>
      </c>
      <c r="AL2326">
        <v>87.485735536221895</v>
      </c>
      <c r="AM2326">
        <v>85.043572114749693</v>
      </c>
      <c r="AN2326">
        <v>0.99999997917866601</v>
      </c>
    </row>
    <row r="2327" spans="1:40" x14ac:dyDescent="0.25">
      <c r="A2327" t="str">
        <f>"20190312154841449"</f>
        <v>20190312154841449</v>
      </c>
      <c r="B2327" t="str">
        <f>"1552376921438424"</f>
        <v>1552376921438424</v>
      </c>
      <c r="C2327" t="s">
        <v>40</v>
      </c>
      <c r="D2327">
        <v>4.5573819999999996</v>
      </c>
      <c r="E2327">
        <v>0.48132360000000002</v>
      </c>
      <c r="F2327" t="s">
        <v>51</v>
      </c>
      <c r="G2327">
        <v>-404.80290000000002</v>
      </c>
      <c r="H2327" s="1">
        <v>6.7604459999999997E-6</v>
      </c>
      <c r="I2327">
        <v>282.25420000000003</v>
      </c>
      <c r="J2327">
        <v>-378.12470000000002</v>
      </c>
      <c r="K2327">
        <v>1.1106510000000001</v>
      </c>
      <c r="L2327">
        <v>282.1875</v>
      </c>
      <c r="M2327">
        <v>-0.99929429999999997</v>
      </c>
      <c r="N2327">
        <v>0</v>
      </c>
      <c r="O2327">
        <v>-3.0167019999999999E-2</v>
      </c>
      <c r="P2327">
        <v>-0.99818019999999996</v>
      </c>
      <c r="Q2327">
        <v>2.1602679999999999E-2</v>
      </c>
      <c r="R2327">
        <v>5.630172E-2</v>
      </c>
      <c r="S2327">
        <v>-3.0077509999999998</v>
      </c>
      <c r="T2327">
        <v>-0.1240999</v>
      </c>
      <c r="U2327">
        <v>6.6528319999999896E-3</v>
      </c>
      <c r="V2327">
        <v>8.642416E-2</v>
      </c>
      <c r="W2327">
        <v>4.383476E-2</v>
      </c>
      <c r="X2327">
        <v>0.9952936</v>
      </c>
      <c r="Y2327">
        <v>3.233221E-2</v>
      </c>
      <c r="Z2327">
        <v>1.91107E-3</v>
      </c>
      <c r="AA2327">
        <v>0.99947540000000001</v>
      </c>
      <c r="AB2327">
        <v>42</v>
      </c>
      <c r="AC2327">
        <v>-26.6782</v>
      </c>
      <c r="AD2327">
        <v>-1.1106442395539999</v>
      </c>
      <c r="AE2327">
        <v>6.6700000000025697E-2</v>
      </c>
      <c r="AF2327">
        <v>0.87016492062944595</v>
      </c>
      <c r="AG2327">
        <v>-1.1106442395539999</v>
      </c>
      <c r="AH2327">
        <v>26.6179066560432</v>
      </c>
      <c r="AI2327">
        <v>92.3880322254101</v>
      </c>
      <c r="AJ2327">
        <v>88.127612782286803</v>
      </c>
      <c r="AK2327">
        <v>26.655274756899001</v>
      </c>
      <c r="AL2327">
        <v>87.487648207279506</v>
      </c>
      <c r="AM2327">
        <v>85.037293173926301</v>
      </c>
      <c r="AN2327">
        <v>0.99999998590846095</v>
      </c>
    </row>
    <row r="2328" spans="1:40" x14ac:dyDescent="0.25">
      <c r="A2328" t="str">
        <f>"20190312154841466"</f>
        <v>20190312154841466</v>
      </c>
      <c r="B2328" t="str">
        <f>"1552376921457944"</f>
        <v>1552376921457944</v>
      </c>
      <c r="C2328" t="s">
        <v>40</v>
      </c>
      <c r="D2328">
        <v>4.6171879999999996</v>
      </c>
      <c r="E2328">
        <v>0.48144049999999999</v>
      </c>
      <c r="F2328" t="s">
        <v>51</v>
      </c>
      <c r="G2328">
        <v>-404.84339999999997</v>
      </c>
      <c r="H2328" s="1">
        <v>6.7424129999999997E-6</v>
      </c>
      <c r="I2328">
        <v>282.25470000000001</v>
      </c>
      <c r="J2328">
        <v>-378.43799999999999</v>
      </c>
      <c r="K2328">
        <v>1.1106590000000001</v>
      </c>
      <c r="L2328">
        <v>282.1782</v>
      </c>
      <c r="M2328">
        <v>-0.99929800000000002</v>
      </c>
      <c r="N2328">
        <v>0</v>
      </c>
      <c r="O2328">
        <v>-2.9974500000000001E-2</v>
      </c>
      <c r="P2328">
        <v>-0.99814530000000001</v>
      </c>
      <c r="Q2328">
        <v>2.161267E-2</v>
      </c>
      <c r="R2328">
        <v>5.691367E-2</v>
      </c>
      <c r="S2328">
        <v>-3.0077509999999998</v>
      </c>
      <c r="T2328">
        <v>-0.12502669999999999</v>
      </c>
      <c r="U2328">
        <v>7.5683590000000002E-3</v>
      </c>
      <c r="V2328">
        <v>8.6843619999999996E-2</v>
      </c>
      <c r="W2328">
        <v>4.3936709999999997E-2</v>
      </c>
      <c r="X2328">
        <v>0.99525260000000004</v>
      </c>
      <c r="Y2328">
        <v>3.2443230000000003E-2</v>
      </c>
      <c r="Z2328">
        <v>1.919642E-3</v>
      </c>
      <c r="AA2328">
        <v>0.99947169999999996</v>
      </c>
      <c r="AB2328">
        <v>41</v>
      </c>
      <c r="AC2328">
        <v>-26.405399999999901</v>
      </c>
      <c r="AD2328">
        <v>-1.1106522575869999</v>
      </c>
      <c r="AE2328">
        <v>7.6500000000009893E-2</v>
      </c>
      <c r="AF2328">
        <v>0.86662102072270297</v>
      </c>
      <c r="AG2328">
        <v>-1.1106522575869999</v>
      </c>
      <c r="AH2328">
        <v>26.344627614851198</v>
      </c>
      <c r="AI2328">
        <v>92.412775968934497</v>
      </c>
      <c r="AJ2328">
        <v>88.115903216181096</v>
      </c>
      <c r="AK2328">
        <v>26.382266479512701</v>
      </c>
      <c r="AL2328">
        <v>87.481801287941295</v>
      </c>
      <c r="AM2328">
        <v>85.013123423994998</v>
      </c>
      <c r="AN2328">
        <v>0.99999999331354394</v>
      </c>
    </row>
    <row r="2329" spans="1:40" x14ac:dyDescent="0.25">
      <c r="A2329" t="str">
        <f>"20190312154841480"</f>
        <v>20190312154841480</v>
      </c>
      <c r="B2329" t="str">
        <f>"1552376921467704"</f>
        <v>1552376921467704</v>
      </c>
      <c r="C2329" t="s">
        <v>40</v>
      </c>
      <c r="D2329">
        <v>4.6224769999999999</v>
      </c>
      <c r="E2329">
        <v>0.50595679999999998</v>
      </c>
      <c r="F2329" t="s">
        <v>51</v>
      </c>
      <c r="G2329">
        <v>-405.0335</v>
      </c>
      <c r="H2329" s="1">
        <v>6.655107E-6</v>
      </c>
      <c r="I2329">
        <v>282.26909999999998</v>
      </c>
      <c r="J2329">
        <v>-378.68770000000001</v>
      </c>
      <c r="K2329">
        <v>1.1106689999999999</v>
      </c>
      <c r="L2329">
        <v>282.17090000000002</v>
      </c>
      <c r="M2329">
        <v>-0.99930090000000005</v>
      </c>
      <c r="N2329">
        <v>0</v>
      </c>
      <c r="O2329">
        <v>-2.9817440000000001E-2</v>
      </c>
      <c r="P2329">
        <v>-0.9981331</v>
      </c>
      <c r="Q2329">
        <v>2.1406979999999999E-2</v>
      </c>
      <c r="R2329">
        <v>5.7200460000000002E-2</v>
      </c>
      <c r="S2329">
        <v>-3.0076900000000002</v>
      </c>
      <c r="T2329">
        <v>-0.12560379999999999</v>
      </c>
      <c r="U2329">
        <v>1.0284420000000001E-2</v>
      </c>
      <c r="V2329">
        <v>8.6974019999999999E-2</v>
      </c>
      <c r="W2329">
        <v>4.3803330000000001E-2</v>
      </c>
      <c r="X2329">
        <v>0.99524710000000005</v>
      </c>
      <c r="Y2329">
        <v>3.3187769999999998E-2</v>
      </c>
      <c r="Z2329">
        <v>1.9375219999999999E-3</v>
      </c>
      <c r="AA2329">
        <v>0.99944719999999998</v>
      </c>
      <c r="AB2329">
        <v>41</v>
      </c>
      <c r="AC2329">
        <v>-26.345800000000001</v>
      </c>
      <c r="AD2329">
        <v>-1.110662344893</v>
      </c>
      <c r="AE2329">
        <v>9.81999999999629E-2</v>
      </c>
      <c r="AF2329">
        <v>0.88235236970118902</v>
      </c>
      <c r="AG2329">
        <v>-1.110662344893</v>
      </c>
      <c r="AH2329">
        <v>26.284438263500199</v>
      </c>
      <c r="AI2329">
        <v>92.418262397839598</v>
      </c>
      <c r="AJ2329">
        <v>88.077338046041206</v>
      </c>
      <c r="AK2329">
        <v>26.3226862492496</v>
      </c>
      <c r="AL2329">
        <v>87.489450782848294</v>
      </c>
      <c r="AM2329">
        <v>85.005645765737</v>
      </c>
      <c r="AN2329">
        <v>1.00000000096622</v>
      </c>
    </row>
    <row r="2330" spans="1:40" x14ac:dyDescent="0.25">
      <c r="A2330" t="str">
        <f>"20190312154841494"</f>
        <v>20190312154841494</v>
      </c>
      <c r="B2330" t="str">
        <f>"1552376921488200"</f>
        <v>1552376921488200</v>
      </c>
      <c r="C2330" t="s">
        <v>40</v>
      </c>
      <c r="D2330">
        <v>4.6187500000000004</v>
      </c>
      <c r="E2330">
        <v>0.51122040000000002</v>
      </c>
      <c r="F2330" t="s">
        <v>51</v>
      </c>
      <c r="G2330">
        <v>-403.98849999999999</v>
      </c>
      <c r="H2330" s="1">
        <v>6.7787029999999999E-6</v>
      </c>
      <c r="I2330">
        <v>283.91370000000001</v>
      </c>
      <c r="J2330">
        <v>-378.94959999999998</v>
      </c>
      <c r="K2330">
        <v>1.110676</v>
      </c>
      <c r="L2330">
        <v>282.16320000000002</v>
      </c>
      <c r="M2330">
        <v>-0.99930419999999998</v>
      </c>
      <c r="N2330">
        <v>0</v>
      </c>
      <c r="O2330">
        <v>-2.9648689999999998E-2</v>
      </c>
      <c r="P2330">
        <v>-0.99812840000000003</v>
      </c>
      <c r="Q2330">
        <v>2.1470179999999998E-2</v>
      </c>
      <c r="R2330">
        <v>5.7260310000000002E-2</v>
      </c>
      <c r="S2330">
        <v>-2.996613</v>
      </c>
      <c r="T2330">
        <v>-0.1315463</v>
      </c>
      <c r="U2330">
        <v>0.20642089999999999</v>
      </c>
      <c r="V2330">
        <v>8.6866429999999994E-2</v>
      </c>
      <c r="W2330">
        <v>4.3940529999999998E-2</v>
      </c>
      <c r="X2330">
        <v>0.99525050000000004</v>
      </c>
      <c r="Y2330">
        <v>9.8155270000000003E-2</v>
      </c>
      <c r="Z2330">
        <v>3.450729E-3</v>
      </c>
      <c r="AA2330">
        <v>0.99516510000000002</v>
      </c>
      <c r="AB2330">
        <v>41</v>
      </c>
      <c r="AC2330">
        <v>-25.038900000000002</v>
      </c>
      <c r="AD2330">
        <v>-1.110669221297</v>
      </c>
      <c r="AE2330">
        <v>1.75049999999998</v>
      </c>
      <c r="AF2330">
        <v>2.4874203149660601</v>
      </c>
      <c r="AG2330">
        <v>-1.110669221297</v>
      </c>
      <c r="AH2330">
        <v>24.927165076653001</v>
      </c>
      <c r="AI2330">
        <v>92.538625246841207</v>
      </c>
      <c r="AJ2330">
        <v>84.301460032357298</v>
      </c>
      <c r="AK2330">
        <v>25.0755738658391</v>
      </c>
      <c r="AL2330">
        <v>87.481582355113304</v>
      </c>
      <c r="AM2330">
        <v>85.011809726429902</v>
      </c>
      <c r="AN2330">
        <v>1.0000000522939301</v>
      </c>
    </row>
    <row r="2331" spans="1:40" x14ac:dyDescent="0.25">
      <c r="A2331" t="str">
        <f>"20190312154841511"</f>
        <v>20190312154841511</v>
      </c>
      <c r="B2331" t="str">
        <f>"1552376921508696"</f>
        <v>1552376921508696</v>
      </c>
      <c r="C2331" t="s">
        <v>40</v>
      </c>
      <c r="D2331">
        <v>4.5611980000000001</v>
      </c>
      <c r="E2331">
        <v>0.51352659999999895</v>
      </c>
      <c r="F2331" t="s">
        <v>51</v>
      </c>
      <c r="G2331">
        <v>-403.42660000000001</v>
      </c>
      <c r="H2331" s="1">
        <v>6.9704439999999997E-6</v>
      </c>
      <c r="I2331">
        <v>284.19159999999999</v>
      </c>
      <c r="J2331">
        <v>-379.25580000000002</v>
      </c>
      <c r="K2331">
        <v>1.110684</v>
      </c>
      <c r="L2331">
        <v>282.15429999999998</v>
      </c>
      <c r="M2331">
        <v>-0.99930850000000004</v>
      </c>
      <c r="N2331">
        <v>0</v>
      </c>
      <c r="O2331">
        <v>-2.9443710000000001E-2</v>
      </c>
      <c r="P2331">
        <v>-0.99810239999999995</v>
      </c>
      <c r="Q2331">
        <v>2.171462E-2</v>
      </c>
      <c r="R2331">
        <v>5.7621119999999998E-2</v>
      </c>
      <c r="S2331">
        <v>-2.9943240000000002</v>
      </c>
      <c r="T2331">
        <v>-0.1358703</v>
      </c>
      <c r="U2331">
        <v>0.24813840000000001</v>
      </c>
      <c r="V2331">
        <v>8.7023359999999994E-2</v>
      </c>
      <c r="W2331">
        <v>4.4264930000000001E-2</v>
      </c>
      <c r="X2331">
        <v>0.99522239999999995</v>
      </c>
      <c r="Y2331">
        <v>0.111757</v>
      </c>
      <c r="Z2331">
        <v>3.863582E-3</v>
      </c>
      <c r="AA2331">
        <v>0.99372799999999994</v>
      </c>
      <c r="AB2331">
        <v>41</v>
      </c>
      <c r="AC2331">
        <v>-24.1707999999999</v>
      </c>
      <c r="AD2331">
        <v>-1.110677029556</v>
      </c>
      <c r="AE2331">
        <v>2.0373000000000099</v>
      </c>
      <c r="AF2331">
        <v>2.7425277865644699</v>
      </c>
      <c r="AG2331">
        <v>-1.110677029556</v>
      </c>
      <c r="AH2331">
        <v>24.049890558767501</v>
      </c>
      <c r="AI2331">
        <v>92.627164290300996</v>
      </c>
      <c r="AJ2331">
        <v>83.494381804163098</v>
      </c>
      <c r="AK2331">
        <v>24.231225681189901</v>
      </c>
      <c r="AL2331">
        <v>87.462977464663396</v>
      </c>
      <c r="AM2331">
        <v>85.002703436930801</v>
      </c>
      <c r="AN2331">
        <v>1.0000000373376701</v>
      </c>
    </row>
    <row r="2332" spans="1:40" x14ac:dyDescent="0.25">
      <c r="A2332" t="str">
        <f>"20190312154841534"</f>
        <v>20190312154841534</v>
      </c>
      <c r="B2332" t="str">
        <f>"1552376921528220"</f>
        <v>1552376921528220</v>
      </c>
      <c r="C2332" t="s">
        <v>40</v>
      </c>
      <c r="D2332">
        <v>4.5686720000000003</v>
      </c>
      <c r="E2332">
        <v>0.51449869999999998</v>
      </c>
      <c r="F2332" t="s">
        <v>51</v>
      </c>
      <c r="G2332">
        <v>-406.37020000000001</v>
      </c>
      <c r="H2332" s="1">
        <v>5.5831330000000002E-6</v>
      </c>
      <c r="I2332">
        <v>284.58819999999997</v>
      </c>
      <c r="J2332">
        <v>-379.66739999999999</v>
      </c>
      <c r="K2332">
        <v>1.110689</v>
      </c>
      <c r="L2332">
        <v>282.14249999999998</v>
      </c>
      <c r="M2332">
        <v>-0.99931499999999995</v>
      </c>
      <c r="N2332">
        <v>0</v>
      </c>
      <c r="O2332">
        <v>-2.914479E-2</v>
      </c>
      <c r="P2332">
        <v>-0.9981428</v>
      </c>
      <c r="Q2332">
        <v>2.198924E-2</v>
      </c>
      <c r="R2332">
        <v>5.6814469999999999E-2</v>
      </c>
      <c r="S2332">
        <v>-2.9928590000000002</v>
      </c>
      <c r="T2332">
        <v>-0.12259539999999999</v>
      </c>
      <c r="U2332">
        <v>0.2686462</v>
      </c>
      <c r="V2332">
        <v>8.592255E-2</v>
      </c>
      <c r="W2332">
        <v>4.464079E-2</v>
      </c>
      <c r="X2332">
        <v>0.9953012</v>
      </c>
      <c r="Y2332">
        <v>0.11827790000000001</v>
      </c>
      <c r="Z2332">
        <v>3.6081479999999998E-3</v>
      </c>
      <c r="AA2332">
        <v>0.99297400000000002</v>
      </c>
      <c r="AB2332">
        <v>41</v>
      </c>
      <c r="AC2332">
        <v>-26.7028</v>
      </c>
      <c r="AD2332">
        <v>-1.1106834168669999</v>
      </c>
      <c r="AE2332">
        <v>2.44569999999998</v>
      </c>
      <c r="AF2332">
        <v>3.2175901024954099</v>
      </c>
      <c r="AG2332">
        <v>-1.1106834168669999</v>
      </c>
      <c r="AH2332">
        <v>26.574559074095301</v>
      </c>
      <c r="AI2332">
        <v>92.375951534330994</v>
      </c>
      <c r="AJ2332">
        <v>83.096355578543296</v>
      </c>
      <c r="AK2332">
        <v>26.791672096059202</v>
      </c>
      <c r="AL2332">
        <v>87.441420822305801</v>
      </c>
      <c r="AM2332">
        <v>85.0659918500956</v>
      </c>
      <c r="AN2332">
        <v>0.999999981725883</v>
      </c>
    </row>
    <row r="2333" spans="1:40" x14ac:dyDescent="0.25">
      <c r="A2333" t="str">
        <f>"20190312154841547"</f>
        <v>20190312154841547</v>
      </c>
      <c r="B2333" t="str">
        <f>"1552376921537977"</f>
        <v>1552376921537977</v>
      </c>
      <c r="C2333" t="s">
        <v>40</v>
      </c>
      <c r="D2333">
        <v>4.564095</v>
      </c>
      <c r="E2333">
        <v>0.51476959999999905</v>
      </c>
      <c r="F2333" t="s">
        <v>51</v>
      </c>
      <c r="G2333">
        <v>-408.09399999999999</v>
      </c>
      <c r="H2333" s="1">
        <v>4.7857910000000004E-6</v>
      </c>
      <c r="I2333">
        <v>284.74740000000003</v>
      </c>
      <c r="J2333">
        <v>-379.89760000000001</v>
      </c>
      <c r="K2333">
        <v>1.11069</v>
      </c>
      <c r="L2333">
        <v>282.13600000000002</v>
      </c>
      <c r="M2333">
        <v>-0.99931899999999996</v>
      </c>
      <c r="N2333">
        <v>0</v>
      </c>
      <c r="O2333">
        <v>-2.8965270000000001E-2</v>
      </c>
      <c r="P2333">
        <v>-0.99815209999999999</v>
      </c>
      <c r="Q2333">
        <v>2.2085420000000001E-2</v>
      </c>
      <c r="R2333">
        <v>5.6613539999999997E-2</v>
      </c>
      <c r="S2333">
        <v>-2.9925540000000002</v>
      </c>
      <c r="T2333">
        <v>-0.1169248</v>
      </c>
      <c r="U2333">
        <v>0.274231</v>
      </c>
      <c r="V2333">
        <v>8.5544620000000002E-2</v>
      </c>
      <c r="W2333">
        <v>4.4787979999999998E-2</v>
      </c>
      <c r="X2333">
        <v>0.99532719999999997</v>
      </c>
      <c r="Y2333">
        <v>0.1199563</v>
      </c>
      <c r="Z2333">
        <v>3.467159E-3</v>
      </c>
      <c r="AA2333">
        <v>0.99277309999999996</v>
      </c>
      <c r="AB2333">
        <v>41</v>
      </c>
      <c r="AC2333">
        <v>-28.196399999999901</v>
      </c>
      <c r="AD2333">
        <v>-1.110685214209</v>
      </c>
      <c r="AE2333">
        <v>2.6114000000000601</v>
      </c>
      <c r="AF2333">
        <v>3.4219689895205998</v>
      </c>
      <c r="AG2333">
        <v>-1.110685214209</v>
      </c>
      <c r="AH2333">
        <v>28.0657255354248</v>
      </c>
      <c r="AI2333">
        <v>92.249622808114196</v>
      </c>
      <c r="AJ2333">
        <v>83.048411340513198</v>
      </c>
      <c r="AK2333">
        <v>28.295378478474099</v>
      </c>
      <c r="AL2333">
        <v>87.432979162935993</v>
      </c>
      <c r="AM2333">
        <v>85.087715328756303</v>
      </c>
      <c r="AN2333">
        <v>1.00000004011163</v>
      </c>
    </row>
    <row r="2334" spans="1:40" x14ac:dyDescent="0.25">
      <c r="A2334" t="str">
        <f>"20190312154841562"</f>
        <v>20190312154841562</v>
      </c>
      <c r="B2334" t="str">
        <f>"1552376921547736"</f>
        <v>1552376921547736</v>
      </c>
      <c r="C2334" t="s">
        <v>40</v>
      </c>
      <c r="D2334">
        <v>4.5741009999999998</v>
      </c>
      <c r="E2334">
        <v>0.51499529999999905</v>
      </c>
      <c r="F2334" t="s">
        <v>51</v>
      </c>
      <c r="G2334">
        <v>-408.57979999999998</v>
      </c>
      <c r="H2334" s="1">
        <v>4.5633E-6</v>
      </c>
      <c r="I2334">
        <v>284.7817</v>
      </c>
      <c r="J2334">
        <v>-380.18119999999999</v>
      </c>
      <c r="K2334">
        <v>1.1106849999999999</v>
      </c>
      <c r="L2334">
        <v>282.12799999999999</v>
      </c>
      <c r="M2334">
        <v>-0.99932460000000001</v>
      </c>
      <c r="N2334">
        <v>0</v>
      </c>
      <c r="O2334">
        <v>-2.8722939999999999E-2</v>
      </c>
      <c r="P2334">
        <v>-0.99816890000000003</v>
      </c>
      <c r="Q2334">
        <v>2.2256620000000001E-2</v>
      </c>
      <c r="R2334">
        <v>5.6244879999999997E-2</v>
      </c>
      <c r="S2334">
        <v>-2.9924620000000002</v>
      </c>
      <c r="T2334">
        <v>-0.1158795</v>
      </c>
      <c r="U2334">
        <v>0.27603149999999999</v>
      </c>
      <c r="V2334">
        <v>8.4937299999999993E-2</v>
      </c>
      <c r="W2334">
        <v>4.5016149999999998E-2</v>
      </c>
      <c r="X2334">
        <v>0.9953689</v>
      </c>
      <c r="Y2334">
        <v>0.12031260000000001</v>
      </c>
      <c r="Z2334">
        <v>3.433719E-3</v>
      </c>
      <c r="AA2334">
        <v>0.99273009999999995</v>
      </c>
      <c r="AB2334">
        <v>40</v>
      </c>
      <c r="AC2334">
        <v>-28.398599999999899</v>
      </c>
      <c r="AD2334">
        <v>-1.1106804367000001</v>
      </c>
      <c r="AE2334">
        <v>2.6537000000000099</v>
      </c>
      <c r="AF2334">
        <v>3.4632585392792299</v>
      </c>
      <c r="AG2334">
        <v>-1.1106804367000001</v>
      </c>
      <c r="AH2334">
        <v>28.2677700646334</v>
      </c>
      <c r="AI2334">
        <v>92.233392017573607</v>
      </c>
      <c r="AJ2334">
        <v>83.015150532057007</v>
      </c>
      <c r="AK2334">
        <v>28.500782360653599</v>
      </c>
      <c r="AL2334">
        <v>87.419892741954101</v>
      </c>
      <c r="AM2334">
        <v>85.122624372725696</v>
      </c>
      <c r="AN2334">
        <v>1.0000000228896599</v>
      </c>
    </row>
    <row r="2335" spans="1:40" x14ac:dyDescent="0.25">
      <c r="A2335" t="str">
        <f>"20190312154841579"</f>
        <v>20190312154841579</v>
      </c>
      <c r="B2335" t="str">
        <f>"1552376921568232"</f>
        <v>1552376921568232</v>
      </c>
      <c r="C2335" t="s">
        <v>40</v>
      </c>
      <c r="D2335">
        <v>4.586773</v>
      </c>
      <c r="E2335">
        <v>0.51548099999999997</v>
      </c>
      <c r="F2335" t="s">
        <v>51</v>
      </c>
      <c r="G2335">
        <v>-409.25470000000001</v>
      </c>
      <c r="H2335" s="1">
        <v>4.2563759999999998E-6</v>
      </c>
      <c r="I2335">
        <v>284.81869999999998</v>
      </c>
      <c r="J2335">
        <v>-380.47649999999999</v>
      </c>
      <c r="K2335">
        <v>1.1106739999999999</v>
      </c>
      <c r="L2335">
        <v>282.11970000000002</v>
      </c>
      <c r="M2335">
        <v>-0.99933130000000003</v>
      </c>
      <c r="N2335">
        <v>0</v>
      </c>
      <c r="O2335">
        <v>-2.8442019999999998E-2</v>
      </c>
      <c r="P2335">
        <v>-0.99822509999999998</v>
      </c>
      <c r="Q2335">
        <v>2.2172049999999999E-2</v>
      </c>
      <c r="R2335">
        <v>5.527224E-2</v>
      </c>
      <c r="S2335">
        <v>-2.9924620000000002</v>
      </c>
      <c r="T2335">
        <v>-0.1143194</v>
      </c>
      <c r="U2335">
        <v>0.276947</v>
      </c>
      <c r="V2335">
        <v>8.3689559999999996E-2</v>
      </c>
      <c r="W2335">
        <v>4.4986619999999998E-2</v>
      </c>
      <c r="X2335">
        <v>0.99547589999999997</v>
      </c>
      <c r="Y2335">
        <v>0.120337899999999</v>
      </c>
      <c r="Z2335">
        <v>3.3772490000000001E-3</v>
      </c>
      <c r="AA2335">
        <v>0.99272720000000003</v>
      </c>
      <c r="AB2335">
        <v>40</v>
      </c>
      <c r="AC2335">
        <v>-28.778199999999998</v>
      </c>
      <c r="AD2335">
        <v>-1.1106697436239901</v>
      </c>
      <c r="AE2335">
        <v>2.6989999999999501</v>
      </c>
      <c r="AF2335">
        <v>3.5114491153335399</v>
      </c>
      <c r="AG2335">
        <v>-1.1106697436239901</v>
      </c>
      <c r="AH2335">
        <v>28.647467607153398</v>
      </c>
      <c r="AI2335">
        <v>92.203783005718407</v>
      </c>
      <c r="AJ2335">
        <v>83.011856958493894</v>
      </c>
      <c r="AK2335">
        <v>28.883234972417601</v>
      </c>
      <c r="AL2335">
        <v>87.421586350659098</v>
      </c>
      <c r="AM2335">
        <v>85.194449723167907</v>
      </c>
      <c r="AN2335">
        <v>1.00000000295641</v>
      </c>
    </row>
    <row r="2336" spans="1:40" x14ac:dyDescent="0.25">
      <c r="A2336" t="str">
        <f>"20190312154841601"</f>
        <v>20190312154841601</v>
      </c>
      <c r="B2336" t="str">
        <f>"1552376921587752"</f>
        <v>1552376921587752</v>
      </c>
      <c r="C2336" t="s">
        <v>40</v>
      </c>
      <c r="D2336">
        <v>4.6426540000000003</v>
      </c>
      <c r="E2336">
        <v>0.51576270000000002</v>
      </c>
      <c r="F2336" t="s">
        <v>51</v>
      </c>
      <c r="G2336">
        <v>-409.88889999999998</v>
      </c>
      <c r="H2336" s="1">
        <v>3.968131E-6</v>
      </c>
      <c r="I2336">
        <v>284.8526</v>
      </c>
      <c r="J2336">
        <v>-380.86829999999998</v>
      </c>
      <c r="K2336">
        <v>1.1106510000000001</v>
      </c>
      <c r="L2336">
        <v>282.10899999999998</v>
      </c>
      <c r="M2336">
        <v>-0.9993417</v>
      </c>
      <c r="N2336">
        <v>0</v>
      </c>
      <c r="O2336">
        <v>-2.801901E-2</v>
      </c>
      <c r="P2336">
        <v>-0.9982415</v>
      </c>
      <c r="Q2336">
        <v>2.214882E-2</v>
      </c>
      <c r="R2336">
        <v>5.4985109999999997E-2</v>
      </c>
      <c r="S2336">
        <v>-2.992432</v>
      </c>
      <c r="T2336">
        <v>-0.1130002</v>
      </c>
      <c r="U2336">
        <v>0.27804570000000001</v>
      </c>
      <c r="V2336">
        <v>8.2986210000000005E-2</v>
      </c>
      <c r="W2336">
        <v>4.5023779999999999E-2</v>
      </c>
      <c r="X2336">
        <v>0.99553309999999995</v>
      </c>
      <c r="Y2336">
        <v>0.1202828</v>
      </c>
      <c r="Z2336">
        <v>3.321301E-3</v>
      </c>
      <c r="AA2336">
        <v>0.99273409999999995</v>
      </c>
      <c r="AB2336">
        <v>40</v>
      </c>
      <c r="AC2336">
        <v>-29.020600000000002</v>
      </c>
      <c r="AD2336">
        <v>-1.110647031869</v>
      </c>
      <c r="AE2336">
        <v>2.7435999999999501</v>
      </c>
      <c r="AF2336">
        <v>3.55071221233379</v>
      </c>
      <c r="AG2336">
        <v>-1.110647031869</v>
      </c>
      <c r="AH2336">
        <v>28.890366841207999</v>
      </c>
      <c r="AI2336">
        <v>92.185141123551105</v>
      </c>
      <c r="AJ2336">
        <v>82.993315884848002</v>
      </c>
      <c r="AK2336">
        <v>29.128927035917201</v>
      </c>
      <c r="AL2336">
        <v>87.419455078830197</v>
      </c>
      <c r="AM2336">
        <v>85.2349226501657</v>
      </c>
      <c r="AN2336">
        <v>1.0000000025056299</v>
      </c>
    </row>
    <row r="2337" spans="1:40" x14ac:dyDescent="0.25">
      <c r="A2337" t="str">
        <f>"20190312154841615"</f>
        <v>20190312154841615</v>
      </c>
      <c r="B2337" t="str">
        <f>"1552376921608248"</f>
        <v>1552376921608248</v>
      </c>
      <c r="C2337" t="s">
        <v>40</v>
      </c>
      <c r="D2337">
        <v>4.6433220000000004</v>
      </c>
      <c r="E2337">
        <v>0.51590930000000002</v>
      </c>
      <c r="F2337" t="s">
        <v>51</v>
      </c>
      <c r="G2337">
        <v>-410.45</v>
      </c>
      <c r="H2337" s="1">
        <v>2.2632740000000001E-6</v>
      </c>
      <c r="I2337">
        <v>284.87150000000003</v>
      </c>
      <c r="J2337">
        <v>-381.11500000000001</v>
      </c>
      <c r="K2337">
        <v>1.110627</v>
      </c>
      <c r="L2337">
        <v>282.10239999999999</v>
      </c>
      <c r="M2337">
        <v>-0.99934920000000005</v>
      </c>
      <c r="N2337">
        <v>0</v>
      </c>
      <c r="O2337">
        <v>-2.771264E-2</v>
      </c>
      <c r="P2337">
        <v>-0.99823269999999997</v>
      </c>
      <c r="Q2337">
        <v>2.1925320000000002E-2</v>
      </c>
      <c r="R2337">
        <v>5.5237349999999998E-2</v>
      </c>
      <c r="S2337">
        <v>-2.992432</v>
      </c>
      <c r="T2337">
        <v>-0.1123511</v>
      </c>
      <c r="U2337">
        <v>0.27944950000000002</v>
      </c>
      <c r="V2337">
        <v>8.2936460000000004E-2</v>
      </c>
      <c r="W2337">
        <v>4.4830849999999998E-2</v>
      </c>
      <c r="X2337">
        <v>0.99554589999999998</v>
      </c>
      <c r="Y2337">
        <v>0.12044150000000001</v>
      </c>
      <c r="Z2337">
        <v>3.293659E-3</v>
      </c>
      <c r="AA2337">
        <v>0.99271489999999996</v>
      </c>
      <c r="AB2337">
        <v>40</v>
      </c>
      <c r="AC2337">
        <v>-29.334999999999901</v>
      </c>
      <c r="AD2337">
        <v>-1.110624736726</v>
      </c>
      <c r="AE2337">
        <v>2.7691000000000301</v>
      </c>
      <c r="AF2337">
        <v>3.5761223309951302</v>
      </c>
      <c r="AG2337">
        <v>-1.110624736726</v>
      </c>
      <c r="AH2337">
        <v>29.205474857759501</v>
      </c>
      <c r="AI2337">
        <v>92.161663025411698</v>
      </c>
      <c r="AJ2337">
        <v>83.019055207626494</v>
      </c>
      <c r="AK2337">
        <v>29.444556371242701</v>
      </c>
      <c r="AL2337">
        <v>87.430520192262705</v>
      </c>
      <c r="AM2337">
        <v>85.237827106081198</v>
      </c>
      <c r="AN2337">
        <v>0.99999995025792998</v>
      </c>
    </row>
    <row r="2338" spans="1:40" x14ac:dyDescent="0.25">
      <c r="A2338" t="str">
        <f>"20190312154841635"</f>
        <v>20190312154841635</v>
      </c>
      <c r="B2338" t="str">
        <f>"1552376921627768"</f>
        <v>1552376921627768</v>
      </c>
      <c r="C2338" t="s">
        <v>40</v>
      </c>
      <c r="D2338">
        <v>4.8061509999999998</v>
      </c>
      <c r="E2338">
        <v>0.51627749999999994</v>
      </c>
      <c r="F2338" t="s">
        <v>51</v>
      </c>
      <c r="G2338">
        <v>-410.33530000000002</v>
      </c>
      <c r="H2338" s="1">
        <v>2.2448690000000001E-6</v>
      </c>
      <c r="I2338">
        <v>284.84910000000002</v>
      </c>
      <c r="J2338">
        <v>-381.46800000000002</v>
      </c>
      <c r="K2338">
        <v>1.1105849999999999</v>
      </c>
      <c r="L2338">
        <v>282.09300000000002</v>
      </c>
      <c r="M2338">
        <v>-0.99936150000000001</v>
      </c>
      <c r="N2338">
        <v>0</v>
      </c>
      <c r="O2338">
        <v>-2.7224999999999999E-2</v>
      </c>
      <c r="P2338">
        <v>-0.99818709999999999</v>
      </c>
      <c r="Q2338">
        <v>2.2082520000000001E-2</v>
      </c>
      <c r="R2338">
        <v>5.5989980000000002E-2</v>
      </c>
      <c r="S2338">
        <v>-2.9922789999999999</v>
      </c>
      <c r="T2338">
        <v>-0.1137328</v>
      </c>
      <c r="U2338">
        <v>0.28128049999999999</v>
      </c>
      <c r="V2338">
        <v>8.3207760000000006E-2</v>
      </c>
      <c r="W2338">
        <v>4.5024250000000002E-2</v>
      </c>
      <c r="X2338">
        <v>0.99551460000000003</v>
      </c>
      <c r="Y2338">
        <v>0.12056169999999999</v>
      </c>
      <c r="Z2338">
        <v>3.3179949999999998E-3</v>
      </c>
      <c r="AA2338">
        <v>0.99270029999999998</v>
      </c>
      <c r="AB2338">
        <v>40</v>
      </c>
      <c r="AC2338">
        <v>-28.8673</v>
      </c>
      <c r="AD2338">
        <v>-1.1105827551309999</v>
      </c>
      <c r="AE2338">
        <v>2.7561</v>
      </c>
      <c r="AF2338">
        <v>3.5360142041200802</v>
      </c>
      <c r="AG2338">
        <v>-1.1105827551309999</v>
      </c>
      <c r="AH2338">
        <v>28.739386362473901</v>
      </c>
      <c r="AI2338">
        <v>92.196446720014194</v>
      </c>
      <c r="AJ2338">
        <v>82.985739137107799</v>
      </c>
      <c r="AK2338">
        <v>28.9773897892699</v>
      </c>
      <c r="AL2338">
        <v>87.419428158906598</v>
      </c>
      <c r="AM2338">
        <v>85.222171661274004</v>
      </c>
      <c r="AN2338">
        <v>1.0000000166127101</v>
      </c>
    </row>
    <row r="2339" spans="1:40" x14ac:dyDescent="0.25">
      <c r="A2339" t="str">
        <f>"20190312154841657"</f>
        <v>20190312154841657</v>
      </c>
      <c r="B2339" t="str">
        <f>"1552376921648264"</f>
        <v>1552376921648264</v>
      </c>
      <c r="C2339" t="s">
        <v>40</v>
      </c>
      <c r="D2339">
        <v>4.6604609999999997</v>
      </c>
      <c r="E2339">
        <v>0.51635319999999996</v>
      </c>
      <c r="F2339" t="s">
        <v>51</v>
      </c>
      <c r="G2339">
        <v>-410.87860000000001</v>
      </c>
      <c r="H2339" s="1">
        <v>2.3359450000000001E-6</v>
      </c>
      <c r="I2339">
        <v>284.90969999999999</v>
      </c>
      <c r="J2339">
        <v>-381.85390000000001</v>
      </c>
      <c r="K2339">
        <v>1.11053</v>
      </c>
      <c r="L2339">
        <v>282.0831</v>
      </c>
      <c r="M2339">
        <v>-0.99937679999999995</v>
      </c>
      <c r="N2339">
        <v>0</v>
      </c>
      <c r="O2339">
        <v>-2.6617849999999998E-2</v>
      </c>
      <c r="P2339">
        <v>-0.99814380000000003</v>
      </c>
      <c r="Q2339">
        <v>2.2033130000000001E-2</v>
      </c>
      <c r="R2339">
        <v>5.677778E-2</v>
      </c>
      <c r="S2339">
        <v>-2.9918520000000002</v>
      </c>
      <c r="T2339">
        <v>-0.1129762</v>
      </c>
      <c r="U2339">
        <v>0.28652949999999999</v>
      </c>
      <c r="V2339">
        <v>8.3396319999999996E-2</v>
      </c>
      <c r="W2339">
        <v>4.5006160000000003E-2</v>
      </c>
      <c r="X2339">
        <v>0.99549960000000004</v>
      </c>
      <c r="Y2339">
        <v>0.1216989</v>
      </c>
      <c r="Z2339">
        <v>3.2946719999999998E-3</v>
      </c>
      <c r="AA2339">
        <v>0.99256160000000004</v>
      </c>
      <c r="AB2339">
        <v>40</v>
      </c>
      <c r="AC2339">
        <v>-29.024699999999999</v>
      </c>
      <c r="AD2339">
        <v>-1.1105276640549999</v>
      </c>
      <c r="AE2339">
        <v>2.82659999999998</v>
      </c>
      <c r="AF2339">
        <v>3.5931700053409599</v>
      </c>
      <c r="AG2339">
        <v>-1.1105276640549999</v>
      </c>
      <c r="AH2339">
        <v>28.8972458660554</v>
      </c>
      <c r="AI2339">
        <v>92.1840042823017</v>
      </c>
      <c r="AJ2339">
        <v>82.9120513057685</v>
      </c>
      <c r="AK2339">
        <v>29.140949899122599</v>
      </c>
      <c r="AL2339">
        <v>87.420465589327705</v>
      </c>
      <c r="AM2339">
        <v>85.2113229325101</v>
      </c>
      <c r="AN2339">
        <v>0.99999997711382305</v>
      </c>
    </row>
    <row r="2340" spans="1:40" x14ac:dyDescent="0.25">
      <c r="A2340" t="str">
        <f>"20190312154841680"</f>
        <v>20190312154841680</v>
      </c>
      <c r="B2340" t="str">
        <f>"1552376921667784"</f>
        <v>1552376921667784</v>
      </c>
      <c r="C2340" t="s">
        <v>40</v>
      </c>
      <c r="D2340">
        <v>4.6883809999999997</v>
      </c>
      <c r="E2340">
        <v>0.516567</v>
      </c>
      <c r="F2340" t="s">
        <v>51</v>
      </c>
      <c r="G2340">
        <v>-411.67779999999999</v>
      </c>
      <c r="H2340" s="1">
        <v>2.4724420000000001E-6</v>
      </c>
      <c r="I2340">
        <v>284.9701</v>
      </c>
      <c r="J2340">
        <v>-382.25850000000003</v>
      </c>
      <c r="K2340">
        <v>1.1104689999999999</v>
      </c>
      <c r="L2340">
        <v>282.07310000000001</v>
      </c>
      <c r="M2340">
        <v>-0.99939509999999998</v>
      </c>
      <c r="N2340">
        <v>0</v>
      </c>
      <c r="O2340">
        <v>-2.5897300000000002E-2</v>
      </c>
      <c r="P2340">
        <v>-0.99809060000000005</v>
      </c>
      <c r="Q2340">
        <v>2.20255E-2</v>
      </c>
      <c r="R2340">
        <v>5.7706140000000003E-2</v>
      </c>
      <c r="S2340">
        <v>-2.9915769999999999</v>
      </c>
      <c r="T2340">
        <v>-0.11139499999999999</v>
      </c>
      <c r="U2340">
        <v>0.28958129999999999</v>
      </c>
      <c r="V2340">
        <v>8.3612430000000001E-2</v>
      </c>
      <c r="W2340">
        <v>4.5016630000000002E-2</v>
      </c>
      <c r="X2340">
        <v>0.99548099999999995</v>
      </c>
      <c r="Y2340">
        <v>0.1219983</v>
      </c>
      <c r="Z2340">
        <v>3.2275210000000001E-3</v>
      </c>
      <c r="AA2340">
        <v>0.99252499999999999</v>
      </c>
      <c r="AB2340">
        <v>39</v>
      </c>
      <c r="AC2340">
        <v>-29.4192999999999</v>
      </c>
      <c r="AD2340">
        <v>-1.1104665275579999</v>
      </c>
      <c r="AE2340">
        <v>2.89699999999999</v>
      </c>
      <c r="AF2340">
        <v>3.6529589449329398</v>
      </c>
      <c r="AG2340">
        <v>-1.1104665275579999</v>
      </c>
      <c r="AH2340">
        <v>29.293047827402098</v>
      </c>
      <c r="AI2340">
        <v>92.154308677088295</v>
      </c>
      <c r="AJ2340">
        <v>82.891685380674403</v>
      </c>
      <c r="AK2340">
        <v>29.540817456202198</v>
      </c>
      <c r="AL2340">
        <v>87.419865097189799</v>
      </c>
      <c r="AM2340">
        <v>85.198882385308707</v>
      </c>
      <c r="AN2340">
        <v>0.99999997839402999</v>
      </c>
    </row>
    <row r="2341" spans="1:40" x14ac:dyDescent="0.25">
      <c r="A2341" t="str">
        <f>"20190312154841700"</f>
        <v>20190312154841700</v>
      </c>
      <c r="B2341" t="str">
        <f>"1552376921688280"</f>
        <v>1552376921688280</v>
      </c>
      <c r="C2341" t="s">
        <v>40</v>
      </c>
      <c r="D2341">
        <v>4.663716</v>
      </c>
      <c r="E2341">
        <v>0.51673879999999905</v>
      </c>
      <c r="F2341" t="s">
        <v>51</v>
      </c>
      <c r="G2341">
        <v>-412.94380000000001</v>
      </c>
      <c r="H2341" s="1">
        <v>2.686401E-6</v>
      </c>
      <c r="I2341">
        <v>285.09140000000002</v>
      </c>
      <c r="J2341">
        <v>-382.62290000000002</v>
      </c>
      <c r="K2341">
        <v>1.110406</v>
      </c>
      <c r="L2341">
        <v>282.06439999999998</v>
      </c>
      <c r="M2341">
        <v>-0.99941389999999997</v>
      </c>
      <c r="N2341">
        <v>0</v>
      </c>
      <c r="O2341">
        <v>-2.5167430000000001E-2</v>
      </c>
      <c r="P2341">
        <v>-0.99805569999999999</v>
      </c>
      <c r="Q2341">
        <v>2.1704439999999998E-2</v>
      </c>
      <c r="R2341">
        <v>5.8428319999999999E-2</v>
      </c>
      <c r="S2341">
        <v>-2.9911189999999999</v>
      </c>
      <c r="T2341">
        <v>-0.1082451</v>
      </c>
      <c r="U2341">
        <v>0.29421999999999998</v>
      </c>
      <c r="V2341">
        <v>8.3612870000000006E-2</v>
      </c>
      <c r="W2341">
        <v>4.4677469999999997E-2</v>
      </c>
      <c r="X2341">
        <v>0.9954963</v>
      </c>
      <c r="Y2341">
        <v>0.12281830000000001</v>
      </c>
      <c r="Z2341">
        <v>3.1250029999999999E-3</v>
      </c>
      <c r="AA2341">
        <v>0.99242419999999998</v>
      </c>
      <c r="AB2341">
        <v>39</v>
      </c>
      <c r="AC2341">
        <v>-30.320899999999899</v>
      </c>
      <c r="AD2341">
        <v>-1.1104033135989999</v>
      </c>
      <c r="AE2341">
        <v>3.0270000000000401</v>
      </c>
      <c r="AF2341">
        <v>3.78432008411224</v>
      </c>
      <c r="AG2341">
        <v>-1.1104033135989999</v>
      </c>
      <c r="AH2341">
        <v>30.194991961112699</v>
      </c>
      <c r="AI2341">
        <v>92.089736399746897</v>
      </c>
      <c r="AJ2341">
        <v>82.856401796828195</v>
      </c>
      <c r="AK2341">
        <v>30.451463241518098</v>
      </c>
      <c r="AL2341">
        <v>87.439317252817204</v>
      </c>
      <c r="AM2341">
        <v>85.198930683012307</v>
      </c>
      <c r="AN2341">
        <v>1.0000000358344601</v>
      </c>
    </row>
    <row r="2342" spans="1:40" x14ac:dyDescent="0.25">
      <c r="A2342" t="str">
        <f>"20190312154841723"</f>
        <v>20190312154841723</v>
      </c>
      <c r="B2342" t="str">
        <f>"1552376921718540"</f>
        <v>1552376921718540</v>
      </c>
      <c r="C2342" t="s">
        <v>40</v>
      </c>
      <c r="D2342">
        <v>4.7080960000000003</v>
      </c>
      <c r="E2342">
        <v>0.51696299999999995</v>
      </c>
      <c r="F2342" t="s">
        <v>51</v>
      </c>
      <c r="G2342">
        <v>-413.60329999999999</v>
      </c>
      <c r="H2342" s="1">
        <v>2.7983770000000002E-6</v>
      </c>
      <c r="I2342">
        <v>285.14870000000002</v>
      </c>
      <c r="J2342">
        <v>-383.02289999999999</v>
      </c>
      <c r="K2342">
        <v>1.110317</v>
      </c>
      <c r="L2342">
        <v>282.05520000000001</v>
      </c>
      <c r="M2342">
        <v>-0.99943729999999997</v>
      </c>
      <c r="N2342">
        <v>0</v>
      </c>
      <c r="O2342">
        <v>-2.4278770000000002E-2</v>
      </c>
      <c r="P2342">
        <v>-0.99802109999999999</v>
      </c>
      <c r="Q2342">
        <v>2.1517910000000001E-2</v>
      </c>
      <c r="R2342">
        <v>5.9083669999999998E-2</v>
      </c>
      <c r="S2342">
        <v>-2.9907840000000001</v>
      </c>
      <c r="T2342">
        <v>-0.1071957</v>
      </c>
      <c r="U2342">
        <v>0.29776000000000002</v>
      </c>
      <c r="V2342">
        <v>8.3389229999999995E-2</v>
      </c>
      <c r="W2342">
        <v>4.4410230000000002E-2</v>
      </c>
      <c r="X2342">
        <v>0.99552700000000005</v>
      </c>
      <c r="Y2342">
        <v>0.1231122</v>
      </c>
      <c r="Z2342">
        <v>3.0683630000000002E-3</v>
      </c>
      <c r="AA2342">
        <v>0.99238800000000005</v>
      </c>
      <c r="AB2342">
        <v>39</v>
      </c>
      <c r="AC2342">
        <v>-30.580400000000001</v>
      </c>
      <c r="AD2342">
        <v>-1.1103142016230001</v>
      </c>
      <c r="AE2342">
        <v>3.0935000000000001</v>
      </c>
      <c r="AF2342">
        <v>3.8302428885525499</v>
      </c>
      <c r="AG2342">
        <v>-1.1103142016230001</v>
      </c>
      <c r="AH2342">
        <v>30.456511098527301</v>
      </c>
      <c r="AI2342">
        <v>92.071531739964399</v>
      </c>
      <c r="AJ2342">
        <v>82.832053436673206</v>
      </c>
      <c r="AK2342">
        <v>30.7164878608598</v>
      </c>
      <c r="AL2342">
        <v>87.454644149075904</v>
      </c>
      <c r="AM2342">
        <v>85.211859327857297</v>
      </c>
      <c r="AN2342">
        <v>1.0000000199688199</v>
      </c>
    </row>
    <row r="2343" spans="1:40" x14ac:dyDescent="0.25">
      <c r="A2343" t="str">
        <f>"20190312154841746"</f>
        <v>20190312154841746</v>
      </c>
      <c r="B2343" t="str">
        <f>"1552376921738565"</f>
        <v>1552376921738565</v>
      </c>
      <c r="C2343" t="s">
        <v>40</v>
      </c>
      <c r="D2343">
        <v>4.7044360000000003</v>
      </c>
      <c r="E2343">
        <v>0.51701900000000001</v>
      </c>
      <c r="F2343" t="s">
        <v>51</v>
      </c>
      <c r="G2343">
        <v>-414.53059999999999</v>
      </c>
      <c r="H2343" s="1">
        <v>2.9556359999999999E-6</v>
      </c>
      <c r="I2343">
        <v>285.23140000000001</v>
      </c>
      <c r="J2343">
        <v>-383.39609999999999</v>
      </c>
      <c r="K2343">
        <v>1.110222</v>
      </c>
      <c r="L2343">
        <v>282.04700000000003</v>
      </c>
      <c r="M2343">
        <v>-0.99946219999999997</v>
      </c>
      <c r="N2343">
        <v>0</v>
      </c>
      <c r="O2343">
        <v>-2.3366350000000001E-2</v>
      </c>
      <c r="P2343">
        <v>-0.9979711</v>
      </c>
      <c r="Q2343">
        <v>2.2033980000000002E-2</v>
      </c>
      <c r="R2343">
        <v>5.9737690000000003E-2</v>
      </c>
      <c r="S2343">
        <v>-2.9903870000000001</v>
      </c>
      <c r="T2343">
        <v>-0.1053795</v>
      </c>
      <c r="U2343">
        <v>0.30145260000000001</v>
      </c>
      <c r="V2343">
        <v>8.3141220000000002E-2</v>
      </c>
      <c r="W2343">
        <v>4.4782750000000003E-2</v>
      </c>
      <c r="X2343">
        <v>0.99553100000000005</v>
      </c>
      <c r="Y2343">
        <v>0.1234359</v>
      </c>
      <c r="Z2343">
        <v>2.9902240000000001E-3</v>
      </c>
      <c r="AA2343">
        <v>0.99234800000000001</v>
      </c>
      <c r="AB2343">
        <v>39</v>
      </c>
      <c r="AC2343">
        <v>-31.134499999999999</v>
      </c>
      <c r="AD2343">
        <v>-1.1102190443639901</v>
      </c>
      <c r="AE2343">
        <v>3.1843999999999801</v>
      </c>
      <c r="AF2343">
        <v>3.9063067003667298</v>
      </c>
      <c r="AG2343">
        <v>-1.1102190443639901</v>
      </c>
      <c r="AH2343">
        <v>31.012541565215599</v>
      </c>
      <c r="AI2343">
        <v>92.034198259135806</v>
      </c>
      <c r="AJ2343">
        <v>82.820892411085794</v>
      </c>
      <c r="AK2343">
        <v>31.277300917726699</v>
      </c>
      <c r="AL2343">
        <v>87.433278926771294</v>
      </c>
      <c r="AM2343">
        <v>85.226053034506506</v>
      </c>
      <c r="AN2343">
        <v>0.99999996456082396</v>
      </c>
    </row>
    <row r="2344" spans="1:40" x14ac:dyDescent="0.25">
      <c r="A2344" t="str">
        <f>"20190312154841758"</f>
        <v>20190312154841758</v>
      </c>
      <c r="B2344" t="str">
        <f>"1552376921748324"</f>
        <v>1552376921748324</v>
      </c>
      <c r="C2344" t="s">
        <v>40</v>
      </c>
      <c r="D2344">
        <v>4.6986290000000004</v>
      </c>
      <c r="E2344">
        <v>0.51706600000000003</v>
      </c>
      <c r="F2344" t="s">
        <v>51</v>
      </c>
      <c r="G2344">
        <v>-415.79050000000001</v>
      </c>
      <c r="H2344" s="1">
        <v>3.1696230000000001E-6</v>
      </c>
      <c r="I2344">
        <v>285.33999999999997</v>
      </c>
      <c r="J2344">
        <v>-383.60950000000003</v>
      </c>
      <c r="K2344">
        <v>1.1101559999999999</v>
      </c>
      <c r="L2344">
        <v>282.04259999999999</v>
      </c>
      <c r="M2344">
        <v>-0.99947759999999997</v>
      </c>
      <c r="N2344">
        <v>0</v>
      </c>
      <c r="O2344">
        <v>-2.2802650000000001E-2</v>
      </c>
      <c r="P2344">
        <v>-0.99793600000000005</v>
      </c>
      <c r="Q2344">
        <v>2.2051189999999998E-2</v>
      </c>
      <c r="R2344">
        <v>6.0311530000000002E-2</v>
      </c>
      <c r="S2344">
        <v>-2.9901430000000002</v>
      </c>
      <c r="T2344">
        <v>-0.102478</v>
      </c>
      <c r="U2344">
        <v>0.30395509999999998</v>
      </c>
      <c r="V2344">
        <v>8.315612E-2</v>
      </c>
      <c r="W2344">
        <v>4.4677469999999997E-2</v>
      </c>
      <c r="X2344">
        <v>0.99553449999999999</v>
      </c>
      <c r="Y2344">
        <v>0.1237114</v>
      </c>
      <c r="Z2344">
        <v>2.8934849999999999E-3</v>
      </c>
      <c r="AA2344">
        <v>0.99231400000000003</v>
      </c>
      <c r="AB2344">
        <v>39</v>
      </c>
      <c r="AC2344">
        <v>-32.180999999999898</v>
      </c>
      <c r="AD2344">
        <v>-1.1101528303770001</v>
      </c>
      <c r="AE2344">
        <v>3.2973999999999801</v>
      </c>
      <c r="AF2344">
        <v>4.0258056539126503</v>
      </c>
      <c r="AG2344">
        <v>-1.1101528303770001</v>
      </c>
      <c r="AH2344">
        <v>32.059662590968102</v>
      </c>
      <c r="AI2344">
        <v>91.967787980343701</v>
      </c>
      <c r="AJ2344">
        <v>82.842699871362598</v>
      </c>
      <c r="AK2344">
        <v>32.330504417911399</v>
      </c>
      <c r="AL2344">
        <v>87.439317106300294</v>
      </c>
      <c r="AM2344">
        <v>85.2252181448698</v>
      </c>
      <c r="AN2344">
        <v>0.99999997865465196</v>
      </c>
    </row>
    <row r="2345" spans="1:40" x14ac:dyDescent="0.25">
      <c r="A2345" t="str">
        <f>"20190312154841781"</f>
        <v>20190312154841781</v>
      </c>
      <c r="B2345" t="str">
        <f>"1552376921767843"</f>
        <v>1552376921767843</v>
      </c>
      <c r="C2345" t="s">
        <v>40</v>
      </c>
      <c r="D2345">
        <v>4.7053779999999996</v>
      </c>
      <c r="E2345">
        <v>0.5171019</v>
      </c>
      <c r="F2345" t="s">
        <v>51</v>
      </c>
      <c r="G2345">
        <v>-416.2328</v>
      </c>
      <c r="H2345" s="1">
        <v>3.2445239999999998E-6</v>
      </c>
      <c r="I2345">
        <v>285.38069999999999</v>
      </c>
      <c r="J2345">
        <v>-384.00130000000001</v>
      </c>
      <c r="K2345">
        <v>1.1100369999999999</v>
      </c>
      <c r="L2345">
        <v>282.03469999999999</v>
      </c>
      <c r="M2345">
        <v>-0.99950760000000005</v>
      </c>
      <c r="N2345">
        <v>0</v>
      </c>
      <c r="O2345">
        <v>-2.1726570000000001E-2</v>
      </c>
      <c r="P2345">
        <v>-0.99783189999999999</v>
      </c>
      <c r="Q2345">
        <v>2.178269E-2</v>
      </c>
      <c r="R2345">
        <v>6.2107719999999998E-2</v>
      </c>
      <c r="S2345">
        <v>-2.98996</v>
      </c>
      <c r="T2345">
        <v>-0.1017467</v>
      </c>
      <c r="U2345">
        <v>0.30593870000000001</v>
      </c>
      <c r="V2345">
        <v>8.3883020000000003E-2</v>
      </c>
      <c r="W2345">
        <v>4.4136309999999998E-2</v>
      </c>
      <c r="X2345">
        <v>0.99549770000000004</v>
      </c>
      <c r="Y2345">
        <v>0.1233026</v>
      </c>
      <c r="Z2345">
        <v>2.829453E-3</v>
      </c>
      <c r="AA2345">
        <v>0.9923651</v>
      </c>
      <c r="AB2345">
        <v>39</v>
      </c>
      <c r="AC2345">
        <v>-32.231499999999897</v>
      </c>
      <c r="AD2345">
        <v>-1.110033755476</v>
      </c>
      <c r="AE2345">
        <v>3.3460000000000001</v>
      </c>
      <c r="AF2345">
        <v>4.0409275006176104</v>
      </c>
      <c r="AG2345">
        <v>-1.110033755476</v>
      </c>
      <c r="AH2345">
        <v>32.113489286178201</v>
      </c>
      <c r="AI2345">
        <v>91.964218484433403</v>
      </c>
      <c r="AJ2345">
        <v>82.828011514861899</v>
      </c>
      <c r="AK2345">
        <v>32.385760206254602</v>
      </c>
      <c r="AL2345">
        <v>87.4703540200953</v>
      </c>
      <c r="AM2345">
        <v>85.183498212611099</v>
      </c>
      <c r="AN2345">
        <v>1.0000000228050101</v>
      </c>
    </row>
    <row r="2346" spans="1:40" x14ac:dyDescent="0.25">
      <c r="A2346" t="str">
        <f>"20190312154841802"</f>
        <v>20190312154841802</v>
      </c>
      <c r="B2346" t="str">
        <f>"1552376921788339"</f>
        <v>1552376921788339</v>
      </c>
      <c r="C2346" t="s">
        <v>40</v>
      </c>
      <c r="D2346">
        <v>4.7023519999999897</v>
      </c>
      <c r="E2346">
        <v>0.51709589999999905</v>
      </c>
      <c r="F2346" t="s">
        <v>51</v>
      </c>
      <c r="G2346">
        <v>-416.75150000000002</v>
      </c>
      <c r="H2346" s="1">
        <v>3.3305230000000001E-6</v>
      </c>
      <c r="I2346">
        <v>285.44940000000003</v>
      </c>
      <c r="J2346">
        <v>-384.37099999999998</v>
      </c>
      <c r="K2346">
        <v>1.1099289999999999</v>
      </c>
      <c r="L2346">
        <v>282.02769999999998</v>
      </c>
      <c r="M2346">
        <v>-0.99953669999999994</v>
      </c>
      <c r="N2346">
        <v>0</v>
      </c>
      <c r="O2346">
        <v>-2.0652170000000001E-2</v>
      </c>
      <c r="P2346">
        <v>-0.99770669999999995</v>
      </c>
      <c r="Q2346">
        <v>2.0838929999999999E-2</v>
      </c>
      <c r="R2346">
        <v>6.4400609999999997E-2</v>
      </c>
      <c r="S2346">
        <v>-2.9893190000000001</v>
      </c>
      <c r="T2346">
        <v>-0.1013198</v>
      </c>
      <c r="U2346">
        <v>0.31167600000000001</v>
      </c>
      <c r="V2346">
        <v>8.5104920000000001E-2</v>
      </c>
      <c r="W2346">
        <v>4.2894380000000003E-2</v>
      </c>
      <c r="X2346">
        <v>0.99544820000000001</v>
      </c>
      <c r="Y2346">
        <v>0.12414260000000001</v>
      </c>
      <c r="Z2346">
        <v>2.795774E-3</v>
      </c>
      <c r="AA2346">
        <v>0.99226049999999999</v>
      </c>
      <c r="AB2346">
        <v>38</v>
      </c>
      <c r="AC2346">
        <v>-32.380499999999998</v>
      </c>
      <c r="AD2346">
        <v>-1.1099256694769899</v>
      </c>
      <c r="AE2346">
        <v>3.4217000000000399</v>
      </c>
      <c r="AF2346">
        <v>4.0851178334670397</v>
      </c>
      <c r="AG2346">
        <v>-1.1099256694769899</v>
      </c>
      <c r="AH2346">
        <v>32.265415559769501</v>
      </c>
      <c r="AI2346">
        <v>91.954598092879294</v>
      </c>
      <c r="AJ2346">
        <v>82.784185927653496</v>
      </c>
      <c r="AK2346">
        <v>32.541929321257101</v>
      </c>
      <c r="AL2346">
        <v>87.541578651294799</v>
      </c>
      <c r="AM2346">
        <v>85.1134330793125</v>
      </c>
      <c r="AN2346">
        <v>0.99999994706351303</v>
      </c>
    </row>
    <row r="2347" spans="1:40" x14ac:dyDescent="0.25">
      <c r="A2347" t="str">
        <f>"20190312154841824"</f>
        <v>20190312154841824</v>
      </c>
      <c r="B2347" t="str">
        <f>"1552376921818596"</f>
        <v>1552376921818596</v>
      </c>
      <c r="C2347" t="s">
        <v>40</v>
      </c>
      <c r="D2347">
        <v>4.708367</v>
      </c>
      <c r="E2347">
        <v>0.51716200000000001</v>
      </c>
      <c r="F2347" t="s">
        <v>51</v>
      </c>
      <c r="G2347">
        <v>-416.69549999999998</v>
      </c>
      <c r="H2347" s="1">
        <v>3.3184159999999999E-6</v>
      </c>
      <c r="I2347">
        <v>285.4742</v>
      </c>
      <c r="J2347">
        <v>-384.75020000000001</v>
      </c>
      <c r="K2347">
        <v>1.109831</v>
      </c>
      <c r="L2347">
        <v>282.02100000000002</v>
      </c>
      <c r="M2347">
        <v>-0.99956650000000002</v>
      </c>
      <c r="N2347">
        <v>0</v>
      </c>
      <c r="O2347">
        <v>-1.9500010000000002E-2</v>
      </c>
      <c r="P2347">
        <v>-0.99756489999999998</v>
      </c>
      <c r="Q2347">
        <v>1.9699069999999999E-2</v>
      </c>
      <c r="R2347">
        <v>6.6906499999999994E-2</v>
      </c>
      <c r="S2347">
        <v>-2.988464</v>
      </c>
      <c r="T2347">
        <v>-0.1026149</v>
      </c>
      <c r="U2347">
        <v>0.31863399999999997</v>
      </c>
      <c r="V2347">
        <v>8.6460339999999997E-2</v>
      </c>
      <c r="W2347">
        <v>4.1435119999999999E-2</v>
      </c>
      <c r="X2347">
        <v>0.99539330000000004</v>
      </c>
      <c r="Y2347">
        <v>0.12531059999999999</v>
      </c>
      <c r="Z2347">
        <v>2.8124769999999999E-3</v>
      </c>
      <c r="AA2347">
        <v>0.99211360000000004</v>
      </c>
      <c r="AB2347">
        <v>38</v>
      </c>
      <c r="AC2347">
        <v>-31.9452999999999</v>
      </c>
      <c r="AD2347">
        <v>-1.109827681584</v>
      </c>
      <c r="AE2347">
        <v>3.45320000000003</v>
      </c>
      <c r="AF2347">
        <v>4.0707717919677702</v>
      </c>
      <c r="AG2347">
        <v>-1.109827681584</v>
      </c>
      <c r="AH2347">
        <v>31.8338902085905</v>
      </c>
      <c r="AI2347">
        <v>91.980584339100204</v>
      </c>
      <c r="AJ2347">
        <v>82.712827158747004</v>
      </c>
      <c r="AK2347">
        <v>32.112294628034398</v>
      </c>
      <c r="AL2347">
        <v>87.625262747175995</v>
      </c>
      <c r="AM2347">
        <v>85.035720796848295</v>
      </c>
      <c r="AN2347">
        <v>1.0000000406236</v>
      </c>
    </row>
    <row r="2348" spans="1:40" x14ac:dyDescent="0.25">
      <c r="A2348" t="str">
        <f>"20190312154841838"</f>
        <v>20190312154841838</v>
      </c>
      <c r="B2348" t="str">
        <f>"1552376921828355"</f>
        <v>1552376921828355</v>
      </c>
      <c r="C2348" t="s">
        <v>40</v>
      </c>
      <c r="D2348">
        <v>4.7115720000000003</v>
      </c>
      <c r="E2348">
        <v>0.51720069999999996</v>
      </c>
      <c r="F2348" t="s">
        <v>51</v>
      </c>
      <c r="G2348">
        <v>-416.60590000000002</v>
      </c>
      <c r="H2348" s="1">
        <v>3.2997680000000001E-6</v>
      </c>
      <c r="I2348">
        <v>285.5059</v>
      </c>
      <c r="J2348">
        <v>-384.97629999999998</v>
      </c>
      <c r="K2348">
        <v>1.1097859999999999</v>
      </c>
      <c r="L2348">
        <v>282.01729999999998</v>
      </c>
      <c r="M2348">
        <v>-0.99958389999999997</v>
      </c>
      <c r="N2348">
        <v>0</v>
      </c>
      <c r="O2348">
        <v>-1.8790899999999999E-2</v>
      </c>
      <c r="P2348">
        <v>-0.99747790000000003</v>
      </c>
      <c r="Q2348">
        <v>1.9415640000000001E-2</v>
      </c>
      <c r="R2348">
        <v>6.8268560000000006E-2</v>
      </c>
      <c r="S2348">
        <v>-2.987457</v>
      </c>
      <c r="T2348">
        <v>-0.1040806</v>
      </c>
      <c r="U2348">
        <v>0.32681270000000001</v>
      </c>
      <c r="V2348">
        <v>8.7114830000000004E-2</v>
      </c>
      <c r="W2348">
        <v>4.0973469999999998E-2</v>
      </c>
      <c r="X2348">
        <v>0.99535530000000005</v>
      </c>
      <c r="Y2348">
        <v>0.1273233</v>
      </c>
      <c r="Z2348">
        <v>2.8634699999999999E-3</v>
      </c>
      <c r="AA2348">
        <v>0.99185710000000005</v>
      </c>
      <c r="AB2348">
        <v>38</v>
      </c>
      <c r="AC2348">
        <v>-31.6296</v>
      </c>
      <c r="AD2348">
        <v>-1.109782700232</v>
      </c>
      <c r="AE2348">
        <v>3.4886000000000101</v>
      </c>
      <c r="AF2348">
        <v>4.0775153276128204</v>
      </c>
      <c r="AG2348">
        <v>-1.109782700232</v>
      </c>
      <c r="AH2348">
        <v>31.520105430113599</v>
      </c>
      <c r="AI2348">
        <v>91.9998282732017</v>
      </c>
      <c r="AJ2348">
        <v>82.629017529739599</v>
      </c>
      <c r="AK2348">
        <v>31.802119350982402</v>
      </c>
      <c r="AL2348">
        <v>87.651735720667205</v>
      </c>
      <c r="AM2348">
        <v>84.9981419818468</v>
      </c>
      <c r="AN2348">
        <v>0.99999999604392997</v>
      </c>
    </row>
    <row r="2349" spans="1:40" x14ac:dyDescent="0.25">
      <c r="A2349" t="str">
        <f>"20190312154841851"</f>
        <v>20190312154841851</v>
      </c>
      <c r="B2349" t="str">
        <f>"1552376921838115"</f>
        <v>1552376921838115</v>
      </c>
      <c r="C2349" t="s">
        <v>40</v>
      </c>
      <c r="D2349">
        <v>4.6716329999999999</v>
      </c>
      <c r="E2349">
        <v>0.51722749999999995</v>
      </c>
      <c r="F2349" t="s">
        <v>51</v>
      </c>
      <c r="G2349">
        <v>-416.7396</v>
      </c>
      <c r="H2349" s="1">
        <v>3.3204340000000001E-6</v>
      </c>
      <c r="I2349">
        <v>285.54070000000002</v>
      </c>
      <c r="J2349">
        <v>-385.202</v>
      </c>
      <c r="K2349">
        <v>1.1097490000000001</v>
      </c>
      <c r="L2349">
        <v>282.01369999999997</v>
      </c>
      <c r="M2349">
        <v>-0.99960079999999996</v>
      </c>
      <c r="N2349">
        <v>0</v>
      </c>
      <c r="O2349">
        <v>-1.8076800000000001E-2</v>
      </c>
      <c r="P2349">
        <v>-0.99739999999999995</v>
      </c>
      <c r="Q2349">
        <v>1.8881619999999998E-2</v>
      </c>
      <c r="R2349">
        <v>6.9550689999999998E-2</v>
      </c>
      <c r="S2349">
        <v>-2.9869080000000001</v>
      </c>
      <c r="T2349">
        <v>-0.1043602</v>
      </c>
      <c r="U2349">
        <v>0.33132929999999999</v>
      </c>
      <c r="V2349">
        <v>8.7684129999999999E-2</v>
      </c>
      <c r="W2349">
        <v>4.0270710000000001E-2</v>
      </c>
      <c r="X2349">
        <v>0.99533400000000005</v>
      </c>
      <c r="Y2349">
        <v>0.1281156</v>
      </c>
      <c r="Z2349">
        <v>2.8603610000000001E-3</v>
      </c>
      <c r="AA2349">
        <v>0.9917551</v>
      </c>
      <c r="AB2349">
        <v>38</v>
      </c>
      <c r="AC2349">
        <v>-31.537600000000001</v>
      </c>
      <c r="AD2349">
        <v>-1.1097456795659999</v>
      </c>
      <c r="AE2349">
        <v>3.5270000000000401</v>
      </c>
      <c r="AF2349">
        <v>4.0916530582725397</v>
      </c>
      <c r="AG2349">
        <v>-1.1097456795659999</v>
      </c>
      <c r="AH2349">
        <v>31.430236363244202</v>
      </c>
      <c r="AI2349">
        <v>92.005265293910696</v>
      </c>
      <c r="AJ2349">
        <v>82.5828299444957</v>
      </c>
      <c r="AK2349">
        <v>31.7148690375979</v>
      </c>
      <c r="AL2349">
        <v>87.692034185435801</v>
      </c>
      <c r="AM2349">
        <v>84.965514837094503</v>
      </c>
      <c r="AN2349">
        <v>1.00000000414688</v>
      </c>
    </row>
    <row r="2350" spans="1:40" x14ac:dyDescent="0.25">
      <c r="A2350" t="str">
        <f>"20190312154841863"</f>
        <v>20190312154841863</v>
      </c>
      <c r="B2350" t="str">
        <f>"1552376921858612"</f>
        <v>1552376921858612</v>
      </c>
      <c r="C2350" t="s">
        <v>40</v>
      </c>
      <c r="D2350">
        <v>4.6618259999999996</v>
      </c>
      <c r="E2350">
        <v>0.51726179999999999</v>
      </c>
      <c r="F2350" t="s">
        <v>51</v>
      </c>
      <c r="G2350">
        <v>-416.6746</v>
      </c>
      <c r="H2350" s="1">
        <v>3.308241E-6</v>
      </c>
      <c r="I2350">
        <v>285.54820000000001</v>
      </c>
      <c r="J2350">
        <v>-385.42739999999998</v>
      </c>
      <c r="K2350">
        <v>1.109718</v>
      </c>
      <c r="L2350">
        <v>282.0102</v>
      </c>
      <c r="M2350">
        <v>-0.99961690000000003</v>
      </c>
      <c r="N2350">
        <v>0</v>
      </c>
      <c r="O2350">
        <v>-1.7356070000000001E-2</v>
      </c>
      <c r="P2350">
        <v>-0.99732580000000004</v>
      </c>
      <c r="Q2350">
        <v>1.8469059999999999E-2</v>
      </c>
      <c r="R2350">
        <v>7.0710780000000001E-2</v>
      </c>
      <c r="S2350">
        <v>-2.986389</v>
      </c>
      <c r="T2350">
        <v>-0.1053023</v>
      </c>
      <c r="U2350">
        <v>0.33538820000000003</v>
      </c>
      <c r="V2350">
        <v>8.8124530000000006E-2</v>
      </c>
      <c r="W2350">
        <v>3.9698009999999999E-2</v>
      </c>
      <c r="X2350">
        <v>0.99531809999999998</v>
      </c>
      <c r="Y2350">
        <v>0.12874910000000001</v>
      </c>
      <c r="Z2350">
        <v>2.8722370000000001E-3</v>
      </c>
      <c r="AA2350">
        <v>0.99167309999999997</v>
      </c>
      <c r="AB2350">
        <v>38</v>
      </c>
      <c r="AC2350">
        <v>-31.247199999999999</v>
      </c>
      <c r="AD2350">
        <v>-1.1097146917589999</v>
      </c>
      <c r="AE2350">
        <v>3.53800000000001</v>
      </c>
      <c r="AF2350">
        <v>4.0748471689986001</v>
      </c>
      <c r="AG2350">
        <v>-1.1097146917589999</v>
      </c>
      <c r="AH2350">
        <v>31.142290088279399</v>
      </c>
      <c r="AI2350">
        <v>92.023562165373605</v>
      </c>
      <c r="AJ2350">
        <v>82.545420802916198</v>
      </c>
      <c r="AK2350">
        <v>31.4273460236519</v>
      </c>
      <c r="AL2350">
        <v>87.724873713739598</v>
      </c>
      <c r="AM2350">
        <v>84.940279284473704</v>
      </c>
      <c r="AN2350">
        <v>0.99999999248664495</v>
      </c>
    </row>
    <row r="2351" spans="1:40" x14ac:dyDescent="0.25">
      <c r="A2351" t="str">
        <f>"20190312154841880"</f>
        <v>20190312154841880</v>
      </c>
      <c r="B2351" t="str">
        <f>"1552376921868372"</f>
        <v>1552376921868372</v>
      </c>
      <c r="C2351" t="s">
        <v>40</v>
      </c>
      <c r="D2351">
        <v>4.6300030000000003</v>
      </c>
      <c r="E2351">
        <v>0.51726030000000001</v>
      </c>
      <c r="F2351" t="s">
        <v>51</v>
      </c>
      <c r="G2351">
        <v>-416.97730000000001</v>
      </c>
      <c r="H2351" s="1">
        <v>3.3582209999999998E-6</v>
      </c>
      <c r="I2351">
        <v>285.59070000000003</v>
      </c>
      <c r="J2351">
        <v>-385.6986</v>
      </c>
      <c r="K2351">
        <v>1.1096919999999999</v>
      </c>
      <c r="L2351">
        <v>282.00639999999999</v>
      </c>
      <c r="M2351">
        <v>-0.99963550000000001</v>
      </c>
      <c r="N2351">
        <v>0</v>
      </c>
      <c r="O2351">
        <v>-1.6479730000000001E-2</v>
      </c>
      <c r="P2351">
        <v>-0.99722370000000005</v>
      </c>
      <c r="Q2351">
        <v>1.8124149999999999E-2</v>
      </c>
      <c r="R2351">
        <v>7.2228600000000004E-2</v>
      </c>
      <c r="S2351">
        <v>-2.9859619999999998</v>
      </c>
      <c r="T2351">
        <v>-0.1050262</v>
      </c>
      <c r="U2351">
        <v>0.33886719999999998</v>
      </c>
      <c r="V2351">
        <v>8.8768009999999994E-2</v>
      </c>
      <c r="W2351">
        <v>3.9172940000000003E-2</v>
      </c>
      <c r="X2351">
        <v>0.99528179999999999</v>
      </c>
      <c r="Y2351">
        <v>0.12903709999999999</v>
      </c>
      <c r="Z2351">
        <v>2.839243E-3</v>
      </c>
      <c r="AA2351">
        <v>0.99163570000000001</v>
      </c>
      <c r="AB2351">
        <v>38</v>
      </c>
      <c r="AC2351">
        <v>-31.278700000000001</v>
      </c>
      <c r="AD2351">
        <v>-1.109688641779</v>
      </c>
      <c r="AE2351">
        <v>3.5843000000000398</v>
      </c>
      <c r="AF2351">
        <v>4.09430895001036</v>
      </c>
      <c r="AG2351">
        <v>-1.109688641779</v>
      </c>
      <c r="AH2351">
        <v>31.176636741625099</v>
      </c>
      <c r="AI2351">
        <v>92.0211623388454</v>
      </c>
      <c r="AJ2351">
        <v>82.518378243139594</v>
      </c>
      <c r="AK2351">
        <v>31.463907150560299</v>
      </c>
      <c r="AL2351">
        <v>87.754981603855697</v>
      </c>
      <c r="AM2351">
        <v>84.903342481832198</v>
      </c>
      <c r="AN2351">
        <v>1.0000000701194101</v>
      </c>
    </row>
    <row r="2352" spans="1:40" x14ac:dyDescent="0.25">
      <c r="A2352" t="str">
        <f>"20190312154841902"</f>
        <v>20190312154841902</v>
      </c>
      <c r="B2352" t="str">
        <f>"1552376921887892"</f>
        <v>1552376921887892</v>
      </c>
      <c r="C2352" t="s">
        <v>40</v>
      </c>
      <c r="D2352">
        <v>4.6063099999999997</v>
      </c>
      <c r="E2352">
        <v>0.51729950000000002</v>
      </c>
      <c r="F2352" t="s">
        <v>51</v>
      </c>
      <c r="G2352">
        <v>-417.10469999999998</v>
      </c>
      <c r="H2352" s="1">
        <v>3.3783669999999999E-6</v>
      </c>
      <c r="I2352">
        <v>285.61869999999999</v>
      </c>
      <c r="J2352">
        <v>-386.06290000000001</v>
      </c>
      <c r="K2352">
        <v>1.1096680000000001</v>
      </c>
      <c r="L2352">
        <v>282.00150000000002</v>
      </c>
      <c r="M2352">
        <v>-0.99965890000000002</v>
      </c>
      <c r="N2352">
        <v>0</v>
      </c>
      <c r="O2352">
        <v>-1.529697E-2</v>
      </c>
      <c r="P2352">
        <v>-0.99712199999999995</v>
      </c>
      <c r="Q2352">
        <v>1.8325879999999999E-2</v>
      </c>
      <c r="R2352">
        <v>7.3567190000000005E-2</v>
      </c>
      <c r="S2352">
        <v>-2.985382</v>
      </c>
      <c r="T2352">
        <v>-0.1054842</v>
      </c>
      <c r="U2352">
        <v>0.34338380000000002</v>
      </c>
      <c r="V2352">
        <v>8.8928489999999999E-2</v>
      </c>
      <c r="W2352">
        <v>3.9151980000000003E-2</v>
      </c>
      <c r="X2352">
        <v>0.99526820000000005</v>
      </c>
      <c r="Y2352">
        <v>0.12936600000000001</v>
      </c>
      <c r="Z2352">
        <v>2.816046E-3</v>
      </c>
      <c r="AA2352">
        <v>0.9915929</v>
      </c>
      <c r="AB2352">
        <v>38</v>
      </c>
      <c r="AC2352">
        <v>-31.041799999999899</v>
      </c>
      <c r="AD2352">
        <v>-1.1096646216329999</v>
      </c>
      <c r="AE2352">
        <v>3.61719999999996</v>
      </c>
      <c r="AF2352">
        <v>4.0865762924608102</v>
      </c>
      <c r="AG2352">
        <v>-1.1096646216329999</v>
      </c>
      <c r="AH2352">
        <v>30.943809003651701</v>
      </c>
      <c r="AI2352">
        <v>92.036118767171004</v>
      </c>
      <c r="AJ2352">
        <v>82.476801732613694</v>
      </c>
      <c r="AK2352">
        <v>31.232207367092698</v>
      </c>
      <c r="AL2352">
        <v>87.756183224798804</v>
      </c>
      <c r="AM2352">
        <v>84.894107705113598</v>
      </c>
      <c r="AN2352">
        <v>0.99999997190141898</v>
      </c>
    </row>
    <row r="2353" spans="1:40" x14ac:dyDescent="0.25">
      <c r="A2353" t="str">
        <f>"20190312154841915"</f>
        <v>20190312154841915</v>
      </c>
      <c r="B2353" t="str">
        <f>"1552376921908389"</f>
        <v>1552376921908389</v>
      </c>
      <c r="C2353" t="s">
        <v>40</v>
      </c>
      <c r="D2353">
        <v>4.6692150000000003</v>
      </c>
      <c r="E2353">
        <v>0.5338039</v>
      </c>
      <c r="F2353" t="s">
        <v>51</v>
      </c>
      <c r="G2353">
        <v>-418.09890000000001</v>
      </c>
      <c r="H2353" s="1">
        <v>3.5445070000000001E-6</v>
      </c>
      <c r="I2353">
        <v>285.73570000000001</v>
      </c>
      <c r="J2353">
        <v>-386.27940000000001</v>
      </c>
      <c r="K2353">
        <v>1.109658</v>
      </c>
      <c r="L2353">
        <v>281.99880000000002</v>
      </c>
      <c r="M2353">
        <v>-0.99967229999999996</v>
      </c>
      <c r="N2353">
        <v>0</v>
      </c>
      <c r="O2353">
        <v>-1.459068E-2</v>
      </c>
      <c r="P2353">
        <v>-0.99707140000000005</v>
      </c>
      <c r="Q2353">
        <v>1.849572E-2</v>
      </c>
      <c r="R2353">
        <v>7.420678E-2</v>
      </c>
      <c r="S2353">
        <v>-2.9848940000000002</v>
      </c>
      <c r="T2353">
        <v>-0.10339089999999999</v>
      </c>
      <c r="U2353">
        <v>0.34793089999999999</v>
      </c>
      <c r="V2353">
        <v>8.8864559999999995E-2</v>
      </c>
      <c r="W2353">
        <v>3.9182469999999997E-2</v>
      </c>
      <c r="X2353">
        <v>0.99527279999999996</v>
      </c>
      <c r="Y2353">
        <v>0.13017780000000001</v>
      </c>
      <c r="Z2353">
        <v>2.750022E-3</v>
      </c>
      <c r="AA2353">
        <v>0.9914868</v>
      </c>
      <c r="AB2353">
        <v>38</v>
      </c>
      <c r="AC2353">
        <v>-31.819500000000001</v>
      </c>
      <c r="AD2353">
        <v>-1.1096544554929999</v>
      </c>
      <c r="AE2353">
        <v>3.7368999999999901</v>
      </c>
      <c r="AF2353">
        <v>4.1958395375277897</v>
      </c>
      <c r="AG2353">
        <v>-1.1096544554929999</v>
      </c>
      <c r="AH2353">
        <v>31.723519519319002</v>
      </c>
      <c r="AI2353">
        <v>91.986045690299207</v>
      </c>
      <c r="AJ2353">
        <v>82.465634229245794</v>
      </c>
      <c r="AK2353">
        <v>32.019027048426899</v>
      </c>
      <c r="AL2353">
        <v>87.754435135544199</v>
      </c>
      <c r="AM2353">
        <v>84.897782367217999</v>
      </c>
      <c r="AN2353">
        <v>1.0000000611995601</v>
      </c>
    </row>
    <row r="2354" spans="1:40" x14ac:dyDescent="0.25">
      <c r="A2354" t="str">
        <f>"20190312154841935"</f>
        <v>20190312154841935</v>
      </c>
      <c r="B2354" t="str">
        <f>"1552376921927908"</f>
        <v>1552376921927908</v>
      </c>
      <c r="C2354" t="s">
        <v>40</v>
      </c>
      <c r="D2354">
        <v>4.6058260000000004</v>
      </c>
      <c r="E2354">
        <v>0.5469387</v>
      </c>
      <c r="F2354" t="s">
        <v>51</v>
      </c>
      <c r="G2354">
        <v>-424.75299999999999</v>
      </c>
      <c r="H2354" s="1">
        <v>2.8046880000000001E-6</v>
      </c>
      <c r="I2354">
        <v>288.24029999999999</v>
      </c>
      <c r="J2354">
        <v>-386.6343</v>
      </c>
      <c r="K2354">
        <v>1.1096360000000001</v>
      </c>
      <c r="L2354">
        <v>281.9948</v>
      </c>
      <c r="M2354">
        <v>-0.99969390000000002</v>
      </c>
      <c r="N2354">
        <v>0</v>
      </c>
      <c r="O2354">
        <v>-1.342923E-2</v>
      </c>
      <c r="P2354">
        <v>-0.99693770000000004</v>
      </c>
      <c r="Q2354">
        <v>1.9412769999999999E-2</v>
      </c>
      <c r="R2354">
        <v>7.5754520000000006E-2</v>
      </c>
      <c r="S2354">
        <v>-2.9744869999999999</v>
      </c>
      <c r="T2354">
        <v>-8.5790160000000004E-2</v>
      </c>
      <c r="U2354">
        <v>0.48254390000000003</v>
      </c>
      <c r="V2354">
        <v>8.9256879999999997E-2</v>
      </c>
      <c r="W2354">
        <v>3.9839510000000002E-2</v>
      </c>
      <c r="X2354">
        <v>0.99521150000000003</v>
      </c>
      <c r="Y2354">
        <v>0.17330279999999901</v>
      </c>
      <c r="Z2354">
        <v>2.8673729999999999E-3</v>
      </c>
      <c r="AA2354">
        <v>0.98486439999999997</v>
      </c>
      <c r="AB2354">
        <v>38</v>
      </c>
      <c r="AC2354">
        <v>-38.118699999999997</v>
      </c>
      <c r="AD2354">
        <v>-1.109633195312</v>
      </c>
      <c r="AE2354">
        <v>6.2454999999999901</v>
      </c>
      <c r="AF2354">
        <v>6.7513804178120704</v>
      </c>
      <c r="AG2354">
        <v>-1.109633195312</v>
      </c>
      <c r="AH2354">
        <v>38.000011785390399</v>
      </c>
      <c r="AI2354">
        <v>91.646835577168304</v>
      </c>
      <c r="AJ2354">
        <v>79.925507528921599</v>
      </c>
      <c r="AK2354">
        <v>38.611051773604501</v>
      </c>
      <c r="AL2354">
        <v>87.716759852988503</v>
      </c>
      <c r="AM2354">
        <v>84.875062762725705</v>
      </c>
      <c r="AN2354">
        <v>0.99999995345831105</v>
      </c>
    </row>
    <row r="2355" spans="1:40" x14ac:dyDescent="0.25">
      <c r="A2355" t="str">
        <f>"20190312154841949"</f>
        <v>20190312154841949</v>
      </c>
      <c r="B2355" t="str">
        <f>"1552376921938644"</f>
        <v>1552376921938644</v>
      </c>
      <c r="C2355" t="s">
        <v>40</v>
      </c>
      <c r="D2355">
        <v>4.5260220000000002</v>
      </c>
      <c r="E2355">
        <v>0.55025809999999997</v>
      </c>
      <c r="F2355" t="s">
        <v>51</v>
      </c>
      <c r="G2355">
        <v>-416.5958</v>
      </c>
      <c r="H2355" s="1">
        <v>3.0839389999999998E-6</v>
      </c>
      <c r="I2355">
        <v>287.95409999999998</v>
      </c>
      <c r="J2355">
        <v>-386.84660000000002</v>
      </c>
      <c r="K2355">
        <v>1.109613</v>
      </c>
      <c r="L2355">
        <v>281.99259999999998</v>
      </c>
      <c r="M2355">
        <v>-0.99970709999999996</v>
      </c>
      <c r="N2355">
        <v>0</v>
      </c>
      <c r="O2355">
        <v>-1.273146E-2</v>
      </c>
      <c r="P2355">
        <v>-0.9968418</v>
      </c>
      <c r="Q2355">
        <v>2.016919E-2</v>
      </c>
      <c r="R2355">
        <v>7.6810920000000005E-2</v>
      </c>
      <c r="S2355">
        <v>-2.9664609999999998</v>
      </c>
      <c r="T2355">
        <v>-0.10986360000000001</v>
      </c>
      <c r="U2355">
        <v>0.59002690000000002</v>
      </c>
      <c r="V2355">
        <v>8.9619470000000007E-2</v>
      </c>
      <c r="W2355">
        <v>4.0399829999999998E-2</v>
      </c>
      <c r="X2355">
        <v>0.99515629999999999</v>
      </c>
      <c r="Y2355">
        <v>0.20740639999999999</v>
      </c>
      <c r="Z2355">
        <v>4.2691760000000004E-3</v>
      </c>
      <c r="AA2355">
        <v>0.97824560000000005</v>
      </c>
      <c r="AB2355">
        <v>38</v>
      </c>
      <c r="AC2355">
        <v>-29.749199999999899</v>
      </c>
      <c r="AD2355">
        <v>-1.109609916061</v>
      </c>
      <c r="AE2355">
        <v>5.9615</v>
      </c>
      <c r="AF2355">
        <v>6.3313794552973697</v>
      </c>
      <c r="AG2355">
        <v>-1.109609916061</v>
      </c>
      <c r="AH2355">
        <v>29.631241625245199</v>
      </c>
      <c r="AI2355">
        <v>92.097271650973994</v>
      </c>
      <c r="AJ2355">
        <v>77.938842973272102</v>
      </c>
      <c r="AK2355">
        <v>30.320423483626499</v>
      </c>
      <c r="AL2355">
        <v>87.684629953869504</v>
      </c>
      <c r="AM2355">
        <v>84.854071279145202</v>
      </c>
      <c r="AN2355">
        <v>0.99999992854839703</v>
      </c>
    </row>
    <row r="2356" spans="1:40" x14ac:dyDescent="0.25">
      <c r="A2356" t="str">
        <f>"20190312154841970"</f>
        <v>20190312154841970</v>
      </c>
      <c r="B2356" t="str">
        <f>"1552376921958163"</f>
        <v>1552376921958163</v>
      </c>
      <c r="C2356" t="s">
        <v>40</v>
      </c>
      <c r="D2356">
        <v>4.5434910000000004</v>
      </c>
      <c r="E2356">
        <v>0.55489759999999999</v>
      </c>
      <c r="F2356" t="s">
        <v>51</v>
      </c>
      <c r="G2356">
        <v>-411.72910000000002</v>
      </c>
      <c r="H2356" s="1">
        <v>2.2882599999999999E-6</v>
      </c>
      <c r="I2356">
        <v>287.18099999999998</v>
      </c>
      <c r="J2356">
        <v>-387.20580000000001</v>
      </c>
      <c r="K2356">
        <v>1.109537</v>
      </c>
      <c r="L2356">
        <v>281.98919999999998</v>
      </c>
      <c r="M2356">
        <v>-0.99973089999999998</v>
      </c>
      <c r="N2356">
        <v>0</v>
      </c>
      <c r="O2356">
        <v>-1.1540069999999999E-2</v>
      </c>
      <c r="P2356">
        <v>-0.99667879999999998</v>
      </c>
      <c r="Q2356">
        <v>2.1701640000000001E-2</v>
      </c>
      <c r="R2356">
        <v>7.8490149999999995E-2</v>
      </c>
      <c r="S2356">
        <v>-2.964569</v>
      </c>
      <c r="T2356">
        <v>-0.13220179999999901</v>
      </c>
      <c r="U2356">
        <v>0.61816409999999999</v>
      </c>
      <c r="V2356">
        <v>9.0114739999999999E-2</v>
      </c>
      <c r="W2356">
        <v>4.146466E-2</v>
      </c>
      <c r="X2356">
        <v>0.99506779999999995</v>
      </c>
      <c r="Y2356">
        <v>0.21519659999999999</v>
      </c>
      <c r="Z2356">
        <v>5.2540390000000003E-3</v>
      </c>
      <c r="AA2356">
        <v>0.9765566</v>
      </c>
      <c r="AB2356">
        <v>37</v>
      </c>
      <c r="AC2356">
        <v>-24.523299999999999</v>
      </c>
      <c r="AD2356">
        <v>-1.1095347117399901</v>
      </c>
      <c r="AE2356">
        <v>5.1917999999999997</v>
      </c>
      <c r="AF2356">
        <v>5.4638072850506001</v>
      </c>
      <c r="AG2356">
        <v>-1.1095347117399901</v>
      </c>
      <c r="AH2356">
        <v>24.4139083813191</v>
      </c>
      <c r="AI2356">
        <v>92.539389334499205</v>
      </c>
      <c r="AJ2356">
        <v>77.385132029922701</v>
      </c>
      <c r="AK2356">
        <v>25.042427593509601</v>
      </c>
      <c r="AL2356">
        <v>87.623568571673303</v>
      </c>
      <c r="AM2356">
        <v>84.825329247673906</v>
      </c>
      <c r="AN2356">
        <v>0.99999995549551002</v>
      </c>
    </row>
    <row r="2357" spans="1:40" x14ac:dyDescent="0.25">
      <c r="A2357" t="str">
        <f>"20190312154841995"</f>
        <v>20190312154841995</v>
      </c>
      <c r="B2357" t="str">
        <f>"1552376921988419"</f>
        <v>1552376921988419</v>
      </c>
      <c r="C2357" t="s">
        <v>40</v>
      </c>
      <c r="D2357">
        <v>4.518821</v>
      </c>
      <c r="E2357">
        <v>0.55787589999999998</v>
      </c>
      <c r="F2357" t="s">
        <v>51</v>
      </c>
      <c r="G2357">
        <v>-412.30970000000002</v>
      </c>
      <c r="H2357" s="1">
        <v>2.3559289999999999E-6</v>
      </c>
      <c r="I2357">
        <v>287.58499999999998</v>
      </c>
      <c r="J2357">
        <v>-387.58339999999998</v>
      </c>
      <c r="K2357">
        <v>1.1094569999999999</v>
      </c>
      <c r="L2357">
        <v>281.98610000000002</v>
      </c>
      <c r="M2357">
        <v>-0.99975590000000003</v>
      </c>
      <c r="N2357">
        <v>0</v>
      </c>
      <c r="O2357">
        <v>-1.0286460000000001E-2</v>
      </c>
      <c r="P2357">
        <v>-0.9965309</v>
      </c>
      <c r="Q2357">
        <v>2.3178170000000001E-2</v>
      </c>
      <c r="R2357">
        <v>7.9935500000000007E-2</v>
      </c>
      <c r="S2357">
        <v>-2.9608759999999998</v>
      </c>
      <c r="T2357">
        <v>-0.13086389999999901</v>
      </c>
      <c r="U2357">
        <v>0.66000369999999997</v>
      </c>
      <c r="V2357">
        <v>9.031372E-2</v>
      </c>
      <c r="W2357">
        <v>4.2376049999999998E-2</v>
      </c>
      <c r="X2357">
        <v>0.99501139999999999</v>
      </c>
      <c r="Y2357">
        <v>0.22737779999999999</v>
      </c>
      <c r="Z2357">
        <v>5.4106600000000003E-3</v>
      </c>
      <c r="AA2357">
        <v>0.97379159999999998</v>
      </c>
      <c r="AB2357">
        <v>37</v>
      </c>
      <c r="AC2357">
        <v>-24.726299999999998</v>
      </c>
      <c r="AD2357">
        <v>-1.10945464407099</v>
      </c>
      <c r="AE2357">
        <v>5.5988999999999596</v>
      </c>
      <c r="AF2357">
        <v>5.8418109012237398</v>
      </c>
      <c r="AG2357">
        <v>-1.10945464407099</v>
      </c>
      <c r="AH2357">
        <v>24.620237870444701</v>
      </c>
      <c r="AI2357">
        <v>92.5105459678188</v>
      </c>
      <c r="AJ2357">
        <v>76.651888533878093</v>
      </c>
      <c r="AK2357">
        <v>25.328121861089201</v>
      </c>
      <c r="AL2357">
        <v>87.571303912423303</v>
      </c>
      <c r="AM2357">
        <v>84.813673073205507</v>
      </c>
      <c r="AN2357">
        <v>0.99999999188190003</v>
      </c>
    </row>
    <row r="2358" spans="1:40" x14ac:dyDescent="0.25">
      <c r="A2358" t="str">
        <f>"20190312154842014"</f>
        <v>20190312154842014</v>
      </c>
      <c r="B2358" t="str">
        <f>"1552376922007940"</f>
        <v>1552376922007940</v>
      </c>
      <c r="C2358" t="s">
        <v>40</v>
      </c>
      <c r="D2358">
        <v>4.53606</v>
      </c>
      <c r="E2358">
        <v>0.5592104</v>
      </c>
      <c r="F2358" t="s">
        <v>51</v>
      </c>
      <c r="G2358">
        <v>-412.25760000000002</v>
      </c>
      <c r="H2358" s="1">
        <v>2.3346059999999998E-6</v>
      </c>
      <c r="I2358">
        <v>287.72309999999999</v>
      </c>
      <c r="J2358">
        <v>-387.9529</v>
      </c>
      <c r="K2358">
        <v>1.1093839999999999</v>
      </c>
      <c r="L2358">
        <v>281.98360000000002</v>
      </c>
      <c r="M2358">
        <v>-0.99977830000000001</v>
      </c>
      <c r="N2358">
        <v>0</v>
      </c>
      <c r="O2358">
        <v>-9.0557269999999995E-3</v>
      </c>
      <c r="P2358">
        <v>-0.99638009999999999</v>
      </c>
      <c r="Q2358">
        <v>2.4111279999999999E-2</v>
      </c>
      <c r="R2358">
        <v>8.152036E-2</v>
      </c>
      <c r="S2358">
        <v>-2.958313</v>
      </c>
      <c r="T2358">
        <v>-0.13301830000000001</v>
      </c>
      <c r="U2358">
        <v>0.68783570000000005</v>
      </c>
      <c r="V2358">
        <v>9.0672230000000006E-2</v>
      </c>
      <c r="W2358">
        <v>4.2759560000000002E-2</v>
      </c>
      <c r="X2358">
        <v>0.99496240000000002</v>
      </c>
      <c r="Y2358">
        <v>0.23504710000000001</v>
      </c>
      <c r="Z2358">
        <v>5.6140770000000003E-3</v>
      </c>
      <c r="AA2358">
        <v>0.97196780000000005</v>
      </c>
      <c r="AB2358">
        <v>37</v>
      </c>
      <c r="AC2358">
        <v>-24.3047</v>
      </c>
      <c r="AD2358">
        <v>-1.1093816653939901</v>
      </c>
      <c r="AE2358">
        <v>5.7394999999999596</v>
      </c>
      <c r="AF2358">
        <v>5.9476639908619902</v>
      </c>
      <c r="AG2358">
        <v>-1.1093816653939901</v>
      </c>
      <c r="AH2358">
        <v>24.203954367864402</v>
      </c>
      <c r="AI2358">
        <v>92.548585424218203</v>
      </c>
      <c r="AJ2358">
        <v>76.194189816730301</v>
      </c>
      <c r="AK2358">
        <v>24.948684167093301</v>
      </c>
      <c r="AL2358">
        <v>87.549310505417907</v>
      </c>
      <c r="AM2358">
        <v>84.792943315550303</v>
      </c>
      <c r="AN2358">
        <v>1.00000000533916</v>
      </c>
    </row>
    <row r="2359" spans="1:40" x14ac:dyDescent="0.25">
      <c r="A2359" t="str">
        <f>"20190312154842036"</f>
        <v>20190312154842036</v>
      </c>
      <c r="B2359" t="str">
        <f>"1552376922028436"</f>
        <v>1552376922028436</v>
      </c>
      <c r="C2359" t="s">
        <v>40</v>
      </c>
      <c r="D2359">
        <v>4.5614879999999998</v>
      </c>
      <c r="E2359">
        <v>0.56016779999999999</v>
      </c>
      <c r="F2359" t="s">
        <v>51</v>
      </c>
      <c r="G2359">
        <v>-413.50529999999998</v>
      </c>
      <c r="H2359" s="1">
        <v>2.5263249999999999E-6</v>
      </c>
      <c r="I2359">
        <v>288.06180000000001</v>
      </c>
      <c r="J2359">
        <v>-388.31319999999999</v>
      </c>
      <c r="K2359">
        <v>1.109329</v>
      </c>
      <c r="L2359">
        <v>281.98160000000001</v>
      </c>
      <c r="M2359">
        <v>-0.99979819999999997</v>
      </c>
      <c r="N2359">
        <v>0</v>
      </c>
      <c r="O2359">
        <v>-7.8440960000000001E-3</v>
      </c>
      <c r="P2359">
        <v>-0.99623759999999995</v>
      </c>
      <c r="Q2359">
        <v>2.428495E-2</v>
      </c>
      <c r="R2359">
        <v>8.3192929999999998E-2</v>
      </c>
      <c r="S2359">
        <v>-2.9564210000000002</v>
      </c>
      <c r="T2359">
        <v>-0.12835559999999999</v>
      </c>
      <c r="U2359">
        <v>0.70324709999999901</v>
      </c>
      <c r="V2359">
        <v>9.1135289999999994E-2</v>
      </c>
      <c r="W2359">
        <v>4.2417969999999999E-2</v>
      </c>
      <c r="X2359">
        <v>0.99493469999999995</v>
      </c>
      <c r="Y2359">
        <v>0.23881949999999999</v>
      </c>
      <c r="Z2359">
        <v>5.4464919999999998E-3</v>
      </c>
      <c r="AA2359">
        <v>0.97104869999999999</v>
      </c>
      <c r="AB2359">
        <v>37</v>
      </c>
      <c r="AC2359">
        <v>-25.1920999999999</v>
      </c>
      <c r="AD2359">
        <v>-1.1093264736749999</v>
      </c>
      <c r="AE2359">
        <v>6.0801999999999898</v>
      </c>
      <c r="AF2359">
        <v>6.2661742985445201</v>
      </c>
      <c r="AG2359">
        <v>-1.1093264736749999</v>
      </c>
      <c r="AH2359">
        <v>25.097635979425899</v>
      </c>
      <c r="AI2359">
        <v>92.455569423163396</v>
      </c>
      <c r="AJ2359">
        <v>75.981451182242296</v>
      </c>
      <c r="AK2359">
        <v>25.891830320019999</v>
      </c>
      <c r="AL2359">
        <v>87.568899910246202</v>
      </c>
      <c r="AM2359">
        <v>84.766353450521393</v>
      </c>
      <c r="AN2359">
        <v>0.99999999126319705</v>
      </c>
    </row>
    <row r="2360" spans="1:40" x14ac:dyDescent="0.25">
      <c r="A2360" t="str">
        <f>"20190312154842059"</f>
        <v>20190312154842059</v>
      </c>
      <c r="B2360" t="str">
        <f>"1552376922047956"</f>
        <v>1552376922047956</v>
      </c>
      <c r="C2360" t="s">
        <v>40</v>
      </c>
      <c r="D2360">
        <v>4.4842620000000002</v>
      </c>
      <c r="E2360">
        <v>0.560536699999999</v>
      </c>
      <c r="F2360" t="s">
        <v>51</v>
      </c>
      <c r="G2360">
        <v>-413.48329999999999</v>
      </c>
      <c r="H2360" s="1">
        <v>2.520989E-6</v>
      </c>
      <c r="I2360">
        <v>288.07810000000001</v>
      </c>
      <c r="J2360">
        <v>-388.68920000000003</v>
      </c>
      <c r="K2360">
        <v>1.1092660000000001</v>
      </c>
      <c r="L2360">
        <v>281.97980000000001</v>
      </c>
      <c r="M2360">
        <v>-0.9998167</v>
      </c>
      <c r="N2360">
        <v>0</v>
      </c>
      <c r="O2360">
        <v>-6.5660700000000002E-3</v>
      </c>
      <c r="P2360">
        <v>-0.99612299999999998</v>
      </c>
      <c r="Q2360">
        <v>2.3982670000000001E-2</v>
      </c>
      <c r="R2360">
        <v>8.4639019999999995E-2</v>
      </c>
      <c r="S2360">
        <v>-2.9547119999999998</v>
      </c>
      <c r="T2360">
        <v>-0.1302238</v>
      </c>
      <c r="U2360">
        <v>0.71566770000000002</v>
      </c>
      <c r="V2360">
        <v>9.1304969999999999E-2</v>
      </c>
      <c r="W2360">
        <v>4.160759E-2</v>
      </c>
      <c r="X2360">
        <v>0.99495339999999999</v>
      </c>
      <c r="Y2360">
        <v>0.2415554</v>
      </c>
      <c r="Z2360">
        <v>5.5299959999999997E-3</v>
      </c>
      <c r="AA2360">
        <v>0.97037119999999999</v>
      </c>
      <c r="AB2360">
        <v>37</v>
      </c>
      <c r="AC2360">
        <v>-24.794099999999901</v>
      </c>
      <c r="AD2360">
        <v>-1.1092634790109901</v>
      </c>
      <c r="AE2360">
        <v>6.0982999999999903</v>
      </c>
      <c r="AF2360">
        <v>6.2491998868744201</v>
      </c>
      <c r="AG2360">
        <v>-1.1092634790109901</v>
      </c>
      <c r="AH2360">
        <v>24.706885218359002</v>
      </c>
      <c r="AI2360">
        <v>92.492295449847504</v>
      </c>
      <c r="AJ2360">
        <v>75.805673732682806</v>
      </c>
      <c r="AK2360">
        <v>25.5090795969816</v>
      </c>
      <c r="AL2360">
        <v>87.615372386603696</v>
      </c>
      <c r="AM2360">
        <v>84.756761460414495</v>
      </c>
      <c r="AN2360">
        <v>1.0000000286319299</v>
      </c>
    </row>
    <row r="2361" spans="1:40" x14ac:dyDescent="0.25">
      <c r="A2361" t="str">
        <f>"20190312154842072"</f>
        <v>20190312154842072</v>
      </c>
      <c r="B2361" t="str">
        <f>"1552376922068453"</f>
        <v>1552376922068453</v>
      </c>
      <c r="C2361" t="s">
        <v>40</v>
      </c>
      <c r="D2361">
        <v>4.550224</v>
      </c>
      <c r="E2361">
        <v>0.53595590000000004</v>
      </c>
      <c r="F2361" t="s">
        <v>51</v>
      </c>
      <c r="G2361">
        <v>-413.31939999999997</v>
      </c>
      <c r="H2361" s="1">
        <v>2.4981580000000002E-6</v>
      </c>
      <c r="I2361">
        <v>288.0068</v>
      </c>
      <c r="J2361">
        <v>-388.9083</v>
      </c>
      <c r="K2361">
        <v>1.1092329999999999</v>
      </c>
      <c r="L2361">
        <v>281.97910000000002</v>
      </c>
      <c r="M2361">
        <v>-0.9998264</v>
      </c>
      <c r="N2361">
        <v>0</v>
      </c>
      <c r="O2361">
        <v>-5.8158840000000003E-3</v>
      </c>
      <c r="P2361">
        <v>-0.99607659999999998</v>
      </c>
      <c r="Q2361">
        <v>2.27073E-2</v>
      </c>
      <c r="R2361">
        <v>8.5532949999999996E-2</v>
      </c>
      <c r="S2361">
        <v>-2.9534910000000001</v>
      </c>
      <c r="T2361">
        <v>-0.13301559999999901</v>
      </c>
      <c r="U2361">
        <v>0.72271730000000001</v>
      </c>
      <c r="V2361">
        <v>9.144708E-2</v>
      </c>
      <c r="W2361">
        <v>4.0052959999999999E-2</v>
      </c>
      <c r="X2361">
        <v>0.99500409999999995</v>
      </c>
      <c r="Y2361">
        <v>0.24309459999999999</v>
      </c>
      <c r="Z2361">
        <v>5.6499810000000001E-3</v>
      </c>
      <c r="AA2361">
        <v>0.96998609999999996</v>
      </c>
      <c r="AB2361">
        <v>37</v>
      </c>
      <c r="AC2361">
        <v>-24.411099999999902</v>
      </c>
      <c r="AD2361">
        <v>-1.1092305018419999</v>
      </c>
      <c r="AE2361">
        <v>6.0276999999999799</v>
      </c>
      <c r="AF2361">
        <v>6.1576090781166499</v>
      </c>
      <c r="AG2361">
        <v>-1.1092305018419999</v>
      </c>
      <c r="AH2361">
        <v>24.328279863829799</v>
      </c>
      <c r="AI2361">
        <v>92.530853185679902</v>
      </c>
      <c r="AJ2361">
        <v>75.796441192806</v>
      </c>
      <c r="AK2361">
        <v>25.119947113757</v>
      </c>
      <c r="AL2361">
        <v>87.704520368089007</v>
      </c>
      <c r="AM2361">
        <v>84.748912389616905</v>
      </c>
      <c r="AN2361">
        <v>0.99999998353104802</v>
      </c>
    </row>
    <row r="2362" spans="1:40" x14ac:dyDescent="0.25">
      <c r="A2362" t="str">
        <f>"20190312154842084"</f>
        <v>20190312154842084</v>
      </c>
      <c r="B2362" t="str">
        <f>"1552376922078212"</f>
        <v>1552376922078212</v>
      </c>
      <c r="C2362" t="s">
        <v>40</v>
      </c>
      <c r="D2362">
        <v>4.5389109999999997</v>
      </c>
      <c r="E2362">
        <v>0.53351099999999996</v>
      </c>
      <c r="F2362" t="s">
        <v>41</v>
      </c>
      <c r="G2362">
        <v>-389.81819999999999</v>
      </c>
      <c r="H2362">
        <v>0.95512949999999996</v>
      </c>
      <c r="I2362">
        <v>282.13409999999999</v>
      </c>
      <c r="J2362">
        <v>-389.1266</v>
      </c>
      <c r="K2362">
        <v>1.109194</v>
      </c>
      <c r="L2362">
        <v>281.97840000000002</v>
      </c>
      <c r="M2362">
        <v>-0.99983520000000004</v>
      </c>
      <c r="N2362">
        <v>0</v>
      </c>
      <c r="O2362">
        <v>-5.065417E-3</v>
      </c>
      <c r="P2362">
        <v>-0.99603960000000002</v>
      </c>
      <c r="Q2362">
        <v>2.112298E-2</v>
      </c>
      <c r="R2362">
        <v>8.6366390000000001E-2</v>
      </c>
      <c r="S2362">
        <v>-2.9798580000000001</v>
      </c>
      <c r="T2362">
        <v>-0.50476149999999997</v>
      </c>
      <c r="U2362">
        <v>0.50640870000000004</v>
      </c>
      <c r="V2362">
        <v>9.1527720000000007E-2</v>
      </c>
      <c r="W2362">
        <v>3.819997E-2</v>
      </c>
      <c r="X2362">
        <v>0.9950696</v>
      </c>
      <c r="Y2362">
        <v>0.1701078</v>
      </c>
      <c r="Z2362">
        <v>1.5052009999999999E-2</v>
      </c>
      <c r="AA2362">
        <v>0.98531049999999998</v>
      </c>
      <c r="AB2362">
        <v>37</v>
      </c>
      <c r="AC2362">
        <v>-0.691599999999994</v>
      </c>
      <c r="AD2362">
        <v>-0.15406449999999999</v>
      </c>
      <c r="AE2362">
        <v>0.155699999999967</v>
      </c>
      <c r="AF2362">
        <v>0.15202170404281901</v>
      </c>
      <c r="AG2362">
        <v>-0.15406449999999999</v>
      </c>
      <c r="AH2362">
        <v>0.65964681981539597</v>
      </c>
      <c r="AI2362">
        <v>102.821572126928</v>
      </c>
      <c r="AJ2362">
        <v>77.022247538856703</v>
      </c>
      <c r="AK2362">
        <v>0.694248079257623</v>
      </c>
      <c r="AL2362">
        <v>87.810770363496701</v>
      </c>
      <c r="AM2362">
        <v>84.744651803960707</v>
      </c>
      <c r="AN2362">
        <v>1.00000003504027</v>
      </c>
    </row>
    <row r="2363" spans="1:40" x14ac:dyDescent="0.25">
      <c r="A2363" t="str">
        <f>"20190312154842103"</f>
        <v>20190312154842103</v>
      </c>
      <c r="B2363" t="str">
        <f>"1552376922097732"</f>
        <v>1552376922097732</v>
      </c>
      <c r="C2363" t="s">
        <v>40</v>
      </c>
      <c r="D2363">
        <v>4.561693</v>
      </c>
      <c r="E2363">
        <v>0.53157949999999998</v>
      </c>
      <c r="F2363" t="s">
        <v>41</v>
      </c>
      <c r="G2363">
        <v>-389.82769999999999</v>
      </c>
      <c r="H2363">
        <v>0.97771450000000004</v>
      </c>
      <c r="I2363">
        <v>282.09320000000002</v>
      </c>
      <c r="J2363">
        <v>-389.43049999999999</v>
      </c>
      <c r="K2363">
        <v>1.10914</v>
      </c>
      <c r="L2363">
        <v>281.9778</v>
      </c>
      <c r="M2363">
        <v>-0.99984600000000001</v>
      </c>
      <c r="N2363">
        <v>0</v>
      </c>
      <c r="O2363">
        <v>-4.0119129999999998E-3</v>
      </c>
      <c r="P2363">
        <v>-0.99618580000000001</v>
      </c>
      <c r="Q2363">
        <v>1.7365370000000001E-2</v>
      </c>
      <c r="R2363">
        <v>8.5514999999999994E-2</v>
      </c>
      <c r="S2363">
        <v>-2.9816280000000002</v>
      </c>
      <c r="T2363">
        <v>-0.55925999999999998</v>
      </c>
      <c r="U2363">
        <v>0.48666379999999998</v>
      </c>
      <c r="V2363">
        <v>8.9616570000000007E-2</v>
      </c>
      <c r="W2363">
        <v>3.4109E-2</v>
      </c>
      <c r="X2363">
        <v>0.9953921</v>
      </c>
      <c r="Y2363">
        <v>0.16222310000000001</v>
      </c>
      <c r="Z2363">
        <v>1.5727229999999998E-2</v>
      </c>
      <c r="AA2363">
        <v>0.98662879999999997</v>
      </c>
      <c r="AB2363">
        <v>37</v>
      </c>
      <c r="AC2363">
        <v>-0.397199999999998</v>
      </c>
      <c r="AD2363">
        <v>-0.131425499999999</v>
      </c>
      <c r="AE2363">
        <v>0.115400000000022</v>
      </c>
      <c r="AF2363">
        <v>0.106264428210946</v>
      </c>
      <c r="AG2363">
        <v>-0.131425499999999</v>
      </c>
      <c r="AH2363">
        <v>0.36035271736531199</v>
      </c>
      <c r="AI2363">
        <v>109.280874101385</v>
      </c>
      <c r="AJ2363">
        <v>73.569736665242004</v>
      </c>
      <c r="AK2363">
        <v>0.39801868255876299</v>
      </c>
      <c r="AL2363">
        <v>88.045319097718604</v>
      </c>
      <c r="AM2363">
        <v>84.855449348419398</v>
      </c>
      <c r="AN2363">
        <v>0.99999999312098697</v>
      </c>
    </row>
    <row r="2364" spans="1:40" x14ac:dyDescent="0.25">
      <c r="A2364" t="str">
        <f>"20190312154842126"</f>
        <v>20190312154842126</v>
      </c>
      <c r="B2364" t="str">
        <f>"1552376922118228"</f>
        <v>1552376922118228</v>
      </c>
      <c r="C2364" t="s">
        <v>40</v>
      </c>
      <c r="D2364">
        <v>4.5603939999999996</v>
      </c>
      <c r="E2364">
        <v>0.53077609999999997</v>
      </c>
      <c r="F2364" t="s">
        <v>41</v>
      </c>
      <c r="G2364">
        <v>-390.15109999999999</v>
      </c>
      <c r="H2364">
        <v>0.95817779999999997</v>
      </c>
      <c r="I2364">
        <v>282.09030000000001</v>
      </c>
      <c r="J2364">
        <v>-389.79629999999997</v>
      </c>
      <c r="K2364">
        <v>1.109089</v>
      </c>
      <c r="L2364">
        <v>281.97750000000002</v>
      </c>
      <c r="M2364">
        <v>-0.99985670000000004</v>
      </c>
      <c r="N2364">
        <v>0</v>
      </c>
      <c r="O2364">
        <v>-2.7276589999999999E-3</v>
      </c>
      <c r="P2364">
        <v>-0.99625160000000001</v>
      </c>
      <c r="Q2364">
        <v>1.422462E-2</v>
      </c>
      <c r="R2364">
        <v>8.5325670000000006E-2</v>
      </c>
      <c r="S2364">
        <v>-2.9824220000000001</v>
      </c>
      <c r="T2364">
        <v>-0.62475760000000002</v>
      </c>
      <c r="U2364">
        <v>0.46560669999999998</v>
      </c>
      <c r="V2364">
        <v>8.8138969999999997E-2</v>
      </c>
      <c r="W2364">
        <v>3.0595600000000001E-2</v>
      </c>
      <c r="X2364">
        <v>0.99563820000000003</v>
      </c>
      <c r="Y2364">
        <v>0.15362919999999999</v>
      </c>
      <c r="Z2364">
        <v>1.6387599999999999E-2</v>
      </c>
      <c r="AA2364">
        <v>0.98799269999999995</v>
      </c>
      <c r="AB2364">
        <v>37</v>
      </c>
      <c r="AC2364">
        <v>-0.354800000000011</v>
      </c>
      <c r="AD2364">
        <v>-0.150911199999999</v>
      </c>
      <c r="AE2364">
        <v>0.112799999999992</v>
      </c>
      <c r="AF2364">
        <v>9.7712554739430996E-2</v>
      </c>
      <c r="AG2364">
        <v>-0.150911199999999</v>
      </c>
      <c r="AH2364">
        <v>0.30446498732622701</v>
      </c>
      <c r="AI2364">
        <v>115.26501302453001</v>
      </c>
      <c r="AJ2364">
        <v>72.206902461346402</v>
      </c>
      <c r="AK2364">
        <v>0.35358289289317402</v>
      </c>
      <c r="AL2364">
        <v>88.246727633543102</v>
      </c>
      <c r="AM2364">
        <v>84.941073041290394</v>
      </c>
      <c r="AN2364">
        <v>0.99999999703563003</v>
      </c>
    </row>
    <row r="2365" spans="1:40" x14ac:dyDescent="0.25">
      <c r="A2365" t="str">
        <f>"20190312154842147"</f>
        <v>20190312154842147</v>
      </c>
      <c r="B2365" t="str">
        <f>"1552376922137748"</f>
        <v>1552376922137748</v>
      </c>
      <c r="C2365" t="s">
        <v>40</v>
      </c>
      <c r="D2365">
        <v>4.5737690000000004</v>
      </c>
      <c r="E2365">
        <v>0.53009329999999999</v>
      </c>
      <c r="F2365" t="s">
        <v>41</v>
      </c>
      <c r="G2365">
        <v>-390.7867</v>
      </c>
      <c r="H2365">
        <v>0.88926179999999999</v>
      </c>
      <c r="I2365">
        <v>282.12970000000001</v>
      </c>
      <c r="J2365">
        <v>-390.17169999999999</v>
      </c>
      <c r="K2365">
        <v>1.109046</v>
      </c>
      <c r="L2365">
        <v>281.9778</v>
      </c>
      <c r="M2365">
        <v>-0.999865</v>
      </c>
      <c r="N2365">
        <v>0</v>
      </c>
      <c r="O2365">
        <v>-1.379477E-3</v>
      </c>
      <c r="P2365">
        <v>-0.99630390000000002</v>
      </c>
      <c r="Q2365">
        <v>1.1912249999999999E-2</v>
      </c>
      <c r="R2365">
        <v>8.5068790000000005E-2</v>
      </c>
      <c r="S2365">
        <v>-2.9815369999999999</v>
      </c>
      <c r="T2365">
        <v>-0.66167549999999997</v>
      </c>
      <c r="U2365">
        <v>0.4577637</v>
      </c>
      <c r="V2365">
        <v>8.653276E-2</v>
      </c>
      <c r="W2365">
        <v>2.7943610000000001E-2</v>
      </c>
      <c r="X2365">
        <v>0.99585710000000005</v>
      </c>
      <c r="Y2365">
        <v>0.14953</v>
      </c>
      <c r="Z2365">
        <v>1.660143E-2</v>
      </c>
      <c r="AA2365">
        <v>0.98861779999999999</v>
      </c>
      <c r="AB2365">
        <v>37</v>
      </c>
      <c r="AC2365">
        <v>-0.61500000000000898</v>
      </c>
      <c r="AD2365">
        <v>-0.21978420000000001</v>
      </c>
      <c r="AE2365">
        <v>0.151900000000011</v>
      </c>
      <c r="AF2365">
        <v>0.13633717631508999</v>
      </c>
      <c r="AG2365">
        <v>-0.21978420000000001</v>
      </c>
      <c r="AH2365">
        <v>0.54873727094708002</v>
      </c>
      <c r="AI2365">
        <v>111.241564102146</v>
      </c>
      <c r="AJ2365">
        <v>76.047036899245199</v>
      </c>
      <c r="AK2365">
        <v>0.60663457924986497</v>
      </c>
      <c r="AL2365">
        <v>88.398740749318307</v>
      </c>
      <c r="AM2365">
        <v>85.033885838015905</v>
      </c>
      <c r="AN2365">
        <v>1.0000000637567199</v>
      </c>
    </row>
    <row r="2366" spans="1:40" x14ac:dyDescent="0.25">
      <c r="A2366" t="str">
        <f>"20190312154842170"</f>
        <v>20190312154842170</v>
      </c>
      <c r="B2366" t="str">
        <f>"1552376922158244"</f>
        <v>1552376922158244</v>
      </c>
      <c r="C2366" t="s">
        <v>40</v>
      </c>
      <c r="D2366">
        <v>4.6165260000000004</v>
      </c>
      <c r="E2366">
        <v>0.52978249999999905</v>
      </c>
      <c r="F2366" t="s">
        <v>41</v>
      </c>
      <c r="G2366">
        <v>-391.12009999999998</v>
      </c>
      <c r="H2366">
        <v>0.89277109999999904</v>
      </c>
      <c r="I2366">
        <v>282.12189999999998</v>
      </c>
      <c r="J2366">
        <v>-390.54950000000002</v>
      </c>
      <c r="K2366">
        <v>1.1089960000000001</v>
      </c>
      <c r="L2366">
        <v>281.97859999999997</v>
      </c>
      <c r="M2366">
        <v>-0.99987110000000001</v>
      </c>
      <c r="N2366">
        <v>0</v>
      </c>
      <c r="O2366" s="1">
        <v>5.2243379999999999E-6</v>
      </c>
      <c r="P2366">
        <v>-0.99638660000000001</v>
      </c>
      <c r="Q2366">
        <v>1.036718E-2</v>
      </c>
      <c r="R2366">
        <v>8.4300330000000007E-2</v>
      </c>
      <c r="S2366">
        <v>-2.9806520000000001</v>
      </c>
      <c r="T2366">
        <v>-0.67966819999999994</v>
      </c>
      <c r="U2366">
        <v>0.45178220000000002</v>
      </c>
      <c r="V2366">
        <v>8.4380549999999999E-2</v>
      </c>
      <c r="W2366">
        <v>2.609798E-2</v>
      </c>
      <c r="X2366">
        <v>0.99609179999999997</v>
      </c>
      <c r="Y2366">
        <v>0.1461858</v>
      </c>
      <c r="Z2366">
        <v>1.6364770000000001E-2</v>
      </c>
      <c r="AA2366">
        <v>0.98912180000000005</v>
      </c>
      <c r="AB2366">
        <v>37</v>
      </c>
      <c r="AC2366">
        <v>-0.57059999999995603</v>
      </c>
      <c r="AD2366">
        <v>-0.216224899999999</v>
      </c>
      <c r="AE2366">
        <v>0.14330000000001</v>
      </c>
      <c r="AF2366">
        <v>0.12624416824246701</v>
      </c>
      <c r="AG2366">
        <v>-0.216224899999999</v>
      </c>
      <c r="AH2366">
        <v>0.502697248158119</v>
      </c>
      <c r="AI2366">
        <v>112.644695278179</v>
      </c>
      <c r="AJ2366">
        <v>75.902643127614695</v>
      </c>
      <c r="AK2366">
        <v>0.56160067726186702</v>
      </c>
      <c r="AL2366">
        <v>88.504526138799207</v>
      </c>
      <c r="AM2366">
        <v>85.157941917275295</v>
      </c>
      <c r="AN2366">
        <v>1.0000000279028101</v>
      </c>
    </row>
    <row r="2367" spans="1:40" x14ac:dyDescent="0.25">
      <c r="A2367" t="str">
        <f>"20190312154842193"</f>
        <v>20190312154842193</v>
      </c>
      <c r="B2367" t="str">
        <f>"1552376922188499"</f>
        <v>1552376922188499</v>
      </c>
      <c r="C2367" t="s">
        <v>40</v>
      </c>
      <c r="D2367">
        <v>4.6379149999999996</v>
      </c>
      <c r="E2367">
        <v>0.52972129999999995</v>
      </c>
      <c r="F2367" t="s">
        <v>41</v>
      </c>
      <c r="G2367">
        <v>-391.45429999999999</v>
      </c>
      <c r="H2367">
        <v>0.89841269999999995</v>
      </c>
      <c r="I2367">
        <v>282.11450000000002</v>
      </c>
      <c r="J2367">
        <v>-390.92349999999999</v>
      </c>
      <c r="K2367">
        <v>1.108943</v>
      </c>
      <c r="L2367">
        <v>281.97989999999999</v>
      </c>
      <c r="M2367">
        <v>-0.99987420000000005</v>
      </c>
      <c r="N2367">
        <v>0</v>
      </c>
      <c r="O2367">
        <v>1.4064679999999999E-3</v>
      </c>
      <c r="P2367">
        <v>-0.99645260000000002</v>
      </c>
      <c r="Q2367">
        <v>8.4432269999999993E-3</v>
      </c>
      <c r="R2367">
        <v>8.3732029999999999E-2</v>
      </c>
      <c r="S2367">
        <v>-2.980286</v>
      </c>
      <c r="T2367">
        <v>-0.69351799999999997</v>
      </c>
      <c r="U2367">
        <v>0.44647219999999999</v>
      </c>
      <c r="V2367">
        <v>8.2410250000000004E-2</v>
      </c>
      <c r="W2367">
        <v>2.391188E-2</v>
      </c>
      <c r="X2367">
        <v>0.99631159999999996</v>
      </c>
      <c r="Y2367">
        <v>0.14306150000000001</v>
      </c>
      <c r="Z2367">
        <v>1.601698E-2</v>
      </c>
      <c r="AA2367">
        <v>0.98958420000000002</v>
      </c>
      <c r="AB2367">
        <v>37</v>
      </c>
      <c r="AC2367">
        <v>-0.53079999999999905</v>
      </c>
      <c r="AD2367">
        <v>-0.210530299999999</v>
      </c>
      <c r="AE2367">
        <v>0.134600000000034</v>
      </c>
      <c r="AF2367">
        <v>0.11661623558354101</v>
      </c>
      <c r="AG2367">
        <v>-0.210530299999999</v>
      </c>
      <c r="AH2367">
        <v>0.462610580849524</v>
      </c>
      <c r="AI2367">
        <v>113.811235305981</v>
      </c>
      <c r="AJ2367">
        <v>75.851488210347</v>
      </c>
      <c r="AK2367">
        <v>0.52146994461205498</v>
      </c>
      <c r="AL2367">
        <v>88.629819623104197</v>
      </c>
      <c r="AM2367">
        <v>85.271524473733706</v>
      </c>
      <c r="AN2367">
        <v>1.0000000158023701</v>
      </c>
    </row>
    <row r="2368" spans="1:40" x14ac:dyDescent="0.25">
      <c r="A2368" t="str">
        <f>"20190312154842214"</f>
        <v>20190312154842214</v>
      </c>
      <c r="B2368" t="str">
        <f>"1552376922208021"</f>
        <v>1552376922208021</v>
      </c>
      <c r="C2368" t="s">
        <v>40</v>
      </c>
      <c r="D2368">
        <v>4.6576599999999999</v>
      </c>
      <c r="E2368">
        <v>0.52995570000000003</v>
      </c>
      <c r="F2368" t="s">
        <v>41</v>
      </c>
      <c r="G2368">
        <v>-391.78750000000002</v>
      </c>
      <c r="H2368">
        <v>0.90239669999999905</v>
      </c>
      <c r="I2368">
        <v>282.10879999999997</v>
      </c>
      <c r="J2368">
        <v>-391.28269999999998</v>
      </c>
      <c r="K2368">
        <v>1.1088880000000001</v>
      </c>
      <c r="L2368">
        <v>281.98180000000002</v>
      </c>
      <c r="M2368">
        <v>-0.99987510000000002</v>
      </c>
      <c r="N2368">
        <v>0</v>
      </c>
      <c r="O2368">
        <v>2.781207E-3</v>
      </c>
      <c r="P2368">
        <v>-0.99645530000000004</v>
      </c>
      <c r="Q2368">
        <v>5.9277710000000001E-3</v>
      </c>
      <c r="R2368">
        <v>8.3916939999999995E-2</v>
      </c>
      <c r="S2368">
        <v>-2.979492</v>
      </c>
      <c r="T2368">
        <v>-0.71216820000000003</v>
      </c>
      <c r="U2368">
        <v>0.44290160000000001</v>
      </c>
      <c r="V2368">
        <v>8.1216990000000003E-2</v>
      </c>
      <c r="W2368">
        <v>2.1172199999999999E-2</v>
      </c>
      <c r="X2368">
        <v>0.99647149999999995</v>
      </c>
      <c r="Y2368">
        <v>0.14048659999999999</v>
      </c>
      <c r="Z2368">
        <v>1.5817640000000001E-2</v>
      </c>
      <c r="AA2368">
        <v>0.98995619999999995</v>
      </c>
      <c r="AB2368">
        <v>37</v>
      </c>
      <c r="AC2368">
        <v>-0.50480000000004499</v>
      </c>
      <c r="AD2368">
        <v>-0.20649129999999999</v>
      </c>
      <c r="AE2368">
        <v>0.12699999999995201</v>
      </c>
      <c r="AF2368">
        <v>0.108518289075514</v>
      </c>
      <c r="AG2368">
        <v>-0.20649129999999999</v>
      </c>
      <c r="AH2368">
        <v>0.436466315606999</v>
      </c>
      <c r="AI2368">
        <v>114.660805665138</v>
      </c>
      <c r="AJ2368">
        <v>76.037699083840195</v>
      </c>
      <c r="AK2368">
        <v>0.49489162520607999</v>
      </c>
      <c r="AL2368">
        <v>88.786831595765705</v>
      </c>
      <c r="AM2368">
        <v>85.340431236111797</v>
      </c>
      <c r="AN2368">
        <v>0.99999995591487401</v>
      </c>
    </row>
    <row r="2369" spans="1:40" x14ac:dyDescent="0.25">
      <c r="A2369" t="str">
        <f>"20190312154842237"</f>
        <v>20190312154842237</v>
      </c>
      <c r="B2369" t="str">
        <f>"1552376922228517"</f>
        <v>1552376922228517</v>
      </c>
      <c r="C2369" t="s">
        <v>40</v>
      </c>
      <c r="D2369">
        <v>4.6653209999999996</v>
      </c>
      <c r="E2369">
        <v>0.53016809999999903</v>
      </c>
      <c r="F2369" t="s">
        <v>41</v>
      </c>
      <c r="G2369">
        <v>-392.11930000000001</v>
      </c>
      <c r="H2369">
        <v>0.90315020000000001</v>
      </c>
      <c r="I2369">
        <v>282.10660000000001</v>
      </c>
      <c r="J2369">
        <v>-391.65230000000003</v>
      </c>
      <c r="K2369">
        <v>1.108832</v>
      </c>
      <c r="L2369">
        <v>281.98419999999999</v>
      </c>
      <c r="M2369">
        <v>-0.99987300000000001</v>
      </c>
      <c r="N2369">
        <v>0</v>
      </c>
      <c r="O2369">
        <v>4.2200629999999996E-3</v>
      </c>
      <c r="P2369">
        <v>-0.99636009999999997</v>
      </c>
      <c r="Q2369">
        <v>3.2841229999999999E-3</v>
      </c>
      <c r="R2369">
        <v>8.5180539999999999E-2</v>
      </c>
      <c r="S2369">
        <v>-2.977722</v>
      </c>
      <c r="T2369">
        <v>-0.73232509999999995</v>
      </c>
      <c r="U2369">
        <v>0.44345089999999998</v>
      </c>
      <c r="V2369">
        <v>8.1038059999999995E-2</v>
      </c>
      <c r="W2369">
        <v>1.832222E-2</v>
      </c>
      <c r="X2369">
        <v>0.99654259999999995</v>
      </c>
      <c r="Y2369">
        <v>0.13918749999999999</v>
      </c>
      <c r="Z2369">
        <v>1.575843E-2</v>
      </c>
      <c r="AA2369">
        <v>0.99014069999999998</v>
      </c>
      <c r="AB2369">
        <v>37</v>
      </c>
      <c r="AC2369">
        <v>-0.46699999999998398</v>
      </c>
      <c r="AD2369">
        <v>-0.2056818</v>
      </c>
      <c r="AE2369">
        <v>0.122400000000027</v>
      </c>
      <c r="AF2369">
        <v>0.101926994843588</v>
      </c>
      <c r="AG2369">
        <v>-0.2056818</v>
      </c>
      <c r="AH2369">
        <v>0.39569015787811401</v>
      </c>
      <c r="AI2369">
        <v>116.71944793736</v>
      </c>
      <c r="AJ2369">
        <v>75.555040542034206</v>
      </c>
      <c r="AK2369">
        <v>0.45745471488519102</v>
      </c>
      <c r="AL2369">
        <v>88.950155390516997</v>
      </c>
      <c r="AM2369">
        <v>85.350981988200502</v>
      </c>
      <c r="AN2369">
        <v>1.0000000122645201</v>
      </c>
    </row>
    <row r="2370" spans="1:40" x14ac:dyDescent="0.25">
      <c r="A2370" t="str">
        <f>"20190312154842259"</f>
        <v>20190312154842259</v>
      </c>
      <c r="B2370" t="str">
        <f>"1552376922248035"</f>
        <v>1552376922248035</v>
      </c>
      <c r="C2370" t="s">
        <v>40</v>
      </c>
      <c r="D2370">
        <v>4.6629060000000004</v>
      </c>
      <c r="E2370">
        <v>0.53044930000000001</v>
      </c>
      <c r="F2370" t="s">
        <v>41</v>
      </c>
      <c r="G2370">
        <v>-392.45229999999998</v>
      </c>
      <c r="H2370">
        <v>0.90729210000000005</v>
      </c>
      <c r="I2370">
        <v>282.10489999999999</v>
      </c>
      <c r="J2370">
        <v>-392.02510000000001</v>
      </c>
      <c r="K2370">
        <v>1.1087819999999999</v>
      </c>
      <c r="L2370">
        <v>281.98719999999997</v>
      </c>
      <c r="M2370">
        <v>-0.9998686</v>
      </c>
      <c r="N2370">
        <v>0</v>
      </c>
      <c r="O2370">
        <v>5.6885570000000003E-3</v>
      </c>
      <c r="P2370">
        <v>-0.99616269999999996</v>
      </c>
      <c r="Q2370">
        <v>1.7281659999999999E-3</v>
      </c>
      <c r="R2370">
        <v>8.7503020000000001E-2</v>
      </c>
      <c r="S2370">
        <v>-2.9751590000000001</v>
      </c>
      <c r="T2370">
        <v>-0.74951409999999996</v>
      </c>
      <c r="U2370">
        <v>0.44772339999999999</v>
      </c>
      <c r="V2370">
        <v>8.1892320000000005E-2</v>
      </c>
      <c r="W2370">
        <v>1.6579170000000001E-2</v>
      </c>
      <c r="X2370">
        <v>0.99650329999999998</v>
      </c>
      <c r="Y2370">
        <v>0.1391066</v>
      </c>
      <c r="Z2370">
        <v>1.5756849999999999E-2</v>
      </c>
      <c r="AA2370">
        <v>0.99015209999999998</v>
      </c>
      <c r="AB2370">
        <v>37</v>
      </c>
      <c r="AC2370">
        <v>-0.42719999999996999</v>
      </c>
      <c r="AD2370">
        <v>-0.201489899999999</v>
      </c>
      <c r="AE2370">
        <v>0.117700000000013</v>
      </c>
      <c r="AF2370">
        <v>9.5518216608328599E-2</v>
      </c>
      <c r="AG2370">
        <v>-0.201489899999999</v>
      </c>
      <c r="AH2370">
        <v>0.35455462022197498</v>
      </c>
      <c r="AI2370">
        <v>118.754727819526</v>
      </c>
      <c r="AJ2370">
        <v>74.922290259046093</v>
      </c>
      <c r="AK2370">
        <v>0.41884470657606998</v>
      </c>
      <c r="AL2370">
        <v>89.050040031443899</v>
      </c>
      <c r="AM2370">
        <v>85.302008289172704</v>
      </c>
      <c r="AN2370">
        <v>1.00000002393188</v>
      </c>
    </row>
    <row r="2371" spans="1:40" x14ac:dyDescent="0.25">
      <c r="A2371" t="str">
        <f>"20190312154842281"</f>
        <v>20190312154842281</v>
      </c>
      <c r="B2371" t="str">
        <f>"1552376922267557"</f>
        <v>1552376922267557</v>
      </c>
      <c r="C2371" t="s">
        <v>40</v>
      </c>
      <c r="D2371">
        <v>4.7068709999999996</v>
      </c>
      <c r="E2371">
        <v>0.53069759999999999</v>
      </c>
      <c r="F2371" t="s">
        <v>41</v>
      </c>
      <c r="G2371">
        <v>-392.78620000000001</v>
      </c>
      <c r="H2371">
        <v>0.91356890000000002</v>
      </c>
      <c r="I2371">
        <v>282.10390000000001</v>
      </c>
      <c r="J2371">
        <v>-392.39109999999999</v>
      </c>
      <c r="K2371">
        <v>1.108738</v>
      </c>
      <c r="L2371">
        <v>281.99059999999997</v>
      </c>
      <c r="M2371">
        <v>-0.99986160000000002</v>
      </c>
      <c r="N2371">
        <v>0</v>
      </c>
      <c r="O2371">
        <v>7.1413190000000001E-3</v>
      </c>
      <c r="P2371">
        <v>-0.9958456</v>
      </c>
      <c r="Q2371">
        <v>1.0704849999999999E-3</v>
      </c>
      <c r="R2371">
        <v>9.1051880000000002E-2</v>
      </c>
      <c r="S2371">
        <v>-2.9729000000000001</v>
      </c>
      <c r="T2371">
        <v>-0.76245459999999998</v>
      </c>
      <c r="U2371">
        <v>0.45523069999999999</v>
      </c>
      <c r="V2371">
        <v>8.3993040000000005E-2</v>
      </c>
      <c r="W2371">
        <v>1.5754830000000001E-2</v>
      </c>
      <c r="X2371">
        <v>0.99634180000000006</v>
      </c>
      <c r="Y2371">
        <v>0.1400942</v>
      </c>
      <c r="Z2371">
        <v>1.5788719999999999E-2</v>
      </c>
      <c r="AA2371">
        <v>0.99001229999999996</v>
      </c>
      <c r="AB2371">
        <v>37</v>
      </c>
      <c r="AC2371">
        <v>-0.395100000000013</v>
      </c>
      <c r="AD2371">
        <v>-0.19516910000000001</v>
      </c>
      <c r="AE2371">
        <v>0.113300000000037</v>
      </c>
      <c r="AF2371">
        <v>9.0149350346730203E-2</v>
      </c>
      <c r="AG2371">
        <v>-0.19516910000000001</v>
      </c>
      <c r="AH2371">
        <v>0.323059208921604</v>
      </c>
      <c r="AI2371">
        <v>120.194994227838</v>
      </c>
      <c r="AJ2371">
        <v>74.408292790417093</v>
      </c>
      <c r="AK2371">
        <v>0.38805300595640302</v>
      </c>
      <c r="AL2371">
        <v>89.097277399172597</v>
      </c>
      <c r="AM2371">
        <v>85.181277337840996</v>
      </c>
      <c r="AN2371">
        <v>1.000000013932</v>
      </c>
    </row>
    <row r="2372" spans="1:40" x14ac:dyDescent="0.25">
      <c r="A2372" t="str">
        <f>"20190312154842304"</f>
        <v>20190312154842304</v>
      </c>
      <c r="B2372" t="str">
        <f>"1552376922297813"</f>
        <v>1552376922297813</v>
      </c>
      <c r="C2372" t="s">
        <v>40</v>
      </c>
      <c r="D2372">
        <v>4.6973669999999998</v>
      </c>
      <c r="E2372">
        <v>0.5310009</v>
      </c>
      <c r="F2372" t="s">
        <v>41</v>
      </c>
      <c r="G2372">
        <v>-393.12</v>
      </c>
      <c r="H2372">
        <v>0.91966760000000003</v>
      </c>
      <c r="I2372">
        <v>282.10570000000001</v>
      </c>
      <c r="J2372">
        <v>-392.76949999999999</v>
      </c>
      <c r="K2372">
        <v>1.1087</v>
      </c>
      <c r="L2372">
        <v>281.9948</v>
      </c>
      <c r="M2372">
        <v>-0.99985159999999995</v>
      </c>
      <c r="N2372">
        <v>0</v>
      </c>
      <c r="O2372">
        <v>8.6510909999999996E-3</v>
      </c>
      <c r="P2372">
        <v>-0.99549310000000002</v>
      </c>
      <c r="Q2372">
        <v>3.4193690000000002E-4</v>
      </c>
      <c r="R2372">
        <v>9.4834219999999997E-2</v>
      </c>
      <c r="S2372">
        <v>-2.9706419999999998</v>
      </c>
      <c r="T2372">
        <v>-0.77048209999999995</v>
      </c>
      <c r="U2372">
        <v>0.46685789999999999</v>
      </c>
      <c r="V2372">
        <v>8.6270819999999998E-2</v>
      </c>
      <c r="W2372">
        <v>1.4874210000000001E-2</v>
      </c>
      <c r="X2372">
        <v>0.99616070000000001</v>
      </c>
      <c r="Y2372">
        <v>0.14238039999999999</v>
      </c>
      <c r="Z2372">
        <v>1.5863909999999998E-2</v>
      </c>
      <c r="AA2372">
        <v>0.98968489999999998</v>
      </c>
      <c r="AB2372">
        <v>37</v>
      </c>
      <c r="AC2372">
        <v>-0.35050000000001003</v>
      </c>
      <c r="AD2372">
        <v>-0.18903239999999999</v>
      </c>
      <c r="AE2372">
        <v>0.110900000000015</v>
      </c>
      <c r="AF2372">
        <v>8.5307978598166898E-2</v>
      </c>
      <c r="AG2372">
        <v>-0.18903239999999999</v>
      </c>
      <c r="AH2372">
        <v>0.277955337741983</v>
      </c>
      <c r="AI2372">
        <v>123.02992328809501</v>
      </c>
      <c r="AJ2372">
        <v>72.938093399634795</v>
      </c>
      <c r="AK2372">
        <v>0.346799465457381</v>
      </c>
      <c r="AL2372">
        <v>89.147739131090603</v>
      </c>
      <c r="AM2372">
        <v>85.050345201248405</v>
      </c>
      <c r="AN2372">
        <v>1.00000001836554</v>
      </c>
    </row>
    <row r="2373" spans="1:40" x14ac:dyDescent="0.25">
      <c r="A2373" t="str">
        <f>"20190312154842327"</f>
        <v>20190312154842327</v>
      </c>
      <c r="B2373" t="str">
        <f>"1552376922318311"</f>
        <v>1552376922318311</v>
      </c>
      <c r="C2373" t="s">
        <v>40</v>
      </c>
      <c r="D2373">
        <v>4.7621310000000001</v>
      </c>
      <c r="E2373">
        <v>0.53130379999999999</v>
      </c>
      <c r="F2373" t="s">
        <v>41</v>
      </c>
      <c r="G2373">
        <v>-393.45490000000001</v>
      </c>
      <c r="H2373">
        <v>0.92881290000000005</v>
      </c>
      <c r="I2373">
        <v>282.10559999999998</v>
      </c>
      <c r="J2373">
        <v>-393.12920000000003</v>
      </c>
      <c r="K2373">
        <v>1.1086720000000001</v>
      </c>
      <c r="L2373">
        <v>281.99930000000001</v>
      </c>
      <c r="M2373">
        <v>-0.99983999999999995</v>
      </c>
      <c r="N2373">
        <v>0</v>
      </c>
      <c r="O2373">
        <v>1.0088420000000001E-2</v>
      </c>
      <c r="P2373">
        <v>-0.99516930000000003</v>
      </c>
      <c r="Q2373">
        <v>-8.1147999999999995E-4</v>
      </c>
      <c r="R2373">
        <v>9.8170880000000002E-2</v>
      </c>
      <c r="S2373">
        <v>-2.9681700000000002</v>
      </c>
      <c r="T2373">
        <v>-0.77904379999999995</v>
      </c>
      <c r="U2373">
        <v>0.47964479999999998</v>
      </c>
      <c r="V2373">
        <v>8.8174100000000005E-2</v>
      </c>
      <c r="W2373">
        <v>1.35969E-2</v>
      </c>
      <c r="X2373">
        <v>0.99601229999999996</v>
      </c>
      <c r="Y2373">
        <v>0.1451016</v>
      </c>
      <c r="Z2373">
        <v>1.6022620000000001E-2</v>
      </c>
      <c r="AA2373">
        <v>0.98928700000000003</v>
      </c>
      <c r="AB2373">
        <v>37</v>
      </c>
      <c r="AC2373">
        <v>-0.325699999999983</v>
      </c>
      <c r="AD2373">
        <v>-0.17985909999999899</v>
      </c>
      <c r="AE2373">
        <v>0.106299999999976</v>
      </c>
      <c r="AF2373">
        <v>8.0753293640775395E-2</v>
      </c>
      <c r="AG2373">
        <v>-0.17985909999999899</v>
      </c>
      <c r="AH2373">
        <v>0.256159787995348</v>
      </c>
      <c r="AI2373">
        <v>123.808223571046</v>
      </c>
      <c r="AJ2373">
        <v>72.502762293701494</v>
      </c>
      <c r="AK2373">
        <v>0.32324638787226201</v>
      </c>
      <c r="AL2373">
        <v>89.220931028353505</v>
      </c>
      <c r="AM2373">
        <v>84.940958157224102</v>
      </c>
      <c r="AN2373">
        <v>1.00000002467585</v>
      </c>
    </row>
    <row r="2374" spans="1:40" x14ac:dyDescent="0.25">
      <c r="A2374" t="str">
        <f>"20190312154842349"</f>
        <v>20190312154842349</v>
      </c>
      <c r="B2374" t="str">
        <f>"1552376922337828"</f>
        <v>1552376922337828</v>
      </c>
      <c r="C2374" t="s">
        <v>40</v>
      </c>
      <c r="D2374">
        <v>4.78498</v>
      </c>
      <c r="E2374">
        <v>0.53146559999999998</v>
      </c>
      <c r="F2374" t="s">
        <v>41</v>
      </c>
      <c r="G2374">
        <v>-394.0849</v>
      </c>
      <c r="H2374">
        <v>0.85527929999999996</v>
      </c>
      <c r="I2374">
        <v>282.15780000000001</v>
      </c>
      <c r="J2374">
        <v>-393.50970000000001</v>
      </c>
      <c r="K2374">
        <v>1.10866</v>
      </c>
      <c r="L2374">
        <v>282.00459999999998</v>
      </c>
      <c r="M2374">
        <v>-0.99982490000000002</v>
      </c>
      <c r="N2374">
        <v>0</v>
      </c>
      <c r="O2374">
        <v>1.16119E-2</v>
      </c>
      <c r="P2374">
        <v>-0.99501600000000001</v>
      </c>
      <c r="Q2374">
        <v>-8.3912159999999995E-4</v>
      </c>
      <c r="R2374">
        <v>9.9712060000000005E-2</v>
      </c>
      <c r="S2374">
        <v>-2.9654240000000001</v>
      </c>
      <c r="T2374">
        <v>-0.78621819999999998</v>
      </c>
      <c r="U2374">
        <v>0.49157709999999999</v>
      </c>
      <c r="V2374">
        <v>8.8198799999999994E-2</v>
      </c>
      <c r="W2374">
        <v>1.3463869999999999E-2</v>
      </c>
      <c r="X2374">
        <v>0.99601189999999995</v>
      </c>
      <c r="Y2374">
        <v>0.14750089999999999</v>
      </c>
      <c r="Z2374">
        <v>1.6091000000000001E-2</v>
      </c>
      <c r="AA2374">
        <v>0.988931</v>
      </c>
      <c r="AB2374">
        <v>37</v>
      </c>
      <c r="AC2374">
        <v>-0.57519999999999505</v>
      </c>
      <c r="AD2374">
        <v>-0.25338070000000001</v>
      </c>
      <c r="AE2374">
        <v>0.15320000000002601</v>
      </c>
      <c r="AF2374">
        <v>0.124035278982045</v>
      </c>
      <c r="AG2374">
        <v>-0.25338070000000001</v>
      </c>
      <c r="AH2374">
        <v>0.488438071588565</v>
      </c>
      <c r="AI2374">
        <v>116.693175581971</v>
      </c>
      <c r="AJ2374">
        <v>75.751343138414796</v>
      </c>
      <c r="AK2374">
        <v>0.56405520948024201</v>
      </c>
      <c r="AL2374">
        <v>89.228553767962495</v>
      </c>
      <c r="AM2374">
        <v>84.939546315651697</v>
      </c>
      <c r="AN2374">
        <v>1.0000000045292099</v>
      </c>
    </row>
    <row r="2375" spans="1:40" x14ac:dyDescent="0.25">
      <c r="A2375" t="str">
        <f>"20190312154842371"</f>
        <v>20190312154842371</v>
      </c>
      <c r="B2375" t="str">
        <f>"1552376922358324"</f>
        <v>1552376922358324</v>
      </c>
      <c r="C2375" t="s">
        <v>40</v>
      </c>
      <c r="D2375">
        <v>4.7811399999999997</v>
      </c>
      <c r="E2375">
        <v>0.531586</v>
      </c>
      <c r="F2375" t="s">
        <v>41</v>
      </c>
      <c r="G2375">
        <v>-394.41930000000002</v>
      </c>
      <c r="H2375">
        <v>0.86638780000000004</v>
      </c>
      <c r="I2375">
        <v>282.1576</v>
      </c>
      <c r="J2375">
        <v>-393.8723</v>
      </c>
      <c r="K2375">
        <v>1.1086579999999999</v>
      </c>
      <c r="L2375">
        <v>282.0102</v>
      </c>
      <c r="M2375">
        <v>-0.99980829999999998</v>
      </c>
      <c r="N2375">
        <v>0</v>
      </c>
      <c r="O2375">
        <v>1.3063440000000001E-2</v>
      </c>
      <c r="P2375">
        <v>-0.99486669999999999</v>
      </c>
      <c r="Q2375" s="1">
        <v>-9.0397890000000003E-5</v>
      </c>
      <c r="R2375">
        <v>0.1011928</v>
      </c>
      <c r="S2375">
        <v>-2.9644780000000002</v>
      </c>
      <c r="T2375">
        <v>-0.78948069999999904</v>
      </c>
      <c r="U2375">
        <v>0.49758910000000001</v>
      </c>
      <c r="V2375">
        <v>8.8237380000000004E-2</v>
      </c>
      <c r="W2375">
        <v>1.412566E-2</v>
      </c>
      <c r="X2375">
        <v>0.99599930000000003</v>
      </c>
      <c r="Y2375">
        <v>0.14806040000000001</v>
      </c>
      <c r="Z2375">
        <v>1.5853430000000002E-2</v>
      </c>
      <c r="AA2375">
        <v>0.98885120000000004</v>
      </c>
      <c r="AB2375">
        <v>37</v>
      </c>
      <c r="AC2375">
        <v>-0.54700000000002502</v>
      </c>
      <c r="AD2375">
        <v>-0.24227019999999899</v>
      </c>
      <c r="AE2375">
        <v>0.147400000000004</v>
      </c>
      <c r="AF2375">
        <v>0.118558243793837</v>
      </c>
      <c r="AG2375">
        <v>-0.24227019999999899</v>
      </c>
      <c r="AH2375">
        <v>0.46401664408256399</v>
      </c>
      <c r="AI2375">
        <v>116.833221099892</v>
      </c>
      <c r="AJ2375">
        <v>75.6673217739975</v>
      </c>
      <c r="AK2375">
        <v>0.53671440540119997</v>
      </c>
      <c r="AL2375">
        <v>89.190632371467899</v>
      </c>
      <c r="AM2375">
        <v>84.937280555548099</v>
      </c>
      <c r="AN2375">
        <v>0.999999987550094</v>
      </c>
    </row>
    <row r="2376" spans="1:40" x14ac:dyDescent="0.25">
      <c r="A2376" t="str">
        <f>"20190312154842394"</f>
        <v>20190312154842394</v>
      </c>
      <c r="B2376" t="str">
        <f>"1552376922387604"</f>
        <v>1552376922387604</v>
      </c>
      <c r="C2376" t="s">
        <v>40</v>
      </c>
      <c r="D2376">
        <v>4.8202680000000004</v>
      </c>
      <c r="E2376">
        <v>0.53140410000000005</v>
      </c>
      <c r="F2376" t="s">
        <v>41</v>
      </c>
      <c r="G2376">
        <v>-394.75220000000002</v>
      </c>
      <c r="H2376">
        <v>0.87425239999999904</v>
      </c>
      <c r="I2376">
        <v>282.15949999999998</v>
      </c>
      <c r="J2376">
        <v>-394.24509999999998</v>
      </c>
      <c r="K2376">
        <v>1.10866</v>
      </c>
      <c r="L2376">
        <v>282.01650000000001</v>
      </c>
      <c r="M2376">
        <v>-0.99978880000000003</v>
      </c>
      <c r="N2376">
        <v>0</v>
      </c>
      <c r="O2376">
        <v>1.4554900000000001E-2</v>
      </c>
      <c r="P2376">
        <v>-0.99481679999999995</v>
      </c>
      <c r="Q2376">
        <v>2.1415430000000001E-3</v>
      </c>
      <c r="R2376">
        <v>0.1016616</v>
      </c>
      <c r="S2376">
        <v>-2.964264</v>
      </c>
      <c r="T2376">
        <v>-0.78970459999999998</v>
      </c>
      <c r="U2376">
        <v>0.50280760000000002</v>
      </c>
      <c r="V2376">
        <v>8.7229009999999996E-2</v>
      </c>
      <c r="W2376">
        <v>1.6285000000000001E-2</v>
      </c>
      <c r="X2376">
        <v>0.99605520000000003</v>
      </c>
      <c r="Y2376">
        <v>0.1483305</v>
      </c>
      <c r="Z2376">
        <v>1.550413E-2</v>
      </c>
      <c r="AA2376">
        <v>0.98881629999999998</v>
      </c>
      <c r="AB2376">
        <v>37</v>
      </c>
      <c r="AC2376">
        <v>-0.50710000000003597</v>
      </c>
      <c r="AD2376">
        <v>-0.23440759999999999</v>
      </c>
      <c r="AE2376">
        <v>0.14299999999997201</v>
      </c>
      <c r="AF2376">
        <v>0.113197432757789</v>
      </c>
      <c r="AG2376">
        <v>-0.23440759999999999</v>
      </c>
      <c r="AH2376">
        <v>0.425004201354093</v>
      </c>
      <c r="AI2376">
        <v>118.055909105203</v>
      </c>
      <c r="AJ2376">
        <v>75.085829944983502</v>
      </c>
      <c r="AK2376">
        <v>0.49838654966736901</v>
      </c>
      <c r="AL2376">
        <v>89.066897013515003</v>
      </c>
      <c r="AM2376">
        <v>84.995120817566104</v>
      </c>
      <c r="AN2376">
        <v>1.0000000314288</v>
      </c>
    </row>
    <row r="2377" spans="1:40" x14ac:dyDescent="0.25">
      <c r="A2377" t="str">
        <f>"20190312154842415"</f>
        <v>20190312154842415</v>
      </c>
      <c r="B2377" t="str">
        <f>"1552376922408100"</f>
        <v>1552376922408100</v>
      </c>
      <c r="C2377" t="s">
        <v>40</v>
      </c>
      <c r="D2377">
        <v>4.8534430000000004</v>
      </c>
      <c r="E2377">
        <v>0.50180459999999905</v>
      </c>
      <c r="F2377" t="s">
        <v>41</v>
      </c>
      <c r="G2377">
        <v>-395.0865</v>
      </c>
      <c r="H2377">
        <v>0.88626649999999996</v>
      </c>
      <c r="I2377">
        <v>282.15929999999997</v>
      </c>
      <c r="J2377">
        <v>-394.60340000000002</v>
      </c>
      <c r="K2377">
        <v>1.1086469999999999</v>
      </c>
      <c r="L2377">
        <v>282.0231</v>
      </c>
      <c r="M2377">
        <v>-0.99976790000000004</v>
      </c>
      <c r="N2377">
        <v>0</v>
      </c>
      <c r="O2377">
        <v>1.5987210000000002E-2</v>
      </c>
      <c r="P2377">
        <v>-0.99480500000000005</v>
      </c>
      <c r="Q2377">
        <v>4.6750339999999998E-3</v>
      </c>
      <c r="R2377">
        <v>0.1016927</v>
      </c>
      <c r="S2377">
        <v>-2.9660030000000002</v>
      </c>
      <c r="T2377">
        <v>-0.78400429999999999</v>
      </c>
      <c r="U2377">
        <v>0.50213620000000003</v>
      </c>
      <c r="V2377">
        <v>8.5841860000000006E-2</v>
      </c>
      <c r="W2377">
        <v>1.875988E-2</v>
      </c>
      <c r="X2377">
        <v>0.99613209999999996</v>
      </c>
      <c r="Y2377">
        <v>0.1467705</v>
      </c>
      <c r="Z2377">
        <v>1.481671E-2</v>
      </c>
      <c r="AA2377">
        <v>0.98905960000000004</v>
      </c>
      <c r="AB2377">
        <v>37</v>
      </c>
      <c r="AC2377">
        <v>-0.48309999999997899</v>
      </c>
      <c r="AD2377">
        <v>-0.22238049999999901</v>
      </c>
      <c r="AE2377">
        <v>0.13619999999997301</v>
      </c>
      <c r="AF2377">
        <v>0.107380421451822</v>
      </c>
      <c r="AG2377">
        <v>-0.22238049999999901</v>
      </c>
      <c r="AH2377">
        <v>0.40559983741059802</v>
      </c>
      <c r="AI2377">
        <v>117.924296827159</v>
      </c>
      <c r="AJ2377">
        <v>75.171439726293997</v>
      </c>
      <c r="AK2377">
        <v>0.47486300108444401</v>
      </c>
      <c r="AL2377">
        <v>88.925074951545199</v>
      </c>
      <c r="AM2377">
        <v>85.074694048982707</v>
      </c>
      <c r="AN2377">
        <v>0.99999995933814101</v>
      </c>
    </row>
    <row r="2378" spans="1:40" x14ac:dyDescent="0.25">
      <c r="A2378" t="str">
        <f>"20190312154842438"</f>
        <v>20190312154842438</v>
      </c>
      <c r="B2378" t="str">
        <f>"1552376922428597"</f>
        <v>1552376922428597</v>
      </c>
      <c r="C2378" t="s">
        <v>40</v>
      </c>
      <c r="D2378">
        <v>4.804951</v>
      </c>
      <c r="E2378">
        <v>0.49211860000000002</v>
      </c>
      <c r="F2378" t="s">
        <v>41</v>
      </c>
      <c r="G2378">
        <v>-395.4597</v>
      </c>
      <c r="H2378">
        <v>0.98155689999999995</v>
      </c>
      <c r="I2378">
        <v>282.10599999999999</v>
      </c>
      <c r="J2378">
        <v>-394.97269999999997</v>
      </c>
      <c r="K2378">
        <v>1.1086370000000001</v>
      </c>
      <c r="L2378">
        <v>282.03050000000002</v>
      </c>
      <c r="M2378">
        <v>-0.99974410000000002</v>
      </c>
      <c r="N2378">
        <v>0</v>
      </c>
      <c r="O2378">
        <v>1.7462559999999999E-2</v>
      </c>
      <c r="P2378">
        <v>-0.99477439999999995</v>
      </c>
      <c r="Q2378">
        <v>5.9783589999999999E-3</v>
      </c>
      <c r="R2378">
        <v>0.10192469999999999</v>
      </c>
      <c r="S2378">
        <v>-2.9881899999999999</v>
      </c>
      <c r="T2378">
        <v>-0.44344519999999998</v>
      </c>
      <c r="U2378">
        <v>0.28909299999999999</v>
      </c>
      <c r="V2378">
        <v>8.4608619999999995E-2</v>
      </c>
      <c r="W2378">
        <v>2.0011339999999999E-2</v>
      </c>
      <c r="X2378">
        <v>0.99621329999999997</v>
      </c>
      <c r="Y2378">
        <v>7.8238559999999999E-2</v>
      </c>
      <c r="Z2378">
        <v>3.1893859999999998E-3</v>
      </c>
      <c r="AA2378">
        <v>0.99692959999999997</v>
      </c>
      <c r="AB2378">
        <v>37</v>
      </c>
      <c r="AC2378">
        <v>-0.48700000000002303</v>
      </c>
      <c r="AD2378">
        <v>-0.1270801</v>
      </c>
      <c r="AE2378">
        <v>7.5499999999976794E-2</v>
      </c>
      <c r="AF2378">
        <v>6.2807046301095598E-2</v>
      </c>
      <c r="AG2378">
        <v>-0.1270801</v>
      </c>
      <c r="AH2378">
        <v>0.45780311760037701</v>
      </c>
      <c r="AI2378">
        <v>105.376825040516</v>
      </c>
      <c r="AJ2378">
        <v>82.188228996999598</v>
      </c>
      <c r="AK2378">
        <v>0.47924708800962201</v>
      </c>
      <c r="AL2378">
        <v>88.853358143950999</v>
      </c>
      <c r="AM2378">
        <v>85.145506224178703</v>
      </c>
      <c r="AN2378">
        <v>1.0000000057018901</v>
      </c>
    </row>
    <row r="2379" spans="1:40" x14ac:dyDescent="0.25">
      <c r="A2379" t="str">
        <f>"20190312154842460"</f>
        <v>20190312154842460</v>
      </c>
      <c r="B2379" t="str">
        <f>"1552376922448116"</f>
        <v>1552376922448116</v>
      </c>
      <c r="C2379" t="s">
        <v>40</v>
      </c>
      <c r="D2379">
        <v>4.8883109999999999</v>
      </c>
      <c r="E2379">
        <v>0.48737130000000001</v>
      </c>
      <c r="F2379" t="s">
        <v>41</v>
      </c>
      <c r="G2379">
        <v>-395.80770000000001</v>
      </c>
      <c r="H2379">
        <v>1.0188219999999999</v>
      </c>
      <c r="I2379">
        <v>282.09219999999999</v>
      </c>
      <c r="J2379">
        <v>-395.34480000000002</v>
      </c>
      <c r="K2379">
        <v>1.108625</v>
      </c>
      <c r="L2379">
        <v>282.03840000000002</v>
      </c>
      <c r="M2379">
        <v>-0.99971779999999999</v>
      </c>
      <c r="N2379">
        <v>0</v>
      </c>
      <c r="O2379">
        <v>1.8946419999999999E-2</v>
      </c>
      <c r="P2379">
        <v>-0.99476620000000004</v>
      </c>
      <c r="Q2379">
        <v>6.4860619999999999E-3</v>
      </c>
      <c r="R2379">
        <v>0.1019717</v>
      </c>
      <c r="S2379">
        <v>-2.9951479999999999</v>
      </c>
      <c r="T2379">
        <v>-0.32225740000000003</v>
      </c>
      <c r="U2379">
        <v>0.22015380000000001</v>
      </c>
      <c r="V2379">
        <v>8.3178249999999995E-2</v>
      </c>
      <c r="W2379">
        <v>2.0475690000000001E-2</v>
      </c>
      <c r="X2379">
        <v>0.99632430000000005</v>
      </c>
      <c r="Y2379">
        <v>5.419293E-2</v>
      </c>
      <c r="Z2379">
        <v>8.7343320000000003E-4</v>
      </c>
      <c r="AA2379">
        <v>0.99853009999999998</v>
      </c>
      <c r="AB2379">
        <v>37</v>
      </c>
      <c r="AC2379">
        <v>-0.46289999999998999</v>
      </c>
      <c r="AD2379">
        <v>-8.9802999999999994E-2</v>
      </c>
      <c r="AE2379">
        <v>5.3799999999966902E-2</v>
      </c>
      <c r="AF2379">
        <v>4.3407227229708002E-2</v>
      </c>
      <c r="AG2379">
        <v>-8.9802999999999994E-2</v>
      </c>
      <c r="AH2379">
        <v>0.44722860542536902</v>
      </c>
      <c r="AI2379">
        <v>101.30220339979699</v>
      </c>
      <c r="AJ2379">
        <v>84.456335877007803</v>
      </c>
      <c r="AK2379">
        <v>0.45821631539644297</v>
      </c>
      <c r="AL2379">
        <v>88.826747380597794</v>
      </c>
      <c r="AM2379">
        <v>85.227721873769198</v>
      </c>
      <c r="AN2379">
        <v>0.99999999296226405</v>
      </c>
    </row>
    <row r="2380" spans="1:40" x14ac:dyDescent="0.25">
      <c r="A2380" t="str">
        <f>"20190312154842483"</f>
        <v>20190312154842483</v>
      </c>
      <c r="B2380" t="str">
        <f>"1552376922478372"</f>
        <v>1552376922478372</v>
      </c>
      <c r="C2380" t="s">
        <v>40</v>
      </c>
      <c r="D2380">
        <v>4.9121160000000001</v>
      </c>
      <c r="E2380">
        <v>0.48485800000000001</v>
      </c>
      <c r="F2380" t="s">
        <v>41</v>
      </c>
      <c r="G2380">
        <v>-396.1508</v>
      </c>
      <c r="H2380">
        <v>1.0436989999999999</v>
      </c>
      <c r="I2380">
        <v>282.08890000000002</v>
      </c>
      <c r="J2380">
        <v>-395.714</v>
      </c>
      <c r="K2380">
        <v>1.108608</v>
      </c>
      <c r="L2380">
        <v>282.04680000000002</v>
      </c>
      <c r="M2380">
        <v>-0.99968950000000001</v>
      </c>
      <c r="N2380">
        <v>0</v>
      </c>
      <c r="O2380">
        <v>2.0412090000000001E-2</v>
      </c>
      <c r="P2380">
        <v>-0.99470420000000004</v>
      </c>
      <c r="Q2380">
        <v>7.1460380000000004E-3</v>
      </c>
      <c r="R2380">
        <v>0.1025312</v>
      </c>
      <c r="S2380">
        <v>-2.9981080000000002</v>
      </c>
      <c r="T2380">
        <v>-0.24146000000000001</v>
      </c>
      <c r="U2380">
        <v>0.18780520000000001</v>
      </c>
      <c r="V2380">
        <v>8.2279850000000002E-2</v>
      </c>
      <c r="W2380">
        <v>2.1096879999999998E-2</v>
      </c>
      <c r="X2380">
        <v>0.99638590000000005</v>
      </c>
      <c r="Y2380">
        <v>4.2061630000000003E-2</v>
      </c>
      <c r="Z2380" s="1">
        <v>4.98814E-5</v>
      </c>
      <c r="AA2380">
        <v>0.99911499999999998</v>
      </c>
      <c r="AB2380">
        <v>37</v>
      </c>
      <c r="AC2380">
        <v>-0.43680000000000502</v>
      </c>
      <c r="AD2380">
        <v>-6.4909000000000106E-2</v>
      </c>
      <c r="AE2380">
        <v>4.2100000000004897E-2</v>
      </c>
      <c r="AF2380">
        <v>3.2464032459594699E-2</v>
      </c>
      <c r="AG2380">
        <v>-6.4909000000000106E-2</v>
      </c>
      <c r="AH2380">
        <v>0.42819980025576398</v>
      </c>
      <c r="AI2380">
        <v>98.595306688981907</v>
      </c>
      <c r="AJ2380">
        <v>85.664406044531503</v>
      </c>
      <c r="AK2380">
        <v>0.43430652841468298</v>
      </c>
      <c r="AL2380">
        <v>88.791148079375901</v>
      </c>
      <c r="AM2380">
        <v>85.279323077997105</v>
      </c>
      <c r="AN2380">
        <v>0.99999995689028198</v>
      </c>
    </row>
    <row r="2381" spans="1:40" x14ac:dyDescent="0.25">
      <c r="A2381" t="str">
        <f>"20190312154842505"</f>
        <v>20190312154842505</v>
      </c>
      <c r="B2381" t="str">
        <f>"1552376922497892"</f>
        <v>1552376922497892</v>
      </c>
      <c r="C2381" t="s">
        <v>40</v>
      </c>
      <c r="D2381">
        <v>4.9086889999999999</v>
      </c>
      <c r="E2381">
        <v>0.48393330000000001</v>
      </c>
      <c r="F2381" t="s">
        <v>51</v>
      </c>
      <c r="G2381">
        <v>-412.8021</v>
      </c>
      <c r="H2381" s="1">
        <v>2.8414559999999999E-6</v>
      </c>
      <c r="I2381">
        <v>283.03019999999998</v>
      </c>
      <c r="J2381">
        <v>-396.07549999999998</v>
      </c>
      <c r="K2381">
        <v>1.1085940000000001</v>
      </c>
      <c r="L2381">
        <v>282.05549999999999</v>
      </c>
      <c r="M2381">
        <v>-0.99965990000000005</v>
      </c>
      <c r="N2381">
        <v>0</v>
      </c>
      <c r="O2381">
        <v>2.183738E-2</v>
      </c>
      <c r="P2381">
        <v>-0.99459719999999996</v>
      </c>
      <c r="Q2381">
        <v>8.9032499999999997E-3</v>
      </c>
      <c r="R2381">
        <v>0.1034277</v>
      </c>
      <c r="S2381">
        <v>-2.9995419999999999</v>
      </c>
      <c r="T2381">
        <v>-0.1945982</v>
      </c>
      <c r="U2381">
        <v>0.17263789999999901</v>
      </c>
      <c r="V2381">
        <v>8.1763349999999999E-2</v>
      </c>
      <c r="W2381">
        <v>2.2820699999999999E-2</v>
      </c>
      <c r="X2381">
        <v>0.99639049999999996</v>
      </c>
      <c r="Y2381">
        <v>3.5613590000000001E-2</v>
      </c>
      <c r="Z2381">
        <v>-2.6083550000000001E-4</v>
      </c>
      <c r="AA2381">
        <v>0.99936559999999997</v>
      </c>
      <c r="AB2381">
        <v>37</v>
      </c>
      <c r="AC2381">
        <v>-16.726600000000001</v>
      </c>
      <c r="AD2381">
        <v>-1.108591158544</v>
      </c>
      <c r="AE2381">
        <v>0.97469999999998402</v>
      </c>
      <c r="AF2381">
        <v>0.60651010668841998</v>
      </c>
      <c r="AG2381">
        <v>-1.108591158544</v>
      </c>
      <c r="AH2381">
        <v>16.6709157310965</v>
      </c>
      <c r="AI2381">
        <v>93.801975107657498</v>
      </c>
      <c r="AJ2381">
        <v>87.916422220087</v>
      </c>
      <c r="AK2381">
        <v>16.718739790415999</v>
      </c>
      <c r="AL2381">
        <v>88.692356725771802</v>
      </c>
      <c r="AM2381">
        <v>85.308845339768993</v>
      </c>
      <c r="AN2381">
        <v>1.0000000291209801</v>
      </c>
    </row>
    <row r="2382" spans="1:40" x14ac:dyDescent="0.25">
      <c r="A2382" t="str">
        <f>"20190312154842527"</f>
        <v>20190312154842527</v>
      </c>
      <c r="B2382" t="str">
        <f>"1552376922518388"</f>
        <v>1552376922518388</v>
      </c>
      <c r="C2382" t="s">
        <v>40</v>
      </c>
      <c r="D2382">
        <v>4.9591260000000004</v>
      </c>
      <c r="E2382">
        <v>0.48323709999999997</v>
      </c>
      <c r="F2382" t="s">
        <v>51</v>
      </c>
      <c r="G2382">
        <v>-415.14729999999997</v>
      </c>
      <c r="H2382" s="1">
        <v>3.2489949999999998E-6</v>
      </c>
      <c r="I2382">
        <v>283.12709999999998</v>
      </c>
      <c r="J2382">
        <v>-396.43729999999999</v>
      </c>
      <c r="K2382">
        <v>1.108587</v>
      </c>
      <c r="L2382">
        <v>282.06490000000002</v>
      </c>
      <c r="M2382">
        <v>-0.99962870000000004</v>
      </c>
      <c r="N2382">
        <v>0</v>
      </c>
      <c r="O2382">
        <v>2.3245829999999999E-2</v>
      </c>
      <c r="P2382">
        <v>-0.99447050000000004</v>
      </c>
      <c r="Q2382">
        <v>9.5430989999999993E-3</v>
      </c>
      <c r="R2382">
        <v>0.1045837</v>
      </c>
      <c r="S2382">
        <v>-3.0003359999999999</v>
      </c>
      <c r="T2382">
        <v>-0.17440069999999999</v>
      </c>
      <c r="U2382">
        <v>0.16857910000000001</v>
      </c>
      <c r="V2382">
        <v>8.1519019999999998E-2</v>
      </c>
      <c r="W2382">
        <v>2.343232E-2</v>
      </c>
      <c r="X2382">
        <v>0.99639630000000001</v>
      </c>
      <c r="Y2382">
        <v>3.2855370000000002E-2</v>
      </c>
      <c r="Z2382">
        <v>-3.9549879999999999E-4</v>
      </c>
      <c r="AA2382">
        <v>0.99946000000000002</v>
      </c>
      <c r="AB2382">
        <v>37</v>
      </c>
      <c r="AC2382">
        <v>-18.709999999999901</v>
      </c>
      <c r="AD2382">
        <v>-1.1085837510050001</v>
      </c>
      <c r="AE2382">
        <v>1.0621999999999601</v>
      </c>
      <c r="AF2382">
        <v>0.62475322606479999</v>
      </c>
      <c r="AG2382">
        <v>-1.1085837510050001</v>
      </c>
      <c r="AH2382">
        <v>18.6643236749245</v>
      </c>
      <c r="AI2382">
        <v>93.397240984444593</v>
      </c>
      <c r="AJ2382">
        <v>88.082847062245094</v>
      </c>
      <c r="AK2382">
        <v>18.7076522516541</v>
      </c>
      <c r="AL2382">
        <v>88.6573040748426</v>
      </c>
      <c r="AM2382">
        <v>85.322828538811507</v>
      </c>
      <c r="AN2382">
        <v>1.00000000544801</v>
      </c>
    </row>
    <row r="2383" spans="1:40" x14ac:dyDescent="0.25">
      <c r="A2383" t="str">
        <f>"20190312154842549"</f>
        <v>20190312154842549</v>
      </c>
      <c r="B2383" t="str">
        <f>"1552376922537908"</f>
        <v>1552376922537908</v>
      </c>
      <c r="C2383" t="s">
        <v>40</v>
      </c>
      <c r="D2383">
        <v>4.9829559999999997</v>
      </c>
      <c r="E2383">
        <v>0.4825025</v>
      </c>
      <c r="F2383" t="s">
        <v>51</v>
      </c>
      <c r="G2383">
        <v>-416.113</v>
      </c>
      <c r="H2383" s="1">
        <v>3.41752E-6</v>
      </c>
      <c r="I2383">
        <v>283.15879999999999</v>
      </c>
      <c r="J2383">
        <v>-396.8057</v>
      </c>
      <c r="K2383">
        <v>1.1085739999999999</v>
      </c>
      <c r="L2383">
        <v>282.07479999999998</v>
      </c>
      <c r="M2383">
        <v>-0.99959520000000002</v>
      </c>
      <c r="N2383">
        <v>0</v>
      </c>
      <c r="O2383">
        <v>2.4660399999999999E-2</v>
      </c>
      <c r="P2383">
        <v>-0.99437030000000004</v>
      </c>
      <c r="Q2383">
        <v>9.889442E-3</v>
      </c>
      <c r="R2383">
        <v>0.1054992</v>
      </c>
      <c r="S2383">
        <v>-3.0007630000000001</v>
      </c>
      <c r="T2383">
        <v>-0.169071</v>
      </c>
      <c r="U2383">
        <v>0.1668396</v>
      </c>
      <c r="V2383">
        <v>8.1026360000000006E-2</v>
      </c>
      <c r="W2383">
        <v>2.375553E-2</v>
      </c>
      <c r="X2383">
        <v>0.9964288</v>
      </c>
      <c r="Y2383">
        <v>3.0861779999999998E-2</v>
      </c>
      <c r="Z2383">
        <v>-5.1900009999999996E-4</v>
      </c>
      <c r="AA2383">
        <v>0.99952350000000001</v>
      </c>
      <c r="AB2383">
        <v>37</v>
      </c>
      <c r="AC2383">
        <v>-19.307300000000001</v>
      </c>
      <c r="AD2383">
        <v>-1.1085705824799901</v>
      </c>
      <c r="AE2383">
        <v>1.0840000000000001</v>
      </c>
      <c r="AF2383">
        <v>0.60550668328380897</v>
      </c>
      <c r="AG2383">
        <v>-1.1085705824799901</v>
      </c>
      <c r="AH2383">
        <v>19.264850291465599</v>
      </c>
      <c r="AI2383">
        <v>93.291756750477703</v>
      </c>
      <c r="AJ2383">
        <v>88.199749313827496</v>
      </c>
      <c r="AK2383">
        <v>19.306217232602201</v>
      </c>
      <c r="AL2383">
        <v>88.638780307751603</v>
      </c>
      <c r="AM2383">
        <v>85.351121704795702</v>
      </c>
      <c r="AN2383">
        <v>0.99999997484493497</v>
      </c>
    </row>
    <row r="2384" spans="1:40" x14ac:dyDescent="0.25">
      <c r="A2384" t="str">
        <f>"20190312154842573"</f>
        <v>20190312154842573</v>
      </c>
      <c r="B2384" t="str">
        <f>"1552376922568165"</f>
        <v>1552376922568165</v>
      </c>
      <c r="C2384" t="s">
        <v>40</v>
      </c>
      <c r="D2384">
        <v>4.9958400000000003</v>
      </c>
      <c r="E2384">
        <v>0.48187219999999997</v>
      </c>
      <c r="F2384" t="s">
        <v>51</v>
      </c>
      <c r="G2384">
        <v>-416.81700000000001</v>
      </c>
      <c r="H2384" s="1">
        <v>3.541695E-6</v>
      </c>
      <c r="I2384">
        <v>283.16669999999999</v>
      </c>
      <c r="J2384">
        <v>-397.1816</v>
      </c>
      <c r="K2384">
        <v>1.1085700000000001</v>
      </c>
      <c r="L2384">
        <v>282.08550000000002</v>
      </c>
      <c r="M2384">
        <v>-0.99955950000000005</v>
      </c>
      <c r="N2384">
        <v>0</v>
      </c>
      <c r="O2384">
        <v>2.6080409999999998E-2</v>
      </c>
      <c r="P2384">
        <v>-0.99419769999999996</v>
      </c>
      <c r="Q2384">
        <v>9.6114890000000008E-3</v>
      </c>
      <c r="R2384">
        <v>0.1071382</v>
      </c>
      <c r="S2384">
        <v>-3.0012210000000001</v>
      </c>
      <c r="T2384">
        <v>-0.16625989999999999</v>
      </c>
      <c r="U2384">
        <v>0.16375729999999999</v>
      </c>
      <c r="V2384">
        <v>8.1251039999999997E-2</v>
      </c>
      <c r="W2384">
        <v>2.3454719999999998E-2</v>
      </c>
      <c r="X2384">
        <v>0.99641760000000001</v>
      </c>
      <c r="Y2384">
        <v>2.8416139999999999E-2</v>
      </c>
      <c r="Z2384">
        <v>-6.5647149999999903E-4</v>
      </c>
      <c r="AA2384">
        <v>0.99959589999999998</v>
      </c>
      <c r="AB2384">
        <v>37</v>
      </c>
      <c r="AC2384">
        <v>-19.635399999999901</v>
      </c>
      <c r="AD2384">
        <v>-1.1085664583049999</v>
      </c>
      <c r="AE2384">
        <v>1.08119999999996</v>
      </c>
      <c r="AF2384">
        <v>0.56688005343841896</v>
      </c>
      <c r="AG2384">
        <v>-1.1085664583049999</v>
      </c>
      <c r="AH2384">
        <v>19.594652352813199</v>
      </c>
      <c r="AI2384">
        <v>93.236702704329602</v>
      </c>
      <c r="AJ2384">
        <v>88.342875544722403</v>
      </c>
      <c r="AK2384">
        <v>19.634171065137199</v>
      </c>
      <c r="AL2384">
        <v>88.656020214617996</v>
      </c>
      <c r="AM2384">
        <v>85.338235284457895</v>
      </c>
      <c r="AN2384">
        <v>0.99999994449055796</v>
      </c>
    </row>
    <row r="2385" spans="1:40" x14ac:dyDescent="0.25">
      <c r="A2385" t="str">
        <f>"20190312154842595"</f>
        <v>20190312154842595</v>
      </c>
      <c r="B2385" t="str">
        <f>"1552376922588660"</f>
        <v>1552376922588660</v>
      </c>
      <c r="C2385" t="s">
        <v>40</v>
      </c>
      <c r="D2385">
        <v>4.9701040000000001</v>
      </c>
      <c r="E2385">
        <v>0.48165639999999998</v>
      </c>
      <c r="F2385" t="s">
        <v>51</v>
      </c>
      <c r="G2385">
        <v>-417.57380000000001</v>
      </c>
      <c r="H2385" s="1">
        <v>3.6730600000000002E-6</v>
      </c>
      <c r="I2385">
        <v>283.19979999999998</v>
      </c>
      <c r="J2385">
        <v>-397.54910000000001</v>
      </c>
      <c r="K2385">
        <v>1.1085670000000001</v>
      </c>
      <c r="L2385">
        <v>282.09649999999999</v>
      </c>
      <c r="M2385">
        <v>-0.99952339999999995</v>
      </c>
      <c r="N2385">
        <v>0</v>
      </c>
      <c r="O2385">
        <v>2.7439560000000002E-2</v>
      </c>
      <c r="P2385">
        <v>-0.99401329999999999</v>
      </c>
      <c r="Q2385">
        <v>9.2797109999999995E-3</v>
      </c>
      <c r="R2385">
        <v>0.1088653</v>
      </c>
      <c r="S2385">
        <v>-3.0014340000000002</v>
      </c>
      <c r="T2385">
        <v>-0.16316459999999999</v>
      </c>
      <c r="U2385">
        <v>0.16400149999999999</v>
      </c>
      <c r="V2385">
        <v>8.1624769999999999E-2</v>
      </c>
      <c r="W2385">
        <v>2.3103390000000001E-2</v>
      </c>
      <c r="X2385">
        <v>0.99639529999999998</v>
      </c>
      <c r="Y2385">
        <v>2.713811E-2</v>
      </c>
      <c r="Z2385">
        <v>-7.526446E-4</v>
      </c>
      <c r="AA2385">
        <v>0.99963139999999995</v>
      </c>
      <c r="AB2385">
        <v>37</v>
      </c>
      <c r="AC2385">
        <v>-20.024699999999999</v>
      </c>
      <c r="AD2385">
        <v>-1.1085633269399999</v>
      </c>
      <c r="AE2385">
        <v>1.10329999999999</v>
      </c>
      <c r="AF2385">
        <v>0.55167495570220804</v>
      </c>
      <c r="AG2385">
        <v>-1.1085633269399999</v>
      </c>
      <c r="AH2385">
        <v>19.986368586709698</v>
      </c>
      <c r="AI2385">
        <v>93.173506784897796</v>
      </c>
      <c r="AJ2385">
        <v>88.418891225866901</v>
      </c>
      <c r="AK2385">
        <v>20.024689440548201</v>
      </c>
      <c r="AL2385">
        <v>88.676155447948801</v>
      </c>
      <c r="AM2385">
        <v>85.316783401306196</v>
      </c>
      <c r="AN2385">
        <v>0.99999998178456695</v>
      </c>
    </row>
    <row r="2386" spans="1:40" x14ac:dyDescent="0.25">
      <c r="A2386" t="str">
        <f>"20190312154842617"</f>
        <v>20190312154842617</v>
      </c>
      <c r="B2386" t="str">
        <f>"1552376922608181"</f>
        <v>1552376922608181</v>
      </c>
      <c r="C2386" t="s">
        <v>40</v>
      </c>
      <c r="D2386">
        <v>4.9732250000000002</v>
      </c>
      <c r="E2386">
        <v>0.48122579999999998</v>
      </c>
      <c r="F2386" t="s">
        <v>51</v>
      </c>
      <c r="G2386">
        <v>-418.3057</v>
      </c>
      <c r="H2386" s="1">
        <v>3.7981000000000001E-6</v>
      </c>
      <c r="I2386">
        <v>283.25459999999998</v>
      </c>
      <c r="J2386">
        <v>-397.90969999999999</v>
      </c>
      <c r="K2386">
        <v>1.108582</v>
      </c>
      <c r="L2386">
        <v>282.10770000000002</v>
      </c>
      <c r="M2386">
        <v>-0.99948729999999997</v>
      </c>
      <c r="N2386">
        <v>0</v>
      </c>
      <c r="O2386">
        <v>2.8735920000000002E-2</v>
      </c>
      <c r="P2386">
        <v>-0.99379640000000002</v>
      </c>
      <c r="Q2386">
        <v>8.4319709999999999E-3</v>
      </c>
      <c r="R2386">
        <v>0.11089589999999901</v>
      </c>
      <c r="S2386">
        <v>-3.0011899999999998</v>
      </c>
      <c r="T2386">
        <v>-0.16028629999999999</v>
      </c>
      <c r="U2386">
        <v>0.16744999999999999</v>
      </c>
      <c r="V2386">
        <v>8.2363459999999999E-2</v>
      </c>
      <c r="W2386">
        <v>2.2239109999999999E-2</v>
      </c>
      <c r="X2386">
        <v>0.99635419999999997</v>
      </c>
      <c r="Y2386">
        <v>2.6993179999999999E-2</v>
      </c>
      <c r="Z2386">
        <v>-8.1237300000000002E-4</v>
      </c>
      <c r="AA2386">
        <v>0.9996353</v>
      </c>
      <c r="AB2386">
        <v>37</v>
      </c>
      <c r="AC2386">
        <v>-20.396000000000001</v>
      </c>
      <c r="AD2386">
        <v>-1.1085782018999999</v>
      </c>
      <c r="AE2386">
        <v>1.1468999999999501</v>
      </c>
      <c r="AF2386">
        <v>0.55862491881873999</v>
      </c>
      <c r="AG2386">
        <v>-1.1085782018999999</v>
      </c>
      <c r="AH2386">
        <v>20.360576059310201</v>
      </c>
      <c r="AI2386">
        <v>93.115352701685694</v>
      </c>
      <c r="AJ2386">
        <v>88.4283930631712</v>
      </c>
      <c r="AK2386">
        <v>20.398383879528598</v>
      </c>
      <c r="AL2386">
        <v>88.7256878070163</v>
      </c>
      <c r="AM2386">
        <v>85.274398134210301</v>
      </c>
      <c r="AN2386">
        <v>1.0000000047072</v>
      </c>
    </row>
    <row r="2387" spans="1:40" x14ac:dyDescent="0.25">
      <c r="A2387" t="str">
        <f>"20190312154842640"</f>
        <v>20190312154842640</v>
      </c>
      <c r="B2387" t="str">
        <f>"1552376922628676"</f>
        <v>1552376922628676</v>
      </c>
      <c r="C2387" t="s">
        <v>40</v>
      </c>
      <c r="D2387">
        <v>5.0082199999999997</v>
      </c>
      <c r="E2387">
        <v>0.48074060000000002</v>
      </c>
      <c r="F2387" t="s">
        <v>51</v>
      </c>
      <c r="G2387">
        <v>-418.40140000000002</v>
      </c>
      <c r="H2387" s="1">
        <v>3.8139189999999999E-6</v>
      </c>
      <c r="I2387">
        <v>283.26769999999999</v>
      </c>
      <c r="J2387">
        <v>-398.2824</v>
      </c>
      <c r="K2387">
        <v>1.108622</v>
      </c>
      <c r="L2387">
        <v>282.11970000000002</v>
      </c>
      <c r="M2387">
        <v>-0.99944960000000005</v>
      </c>
      <c r="N2387">
        <v>0</v>
      </c>
      <c r="O2387">
        <v>3.002695E-2</v>
      </c>
      <c r="P2387">
        <v>-0.99357709999999999</v>
      </c>
      <c r="Q2387">
        <v>8.1604720000000002E-3</v>
      </c>
      <c r="R2387">
        <v>0.1128639</v>
      </c>
      <c r="S2387">
        <v>-3.001099</v>
      </c>
      <c r="T2387">
        <v>-0.162356</v>
      </c>
      <c r="U2387">
        <v>0.1698914</v>
      </c>
      <c r="V2387">
        <v>8.3046910000000002E-2</v>
      </c>
      <c r="W2387">
        <v>2.1954979999999999E-2</v>
      </c>
      <c r="X2387">
        <v>0.99630370000000001</v>
      </c>
      <c r="Y2387">
        <v>2.6516919999999999E-2</v>
      </c>
      <c r="Z2387">
        <v>-9.0540439999999998E-4</v>
      </c>
      <c r="AA2387">
        <v>0.99964799999999998</v>
      </c>
      <c r="AB2387">
        <v>37</v>
      </c>
      <c r="AC2387">
        <v>-20.119</v>
      </c>
      <c r="AD2387">
        <v>-1.108618186081</v>
      </c>
      <c r="AE2387">
        <v>1.1479999999999599</v>
      </c>
      <c r="AF2387">
        <v>0.54167060139436596</v>
      </c>
      <c r="AG2387">
        <v>-1.108618186081</v>
      </c>
      <c r="AH2387">
        <v>20.083617789644599</v>
      </c>
      <c r="AI2387">
        <v>93.158381432606603</v>
      </c>
      <c r="AJ2387">
        <v>88.455063342507202</v>
      </c>
      <c r="AK2387">
        <v>20.121484658032902</v>
      </c>
      <c r="AL2387">
        <v>88.741971146948998</v>
      </c>
      <c r="AM2387">
        <v>85.235124602753601</v>
      </c>
      <c r="AN2387">
        <v>0.999999936520517</v>
      </c>
    </row>
    <row r="2388" spans="1:40" x14ac:dyDescent="0.25">
      <c r="A2388" t="str">
        <f>"20190312154842661"</f>
        <v>20190312154842661</v>
      </c>
      <c r="B2388" t="str">
        <f>"1552376922657956"</f>
        <v>1552376922657956</v>
      </c>
      <c r="C2388" t="s">
        <v>40</v>
      </c>
      <c r="D2388">
        <v>4.9735829999999996</v>
      </c>
      <c r="E2388">
        <v>0.48016229999999999</v>
      </c>
      <c r="F2388" t="s">
        <v>51</v>
      </c>
      <c r="G2388">
        <v>-418.71980000000002</v>
      </c>
      <c r="H2388" s="1">
        <v>3.8684619999999997E-6</v>
      </c>
      <c r="I2388">
        <v>283.28989999999999</v>
      </c>
      <c r="J2388">
        <v>-398.64</v>
      </c>
      <c r="K2388">
        <v>1.108684</v>
      </c>
      <c r="L2388">
        <v>282.13159999999999</v>
      </c>
      <c r="M2388">
        <v>-0.99941349999999995</v>
      </c>
      <c r="N2388">
        <v>0</v>
      </c>
      <c r="O2388">
        <v>3.120699E-2</v>
      </c>
      <c r="P2388">
        <v>-0.99326340000000002</v>
      </c>
      <c r="Q2388">
        <v>9.1745439999999998E-3</v>
      </c>
      <c r="R2388">
        <v>0.11551549999999999</v>
      </c>
      <c r="S2388">
        <v>-3.0012509999999999</v>
      </c>
      <c r="T2388">
        <v>-0.1628019</v>
      </c>
      <c r="U2388">
        <v>0.17184449999999901</v>
      </c>
      <c r="V2388">
        <v>8.4530939999999999E-2</v>
      </c>
      <c r="W2388">
        <v>2.2957040000000001E-2</v>
      </c>
      <c r="X2388">
        <v>0.99615629999999999</v>
      </c>
      <c r="Y2388">
        <v>2.5984730000000001E-2</v>
      </c>
      <c r="Z2388">
        <v>-9.8609970000000007E-4</v>
      </c>
      <c r="AA2388">
        <v>0.99966189999999999</v>
      </c>
      <c r="AB2388">
        <v>36</v>
      </c>
      <c r="AC2388">
        <v>-20.079799999999999</v>
      </c>
      <c r="AD2388">
        <v>-1.1086801315379999</v>
      </c>
      <c r="AE2388">
        <v>1.1582999999999899</v>
      </c>
      <c r="AF2388">
        <v>0.52943466539318795</v>
      </c>
      <c r="AG2388">
        <v>-1.1086801315379999</v>
      </c>
      <c r="AH2388">
        <v>20.045262325033899</v>
      </c>
      <c r="AI2388">
        <v>93.164636072973593</v>
      </c>
      <c r="AJ2388">
        <v>88.487057906944401</v>
      </c>
      <c r="AK2388">
        <v>20.082878637745399</v>
      </c>
      <c r="AL2388">
        <v>88.684542854769205</v>
      </c>
      <c r="AM2388">
        <v>85.149665716029403</v>
      </c>
      <c r="AN2388">
        <v>0.999999939766265</v>
      </c>
    </row>
    <row r="2389" spans="1:40" x14ac:dyDescent="0.25">
      <c r="A2389" t="str">
        <f>"20190312154842684"</f>
        <v>20190312154842684</v>
      </c>
      <c r="B2389" t="str">
        <f>"1552376922678452"</f>
        <v>1552376922678452</v>
      </c>
      <c r="C2389" t="s">
        <v>40</v>
      </c>
      <c r="D2389">
        <v>4.9617750000000003</v>
      </c>
      <c r="E2389">
        <v>0.47974440000000002</v>
      </c>
      <c r="F2389" t="s">
        <v>51</v>
      </c>
      <c r="G2389">
        <v>-419.73840000000001</v>
      </c>
      <c r="H2389" s="1">
        <v>4.0426029999999999E-6</v>
      </c>
      <c r="I2389">
        <v>283.36470000000003</v>
      </c>
      <c r="J2389">
        <v>-399.00369999999998</v>
      </c>
      <c r="K2389">
        <v>1.108752</v>
      </c>
      <c r="L2389">
        <v>282.14409999999998</v>
      </c>
      <c r="M2389">
        <v>-0.99937779999999998</v>
      </c>
      <c r="N2389">
        <v>0</v>
      </c>
      <c r="O2389">
        <v>3.2336730000000001E-2</v>
      </c>
      <c r="P2389">
        <v>-0.99293399999999998</v>
      </c>
      <c r="Q2389">
        <v>1.1453100000000001E-2</v>
      </c>
      <c r="R2389">
        <v>0.11811430000000001</v>
      </c>
      <c r="S2389">
        <v>-3.001404</v>
      </c>
      <c r="T2389">
        <v>-0.15771789999999999</v>
      </c>
      <c r="U2389">
        <v>0.17541499999999999</v>
      </c>
      <c r="V2389">
        <v>8.6015939999999999E-2</v>
      </c>
      <c r="W2389">
        <v>2.522756E-2</v>
      </c>
      <c r="X2389">
        <v>0.99597429999999998</v>
      </c>
      <c r="Y2389">
        <v>2.6038059999999998E-2</v>
      </c>
      <c r="Z2389">
        <v>-1.013091E-3</v>
      </c>
      <c r="AA2389">
        <v>0.9996604</v>
      </c>
      <c r="AB2389">
        <v>36</v>
      </c>
      <c r="AC2389">
        <v>-20.7347</v>
      </c>
      <c r="AD2389">
        <v>-1.1087479573970001</v>
      </c>
      <c r="AE2389">
        <v>1.2206000000000401</v>
      </c>
      <c r="AF2389">
        <v>0.547841565222976</v>
      </c>
      <c r="AG2389">
        <v>-1.1087479573970001</v>
      </c>
      <c r="AH2389">
        <v>20.704331504690799</v>
      </c>
      <c r="AI2389">
        <v>93.064276318227201</v>
      </c>
      <c r="AJ2389">
        <v>88.484293637482097</v>
      </c>
      <c r="AK2389">
        <v>20.741234183860598</v>
      </c>
      <c r="AL2389">
        <v>88.554413905334897</v>
      </c>
      <c r="AM2389">
        <v>85.063977161721397</v>
      </c>
      <c r="AN2389">
        <v>0.99999998898906295</v>
      </c>
    </row>
    <row r="2390" spans="1:40" x14ac:dyDescent="0.25">
      <c r="A2390" t="str">
        <f>"20190312154842706"</f>
        <v>20190312154842706</v>
      </c>
      <c r="B2390" t="str">
        <f>"1552376922697973"</f>
        <v>1552376922697973</v>
      </c>
      <c r="C2390" t="s">
        <v>40</v>
      </c>
      <c r="D2390">
        <v>4.9549570000000003</v>
      </c>
      <c r="E2390">
        <v>0.4793287</v>
      </c>
      <c r="F2390" t="s">
        <v>51</v>
      </c>
      <c r="G2390">
        <v>-421.20339999999999</v>
      </c>
      <c r="H2390" s="1">
        <v>3.8508259999999999E-6</v>
      </c>
      <c r="I2390">
        <v>283.476</v>
      </c>
      <c r="J2390">
        <v>-399.35410000000002</v>
      </c>
      <c r="K2390">
        <v>1.1088229999999999</v>
      </c>
      <c r="L2390">
        <v>282.15640000000002</v>
      </c>
      <c r="M2390">
        <v>-0.99934500000000004</v>
      </c>
      <c r="N2390">
        <v>0</v>
      </c>
      <c r="O2390">
        <v>3.3345E-2</v>
      </c>
      <c r="P2390">
        <v>-0.99260110000000001</v>
      </c>
      <c r="Q2390">
        <v>1.3526460000000001E-2</v>
      </c>
      <c r="R2390">
        <v>0.1206671</v>
      </c>
      <c r="S2390">
        <v>-3.0016479999999999</v>
      </c>
      <c r="T2390">
        <v>-0.1499151</v>
      </c>
      <c r="U2390">
        <v>0.1800842</v>
      </c>
      <c r="V2390">
        <v>8.7574970000000002E-2</v>
      </c>
      <c r="W2390">
        <v>2.7296310000000001E-2</v>
      </c>
      <c r="X2390">
        <v>0.99578390000000006</v>
      </c>
      <c r="Y2390">
        <v>2.657408E-2</v>
      </c>
      <c r="Z2390">
        <v>-9.9977659999999995E-4</v>
      </c>
      <c r="AA2390">
        <v>0.99964640000000005</v>
      </c>
      <c r="AB2390">
        <v>36</v>
      </c>
      <c r="AC2390">
        <v>-21.8492999999999</v>
      </c>
      <c r="AD2390">
        <v>-1.10881914917399</v>
      </c>
      <c r="AE2390">
        <v>1.3195999999999799</v>
      </c>
      <c r="AF2390">
        <v>0.58871841429416405</v>
      </c>
      <c r="AG2390">
        <v>-1.10881914917399</v>
      </c>
      <c r="AH2390">
        <v>21.825149207035</v>
      </c>
      <c r="AI2390">
        <v>92.907335964639501</v>
      </c>
      <c r="AJ2390">
        <v>88.454860370188896</v>
      </c>
      <c r="AK2390">
        <v>21.861226113515301</v>
      </c>
      <c r="AL2390">
        <v>88.435842391204901</v>
      </c>
      <c r="AM2390">
        <v>84.974010382041897</v>
      </c>
      <c r="AN2390">
        <v>1.0000000197046599</v>
      </c>
    </row>
    <row r="2391" spans="1:40" x14ac:dyDescent="0.25">
      <c r="A2391" t="str">
        <f>"20190312154842720"</f>
        <v>20190312154842720</v>
      </c>
      <c r="B2391" t="str">
        <f>"1552376922708708"</f>
        <v>1552376922708708</v>
      </c>
      <c r="C2391" t="s">
        <v>40</v>
      </c>
      <c r="D2391">
        <v>4.815239</v>
      </c>
      <c r="E2391">
        <v>0.47922609999999899</v>
      </c>
      <c r="F2391" t="s">
        <v>51</v>
      </c>
      <c r="G2391">
        <v>-422.65539999999999</v>
      </c>
      <c r="H2391" s="1">
        <v>3.583291E-6</v>
      </c>
      <c r="I2391">
        <v>283.59010000000001</v>
      </c>
      <c r="J2391">
        <v>-399.59120000000001</v>
      </c>
      <c r="K2391">
        <v>1.108878</v>
      </c>
      <c r="L2391">
        <v>282.16500000000002</v>
      </c>
      <c r="M2391">
        <v>-0.99932379999999998</v>
      </c>
      <c r="N2391">
        <v>0</v>
      </c>
      <c r="O2391">
        <v>3.3975419999999999E-2</v>
      </c>
      <c r="P2391">
        <v>-0.99240620000000002</v>
      </c>
      <c r="Q2391">
        <v>1.44098E-2</v>
      </c>
      <c r="R2391">
        <v>0.1221573</v>
      </c>
      <c r="S2391">
        <v>-3.0018919999999998</v>
      </c>
      <c r="T2391">
        <v>-0.14284849999999999</v>
      </c>
      <c r="U2391">
        <v>0.18469240000000001</v>
      </c>
      <c r="V2391">
        <v>8.8441580000000006E-2</v>
      </c>
      <c r="W2391">
        <v>2.8179079999999999E-2</v>
      </c>
      <c r="X2391">
        <v>0.99568270000000003</v>
      </c>
      <c r="Y2391">
        <v>2.7466419999999998E-2</v>
      </c>
      <c r="Z2391">
        <v>-9.6130170000000004E-4</v>
      </c>
      <c r="AA2391">
        <v>0.99962229999999996</v>
      </c>
      <c r="AB2391">
        <v>36</v>
      </c>
      <c r="AC2391">
        <v>-23.0641999999999</v>
      </c>
      <c r="AD2391">
        <v>-1.1088744167090001</v>
      </c>
      <c r="AE2391">
        <v>1.42509999999998</v>
      </c>
      <c r="AF2391">
        <v>0.63911209378963296</v>
      </c>
      <c r="AG2391">
        <v>-1.1088744167090001</v>
      </c>
      <c r="AH2391">
        <v>23.0462367983523</v>
      </c>
      <c r="AI2391">
        <v>92.753616752929901</v>
      </c>
      <c r="AJ2391">
        <v>88.411495849074001</v>
      </c>
      <c r="AK2391">
        <v>23.081748142335101</v>
      </c>
      <c r="AL2391">
        <v>88.385243905243797</v>
      </c>
      <c r="AM2391">
        <v>84.924020364049994</v>
      </c>
      <c r="AN2391">
        <v>1.00000000635091</v>
      </c>
    </row>
    <row r="2392" spans="1:40" x14ac:dyDescent="0.25">
      <c r="A2392" t="str">
        <f>"20190312154842739"</f>
        <v>20190312154842739</v>
      </c>
      <c r="B2392" t="str">
        <f>"1552376922728229"</f>
        <v>1552376922728229</v>
      </c>
      <c r="C2392" t="s">
        <v>40</v>
      </c>
      <c r="D2392">
        <v>4.8444089999999997</v>
      </c>
      <c r="E2392">
        <v>0.47906080000000001</v>
      </c>
      <c r="F2392" t="s">
        <v>51</v>
      </c>
      <c r="G2392">
        <v>-423.49489999999997</v>
      </c>
      <c r="H2392" s="1">
        <v>3.4278119999999999E-6</v>
      </c>
      <c r="I2392">
        <v>283.66520000000003</v>
      </c>
      <c r="J2392">
        <v>-399.90499999999997</v>
      </c>
      <c r="K2392">
        <v>1.1089450000000001</v>
      </c>
      <c r="L2392">
        <v>282.17649999999998</v>
      </c>
      <c r="M2392">
        <v>-0.99929670000000004</v>
      </c>
      <c r="N2392">
        <v>0</v>
      </c>
      <c r="O2392">
        <v>3.4765369999999997E-2</v>
      </c>
      <c r="P2392">
        <v>-0.99222220000000005</v>
      </c>
      <c r="Q2392">
        <v>1.525692E-2</v>
      </c>
      <c r="R2392">
        <v>0.1235407</v>
      </c>
      <c r="S2392">
        <v>-3.0017399999999999</v>
      </c>
      <c r="T2392">
        <v>-0.13924810000000001</v>
      </c>
      <c r="U2392">
        <v>0.188385</v>
      </c>
      <c r="V2392">
        <v>8.9040939999999999E-2</v>
      </c>
      <c r="W2392">
        <v>2.9028459999999999E-2</v>
      </c>
      <c r="X2392">
        <v>0.99560490000000001</v>
      </c>
      <c r="Y2392">
        <v>2.7904310000000002E-2</v>
      </c>
      <c r="Z2392">
        <v>-9.6351889999999999E-4</v>
      </c>
      <c r="AA2392">
        <v>0.99961009999999995</v>
      </c>
      <c r="AB2392">
        <v>36</v>
      </c>
      <c r="AC2392">
        <v>-23.5899</v>
      </c>
      <c r="AD2392">
        <v>-1.1089415721879901</v>
      </c>
      <c r="AE2392">
        <v>1.4887000000000501</v>
      </c>
      <c r="AF2392">
        <v>0.66614107608492101</v>
      </c>
      <c r="AG2392">
        <v>-1.1089415721879901</v>
      </c>
      <c r="AH2392">
        <v>23.575505500024398</v>
      </c>
      <c r="AI2392">
        <v>92.692013584287906</v>
      </c>
      <c r="AJ2392">
        <v>88.381501521166101</v>
      </c>
      <c r="AK2392">
        <v>23.610971071208699</v>
      </c>
      <c r="AL2392">
        <v>88.336558131212797</v>
      </c>
      <c r="AM2392">
        <v>84.889405258571998</v>
      </c>
      <c r="AN2392">
        <v>1.0000000286950299</v>
      </c>
    </row>
    <row r="2393" spans="1:40" x14ac:dyDescent="0.25">
      <c r="A2393" t="str">
        <f>"20190312154842762"</f>
        <v>20190312154842762</v>
      </c>
      <c r="B2393" t="str">
        <f>"1552376922758487"</f>
        <v>1552376922758487</v>
      </c>
      <c r="C2393" t="s">
        <v>40</v>
      </c>
      <c r="D2393">
        <v>4.7867490000000004</v>
      </c>
      <c r="E2393">
        <v>0.44242500000000001</v>
      </c>
      <c r="F2393" t="s">
        <v>51</v>
      </c>
      <c r="G2393">
        <v>-424.40320000000003</v>
      </c>
      <c r="H2393" s="1">
        <v>3.260362E-6</v>
      </c>
      <c r="I2393">
        <v>283.73759999999999</v>
      </c>
      <c r="J2393">
        <v>-400.26729999999998</v>
      </c>
      <c r="K2393">
        <v>1.1090180000000001</v>
      </c>
      <c r="L2393">
        <v>282.18990000000002</v>
      </c>
      <c r="M2393">
        <v>-0.99926740000000003</v>
      </c>
      <c r="N2393">
        <v>0</v>
      </c>
      <c r="O2393">
        <v>3.5600769999999997E-2</v>
      </c>
      <c r="P2393">
        <v>-0.99207389999999995</v>
      </c>
      <c r="Q2393">
        <v>1.6468590000000002E-2</v>
      </c>
      <c r="R2393">
        <v>0.124572699999999</v>
      </c>
      <c r="S2393">
        <v>-3.0018009999999999</v>
      </c>
      <c r="T2393">
        <v>-0.13588</v>
      </c>
      <c r="U2393">
        <v>0.19128419999999999</v>
      </c>
      <c r="V2393">
        <v>8.9242589999999997E-2</v>
      </c>
      <c r="W2393">
        <v>3.0245770000000002E-2</v>
      </c>
      <c r="X2393">
        <v>0.99555059999999995</v>
      </c>
      <c r="Y2393">
        <v>2.802934E-2</v>
      </c>
      <c r="Z2393">
        <v>-9.7508009999999995E-4</v>
      </c>
      <c r="AA2393">
        <v>0.99960660000000001</v>
      </c>
      <c r="AB2393">
        <v>36</v>
      </c>
      <c r="AC2393">
        <v>-24.135899999999999</v>
      </c>
      <c r="AD2393">
        <v>-1.1090147396379999</v>
      </c>
      <c r="AE2393">
        <v>1.5476999999999601</v>
      </c>
      <c r="AF2393">
        <v>0.68593504931793703</v>
      </c>
      <c r="AG2393">
        <v>-1.1090147396379999</v>
      </c>
      <c r="AH2393">
        <v>24.1249755717398</v>
      </c>
      <c r="AI2393">
        <v>92.630947635799004</v>
      </c>
      <c r="AJ2393">
        <v>88.371372528031301</v>
      </c>
      <c r="AK2393">
        <v>24.160191781557899</v>
      </c>
      <c r="AL2393">
        <v>88.266780740097602</v>
      </c>
      <c r="AM2393">
        <v>84.877614963618896</v>
      </c>
      <c r="AN2393">
        <v>1.0000000218165801</v>
      </c>
    </row>
    <row r="2394" spans="1:40" x14ac:dyDescent="0.25">
      <c r="A2394" t="str">
        <f>"20190312154842785"</f>
        <v>20190312154842785</v>
      </c>
      <c r="B2394" t="str">
        <f>"1552376922778004"</f>
        <v>1552376922778004</v>
      </c>
      <c r="C2394" t="s">
        <v>40</v>
      </c>
      <c r="D2394">
        <v>4.7440810000000004</v>
      </c>
      <c r="E2394">
        <v>0.43819010000000003</v>
      </c>
      <c r="F2394" t="s">
        <v>50</v>
      </c>
      <c r="G2394">
        <v>-458.0838</v>
      </c>
      <c r="H2394" s="1">
        <v>2.946834E-6</v>
      </c>
      <c r="I2394">
        <v>280.45650000000001</v>
      </c>
      <c r="J2394">
        <v>-400.6438</v>
      </c>
      <c r="K2394">
        <v>1.1090869999999999</v>
      </c>
      <c r="L2394">
        <v>282.20420000000001</v>
      </c>
      <c r="M2394">
        <v>-0.99923969999999995</v>
      </c>
      <c r="N2394">
        <v>0</v>
      </c>
      <c r="O2394">
        <v>3.6375449999999997E-2</v>
      </c>
      <c r="P2394">
        <v>-0.99199369999999998</v>
      </c>
      <c r="Q2394">
        <v>1.7023119999999999E-2</v>
      </c>
      <c r="R2394">
        <v>0.12513579999999999</v>
      </c>
      <c r="S2394">
        <v>-3.0363769999999999</v>
      </c>
      <c r="T2394">
        <v>-5.8242679999999998E-2</v>
      </c>
      <c r="U2394">
        <v>-9.1033939999999994E-2</v>
      </c>
      <c r="V2394">
        <v>8.9031360000000004E-2</v>
      </c>
      <c r="W2394">
        <v>3.0809119999999999E-2</v>
      </c>
      <c r="X2394">
        <v>0.9955522</v>
      </c>
      <c r="Y2394">
        <v>-6.6291619999999996E-2</v>
      </c>
      <c r="Z2394">
        <v>-1.3331580000000001E-3</v>
      </c>
      <c r="AA2394">
        <v>0.9977994</v>
      </c>
      <c r="AB2394">
        <v>36</v>
      </c>
      <c r="AC2394">
        <v>-57.44</v>
      </c>
      <c r="AD2394">
        <v>-1.109084053166</v>
      </c>
      <c r="AE2394">
        <v>-1.7477</v>
      </c>
      <c r="AF2394">
        <v>-3.8347263179091802</v>
      </c>
      <c r="AG2394">
        <v>-1.109084053166</v>
      </c>
      <c r="AH2394">
        <v>57.317049542975397</v>
      </c>
      <c r="AI2394">
        <v>91.106062089521998</v>
      </c>
      <c r="AJ2394">
        <v>93.827599150850602</v>
      </c>
      <c r="AK2394">
        <v>57.455890574267002</v>
      </c>
      <c r="AL2394">
        <v>88.234488045418701</v>
      </c>
      <c r="AM2394">
        <v>84.889683130635007</v>
      </c>
      <c r="AN2394">
        <v>0.99999998393173095</v>
      </c>
    </row>
    <row r="2395" spans="1:40" x14ac:dyDescent="0.25">
      <c r="A2395" t="str">
        <f>"20190312154842807"</f>
        <v>20190312154842807</v>
      </c>
      <c r="B2395" t="str">
        <f>"1552376922798501"</f>
        <v>1552376922798501</v>
      </c>
      <c r="C2395" t="s">
        <v>40</v>
      </c>
      <c r="D2395">
        <v>4.6968809999999896</v>
      </c>
      <c r="E2395">
        <v>0.43601030000000002</v>
      </c>
      <c r="F2395" t="s">
        <v>50</v>
      </c>
      <c r="G2395">
        <v>-449.99930000000001</v>
      </c>
      <c r="H2395" s="1">
        <v>-1.3440660000000001E-6</v>
      </c>
      <c r="I2395">
        <v>280.19869999999997</v>
      </c>
      <c r="J2395">
        <v>-400.99299999999999</v>
      </c>
      <c r="K2395">
        <v>1.109156</v>
      </c>
      <c r="L2395">
        <v>282.2176</v>
      </c>
      <c r="M2395">
        <v>-0.99921689999999996</v>
      </c>
      <c r="N2395">
        <v>0</v>
      </c>
      <c r="O2395">
        <v>3.7002109999999998E-2</v>
      </c>
      <c r="P2395">
        <v>-0.99196799999999996</v>
      </c>
      <c r="Q2395">
        <v>1.6761539999999998E-2</v>
      </c>
      <c r="R2395">
        <v>0.12537429999999999</v>
      </c>
      <c r="S2395">
        <v>-3.0409549999999999</v>
      </c>
      <c r="T2395">
        <v>-6.8334580000000006E-2</v>
      </c>
      <c r="U2395">
        <v>-0.1235657</v>
      </c>
      <c r="V2395">
        <v>8.8639709999999997E-2</v>
      </c>
      <c r="W2395">
        <v>3.055795E-2</v>
      </c>
      <c r="X2395">
        <v>0.99559489999999995</v>
      </c>
      <c r="Y2395">
        <v>-7.7518900000000002E-2</v>
      </c>
      <c r="Z2395">
        <v>-1.701649E-3</v>
      </c>
      <c r="AA2395">
        <v>0.99698940000000003</v>
      </c>
      <c r="AB2395">
        <v>36</v>
      </c>
      <c r="AC2395">
        <v>-49.006299999999896</v>
      </c>
      <c r="AD2395">
        <v>-1.1091573440660001</v>
      </c>
      <c r="AE2395">
        <v>-2.0189000000000301</v>
      </c>
      <c r="AF2395">
        <v>-3.82907366506186</v>
      </c>
      <c r="AG2395">
        <v>-1.1091573440660001</v>
      </c>
      <c r="AH2395">
        <v>48.873029554231202</v>
      </c>
      <c r="AI2395">
        <v>91.296115182378102</v>
      </c>
      <c r="AJ2395">
        <v>94.479822803698397</v>
      </c>
      <c r="AK2395">
        <v>49.035344935618802</v>
      </c>
      <c r="AL2395">
        <v>88.248885826437999</v>
      </c>
      <c r="AM2395">
        <v>84.912262291617196</v>
      </c>
      <c r="AN2395">
        <v>0.99999999570154796</v>
      </c>
    </row>
    <row r="2396" spans="1:40" x14ac:dyDescent="0.25">
      <c r="A2396" t="str">
        <f>"20190312154842829"</f>
        <v>20190312154842829</v>
      </c>
      <c r="B2396" t="str">
        <f>"1552376922818020"</f>
        <v>1552376922818020</v>
      </c>
      <c r="C2396" t="s">
        <v>40</v>
      </c>
      <c r="D2396">
        <v>4.69536</v>
      </c>
      <c r="E2396">
        <v>0.43474760000000001</v>
      </c>
      <c r="F2396" t="s">
        <v>50</v>
      </c>
      <c r="G2396">
        <v>-446.1499</v>
      </c>
      <c r="H2396" s="1">
        <v>1.931905E-6</v>
      </c>
      <c r="I2396">
        <v>280.13139999999999</v>
      </c>
      <c r="J2396">
        <v>-401.36439999999999</v>
      </c>
      <c r="K2396">
        <v>1.1092219999999999</v>
      </c>
      <c r="L2396">
        <v>282.23200000000003</v>
      </c>
      <c r="M2396">
        <v>-0.99919469999999999</v>
      </c>
      <c r="N2396">
        <v>0</v>
      </c>
      <c r="O2396">
        <v>3.7597619999999998E-2</v>
      </c>
      <c r="P2396">
        <v>-0.99202259999999998</v>
      </c>
      <c r="Q2396">
        <v>1.5277290000000001E-2</v>
      </c>
      <c r="R2396">
        <v>0.12513170000000001</v>
      </c>
      <c r="S2396">
        <v>-3.0433349999999999</v>
      </c>
      <c r="T2396">
        <v>-7.4751139999999994E-2</v>
      </c>
      <c r="U2396">
        <v>-0.14059449999999901</v>
      </c>
      <c r="V2396">
        <v>8.7793369999999996E-2</v>
      </c>
      <c r="W2396">
        <v>2.9086130000000002E-2</v>
      </c>
      <c r="X2396">
        <v>0.99571390000000004</v>
      </c>
      <c r="Y2396">
        <v>-8.3640430000000002E-2</v>
      </c>
      <c r="Z2396">
        <v>-1.949475E-3</v>
      </c>
      <c r="AA2396">
        <v>0.99649410000000005</v>
      </c>
      <c r="AB2396">
        <v>36</v>
      </c>
      <c r="AC2396">
        <v>-44.785499999999999</v>
      </c>
      <c r="AD2396">
        <v>-1.109220068095</v>
      </c>
      <c r="AE2396">
        <v>-2.10060000000004</v>
      </c>
      <c r="AF2396">
        <v>-3.7807939231201502</v>
      </c>
      <c r="AG2396">
        <v>-1.109220068095</v>
      </c>
      <c r="AH2396">
        <v>44.647515574803897</v>
      </c>
      <c r="AI2396">
        <v>91.418086701707395</v>
      </c>
      <c r="AJ2396">
        <v>94.840313198403607</v>
      </c>
      <c r="AK2396">
        <v>44.821037681550003</v>
      </c>
      <c r="AL2396">
        <v>88.333252314527698</v>
      </c>
      <c r="AM2396">
        <v>84.961188302815998</v>
      </c>
      <c r="AN2396">
        <v>0.99999992471376897</v>
      </c>
    </row>
    <row r="2397" spans="1:40" x14ac:dyDescent="0.25">
      <c r="A2397" t="str">
        <f>"20190312154842851"</f>
        <v>20190312154842851</v>
      </c>
      <c r="B2397" t="str">
        <f>"1552376922838517"</f>
        <v>1552376922838517</v>
      </c>
      <c r="C2397" t="s">
        <v>40</v>
      </c>
      <c r="D2397">
        <v>4.6969099999999999</v>
      </c>
      <c r="E2397">
        <v>0.4337819</v>
      </c>
      <c r="F2397" t="s">
        <v>50</v>
      </c>
      <c r="G2397">
        <v>-442.21129999999999</v>
      </c>
      <c r="H2397" s="1">
        <v>-1.66904499999999E-7</v>
      </c>
      <c r="I2397">
        <v>280.19749999999999</v>
      </c>
      <c r="J2397">
        <v>-401.709</v>
      </c>
      <c r="K2397">
        <v>1.1092690000000001</v>
      </c>
      <c r="L2397">
        <v>282.24549999999999</v>
      </c>
      <c r="M2397">
        <v>-0.99917610000000001</v>
      </c>
      <c r="N2397">
        <v>0</v>
      </c>
      <c r="O2397">
        <v>3.8091069999999998E-2</v>
      </c>
      <c r="P2397">
        <v>-0.99209890000000001</v>
      </c>
      <c r="Q2397">
        <v>1.319176E-2</v>
      </c>
      <c r="R2397">
        <v>0.1247636</v>
      </c>
      <c r="S2397">
        <v>-3.0445250000000001</v>
      </c>
      <c r="T2397">
        <v>-8.2676050000000001E-2</v>
      </c>
      <c r="U2397">
        <v>-0.15164179999999999</v>
      </c>
      <c r="V2397">
        <v>8.6922819999999998E-2</v>
      </c>
      <c r="W2397">
        <v>2.7011750000000001E-2</v>
      </c>
      <c r="X2397">
        <v>0.99584879999999998</v>
      </c>
      <c r="Y2397">
        <v>-8.7711629999999999E-2</v>
      </c>
      <c r="Z2397">
        <v>-2.2236920000000002E-3</v>
      </c>
      <c r="AA2397">
        <v>0.99614340000000001</v>
      </c>
      <c r="AB2397">
        <v>36</v>
      </c>
      <c r="AC2397">
        <v>-40.502299999999899</v>
      </c>
      <c r="AD2397">
        <v>-1.1092691669045001</v>
      </c>
      <c r="AE2397">
        <v>-2.048</v>
      </c>
      <c r="AF2397">
        <v>-3.5867571871418802</v>
      </c>
      <c r="AG2397">
        <v>-1.1092691669045001</v>
      </c>
      <c r="AH2397">
        <v>40.364682398133702</v>
      </c>
      <c r="AI2397">
        <v>91.567984485046594</v>
      </c>
      <c r="AJ2397">
        <v>95.077897328977201</v>
      </c>
      <c r="AK2397">
        <v>40.5389058844262</v>
      </c>
      <c r="AL2397">
        <v>88.452152495470997</v>
      </c>
      <c r="AM2397">
        <v>85.011571632743895</v>
      </c>
      <c r="AN2397">
        <v>1.00000002186812</v>
      </c>
    </row>
    <row r="2398" spans="1:40" x14ac:dyDescent="0.25">
      <c r="A2398" t="str">
        <f>"20190312154842873"</f>
        <v>20190312154842873</v>
      </c>
      <c r="B2398" t="str">
        <f>"1552376922868772"</f>
        <v>1552376922868772</v>
      </c>
      <c r="C2398" t="s">
        <v>40</v>
      </c>
      <c r="D2398">
        <v>4.7148130000000004</v>
      </c>
      <c r="E2398">
        <v>0.43274469999999998</v>
      </c>
      <c r="F2398" t="s">
        <v>51</v>
      </c>
      <c r="G2398">
        <v>-437.54410000000001</v>
      </c>
      <c r="H2398" s="1">
        <v>5.9349009999999999E-6</v>
      </c>
      <c r="I2398">
        <v>280.35649999999998</v>
      </c>
      <c r="J2398">
        <v>-402.08030000000002</v>
      </c>
      <c r="K2398">
        <v>1.1093249999999999</v>
      </c>
      <c r="L2398">
        <v>282.2602</v>
      </c>
      <c r="M2398">
        <v>-0.99915810000000005</v>
      </c>
      <c r="N2398">
        <v>0</v>
      </c>
      <c r="O2398">
        <v>3.8561070000000003E-2</v>
      </c>
      <c r="P2398">
        <v>-0.99215699999999996</v>
      </c>
      <c r="Q2398">
        <v>1.179875E-2</v>
      </c>
      <c r="R2398">
        <v>0.1244401</v>
      </c>
      <c r="S2398">
        <v>-3.0453489999999999</v>
      </c>
      <c r="T2398">
        <v>-9.4267610000000002E-2</v>
      </c>
      <c r="U2398">
        <v>-0.16052249999999901</v>
      </c>
      <c r="V2398">
        <v>8.612235E-2</v>
      </c>
      <c r="W2398">
        <v>2.5628919999999999E-2</v>
      </c>
      <c r="X2398">
        <v>0.99595489999999998</v>
      </c>
      <c r="Y2398">
        <v>-9.1047929999999999E-2</v>
      </c>
      <c r="Z2398">
        <v>-2.6005910000000002E-3</v>
      </c>
      <c r="AA2398">
        <v>0.99584309999999998</v>
      </c>
      <c r="AB2398">
        <v>36</v>
      </c>
      <c r="AC2398">
        <v>-35.4637999999999</v>
      </c>
      <c r="AD2398">
        <v>-1.1093190650989999</v>
      </c>
      <c r="AE2398">
        <v>-1.9037000000000099</v>
      </c>
      <c r="AF2398">
        <v>-3.2667528418968499</v>
      </c>
      <c r="AG2398">
        <v>-1.1093190650989999</v>
      </c>
      <c r="AH2398">
        <v>35.329533390706203</v>
      </c>
      <c r="AI2398">
        <v>91.790816451429095</v>
      </c>
      <c r="AJ2398">
        <v>95.282844865987599</v>
      </c>
      <c r="AK2398">
        <v>35.497580093905803</v>
      </c>
      <c r="AL2398">
        <v>88.531410295468802</v>
      </c>
      <c r="AM2398">
        <v>85.057805261036194</v>
      </c>
      <c r="AN2398">
        <v>1.00000003177194</v>
      </c>
    </row>
    <row r="2399" spans="1:40" x14ac:dyDescent="0.25">
      <c r="A2399" t="str">
        <f>"20190312154842896"</f>
        <v>20190312154842896</v>
      </c>
      <c r="B2399" t="str">
        <f>"1552376922888297"</f>
        <v>1552376922888297</v>
      </c>
      <c r="C2399" t="s">
        <v>40</v>
      </c>
      <c r="D2399">
        <v>4.6295019999999996</v>
      </c>
      <c r="E2399">
        <v>0.43207430000000002</v>
      </c>
      <c r="F2399" t="s">
        <v>51</v>
      </c>
      <c r="G2399">
        <v>-435.19810000000001</v>
      </c>
      <c r="H2399" s="1">
        <v>4.8895630000000002E-6</v>
      </c>
      <c r="I2399">
        <v>280.4135</v>
      </c>
      <c r="J2399">
        <v>-402.4323</v>
      </c>
      <c r="K2399">
        <v>1.10938</v>
      </c>
      <c r="L2399">
        <v>282.27420000000001</v>
      </c>
      <c r="M2399">
        <v>-0.99914289999999994</v>
      </c>
      <c r="N2399">
        <v>0</v>
      </c>
      <c r="O2399">
        <v>3.89544E-2</v>
      </c>
      <c r="P2399">
        <v>-0.99223119999999998</v>
      </c>
      <c r="Q2399">
        <v>1.1081300000000001E-2</v>
      </c>
      <c r="R2399">
        <v>0.1239143</v>
      </c>
      <c r="S2399">
        <v>-3.0462340000000001</v>
      </c>
      <c r="T2399">
        <v>-0.10203710000000001</v>
      </c>
      <c r="U2399">
        <v>-0.16986080000000001</v>
      </c>
      <c r="V2399">
        <v>8.5197239999999994E-2</v>
      </c>
      <c r="W2399">
        <v>2.492105E-2</v>
      </c>
      <c r="X2399">
        <v>0.99605239999999995</v>
      </c>
      <c r="Y2399">
        <v>-9.4455349999999993E-2</v>
      </c>
      <c r="Z2399">
        <v>-2.8839529999999999E-3</v>
      </c>
      <c r="AA2399">
        <v>0.99552490000000005</v>
      </c>
      <c r="AB2399">
        <v>36</v>
      </c>
      <c r="AC2399">
        <v>-32.765799999999999</v>
      </c>
      <c r="AD2399">
        <v>-1.109375110437</v>
      </c>
      <c r="AE2399">
        <v>-1.8607</v>
      </c>
      <c r="AF2399">
        <v>-3.1322055812163101</v>
      </c>
      <c r="AG2399">
        <v>-1.109375110437</v>
      </c>
      <c r="AH2399">
        <v>32.631149665572202</v>
      </c>
      <c r="AI2399">
        <v>91.9382571099882</v>
      </c>
      <c r="AJ2399">
        <v>95.482920981362497</v>
      </c>
      <c r="AK2399">
        <v>32.799898680264697</v>
      </c>
      <c r="AL2399">
        <v>88.571981182577105</v>
      </c>
      <c r="AM2399">
        <v>85.111110923446802</v>
      </c>
      <c r="AN2399">
        <v>1.0000000059912399</v>
      </c>
    </row>
    <row r="2400" spans="1:40" x14ac:dyDescent="0.25">
      <c r="A2400" t="str">
        <f>"20190312154842918"</f>
        <v>20190312154842918</v>
      </c>
      <c r="B2400" t="str">
        <f>"1552376922907812"</f>
        <v>1552376922907812</v>
      </c>
      <c r="C2400" t="s">
        <v>40</v>
      </c>
      <c r="D2400">
        <v>4.7794280000000002</v>
      </c>
      <c r="E2400">
        <v>0.43207640000000003</v>
      </c>
      <c r="F2400" t="s">
        <v>51</v>
      </c>
      <c r="G2400">
        <v>-434.76900000000001</v>
      </c>
      <c r="H2400" s="1">
        <v>4.7004769999999997E-6</v>
      </c>
      <c r="I2400">
        <v>280.39980000000003</v>
      </c>
      <c r="J2400">
        <v>-402.79379999999998</v>
      </c>
      <c r="K2400">
        <v>1.1094329999999999</v>
      </c>
      <c r="L2400">
        <v>282.28870000000001</v>
      </c>
      <c r="M2400">
        <v>-0.99912909999999999</v>
      </c>
      <c r="N2400">
        <v>0</v>
      </c>
      <c r="O2400">
        <v>3.9312600000000003E-2</v>
      </c>
      <c r="P2400">
        <v>-0.99226559999999997</v>
      </c>
      <c r="Q2400">
        <v>1.0517159999999999E-2</v>
      </c>
      <c r="R2400">
        <v>0.1236872</v>
      </c>
      <c r="S2400">
        <v>-3.0467219999999999</v>
      </c>
      <c r="T2400">
        <v>-0.1045239</v>
      </c>
      <c r="U2400">
        <v>-0.17660519999999999</v>
      </c>
      <c r="V2400">
        <v>8.4607660000000001E-2</v>
      </c>
      <c r="W2400">
        <v>2.436522E-2</v>
      </c>
      <c r="X2400">
        <v>0.99611640000000001</v>
      </c>
      <c r="Y2400">
        <v>-9.6994360000000002E-2</v>
      </c>
      <c r="Z2400">
        <v>-3.009336E-3</v>
      </c>
      <c r="AA2400">
        <v>0.99528039999999995</v>
      </c>
      <c r="AB2400">
        <v>36</v>
      </c>
      <c r="AC2400">
        <v>-31.975200000000001</v>
      </c>
      <c r="AD2400">
        <v>-1.10942829952299</v>
      </c>
      <c r="AE2400">
        <v>-1.88889999999997</v>
      </c>
      <c r="AF2400">
        <v>-3.1408227725594302</v>
      </c>
      <c r="AG2400">
        <v>-1.10942829952299</v>
      </c>
      <c r="AH2400">
        <v>31.838017383750401</v>
      </c>
      <c r="AI2400">
        <v>91.9860895964663</v>
      </c>
      <c r="AJ2400">
        <v>95.634003679632002</v>
      </c>
      <c r="AK2400">
        <v>32.011793916748999</v>
      </c>
      <c r="AL2400">
        <v>88.6038375636588</v>
      </c>
      <c r="AM2400">
        <v>85.145091069726902</v>
      </c>
      <c r="AN2400">
        <v>1.00000000121264</v>
      </c>
    </row>
    <row r="2401" spans="1:40" x14ac:dyDescent="0.25">
      <c r="A2401" t="str">
        <f>"20190312154842933"</f>
        <v>20190312154842933</v>
      </c>
      <c r="B2401" t="str">
        <f>"1552376922928309"</f>
        <v>1552376922928309</v>
      </c>
      <c r="C2401" t="s">
        <v>40</v>
      </c>
      <c r="D2401">
        <v>4.7825059999999997</v>
      </c>
      <c r="E2401">
        <v>0.46652329999999997</v>
      </c>
      <c r="F2401" t="s">
        <v>51</v>
      </c>
      <c r="G2401">
        <v>-434.89179999999999</v>
      </c>
      <c r="H2401" s="1">
        <v>4.7528039999999997E-6</v>
      </c>
      <c r="I2401">
        <v>280.42419999999998</v>
      </c>
      <c r="J2401">
        <v>-403.02390000000003</v>
      </c>
      <c r="K2401">
        <v>1.109464</v>
      </c>
      <c r="L2401">
        <v>282.298</v>
      </c>
      <c r="M2401">
        <v>-0.99912080000000003</v>
      </c>
      <c r="N2401">
        <v>0</v>
      </c>
      <c r="O2401">
        <v>3.9519159999999998E-2</v>
      </c>
      <c r="P2401">
        <v>-0.99224080000000003</v>
      </c>
      <c r="Q2401">
        <v>1.0114639999999999E-2</v>
      </c>
      <c r="R2401">
        <v>0.12392</v>
      </c>
      <c r="S2401">
        <v>-3.04657</v>
      </c>
      <c r="T2401">
        <v>-0.1053008</v>
      </c>
      <c r="U2401">
        <v>-0.1769714</v>
      </c>
      <c r="V2401">
        <v>8.4633029999999998E-2</v>
      </c>
      <c r="W2401">
        <v>2.3966230000000002E-2</v>
      </c>
      <c r="X2401">
        <v>0.99612389999999995</v>
      </c>
      <c r="Y2401">
        <v>-9.7320740000000003E-2</v>
      </c>
      <c r="Z2401">
        <v>-3.0445979999999999E-3</v>
      </c>
      <c r="AA2401">
        <v>0.99524840000000003</v>
      </c>
      <c r="AB2401">
        <v>36</v>
      </c>
      <c r="AC2401">
        <v>-31.867899999999899</v>
      </c>
      <c r="AD2401">
        <v>-1.1094592471960001</v>
      </c>
      <c r="AE2401">
        <v>-1.8738000000000099</v>
      </c>
      <c r="AF2401">
        <v>-3.1280736382358398</v>
      </c>
      <c r="AG2401">
        <v>-1.1094592471960001</v>
      </c>
      <c r="AH2401">
        <v>31.730615903512302</v>
      </c>
      <c r="AI2401">
        <v>91.9928754287685</v>
      </c>
      <c r="AJ2401">
        <v>95.630151729288002</v>
      </c>
      <c r="AK2401">
        <v>31.903725959888199</v>
      </c>
      <c r="AL2401">
        <v>88.626704651632906</v>
      </c>
      <c r="AM2401">
        <v>85.143678653528596</v>
      </c>
      <c r="AN2401">
        <v>0.99999997704930099</v>
      </c>
    </row>
    <row r="2402" spans="1:40" x14ac:dyDescent="0.25">
      <c r="A2402" t="str">
        <f>"20190312154842952"</f>
        <v>20190312154842952</v>
      </c>
      <c r="B2402" t="str">
        <f>"1552376922947829"</f>
        <v>1552376922947829</v>
      </c>
      <c r="C2402" t="s">
        <v>40</v>
      </c>
      <c r="D2402">
        <v>4.7351580000000002</v>
      </c>
      <c r="E2402">
        <v>0.4711612</v>
      </c>
      <c r="F2402" t="s">
        <v>50</v>
      </c>
      <c r="G2402">
        <v>-447.5163</v>
      </c>
      <c r="H2402" s="1">
        <v>2.5003590000000002E-6</v>
      </c>
      <c r="I2402">
        <v>283.76179999999999</v>
      </c>
      <c r="J2402">
        <v>-403.33769999999998</v>
      </c>
      <c r="K2402">
        <v>1.1095029999999999</v>
      </c>
      <c r="L2402">
        <v>282.3107</v>
      </c>
      <c r="M2402">
        <v>-0.99911059999999996</v>
      </c>
      <c r="N2402">
        <v>0</v>
      </c>
      <c r="O2402">
        <v>3.9776550000000001E-2</v>
      </c>
      <c r="P2402">
        <v>-0.99227460000000001</v>
      </c>
      <c r="Q2402">
        <v>9.5804559999999993E-3</v>
      </c>
      <c r="R2402">
        <v>0.1236902</v>
      </c>
      <c r="S2402">
        <v>-3.011841</v>
      </c>
      <c r="T2402">
        <v>-7.5103160000000002E-2</v>
      </c>
      <c r="U2402">
        <v>9.9090579999999998E-2</v>
      </c>
      <c r="V2402">
        <v>8.41422E-2</v>
      </c>
      <c r="W2402">
        <v>2.343804E-2</v>
      </c>
      <c r="X2402">
        <v>0.99617809999999996</v>
      </c>
      <c r="Y2402">
        <v>-6.8879299999999996E-3</v>
      </c>
      <c r="Z2402">
        <v>-1.0770249999999999E-3</v>
      </c>
      <c r="AA2402">
        <v>0.99997570000000002</v>
      </c>
      <c r="AB2402">
        <v>36</v>
      </c>
      <c r="AC2402">
        <v>-44.178600000000003</v>
      </c>
      <c r="AD2402">
        <v>-1.1095004996410001</v>
      </c>
      <c r="AE2402">
        <v>1.4510999999999901</v>
      </c>
      <c r="AF2402">
        <v>-0.30729940205036199</v>
      </c>
      <c r="AG2402">
        <v>-1.1095004996410001</v>
      </c>
      <c r="AH2402">
        <v>44.1735248567513</v>
      </c>
      <c r="AI2402">
        <v>91.438753105347999</v>
      </c>
      <c r="AJ2402">
        <v>90.398579801383306</v>
      </c>
      <c r="AK2402">
        <v>44.1885247836045</v>
      </c>
      <c r="AL2402">
        <v>88.656976284897397</v>
      </c>
      <c r="AM2402">
        <v>85.171970854726197</v>
      </c>
      <c r="AN2402">
        <v>1.00000002922974</v>
      </c>
    </row>
    <row r="2403" spans="1:40" x14ac:dyDescent="0.25">
      <c r="A2403" t="str">
        <f>"20190312154842974"</f>
        <v>20190312154842974</v>
      </c>
      <c r="B2403" t="str">
        <f>"1552376922968324"</f>
        <v>1552376922968324</v>
      </c>
      <c r="C2403" t="s">
        <v>40</v>
      </c>
      <c r="D2403">
        <v>4.7213779999999996</v>
      </c>
      <c r="E2403">
        <v>0.472196</v>
      </c>
      <c r="F2403" t="s">
        <v>50</v>
      </c>
      <c r="G2403">
        <v>-447.512</v>
      </c>
      <c r="H2403" s="1">
        <v>2.4745939999999998E-6</v>
      </c>
      <c r="I2403">
        <v>284.2989</v>
      </c>
      <c r="J2403">
        <v>-403.69499999999999</v>
      </c>
      <c r="K2403">
        <v>1.109542</v>
      </c>
      <c r="L2403">
        <v>282.3252</v>
      </c>
      <c r="M2403">
        <v>-0.99910030000000005</v>
      </c>
      <c r="N2403">
        <v>0</v>
      </c>
      <c r="O2403">
        <v>4.0038200000000003E-2</v>
      </c>
      <c r="P2403">
        <v>-0.99228850000000002</v>
      </c>
      <c r="Q2403">
        <v>9.8012949999999998E-3</v>
      </c>
      <c r="R2403">
        <v>0.1235634</v>
      </c>
      <c r="S2403">
        <v>-3.0071720000000002</v>
      </c>
      <c r="T2403">
        <v>-7.5529460000000007E-2</v>
      </c>
      <c r="U2403">
        <v>0.13534549999999901</v>
      </c>
      <c r="V2403">
        <v>8.3751880000000001E-2</v>
      </c>
      <c r="W2403">
        <v>2.366352E-2</v>
      </c>
      <c r="X2403">
        <v>0.99620560000000002</v>
      </c>
      <c r="Y2403">
        <v>4.9354120000000001E-3</v>
      </c>
      <c r="Z2403">
        <v>-9.4268200000000003E-4</v>
      </c>
      <c r="AA2403">
        <v>0.99998739999999997</v>
      </c>
      <c r="AB2403">
        <v>36</v>
      </c>
      <c r="AC2403">
        <v>-43.816999999999901</v>
      </c>
      <c r="AD2403">
        <v>-1.1095395254060001</v>
      </c>
      <c r="AE2403">
        <v>1.9737</v>
      </c>
      <c r="AF2403">
        <v>0.217452576510031</v>
      </c>
      <c r="AG2403">
        <v>-1.1095395254060001</v>
      </c>
      <c r="AH2403">
        <v>43.832840433612397</v>
      </c>
      <c r="AI2403">
        <v>91.449999064485993</v>
      </c>
      <c r="AJ2403">
        <v>89.715760773293297</v>
      </c>
      <c r="AK2403">
        <v>43.847420266875403</v>
      </c>
      <c r="AL2403">
        <v>88.644053566360299</v>
      </c>
      <c r="AM2403">
        <v>85.194394086621898</v>
      </c>
      <c r="AN2403">
        <v>0.99999996852684103</v>
      </c>
    </row>
    <row r="2404" spans="1:40" x14ac:dyDescent="0.25">
      <c r="A2404" t="str">
        <f>"20190312154842990"</f>
        <v>20190312154842990</v>
      </c>
      <c r="B2404" t="str">
        <f>"1552376922978084"</f>
        <v>1552376922978084</v>
      </c>
      <c r="C2404" t="s">
        <v>40</v>
      </c>
      <c r="D2404">
        <v>4.7033719999999999</v>
      </c>
      <c r="E2404">
        <v>0.47282410000000002</v>
      </c>
      <c r="F2404" t="s">
        <v>50</v>
      </c>
      <c r="G2404">
        <v>-442.25170000000003</v>
      </c>
      <c r="H2404" s="1">
        <v>-3.1834080000000002E-7</v>
      </c>
      <c r="I2404">
        <v>284.15370000000001</v>
      </c>
      <c r="J2404">
        <v>-403.9579</v>
      </c>
      <c r="K2404">
        <v>1.1095699999999999</v>
      </c>
      <c r="L2404">
        <v>282.33589999999998</v>
      </c>
      <c r="M2404">
        <v>-0.99909329999999996</v>
      </c>
      <c r="N2404">
        <v>0</v>
      </c>
      <c r="O2404">
        <v>4.0212680000000001E-2</v>
      </c>
      <c r="P2404">
        <v>-0.99229999999999996</v>
      </c>
      <c r="Q2404">
        <v>1.0055079999999999E-2</v>
      </c>
      <c r="R2404">
        <v>0.12344869999999999</v>
      </c>
      <c r="S2404">
        <v>-3.0064389999999999</v>
      </c>
      <c r="T2404">
        <v>-8.6516019999999999E-2</v>
      </c>
      <c r="U2404">
        <v>0.14257810000000001</v>
      </c>
      <c r="V2404">
        <v>8.3461129999999994E-2</v>
      </c>
      <c r="W2404">
        <v>2.3920940000000002E-2</v>
      </c>
      <c r="X2404">
        <v>0.99622390000000005</v>
      </c>
      <c r="Y2404">
        <v>7.1748559999999899E-3</v>
      </c>
      <c r="Z2404">
        <v>-1.052756E-3</v>
      </c>
      <c r="AA2404">
        <v>0.99997369999999997</v>
      </c>
      <c r="AB2404">
        <v>36</v>
      </c>
      <c r="AC2404">
        <v>-38.293799999999997</v>
      </c>
      <c r="AD2404">
        <v>-1.1095703183408001</v>
      </c>
      <c r="AE2404">
        <v>1.8178000000000301</v>
      </c>
      <c r="AF2404">
        <v>0.27605124477416298</v>
      </c>
      <c r="AG2404">
        <v>-1.1095703183408001</v>
      </c>
      <c r="AH2404">
        <v>38.303839348745399</v>
      </c>
      <c r="AI2404">
        <v>91.659214187977</v>
      </c>
      <c r="AJ2404">
        <v>89.587083235015797</v>
      </c>
      <c r="AK2404">
        <v>38.320901078074698</v>
      </c>
      <c r="AL2404">
        <v>88.6293003740833</v>
      </c>
      <c r="AM2404">
        <v>85.211086889559496</v>
      </c>
      <c r="AN2404">
        <v>1.00000001526128</v>
      </c>
    </row>
    <row r="2405" spans="1:40" x14ac:dyDescent="0.25">
      <c r="A2405" t="str">
        <f>"20190312154843008"</f>
        <v>20190312154843008</v>
      </c>
      <c r="B2405" t="str">
        <f>"1552376922998581"</f>
        <v>1552376922998581</v>
      </c>
      <c r="C2405" t="s">
        <v>40</v>
      </c>
      <c r="D2405">
        <v>4.7263489999999999</v>
      </c>
      <c r="E2405">
        <v>0.473576</v>
      </c>
      <c r="F2405" t="s">
        <v>50</v>
      </c>
      <c r="G2405">
        <v>-444.1508</v>
      </c>
      <c r="H2405" s="1">
        <v>6.8554089999999997E-7</v>
      </c>
      <c r="I2405">
        <v>284.3082</v>
      </c>
      <c r="J2405">
        <v>-404.23869999999999</v>
      </c>
      <c r="K2405">
        <v>1.10959599999999</v>
      </c>
      <c r="L2405">
        <v>282.34739999999999</v>
      </c>
      <c r="M2405">
        <v>-0.99908660000000005</v>
      </c>
      <c r="N2405">
        <v>0</v>
      </c>
      <c r="O2405">
        <v>4.0381140000000003E-2</v>
      </c>
      <c r="P2405">
        <v>-0.99235620000000002</v>
      </c>
      <c r="Q2405">
        <v>1.005577E-2</v>
      </c>
      <c r="R2405">
        <v>0.1229968</v>
      </c>
      <c r="S2405">
        <v>-3.0057680000000002</v>
      </c>
      <c r="T2405">
        <v>-8.2977410000000001E-2</v>
      </c>
      <c r="U2405">
        <v>0.1474915</v>
      </c>
      <c r="V2405">
        <v>8.2837750000000002E-2</v>
      </c>
      <c r="W2405">
        <v>2.392619E-2</v>
      </c>
      <c r="X2405">
        <v>0.99627580000000004</v>
      </c>
      <c r="Y2405">
        <v>8.6460219999999997E-3</v>
      </c>
      <c r="Z2405">
        <v>-9.9424119999999994E-4</v>
      </c>
      <c r="AA2405">
        <v>0.99996220000000002</v>
      </c>
      <c r="AB2405">
        <v>36</v>
      </c>
      <c r="AC2405">
        <v>-39.912100000000002</v>
      </c>
      <c r="AD2405">
        <v>-1.10959531445909</v>
      </c>
      <c r="AE2405">
        <v>1.9608000000000001</v>
      </c>
      <c r="AF2405">
        <v>0.34707922299688398</v>
      </c>
      <c r="AG2405">
        <v>-1.10959531445909</v>
      </c>
      <c r="AH2405">
        <v>39.927940599372</v>
      </c>
      <c r="AI2405">
        <v>91.5917768162398</v>
      </c>
      <c r="AJ2405">
        <v>89.501960945670405</v>
      </c>
      <c r="AK2405">
        <v>39.944863327540403</v>
      </c>
      <c r="AL2405">
        <v>88.628999481381996</v>
      </c>
      <c r="AM2405">
        <v>85.246937765858902</v>
      </c>
      <c r="AN2405">
        <v>1.0000000125293</v>
      </c>
    </row>
    <row r="2406" spans="1:40" x14ac:dyDescent="0.25">
      <c r="A2406" t="str">
        <f>"20190312154843030"</f>
        <v>20190312154843030</v>
      </c>
      <c r="B2406" t="str">
        <f>"1552376923018101"</f>
        <v>1552376923018101</v>
      </c>
      <c r="C2406" t="s">
        <v>40</v>
      </c>
      <c r="D2406">
        <v>4.7426760000000003</v>
      </c>
      <c r="E2406">
        <v>0.47410400000000003</v>
      </c>
      <c r="F2406" t="s">
        <v>50</v>
      </c>
      <c r="G2406">
        <v>-446.80700000000002</v>
      </c>
      <c r="H2406" s="1">
        <v>2.090434E-6</v>
      </c>
      <c r="I2406">
        <v>284.505</v>
      </c>
      <c r="J2406">
        <v>-404.6</v>
      </c>
      <c r="K2406">
        <v>1.109634</v>
      </c>
      <c r="L2406">
        <v>282.36219999999997</v>
      </c>
      <c r="M2406">
        <v>-0.9990791</v>
      </c>
      <c r="N2406">
        <v>0</v>
      </c>
      <c r="O2406">
        <v>4.0567180000000001E-2</v>
      </c>
      <c r="P2406">
        <v>-0.99239739999999999</v>
      </c>
      <c r="Q2406">
        <v>9.2457440000000002E-3</v>
      </c>
      <c r="R2406">
        <v>0.12272760000000001</v>
      </c>
      <c r="S2406">
        <v>-3.0050349999999999</v>
      </c>
      <c r="T2406">
        <v>-7.8329800000000005E-2</v>
      </c>
      <c r="U2406">
        <v>0.15231320000000001</v>
      </c>
      <c r="V2406">
        <v>8.2378960000000001E-2</v>
      </c>
      <c r="W2406">
        <v>2.3120559999999998E-2</v>
      </c>
      <c r="X2406">
        <v>0.99633280000000002</v>
      </c>
      <c r="Y2406">
        <v>1.0070539999999999E-2</v>
      </c>
      <c r="Z2406">
        <v>-9.2504480000000003E-4</v>
      </c>
      <c r="AA2406">
        <v>0.99994890000000003</v>
      </c>
      <c r="AB2406">
        <v>36</v>
      </c>
      <c r="AC2406">
        <v>-42.206999999999901</v>
      </c>
      <c r="AD2406">
        <v>-1.1096319095659899</v>
      </c>
      <c r="AE2406">
        <v>2.1428000000000198</v>
      </c>
      <c r="AF2406">
        <v>0.42835427221162697</v>
      </c>
      <c r="AG2406">
        <v>-1.1096319095659899</v>
      </c>
      <c r="AH2406">
        <v>42.230071414891697</v>
      </c>
      <c r="AI2406">
        <v>91.505072791158597</v>
      </c>
      <c r="AJ2406">
        <v>89.418848951825893</v>
      </c>
      <c r="AK2406">
        <v>42.246818839577699</v>
      </c>
      <c r="AL2406">
        <v>88.675171375555195</v>
      </c>
      <c r="AM2406">
        <v>85.273411791537995</v>
      </c>
      <c r="AN2406">
        <v>0.99999995085061599</v>
      </c>
    </row>
    <row r="2407" spans="1:40" x14ac:dyDescent="0.25">
      <c r="A2407" t="str">
        <f>"20190312154843052"</f>
        <v>20190312154843052</v>
      </c>
      <c r="B2407" t="str">
        <f>"1552376923048356"</f>
        <v>1552376923048356</v>
      </c>
      <c r="C2407" t="s">
        <v>40</v>
      </c>
      <c r="D2407">
        <v>4.741276</v>
      </c>
      <c r="E2407">
        <v>0.4746301</v>
      </c>
      <c r="F2407" t="s">
        <v>50</v>
      </c>
      <c r="G2407">
        <v>-447.71749999999997</v>
      </c>
      <c r="H2407" s="1">
        <v>2.570869E-6</v>
      </c>
      <c r="I2407">
        <v>284.5985</v>
      </c>
      <c r="J2407">
        <v>-404.94779999999997</v>
      </c>
      <c r="K2407">
        <v>1.1096680000000001</v>
      </c>
      <c r="L2407">
        <v>282.3766</v>
      </c>
      <c r="M2407">
        <v>-0.99907310000000005</v>
      </c>
      <c r="N2407">
        <v>0</v>
      </c>
      <c r="O2407">
        <v>4.0714920000000002E-2</v>
      </c>
      <c r="P2407">
        <v>-0.99244120000000002</v>
      </c>
      <c r="Q2407">
        <v>9.5069349999999993E-3</v>
      </c>
      <c r="R2407">
        <v>0.12235269999999999</v>
      </c>
      <c r="S2407">
        <v>-3.0044559999999998</v>
      </c>
      <c r="T2407">
        <v>-7.7319739999999998E-2</v>
      </c>
      <c r="U2407">
        <v>0.15582279999999901</v>
      </c>
      <c r="V2407">
        <v>8.1853339999999997E-2</v>
      </c>
      <c r="W2407">
        <v>2.3386560000000001E-2</v>
      </c>
      <c r="X2407">
        <v>0.99636999999999998</v>
      </c>
      <c r="Y2407">
        <v>1.109686E-2</v>
      </c>
      <c r="Z2407">
        <v>-9.0386229999999995E-4</v>
      </c>
      <c r="AA2407">
        <v>0.99993799999999999</v>
      </c>
      <c r="AB2407">
        <v>36</v>
      </c>
      <c r="AC2407">
        <v>-42.7697</v>
      </c>
      <c r="AD2407">
        <v>-1.109665429131</v>
      </c>
      <c r="AE2407">
        <v>2.2219000000000002</v>
      </c>
      <c r="AF2407">
        <v>0.47820128700504699</v>
      </c>
      <c r="AG2407">
        <v>-1.109665429131</v>
      </c>
      <c r="AH2407">
        <v>42.795971355404902</v>
      </c>
      <c r="AI2407">
        <v>91.485208414912407</v>
      </c>
      <c r="AJ2407">
        <v>89.359804804097905</v>
      </c>
      <c r="AK2407">
        <v>42.813026032834202</v>
      </c>
      <c r="AL2407">
        <v>88.659926692925097</v>
      </c>
      <c r="AM2407">
        <v>85.303609072003098</v>
      </c>
      <c r="AN2407">
        <v>1.0000000386788901</v>
      </c>
    </row>
    <row r="2408" spans="1:40" x14ac:dyDescent="0.25">
      <c r="A2408" t="str">
        <f>"20190312154843086"</f>
        <v>20190312154843086</v>
      </c>
      <c r="B2408" t="str">
        <f>"1552376923078616"</f>
        <v>1552376923078616</v>
      </c>
      <c r="C2408" t="s">
        <v>40</v>
      </c>
      <c r="D2408">
        <v>4.8487</v>
      </c>
      <c r="E2408">
        <v>0.47447640000000002</v>
      </c>
      <c r="F2408" t="s">
        <v>50</v>
      </c>
      <c r="G2408">
        <v>-449.50709999999998</v>
      </c>
      <c r="H2408" s="1">
        <v>3.5171780000000002E-6</v>
      </c>
      <c r="I2408">
        <v>284.73599999999999</v>
      </c>
      <c r="J2408">
        <v>-405.48079999999999</v>
      </c>
      <c r="K2408">
        <v>1.1097360000000001</v>
      </c>
      <c r="L2408">
        <v>282.39850000000001</v>
      </c>
      <c r="M2408">
        <v>-0.99906669999999997</v>
      </c>
      <c r="N2408">
        <v>0</v>
      </c>
      <c r="O2408">
        <v>4.0875950000000001E-2</v>
      </c>
      <c r="P2408">
        <v>-0.99234299999999998</v>
      </c>
      <c r="Q2408">
        <v>1.049548E-2</v>
      </c>
      <c r="R2408">
        <v>0.1230662</v>
      </c>
      <c r="S2408">
        <v>-3.0039370000000001</v>
      </c>
      <c r="T2408">
        <v>-7.4807410000000005E-2</v>
      </c>
      <c r="U2408">
        <v>0.15905759999999999</v>
      </c>
      <c r="V2408">
        <v>8.2406590000000002E-2</v>
      </c>
      <c r="W2408">
        <v>2.438048E-2</v>
      </c>
      <c r="X2408">
        <v>0.99630050000000003</v>
      </c>
      <c r="Y2408">
        <v>1.201762E-2</v>
      </c>
      <c r="Z2408">
        <v>-8.671703E-4</v>
      </c>
      <c r="AA2408">
        <v>0.99992740000000002</v>
      </c>
      <c r="AB2408">
        <v>36</v>
      </c>
      <c r="AC2408">
        <v>-44.0262999999999</v>
      </c>
      <c r="AD2408">
        <v>-1.1097324828219901</v>
      </c>
      <c r="AE2408">
        <v>2.3374999999999702</v>
      </c>
      <c r="AF2408">
        <v>0.53541456289175804</v>
      </c>
      <c r="AG2408">
        <v>-1.1097324828219901</v>
      </c>
      <c r="AH2408">
        <v>44.05714080093</v>
      </c>
      <c r="AI2408">
        <v>91.442782098804301</v>
      </c>
      <c r="AJ2408">
        <v>89.303734102965194</v>
      </c>
      <c r="AK2408">
        <v>44.074367045830101</v>
      </c>
      <c r="AL2408">
        <v>88.602962926768299</v>
      </c>
      <c r="AM2408">
        <v>85.271681082609007</v>
      </c>
      <c r="AN2408">
        <v>0.99999997009035302</v>
      </c>
    </row>
    <row r="2409" spans="1:40" x14ac:dyDescent="0.25">
      <c r="A2409" t="str">
        <f>"20190312154843107"</f>
        <v>20190312154843107</v>
      </c>
      <c r="B2409" t="str">
        <f>"1552376923098133"</f>
        <v>1552376923098133</v>
      </c>
      <c r="C2409" t="s">
        <v>40</v>
      </c>
      <c r="D2409">
        <v>4.8486799999999999</v>
      </c>
      <c r="E2409">
        <v>0.47437010000000002</v>
      </c>
      <c r="F2409" t="s">
        <v>50</v>
      </c>
      <c r="G2409">
        <v>-449.50290000000001</v>
      </c>
      <c r="H2409" s="1">
        <v>3.514771E-6</v>
      </c>
      <c r="I2409">
        <v>284.7405</v>
      </c>
      <c r="J2409">
        <v>-405.84550000000002</v>
      </c>
      <c r="K2409">
        <v>1.1097760000000001</v>
      </c>
      <c r="L2409">
        <v>282.4135</v>
      </c>
      <c r="M2409">
        <v>-0.99906419999999996</v>
      </c>
      <c r="N2409">
        <v>0</v>
      </c>
      <c r="O2409">
        <v>4.093724E-2</v>
      </c>
      <c r="P2409">
        <v>-0.99228269999999996</v>
      </c>
      <c r="Q2409">
        <v>1.056051E-2</v>
      </c>
      <c r="R2409">
        <v>0.1235465</v>
      </c>
      <c r="S2409">
        <v>-3.004089</v>
      </c>
      <c r="T2409">
        <v>-7.5728649999999995E-2</v>
      </c>
      <c r="U2409">
        <v>0.15982060000000001</v>
      </c>
      <c r="V2409">
        <v>8.2825549999999998E-2</v>
      </c>
      <c r="W2409">
        <v>2.4449599999999998E-2</v>
      </c>
      <c r="X2409">
        <v>0.99626409999999999</v>
      </c>
      <c r="Y2409">
        <v>1.2207000000000001E-2</v>
      </c>
      <c r="Z2409">
        <v>-8.7695160000000004E-4</v>
      </c>
      <c r="AA2409">
        <v>0.99992510000000001</v>
      </c>
      <c r="AB2409">
        <v>36</v>
      </c>
      <c r="AC2409">
        <v>-43.657400000000003</v>
      </c>
      <c r="AD2409">
        <v>-1.1097724852290001</v>
      </c>
      <c r="AE2409">
        <v>2.3269999999999902</v>
      </c>
      <c r="AF2409">
        <v>0.53731510292572604</v>
      </c>
      <c r="AG2409">
        <v>-1.1097724852290001</v>
      </c>
      <c r="AH2409">
        <v>43.687915777518199</v>
      </c>
      <c r="AI2409">
        <v>91.455020265300007</v>
      </c>
      <c r="AJ2409">
        <v>89.295358110034201</v>
      </c>
      <c r="AK2409">
        <v>43.705311890802498</v>
      </c>
      <c r="AL2409">
        <v>88.599001511544301</v>
      </c>
      <c r="AM2409">
        <v>85.247579015153804</v>
      </c>
      <c r="AN2409">
        <v>1.00000000581088</v>
      </c>
    </row>
    <row r="2410" spans="1:40" x14ac:dyDescent="0.25">
      <c r="A2410" t="str">
        <f>"20190312154843130"</f>
        <v>20190312154843130</v>
      </c>
      <c r="B2410" t="str">
        <f>"1552376923118629"</f>
        <v>1552376923118629</v>
      </c>
      <c r="C2410" t="s">
        <v>40</v>
      </c>
      <c r="D2410">
        <v>4.8379649999999996</v>
      </c>
      <c r="E2410">
        <v>0.47428550000000003</v>
      </c>
      <c r="F2410" t="s">
        <v>50</v>
      </c>
      <c r="G2410">
        <v>-449.58190000000002</v>
      </c>
      <c r="H2410" s="1">
        <v>3.5564860000000002E-6</v>
      </c>
      <c r="I2410">
        <v>284.74779999999998</v>
      </c>
      <c r="J2410">
        <v>-406.19290000000001</v>
      </c>
      <c r="K2410">
        <v>1.1098049999999999</v>
      </c>
      <c r="L2410">
        <v>282.42779999999999</v>
      </c>
      <c r="M2410">
        <v>-0.99906280000000003</v>
      </c>
      <c r="N2410">
        <v>0</v>
      </c>
      <c r="O2410">
        <v>4.0970239999999998E-2</v>
      </c>
      <c r="P2410">
        <v>-0.99220580000000003</v>
      </c>
      <c r="Q2410">
        <v>1.080065E-2</v>
      </c>
      <c r="R2410">
        <v>0.1241401</v>
      </c>
      <c r="S2410">
        <v>-3.004181</v>
      </c>
      <c r="T2410">
        <v>-7.6228379999999998E-2</v>
      </c>
      <c r="U2410">
        <v>0.16033939999999999</v>
      </c>
      <c r="V2410">
        <v>8.3386979999999999E-2</v>
      </c>
      <c r="W2410">
        <v>2.469271E-2</v>
      </c>
      <c r="X2410">
        <v>0.99621130000000002</v>
      </c>
      <c r="Y2410">
        <v>1.2344630000000001E-2</v>
      </c>
      <c r="Z2410">
        <v>-8.8179600000000001E-4</v>
      </c>
      <c r="AA2410">
        <v>0.99992340000000002</v>
      </c>
      <c r="AB2410">
        <v>36</v>
      </c>
      <c r="AC2410">
        <v>-43.389000000000003</v>
      </c>
      <c r="AD2410">
        <v>-1.109801443514</v>
      </c>
      <c r="AE2410">
        <v>2.3199999999999901</v>
      </c>
      <c r="AF2410">
        <v>0.53986842433220406</v>
      </c>
      <c r="AG2410">
        <v>-1.109801443514</v>
      </c>
      <c r="AH2410">
        <v>43.419297011578898</v>
      </c>
      <c r="AI2410">
        <v>91.464053764147593</v>
      </c>
      <c r="AJ2410">
        <v>89.287630375386797</v>
      </c>
      <c r="AK2410">
        <v>43.436833104397898</v>
      </c>
      <c r="AL2410">
        <v>88.585068171071001</v>
      </c>
      <c r="AM2410">
        <v>85.215261542975796</v>
      </c>
      <c r="AN2410">
        <v>1.0000000363041699</v>
      </c>
    </row>
    <row r="2411" spans="1:40" x14ac:dyDescent="0.25">
      <c r="A2411" t="str">
        <f>"20190312154843152"</f>
        <v>20190312154843152</v>
      </c>
      <c r="B2411" t="str">
        <f>"1552376923147937"</f>
        <v>1552376923147937</v>
      </c>
      <c r="C2411" t="s">
        <v>40</v>
      </c>
      <c r="D2411">
        <v>4.8393560000000004</v>
      </c>
      <c r="E2411">
        <v>0.47423969999999999</v>
      </c>
      <c r="F2411" t="s">
        <v>50</v>
      </c>
      <c r="G2411">
        <v>-449.4683</v>
      </c>
      <c r="H2411" s="1">
        <v>3.4957919999999998E-6</v>
      </c>
      <c r="I2411">
        <v>284.75330000000002</v>
      </c>
      <c r="J2411">
        <v>-406.55200000000002</v>
      </c>
      <c r="K2411">
        <v>1.1098410000000001</v>
      </c>
      <c r="L2411">
        <v>282.4425</v>
      </c>
      <c r="M2411">
        <v>-0.99906240000000002</v>
      </c>
      <c r="N2411">
        <v>0</v>
      </c>
      <c r="O2411">
        <v>4.0983060000000002E-2</v>
      </c>
      <c r="P2411">
        <v>-0.99214429999999998</v>
      </c>
      <c r="Q2411">
        <v>1.1424760000000001E-2</v>
      </c>
      <c r="R2411">
        <v>0.1245753</v>
      </c>
      <c r="S2411">
        <v>-3.0042110000000002</v>
      </c>
      <c r="T2411">
        <v>-7.7043180000000003E-2</v>
      </c>
      <c r="U2411">
        <v>0.161438</v>
      </c>
      <c r="V2411">
        <v>8.3810179999999998E-2</v>
      </c>
      <c r="W2411">
        <v>2.5318130000000001E-2</v>
      </c>
      <c r="X2411">
        <v>0.99616000000000005</v>
      </c>
      <c r="Y2411">
        <v>1.2695980000000001E-2</v>
      </c>
      <c r="Z2411">
        <v>-8.8702550000000001E-4</v>
      </c>
      <c r="AA2411">
        <v>0.999919</v>
      </c>
      <c r="AB2411">
        <v>36</v>
      </c>
      <c r="AC2411">
        <v>-42.9163</v>
      </c>
      <c r="AD2411">
        <v>-1.109837504208</v>
      </c>
      <c r="AE2411">
        <v>2.3108000000000199</v>
      </c>
      <c r="AF2411">
        <v>0.54947921801766897</v>
      </c>
      <c r="AG2411">
        <v>-1.109837504208</v>
      </c>
      <c r="AH2411">
        <v>42.946311346272097</v>
      </c>
      <c r="AI2411">
        <v>91.480212208082307</v>
      </c>
      <c r="AJ2411">
        <v>89.266965627958299</v>
      </c>
      <c r="AK2411">
        <v>42.964163263674997</v>
      </c>
      <c r="AL2411">
        <v>88.549222911609206</v>
      </c>
      <c r="AM2411">
        <v>85.190845468596805</v>
      </c>
      <c r="AN2411">
        <v>0.99999994978916296</v>
      </c>
    </row>
    <row r="2412" spans="1:40" x14ac:dyDescent="0.25">
      <c r="A2412" t="str">
        <f>"20190312154843175"</f>
        <v>20190312154843175</v>
      </c>
      <c r="B2412" t="str">
        <f>"1552376923168433"</f>
        <v>1552376923168433</v>
      </c>
      <c r="C2412" t="s">
        <v>40</v>
      </c>
      <c r="D2412">
        <v>4.7587769999999896</v>
      </c>
      <c r="E2412">
        <v>0.4743</v>
      </c>
      <c r="F2412" t="s">
        <v>50</v>
      </c>
      <c r="G2412">
        <v>-449.89150000000001</v>
      </c>
      <c r="H2412" s="1">
        <v>3.7195999999999999E-6</v>
      </c>
      <c r="I2412">
        <v>284.7851</v>
      </c>
      <c r="J2412">
        <v>-406.90929999999997</v>
      </c>
      <c r="K2412">
        <v>1.1098650000000001</v>
      </c>
      <c r="L2412">
        <v>282.4572</v>
      </c>
      <c r="M2412">
        <v>-0.99906280000000003</v>
      </c>
      <c r="N2412">
        <v>0</v>
      </c>
      <c r="O2412">
        <v>4.0971790000000001E-2</v>
      </c>
      <c r="P2412">
        <v>-0.99212690000000003</v>
      </c>
      <c r="Q2412">
        <v>1.280012E-2</v>
      </c>
      <c r="R2412">
        <v>0.12458180000000001</v>
      </c>
      <c r="S2412">
        <v>-3.0042719999999998</v>
      </c>
      <c r="T2412">
        <v>-7.6933379999999996E-2</v>
      </c>
      <c r="U2412">
        <v>0.162384</v>
      </c>
      <c r="V2412">
        <v>8.3827559999999995E-2</v>
      </c>
      <c r="W2412">
        <v>2.6695239999999999E-2</v>
      </c>
      <c r="X2412">
        <v>0.99612270000000003</v>
      </c>
      <c r="Y2412">
        <v>1.302E-2</v>
      </c>
      <c r="Z2412">
        <v>-8.8130149999999998E-4</v>
      </c>
      <c r="AA2412">
        <v>0.99991479999999999</v>
      </c>
      <c r="AB2412">
        <v>36</v>
      </c>
      <c r="AC2412">
        <v>-42.982199999999999</v>
      </c>
      <c r="AD2412">
        <v>-1.1098612804000001</v>
      </c>
      <c r="AE2412">
        <v>2.3279000000000001</v>
      </c>
      <c r="AF2412">
        <v>0.56434046457563602</v>
      </c>
      <c r="AG2412">
        <v>-1.1098612804000001</v>
      </c>
      <c r="AH2412">
        <v>43.0128937117737</v>
      </c>
      <c r="AI2412">
        <v>91.477947325625706</v>
      </c>
      <c r="AJ2412">
        <v>89.248307452195803</v>
      </c>
      <c r="AK2412">
        <v>43.030910955754003</v>
      </c>
      <c r="AL2412">
        <v>88.470293789729496</v>
      </c>
      <c r="AM2412">
        <v>85.189673585217307</v>
      </c>
      <c r="AN2412">
        <v>1.00000006455474</v>
      </c>
    </row>
    <row r="2413" spans="1:40" x14ac:dyDescent="0.25">
      <c r="A2413" t="str">
        <f>"20190312154843197"</f>
        <v>20190312154843197</v>
      </c>
      <c r="B2413" t="str">
        <f>"1552376923187952"</f>
        <v>1552376923187952</v>
      </c>
      <c r="C2413" t="s">
        <v>40</v>
      </c>
      <c r="D2413">
        <v>4.6765790000000003</v>
      </c>
      <c r="E2413">
        <v>0.44906010000000002</v>
      </c>
      <c r="F2413" t="s">
        <v>50</v>
      </c>
      <c r="G2413">
        <v>-452.20499999999998</v>
      </c>
      <c r="H2413" s="1">
        <v>-3.7650060000000002E-7</v>
      </c>
      <c r="I2413">
        <v>284.91649999999998</v>
      </c>
      <c r="J2413">
        <v>-407.2715</v>
      </c>
      <c r="K2413">
        <v>1.1098859999999999</v>
      </c>
      <c r="L2413">
        <v>282.47199999999998</v>
      </c>
      <c r="M2413">
        <v>-0.99906439999999996</v>
      </c>
      <c r="N2413">
        <v>0</v>
      </c>
      <c r="O2413">
        <v>4.093372E-2</v>
      </c>
      <c r="P2413">
        <v>-0.99212880000000003</v>
      </c>
      <c r="Q2413">
        <v>1.2890449999999999E-2</v>
      </c>
      <c r="R2413">
        <v>0.12455629999999999</v>
      </c>
      <c r="S2413">
        <v>-3.0042719999999998</v>
      </c>
      <c r="T2413">
        <v>-7.3612689999999995E-2</v>
      </c>
      <c r="U2413">
        <v>0.1631165</v>
      </c>
      <c r="V2413">
        <v>8.3838369999999995E-2</v>
      </c>
      <c r="W2413">
        <v>2.6787720000000001E-2</v>
      </c>
      <c r="X2413">
        <v>0.99611930000000004</v>
      </c>
      <c r="Y2413">
        <v>1.3300289999999999E-2</v>
      </c>
      <c r="Z2413">
        <v>-8.3890479999999996E-4</v>
      </c>
      <c r="AA2413">
        <v>0.9999112</v>
      </c>
      <c r="AB2413">
        <v>36</v>
      </c>
      <c r="AC2413">
        <v>-44.933499999999903</v>
      </c>
      <c r="AD2413">
        <v>-1.1098863765006</v>
      </c>
      <c r="AE2413">
        <v>2.4445000000000001</v>
      </c>
      <c r="AF2413">
        <v>0.60260975703035802</v>
      </c>
      <c r="AG2413">
        <v>-1.1098863765006</v>
      </c>
      <c r="AH2413">
        <v>44.968549172719101</v>
      </c>
      <c r="AI2413">
        <v>91.413725650867406</v>
      </c>
      <c r="AJ2413">
        <v>89.232242759455801</v>
      </c>
      <c r="AK2413">
        <v>44.9862801416972</v>
      </c>
      <c r="AL2413">
        <v>88.464993169237303</v>
      </c>
      <c r="AM2413">
        <v>85.189039836108904</v>
      </c>
      <c r="AN2413">
        <v>1.00000005702977</v>
      </c>
    </row>
    <row r="2414" spans="1:40" x14ac:dyDescent="0.25">
      <c r="A2414" t="str">
        <f>"20190312154843220"</f>
        <v>20190312154843220</v>
      </c>
      <c r="B2414" t="str">
        <f>"1552376923208449"</f>
        <v>1552376923208449</v>
      </c>
      <c r="C2414" t="s">
        <v>40</v>
      </c>
      <c r="D2414">
        <v>4.7442500000000001</v>
      </c>
      <c r="E2414">
        <v>0.44059789999999999</v>
      </c>
      <c r="F2414" t="s">
        <v>49</v>
      </c>
      <c r="G2414">
        <v>-478.9307</v>
      </c>
      <c r="H2414" s="1">
        <v>2.3926519999999999E-6</v>
      </c>
      <c r="I2414">
        <v>281.6302</v>
      </c>
      <c r="J2414">
        <v>-407.63069999999999</v>
      </c>
      <c r="K2414">
        <v>1.109912</v>
      </c>
      <c r="L2414">
        <v>282.48669999999998</v>
      </c>
      <c r="M2414">
        <v>-0.99906709999999999</v>
      </c>
      <c r="N2414">
        <v>0</v>
      </c>
      <c r="O2414">
        <v>4.0870589999999998E-2</v>
      </c>
      <c r="P2414">
        <v>-0.99222949999999999</v>
      </c>
      <c r="Q2414">
        <v>1.437984E-2</v>
      </c>
      <c r="R2414">
        <v>0.1235882</v>
      </c>
      <c r="S2414">
        <v>-3.0288390000000001</v>
      </c>
      <c r="T2414">
        <v>-4.6911719999999997E-2</v>
      </c>
      <c r="U2414">
        <v>-3.5583499999999997E-2</v>
      </c>
      <c r="V2414">
        <v>8.2928169999999995E-2</v>
      </c>
      <c r="W2414">
        <v>2.8280610000000001E-2</v>
      </c>
      <c r="X2414">
        <v>0.99615419999999999</v>
      </c>
      <c r="Y2414">
        <v>-5.2598140000000002E-2</v>
      </c>
      <c r="Z2414">
        <v>-1.0402160000000001E-3</v>
      </c>
      <c r="AA2414">
        <v>0.99861520000000004</v>
      </c>
      <c r="AB2414">
        <v>36</v>
      </c>
      <c r="AC2414">
        <v>-71.3</v>
      </c>
      <c r="AD2414">
        <v>-1.1099096073479999</v>
      </c>
      <c r="AE2414">
        <v>-0.85649999999998205</v>
      </c>
      <c r="AF2414">
        <v>-3.7692275065497198</v>
      </c>
      <c r="AG2414">
        <v>-1.1099096073479999</v>
      </c>
      <c r="AH2414">
        <v>71.188156407637607</v>
      </c>
      <c r="AI2414">
        <v>90.891989011328704</v>
      </c>
      <c r="AJ2414">
        <v>93.030832201523395</v>
      </c>
      <c r="AK2414">
        <v>71.296511752335405</v>
      </c>
      <c r="AL2414">
        <v>88.379424387397705</v>
      </c>
      <c r="AM2414">
        <v>85.241195291098506</v>
      </c>
      <c r="AN2414">
        <v>1.0000000322295799</v>
      </c>
    </row>
    <row r="2415" spans="1:40" x14ac:dyDescent="0.25">
      <c r="A2415" t="str">
        <f>"20190312154843242"</f>
        <v>20190312154843242</v>
      </c>
      <c r="B2415" t="str">
        <f>"1552376923227969"</f>
        <v>1552376923227969</v>
      </c>
      <c r="C2415" t="s">
        <v>40</v>
      </c>
      <c r="D2415">
        <v>4.7551189999999997</v>
      </c>
      <c r="E2415">
        <v>0.43660139999999997</v>
      </c>
      <c r="F2415" t="s">
        <v>50</v>
      </c>
      <c r="G2415">
        <v>-461.91180000000003</v>
      </c>
      <c r="H2415" s="1">
        <v>-3.4308989999999999E-7</v>
      </c>
      <c r="I2415">
        <v>280.58240000000001</v>
      </c>
      <c r="J2415">
        <v>-407.97980000000001</v>
      </c>
      <c r="K2415">
        <v>1.1099429999999999</v>
      </c>
      <c r="L2415">
        <v>282.5009</v>
      </c>
      <c r="M2415">
        <v>-0.99907049999999997</v>
      </c>
      <c r="N2415">
        <v>0</v>
      </c>
      <c r="O2415">
        <v>4.0786749999999997E-2</v>
      </c>
      <c r="P2415">
        <v>-0.99236769999999996</v>
      </c>
      <c r="Q2415">
        <v>1.5993799999999999E-2</v>
      </c>
      <c r="R2415">
        <v>0.1222729</v>
      </c>
      <c r="S2415">
        <v>-3.0376590000000001</v>
      </c>
      <c r="T2415">
        <v>-6.211245E-2</v>
      </c>
      <c r="U2415">
        <v>-0.10656740000000001</v>
      </c>
      <c r="V2415">
        <v>8.1690009999999993E-2</v>
      </c>
      <c r="W2415">
        <v>2.989878E-2</v>
      </c>
      <c r="X2415">
        <v>0.99620920000000002</v>
      </c>
      <c r="Y2415">
        <v>-7.5772640000000002E-2</v>
      </c>
      <c r="Z2415">
        <v>-1.6080599999999999E-3</v>
      </c>
      <c r="AA2415">
        <v>0.9971238</v>
      </c>
      <c r="AB2415">
        <v>36</v>
      </c>
      <c r="AC2415">
        <v>-53.932000000000002</v>
      </c>
      <c r="AD2415">
        <v>-1.1099433430898999</v>
      </c>
      <c r="AE2415">
        <v>-1.9184999999999901</v>
      </c>
      <c r="AF2415">
        <v>-4.1150875367516502</v>
      </c>
      <c r="AG2415">
        <v>-1.1099433430898999</v>
      </c>
      <c r="AH2415">
        <v>53.786103548476397</v>
      </c>
      <c r="AI2415">
        <v>91.178758149336801</v>
      </c>
      <c r="AJ2415">
        <v>94.375083871858905</v>
      </c>
      <c r="AK2415">
        <v>53.9547111435825</v>
      </c>
      <c r="AL2415">
        <v>88.286670730605294</v>
      </c>
      <c r="AM2415">
        <v>85.312185272235595</v>
      </c>
      <c r="AN2415">
        <v>0.99999998247196398</v>
      </c>
    </row>
    <row r="2416" spans="1:40" x14ac:dyDescent="0.25">
      <c r="A2416" t="str">
        <f>"20190312154843265"</f>
        <v>20190312154843265</v>
      </c>
      <c r="B2416" t="str">
        <f>"1552376923258084"</f>
        <v>1552376923258084</v>
      </c>
      <c r="C2416" t="s">
        <v>40</v>
      </c>
      <c r="D2416">
        <v>4.7550819999999998</v>
      </c>
      <c r="E2416">
        <v>0.43471769999999998</v>
      </c>
      <c r="F2416" t="s">
        <v>50</v>
      </c>
      <c r="G2416">
        <v>-464.08179999999999</v>
      </c>
      <c r="H2416" s="1">
        <v>8.4250880000000003E-7</v>
      </c>
      <c r="I2416">
        <v>279.87670000000003</v>
      </c>
      <c r="J2416">
        <v>-408.34730000000002</v>
      </c>
      <c r="K2416">
        <v>1.1099730000000001</v>
      </c>
      <c r="L2416">
        <v>282.51580000000001</v>
      </c>
      <c r="M2416">
        <v>-0.99907500000000005</v>
      </c>
      <c r="N2416">
        <v>0</v>
      </c>
      <c r="O2416">
        <v>4.0676650000000002E-2</v>
      </c>
      <c r="P2416">
        <v>-0.99252779999999996</v>
      </c>
      <c r="Q2416">
        <v>1.6596590000000001E-2</v>
      </c>
      <c r="R2416">
        <v>0.12088649999999999</v>
      </c>
      <c r="S2416">
        <v>-3.0415649999999999</v>
      </c>
      <c r="T2416">
        <v>-6.017542E-2</v>
      </c>
      <c r="U2416">
        <v>-0.14227290000000001</v>
      </c>
      <c r="V2416">
        <v>8.0406080000000005E-2</v>
      </c>
      <c r="W2416">
        <v>3.0505520000000001E-2</v>
      </c>
      <c r="X2416">
        <v>0.99629529999999999</v>
      </c>
      <c r="Y2416">
        <v>-8.7297639999999996E-2</v>
      </c>
      <c r="Z2416">
        <v>-1.667354E-3</v>
      </c>
      <c r="AA2416">
        <v>0.99618090000000004</v>
      </c>
      <c r="AB2416">
        <v>36</v>
      </c>
      <c r="AC2416">
        <v>-55.734499999999898</v>
      </c>
      <c r="AD2416">
        <v>-1.10997215749119</v>
      </c>
      <c r="AE2416">
        <v>-2.63909999999998</v>
      </c>
      <c r="AF2416">
        <v>-4.9022886730839303</v>
      </c>
      <c r="AG2416">
        <v>-1.10997215749119</v>
      </c>
      <c r="AH2416">
        <v>55.5590162831515</v>
      </c>
      <c r="AI2416">
        <v>91.140089077479701</v>
      </c>
      <c r="AJ2416">
        <v>95.042474124424302</v>
      </c>
      <c r="AK2416">
        <v>55.785919036761896</v>
      </c>
      <c r="AL2416">
        <v>88.251891295883794</v>
      </c>
      <c r="AM2416">
        <v>85.385940471213502</v>
      </c>
      <c r="AN2416">
        <v>1.00000002462676</v>
      </c>
    </row>
    <row r="2417" spans="1:40" x14ac:dyDescent="0.25">
      <c r="A2417" t="str">
        <f>"20190312154843287"</f>
        <v>20190312154843287</v>
      </c>
      <c r="B2417" t="str">
        <f>"1552376923278580"</f>
        <v>1552376923278580</v>
      </c>
      <c r="C2417" t="s">
        <v>40</v>
      </c>
      <c r="D2417">
        <v>4.7318210000000001</v>
      </c>
      <c r="E2417">
        <v>0.4339383</v>
      </c>
      <c r="F2417" t="s">
        <v>50</v>
      </c>
      <c r="G2417">
        <v>-454.45359999999999</v>
      </c>
      <c r="H2417" s="1">
        <v>1.032437E-6</v>
      </c>
      <c r="I2417">
        <v>280.05770000000001</v>
      </c>
      <c r="J2417">
        <v>-408.68290000000002</v>
      </c>
      <c r="K2417">
        <v>1.1100049999999999</v>
      </c>
      <c r="L2417">
        <v>282.52940000000001</v>
      </c>
      <c r="M2417">
        <v>-0.99907990000000002</v>
      </c>
      <c r="N2417">
        <v>0</v>
      </c>
      <c r="O2417">
        <v>4.055748E-2</v>
      </c>
      <c r="P2417">
        <v>-0.99270930000000002</v>
      </c>
      <c r="Q2417">
        <v>1.664129E-2</v>
      </c>
      <c r="R2417">
        <v>0.1193789</v>
      </c>
      <c r="S2417">
        <v>-3.0435180000000002</v>
      </c>
      <c r="T2417">
        <v>-7.327032E-2</v>
      </c>
      <c r="U2417">
        <v>-0.16226199999999999</v>
      </c>
      <c r="V2417">
        <v>7.9009560000000006E-2</v>
      </c>
      <c r="W2417">
        <v>3.0552699999999999E-2</v>
      </c>
      <c r="X2417">
        <v>0.99640550000000006</v>
      </c>
      <c r="Y2417">
        <v>-9.3659640000000002E-2</v>
      </c>
      <c r="Z2417">
        <v>-2.102142E-3</v>
      </c>
      <c r="AA2417">
        <v>0.99560210000000005</v>
      </c>
      <c r="AB2417">
        <v>36</v>
      </c>
      <c r="AC2417">
        <v>-45.770699999999898</v>
      </c>
      <c r="AD2417">
        <v>-1.110003967563</v>
      </c>
      <c r="AE2417">
        <v>-2.47169999999999</v>
      </c>
      <c r="AF2417">
        <v>-4.3236551795249598</v>
      </c>
      <c r="AG2417">
        <v>-1.110003967563</v>
      </c>
      <c r="AH2417">
        <v>45.606032863661497</v>
      </c>
      <c r="AI2417">
        <v>91.388023825091594</v>
      </c>
      <c r="AJ2417">
        <v>95.415708712933494</v>
      </c>
      <c r="AK2417">
        <v>45.8239711993713</v>
      </c>
      <c r="AL2417">
        <v>88.249186688427301</v>
      </c>
      <c r="AM2417">
        <v>85.466241297241496</v>
      </c>
      <c r="AN2417">
        <v>0.999999949239465</v>
      </c>
    </row>
    <row r="2418" spans="1:40" x14ac:dyDescent="0.25">
      <c r="A2418" t="str">
        <f>"20190312154843309"</f>
        <v>20190312154843309</v>
      </c>
      <c r="B2418" t="str">
        <f>"1552376923298100"</f>
        <v>1552376923298100</v>
      </c>
      <c r="C2418" t="s">
        <v>40</v>
      </c>
      <c r="D2418">
        <v>4.6809219999999998</v>
      </c>
      <c r="E2418">
        <v>0.4332452</v>
      </c>
      <c r="F2418" t="s">
        <v>50</v>
      </c>
      <c r="G2418">
        <v>-451.37860000000001</v>
      </c>
      <c r="H2418" s="1">
        <v>-6.0557179999999995E-7</v>
      </c>
      <c r="I2418">
        <v>280.09620000000001</v>
      </c>
      <c r="J2418">
        <v>-409.04829999999998</v>
      </c>
      <c r="K2418">
        <v>1.1100300000000001</v>
      </c>
      <c r="L2418">
        <v>282.54410000000001</v>
      </c>
      <c r="M2418">
        <v>-0.99908580000000002</v>
      </c>
      <c r="N2418">
        <v>0</v>
      </c>
      <c r="O2418">
        <v>4.041322E-2</v>
      </c>
      <c r="P2418">
        <v>-0.99281249999999999</v>
      </c>
      <c r="Q2418">
        <v>1.7806410000000002E-2</v>
      </c>
      <c r="R2418">
        <v>0.11834799999999999</v>
      </c>
      <c r="S2418">
        <v>-3.0442809999999998</v>
      </c>
      <c r="T2418">
        <v>-7.9145309999999996E-2</v>
      </c>
      <c r="U2418">
        <v>-0.17349239999999999</v>
      </c>
      <c r="V2418">
        <v>7.8117790000000006E-2</v>
      </c>
      <c r="W2418">
        <v>3.1719440000000002E-2</v>
      </c>
      <c r="X2418">
        <v>0.99643939999999998</v>
      </c>
      <c r="Y2418">
        <v>-9.7156140000000002E-2</v>
      </c>
      <c r="Z2418">
        <v>-2.3115229999999998E-3</v>
      </c>
      <c r="AA2418">
        <v>0.99526650000000005</v>
      </c>
      <c r="AB2418">
        <v>36</v>
      </c>
      <c r="AC2418">
        <v>-42.330300000000001</v>
      </c>
      <c r="AD2418">
        <v>-1.1100306055718001</v>
      </c>
      <c r="AE2418">
        <v>-2.4479000000000002</v>
      </c>
      <c r="AF2418">
        <v>-4.1539228577804499</v>
      </c>
      <c r="AG2418">
        <v>-1.1100306055718001</v>
      </c>
      <c r="AH2418">
        <v>42.167874414241702</v>
      </c>
      <c r="AI2418">
        <v>91.500650311049</v>
      </c>
      <c r="AJ2418">
        <v>95.626008910263494</v>
      </c>
      <c r="AK2418">
        <v>42.386517616677999</v>
      </c>
      <c r="AL2418">
        <v>88.182305059253807</v>
      </c>
      <c r="AM2418">
        <v>85.517355336997795</v>
      </c>
      <c r="AN2418">
        <v>0.99999999493037794</v>
      </c>
    </row>
    <row r="2419" spans="1:40" x14ac:dyDescent="0.25">
      <c r="A2419" t="str">
        <f>"20190312154843331"</f>
        <v>20190312154843331</v>
      </c>
      <c r="B2419" t="str">
        <f>"1552376923318595"</f>
        <v>1552376923318595</v>
      </c>
      <c r="C2419" t="s">
        <v>40</v>
      </c>
      <c r="D2419">
        <v>4.7011079999999996</v>
      </c>
      <c r="E2419">
        <v>0.43284329999999999</v>
      </c>
      <c r="F2419" t="s">
        <v>50</v>
      </c>
      <c r="G2419">
        <v>-451.94720000000001</v>
      </c>
      <c r="H2419" s="1">
        <v>-2.9783120000000003E-7</v>
      </c>
      <c r="I2419">
        <v>279.9776</v>
      </c>
      <c r="J2419">
        <v>-409.38979999999998</v>
      </c>
      <c r="K2419">
        <v>1.1100479999999999</v>
      </c>
      <c r="L2419">
        <v>282.55770000000001</v>
      </c>
      <c r="M2419">
        <v>-0.99909170000000003</v>
      </c>
      <c r="N2419">
        <v>0</v>
      </c>
      <c r="O2419">
        <v>4.0269340000000001E-2</v>
      </c>
      <c r="P2419">
        <v>-0.99292219999999998</v>
      </c>
      <c r="Q2419">
        <v>1.9316389999999999E-2</v>
      </c>
      <c r="R2419">
        <v>0.1171851</v>
      </c>
      <c r="S2419">
        <v>-3.0448300000000001</v>
      </c>
      <c r="T2419">
        <v>-7.8786490000000001E-2</v>
      </c>
      <c r="U2419">
        <v>-0.1821594</v>
      </c>
      <c r="V2419">
        <v>7.7093739999999994E-2</v>
      </c>
      <c r="W2419">
        <v>3.3229250000000002E-2</v>
      </c>
      <c r="X2419">
        <v>0.99646999999999997</v>
      </c>
      <c r="Y2419">
        <v>-9.9825200000000003E-2</v>
      </c>
      <c r="Z2419">
        <v>-2.3312319999999999E-3</v>
      </c>
      <c r="AA2419">
        <v>0.99500230000000001</v>
      </c>
      <c r="AB2419">
        <v>36</v>
      </c>
      <c r="AC2419">
        <v>-42.557400000000001</v>
      </c>
      <c r="AD2419">
        <v>-1.1100482978311901</v>
      </c>
      <c r="AE2419">
        <v>-2.5801000000000101</v>
      </c>
      <c r="AF2419">
        <v>-4.2890242165896701</v>
      </c>
      <c r="AG2419">
        <v>-1.1100482978311901</v>
      </c>
      <c r="AH2419">
        <v>42.390229665842398</v>
      </c>
      <c r="AI2419">
        <v>91.492412244871801</v>
      </c>
      <c r="AJ2419">
        <v>95.777499194531899</v>
      </c>
      <c r="AK2419">
        <v>42.621115741811302</v>
      </c>
      <c r="AL2419">
        <v>88.095753753982095</v>
      </c>
      <c r="AM2419">
        <v>85.576019033538998</v>
      </c>
      <c r="AN2419">
        <v>1.0000000443513699</v>
      </c>
    </row>
    <row r="2420" spans="1:40" x14ac:dyDescent="0.25">
      <c r="A2420" t="str">
        <f>"20190312154843353"</f>
        <v>20190312154843353</v>
      </c>
      <c r="B2420" t="str">
        <f>"1552376923347876"</f>
        <v>1552376923347876</v>
      </c>
      <c r="C2420" t="s">
        <v>40</v>
      </c>
      <c r="D2420">
        <v>4.6515230000000001</v>
      </c>
      <c r="E2420">
        <v>0.43233680000000002</v>
      </c>
      <c r="F2420" t="s">
        <v>50</v>
      </c>
      <c r="G2420">
        <v>-453.6746</v>
      </c>
      <c r="H2420" s="1">
        <v>6.2889769999999899E-7</v>
      </c>
      <c r="I2420">
        <v>279.8066</v>
      </c>
      <c r="J2420">
        <v>-409.75150000000002</v>
      </c>
      <c r="K2420">
        <v>1.1100719999999999</v>
      </c>
      <c r="L2420">
        <v>282.57220000000001</v>
      </c>
      <c r="M2420">
        <v>-0.99909809999999999</v>
      </c>
      <c r="N2420">
        <v>0</v>
      </c>
      <c r="O2420">
        <v>4.0112160000000001E-2</v>
      </c>
      <c r="P2420">
        <v>-0.99286739999999996</v>
      </c>
      <c r="Q2420">
        <v>2.1023630000000001E-2</v>
      </c>
      <c r="R2420">
        <v>0.1173569</v>
      </c>
      <c r="S2420">
        <v>-3.0451969999999999</v>
      </c>
      <c r="T2420">
        <v>-7.6331259999999998E-2</v>
      </c>
      <c r="U2420">
        <v>-0.1891785</v>
      </c>
      <c r="V2420">
        <v>7.74233E-2</v>
      </c>
      <c r="W2420">
        <v>3.493487E-2</v>
      </c>
      <c r="X2420">
        <v>0.99638610000000005</v>
      </c>
      <c r="Y2420">
        <v>-0.1019485</v>
      </c>
      <c r="Z2420">
        <v>-2.2808350000000002E-3</v>
      </c>
      <c r="AA2420">
        <v>0.99478699999999998</v>
      </c>
      <c r="AB2420">
        <v>36</v>
      </c>
      <c r="AC2420">
        <v>-43.923099999999899</v>
      </c>
      <c r="AD2420">
        <v>-1.1100713711023</v>
      </c>
      <c r="AE2420">
        <v>-2.7656000000000001</v>
      </c>
      <c r="AF2420">
        <v>-4.5225178565590598</v>
      </c>
      <c r="AG2420">
        <v>-1.1100713711023</v>
      </c>
      <c r="AH2420">
        <v>43.7489648131791</v>
      </c>
      <c r="AI2420">
        <v>91.445790559028893</v>
      </c>
      <c r="AJ2420">
        <v>95.901946475058296</v>
      </c>
      <c r="AK2420">
        <v>43.996106059930099</v>
      </c>
      <c r="AL2420">
        <v>87.997972095605405</v>
      </c>
      <c r="AM2420">
        <v>85.556810367416801</v>
      </c>
      <c r="AN2420">
        <v>1.000000036399</v>
      </c>
    </row>
    <row r="2421" spans="1:40" x14ac:dyDescent="0.25">
      <c r="A2421" t="str">
        <f>"20190312154843376"</f>
        <v>20190312154843376</v>
      </c>
      <c r="B2421" t="str">
        <f>"1552376923368375"</f>
        <v>1552376923368375</v>
      </c>
      <c r="C2421" t="s">
        <v>40</v>
      </c>
      <c r="D2421">
        <v>4.6660979999999999</v>
      </c>
      <c r="E2421">
        <v>0.43221320000000002</v>
      </c>
      <c r="F2421" t="s">
        <v>50</v>
      </c>
      <c r="G2421">
        <v>-456.54849999999999</v>
      </c>
      <c r="H2421">
        <v>3.7319949999999998E-2</v>
      </c>
      <c r="I2421">
        <v>279.61630000000002</v>
      </c>
      <c r="J2421">
        <v>-410.09739999999999</v>
      </c>
      <c r="K2421">
        <v>1.110085</v>
      </c>
      <c r="L2421">
        <v>282.58600000000001</v>
      </c>
      <c r="M2421">
        <v>-0.9991042</v>
      </c>
      <c r="N2421">
        <v>0</v>
      </c>
      <c r="O2421">
        <v>3.996044E-2</v>
      </c>
      <c r="P2421">
        <v>-0.99286850000000004</v>
      </c>
      <c r="Q2421">
        <v>2.1500060000000001E-2</v>
      </c>
      <c r="R2421">
        <v>0.1172612</v>
      </c>
      <c r="S2421">
        <v>-3.045776</v>
      </c>
      <c r="T2421">
        <v>-6.9819930000000002E-2</v>
      </c>
      <c r="U2421">
        <v>-0.19238279999999999</v>
      </c>
      <c r="V2421">
        <v>7.7478359999999996E-2</v>
      </c>
      <c r="W2421">
        <v>3.5409980000000001E-2</v>
      </c>
      <c r="X2421">
        <v>0.99636499999999995</v>
      </c>
      <c r="Y2421">
        <v>-0.1028353</v>
      </c>
      <c r="Z2421">
        <v>-2.0925430000000001E-3</v>
      </c>
      <c r="AA2421">
        <v>0.99469620000000003</v>
      </c>
      <c r="AB2421">
        <v>35</v>
      </c>
      <c r="AC2421">
        <v>-46.451099999999997</v>
      </c>
      <c r="AD2421">
        <v>-1.0727650500000001</v>
      </c>
      <c r="AE2421">
        <v>-2.96969999999998</v>
      </c>
      <c r="AF2421">
        <v>-4.8211530416032096</v>
      </c>
      <c r="AG2421">
        <v>-1.0727650500000001</v>
      </c>
      <c r="AH2421">
        <v>46.2707302249379</v>
      </c>
      <c r="AI2421">
        <v>91.320988947461501</v>
      </c>
      <c r="AJ2421">
        <v>95.948437529280895</v>
      </c>
      <c r="AK2421">
        <v>46.533588052631899</v>
      </c>
      <c r="AL2421">
        <v>87.970733346785295</v>
      </c>
      <c r="AM2421">
        <v>85.553569452950398</v>
      </c>
      <c r="AN2421">
        <v>0.99999998808844404</v>
      </c>
    </row>
    <row r="2422" spans="1:40" x14ac:dyDescent="0.25">
      <c r="A2422" t="str">
        <f>"20190312154843398"</f>
        <v>20190312154843398</v>
      </c>
      <c r="B2422" t="str">
        <f>"1552376923387892"</f>
        <v>1552376923387892</v>
      </c>
      <c r="C2422" t="s">
        <v>40</v>
      </c>
      <c r="D2422">
        <v>4.6630060000000002</v>
      </c>
      <c r="E2422">
        <v>0.4320522</v>
      </c>
      <c r="F2422" t="s">
        <v>50</v>
      </c>
      <c r="G2422">
        <v>-456.8039</v>
      </c>
      <c r="H2422">
        <v>3.659983E-2</v>
      </c>
      <c r="I2422">
        <v>279.61630000000002</v>
      </c>
      <c r="J2422">
        <v>-410.45760000000001</v>
      </c>
      <c r="K2422">
        <v>1.1100920000000001</v>
      </c>
      <c r="L2422">
        <v>282.60019999999997</v>
      </c>
      <c r="M2422">
        <v>-0.99911050000000001</v>
      </c>
      <c r="N2422">
        <v>0</v>
      </c>
      <c r="O2422">
        <v>3.9803150000000002E-2</v>
      </c>
      <c r="P2422">
        <v>-0.99285979999999996</v>
      </c>
      <c r="Q2422">
        <v>2.138338E-2</v>
      </c>
      <c r="R2422">
        <v>0.117355</v>
      </c>
      <c r="S2422">
        <v>-3.0459589999999999</v>
      </c>
      <c r="T2422">
        <v>-7.000721E-2</v>
      </c>
      <c r="U2422">
        <v>-0.19366459999999999</v>
      </c>
      <c r="V2422">
        <v>7.7728870000000005E-2</v>
      </c>
      <c r="W2422">
        <v>3.5291799999999998E-2</v>
      </c>
      <c r="X2422">
        <v>0.9963497</v>
      </c>
      <c r="Y2422">
        <v>-0.10309160000000001</v>
      </c>
      <c r="Z2422">
        <v>-2.0973329999999998E-3</v>
      </c>
      <c r="AA2422">
        <v>0.99466969999999999</v>
      </c>
      <c r="AB2422">
        <v>35</v>
      </c>
      <c r="AC2422">
        <v>-46.3462999999999</v>
      </c>
      <c r="AD2422">
        <v>-1.07349217</v>
      </c>
      <c r="AE2422">
        <v>-2.9838999999999398</v>
      </c>
      <c r="AF2422">
        <v>-4.8238652337277399</v>
      </c>
      <c r="AG2422">
        <v>-1.07349217</v>
      </c>
      <c r="AH2422">
        <v>46.166119416869897</v>
      </c>
      <c r="AI2422">
        <v>91.324837966275197</v>
      </c>
      <c r="AJ2422">
        <v>95.965149217131298</v>
      </c>
      <c r="AK2422">
        <v>46.429868008049702</v>
      </c>
      <c r="AL2422">
        <v>87.977508834329299</v>
      </c>
      <c r="AM2422">
        <v>85.539182562115201</v>
      </c>
      <c r="AN2422">
        <v>1.0000000065343999</v>
      </c>
    </row>
    <row r="2423" spans="1:40" x14ac:dyDescent="0.25">
      <c r="A2423" t="str">
        <f>"20190312154843421"</f>
        <v>20190312154843421</v>
      </c>
      <c r="B2423" t="str">
        <f>"1552376923408388"</f>
        <v>1552376923408388</v>
      </c>
      <c r="C2423" t="s">
        <v>40</v>
      </c>
      <c r="D2423">
        <v>4.6530459999999998</v>
      </c>
      <c r="E2423">
        <v>0.43176740000000002</v>
      </c>
      <c r="F2423" t="s">
        <v>50</v>
      </c>
      <c r="G2423">
        <v>-457.15469999999999</v>
      </c>
      <c r="H2423">
        <v>3.1570510000000003E-2</v>
      </c>
      <c r="I2423">
        <v>279.61630000000002</v>
      </c>
      <c r="J2423">
        <v>-410.81630000000001</v>
      </c>
      <c r="K2423">
        <v>1.110096</v>
      </c>
      <c r="L2423">
        <v>282.61430000000001</v>
      </c>
      <c r="M2423">
        <v>-0.99911660000000002</v>
      </c>
      <c r="N2423">
        <v>0</v>
      </c>
      <c r="O2423">
        <v>3.9647849999999998E-2</v>
      </c>
      <c r="P2423">
        <v>-0.99280849999999998</v>
      </c>
      <c r="Q2423">
        <v>2.3068539999999998E-2</v>
      </c>
      <c r="R2423">
        <v>0.11747050000000001</v>
      </c>
      <c r="S2423">
        <v>-3.0460820000000002</v>
      </c>
      <c r="T2423">
        <v>-7.0352670000000006E-2</v>
      </c>
      <c r="U2423">
        <v>-0.19464110000000001</v>
      </c>
      <c r="V2423">
        <v>7.8000659999999999E-2</v>
      </c>
      <c r="W2423">
        <v>3.6974420000000001E-2</v>
      </c>
      <c r="X2423">
        <v>0.99626740000000003</v>
      </c>
      <c r="Y2423">
        <v>-0.1032517</v>
      </c>
      <c r="Z2423">
        <v>-2.1058399999999999E-3</v>
      </c>
      <c r="AA2423">
        <v>0.99465300000000001</v>
      </c>
      <c r="AB2423">
        <v>35</v>
      </c>
      <c r="AC2423">
        <v>-46.338399999999901</v>
      </c>
      <c r="AD2423">
        <v>-1.0785254900000001</v>
      </c>
      <c r="AE2423">
        <v>-2.99799999999999</v>
      </c>
      <c r="AF2423">
        <v>-4.83043263233992</v>
      </c>
      <c r="AG2423">
        <v>-1.0785254900000001</v>
      </c>
      <c r="AH2423">
        <v>46.1581811370107</v>
      </c>
      <c r="AI2423">
        <v>91.331254322444394</v>
      </c>
      <c r="AJ2423">
        <v>95.974231571430806</v>
      </c>
      <c r="AK2423">
        <v>46.4227743949588</v>
      </c>
      <c r="AL2423">
        <v>87.881038728446001</v>
      </c>
      <c r="AM2423">
        <v>85.523279685516101</v>
      </c>
      <c r="AN2423">
        <v>0.99999997149876496</v>
      </c>
    </row>
    <row r="2424" spans="1:40" x14ac:dyDescent="0.25">
      <c r="A2424" t="str">
        <f>"20190312154843443"</f>
        <v>20190312154843443</v>
      </c>
      <c r="B2424" t="str">
        <f>"1552376923438647"</f>
        <v>1552376923438647</v>
      </c>
      <c r="C2424" t="s">
        <v>40</v>
      </c>
      <c r="D2424">
        <v>4.6677549999999997</v>
      </c>
      <c r="E2424">
        <v>0.43127539999999998</v>
      </c>
      <c r="F2424" t="s">
        <v>50</v>
      </c>
      <c r="G2424">
        <v>-459.9452</v>
      </c>
      <c r="H2424">
        <v>8.0000230000000006E-2</v>
      </c>
      <c r="I2424">
        <v>279.44690000000003</v>
      </c>
      <c r="J2424">
        <v>-411.166</v>
      </c>
      <c r="K2424">
        <v>1.1101080000000001</v>
      </c>
      <c r="L2424">
        <v>282.62810000000002</v>
      </c>
      <c r="M2424">
        <v>-0.99912259999999997</v>
      </c>
      <c r="N2424">
        <v>0</v>
      </c>
      <c r="O2424">
        <v>3.9497629999999999E-2</v>
      </c>
      <c r="P2424">
        <v>-0.99273279999999997</v>
      </c>
      <c r="Q2424">
        <v>2.520739E-2</v>
      </c>
      <c r="R2424">
        <v>0.11767030000000001</v>
      </c>
      <c r="S2424">
        <v>-3.0464479999999998</v>
      </c>
      <c r="T2424">
        <v>-6.3875559999999998E-2</v>
      </c>
      <c r="U2424">
        <v>-0.19641110000000001</v>
      </c>
      <c r="V2424">
        <v>7.8352260000000007E-2</v>
      </c>
      <c r="W2424">
        <v>3.9110520000000003E-2</v>
      </c>
      <c r="X2424">
        <v>0.99615819999999999</v>
      </c>
      <c r="Y2424">
        <v>-0.1036767</v>
      </c>
      <c r="Z2424">
        <v>-1.913049E-3</v>
      </c>
      <c r="AA2424">
        <v>0.99460919999999997</v>
      </c>
      <c r="AB2424">
        <v>35</v>
      </c>
      <c r="AC2424">
        <v>-48.779200000000003</v>
      </c>
      <c r="AD2424">
        <v>-1.0301077700000001</v>
      </c>
      <c r="AE2424">
        <v>-3.1811999999999898</v>
      </c>
      <c r="AF2424">
        <v>-5.1033005595306502</v>
      </c>
      <c r="AG2424">
        <v>-1.0301077700000001</v>
      </c>
      <c r="AH2424">
        <v>48.593887251882002</v>
      </c>
      <c r="AI2424">
        <v>91.207751264807598</v>
      </c>
      <c r="AJ2424">
        <v>95.995191986872001</v>
      </c>
      <c r="AK2424">
        <v>48.871982534652098</v>
      </c>
      <c r="AL2424">
        <v>87.758560444665605</v>
      </c>
      <c r="AM2424">
        <v>85.502691835460197</v>
      </c>
      <c r="AN2424">
        <v>0.99999993442450597</v>
      </c>
    </row>
    <row r="2425" spans="1:40" x14ac:dyDescent="0.25">
      <c r="A2425" t="str">
        <f>"20190312154843465"</f>
        <v>20190312154843465</v>
      </c>
      <c r="B2425" t="str">
        <f>"1552376923458671"</f>
        <v>1552376923458671</v>
      </c>
      <c r="C2425" t="s">
        <v>40</v>
      </c>
      <c r="D2425">
        <v>4.635548</v>
      </c>
      <c r="E2425">
        <v>0.4310042</v>
      </c>
      <c r="F2425" t="s">
        <v>50</v>
      </c>
      <c r="G2425">
        <v>-466.1413</v>
      </c>
      <c r="H2425">
        <v>8.0001379999999997E-2</v>
      </c>
      <c r="I2425">
        <v>279.02170000000001</v>
      </c>
      <c r="J2425">
        <v>-411.5104</v>
      </c>
      <c r="K2425">
        <v>1.1101099999999999</v>
      </c>
      <c r="L2425">
        <v>282.64150000000001</v>
      </c>
      <c r="M2425">
        <v>-0.99912849999999997</v>
      </c>
      <c r="N2425">
        <v>0</v>
      </c>
      <c r="O2425">
        <v>3.9349460000000003E-2</v>
      </c>
      <c r="P2425">
        <v>-0.99269320000000005</v>
      </c>
      <c r="Q2425">
        <v>2.6776970000000001E-2</v>
      </c>
      <c r="R2425">
        <v>0.1176582</v>
      </c>
      <c r="S2425">
        <v>-3.0471189999999999</v>
      </c>
      <c r="T2425">
        <v>-5.7095769999999997E-2</v>
      </c>
      <c r="U2425">
        <v>-0.19989009999999999</v>
      </c>
      <c r="V2425">
        <v>7.8489110000000001E-2</v>
      </c>
      <c r="W2425">
        <v>4.0677119999999997E-2</v>
      </c>
      <c r="X2425">
        <v>0.99608470000000005</v>
      </c>
      <c r="Y2425">
        <v>-0.104652</v>
      </c>
      <c r="Z2425">
        <v>-1.7159530000000001E-3</v>
      </c>
      <c r="AA2425">
        <v>0.99450740000000004</v>
      </c>
      <c r="AB2425">
        <v>35</v>
      </c>
      <c r="AC2425">
        <v>-54.630899999999997</v>
      </c>
      <c r="AD2425">
        <v>-1.03010862</v>
      </c>
      <c r="AE2425">
        <v>-3.6197999999999899</v>
      </c>
      <c r="AF2425">
        <v>-5.7648600895401998</v>
      </c>
      <c r="AG2425">
        <v>-1.03010862</v>
      </c>
      <c r="AH2425">
        <v>54.426863347056901</v>
      </c>
      <c r="AI2425">
        <v>91.078247553689394</v>
      </c>
      <c r="AJ2425">
        <v>96.046190615467196</v>
      </c>
      <c r="AK2425">
        <v>54.741010124222001</v>
      </c>
      <c r="AL2425">
        <v>87.668729383092099</v>
      </c>
      <c r="AM2425">
        <v>85.494538088330899</v>
      </c>
      <c r="AN2425">
        <v>0.999999949027087</v>
      </c>
    </row>
    <row r="2426" spans="1:40" x14ac:dyDescent="0.25">
      <c r="A2426" t="str">
        <f>"20190312154843487"</f>
        <v>20190312154843487</v>
      </c>
      <c r="B2426" t="str">
        <f>"1552376923478192"</f>
        <v>1552376923478192</v>
      </c>
      <c r="C2426" t="s">
        <v>40</v>
      </c>
      <c r="D2426">
        <v>4.6571579999999999</v>
      </c>
      <c r="E2426">
        <v>0.43082229999999999</v>
      </c>
      <c r="F2426" t="s">
        <v>49</v>
      </c>
      <c r="G2426">
        <v>-471.91019999999997</v>
      </c>
      <c r="H2426">
        <v>8.0000500000000002E-2</v>
      </c>
      <c r="I2426">
        <v>278.63920000000002</v>
      </c>
      <c r="J2426">
        <v>-411.86250000000001</v>
      </c>
      <c r="K2426">
        <v>1.1101049999999999</v>
      </c>
      <c r="L2426">
        <v>282.65519999999998</v>
      </c>
      <c r="M2426">
        <v>-0.99913439999999998</v>
      </c>
      <c r="N2426">
        <v>0</v>
      </c>
      <c r="O2426">
        <v>3.9198610000000002E-2</v>
      </c>
      <c r="P2426">
        <v>-0.99273509999999998</v>
      </c>
      <c r="Q2426">
        <v>2.617092E-2</v>
      </c>
      <c r="R2426">
        <v>0.1174418</v>
      </c>
      <c r="S2426">
        <v>-3.0474549999999998</v>
      </c>
      <c r="T2426">
        <v>-5.1973819999999997E-2</v>
      </c>
      <c r="U2426">
        <v>-0.2019348</v>
      </c>
      <c r="V2426">
        <v>7.8421770000000002E-2</v>
      </c>
      <c r="W2426">
        <v>4.0069170000000001E-2</v>
      </c>
      <c r="X2426">
        <v>0.99611470000000002</v>
      </c>
      <c r="Y2426">
        <v>-0.1051633</v>
      </c>
      <c r="Z2426">
        <v>-1.5636230000000001E-3</v>
      </c>
      <c r="AA2426">
        <v>0.9944537</v>
      </c>
      <c r="AB2426">
        <v>35</v>
      </c>
      <c r="AC2426">
        <v>-60.047699999999899</v>
      </c>
      <c r="AD2426">
        <v>-1.0301045</v>
      </c>
      <c r="AE2426">
        <v>-4.01599999999996</v>
      </c>
      <c r="AF2426">
        <v>-6.3650626818526197</v>
      </c>
      <c r="AG2426">
        <v>-1.0301045</v>
      </c>
      <c r="AH2426">
        <v>59.826576118502302</v>
      </c>
      <c r="AI2426">
        <v>90.980896539093095</v>
      </c>
      <c r="AJ2426">
        <v>96.072961438572193</v>
      </c>
      <c r="AK2426">
        <v>60.173036721506598</v>
      </c>
      <c r="AL2426">
        <v>87.703590904280901</v>
      </c>
      <c r="AM2426">
        <v>85.498522687992903</v>
      </c>
      <c r="AN2426">
        <v>1.0000000039752499</v>
      </c>
    </row>
    <row r="2427" spans="1:40" x14ac:dyDescent="0.25">
      <c r="A2427" t="str">
        <f>"20190312154843509"</f>
        <v>20190312154843509</v>
      </c>
      <c r="B2427" t="str">
        <f>"1552376923498691"</f>
        <v>1552376923498691</v>
      </c>
      <c r="C2427" t="s">
        <v>40</v>
      </c>
      <c r="D2427">
        <v>4.6416649999999997</v>
      </c>
      <c r="E2427">
        <v>0.43068190000000001</v>
      </c>
      <c r="F2427" t="s">
        <v>49</v>
      </c>
      <c r="G2427">
        <v>-471.37119999999999</v>
      </c>
      <c r="H2427">
        <v>8.0000580000000002E-2</v>
      </c>
      <c r="I2427">
        <v>278.67149999999998</v>
      </c>
      <c r="J2427">
        <v>-412.21749999999997</v>
      </c>
      <c r="K2427">
        <v>1.1101019999999999</v>
      </c>
      <c r="L2427">
        <v>282.66899999999998</v>
      </c>
      <c r="M2427">
        <v>-0.99914040000000004</v>
      </c>
      <c r="N2427">
        <v>0</v>
      </c>
      <c r="O2427">
        <v>3.9046400000000002E-2</v>
      </c>
      <c r="P2427">
        <v>-0.99272749999999998</v>
      </c>
      <c r="Q2427">
        <v>2.5306820000000001E-2</v>
      </c>
      <c r="R2427">
        <v>0.1176938</v>
      </c>
      <c r="S2427">
        <v>-3.0474549999999998</v>
      </c>
      <c r="T2427">
        <v>-5.2751899999999997E-2</v>
      </c>
      <c r="U2427">
        <v>-0.20401</v>
      </c>
      <c r="V2427">
        <v>7.8825859999999998E-2</v>
      </c>
      <c r="W2427">
        <v>3.9202960000000002E-2</v>
      </c>
      <c r="X2427">
        <v>0.99611729999999998</v>
      </c>
      <c r="Y2427">
        <v>-0.1056853</v>
      </c>
      <c r="Z2427">
        <v>-1.5888740000000001E-3</v>
      </c>
      <c r="AA2427">
        <v>0.99439840000000002</v>
      </c>
      <c r="AB2427">
        <v>35</v>
      </c>
      <c r="AC2427">
        <v>-59.153700000000001</v>
      </c>
      <c r="AD2427">
        <v>-1.03010142</v>
      </c>
      <c r="AE2427">
        <v>-3.9975000000000498</v>
      </c>
      <c r="AF2427">
        <v>-6.3025113057151403</v>
      </c>
      <c r="AG2427">
        <v>-1.03010142</v>
      </c>
      <c r="AH2427">
        <v>58.934686932813698</v>
      </c>
      <c r="AI2427">
        <v>90.995677401118698</v>
      </c>
      <c r="AJ2427">
        <v>96.104046865493601</v>
      </c>
      <c r="AK2427">
        <v>59.279676800425598</v>
      </c>
      <c r="AL2427">
        <v>87.753260176343005</v>
      </c>
      <c r="AM2427">
        <v>85.475435399181293</v>
      </c>
      <c r="AN2427">
        <v>1.0000000318183899</v>
      </c>
    </row>
    <row r="2428" spans="1:40" x14ac:dyDescent="0.25">
      <c r="A2428" t="str">
        <f>"20190312154843531"</f>
        <v>20190312154843531</v>
      </c>
      <c r="B2428" t="str">
        <f>"1552376923527967"</f>
        <v>1552376923527967</v>
      </c>
      <c r="C2428" t="s">
        <v>40</v>
      </c>
      <c r="D2428">
        <v>4.6384040000000004</v>
      </c>
      <c r="E2428">
        <v>0.43053520000000001</v>
      </c>
      <c r="F2428" t="s">
        <v>50</v>
      </c>
      <c r="G2428">
        <v>-469.27229999999997</v>
      </c>
      <c r="H2428">
        <v>8.0000459999999995E-2</v>
      </c>
      <c r="I2428">
        <v>278.84179999999998</v>
      </c>
      <c r="J2428">
        <v>-412.56790000000001</v>
      </c>
      <c r="K2428">
        <v>1.110101</v>
      </c>
      <c r="L2428">
        <v>282.68259999999998</v>
      </c>
      <c r="M2428">
        <v>-0.99914630000000004</v>
      </c>
      <c r="N2428">
        <v>0</v>
      </c>
      <c r="O2428">
        <v>3.8896519999999997E-2</v>
      </c>
      <c r="P2428">
        <v>-0.99275899999999995</v>
      </c>
      <c r="Q2428">
        <v>2.463547E-2</v>
      </c>
      <c r="R2428">
        <v>0.1175707</v>
      </c>
      <c r="S2428">
        <v>-3.0476380000000001</v>
      </c>
      <c r="T2428">
        <v>-5.5023910000000002E-2</v>
      </c>
      <c r="U2428">
        <v>-0.20443729999999999</v>
      </c>
      <c r="V2428">
        <v>7.8851340000000006E-2</v>
      </c>
      <c r="W2428">
        <v>3.8530179999999997E-2</v>
      </c>
      <c r="X2428">
        <v>0.99614150000000001</v>
      </c>
      <c r="Y2428">
        <v>-0.1056691</v>
      </c>
      <c r="Z2428">
        <v>-1.6543389999999999E-3</v>
      </c>
      <c r="AA2428">
        <v>0.99439999999999995</v>
      </c>
      <c r="AB2428">
        <v>35</v>
      </c>
      <c r="AC2428">
        <v>-56.7043999999999</v>
      </c>
      <c r="AD2428">
        <v>-1.0301005400000001</v>
      </c>
      <c r="AE2428">
        <v>-3.8408000000000002</v>
      </c>
      <c r="AF2428">
        <v>-6.0417256780083397</v>
      </c>
      <c r="AG2428">
        <v>-1.0301005400000001</v>
      </c>
      <c r="AH2428">
        <v>56.493513838809001</v>
      </c>
      <c r="AI2428">
        <v>91.038691526636896</v>
      </c>
      <c r="AJ2428">
        <v>96.104322526195503</v>
      </c>
      <c r="AK2428">
        <v>56.825000326850102</v>
      </c>
      <c r="AL2428">
        <v>87.791836704467897</v>
      </c>
      <c r="AM2428">
        <v>85.474088432821802</v>
      </c>
      <c r="AN2428">
        <v>0.99999999830643904</v>
      </c>
    </row>
    <row r="2429" spans="1:40" x14ac:dyDescent="0.25">
      <c r="A2429" t="str">
        <f>"20190312154843554"</f>
        <v>20190312154843554</v>
      </c>
      <c r="B2429" t="str">
        <f>"1552376923547994"</f>
        <v>1552376923547994</v>
      </c>
      <c r="C2429" t="s">
        <v>40</v>
      </c>
      <c r="D2429">
        <v>4.6588940000000001</v>
      </c>
      <c r="E2429">
        <v>0.43041610000000002</v>
      </c>
      <c r="F2429" t="s">
        <v>50</v>
      </c>
      <c r="G2429">
        <v>-467.07530000000003</v>
      </c>
      <c r="H2429">
        <v>8.0001089999999997E-2</v>
      </c>
      <c r="I2429">
        <v>278.99520000000001</v>
      </c>
      <c r="J2429">
        <v>-412.91989999999998</v>
      </c>
      <c r="K2429">
        <v>1.1101000000000001</v>
      </c>
      <c r="L2429">
        <v>282.6961</v>
      </c>
      <c r="M2429">
        <v>-0.99915220000000005</v>
      </c>
      <c r="N2429">
        <v>0</v>
      </c>
      <c r="O2429">
        <v>3.8745679999999998E-2</v>
      </c>
      <c r="P2429">
        <v>-0.99275190000000002</v>
      </c>
      <c r="Q2429">
        <v>2.4211429999999999E-2</v>
      </c>
      <c r="R2429">
        <v>0.11771959999999999</v>
      </c>
      <c r="S2429">
        <v>-3.0477289999999999</v>
      </c>
      <c r="T2429">
        <v>-5.7597040000000002E-2</v>
      </c>
      <c r="U2429">
        <v>-0.20617679999999999</v>
      </c>
      <c r="V2429">
        <v>7.9151070000000004E-2</v>
      </c>
      <c r="W2429">
        <v>3.8103720000000001E-2</v>
      </c>
      <c r="X2429">
        <v>0.99613419999999997</v>
      </c>
      <c r="Y2429">
        <v>-0.1060796</v>
      </c>
      <c r="Z2429">
        <v>-1.7326329999999999E-3</v>
      </c>
      <c r="AA2429">
        <v>0.99435620000000002</v>
      </c>
      <c r="AB2429">
        <v>35</v>
      </c>
      <c r="AC2429">
        <v>-54.1554</v>
      </c>
      <c r="AD2429">
        <v>-1.03009891</v>
      </c>
      <c r="AE2429">
        <v>-3.7008999999999901</v>
      </c>
      <c r="AF2429">
        <v>-5.7945247284911998</v>
      </c>
      <c r="AG2429">
        <v>-1.03009891</v>
      </c>
      <c r="AH2429">
        <v>53.951889971023597</v>
      </c>
      <c r="AI2429">
        <v>91.087557557075002</v>
      </c>
      <c r="AJ2429">
        <v>96.130165478926301</v>
      </c>
      <c r="AK2429">
        <v>54.271945349682397</v>
      </c>
      <c r="AL2429">
        <v>87.8162891651845</v>
      </c>
      <c r="AM2429">
        <v>85.456923249888504</v>
      </c>
      <c r="AN2429">
        <v>1.0000000648848</v>
      </c>
    </row>
    <row r="2430" spans="1:40" x14ac:dyDescent="0.25">
      <c r="A2430" t="str">
        <f>"20190312154843577"</f>
        <v>20190312154843577</v>
      </c>
      <c r="B2430" t="str">
        <f>"1552376923568490"</f>
        <v>1552376923568490</v>
      </c>
      <c r="C2430" t="s">
        <v>40</v>
      </c>
      <c r="D2430">
        <v>4.6712449999999999</v>
      </c>
      <c r="E2430">
        <v>0.43033719999999998</v>
      </c>
      <c r="F2430" t="s">
        <v>50</v>
      </c>
      <c r="G2430">
        <v>-465.34899999999999</v>
      </c>
      <c r="H2430">
        <v>8.0001589999999997E-2</v>
      </c>
      <c r="I2430">
        <v>279.13900000000001</v>
      </c>
      <c r="J2430">
        <v>-413.2688</v>
      </c>
      <c r="K2430">
        <v>1.110098</v>
      </c>
      <c r="L2430">
        <v>282.70949999999999</v>
      </c>
      <c r="M2430">
        <v>-0.99915810000000005</v>
      </c>
      <c r="N2430">
        <v>0</v>
      </c>
      <c r="O2430">
        <v>3.8596270000000002E-2</v>
      </c>
      <c r="P2430">
        <v>-0.99276019999999998</v>
      </c>
      <c r="Q2430">
        <v>2.3860200000000002E-2</v>
      </c>
      <c r="R2430">
        <v>0.117720699999999</v>
      </c>
      <c r="S2430">
        <v>-3.0478519999999998</v>
      </c>
      <c r="T2430">
        <v>-5.9882520000000002E-2</v>
      </c>
      <c r="U2430">
        <v>-0.2067871</v>
      </c>
      <c r="V2430">
        <v>7.9300780000000001E-2</v>
      </c>
      <c r="W2430">
        <v>3.7751119999999999E-2</v>
      </c>
      <c r="X2430">
        <v>0.99613569999999996</v>
      </c>
      <c r="Y2430">
        <v>-0.10612439999999999</v>
      </c>
      <c r="Z2430">
        <v>-1.798795E-3</v>
      </c>
      <c r="AA2430">
        <v>0.99435119999999999</v>
      </c>
      <c r="AB2430">
        <v>35</v>
      </c>
      <c r="AC2430">
        <v>-52.080199999999898</v>
      </c>
      <c r="AD2430">
        <v>-1.0300964100000001</v>
      </c>
      <c r="AE2430">
        <v>-3.57049999999998</v>
      </c>
      <c r="AF2430">
        <v>-5.5759637715304002</v>
      </c>
      <c r="AG2430">
        <v>-1.0300964100000001</v>
      </c>
      <c r="AH2430">
        <v>51.883363151884197</v>
      </c>
      <c r="AI2430">
        <v>91.130895032614106</v>
      </c>
      <c r="AJ2430">
        <v>96.134098218228502</v>
      </c>
      <c r="AK2430">
        <v>52.192296774003097</v>
      </c>
      <c r="AL2430">
        <v>87.836506162898999</v>
      </c>
      <c r="AM2430">
        <v>85.448373162589903</v>
      </c>
      <c r="AN2430">
        <v>1.0000000467921699</v>
      </c>
    </row>
    <row r="2431" spans="1:40" x14ac:dyDescent="0.25">
      <c r="A2431" t="str">
        <f>"20190312154843600"</f>
        <v>20190312154843600</v>
      </c>
      <c r="B2431" t="str">
        <f>"1552376923588010"</f>
        <v>1552376923588010</v>
      </c>
      <c r="C2431" t="s">
        <v>40</v>
      </c>
      <c r="D2431">
        <v>4.7027239999999999</v>
      </c>
      <c r="E2431">
        <v>0.43020740000000002</v>
      </c>
      <c r="F2431" t="s">
        <v>50</v>
      </c>
      <c r="G2431">
        <v>-464.38279999999997</v>
      </c>
      <c r="H2431">
        <v>8.0000420000000003E-2</v>
      </c>
      <c r="I2431">
        <v>279.23390000000001</v>
      </c>
      <c r="J2431">
        <v>-413.62950000000001</v>
      </c>
      <c r="K2431">
        <v>1.1100909999999999</v>
      </c>
      <c r="L2431">
        <v>282.72329999999999</v>
      </c>
      <c r="M2431">
        <v>-0.99916400000000005</v>
      </c>
      <c r="N2431">
        <v>0</v>
      </c>
      <c r="O2431">
        <v>3.8441749999999997E-2</v>
      </c>
      <c r="P2431">
        <v>-0.99278069999999896</v>
      </c>
      <c r="Q2431">
        <v>2.3580839999999999E-2</v>
      </c>
      <c r="R2431">
        <v>0.11760329999999999</v>
      </c>
      <c r="S2431">
        <v>-3.0479129999999999</v>
      </c>
      <c r="T2431">
        <v>-6.1424369999999999E-2</v>
      </c>
      <c r="U2431">
        <v>-0.20724490000000001</v>
      </c>
      <c r="V2431">
        <v>7.9336939999999995E-2</v>
      </c>
      <c r="W2431">
        <v>3.7469500000000003E-2</v>
      </c>
      <c r="X2431">
        <v>0.99614340000000001</v>
      </c>
      <c r="Y2431">
        <v>-0.1061165</v>
      </c>
      <c r="Z2431">
        <v>-1.841865E-3</v>
      </c>
      <c r="AA2431">
        <v>0.99435200000000001</v>
      </c>
      <c r="AB2431">
        <v>35</v>
      </c>
      <c r="AC2431">
        <v>-50.753299999999903</v>
      </c>
      <c r="AD2431">
        <v>-1.03009058</v>
      </c>
      <c r="AE2431">
        <v>-3.4893999999999799</v>
      </c>
      <c r="AF2431">
        <v>-5.4358261393581104</v>
      </c>
      <c r="AG2431">
        <v>-1.03009058</v>
      </c>
      <c r="AH2431">
        <v>50.5608969325231</v>
      </c>
      <c r="AI2431">
        <v>91.160455217918496</v>
      </c>
      <c r="AJ2431">
        <v>96.136326761286099</v>
      </c>
      <c r="AK2431">
        <v>50.862693509502201</v>
      </c>
      <c r="AL2431">
        <v>87.852653109299595</v>
      </c>
      <c r="AM2431">
        <v>85.446341465171798</v>
      </c>
      <c r="AN2431">
        <v>0.99999999342118595</v>
      </c>
    </row>
    <row r="2432" spans="1:40" x14ac:dyDescent="0.25">
      <c r="A2432" t="str">
        <f>"20190312154843622"</f>
        <v>20190312154843622</v>
      </c>
      <c r="B2432" t="str">
        <f>"1552376923608506"</f>
        <v>1552376923608506</v>
      </c>
      <c r="C2432" t="s">
        <v>40</v>
      </c>
      <c r="D2432">
        <v>4.7091810000000001</v>
      </c>
      <c r="E2432">
        <v>0.43008550000000001</v>
      </c>
      <c r="F2432" t="s">
        <v>50</v>
      </c>
      <c r="G2432">
        <v>-463.41609999999997</v>
      </c>
      <c r="H2432">
        <v>8.0000689999999999E-2</v>
      </c>
      <c r="I2432">
        <v>279.31119999999999</v>
      </c>
      <c r="J2432">
        <v>-413.97469999999998</v>
      </c>
      <c r="K2432">
        <v>1.1100859999999999</v>
      </c>
      <c r="L2432">
        <v>282.7364</v>
      </c>
      <c r="M2432">
        <v>-0.99916970000000005</v>
      </c>
      <c r="N2432">
        <v>0</v>
      </c>
      <c r="O2432">
        <v>3.8294130000000003E-2</v>
      </c>
      <c r="P2432">
        <v>-0.99272419999999995</v>
      </c>
      <c r="Q2432">
        <v>2.386752E-2</v>
      </c>
      <c r="R2432">
        <v>0.1180221</v>
      </c>
      <c r="S2432">
        <v>-3.0480649999999998</v>
      </c>
      <c r="T2432">
        <v>-6.3064809999999999E-2</v>
      </c>
      <c r="U2432">
        <v>-0.20889279999999999</v>
      </c>
      <c r="V2432">
        <v>7.9904729999999993E-2</v>
      </c>
      <c r="W2432">
        <v>3.7753019999999998E-2</v>
      </c>
      <c r="X2432">
        <v>0.99608730000000001</v>
      </c>
      <c r="Y2432">
        <v>-0.1064997</v>
      </c>
      <c r="Z2432">
        <v>-1.8918260000000001E-3</v>
      </c>
      <c r="AA2432">
        <v>0.9943109</v>
      </c>
      <c r="AB2432">
        <v>35</v>
      </c>
      <c r="AC2432">
        <v>-49.441399999999902</v>
      </c>
      <c r="AD2432">
        <v>-1.03008531</v>
      </c>
      <c r="AE2432">
        <v>-3.42520000000001</v>
      </c>
      <c r="AF2432">
        <v>-5.3138901323606298</v>
      </c>
      <c r="AG2432">
        <v>-1.03008531</v>
      </c>
      <c r="AH2432">
        <v>49.252673262853897</v>
      </c>
      <c r="AI2432">
        <v>91.191215591372597</v>
      </c>
      <c r="AJ2432">
        <v>96.157844593710394</v>
      </c>
      <c r="AK2432">
        <v>49.549211170533503</v>
      </c>
      <c r="AL2432">
        <v>87.836397084762595</v>
      </c>
      <c r="AM2432">
        <v>85.413633673252903</v>
      </c>
      <c r="AN2432">
        <v>0.99999998280839097</v>
      </c>
    </row>
    <row r="2433" spans="1:40" x14ac:dyDescent="0.25">
      <c r="A2433" t="str">
        <f>"20190312154843644"</f>
        <v>20190312154843644</v>
      </c>
      <c r="B2433" t="str">
        <f>"1552376923637786"</f>
        <v>1552376923637786</v>
      </c>
      <c r="C2433" t="s">
        <v>40</v>
      </c>
      <c r="D2433">
        <v>4.7042659999999996</v>
      </c>
      <c r="E2433">
        <v>0.4299094</v>
      </c>
      <c r="F2433" t="s">
        <v>50</v>
      </c>
      <c r="G2433">
        <v>-463.24560000000002</v>
      </c>
      <c r="H2433">
        <v>8.0000740000000001E-2</v>
      </c>
      <c r="I2433">
        <v>279.36340000000001</v>
      </c>
      <c r="J2433">
        <v>-414.32819999999998</v>
      </c>
      <c r="K2433">
        <v>1.1100920000000001</v>
      </c>
      <c r="L2433">
        <v>282.74979999999999</v>
      </c>
      <c r="M2433">
        <v>-0.9991757</v>
      </c>
      <c r="N2433">
        <v>0</v>
      </c>
      <c r="O2433">
        <v>3.8142700000000002E-2</v>
      </c>
      <c r="P2433">
        <v>-0.99268849999999997</v>
      </c>
      <c r="Q2433">
        <v>2.496425E-2</v>
      </c>
      <c r="R2433">
        <v>0.1180958</v>
      </c>
      <c r="S2433">
        <v>-3.0483090000000002</v>
      </c>
      <c r="T2433">
        <v>-6.3729759999999996E-2</v>
      </c>
      <c r="U2433">
        <v>-0.20867920000000001</v>
      </c>
      <c r="V2433">
        <v>8.0130489999999999E-2</v>
      </c>
      <c r="W2433">
        <v>3.8847029999999998E-2</v>
      </c>
      <c r="X2433">
        <v>0.99602710000000005</v>
      </c>
      <c r="Y2433">
        <v>-0.1062737</v>
      </c>
      <c r="Z2433">
        <v>-1.906098E-3</v>
      </c>
      <c r="AA2433">
        <v>0.99433510000000003</v>
      </c>
      <c r="AB2433">
        <v>35</v>
      </c>
      <c r="AC2433">
        <v>-48.917400000000001</v>
      </c>
      <c r="AD2433">
        <v>-1.0300912600000001</v>
      </c>
      <c r="AE2433">
        <v>-3.3863999999999801</v>
      </c>
      <c r="AF2433">
        <v>-5.2476412320987498</v>
      </c>
      <c r="AG2433">
        <v>-1.0300912600000001</v>
      </c>
      <c r="AH2433">
        <v>48.731111388990499</v>
      </c>
      <c r="AI2433">
        <v>91.203994472730997</v>
      </c>
      <c r="AJ2433">
        <v>96.146248373866797</v>
      </c>
      <c r="AK2433">
        <v>49.023668199258097</v>
      </c>
      <c r="AL2433">
        <v>87.773668906284996</v>
      </c>
      <c r="AM2433">
        <v>85.400454244062402</v>
      </c>
      <c r="AN2433">
        <v>0.99999998555093494</v>
      </c>
    </row>
    <row r="2434" spans="1:40" x14ac:dyDescent="0.25">
      <c r="A2434" t="str">
        <f>"20190312154843666"</f>
        <v>20190312154843666</v>
      </c>
      <c r="B2434" t="str">
        <f>"1552376923657813"</f>
        <v>1552376923657813</v>
      </c>
      <c r="C2434" t="s">
        <v>40</v>
      </c>
      <c r="D2434">
        <v>4.7074559999999996</v>
      </c>
      <c r="E2434">
        <v>0.42979450000000002</v>
      </c>
      <c r="F2434" t="s">
        <v>50</v>
      </c>
      <c r="G2434">
        <v>-464.95069999999998</v>
      </c>
      <c r="H2434">
        <v>8.000024E-2</v>
      </c>
      <c r="I2434">
        <v>279.26240000000001</v>
      </c>
      <c r="J2434">
        <v>-414.67020000000002</v>
      </c>
      <c r="K2434">
        <v>1.110093</v>
      </c>
      <c r="L2434">
        <v>282.7627</v>
      </c>
      <c r="M2434">
        <v>-0.99918119999999999</v>
      </c>
      <c r="N2434">
        <v>0</v>
      </c>
      <c r="O2434">
        <v>3.7995920000000002E-2</v>
      </c>
      <c r="P2434">
        <v>-0.99272210000000005</v>
      </c>
      <c r="Q2434">
        <v>2.5347330000000001E-2</v>
      </c>
      <c r="R2434">
        <v>0.1177308</v>
      </c>
      <c r="S2434">
        <v>-3.048645</v>
      </c>
      <c r="T2434">
        <v>-6.2035319999999998E-2</v>
      </c>
      <c r="U2434">
        <v>-0.21002199999999999</v>
      </c>
      <c r="V2434">
        <v>7.9910729999999999E-2</v>
      </c>
      <c r="W2434">
        <v>3.9227730000000002E-2</v>
      </c>
      <c r="X2434">
        <v>0.99602990000000002</v>
      </c>
      <c r="Y2434">
        <v>-0.10655770000000001</v>
      </c>
      <c r="Z2434">
        <v>-1.8551010000000001E-3</v>
      </c>
      <c r="AA2434">
        <v>0.99430479999999999</v>
      </c>
      <c r="AB2434">
        <v>35</v>
      </c>
      <c r="AC2434">
        <v>-50.280499999999897</v>
      </c>
      <c r="AD2434">
        <v>-1.0300927600000001</v>
      </c>
      <c r="AE2434">
        <v>-3.5002999999999802</v>
      </c>
      <c r="AF2434">
        <v>-5.4061523002033303</v>
      </c>
      <c r="AG2434">
        <v>-1.0300927600000001</v>
      </c>
      <c r="AH2434">
        <v>50.090252987374797</v>
      </c>
      <c r="AI2434">
        <v>91.171306124493498</v>
      </c>
      <c r="AJ2434">
        <v>96.159987653489495</v>
      </c>
      <c r="AK2434">
        <v>50.391676079749601</v>
      </c>
      <c r="AL2434">
        <v>87.751839909720999</v>
      </c>
      <c r="AM2434">
        <v>85.413027556487606</v>
      </c>
      <c r="AN2434">
        <v>1.0000000506320399</v>
      </c>
    </row>
    <row r="2435" spans="1:40" x14ac:dyDescent="0.25">
      <c r="A2435" t="str">
        <f>"20190312154843690"</f>
        <v>20190312154843690</v>
      </c>
      <c r="B2435" t="str">
        <f>"1552376923678309"</f>
        <v>1552376923678309</v>
      </c>
      <c r="C2435" t="s">
        <v>40</v>
      </c>
      <c r="D2435">
        <v>4.694636</v>
      </c>
      <c r="E2435">
        <v>0.42967630000000001</v>
      </c>
      <c r="F2435" t="s">
        <v>50</v>
      </c>
      <c r="G2435">
        <v>-465.0539</v>
      </c>
      <c r="H2435">
        <v>8.0001680000000006E-2</v>
      </c>
      <c r="I2435">
        <v>279.25749999999999</v>
      </c>
      <c r="J2435">
        <v>-415.02839999999998</v>
      </c>
      <c r="K2435">
        <v>1.1100950000000001</v>
      </c>
      <c r="L2435">
        <v>282.77609999999999</v>
      </c>
      <c r="M2435">
        <v>-0.99918700000000005</v>
      </c>
      <c r="N2435">
        <v>0</v>
      </c>
      <c r="O2435">
        <v>3.7842340000000002E-2</v>
      </c>
      <c r="P2435">
        <v>-0.99283069999999896</v>
      </c>
      <c r="Q2435">
        <v>2.5640989999999999E-2</v>
      </c>
      <c r="R2435">
        <v>0.116746699999999</v>
      </c>
      <c r="S2435">
        <v>-3.0487060000000001</v>
      </c>
      <c r="T2435">
        <v>-6.2330480000000001E-2</v>
      </c>
      <c r="U2435">
        <v>-0.21209720000000001</v>
      </c>
      <c r="V2435">
        <v>7.9076250000000001E-2</v>
      </c>
      <c r="W2435">
        <v>3.9520279999999998E-2</v>
      </c>
      <c r="X2435">
        <v>0.99608490000000005</v>
      </c>
      <c r="Y2435">
        <v>-0.1070767</v>
      </c>
      <c r="Z2435">
        <v>-1.86601E-3</v>
      </c>
      <c r="AA2435">
        <v>0.99424900000000005</v>
      </c>
      <c r="AB2435">
        <v>35</v>
      </c>
      <c r="AC2435">
        <v>-50.025500000000001</v>
      </c>
      <c r="AD2435">
        <v>-1.03009332</v>
      </c>
      <c r="AE2435">
        <v>-3.51859999999999</v>
      </c>
      <c r="AF2435">
        <v>-5.40706285455102</v>
      </c>
      <c r="AG2435">
        <v>-1.03009332</v>
      </c>
      <c r="AH2435">
        <v>49.835469550557697</v>
      </c>
      <c r="AI2435">
        <v>91.177221615264102</v>
      </c>
      <c r="AJ2435">
        <v>96.192271262722798</v>
      </c>
      <c r="AK2435">
        <v>50.138522577809702</v>
      </c>
      <c r="AL2435">
        <v>87.735064945633297</v>
      </c>
      <c r="AM2435">
        <v>85.460976078106995</v>
      </c>
      <c r="AN2435">
        <v>1.0000000169266701</v>
      </c>
    </row>
    <row r="2436" spans="1:40" x14ac:dyDescent="0.25">
      <c r="A2436" t="str">
        <f>"20190312154843711"</f>
        <v>20190312154843711</v>
      </c>
      <c r="B2436" t="str">
        <f>"1552376923698805"</f>
        <v>1552376923698805</v>
      </c>
      <c r="C2436" t="s">
        <v>40</v>
      </c>
      <c r="D2436">
        <v>4.7006249999999996</v>
      </c>
      <c r="E2436">
        <v>0.42953669999999999</v>
      </c>
      <c r="F2436" t="s">
        <v>50</v>
      </c>
      <c r="G2436">
        <v>-465.25209999999998</v>
      </c>
      <c r="H2436">
        <v>8.0001619999999996E-2</v>
      </c>
      <c r="I2436">
        <v>279.21820000000002</v>
      </c>
      <c r="J2436">
        <v>-415.36590000000001</v>
      </c>
      <c r="K2436">
        <v>1.1100989999999999</v>
      </c>
      <c r="L2436">
        <v>282.78870000000001</v>
      </c>
      <c r="M2436">
        <v>-0.99919250000000004</v>
      </c>
      <c r="N2436">
        <v>0</v>
      </c>
      <c r="O2436">
        <v>3.7697649999999999E-2</v>
      </c>
      <c r="P2436">
        <v>-0.99294179999999999</v>
      </c>
      <c r="Q2436">
        <v>2.5887919999999998E-2</v>
      </c>
      <c r="R2436">
        <v>0.115744</v>
      </c>
      <c r="S2436">
        <v>-3.048645</v>
      </c>
      <c r="T2436">
        <v>-6.2528009999999995E-2</v>
      </c>
      <c r="U2436">
        <v>-0.2159729</v>
      </c>
      <c r="V2436">
        <v>7.821438E-2</v>
      </c>
      <c r="W2436">
        <v>3.9765660000000001E-2</v>
      </c>
      <c r="X2436">
        <v>0.99614320000000001</v>
      </c>
      <c r="Y2436">
        <v>-0.10819139999999999</v>
      </c>
      <c r="Z2436">
        <v>-1.8803330000000001E-3</v>
      </c>
      <c r="AA2436">
        <v>0.99412829999999996</v>
      </c>
      <c r="AB2436">
        <v>35</v>
      </c>
      <c r="AC2436">
        <v>-49.886199999999903</v>
      </c>
      <c r="AD2436">
        <v>-1.03009738</v>
      </c>
      <c r="AE2436">
        <v>-3.57049999999998</v>
      </c>
      <c r="AF2436">
        <v>-5.4464253922239498</v>
      </c>
      <c r="AG2436">
        <v>-1.03009738</v>
      </c>
      <c r="AH2436">
        <v>49.695040190387402</v>
      </c>
      <c r="AI2436">
        <v>91.180412216185005</v>
      </c>
      <c r="AJ2436">
        <v>96.254481147590795</v>
      </c>
      <c r="AK2436">
        <v>50.003216593430999</v>
      </c>
      <c r="AL2436">
        <v>87.720994690248801</v>
      </c>
      <c r="AM2436">
        <v>85.510506244073298</v>
      </c>
      <c r="AN2436">
        <v>1.00000003593012</v>
      </c>
    </row>
    <row r="2437" spans="1:40" x14ac:dyDescent="0.25">
      <c r="A2437" t="str">
        <f>"20190312154843726"</f>
        <v>20190312154843726</v>
      </c>
      <c r="B2437" t="str">
        <f>"1552376923718326"</f>
        <v>1552376923718326</v>
      </c>
      <c r="C2437" t="s">
        <v>40</v>
      </c>
      <c r="D2437">
        <v>4.7104869999999996</v>
      </c>
      <c r="E2437">
        <v>0.4294154</v>
      </c>
      <c r="F2437" t="s">
        <v>50</v>
      </c>
      <c r="G2437">
        <v>-465.79149999999998</v>
      </c>
      <c r="H2437">
        <v>8.0001470000000005E-2</v>
      </c>
      <c r="I2437">
        <v>279.14830000000001</v>
      </c>
      <c r="J2437">
        <v>-415.60669999999999</v>
      </c>
      <c r="K2437">
        <v>1.1101099999999999</v>
      </c>
      <c r="L2437">
        <v>282.79770000000002</v>
      </c>
      <c r="M2437">
        <v>-0.99919639999999998</v>
      </c>
      <c r="N2437">
        <v>0</v>
      </c>
      <c r="O2437">
        <v>3.7594490000000001E-2</v>
      </c>
      <c r="P2437">
        <v>-0.99298299999999995</v>
      </c>
      <c r="Q2437">
        <v>2.614383E-2</v>
      </c>
      <c r="R2437">
        <v>0.115331</v>
      </c>
      <c r="S2437">
        <v>-3.0486149999999999</v>
      </c>
      <c r="T2437">
        <v>-6.2277319999999997E-2</v>
      </c>
      <c r="U2437">
        <v>-0.22009280000000001</v>
      </c>
      <c r="V2437">
        <v>7.7903009999999995E-2</v>
      </c>
      <c r="W2437">
        <v>4.0020569999999998E-2</v>
      </c>
      <c r="X2437">
        <v>0.99615730000000002</v>
      </c>
      <c r="Y2437">
        <v>-0.109426</v>
      </c>
      <c r="Z2437">
        <v>-1.8832160000000001E-3</v>
      </c>
      <c r="AA2437">
        <v>0.99399320000000002</v>
      </c>
      <c r="AB2437">
        <v>35</v>
      </c>
      <c r="AC2437">
        <v>-50.184800000000003</v>
      </c>
      <c r="AD2437">
        <v>-1.0301085299999999</v>
      </c>
      <c r="AE2437">
        <v>-3.6494000000000102</v>
      </c>
      <c r="AF2437">
        <v>-5.5313556437437397</v>
      </c>
      <c r="AG2437">
        <v>-1.0301085299999999</v>
      </c>
      <c r="AH2437">
        <v>49.991153841673402</v>
      </c>
      <c r="AI2437">
        <v>91.173300938082093</v>
      </c>
      <c r="AJ2437">
        <v>96.313905476985099</v>
      </c>
      <c r="AK2437">
        <v>50.3067836505477</v>
      </c>
      <c r="AL2437">
        <v>87.706377580694493</v>
      </c>
      <c r="AM2437">
        <v>85.528369241162395</v>
      </c>
      <c r="AN2437">
        <v>0.999999945666736</v>
      </c>
    </row>
    <row r="2438" spans="1:40" x14ac:dyDescent="0.25">
      <c r="A2438" t="str">
        <f>"20190312154843745"</f>
        <v>20190312154843745</v>
      </c>
      <c r="B2438" t="str">
        <f>"1552376923737845"</f>
        <v>1552376923737845</v>
      </c>
      <c r="C2438" t="s">
        <v>40</v>
      </c>
      <c r="D2438">
        <v>4.6885729999999999</v>
      </c>
      <c r="E2438">
        <v>0.42931950000000002</v>
      </c>
      <c r="F2438" t="s">
        <v>50</v>
      </c>
      <c r="G2438">
        <v>-465.91329999999999</v>
      </c>
      <c r="H2438">
        <v>8.0001429999999998E-2</v>
      </c>
      <c r="I2438">
        <v>279.12970000000001</v>
      </c>
      <c r="J2438">
        <v>-415.90219999999999</v>
      </c>
      <c r="K2438">
        <v>1.1101099999999999</v>
      </c>
      <c r="L2438">
        <v>282.80869999999999</v>
      </c>
      <c r="M2438">
        <v>-0.99920129999999996</v>
      </c>
      <c r="N2438">
        <v>0</v>
      </c>
      <c r="O2438">
        <v>3.7467790000000001E-2</v>
      </c>
      <c r="P2438">
        <v>-0.99305429999999995</v>
      </c>
      <c r="Q2438">
        <v>2.6842189999999998E-2</v>
      </c>
      <c r="R2438">
        <v>0.1145558</v>
      </c>
      <c r="S2438">
        <v>-3.048645</v>
      </c>
      <c r="T2438">
        <v>-6.2425849999999998E-2</v>
      </c>
      <c r="U2438">
        <v>-0.22228999999999999</v>
      </c>
      <c r="V2438">
        <v>7.725187E-2</v>
      </c>
      <c r="W2438">
        <v>4.0717610000000001E-2</v>
      </c>
      <c r="X2438">
        <v>0.99617979999999995</v>
      </c>
      <c r="Y2438">
        <v>-0.1100117</v>
      </c>
      <c r="Z2438">
        <v>-1.8910380000000001E-3</v>
      </c>
      <c r="AA2438">
        <v>0.99392849999999999</v>
      </c>
      <c r="AB2438">
        <v>35</v>
      </c>
      <c r="AC2438">
        <v>-50.011099999999999</v>
      </c>
      <c r="AD2438">
        <v>-1.0301085699999999</v>
      </c>
      <c r="AE2438">
        <v>-3.6789999999999701</v>
      </c>
      <c r="AF2438">
        <v>-5.5480612546700998</v>
      </c>
      <c r="AG2438">
        <v>-1.0301085699999999</v>
      </c>
      <c r="AH2438">
        <v>49.817098226893599</v>
      </c>
      <c r="AI2438">
        <v>91.177306042321007</v>
      </c>
      <c r="AJ2438">
        <v>96.354765319101404</v>
      </c>
      <c r="AK2438">
        <v>50.135669768135401</v>
      </c>
      <c r="AL2438">
        <v>87.666407636223497</v>
      </c>
      <c r="AM2438">
        <v>85.565694720034998</v>
      </c>
      <c r="AN2438">
        <v>0.99999998455532402</v>
      </c>
    </row>
    <row r="2439" spans="1:40" x14ac:dyDescent="0.25">
      <c r="A2439" t="str">
        <f>"20190312154843767"</f>
        <v>20190312154843767</v>
      </c>
      <c r="B2439" t="str">
        <f>"1552376923758341"</f>
        <v>1552376923758341</v>
      </c>
      <c r="C2439" t="s">
        <v>40</v>
      </c>
      <c r="D2439">
        <v>4.6758030000000002</v>
      </c>
      <c r="E2439">
        <v>0.42923109999999998</v>
      </c>
      <c r="F2439" t="s">
        <v>50</v>
      </c>
      <c r="G2439">
        <v>-467.38709999999998</v>
      </c>
      <c r="H2439">
        <v>8.0001009999999997E-2</v>
      </c>
      <c r="I2439">
        <v>278.9966</v>
      </c>
      <c r="J2439">
        <v>-416.23520000000002</v>
      </c>
      <c r="K2439">
        <v>1.110109</v>
      </c>
      <c r="L2439">
        <v>282.82100000000003</v>
      </c>
      <c r="M2439">
        <v>-0.9992065</v>
      </c>
      <c r="N2439">
        <v>0</v>
      </c>
      <c r="O2439">
        <v>3.7325230000000001E-2</v>
      </c>
      <c r="P2439">
        <v>-0.99308850000000004</v>
      </c>
      <c r="Q2439">
        <v>2.6294979999999999E-2</v>
      </c>
      <c r="R2439">
        <v>0.1143859</v>
      </c>
      <c r="S2439">
        <v>-3.0487060000000001</v>
      </c>
      <c r="T2439">
        <v>-6.0998440000000001E-2</v>
      </c>
      <c r="U2439">
        <v>-0.22573850000000001</v>
      </c>
      <c r="V2439">
        <v>7.7223269999999997E-2</v>
      </c>
      <c r="W2439">
        <v>4.0168740000000001E-2</v>
      </c>
      <c r="X2439">
        <v>0.99620430000000004</v>
      </c>
      <c r="Y2439">
        <v>-0.1109878</v>
      </c>
      <c r="Z2439">
        <v>-1.854599E-3</v>
      </c>
      <c r="AA2439">
        <v>0.99382000000000004</v>
      </c>
      <c r="AB2439">
        <v>35</v>
      </c>
      <c r="AC2439">
        <v>-51.151899999999898</v>
      </c>
      <c r="AD2439">
        <v>-1.0301079900000001</v>
      </c>
      <c r="AE2439">
        <v>-3.8243999999999598</v>
      </c>
      <c r="AF2439">
        <v>-5.72886500910918</v>
      </c>
      <c r="AG2439">
        <v>-1.0301079900000001</v>
      </c>
      <c r="AH2439">
        <v>50.952939590137703</v>
      </c>
      <c r="AI2439">
        <v>91.1509325237501</v>
      </c>
      <c r="AJ2439">
        <v>96.415077094202005</v>
      </c>
      <c r="AK2439">
        <v>51.2843355191415</v>
      </c>
      <c r="AL2439">
        <v>87.697881321345207</v>
      </c>
      <c r="AM2439">
        <v>85.567438413632203</v>
      </c>
      <c r="AN2439">
        <v>0.999999984220585</v>
      </c>
    </row>
    <row r="2440" spans="1:40" x14ac:dyDescent="0.25">
      <c r="A2440" t="str">
        <f>"20190312154843782"</f>
        <v>20190312154843782</v>
      </c>
      <c r="B2440" t="str">
        <f>"1552376923777861"</f>
        <v>1552376923777861</v>
      </c>
      <c r="C2440" t="s">
        <v>40</v>
      </c>
      <c r="D2440">
        <v>4.816478</v>
      </c>
      <c r="E2440">
        <v>0.42920039999999998</v>
      </c>
      <c r="F2440" t="s">
        <v>50</v>
      </c>
      <c r="G2440">
        <v>-465.27789999999999</v>
      </c>
      <c r="H2440">
        <v>8.0001610000000001E-2</v>
      </c>
      <c r="I2440">
        <v>279.17250000000001</v>
      </c>
      <c r="J2440">
        <v>-416.49020000000002</v>
      </c>
      <c r="K2440">
        <v>1.110106</v>
      </c>
      <c r="L2440">
        <v>282.8304</v>
      </c>
      <c r="M2440">
        <v>-0.99921070000000001</v>
      </c>
      <c r="N2440">
        <v>0</v>
      </c>
      <c r="O2440">
        <v>3.7215400000000003E-2</v>
      </c>
      <c r="P2440">
        <v>-0.99312659999999997</v>
      </c>
      <c r="Q2440">
        <v>2.5838460000000001E-2</v>
      </c>
      <c r="R2440">
        <v>0.1141591</v>
      </c>
      <c r="S2440">
        <v>-3.0486759999999999</v>
      </c>
      <c r="T2440">
        <v>-6.4035300000000003E-2</v>
      </c>
      <c r="U2440">
        <v>-0.2268066</v>
      </c>
      <c r="V2440">
        <v>7.7104850000000003E-2</v>
      </c>
      <c r="W2440">
        <v>3.9711349999999999E-2</v>
      </c>
      <c r="X2440">
        <v>0.99623189999999995</v>
      </c>
      <c r="Y2440">
        <v>-0.1112226</v>
      </c>
      <c r="Z2440">
        <v>-1.947065E-3</v>
      </c>
      <c r="AA2440">
        <v>0.99379360000000005</v>
      </c>
      <c r="AB2440">
        <v>35</v>
      </c>
      <c r="AC2440">
        <v>-48.787699999999901</v>
      </c>
      <c r="AD2440">
        <v>-1.03010439</v>
      </c>
      <c r="AE2440">
        <v>-3.6578999999999802</v>
      </c>
      <c r="AF2440">
        <v>-5.4687702020810196</v>
      </c>
      <c r="AG2440">
        <v>-1.03010439</v>
      </c>
      <c r="AH2440">
        <v>48.596210103695498</v>
      </c>
      <c r="AI2440">
        <v>91.206714526328398</v>
      </c>
      <c r="AJ2440">
        <v>96.420762003154707</v>
      </c>
      <c r="AK2440">
        <v>48.913803767648098</v>
      </c>
      <c r="AL2440">
        <v>87.724108970230802</v>
      </c>
      <c r="AM2440">
        <v>85.574330738872007</v>
      </c>
      <c r="AN2440">
        <v>1.0000000738949699</v>
      </c>
    </row>
    <row r="2441" spans="1:40" x14ac:dyDescent="0.25">
      <c r="A2441" t="str">
        <f>"20190312154843801"</f>
        <v>20190312154843801</v>
      </c>
      <c r="B2441" t="str">
        <f>"1552376923788597"</f>
        <v>1552376923788597</v>
      </c>
      <c r="C2441" t="s">
        <v>40</v>
      </c>
      <c r="D2441">
        <v>4.7888060000000001</v>
      </c>
      <c r="E2441">
        <v>0.44635330000000001</v>
      </c>
      <c r="F2441" t="s">
        <v>50</v>
      </c>
      <c r="G2441">
        <v>-464.19510000000002</v>
      </c>
      <c r="H2441">
        <v>8.0000459999999995E-2</v>
      </c>
      <c r="I2441">
        <v>279.26240000000001</v>
      </c>
      <c r="J2441">
        <v>-416.76519999999999</v>
      </c>
      <c r="K2441">
        <v>1.1101030000000001</v>
      </c>
      <c r="L2441">
        <v>282.84059999999999</v>
      </c>
      <c r="M2441">
        <v>-0.99921510000000002</v>
      </c>
      <c r="N2441">
        <v>0</v>
      </c>
      <c r="O2441">
        <v>3.7097339999999999E-2</v>
      </c>
      <c r="P2441">
        <v>-0.99310770000000004</v>
      </c>
      <c r="Q2441">
        <v>2.4798509999999999E-2</v>
      </c>
      <c r="R2441">
        <v>0.114552</v>
      </c>
      <c r="S2441">
        <v>-3.0487060000000001</v>
      </c>
      <c r="T2441">
        <v>-6.5831539999999994E-2</v>
      </c>
      <c r="U2441">
        <v>-0.22802729999999999</v>
      </c>
      <c r="V2441">
        <v>7.7616009999999999E-2</v>
      </c>
      <c r="W2441">
        <v>3.8669780000000001E-2</v>
      </c>
      <c r="X2441">
        <v>0.99623309999999998</v>
      </c>
      <c r="Y2441">
        <v>-0.11149820000000001</v>
      </c>
      <c r="Z2441">
        <v>-2.0020469999999999E-3</v>
      </c>
      <c r="AA2441">
        <v>0.99376260000000005</v>
      </c>
      <c r="AB2441">
        <v>35</v>
      </c>
      <c r="AC2441">
        <v>-47.429900000000004</v>
      </c>
      <c r="AD2441">
        <v>-1.0301025399999999</v>
      </c>
      <c r="AE2441">
        <v>-3.5781999999999798</v>
      </c>
      <c r="AF2441">
        <v>-5.3329281624088498</v>
      </c>
      <c r="AG2441">
        <v>-1.0301025399999999</v>
      </c>
      <c r="AH2441">
        <v>47.242333516604099</v>
      </c>
      <c r="AI2441">
        <v>91.241235519144993</v>
      </c>
      <c r="AJ2441">
        <v>96.440541846928895</v>
      </c>
      <c r="AK2441">
        <v>47.553541509780203</v>
      </c>
      <c r="AL2441">
        <v>87.783832236961302</v>
      </c>
      <c r="AM2441">
        <v>85.545114206134699</v>
      </c>
      <c r="AN2441">
        <v>0.99999999321458899</v>
      </c>
    </row>
    <row r="2442" spans="1:40" x14ac:dyDescent="0.25">
      <c r="A2442" t="str">
        <f>"20190312154843823"</f>
        <v>20190312154843823</v>
      </c>
      <c r="B2442" t="str">
        <f>"1552376923817877"</f>
        <v>1552376923817877</v>
      </c>
      <c r="C2442" t="s">
        <v>40</v>
      </c>
      <c r="D2442">
        <v>4.8234789999999998</v>
      </c>
      <c r="E2442">
        <v>0.46538380000000001</v>
      </c>
      <c r="F2442" t="s">
        <v>50</v>
      </c>
      <c r="G2442">
        <v>-444.10390000000001</v>
      </c>
      <c r="H2442" s="1">
        <v>7.6159180000000005E-7</v>
      </c>
      <c r="I2442">
        <v>281.99709999999999</v>
      </c>
      <c r="J2442">
        <v>-417.12119999999999</v>
      </c>
      <c r="K2442">
        <v>1.1100920000000001</v>
      </c>
      <c r="L2442">
        <v>282.8537</v>
      </c>
      <c r="M2442">
        <v>-0.99922080000000002</v>
      </c>
      <c r="N2442">
        <v>0</v>
      </c>
      <c r="O2442">
        <v>3.6945119999999998E-2</v>
      </c>
      <c r="P2442">
        <v>-0.99308609999999997</v>
      </c>
      <c r="Q2442">
        <v>2.4240640000000001E-2</v>
      </c>
      <c r="R2442">
        <v>0.1148599</v>
      </c>
      <c r="S2442">
        <v>-3.0346980000000001</v>
      </c>
      <c r="T2442">
        <v>-0.1232256</v>
      </c>
      <c r="U2442">
        <v>-9.3627929999999998E-2</v>
      </c>
      <c r="V2442">
        <v>7.8076740000000006E-2</v>
      </c>
      <c r="W2442">
        <v>3.8109919999999999E-2</v>
      </c>
      <c r="X2442">
        <v>0.99621870000000001</v>
      </c>
      <c r="Y2442">
        <v>-6.7661730000000003E-2</v>
      </c>
      <c r="Z2442">
        <v>-2.8721329999999998E-3</v>
      </c>
      <c r="AA2442">
        <v>0.99770420000000004</v>
      </c>
      <c r="AB2442">
        <v>35</v>
      </c>
      <c r="AC2442">
        <v>-26.982700000000001</v>
      </c>
      <c r="AD2442">
        <v>-1.1100912384082</v>
      </c>
      <c r="AE2442">
        <v>-0.85660000000001402</v>
      </c>
      <c r="AF2442">
        <v>-1.8498624421788401</v>
      </c>
      <c r="AG2442">
        <v>-1.1100912384082</v>
      </c>
      <c r="AH2442">
        <v>26.887162430991602</v>
      </c>
      <c r="AI2442">
        <v>92.358660606615402</v>
      </c>
      <c r="AJ2442">
        <v>93.935802012353804</v>
      </c>
      <c r="AK2442">
        <v>26.973575906859299</v>
      </c>
      <c r="AL2442">
        <v>87.815933576797306</v>
      </c>
      <c r="AM2442">
        <v>85.518712809521602</v>
      </c>
      <c r="AN2442">
        <v>1.0000000207805599</v>
      </c>
    </row>
    <row r="2443" spans="1:40" x14ac:dyDescent="0.25">
      <c r="A2443" t="str">
        <f>"20190312154843846"</f>
        <v>20190312154843846</v>
      </c>
      <c r="B2443" t="str">
        <f>"1552376923838373"</f>
        <v>1552376923838373</v>
      </c>
      <c r="C2443" t="s">
        <v>40</v>
      </c>
      <c r="D2443">
        <v>4.786537</v>
      </c>
      <c r="E2443">
        <v>0.47091810000000001</v>
      </c>
      <c r="F2443" t="s">
        <v>50</v>
      </c>
      <c r="G2443">
        <v>-442.99939999999998</v>
      </c>
      <c r="H2443" s="1">
        <v>1.1460759999999999E-7</v>
      </c>
      <c r="I2443">
        <v>283.35149999999999</v>
      </c>
      <c r="J2443">
        <v>-417.46850000000001</v>
      </c>
      <c r="K2443">
        <v>1.110087</v>
      </c>
      <c r="L2443">
        <v>282.8664</v>
      </c>
      <c r="M2443">
        <v>-0.99922619999999895</v>
      </c>
      <c r="N2443">
        <v>0</v>
      </c>
      <c r="O2443">
        <v>3.6796429999999998E-2</v>
      </c>
      <c r="P2443">
        <v>-0.99301119999999998</v>
      </c>
      <c r="Q2443">
        <v>2.3198300000000002E-2</v>
      </c>
      <c r="R2443">
        <v>0.1157176</v>
      </c>
      <c r="S2443">
        <v>-3.017334</v>
      </c>
      <c r="T2443">
        <v>-0.12943389999999999</v>
      </c>
      <c r="U2443">
        <v>5.8044430000000001E-2</v>
      </c>
      <c r="V2443">
        <v>7.9085210000000003E-2</v>
      </c>
      <c r="W2443">
        <v>3.7065430000000003E-2</v>
      </c>
      <c r="X2443">
        <v>0.99617860000000003</v>
      </c>
      <c r="Y2443">
        <v>-1.752285E-2</v>
      </c>
      <c r="Z2443">
        <v>-1.952952E-3</v>
      </c>
      <c r="AA2443">
        <v>0.99984459999999997</v>
      </c>
      <c r="AB2443">
        <v>35</v>
      </c>
      <c r="AC2443">
        <v>-25.5308999999999</v>
      </c>
      <c r="AD2443">
        <v>-1.1100868853924</v>
      </c>
      <c r="AE2443">
        <v>0.48509999999998799</v>
      </c>
      <c r="AF2443">
        <v>-0.45390742527567202</v>
      </c>
      <c r="AG2443">
        <v>-1.1100868853924</v>
      </c>
      <c r="AH2443">
        <v>25.483299002043999</v>
      </c>
      <c r="AI2443">
        <v>92.493909445380595</v>
      </c>
      <c r="AJ2443">
        <v>91.020442051247898</v>
      </c>
      <c r="AK2443">
        <v>25.511504323959802</v>
      </c>
      <c r="AL2443">
        <v>87.875820850257895</v>
      </c>
      <c r="AM2443">
        <v>85.460889120088694</v>
      </c>
      <c r="AN2443">
        <v>1.0000000598198899</v>
      </c>
    </row>
    <row r="2444" spans="1:40" x14ac:dyDescent="0.25">
      <c r="A2444" t="str">
        <f>"20190312154843867"</f>
        <v>20190312154843867</v>
      </c>
      <c r="B2444" t="str">
        <f>"1552376923857894"</f>
        <v>1552376923857894</v>
      </c>
      <c r="C2444" t="s">
        <v>40</v>
      </c>
      <c r="D2444">
        <v>4.7768579999999998</v>
      </c>
      <c r="E2444">
        <v>0.47339979999999998</v>
      </c>
      <c r="F2444" t="s">
        <v>50</v>
      </c>
      <c r="G2444">
        <v>-443.28300000000002</v>
      </c>
      <c r="H2444" s="1">
        <v>2.4756399999999998E-7</v>
      </c>
      <c r="I2444">
        <v>283.76249999999999</v>
      </c>
      <c r="J2444">
        <v>-417.80169999999998</v>
      </c>
      <c r="K2444">
        <v>1.110085</v>
      </c>
      <c r="L2444">
        <v>282.87849999999997</v>
      </c>
      <c r="M2444">
        <v>-0.9992316</v>
      </c>
      <c r="N2444">
        <v>0</v>
      </c>
      <c r="O2444">
        <v>3.6653520000000002E-2</v>
      </c>
      <c r="P2444">
        <v>-0.99299570000000004</v>
      </c>
      <c r="Q2444">
        <v>2.3048300000000001E-2</v>
      </c>
      <c r="R2444">
        <v>0.1158817</v>
      </c>
      <c r="S2444">
        <v>-3.0119630000000002</v>
      </c>
      <c r="T2444">
        <v>-0.129522</v>
      </c>
      <c r="U2444">
        <v>0.1045532</v>
      </c>
      <c r="V2444">
        <v>7.9392210000000005E-2</v>
      </c>
      <c r="W2444">
        <v>3.6913420000000002E-2</v>
      </c>
      <c r="X2444">
        <v>0.99615980000000004</v>
      </c>
      <c r="Y2444">
        <v>-1.930946E-3</v>
      </c>
      <c r="Z2444">
        <v>-1.6161140000000001E-3</v>
      </c>
      <c r="AA2444">
        <v>0.99999680000000002</v>
      </c>
      <c r="AB2444">
        <v>35</v>
      </c>
      <c r="AC2444">
        <v>-25.481300000000001</v>
      </c>
      <c r="AD2444">
        <v>-1.110084752436</v>
      </c>
      <c r="AE2444">
        <v>0.884000000000014</v>
      </c>
      <c r="AF2444">
        <v>-5.0567631164241997E-2</v>
      </c>
      <c r="AG2444">
        <v>-1.110084752436</v>
      </c>
      <c r="AH2444">
        <v>25.448339089148998</v>
      </c>
      <c r="AI2444">
        <v>92.497717052021102</v>
      </c>
      <c r="AJ2444">
        <v>90.113850574776194</v>
      </c>
      <c r="AK2444">
        <v>25.472589339115601</v>
      </c>
      <c r="AL2444">
        <v>87.884536293809404</v>
      </c>
      <c r="AM2444">
        <v>85.443257223006697</v>
      </c>
      <c r="AN2444">
        <v>1.0000000353603999</v>
      </c>
    </row>
    <row r="2445" spans="1:40" x14ac:dyDescent="0.25">
      <c r="A2445" t="str">
        <f>"20190312154843883"</f>
        <v>20190312154843883</v>
      </c>
      <c r="B2445" t="str">
        <f>"1552376923878389"</f>
        <v>1552376923878389</v>
      </c>
      <c r="C2445" t="s">
        <v>40</v>
      </c>
      <c r="D2445">
        <v>4.6823240000000004</v>
      </c>
      <c r="E2445">
        <v>0.4750472</v>
      </c>
      <c r="F2445" t="s">
        <v>50</v>
      </c>
      <c r="G2445">
        <v>-442.74869999999999</v>
      </c>
      <c r="H2445" s="1">
        <v>-4.3243360000000001E-8</v>
      </c>
      <c r="I2445">
        <v>283.91079999999999</v>
      </c>
      <c r="J2445">
        <v>-418.04340000000002</v>
      </c>
      <c r="K2445">
        <v>1.1100840000000001</v>
      </c>
      <c r="L2445">
        <v>282.88720000000001</v>
      </c>
      <c r="M2445">
        <v>-0.99923550000000005</v>
      </c>
      <c r="N2445">
        <v>0</v>
      </c>
      <c r="O2445">
        <v>3.6549760000000001E-2</v>
      </c>
      <c r="P2445">
        <v>-0.99298509999999995</v>
      </c>
      <c r="Q2445">
        <v>2.3049179999999999E-2</v>
      </c>
      <c r="R2445">
        <v>0.11597300000000001</v>
      </c>
      <c r="S2445">
        <v>-3.0097659999999999</v>
      </c>
      <c r="T2445">
        <v>-0.13392809999999999</v>
      </c>
      <c r="U2445">
        <v>0.12454220000000001</v>
      </c>
      <c r="V2445">
        <v>7.9587469999999993E-2</v>
      </c>
      <c r="W2445">
        <v>3.6912470000000003E-2</v>
      </c>
      <c r="X2445">
        <v>0.99614420000000004</v>
      </c>
      <c r="Y2445">
        <v>4.825663E-3</v>
      </c>
      <c r="Z2445">
        <v>-1.517198E-3</v>
      </c>
      <c r="AA2445">
        <v>0.99998719999999996</v>
      </c>
      <c r="AB2445">
        <v>35</v>
      </c>
      <c r="AC2445">
        <v>-24.705299999999902</v>
      </c>
      <c r="AD2445">
        <v>-1.1100840432433601</v>
      </c>
      <c r="AE2445">
        <v>1.0235999999999801</v>
      </c>
      <c r="AF2445">
        <v>0.119615124248297</v>
      </c>
      <c r="AG2445">
        <v>-1.1100840432433601</v>
      </c>
      <c r="AH2445">
        <v>24.676469666828702</v>
      </c>
      <c r="AI2445">
        <v>92.575714161996501</v>
      </c>
      <c r="AJ2445">
        <v>89.722270316581501</v>
      </c>
      <c r="AK2445">
        <v>24.7017155189459</v>
      </c>
      <c r="AL2445">
        <v>87.884590647947306</v>
      </c>
      <c r="AM2445">
        <v>85.432026347052201</v>
      </c>
      <c r="AN2445">
        <v>0.99999998150807001</v>
      </c>
    </row>
    <row r="2446" spans="1:40" x14ac:dyDescent="0.25">
      <c r="A2446" t="str">
        <f>"20190312154843900"</f>
        <v>20190312154843900</v>
      </c>
      <c r="B2446" t="str">
        <f>"1552376923888149"</f>
        <v>1552376923888149</v>
      </c>
      <c r="C2446" t="s">
        <v>40</v>
      </c>
      <c r="D2446">
        <v>4.7415900000000004</v>
      </c>
      <c r="E2446">
        <v>0.47583039999999999</v>
      </c>
      <c r="F2446" t="s">
        <v>50</v>
      </c>
      <c r="G2446">
        <v>-442.24790000000002</v>
      </c>
      <c r="H2446" s="1">
        <v>-3.1341289999999998E-7</v>
      </c>
      <c r="I2446">
        <v>283.99459999999999</v>
      </c>
      <c r="J2446">
        <v>-418.32569999999998</v>
      </c>
      <c r="K2446">
        <v>1.1100840000000001</v>
      </c>
      <c r="L2446">
        <v>282.8974</v>
      </c>
      <c r="M2446">
        <v>-0.99923980000000001</v>
      </c>
      <c r="N2446">
        <v>0</v>
      </c>
      <c r="O2446">
        <v>3.6428130000000003E-2</v>
      </c>
      <c r="P2446">
        <v>-0.99298439999999999</v>
      </c>
      <c r="Q2446">
        <v>2.2770459999999999E-2</v>
      </c>
      <c r="R2446">
        <v>0.11603380000000001</v>
      </c>
      <c r="S2446">
        <v>-3.0083310000000001</v>
      </c>
      <c r="T2446">
        <v>-0.13797019999999999</v>
      </c>
      <c r="U2446">
        <v>0.13763429999999999</v>
      </c>
      <c r="V2446">
        <v>7.9769619999999999E-2</v>
      </c>
      <c r="W2446">
        <v>3.6632749999999999E-2</v>
      </c>
      <c r="X2446">
        <v>0.99614000000000003</v>
      </c>
      <c r="Y2446">
        <v>9.3077430000000003E-3</v>
      </c>
      <c r="Z2446">
        <v>-1.4552639999999999E-3</v>
      </c>
      <c r="AA2446">
        <v>0.99995560000000006</v>
      </c>
      <c r="AB2446">
        <v>35</v>
      </c>
      <c r="AC2446">
        <v>-23.9222</v>
      </c>
      <c r="AD2446">
        <v>-1.1100843134128999</v>
      </c>
      <c r="AE2446">
        <v>1.09719999999998</v>
      </c>
      <c r="AF2446">
        <v>0.22446425450700799</v>
      </c>
      <c r="AG2446">
        <v>-1.1100843134128999</v>
      </c>
      <c r="AH2446">
        <v>23.8949463956207</v>
      </c>
      <c r="AI2446">
        <v>92.659752700928195</v>
      </c>
      <c r="AJ2446">
        <v>89.461790960033696</v>
      </c>
      <c r="AK2446">
        <v>23.921771143333501</v>
      </c>
      <c r="AL2446">
        <v>87.900628362252604</v>
      </c>
      <c r="AM2446">
        <v>85.421596906334599</v>
      </c>
      <c r="AN2446">
        <v>1.00000002512375</v>
      </c>
    </row>
    <row r="2447" spans="1:40" x14ac:dyDescent="0.25">
      <c r="A2447" t="str">
        <f>"20190312154843915"</f>
        <v>20190312154843915</v>
      </c>
      <c r="B2447" t="str">
        <f>"1552376923908646"</f>
        <v>1552376923908646</v>
      </c>
      <c r="C2447" t="s">
        <v>40</v>
      </c>
      <c r="D2447">
        <v>4.7597529999999999</v>
      </c>
      <c r="E2447">
        <v>0.47700969999999998</v>
      </c>
      <c r="F2447" t="s">
        <v>50</v>
      </c>
      <c r="G2447">
        <v>-442.99720000000002</v>
      </c>
      <c r="H2447" s="1">
        <v>8.1620809999999999E-8</v>
      </c>
      <c r="I2447">
        <v>284.07960000000003</v>
      </c>
      <c r="J2447">
        <v>-418.55160000000001</v>
      </c>
      <c r="K2447">
        <v>1.1100810000000001</v>
      </c>
      <c r="L2447">
        <v>282.90559999999999</v>
      </c>
      <c r="M2447">
        <v>-0.99924329999999995</v>
      </c>
      <c r="N2447">
        <v>0</v>
      </c>
      <c r="O2447">
        <v>3.6331349999999998E-2</v>
      </c>
      <c r="P2447">
        <v>-0.99304590000000004</v>
      </c>
      <c r="Q2447">
        <v>2.2768500000000001E-2</v>
      </c>
      <c r="R2447">
        <v>0.1155055</v>
      </c>
      <c r="S2447">
        <v>-3.0074459999999998</v>
      </c>
      <c r="T2447">
        <v>-0.13531899999999999</v>
      </c>
      <c r="U2447">
        <v>0.14410400000000001</v>
      </c>
      <c r="V2447">
        <v>7.9335790000000003E-2</v>
      </c>
      <c r="W2447">
        <v>3.6629420000000003E-2</v>
      </c>
      <c r="X2447">
        <v>0.99617480000000003</v>
      </c>
      <c r="Y2447">
        <v>1.156099E-2</v>
      </c>
      <c r="Z2447">
        <v>-1.372676E-3</v>
      </c>
      <c r="AA2447">
        <v>0.99993220000000005</v>
      </c>
      <c r="AB2447">
        <v>35</v>
      </c>
      <c r="AC2447">
        <v>-24.445599999999999</v>
      </c>
      <c r="AD2447">
        <v>-1.11008091837918</v>
      </c>
      <c r="AE2447">
        <v>1.1740000000000299</v>
      </c>
      <c r="AF2447">
        <v>0.28441233370938601</v>
      </c>
      <c r="AG2447">
        <v>-1.11008091837918</v>
      </c>
      <c r="AH2447">
        <v>24.4218707424568</v>
      </c>
      <c r="AI2447">
        <v>92.602376342670794</v>
      </c>
      <c r="AJ2447">
        <v>89.332774712552904</v>
      </c>
      <c r="AK2447">
        <v>24.448741083789599</v>
      </c>
      <c r="AL2447">
        <v>87.900819352420797</v>
      </c>
      <c r="AM2447">
        <v>85.446550121743002</v>
      </c>
      <c r="AN2447">
        <v>1.00000005706974</v>
      </c>
    </row>
    <row r="2448" spans="1:40" x14ac:dyDescent="0.25">
      <c r="A2448" t="str">
        <f>"20190312154843934"</f>
        <v>20190312154843934</v>
      </c>
      <c r="B2448" t="str">
        <f>"1552376923928166"</f>
        <v>1552376923928166</v>
      </c>
      <c r="C2448" t="s">
        <v>40</v>
      </c>
      <c r="D2448">
        <v>4.734648</v>
      </c>
      <c r="E2448">
        <v>0.4776512</v>
      </c>
      <c r="F2448" t="s">
        <v>50</v>
      </c>
      <c r="G2448">
        <v>-444.10019999999997</v>
      </c>
      <c r="H2448" s="1">
        <v>6.6336609999999897E-7</v>
      </c>
      <c r="I2448">
        <v>284.1995</v>
      </c>
      <c r="J2448">
        <v>-418.84980000000002</v>
      </c>
      <c r="K2448">
        <v>1.1100810000000001</v>
      </c>
      <c r="L2448">
        <v>282.91629999999998</v>
      </c>
      <c r="M2448">
        <v>-0.99924809999999997</v>
      </c>
      <c r="N2448">
        <v>0</v>
      </c>
      <c r="O2448">
        <v>3.620346E-2</v>
      </c>
      <c r="P2448">
        <v>-0.99312509999999998</v>
      </c>
      <c r="Q2448">
        <v>2.053936E-2</v>
      </c>
      <c r="R2448">
        <v>0.115242899999999</v>
      </c>
      <c r="S2448">
        <v>-3.0063170000000001</v>
      </c>
      <c r="T2448">
        <v>-0.1306235</v>
      </c>
      <c r="U2448">
        <v>0.1522522</v>
      </c>
      <c r="V2448">
        <v>7.9198899999999905E-2</v>
      </c>
      <c r="W2448">
        <v>3.439971E-2</v>
      </c>
      <c r="X2448">
        <v>0.99626510000000001</v>
      </c>
      <c r="Y2448">
        <v>1.4406E-2</v>
      </c>
      <c r="Z2448">
        <v>-1.258194E-3</v>
      </c>
      <c r="AA2448">
        <v>0.99989550000000005</v>
      </c>
      <c r="AB2448">
        <v>35</v>
      </c>
      <c r="AC2448">
        <v>-25.2503999999999</v>
      </c>
      <c r="AD2448">
        <v>-1.1100803366338901</v>
      </c>
      <c r="AE2448">
        <v>1.2832000000000201</v>
      </c>
      <c r="AF2448">
        <v>0.36741047890728701</v>
      </c>
      <c r="AG2448">
        <v>-1.1100803366338901</v>
      </c>
      <c r="AH2448">
        <v>25.231663907796001</v>
      </c>
      <c r="AI2448">
        <v>92.5188667823179</v>
      </c>
      <c r="AJ2448">
        <v>89.165747364537296</v>
      </c>
      <c r="AK2448">
        <v>25.258743681540601</v>
      </c>
      <c r="AL2448">
        <v>88.028652830334806</v>
      </c>
      <c r="AM2448">
        <v>85.454784202853702</v>
      </c>
      <c r="AN2448">
        <v>0.99999997764365101</v>
      </c>
    </row>
    <row r="2449" spans="1:40" x14ac:dyDescent="0.25">
      <c r="A2449" t="str">
        <f>"20190312154843950"</f>
        <v>20190312154843950</v>
      </c>
      <c r="B2449" t="str">
        <f>"1552376923937926"</f>
        <v>1552376923937926</v>
      </c>
      <c r="C2449" t="s">
        <v>40</v>
      </c>
      <c r="D2449">
        <v>4.7797549999999998</v>
      </c>
      <c r="E2449">
        <v>0.47769869999999998</v>
      </c>
      <c r="F2449" t="s">
        <v>50</v>
      </c>
      <c r="G2449">
        <v>-443.5711</v>
      </c>
      <c r="H2449" s="1">
        <v>3.8150830000000001E-7</v>
      </c>
      <c r="I2449">
        <v>284.2056</v>
      </c>
      <c r="J2449">
        <v>-419.08730000000003</v>
      </c>
      <c r="K2449">
        <v>1.11008</v>
      </c>
      <c r="L2449">
        <v>282.92469999999997</v>
      </c>
      <c r="M2449">
        <v>-0.99925180000000002</v>
      </c>
      <c r="N2449">
        <v>0</v>
      </c>
      <c r="O2449">
        <v>3.6101370000000001E-2</v>
      </c>
      <c r="P2449">
        <v>-0.99318580000000001</v>
      </c>
      <c r="Q2449">
        <v>2.0074189999999999E-2</v>
      </c>
      <c r="R2449">
        <v>0.1148001</v>
      </c>
      <c r="S2449">
        <v>-3.0053709999999998</v>
      </c>
      <c r="T2449">
        <v>-0.1349525</v>
      </c>
      <c r="U2449">
        <v>0.156738299999999</v>
      </c>
      <c r="V2449">
        <v>7.8856060000000006E-2</v>
      </c>
      <c r="W2449">
        <v>3.3934110000000003E-2</v>
      </c>
      <c r="X2449">
        <v>0.99630830000000004</v>
      </c>
      <c r="Y2449">
        <v>1.60123E-2</v>
      </c>
      <c r="Z2449">
        <v>-1.259603E-3</v>
      </c>
      <c r="AA2449">
        <v>0.99987099999999995</v>
      </c>
      <c r="AB2449">
        <v>35</v>
      </c>
      <c r="AC2449">
        <v>-24.483799999999899</v>
      </c>
      <c r="AD2449">
        <v>-1.1100796184916999</v>
      </c>
      <c r="AE2449">
        <v>1.2809000000000299</v>
      </c>
      <c r="AF2449">
        <v>0.395270715550184</v>
      </c>
      <c r="AG2449">
        <v>-1.1100796184916999</v>
      </c>
      <c r="AH2449">
        <v>24.4639312622012</v>
      </c>
      <c r="AI2449">
        <v>92.597742536877504</v>
      </c>
      <c r="AJ2449">
        <v>89.074336292220806</v>
      </c>
      <c r="AK2449">
        <v>24.4922936553453</v>
      </c>
      <c r="AL2449">
        <v>88.055345404104202</v>
      </c>
      <c r="AM2449">
        <v>85.474573256453397</v>
      </c>
      <c r="AN2449">
        <v>1.0000000153345501</v>
      </c>
    </row>
    <row r="2450" spans="1:40" x14ac:dyDescent="0.25">
      <c r="A2450" t="str">
        <f>"20190312154843968"</f>
        <v>20190312154843968</v>
      </c>
      <c r="B2450" t="str">
        <f>"1552376923958422"</f>
        <v>1552376923958422</v>
      </c>
      <c r="C2450" t="s">
        <v>40</v>
      </c>
      <c r="D2450">
        <v>4.7717219999999996</v>
      </c>
      <c r="E2450">
        <v>0.47824499999999998</v>
      </c>
      <c r="F2450" t="s">
        <v>50</v>
      </c>
      <c r="G2450">
        <v>-442.79770000000002</v>
      </c>
      <c r="H2450" s="1">
        <v>-2.7684209999999999E-8</v>
      </c>
      <c r="I2450">
        <v>284.15120000000002</v>
      </c>
      <c r="J2450">
        <v>-419.35809999999998</v>
      </c>
      <c r="K2450">
        <v>1.1100810000000001</v>
      </c>
      <c r="L2450">
        <v>282.93439999999998</v>
      </c>
      <c r="M2450">
        <v>-0.99925600000000003</v>
      </c>
      <c r="N2450">
        <v>0</v>
      </c>
      <c r="O2450">
        <v>3.5984679999999998E-2</v>
      </c>
      <c r="P2450">
        <v>-0.99320169999999997</v>
      </c>
      <c r="Q2450">
        <v>2.012829E-2</v>
      </c>
      <c r="R2450">
        <v>0.1146537</v>
      </c>
      <c r="S2450">
        <v>-3.0054319999999999</v>
      </c>
      <c r="T2450">
        <v>-0.14070929999999901</v>
      </c>
      <c r="U2450">
        <v>0.1554565</v>
      </c>
      <c r="V2450">
        <v>7.8825699999999999E-2</v>
      </c>
      <c r="W2450">
        <v>3.3986519999999999E-2</v>
      </c>
      <c r="X2450">
        <v>0.99630890000000005</v>
      </c>
      <c r="Y2450">
        <v>1.5704699999999999E-2</v>
      </c>
      <c r="Z2450">
        <v>-1.3150080000000001E-3</v>
      </c>
      <c r="AA2450">
        <v>0.99987579999999998</v>
      </c>
      <c r="AB2450">
        <v>35</v>
      </c>
      <c r="AC2450">
        <v>-23.439599999999999</v>
      </c>
      <c r="AD2450">
        <v>-1.1100810276842099</v>
      </c>
      <c r="AE2450">
        <v>1.2168000000000301</v>
      </c>
      <c r="AF2450">
        <v>0.37163276295237202</v>
      </c>
      <c r="AG2450">
        <v>-1.1100810276842099</v>
      </c>
      <c r="AH2450">
        <v>23.415828502487201</v>
      </c>
      <c r="AI2450">
        <v>92.713864375705498</v>
      </c>
      <c r="AJ2450">
        <v>89.090734658748403</v>
      </c>
      <c r="AK2450">
        <v>23.445072302221998</v>
      </c>
      <c r="AL2450">
        <v>88.052340768131799</v>
      </c>
      <c r="AM2450">
        <v>85.476311049657397</v>
      </c>
      <c r="AN2450">
        <v>0.99999999937070505</v>
      </c>
    </row>
    <row r="2451" spans="1:40" x14ac:dyDescent="0.25">
      <c r="A2451" t="str">
        <f>"20190312154843983"</f>
        <v>20190312154843983</v>
      </c>
      <c r="B2451" t="str">
        <f>"1552376923977942"</f>
        <v>1552376923977942</v>
      </c>
      <c r="C2451" t="s">
        <v>40</v>
      </c>
      <c r="D2451">
        <v>4.7619189999999998</v>
      </c>
      <c r="E2451">
        <v>0.47874040000000001</v>
      </c>
      <c r="F2451" t="s">
        <v>50</v>
      </c>
      <c r="G2451">
        <v>-443.68459999999999</v>
      </c>
      <c r="H2451" s="1">
        <v>4.4094760000000002E-7</v>
      </c>
      <c r="I2451">
        <v>284.2278</v>
      </c>
      <c r="J2451">
        <v>-419.60649999999998</v>
      </c>
      <c r="K2451">
        <v>1.110088</v>
      </c>
      <c r="L2451">
        <v>282.94330000000002</v>
      </c>
      <c r="M2451">
        <v>-0.99925980000000003</v>
      </c>
      <c r="N2451">
        <v>0</v>
      </c>
      <c r="O2451">
        <v>3.5877949999999999E-2</v>
      </c>
      <c r="P2451">
        <v>-0.99316870000000002</v>
      </c>
      <c r="Q2451">
        <v>2.1473019999999999E-2</v>
      </c>
      <c r="R2451">
        <v>0.114695699999999</v>
      </c>
      <c r="S2451">
        <v>-3.0049130000000002</v>
      </c>
      <c r="T2451">
        <v>-0.1371222</v>
      </c>
      <c r="U2451">
        <v>0.1597595</v>
      </c>
      <c r="V2451">
        <v>7.8974950000000002E-2</v>
      </c>
      <c r="W2451">
        <v>3.5328970000000001E-2</v>
      </c>
      <c r="X2451">
        <v>0.99625039999999998</v>
      </c>
      <c r="Y2451">
        <v>1.7245449999999999E-2</v>
      </c>
      <c r="Z2451">
        <v>-1.24171E-3</v>
      </c>
      <c r="AA2451">
        <v>0.99985049999999998</v>
      </c>
      <c r="AB2451">
        <v>35</v>
      </c>
      <c r="AC2451">
        <v>-24.078099999999999</v>
      </c>
      <c r="AD2451">
        <v>-1.11008755905239</v>
      </c>
      <c r="AE2451">
        <v>1.28449999999998</v>
      </c>
      <c r="AF2451">
        <v>0.41882905797398001</v>
      </c>
      <c r="AG2451">
        <v>-1.11008755905239</v>
      </c>
      <c r="AH2451">
        <v>24.057694129009899</v>
      </c>
      <c r="AI2451">
        <v>92.641509735804206</v>
      </c>
      <c r="AJ2451">
        <v>89.002617903688304</v>
      </c>
      <c r="AK2451">
        <v>24.086933365905399</v>
      </c>
      <c r="AL2451">
        <v>87.975377846907904</v>
      </c>
      <c r="AM2451">
        <v>85.467516442826806</v>
      </c>
      <c r="AN2451">
        <v>1.00000001917446</v>
      </c>
    </row>
    <row r="2452" spans="1:40" x14ac:dyDescent="0.25">
      <c r="A2452" t="str">
        <f>"20190312154844001"</f>
        <v>20190312154844001</v>
      </c>
      <c r="B2452" t="str">
        <f>"1552376923988677"</f>
        <v>1552376923988677</v>
      </c>
      <c r="C2452" t="s">
        <v>40</v>
      </c>
      <c r="D2452">
        <v>4.7509779999999999</v>
      </c>
      <c r="E2452">
        <v>0.47890919999999998</v>
      </c>
      <c r="F2452" t="s">
        <v>50</v>
      </c>
      <c r="G2452">
        <v>-445.05430000000001</v>
      </c>
      <c r="H2452" s="1">
        <v>1.165304E-6</v>
      </c>
      <c r="I2452">
        <v>284.33179999999999</v>
      </c>
      <c r="J2452">
        <v>-419.8784</v>
      </c>
      <c r="K2452">
        <v>1.110096</v>
      </c>
      <c r="L2452">
        <v>282.9529</v>
      </c>
      <c r="M2452">
        <v>-0.99926409999999999</v>
      </c>
      <c r="N2452">
        <v>0</v>
      </c>
      <c r="O2452">
        <v>3.5760609999999998E-2</v>
      </c>
      <c r="P2452">
        <v>-0.99316159999999998</v>
      </c>
      <c r="Q2452">
        <v>2.2902740000000001E-2</v>
      </c>
      <c r="R2452">
        <v>0.114480399999999</v>
      </c>
      <c r="S2452">
        <v>-3.0045470000000001</v>
      </c>
      <c r="T2452">
        <v>-0.1310644</v>
      </c>
      <c r="U2452">
        <v>0.16394039999999999</v>
      </c>
      <c r="V2452">
        <v>7.8876680000000005E-2</v>
      </c>
      <c r="W2452">
        <v>3.675664E-2</v>
      </c>
      <c r="X2452">
        <v>0.99620649999999999</v>
      </c>
      <c r="Y2452">
        <v>1.8753390000000002E-2</v>
      </c>
      <c r="Z2452">
        <v>-1.14904E-3</v>
      </c>
      <c r="AA2452">
        <v>0.99982349999999998</v>
      </c>
      <c r="AB2452">
        <v>35</v>
      </c>
      <c r="AC2452">
        <v>-25.175899999999999</v>
      </c>
      <c r="AD2452">
        <v>-1.110094834696</v>
      </c>
      <c r="AE2452">
        <v>1.37889999999998</v>
      </c>
      <c r="AF2452">
        <v>0.47670163388881498</v>
      </c>
      <c r="AG2452">
        <v>-1.110094834696</v>
      </c>
      <c r="AH2452">
        <v>25.1603376018872</v>
      </c>
      <c r="AI2452">
        <v>92.525845874736802</v>
      </c>
      <c r="AJ2452">
        <v>88.914572425593207</v>
      </c>
      <c r="AK2452">
        <v>25.189325978094502</v>
      </c>
      <c r="AL2452">
        <v>87.893525121905697</v>
      </c>
      <c r="AM2452">
        <v>85.472934183483005</v>
      </c>
      <c r="AN2452">
        <v>0.99999998593707995</v>
      </c>
    </row>
    <row r="2453" spans="1:40" x14ac:dyDescent="0.25">
      <c r="A2453" t="str">
        <f>"20190312154844024"</f>
        <v>20190312154844024</v>
      </c>
      <c r="B2453" t="str">
        <f>"1552376924017957"</f>
        <v>1552376924017957</v>
      </c>
      <c r="C2453" t="s">
        <v>40</v>
      </c>
      <c r="D2453">
        <v>4.6830129999999999</v>
      </c>
      <c r="E2453">
        <v>0.47969659999999897</v>
      </c>
      <c r="F2453" t="s">
        <v>50</v>
      </c>
      <c r="G2453">
        <v>-446.20580000000001</v>
      </c>
      <c r="H2453" s="1">
        <v>1.7751650000000001E-6</v>
      </c>
      <c r="I2453">
        <v>284.39830000000001</v>
      </c>
      <c r="J2453">
        <v>-420.23239999999998</v>
      </c>
      <c r="K2453">
        <v>1.110098</v>
      </c>
      <c r="L2453">
        <v>282.96550000000002</v>
      </c>
      <c r="M2453">
        <v>-0.99926970000000004</v>
      </c>
      <c r="N2453">
        <v>0</v>
      </c>
      <c r="O2453">
        <v>3.5606110000000003E-2</v>
      </c>
      <c r="P2453">
        <v>-0.99321910000000002</v>
      </c>
      <c r="Q2453">
        <v>2.3466259999999999E-2</v>
      </c>
      <c r="R2453">
        <v>0.1138673</v>
      </c>
      <c r="S2453">
        <v>-3.004578</v>
      </c>
      <c r="T2453">
        <v>-0.12668779999999999</v>
      </c>
      <c r="U2453">
        <v>0.1649475</v>
      </c>
      <c r="V2453">
        <v>7.8415769999999996E-2</v>
      </c>
      <c r="W2453">
        <v>3.731893E-2</v>
      </c>
      <c r="X2453">
        <v>0.99622200000000005</v>
      </c>
      <c r="Y2453">
        <v>1.9239909999999999E-2</v>
      </c>
      <c r="Z2453">
        <v>-1.0939350000000001E-3</v>
      </c>
      <c r="AA2453">
        <v>0.99981430000000004</v>
      </c>
      <c r="AB2453">
        <v>35</v>
      </c>
      <c r="AC2453">
        <v>-25.973400000000002</v>
      </c>
      <c r="AD2453">
        <v>-1.1100962248349999</v>
      </c>
      <c r="AE2453">
        <v>1.4327999999999801</v>
      </c>
      <c r="AF2453">
        <v>0.50606900692998502</v>
      </c>
      <c r="AG2453">
        <v>-1.1100962248349999</v>
      </c>
      <c r="AH2453">
        <v>25.9606703813776</v>
      </c>
      <c r="AI2453">
        <v>92.448051020427002</v>
      </c>
      <c r="AJ2453">
        <v>88.883235839524403</v>
      </c>
      <c r="AK2453">
        <v>25.989321386267601</v>
      </c>
      <c r="AL2453">
        <v>87.861286196418604</v>
      </c>
      <c r="AM2453">
        <v>85.499348489245904</v>
      </c>
      <c r="AN2453">
        <v>1.0000000044025099</v>
      </c>
    </row>
    <row r="2454" spans="1:40" x14ac:dyDescent="0.25">
      <c r="A2454" t="str">
        <f>"20190312154844058"</f>
        <v>20190312154844058</v>
      </c>
      <c r="B2454" t="str">
        <f>"1552376924048214"</f>
        <v>1552376924048214</v>
      </c>
      <c r="C2454" t="s">
        <v>40</v>
      </c>
      <c r="D2454">
        <v>4.7142540000000004</v>
      </c>
      <c r="E2454">
        <v>0.48025859999999898</v>
      </c>
      <c r="F2454" t="s">
        <v>50</v>
      </c>
      <c r="G2454">
        <v>-448.04160000000002</v>
      </c>
      <c r="H2454" s="1">
        <v>2.745982E-6</v>
      </c>
      <c r="I2454">
        <v>284.53769999999997</v>
      </c>
      <c r="J2454">
        <v>-420.74349999999998</v>
      </c>
      <c r="K2454">
        <v>1.1101000000000001</v>
      </c>
      <c r="L2454">
        <v>282.98340000000002</v>
      </c>
      <c r="M2454">
        <v>-0.99927790000000005</v>
      </c>
      <c r="N2454">
        <v>0</v>
      </c>
      <c r="O2454">
        <v>3.5369940000000002E-2</v>
      </c>
      <c r="P2454">
        <v>-0.99329979999999995</v>
      </c>
      <c r="Q2454">
        <v>2.2510599999999999E-2</v>
      </c>
      <c r="R2454">
        <v>0.1133531</v>
      </c>
      <c r="S2454">
        <v>-3.003876</v>
      </c>
      <c r="T2454">
        <v>-0.1199094</v>
      </c>
      <c r="U2454">
        <v>0.16983029999999999</v>
      </c>
      <c r="V2454">
        <v>7.8134300000000004E-2</v>
      </c>
      <c r="W2454">
        <v>3.636209E-2</v>
      </c>
      <c r="X2454">
        <v>0.99627949999999998</v>
      </c>
      <c r="Y2454">
        <v>2.110596E-2</v>
      </c>
      <c r="Z2454">
        <v>-9.8902899999999999E-4</v>
      </c>
      <c r="AA2454">
        <v>0.99977680000000002</v>
      </c>
      <c r="AB2454">
        <v>35</v>
      </c>
      <c r="AC2454">
        <v>-27.298100000000002</v>
      </c>
      <c r="AD2454">
        <v>-1.1100972540180001</v>
      </c>
      <c r="AE2454">
        <v>1.5542999999999501</v>
      </c>
      <c r="AF2454">
        <v>0.58673494355550504</v>
      </c>
      <c r="AG2454">
        <v>-1.1100972540180001</v>
      </c>
      <c r="AH2454">
        <v>27.291011393990299</v>
      </c>
      <c r="AI2454">
        <v>92.3287584522228</v>
      </c>
      <c r="AJ2454">
        <v>88.768376246390702</v>
      </c>
      <c r="AK2454">
        <v>27.319880613104399</v>
      </c>
      <c r="AL2454">
        <v>87.916146337213604</v>
      </c>
      <c r="AM2454">
        <v>85.515695135511095</v>
      </c>
      <c r="AN2454">
        <v>1.0000000062729499</v>
      </c>
    </row>
    <row r="2455" spans="1:40" x14ac:dyDescent="0.25">
      <c r="A2455" t="str">
        <f>"20190312154844080"</f>
        <v>20190312154844080</v>
      </c>
      <c r="B2455" t="str">
        <f>"1552376924068710"</f>
        <v>1552376924068710</v>
      </c>
      <c r="C2455" t="s">
        <v>40</v>
      </c>
      <c r="D2455">
        <v>4.7344629999999999</v>
      </c>
      <c r="E2455">
        <v>0.4804447</v>
      </c>
      <c r="F2455" t="s">
        <v>50</v>
      </c>
      <c r="G2455">
        <v>-448.6816</v>
      </c>
      <c r="H2455" s="1">
        <v>3.0842590000000002E-6</v>
      </c>
      <c r="I2455">
        <v>284.59109999999998</v>
      </c>
      <c r="J2455">
        <v>-421.08359999999999</v>
      </c>
      <c r="K2455">
        <v>1.1101030000000001</v>
      </c>
      <c r="L2455">
        <v>282.99520000000001</v>
      </c>
      <c r="M2455">
        <v>-0.99928399999999995</v>
      </c>
      <c r="N2455">
        <v>0</v>
      </c>
      <c r="O2455">
        <v>3.5201459999999997E-2</v>
      </c>
      <c r="P2455">
        <v>-0.99327049999999995</v>
      </c>
      <c r="Q2455">
        <v>2.2498609999999999E-2</v>
      </c>
      <c r="R2455">
        <v>0.11361250000000001</v>
      </c>
      <c r="S2455">
        <v>-3.0032350000000001</v>
      </c>
      <c r="T2455">
        <v>-0.1193308</v>
      </c>
      <c r="U2455">
        <v>0.172821</v>
      </c>
      <c r="V2455">
        <v>7.8561889999999995E-2</v>
      </c>
      <c r="W2455">
        <v>3.6349699999999999E-2</v>
      </c>
      <c r="X2455">
        <v>0.99624630000000003</v>
      </c>
      <c r="Y2455">
        <v>2.2277760000000001E-2</v>
      </c>
      <c r="Z2455">
        <v>-9.5450310000000003E-4</v>
      </c>
      <c r="AA2455">
        <v>0.99975139999999996</v>
      </c>
      <c r="AB2455">
        <v>35</v>
      </c>
      <c r="AC2455">
        <v>-27.597999999999999</v>
      </c>
      <c r="AD2455">
        <v>-1.1100999157410001</v>
      </c>
      <c r="AE2455">
        <v>1.5958999999999699</v>
      </c>
      <c r="AF2455">
        <v>0.62232385024908299</v>
      </c>
      <c r="AG2455">
        <v>-1.1100999157410001</v>
      </c>
      <c r="AH2455">
        <v>27.5925808691395</v>
      </c>
      <c r="AI2455">
        <v>92.303286242527093</v>
      </c>
      <c r="AJ2455">
        <v>88.707968415414996</v>
      </c>
      <c r="AK2455">
        <v>27.621913905765499</v>
      </c>
      <c r="AL2455">
        <v>87.916856648358205</v>
      </c>
      <c r="AM2455">
        <v>85.491106051718404</v>
      </c>
      <c r="AN2455">
        <v>0.99999998075707497</v>
      </c>
    </row>
    <row r="2456" spans="1:40" x14ac:dyDescent="0.25">
      <c r="A2456" t="str">
        <f>"20190312154844101"</f>
        <v>20190312154844101</v>
      </c>
      <c r="B2456" t="str">
        <f>"1552376924097990"</f>
        <v>1552376924097990</v>
      </c>
      <c r="C2456" t="s">
        <v>40</v>
      </c>
      <c r="D2456">
        <v>4.6791039999999997</v>
      </c>
      <c r="E2456">
        <v>0.48079480000000002</v>
      </c>
      <c r="F2456" t="s">
        <v>50</v>
      </c>
      <c r="G2456">
        <v>-449.20499999999998</v>
      </c>
      <c r="H2456" s="1">
        <v>3.3608819999999998E-6</v>
      </c>
      <c r="I2456">
        <v>284.6345</v>
      </c>
      <c r="J2456">
        <v>-421.42520000000002</v>
      </c>
      <c r="K2456">
        <v>1.110109</v>
      </c>
      <c r="L2456">
        <v>283.00709999999998</v>
      </c>
      <c r="M2456">
        <v>-0.99929060000000003</v>
      </c>
      <c r="N2456">
        <v>0</v>
      </c>
      <c r="O2456">
        <v>3.5017840000000001E-2</v>
      </c>
      <c r="P2456">
        <v>-0.99328570000000005</v>
      </c>
      <c r="Q2456">
        <v>2.168747E-2</v>
      </c>
      <c r="R2456">
        <v>0.11363760000000001</v>
      </c>
      <c r="S2456">
        <v>-3.0029910000000002</v>
      </c>
      <c r="T2456">
        <v>-0.1185437</v>
      </c>
      <c r="U2456">
        <v>0.17504879999999901</v>
      </c>
      <c r="V2456">
        <v>7.8768909999999998E-2</v>
      </c>
      <c r="W2456">
        <v>3.5538649999999998E-2</v>
      </c>
      <c r="X2456">
        <v>0.99625920000000001</v>
      </c>
      <c r="Y2456">
        <v>2.3204320000000001E-2</v>
      </c>
      <c r="Z2456">
        <v>-9.2276589999999996E-4</v>
      </c>
      <c r="AA2456">
        <v>0.99973029999999996</v>
      </c>
      <c r="AB2456">
        <v>34</v>
      </c>
      <c r="AC2456">
        <v>-27.779799999999899</v>
      </c>
      <c r="AD2456">
        <v>-1.110105639118</v>
      </c>
      <c r="AE2456">
        <v>1.6274000000000199</v>
      </c>
      <c r="AF2456">
        <v>0.65248132098136802</v>
      </c>
      <c r="AG2456">
        <v>-1.110105639118</v>
      </c>
      <c r="AH2456">
        <v>27.775550199063201</v>
      </c>
      <c r="AI2456">
        <v>92.288092193072202</v>
      </c>
      <c r="AJ2456">
        <v>88.654300231384397</v>
      </c>
      <c r="AK2456">
        <v>27.8053817680123</v>
      </c>
      <c r="AL2456">
        <v>87.963356409017507</v>
      </c>
      <c r="AM2456">
        <v>85.479332055319801</v>
      </c>
      <c r="AN2456">
        <v>0.99999996520552403</v>
      </c>
    </row>
    <row r="2457" spans="1:40" x14ac:dyDescent="0.25">
      <c r="A2457" t="str">
        <f>"20190312154844124"</f>
        <v>20190312154844124</v>
      </c>
      <c r="B2457" t="str">
        <f>"1552376924118489"</f>
        <v>1552376924118489</v>
      </c>
      <c r="C2457" t="s">
        <v>40</v>
      </c>
      <c r="D2457">
        <v>4.6609699999999998</v>
      </c>
      <c r="E2457">
        <v>0.48105340000000002</v>
      </c>
      <c r="F2457" t="s">
        <v>50</v>
      </c>
      <c r="G2457">
        <v>-449.69420000000002</v>
      </c>
      <c r="H2457" s="1">
        <v>3.6190590000000001E-6</v>
      </c>
      <c r="I2457">
        <v>284.68279999999999</v>
      </c>
      <c r="J2457">
        <v>-421.76960000000003</v>
      </c>
      <c r="K2457">
        <v>1.110125</v>
      </c>
      <c r="L2457">
        <v>283.01900000000001</v>
      </c>
      <c r="M2457">
        <v>-0.99929780000000001</v>
      </c>
      <c r="N2457">
        <v>0</v>
      </c>
      <c r="O2457">
        <v>3.480892E-2</v>
      </c>
      <c r="P2457">
        <v>-0.99323870000000003</v>
      </c>
      <c r="Q2457">
        <v>2.1826979999999999E-2</v>
      </c>
      <c r="R2457">
        <v>0.114021</v>
      </c>
      <c r="S2457">
        <v>-3.0025019999999998</v>
      </c>
      <c r="T2457">
        <v>-0.11790630000000001</v>
      </c>
      <c r="U2457">
        <v>0.17797850000000001</v>
      </c>
      <c r="V2457">
        <v>7.9360849999999997E-2</v>
      </c>
      <c r="W2457">
        <v>3.5678750000000002E-2</v>
      </c>
      <c r="X2457">
        <v>0.99620719999999996</v>
      </c>
      <c r="Y2457">
        <v>2.4393720000000001E-2</v>
      </c>
      <c r="Z2457">
        <v>-8.8641410000000001E-4</v>
      </c>
      <c r="AA2457">
        <v>0.99970199999999998</v>
      </c>
      <c r="AB2457">
        <v>34</v>
      </c>
      <c r="AC2457">
        <v>-27.924600000000002</v>
      </c>
      <c r="AD2457">
        <v>-1.110121380941</v>
      </c>
      <c r="AE2457">
        <v>1.66379999999998</v>
      </c>
      <c r="AF2457">
        <v>0.689586936963557</v>
      </c>
      <c r="AG2457">
        <v>-1.110121380941</v>
      </c>
      <c r="AH2457">
        <v>27.921623458091201</v>
      </c>
      <c r="AI2457">
        <v>92.276100766641605</v>
      </c>
      <c r="AJ2457">
        <v>88.585240184180904</v>
      </c>
      <c r="AK2457">
        <v>27.952190543130701</v>
      </c>
      <c r="AL2457">
        <v>87.955324148064705</v>
      </c>
      <c r="AM2457">
        <v>85.445265379896895</v>
      </c>
      <c r="AN2457">
        <v>0.99999995152306098</v>
      </c>
    </row>
    <row r="2458" spans="1:40" x14ac:dyDescent="0.25">
      <c r="A2458" t="str">
        <f>"20190312154844146"</f>
        <v>20190312154844146</v>
      </c>
      <c r="B2458" t="str">
        <f>"1552376924138006"</f>
        <v>1552376924138006</v>
      </c>
      <c r="C2458" t="s">
        <v>40</v>
      </c>
      <c r="D2458">
        <v>4.6964259999999998</v>
      </c>
      <c r="E2458">
        <v>0.4811858</v>
      </c>
      <c r="F2458" t="s">
        <v>50</v>
      </c>
      <c r="G2458">
        <v>-450.56599999999997</v>
      </c>
      <c r="H2458" s="1">
        <v>-1.2417610000000001E-6</v>
      </c>
      <c r="I2458">
        <v>284.75779999999997</v>
      </c>
      <c r="J2458">
        <v>-422.108</v>
      </c>
      <c r="K2458">
        <v>1.11015</v>
      </c>
      <c r="L2458">
        <v>283.03050000000002</v>
      </c>
      <c r="M2458">
        <v>-0.99930609999999997</v>
      </c>
      <c r="N2458">
        <v>0</v>
      </c>
      <c r="O2458">
        <v>3.4572850000000002E-2</v>
      </c>
      <c r="P2458">
        <v>-0.99319900000000005</v>
      </c>
      <c r="Q2458">
        <v>2.1709450000000002E-2</v>
      </c>
      <c r="R2458">
        <v>0.1143892</v>
      </c>
      <c r="S2458">
        <v>-3.002167</v>
      </c>
      <c r="T2458">
        <v>-0.11573600000000001</v>
      </c>
      <c r="U2458">
        <v>0.1812744</v>
      </c>
      <c r="V2458">
        <v>7.9963809999999996E-2</v>
      </c>
      <c r="W2458">
        <v>3.5562950000000003E-2</v>
      </c>
      <c r="X2458">
        <v>0.99616320000000003</v>
      </c>
      <c r="Y2458">
        <v>2.5728620000000001E-2</v>
      </c>
      <c r="Z2458">
        <v>-8.3539339999999995E-4</v>
      </c>
      <c r="AA2458">
        <v>0.99966860000000002</v>
      </c>
      <c r="AB2458">
        <v>34</v>
      </c>
      <c r="AC2458">
        <v>-28.457999999999899</v>
      </c>
      <c r="AD2458">
        <v>-1.110151241761</v>
      </c>
      <c r="AE2458">
        <v>1.7272999999999501</v>
      </c>
      <c r="AF2458">
        <v>0.741174764449262</v>
      </c>
      <c r="AG2458">
        <v>-1.110151241761</v>
      </c>
      <c r="AH2458">
        <v>28.4575598439408</v>
      </c>
      <c r="AI2458">
        <v>92.233262943935401</v>
      </c>
      <c r="AJ2458">
        <v>88.508073500125107</v>
      </c>
      <c r="AK2458">
        <v>28.488848486425599</v>
      </c>
      <c r="AL2458">
        <v>87.961963368239694</v>
      </c>
      <c r="AM2458">
        <v>85.410605295723897</v>
      </c>
      <c r="AN2458">
        <v>1.0000000276783201</v>
      </c>
    </row>
    <row r="2459" spans="1:40" x14ac:dyDescent="0.25">
      <c r="A2459" t="str">
        <f>"20190312154844169"</f>
        <v>20190312154844169</v>
      </c>
      <c r="B2459" t="str">
        <f>"1552376924158502"</f>
        <v>1552376924158502</v>
      </c>
      <c r="C2459" t="s">
        <v>40</v>
      </c>
      <c r="D2459">
        <v>4.6811680000000004</v>
      </c>
      <c r="E2459">
        <v>0.48165000000000002</v>
      </c>
      <c r="F2459" t="s">
        <v>50</v>
      </c>
      <c r="G2459">
        <v>-450.89429999999999</v>
      </c>
      <c r="H2459" s="1">
        <v>-1.068499E-6</v>
      </c>
      <c r="I2459">
        <v>284.79079999999999</v>
      </c>
      <c r="J2459">
        <v>-422.45830000000001</v>
      </c>
      <c r="K2459">
        <v>1.110171</v>
      </c>
      <c r="L2459">
        <v>283.04230000000001</v>
      </c>
      <c r="M2459">
        <v>-0.99931559999999997</v>
      </c>
      <c r="N2459">
        <v>0</v>
      </c>
      <c r="O2459">
        <v>3.4295319999999997E-2</v>
      </c>
      <c r="P2459">
        <v>-0.99314709999999995</v>
      </c>
      <c r="Q2459">
        <v>2.207162E-2</v>
      </c>
      <c r="R2459">
        <v>0.1147688</v>
      </c>
      <c r="S2459">
        <v>-3.0019230000000001</v>
      </c>
      <c r="T2459">
        <v>-0.11577</v>
      </c>
      <c r="U2459">
        <v>0.18356320000000001</v>
      </c>
      <c r="V2459">
        <v>8.0619270000000007E-2</v>
      </c>
      <c r="W2459">
        <v>3.5927969999999997E-2</v>
      </c>
      <c r="X2459">
        <v>0.99609729999999996</v>
      </c>
      <c r="Y2459">
        <v>2.6769540000000001E-2</v>
      </c>
      <c r="Z2459">
        <v>-8.0495749999999998E-4</v>
      </c>
      <c r="AA2459">
        <v>0.99964129999999995</v>
      </c>
      <c r="AB2459">
        <v>34</v>
      </c>
      <c r="AC2459">
        <v>-28.4359999999999</v>
      </c>
      <c r="AD2459">
        <v>-1.110172068499</v>
      </c>
      <c r="AE2459">
        <v>1.74849999999997</v>
      </c>
      <c r="AF2459">
        <v>0.77098508686256595</v>
      </c>
      <c r="AG2459">
        <v>-1.110172068499</v>
      </c>
      <c r="AH2459">
        <v>28.436061072126201</v>
      </c>
      <c r="AI2459">
        <v>92.234928217806598</v>
      </c>
      <c r="AJ2459">
        <v>88.446923718120203</v>
      </c>
      <c r="AK2459">
        <v>28.468165893213602</v>
      </c>
      <c r="AL2459">
        <v>87.941035952347207</v>
      </c>
      <c r="AM2459">
        <v>85.372844119128303</v>
      </c>
      <c r="AN2459">
        <v>1.00000005839547</v>
      </c>
    </row>
    <row r="2460" spans="1:40" x14ac:dyDescent="0.25">
      <c r="A2460" t="str">
        <f>"20190312154844190"</f>
        <v>20190312154844190</v>
      </c>
      <c r="B2460" t="str">
        <f>"1552376924178021"</f>
        <v>1552376924178021</v>
      </c>
      <c r="C2460" t="s">
        <v>40</v>
      </c>
      <c r="D2460">
        <v>4.6673970000000002</v>
      </c>
      <c r="E2460">
        <v>0.50101269999999998</v>
      </c>
      <c r="F2460" t="s">
        <v>50</v>
      </c>
      <c r="G2460">
        <v>-451.74579999999997</v>
      </c>
      <c r="H2460" s="1">
        <v>-6.1923009999999996E-7</v>
      </c>
      <c r="I2460">
        <v>284.8784</v>
      </c>
      <c r="J2460">
        <v>-422.7903</v>
      </c>
      <c r="K2460">
        <v>1.1101890000000001</v>
      </c>
      <c r="L2460">
        <v>283.05349999999999</v>
      </c>
      <c r="M2460">
        <v>-0.99932560000000004</v>
      </c>
      <c r="N2460">
        <v>0</v>
      </c>
      <c r="O2460">
        <v>3.4005500000000001E-2</v>
      </c>
      <c r="P2460">
        <v>-0.99316009999999999</v>
      </c>
      <c r="Q2460">
        <v>2.1199809999999999E-2</v>
      </c>
      <c r="R2460">
        <v>0.1148209</v>
      </c>
      <c r="S2460">
        <v>-3.0014949999999998</v>
      </c>
      <c r="T2460">
        <v>-0.1137745</v>
      </c>
      <c r="U2460">
        <v>0.18817139999999999</v>
      </c>
      <c r="V2460">
        <v>8.0958489999999994E-2</v>
      </c>
      <c r="W2460">
        <v>3.5058770000000003E-2</v>
      </c>
      <c r="X2460">
        <v>0.99610069999999995</v>
      </c>
      <c r="Y2460">
        <v>2.8595249999999999E-2</v>
      </c>
      <c r="Z2460">
        <v>-7.4564100000000001E-4</v>
      </c>
      <c r="AA2460">
        <v>0.9995908</v>
      </c>
      <c r="AB2460">
        <v>34</v>
      </c>
      <c r="AC2460">
        <v>-28.955499999999901</v>
      </c>
      <c r="AD2460">
        <v>-1.1101896192301</v>
      </c>
      <c r="AE2460">
        <v>1.82490000000001</v>
      </c>
      <c r="AF2460">
        <v>0.83787673009687502</v>
      </c>
      <c r="AG2460">
        <v>-1.1101896192301</v>
      </c>
      <c r="AH2460">
        <v>28.958410944171099</v>
      </c>
      <c r="AI2460">
        <v>92.194577388437395</v>
      </c>
      <c r="AJ2460">
        <v>88.342678033175602</v>
      </c>
      <c r="AK2460">
        <v>28.991794059991701</v>
      </c>
      <c r="AL2460">
        <v>87.990868723297694</v>
      </c>
      <c r="AM2460">
        <v>85.353475399050495</v>
      </c>
      <c r="AN2460">
        <v>0.99999999949874097</v>
      </c>
    </row>
    <row r="2461" spans="1:40" x14ac:dyDescent="0.25">
      <c r="A2461" t="str">
        <f>"20190312154844214"</f>
        <v>20190312154844214</v>
      </c>
      <c r="B2461" t="str">
        <f>"1552376924208278"</f>
        <v>1552376924208278</v>
      </c>
      <c r="C2461" t="s">
        <v>40</v>
      </c>
      <c r="D2461">
        <v>4.6879220000000004</v>
      </c>
      <c r="E2461">
        <v>0.50140529999999905</v>
      </c>
      <c r="F2461" t="s">
        <v>50</v>
      </c>
      <c r="G2461">
        <v>-463.00259999999997</v>
      </c>
      <c r="H2461" s="1">
        <v>-7.3376919999999997E-8</v>
      </c>
      <c r="I2461">
        <v>287.69159999999999</v>
      </c>
      <c r="J2461">
        <v>-423.14870000000002</v>
      </c>
      <c r="K2461">
        <v>1.1102160000000001</v>
      </c>
      <c r="L2461">
        <v>283.06529999999998</v>
      </c>
      <c r="M2461">
        <v>-0.99933709999999998</v>
      </c>
      <c r="N2461">
        <v>0</v>
      </c>
      <c r="O2461">
        <v>3.3664590000000001E-2</v>
      </c>
      <c r="P2461">
        <v>-0.99325640000000004</v>
      </c>
      <c r="Q2461">
        <v>2.0940790000000001E-2</v>
      </c>
      <c r="R2461">
        <v>0.1140326</v>
      </c>
      <c r="S2461">
        <v>-2.9826969999999999</v>
      </c>
      <c r="T2461">
        <v>-8.2346920000000004E-2</v>
      </c>
      <c r="U2461">
        <v>0.34402470000000002</v>
      </c>
      <c r="V2461">
        <v>8.0505460000000001E-2</v>
      </c>
      <c r="W2461">
        <v>3.4803340000000002E-2</v>
      </c>
      <c r="X2461">
        <v>0.99614639999999999</v>
      </c>
      <c r="Y2461">
        <v>8.1051670000000006E-2</v>
      </c>
      <c r="Z2461">
        <v>1.8925539999999999E-4</v>
      </c>
      <c r="AA2461">
        <v>0.99670990000000004</v>
      </c>
      <c r="AB2461">
        <v>34</v>
      </c>
      <c r="AC2461">
        <v>-39.853899999999904</v>
      </c>
      <c r="AD2461">
        <v>-1.11021607337692</v>
      </c>
      <c r="AE2461">
        <v>4.6263000000000103</v>
      </c>
      <c r="AF2461">
        <v>3.2793721648472101</v>
      </c>
      <c r="AG2461">
        <v>-1.11021607337692</v>
      </c>
      <c r="AH2461">
        <v>39.956468614324002</v>
      </c>
      <c r="AI2461">
        <v>91.586259545961497</v>
      </c>
      <c r="AJ2461">
        <v>85.308044031342902</v>
      </c>
      <c r="AK2461">
        <v>40.1061871243406</v>
      </c>
      <c r="AL2461">
        <v>88.0055127738556</v>
      </c>
      <c r="AM2461">
        <v>85.3795747226538</v>
      </c>
      <c r="AN2461">
        <v>1.0000000258989601</v>
      </c>
    </row>
    <row r="2462" spans="1:40" x14ac:dyDescent="0.25">
      <c r="A2462" t="str">
        <f>"20190312154844236"</f>
        <v>20190312154844236</v>
      </c>
      <c r="B2462" t="str">
        <f>"1552376924228773"</f>
        <v>1552376924228773</v>
      </c>
      <c r="C2462" t="s">
        <v>40</v>
      </c>
      <c r="D2462">
        <v>4.670928</v>
      </c>
      <c r="E2462">
        <v>0.50123430000000002</v>
      </c>
      <c r="F2462" t="s">
        <v>50</v>
      </c>
      <c r="G2462">
        <v>-465.02940000000001</v>
      </c>
      <c r="H2462" s="1">
        <v>9.9551430000000003E-7</v>
      </c>
      <c r="I2462">
        <v>287.91340000000002</v>
      </c>
      <c r="J2462">
        <v>-423.48860000000002</v>
      </c>
      <c r="K2462">
        <v>1.1102350000000001</v>
      </c>
      <c r="L2462">
        <v>283.07639999999998</v>
      </c>
      <c r="M2462">
        <v>-0.99934880000000004</v>
      </c>
      <c r="N2462">
        <v>0</v>
      </c>
      <c r="O2462">
        <v>3.3315209999999998E-2</v>
      </c>
      <c r="P2462">
        <v>-0.99337399999999998</v>
      </c>
      <c r="Q2462">
        <v>2.2105219999999998E-2</v>
      </c>
      <c r="R2462">
        <v>0.11278050000000001</v>
      </c>
      <c r="S2462">
        <v>-2.9824220000000001</v>
      </c>
      <c r="T2462">
        <v>-7.9060790000000006E-2</v>
      </c>
      <c r="U2462">
        <v>0.34524539999999998</v>
      </c>
      <c r="V2462">
        <v>7.9595830000000006E-2</v>
      </c>
      <c r="W2462">
        <v>3.5969910000000001E-2</v>
      </c>
      <c r="X2462">
        <v>0.99617800000000001</v>
      </c>
      <c r="Y2462">
        <v>8.1814150000000002E-2</v>
      </c>
      <c r="Z2462">
        <v>2.0100780000000001E-4</v>
      </c>
      <c r="AA2462">
        <v>0.99664759999999997</v>
      </c>
      <c r="AB2462">
        <v>34</v>
      </c>
      <c r="AC2462">
        <v>-41.540799999999898</v>
      </c>
      <c r="AD2462">
        <v>-1.1102340044857</v>
      </c>
      <c r="AE2462">
        <v>4.8370000000000397</v>
      </c>
      <c r="AF2462">
        <v>3.4478112144473601</v>
      </c>
      <c r="AG2462">
        <v>-1.1102340044857</v>
      </c>
      <c r="AH2462">
        <v>41.6495449671743</v>
      </c>
      <c r="AI2462">
        <v>91.521744623985796</v>
      </c>
      <c r="AJ2462">
        <v>85.267760217127702</v>
      </c>
      <c r="AK2462">
        <v>41.806753254562302</v>
      </c>
      <c r="AL2462">
        <v>87.938631229182306</v>
      </c>
      <c r="AM2462">
        <v>85.431702900506707</v>
      </c>
      <c r="AN2462">
        <v>0.99999996913139799</v>
      </c>
    </row>
    <row r="2463" spans="1:40" x14ac:dyDescent="0.25">
      <c r="A2463" t="str">
        <f>"20190312154844259"</f>
        <v>20190312154844259</v>
      </c>
      <c r="B2463" t="str">
        <f>"1552376924248293"</f>
        <v>1552376924248293</v>
      </c>
      <c r="C2463" t="s">
        <v>40</v>
      </c>
      <c r="D2463">
        <v>4.6503949999999996</v>
      </c>
      <c r="E2463">
        <v>0.50138300000000002</v>
      </c>
      <c r="F2463" t="s">
        <v>50</v>
      </c>
      <c r="G2463">
        <v>-467.19459999999998</v>
      </c>
      <c r="H2463" s="1">
        <v>2.1413370000000001E-6</v>
      </c>
      <c r="I2463">
        <v>288.05959999999999</v>
      </c>
      <c r="J2463">
        <v>-423.83049999999997</v>
      </c>
      <c r="K2463">
        <v>1.1102459999999901</v>
      </c>
      <c r="L2463">
        <v>283.08749999999998</v>
      </c>
      <c r="M2463">
        <v>-0.99936130000000001</v>
      </c>
      <c r="N2463">
        <v>0</v>
      </c>
      <c r="O2463">
        <v>3.2942260000000001E-2</v>
      </c>
      <c r="P2463">
        <v>-0.99349920000000003</v>
      </c>
      <c r="Q2463">
        <v>2.2232829999999999E-2</v>
      </c>
      <c r="R2463">
        <v>0.11164880000000001</v>
      </c>
      <c r="S2463">
        <v>-2.9830930000000002</v>
      </c>
      <c r="T2463">
        <v>-7.5777289999999997E-2</v>
      </c>
      <c r="U2463">
        <v>0.34011839999999999</v>
      </c>
      <c r="V2463">
        <v>7.8830819999999996E-2</v>
      </c>
      <c r="W2463">
        <v>3.6099520000000003E-2</v>
      </c>
      <c r="X2463">
        <v>0.99623419999999896</v>
      </c>
      <c r="Y2463">
        <v>8.0471470000000003E-2</v>
      </c>
      <c r="Z2463">
        <v>1.8506610000000001E-4</v>
      </c>
      <c r="AA2463">
        <v>0.99675689999999995</v>
      </c>
      <c r="AB2463">
        <v>34</v>
      </c>
      <c r="AC2463">
        <v>-43.364100000000001</v>
      </c>
      <c r="AD2463">
        <v>-1.1102438586629999</v>
      </c>
      <c r="AE2463">
        <v>4.97210000000001</v>
      </c>
      <c r="AF2463">
        <v>3.5384630538975399</v>
      </c>
      <c r="AG2463">
        <v>-1.1102438586629999</v>
      </c>
      <c r="AH2463">
        <v>43.476238729637302</v>
      </c>
      <c r="AI2463">
        <v>91.458013792905504</v>
      </c>
      <c r="AJ2463">
        <v>85.347041908022604</v>
      </c>
      <c r="AK2463">
        <v>43.634123072268999</v>
      </c>
      <c r="AL2463">
        <v>87.931200417435704</v>
      </c>
      <c r="AM2463">
        <v>85.475680629633402</v>
      </c>
      <c r="AN2463">
        <v>1.00000002738787</v>
      </c>
    </row>
    <row r="2464" spans="1:40" x14ac:dyDescent="0.25">
      <c r="A2464" t="str">
        <f>"20190312154844280"</f>
        <v>20190312154844280</v>
      </c>
      <c r="B2464" t="str">
        <f>"1552376924267813"</f>
        <v>1552376924267813</v>
      </c>
      <c r="C2464" t="s">
        <v>40</v>
      </c>
      <c r="D2464">
        <v>4.6714609999999999</v>
      </c>
      <c r="E2464">
        <v>0.50151590000000001</v>
      </c>
      <c r="F2464" t="s">
        <v>50</v>
      </c>
      <c r="G2464">
        <v>-469.02730000000003</v>
      </c>
      <c r="H2464" s="1">
        <v>3.1102540000000001E-6</v>
      </c>
      <c r="I2464">
        <v>288.20420000000001</v>
      </c>
      <c r="J2464">
        <v>-424.16410000000002</v>
      </c>
      <c r="K2464">
        <v>1.1102639999999999</v>
      </c>
      <c r="L2464">
        <v>283.09809999999999</v>
      </c>
      <c r="M2464">
        <v>-0.99937370000000003</v>
      </c>
      <c r="N2464">
        <v>0</v>
      </c>
      <c r="O2464">
        <v>3.2564000000000003E-2</v>
      </c>
      <c r="P2464">
        <v>-0.99362300000000003</v>
      </c>
      <c r="Q2464">
        <v>2.159881E-2</v>
      </c>
      <c r="R2464">
        <v>0.110666899999999</v>
      </c>
      <c r="S2464">
        <v>-2.9833069999999999</v>
      </c>
      <c r="T2464">
        <v>-7.3283909999999994E-2</v>
      </c>
      <c r="U2464">
        <v>0.33773799999999998</v>
      </c>
      <c r="V2464">
        <v>7.8221689999999997E-2</v>
      </c>
      <c r="W2464">
        <v>3.5467169999999999E-2</v>
      </c>
      <c r="X2464">
        <v>0.99630490000000005</v>
      </c>
      <c r="Y2464">
        <v>8.0056500000000003E-2</v>
      </c>
      <c r="Z2464">
        <v>1.83141E-4</v>
      </c>
      <c r="AA2464">
        <v>0.99679030000000002</v>
      </c>
      <c r="AB2464">
        <v>34</v>
      </c>
      <c r="AC2464">
        <v>-44.863199999999999</v>
      </c>
      <c r="AD2464">
        <v>-1.110260889746</v>
      </c>
      <c r="AE2464">
        <v>5.1061000000000201</v>
      </c>
      <c r="AF2464">
        <v>3.64012522954771</v>
      </c>
      <c r="AG2464">
        <v>-1.110260889746</v>
      </c>
      <c r="AH2464">
        <v>44.978498589546398</v>
      </c>
      <c r="AI2464">
        <v>91.409410469859097</v>
      </c>
      <c r="AJ2464">
        <v>85.373117037853703</v>
      </c>
      <c r="AK2464">
        <v>45.139212734604897</v>
      </c>
      <c r="AL2464">
        <v>87.967454572586007</v>
      </c>
      <c r="AM2464">
        <v>85.5108140992253</v>
      </c>
      <c r="AN2464">
        <v>1.0000000033491301</v>
      </c>
    </row>
    <row r="2465" spans="1:40" x14ac:dyDescent="0.25">
      <c r="A2465" t="str">
        <f>"20190312154844302"</f>
        <v>20190312154844302</v>
      </c>
      <c r="B2465" t="str">
        <f>"1552376924298073"</f>
        <v>1552376924298073</v>
      </c>
      <c r="C2465" t="s">
        <v>40</v>
      </c>
      <c r="D2465">
        <v>4.6466279999999998</v>
      </c>
      <c r="E2465">
        <v>0.50164529999999996</v>
      </c>
      <c r="F2465" t="s">
        <v>50</v>
      </c>
      <c r="G2465">
        <v>-468.75040000000001</v>
      </c>
      <c r="H2465" s="1">
        <v>2.9665389999999999E-6</v>
      </c>
      <c r="I2465">
        <v>288.12079999999997</v>
      </c>
      <c r="J2465">
        <v>-424.49950000000001</v>
      </c>
      <c r="K2465">
        <v>1.110277</v>
      </c>
      <c r="L2465">
        <v>283.10860000000002</v>
      </c>
      <c r="M2465">
        <v>-0.99938640000000001</v>
      </c>
      <c r="N2465">
        <v>0</v>
      </c>
      <c r="O2465">
        <v>3.2174759999999997E-2</v>
      </c>
      <c r="P2465">
        <v>-0.99372510000000003</v>
      </c>
      <c r="Q2465">
        <v>2.0955789999999998E-2</v>
      </c>
      <c r="R2465">
        <v>0.1098706</v>
      </c>
      <c r="S2465">
        <v>-2.9834290000000001</v>
      </c>
      <c r="T2465">
        <v>-7.4291590000000005E-2</v>
      </c>
      <c r="U2465">
        <v>0.3360901</v>
      </c>
      <c r="V2465">
        <v>7.7810149999999995E-2</v>
      </c>
      <c r="W2465">
        <v>3.4825259999999997E-2</v>
      </c>
      <c r="X2465">
        <v>0.99635980000000002</v>
      </c>
      <c r="Y2465">
        <v>7.9896060000000005E-2</v>
      </c>
      <c r="Z2465">
        <v>1.933126E-4</v>
      </c>
      <c r="AA2465">
        <v>0.9968032</v>
      </c>
      <c r="AB2465">
        <v>34</v>
      </c>
      <c r="AC2465">
        <v>-44.250900000000001</v>
      </c>
      <c r="AD2465">
        <v>-1.110274033461</v>
      </c>
      <c r="AE2465">
        <v>5.0121999999999503</v>
      </c>
      <c r="AF2465">
        <v>3.5834786386636899</v>
      </c>
      <c r="AG2465">
        <v>-1.110274033461</v>
      </c>
      <c r="AH2465">
        <v>44.361693614236401</v>
      </c>
      <c r="AI2465">
        <v>91.429033156265106</v>
      </c>
      <c r="AJ2465">
        <v>85.381750667215101</v>
      </c>
      <c r="AK2465">
        <v>44.520039172338102</v>
      </c>
      <c r="AL2465">
        <v>88.004256106001904</v>
      </c>
      <c r="AM2465">
        <v>85.534581886563203</v>
      </c>
      <c r="AN2465">
        <v>1.0000000346165601</v>
      </c>
    </row>
    <row r="2466" spans="1:40" x14ac:dyDescent="0.25">
      <c r="A2466" t="str">
        <f>"20190312154844325"</f>
        <v>20190312154844325</v>
      </c>
      <c r="B2466" t="str">
        <f>"1552376924318567"</f>
        <v>1552376924318567</v>
      </c>
      <c r="C2466" t="s">
        <v>40</v>
      </c>
      <c r="D2466">
        <v>4.6228550000000004</v>
      </c>
      <c r="E2466">
        <v>0.50163389999999997</v>
      </c>
      <c r="F2466" t="s">
        <v>50</v>
      </c>
      <c r="G2466">
        <v>-468.27229999999997</v>
      </c>
      <c r="H2466" s="1">
        <v>2.7165569999999998E-6</v>
      </c>
      <c r="I2466">
        <v>288.01990000000001</v>
      </c>
      <c r="J2466">
        <v>-424.83920000000001</v>
      </c>
      <c r="K2466">
        <v>1.110279</v>
      </c>
      <c r="L2466">
        <v>283.1191</v>
      </c>
      <c r="M2466">
        <v>-0.99939920000000004</v>
      </c>
      <c r="N2466">
        <v>0</v>
      </c>
      <c r="O2466">
        <v>3.177468E-2</v>
      </c>
      <c r="P2466">
        <v>-0.99375380000000002</v>
      </c>
      <c r="Q2466">
        <v>2.1645589999999999E-2</v>
      </c>
      <c r="R2466">
        <v>0.1094772</v>
      </c>
      <c r="S2466">
        <v>-2.9835210000000001</v>
      </c>
      <c r="T2466">
        <v>-7.5675489999999998E-2</v>
      </c>
      <c r="U2466">
        <v>0.33474730000000003</v>
      </c>
      <c r="V2466">
        <v>7.78137E-2</v>
      </c>
      <c r="W2466">
        <v>3.5514339999999998E-2</v>
      </c>
      <c r="X2466">
        <v>0.99633510000000003</v>
      </c>
      <c r="Y2466">
        <v>7.9848009999999997E-2</v>
      </c>
      <c r="Z2466">
        <v>2.06405E-4</v>
      </c>
      <c r="AA2466">
        <v>0.996807</v>
      </c>
      <c r="AB2466">
        <v>34</v>
      </c>
      <c r="AC2466">
        <v>-43.433099999999897</v>
      </c>
      <c r="AD2466">
        <v>-1.110276283443</v>
      </c>
      <c r="AE2466">
        <v>4.9008000000000003</v>
      </c>
      <c r="AF2466">
        <v>3.5158512204289698</v>
      </c>
      <c r="AG2466">
        <v>-1.110276283443</v>
      </c>
      <c r="AH2466">
        <v>43.538807560121398</v>
      </c>
      <c r="AI2466">
        <v>91.456036498649794</v>
      </c>
      <c r="AJ2466">
        <v>85.38326177799</v>
      </c>
      <c r="AK2466">
        <v>43.694641398998201</v>
      </c>
      <c r="AL2466">
        <v>87.964750089560894</v>
      </c>
      <c r="AM2466">
        <v>85.534268722186496</v>
      </c>
      <c r="AN2466">
        <v>0.999999935872665</v>
      </c>
    </row>
    <row r="2467" spans="1:40" x14ac:dyDescent="0.25">
      <c r="A2467" t="str">
        <f>"20190312154844347"</f>
        <v>20190312154844347</v>
      </c>
      <c r="B2467" t="str">
        <f>"1552376924338086"</f>
        <v>1552376924338086</v>
      </c>
      <c r="C2467" t="s">
        <v>40</v>
      </c>
      <c r="D2467">
        <v>4.6354410000000001</v>
      </c>
      <c r="E2467">
        <v>0.50162739999999995</v>
      </c>
      <c r="F2467" t="s">
        <v>49</v>
      </c>
      <c r="G2467">
        <v>-470.96420000000001</v>
      </c>
      <c r="H2467" s="1">
        <v>6.50639699999999E-6</v>
      </c>
      <c r="I2467">
        <v>288.27519999999998</v>
      </c>
      <c r="J2467">
        <v>-425.17989999999998</v>
      </c>
      <c r="K2467">
        <v>1.1102879999999999</v>
      </c>
      <c r="L2467">
        <v>283.12959999999998</v>
      </c>
      <c r="M2467">
        <v>-0.99941190000000002</v>
      </c>
      <c r="N2467">
        <v>0</v>
      </c>
      <c r="O2467">
        <v>3.1370019999999998E-2</v>
      </c>
      <c r="P2467">
        <v>-0.99375559999999996</v>
      </c>
      <c r="Q2467">
        <v>2.237753E-2</v>
      </c>
      <c r="R2467">
        <v>0.1093132</v>
      </c>
      <c r="S2467">
        <v>-2.983673</v>
      </c>
      <c r="T2467">
        <v>-7.181978E-2</v>
      </c>
      <c r="U2467">
        <v>0.33352659999999901</v>
      </c>
      <c r="V2467">
        <v>7.8052289999999996E-2</v>
      </c>
      <c r="W2467">
        <v>3.6245340000000001E-2</v>
      </c>
      <c r="X2467">
        <v>0.99629009999999996</v>
      </c>
      <c r="Y2467">
        <v>7.9844589999999993E-2</v>
      </c>
      <c r="Z2467">
        <v>2.055418E-4</v>
      </c>
      <c r="AA2467">
        <v>0.99680729999999995</v>
      </c>
      <c r="AB2467">
        <v>34</v>
      </c>
      <c r="AC2467">
        <v>-45.784300000000002</v>
      </c>
      <c r="AD2467">
        <v>-1.1102814936030001</v>
      </c>
      <c r="AE2467">
        <v>5.1456</v>
      </c>
      <c r="AF2467">
        <v>3.7045235432519901</v>
      </c>
      <c r="AG2467">
        <v>-1.1102814936030001</v>
      </c>
      <c r="AH2467">
        <v>45.8965415602758</v>
      </c>
      <c r="AI2467">
        <v>91.381279384821099</v>
      </c>
      <c r="AJ2467">
        <v>85.385394703652196</v>
      </c>
      <c r="AK2467">
        <v>46.059187431734699</v>
      </c>
      <c r="AL2467">
        <v>87.922839860932996</v>
      </c>
      <c r="AM2467">
        <v>85.520430175062302</v>
      </c>
      <c r="AN2467">
        <v>0.99999992400198101</v>
      </c>
    </row>
    <row r="2468" spans="1:40" x14ac:dyDescent="0.25">
      <c r="A2468" t="str">
        <f>"20190312154844370"</f>
        <v>20190312154844370</v>
      </c>
      <c r="B2468" t="str">
        <f>"1552376924358583"</f>
        <v>1552376924358583</v>
      </c>
      <c r="C2468" t="s">
        <v>40</v>
      </c>
      <c r="D2468">
        <v>4.6413650000000004</v>
      </c>
      <c r="E2468">
        <v>0.50164200000000003</v>
      </c>
      <c r="F2468" t="s">
        <v>49</v>
      </c>
      <c r="G2468">
        <v>-472.43849999999998</v>
      </c>
      <c r="H2468" s="1">
        <v>5.8638819999999998E-6</v>
      </c>
      <c r="I2468">
        <v>288.40440000000001</v>
      </c>
      <c r="J2468">
        <v>-425.52760000000001</v>
      </c>
      <c r="K2468">
        <v>1.1102939999999999</v>
      </c>
      <c r="L2468">
        <v>283.14010000000002</v>
      </c>
      <c r="M2468">
        <v>-0.99942489999999995</v>
      </c>
      <c r="N2468">
        <v>0</v>
      </c>
      <c r="O2468">
        <v>3.0956150000000002E-2</v>
      </c>
      <c r="P2468">
        <v>-0.993676</v>
      </c>
      <c r="Q2468">
        <v>2.311852E-2</v>
      </c>
      <c r="R2468">
        <v>0.10988149999999999</v>
      </c>
      <c r="S2468">
        <v>-2.9837950000000002</v>
      </c>
      <c r="T2468">
        <v>-7.0100549999999998E-2</v>
      </c>
      <c r="U2468">
        <v>0.33303829999999901</v>
      </c>
      <c r="V2468">
        <v>7.9034430000000003E-2</v>
      </c>
      <c r="W2468">
        <v>3.6984419999999997E-2</v>
      </c>
      <c r="X2468">
        <v>0.9961856</v>
      </c>
      <c r="Y2468">
        <v>8.0092239999999995E-2</v>
      </c>
      <c r="Z2468">
        <v>2.1319669999999999E-4</v>
      </c>
      <c r="AA2468">
        <v>0.99678739999999999</v>
      </c>
      <c r="AB2468">
        <v>34</v>
      </c>
      <c r="AC2468">
        <v>-46.910899999999899</v>
      </c>
      <c r="AD2468">
        <v>-1.1102881361179999</v>
      </c>
      <c r="AE2468">
        <v>5.2642999999999898</v>
      </c>
      <c r="AF2468">
        <v>3.8073503220727001</v>
      </c>
      <c r="AG2468">
        <v>-1.1102881361179999</v>
      </c>
      <c r="AH2468">
        <v>47.025376571731002</v>
      </c>
      <c r="AI2468">
        <v>91.348115532255903</v>
      </c>
      <c r="AJ2468">
        <v>85.371215923168407</v>
      </c>
      <c r="AK2468">
        <v>47.192316089945201</v>
      </c>
      <c r="AL2468">
        <v>87.880465479306594</v>
      </c>
      <c r="AM2468">
        <v>85.463823222202095</v>
      </c>
      <c r="AN2468">
        <v>1.00000001904776</v>
      </c>
    </row>
    <row r="2469" spans="1:40" x14ac:dyDescent="0.25">
      <c r="A2469" t="str">
        <f>"20190312154844392"</f>
        <v>20190312154844392</v>
      </c>
      <c r="B2469" t="str">
        <f>"1552376924387862"</f>
        <v>1552376924387862</v>
      </c>
      <c r="C2469" t="s">
        <v>40</v>
      </c>
      <c r="D2469">
        <v>4.5974719999999998</v>
      </c>
      <c r="E2469">
        <v>0.50168950000000001</v>
      </c>
      <c r="F2469" t="s">
        <v>49</v>
      </c>
      <c r="G2469">
        <v>-475.17660000000001</v>
      </c>
      <c r="H2469" s="1">
        <v>4.676574E-6</v>
      </c>
      <c r="I2469">
        <v>288.71199999999999</v>
      </c>
      <c r="J2469">
        <v>-425.85939999999999</v>
      </c>
      <c r="K2469">
        <v>1.110306</v>
      </c>
      <c r="L2469">
        <v>283.1499</v>
      </c>
      <c r="M2469">
        <v>-0.99943700000000002</v>
      </c>
      <c r="N2469">
        <v>0</v>
      </c>
      <c r="O2469">
        <v>3.05618E-2</v>
      </c>
      <c r="P2469">
        <v>-0.9935602</v>
      </c>
      <c r="Q2469">
        <v>2.4854089999999999E-2</v>
      </c>
      <c r="R2469">
        <v>0.1105462</v>
      </c>
      <c r="S2469">
        <v>-2.9836119999999999</v>
      </c>
      <c r="T2469">
        <v>-6.6721920000000004E-2</v>
      </c>
      <c r="U2469">
        <v>0.33483889999999999</v>
      </c>
      <c r="V2469">
        <v>8.0093810000000001E-2</v>
      </c>
      <c r="W2469">
        <v>3.8717429999999997E-2</v>
      </c>
      <c r="X2469">
        <v>0.99603509999999995</v>
      </c>
      <c r="Y2469">
        <v>8.1087279999999998E-2</v>
      </c>
      <c r="Z2469">
        <v>2.2280100000000001E-4</v>
      </c>
      <c r="AA2469">
        <v>0.99670700000000001</v>
      </c>
      <c r="AB2469">
        <v>34</v>
      </c>
      <c r="AC2469">
        <v>-49.3172</v>
      </c>
      <c r="AD2469">
        <v>-1.110301323426</v>
      </c>
      <c r="AE2469">
        <v>5.5620999999999796</v>
      </c>
      <c r="AF2469">
        <v>4.0501074290924901</v>
      </c>
      <c r="AG2469">
        <v>-1.110301323426</v>
      </c>
      <c r="AH2469">
        <v>49.439418622565498</v>
      </c>
      <c r="AI2469">
        <v>91.282227894169296</v>
      </c>
      <c r="AJ2469">
        <v>85.316752400035497</v>
      </c>
      <c r="AK2469">
        <v>49.6174591545482</v>
      </c>
      <c r="AL2469">
        <v>87.781100037857598</v>
      </c>
      <c r="AM2469">
        <v>85.402587441406098</v>
      </c>
      <c r="AN2469">
        <v>0.99999998910906496</v>
      </c>
    </row>
    <row r="2470" spans="1:40" x14ac:dyDescent="0.25">
      <c r="A2470" t="str">
        <f>"20190312154844415"</f>
        <v>20190312154844415</v>
      </c>
      <c r="B2470" t="str">
        <f>"1552376924408358"</f>
        <v>1552376924408358</v>
      </c>
      <c r="C2470" t="s">
        <v>40</v>
      </c>
      <c r="D2470">
        <v>4.5998460000000003</v>
      </c>
      <c r="E2470">
        <v>0.47540379999999899</v>
      </c>
      <c r="F2470" t="s">
        <v>49</v>
      </c>
      <c r="G2470">
        <v>-480.7593</v>
      </c>
      <c r="H2470" s="1">
        <v>2.755041E-6</v>
      </c>
      <c r="I2470">
        <v>289.35879999999997</v>
      </c>
      <c r="J2470">
        <v>-426.20639999999997</v>
      </c>
      <c r="K2470">
        <v>1.110312</v>
      </c>
      <c r="L2470">
        <v>283.1601</v>
      </c>
      <c r="M2470">
        <v>-0.99944960000000005</v>
      </c>
      <c r="N2470">
        <v>0</v>
      </c>
      <c r="O2470">
        <v>3.0150420000000001E-2</v>
      </c>
      <c r="P2470">
        <v>-0.99356279999999997</v>
      </c>
      <c r="Q2470">
        <v>2.5392999999999999E-2</v>
      </c>
      <c r="R2470">
        <v>0.11040170000000001</v>
      </c>
      <c r="S2470">
        <v>-2.9833980000000002</v>
      </c>
      <c r="T2470">
        <v>-6.0336590000000002E-2</v>
      </c>
      <c r="U2470">
        <v>0.33740229999999999</v>
      </c>
      <c r="V2470">
        <v>8.0358959999999993E-2</v>
      </c>
      <c r="W2470">
        <v>3.9254419999999998E-2</v>
      </c>
      <c r="X2470">
        <v>0.99599269999999995</v>
      </c>
      <c r="Y2470">
        <v>8.2352990000000001E-2</v>
      </c>
      <c r="Z2470">
        <v>2.2253059999999999E-4</v>
      </c>
      <c r="AA2470">
        <v>0.99660320000000002</v>
      </c>
      <c r="AB2470">
        <v>34</v>
      </c>
      <c r="AC2470">
        <v>-54.552900000000001</v>
      </c>
      <c r="AD2470">
        <v>-1.110309244959</v>
      </c>
      <c r="AE2470">
        <v>6.1986999999999703</v>
      </c>
      <c r="AF2470">
        <v>4.5490706571980404</v>
      </c>
      <c r="AG2470">
        <v>-1.110309244959</v>
      </c>
      <c r="AH2470">
        <v>54.692638212779599</v>
      </c>
      <c r="AI2470">
        <v>91.158994561129404</v>
      </c>
      <c r="AJ2470">
        <v>85.245356797677502</v>
      </c>
      <c r="AK2470">
        <v>54.892727251773699</v>
      </c>
      <c r="AL2470">
        <v>87.750309314384594</v>
      </c>
      <c r="AM2470">
        <v>85.387237792991698</v>
      </c>
      <c r="AN2470">
        <v>0.99999996519755296</v>
      </c>
    </row>
    <row r="2471" spans="1:40" x14ac:dyDescent="0.25">
      <c r="A2471" t="str">
        <f>"20190312154844437"</f>
        <v>20190312154844437</v>
      </c>
      <c r="B2471" t="str">
        <f>"1552376924427879"</f>
        <v>1552376924427879</v>
      </c>
      <c r="C2471" t="s">
        <v>40</v>
      </c>
      <c r="D2471">
        <v>4.5321989999999897</v>
      </c>
      <c r="E2471">
        <v>0.45887329999999998</v>
      </c>
      <c r="F2471" t="s">
        <v>49</v>
      </c>
      <c r="G2471">
        <v>-494.0573</v>
      </c>
      <c r="H2471" s="1">
        <v>3.371336E-6</v>
      </c>
      <c r="I2471">
        <v>286.0625</v>
      </c>
      <c r="J2471">
        <v>-426.54579999999999</v>
      </c>
      <c r="K2471">
        <v>1.110311</v>
      </c>
      <c r="L2471">
        <v>283.16989999999998</v>
      </c>
      <c r="M2471">
        <v>-0.99946170000000001</v>
      </c>
      <c r="N2471">
        <v>0</v>
      </c>
      <c r="O2471">
        <v>2.9749109999999999E-2</v>
      </c>
      <c r="P2471">
        <v>-0.99365130000000002</v>
      </c>
      <c r="Q2471">
        <v>2.4434049999999999E-2</v>
      </c>
      <c r="R2471">
        <v>0.1098201</v>
      </c>
      <c r="S2471">
        <v>-3.0064090000000001</v>
      </c>
      <c r="T2471">
        <v>-4.9196719999999999E-2</v>
      </c>
      <c r="U2471">
        <v>0.1286011</v>
      </c>
      <c r="V2471">
        <v>8.0175720000000006E-2</v>
      </c>
      <c r="W2471">
        <v>3.8293840000000003E-2</v>
      </c>
      <c r="X2471">
        <v>0.99604490000000001</v>
      </c>
      <c r="Y2471">
        <v>1.2995110000000001E-2</v>
      </c>
      <c r="Z2471">
        <v>-3.8020350000000003E-4</v>
      </c>
      <c r="AA2471">
        <v>0.99991549999999996</v>
      </c>
      <c r="AB2471">
        <v>34</v>
      </c>
      <c r="AC2471">
        <v>-67.511499999999998</v>
      </c>
      <c r="AD2471">
        <v>-1.1103076286639999</v>
      </c>
      <c r="AE2471">
        <v>2.8926000000000101</v>
      </c>
      <c r="AF2471">
        <v>0.88248205604297703</v>
      </c>
      <c r="AG2471">
        <v>-1.1103076286639999</v>
      </c>
      <c r="AH2471">
        <v>67.549436892531503</v>
      </c>
      <c r="AI2471">
        <v>90.941603500698605</v>
      </c>
      <c r="AJ2471">
        <v>89.251516765296003</v>
      </c>
      <c r="AK2471">
        <v>67.564324773563698</v>
      </c>
      <c r="AL2471">
        <v>87.805388001571899</v>
      </c>
      <c r="AM2471">
        <v>85.397951049781895</v>
      </c>
      <c r="AN2471">
        <v>1.0000000035377301</v>
      </c>
    </row>
    <row r="2472" spans="1:40" x14ac:dyDescent="0.25">
      <c r="A2472" t="str">
        <f>"20190312154844460"</f>
        <v>20190312154844460</v>
      </c>
      <c r="B2472" t="str">
        <f>"1552376924448374"</f>
        <v>1552376924448374</v>
      </c>
      <c r="C2472" t="s">
        <v>40</v>
      </c>
      <c r="D2472">
        <v>4.5825420000000001</v>
      </c>
      <c r="E2472">
        <v>0.44940400000000003</v>
      </c>
      <c r="F2472" t="s">
        <v>43</v>
      </c>
      <c r="G2472">
        <v>-517.39909999999998</v>
      </c>
      <c r="H2472">
        <v>-0.05</v>
      </c>
      <c r="I2472">
        <v>283.0634</v>
      </c>
      <c r="J2472">
        <v>-426.88650000000001</v>
      </c>
      <c r="K2472">
        <v>1.1103080000000001</v>
      </c>
      <c r="L2472">
        <v>283.17970000000003</v>
      </c>
      <c r="M2472">
        <v>-0.99947339999999996</v>
      </c>
      <c r="N2472">
        <v>0</v>
      </c>
      <c r="O2472">
        <v>2.934693E-2</v>
      </c>
      <c r="P2472">
        <v>-0.99372419999999995</v>
      </c>
      <c r="Q2472">
        <v>2.3588499999999998E-2</v>
      </c>
      <c r="R2472">
        <v>0.1093441</v>
      </c>
      <c r="S2472">
        <v>-3.0204770000000001</v>
      </c>
      <c r="T2472">
        <v>-3.8575289999999998E-2</v>
      </c>
      <c r="U2472">
        <v>-3.540039E-3</v>
      </c>
      <c r="V2472">
        <v>8.0099589999999998E-2</v>
      </c>
      <c r="W2472">
        <v>3.7447099999999997E-2</v>
      </c>
      <c r="X2472">
        <v>0.99608319999999995</v>
      </c>
      <c r="Y2472">
        <v>-3.0516339999999999E-2</v>
      </c>
      <c r="Z2472">
        <v>-5.6963689999999997E-4</v>
      </c>
      <c r="AA2472">
        <v>0.99953409999999998</v>
      </c>
      <c r="AB2472">
        <v>34</v>
      </c>
      <c r="AC2472">
        <v>-90.512599999999907</v>
      </c>
      <c r="AD2472">
        <v>-1.1603079999999999</v>
      </c>
      <c r="AE2472">
        <v>-0.116300000000023</v>
      </c>
      <c r="AF2472">
        <v>-2.77231586231157</v>
      </c>
      <c r="AG2472">
        <v>-1.1603079999999999</v>
      </c>
      <c r="AH2472">
        <v>90.455329215534803</v>
      </c>
      <c r="AI2472">
        <v>90.734571522471995</v>
      </c>
      <c r="AJ2472">
        <v>91.755477459239899</v>
      </c>
      <c r="AK2472">
        <v>90.505240916678801</v>
      </c>
      <c r="AL2472">
        <v>87.853937419047497</v>
      </c>
      <c r="AM2472">
        <v>85.402478159013199</v>
      </c>
      <c r="AN2472">
        <v>0.99999998546940805</v>
      </c>
    </row>
    <row r="2473" spans="1:40" x14ac:dyDescent="0.25">
      <c r="A2473" t="str">
        <f>"20190312154844481"</f>
        <v>20190312154844481</v>
      </c>
      <c r="B2473" t="str">
        <f>"1552376924467894"</f>
        <v>1552376924467894</v>
      </c>
      <c r="C2473" t="s">
        <v>40</v>
      </c>
      <c r="D2473">
        <v>4.5185870000000001</v>
      </c>
      <c r="E2473">
        <v>0.44413989999999998</v>
      </c>
      <c r="F2473" t="s">
        <v>49</v>
      </c>
      <c r="G2473">
        <v>-493.23849999999999</v>
      </c>
      <c r="H2473" s="1">
        <v>3.1098510000000002E-6</v>
      </c>
      <c r="I2473">
        <v>281.41019999999997</v>
      </c>
      <c r="J2473">
        <v>-427.21530000000001</v>
      </c>
      <c r="K2473">
        <v>1.110304</v>
      </c>
      <c r="L2473">
        <v>283.18889999999999</v>
      </c>
      <c r="M2473">
        <v>-0.99948490000000001</v>
      </c>
      <c r="N2473">
        <v>0</v>
      </c>
      <c r="O2473">
        <v>2.8958930000000001E-2</v>
      </c>
      <c r="P2473">
        <v>-0.99374850000000003</v>
      </c>
      <c r="Q2473">
        <v>2.362007E-2</v>
      </c>
      <c r="R2473">
        <v>0.109116</v>
      </c>
      <c r="S2473">
        <v>-3.0290530000000002</v>
      </c>
      <c r="T2473">
        <v>-5.0686839999999997E-2</v>
      </c>
      <c r="U2473">
        <v>-8.0780030000000003E-2</v>
      </c>
      <c r="V2473">
        <v>8.0257549999999997E-2</v>
      </c>
      <c r="W2473">
        <v>3.7476660000000002E-2</v>
      </c>
      <c r="X2473">
        <v>0.99606939999999999</v>
      </c>
      <c r="Y2473">
        <v>-5.5587329999999997E-2</v>
      </c>
      <c r="Z2473">
        <v>-9.4948020000000001E-4</v>
      </c>
      <c r="AA2473">
        <v>0.99845340000000005</v>
      </c>
      <c r="AB2473">
        <v>34</v>
      </c>
      <c r="AC2473">
        <v>-66.023199999999903</v>
      </c>
      <c r="AD2473">
        <v>-1.1103008901489999</v>
      </c>
      <c r="AE2473">
        <v>-1.7787000000000099</v>
      </c>
      <c r="AF2473">
        <v>-3.6890554918773302</v>
      </c>
      <c r="AG2473">
        <v>-1.1103008901489999</v>
      </c>
      <c r="AH2473">
        <v>65.925359992373004</v>
      </c>
      <c r="AI2473">
        <v>90.963365279270903</v>
      </c>
      <c r="AJ2473">
        <v>93.202820662197595</v>
      </c>
      <c r="AK2473">
        <v>66.037829981100899</v>
      </c>
      <c r="AL2473">
        <v>87.852242623091499</v>
      </c>
      <c r="AM2473">
        <v>85.393387074743202</v>
      </c>
      <c r="AN2473">
        <v>1.00000001199655</v>
      </c>
    </row>
    <row r="2474" spans="1:40" x14ac:dyDescent="0.25">
      <c r="A2474" t="str">
        <f>"20190312154844504"</f>
        <v>20190312154844504</v>
      </c>
      <c r="B2474" t="str">
        <f>"1552376924498153"</f>
        <v>1552376924498153</v>
      </c>
      <c r="C2474" t="s">
        <v>40</v>
      </c>
      <c r="D2474">
        <v>4.4981090000000004</v>
      </c>
      <c r="E2474">
        <v>0.44002950000000002</v>
      </c>
      <c r="F2474" t="s">
        <v>49</v>
      </c>
      <c r="G2474">
        <v>-487.11799999999999</v>
      </c>
      <c r="H2474" s="1">
        <v>3.1299030000000002E-6</v>
      </c>
      <c r="I2474">
        <v>280.74489999999997</v>
      </c>
      <c r="J2474">
        <v>-427.56220000000002</v>
      </c>
      <c r="K2474">
        <v>1.110304</v>
      </c>
      <c r="L2474">
        <v>283.19850000000002</v>
      </c>
      <c r="M2474">
        <v>-0.99949679999999996</v>
      </c>
      <c r="N2474">
        <v>0</v>
      </c>
      <c r="O2474">
        <v>2.8549140000000001E-2</v>
      </c>
      <c r="P2474">
        <v>-0.99386779999999997</v>
      </c>
      <c r="Q2474">
        <v>2.3900169999999998E-2</v>
      </c>
      <c r="R2474">
        <v>0.10796219999999999</v>
      </c>
      <c r="S2474">
        <v>-3.0338129999999999</v>
      </c>
      <c r="T2474">
        <v>-5.6231980000000001E-2</v>
      </c>
      <c r="U2474">
        <v>-0.12377929999999999</v>
      </c>
      <c r="V2474">
        <v>7.9509239999999995E-2</v>
      </c>
      <c r="W2474">
        <v>3.7755400000000001E-2</v>
      </c>
      <c r="X2474">
        <v>0.99611890000000003</v>
      </c>
      <c r="Y2474">
        <v>-6.9260719999999998E-2</v>
      </c>
      <c r="Z2474">
        <v>-1.1705229999999999E-3</v>
      </c>
      <c r="AA2474">
        <v>0.99759790000000004</v>
      </c>
      <c r="AB2474">
        <v>34</v>
      </c>
      <c r="AC2474">
        <v>-59.555799999999998</v>
      </c>
      <c r="AD2474">
        <v>-1.1103008700970001</v>
      </c>
      <c r="AE2474">
        <v>-2.45360000000005</v>
      </c>
      <c r="AF2474">
        <v>-4.1515885550454996</v>
      </c>
      <c r="AG2474">
        <v>-1.1103008700970001</v>
      </c>
      <c r="AH2474">
        <v>59.440840552996001</v>
      </c>
      <c r="AI2474">
        <v>91.067508651218802</v>
      </c>
      <c r="AJ2474">
        <v>93.995280671912795</v>
      </c>
      <c r="AK2474">
        <v>59.595989640236802</v>
      </c>
      <c r="AL2474">
        <v>87.836260717461201</v>
      </c>
      <c r="AM2474">
        <v>85.436382016344496</v>
      </c>
      <c r="AN2474">
        <v>1.0000000262058699</v>
      </c>
    </row>
    <row r="2475" spans="1:40" x14ac:dyDescent="0.25">
      <c r="A2475" t="str">
        <f>"20190312154844526"</f>
        <v>20190312154844526</v>
      </c>
      <c r="B2475" t="str">
        <f>"1552376924517670"</f>
        <v>1552376924517670</v>
      </c>
      <c r="C2475" t="s">
        <v>40</v>
      </c>
      <c r="D2475">
        <v>4.5228020000000004</v>
      </c>
      <c r="E2475">
        <v>0.43815080000000001</v>
      </c>
      <c r="F2475" t="s">
        <v>49</v>
      </c>
      <c r="G2475">
        <v>-480.87329999999997</v>
      </c>
      <c r="H2475" s="1">
        <v>1.9906390000000001E-6</v>
      </c>
      <c r="I2475">
        <v>280.38380000000001</v>
      </c>
      <c r="J2475">
        <v>-427.89409999999998</v>
      </c>
      <c r="K2475">
        <v>1.110301</v>
      </c>
      <c r="L2475">
        <v>283.20760000000001</v>
      </c>
      <c r="M2475">
        <v>-0.99950779999999995</v>
      </c>
      <c r="N2475">
        <v>0</v>
      </c>
      <c r="O2475">
        <v>2.8157459999999999E-2</v>
      </c>
      <c r="P2475">
        <v>-0.99395290000000003</v>
      </c>
      <c r="Q2475">
        <v>2.3007340000000001E-2</v>
      </c>
      <c r="R2475">
        <v>0.10737089999999901</v>
      </c>
      <c r="S2475">
        <v>-3.0374150000000002</v>
      </c>
      <c r="T2475">
        <v>-6.3259720000000005E-2</v>
      </c>
      <c r="U2475">
        <v>-0.16036989999999901</v>
      </c>
      <c r="V2475">
        <v>7.9307100000000005E-2</v>
      </c>
      <c r="W2475">
        <v>3.6860530000000002E-2</v>
      </c>
      <c r="X2475">
        <v>0.99616850000000001</v>
      </c>
      <c r="Y2475">
        <v>-8.0801230000000002E-2</v>
      </c>
      <c r="Z2475">
        <v>-1.4268060000000001E-3</v>
      </c>
      <c r="AA2475">
        <v>0.99672919999999998</v>
      </c>
      <c r="AB2475">
        <v>34</v>
      </c>
      <c r="AC2475">
        <v>-52.979199999999899</v>
      </c>
      <c r="AD2475">
        <v>-1.1102990093609999</v>
      </c>
      <c r="AE2475">
        <v>-2.8237999999999999</v>
      </c>
      <c r="AF2475">
        <v>-4.3126937740179896</v>
      </c>
      <c r="AG2475">
        <v>-1.1102990093609999</v>
      </c>
      <c r="AH2475">
        <v>52.855522346103598</v>
      </c>
      <c r="AI2475">
        <v>91.199410609574301</v>
      </c>
      <c r="AJ2475">
        <v>94.664658673316893</v>
      </c>
      <c r="AK2475">
        <v>53.042797192060902</v>
      </c>
      <c r="AL2475">
        <v>87.887568651395199</v>
      </c>
      <c r="AM2475">
        <v>85.448161187599098</v>
      </c>
      <c r="AN2475">
        <v>0.99999999758726998</v>
      </c>
    </row>
    <row r="2476" spans="1:40" x14ac:dyDescent="0.25">
      <c r="A2476" t="str">
        <f>"20190312154844548"</f>
        <v>20190312154844548</v>
      </c>
      <c r="B2476" t="str">
        <f>"1552376924538166"</f>
        <v>1552376924538166</v>
      </c>
      <c r="C2476" t="s">
        <v>40</v>
      </c>
      <c r="D2476">
        <v>4.5095109999999998</v>
      </c>
      <c r="E2476">
        <v>0.4367992</v>
      </c>
      <c r="F2476" t="s">
        <v>49</v>
      </c>
      <c r="G2476">
        <v>-475.40910000000002</v>
      </c>
      <c r="H2476" s="1">
        <v>3.8499210000000001E-6</v>
      </c>
      <c r="I2476">
        <v>280.4359</v>
      </c>
      <c r="J2476">
        <v>-428.23700000000002</v>
      </c>
      <c r="K2476">
        <v>1.1102989999999999</v>
      </c>
      <c r="L2476">
        <v>283.21679999999998</v>
      </c>
      <c r="M2476">
        <v>-0.99951909999999999</v>
      </c>
      <c r="N2476">
        <v>0</v>
      </c>
      <c r="O2476">
        <v>2.775331E-2</v>
      </c>
      <c r="P2476">
        <v>-0.99408149999999995</v>
      </c>
      <c r="Q2476">
        <v>2.241481E-2</v>
      </c>
      <c r="R2476">
        <v>0.10629950000000001</v>
      </c>
      <c r="S2476">
        <v>-3.0390929999999998</v>
      </c>
      <c r="T2476">
        <v>-7.101536E-2</v>
      </c>
      <c r="U2476">
        <v>-0.17727660000000001</v>
      </c>
      <c r="V2476">
        <v>7.8636059999999994E-2</v>
      </c>
      <c r="W2476">
        <v>3.6266310000000003E-2</v>
      </c>
      <c r="X2476">
        <v>0.99624349999999995</v>
      </c>
      <c r="Y2476">
        <v>-8.5888590000000001E-2</v>
      </c>
      <c r="Z2476">
        <v>-1.6505139999999901E-3</v>
      </c>
      <c r="AA2476">
        <v>0.99630339999999995</v>
      </c>
      <c r="AB2476">
        <v>34</v>
      </c>
      <c r="AC2476">
        <v>-47.1721</v>
      </c>
      <c r="AD2476">
        <v>-1.1102951500789999</v>
      </c>
      <c r="AE2476">
        <v>-2.7808999999999702</v>
      </c>
      <c r="AF2476">
        <v>-4.08687949776417</v>
      </c>
      <c r="AG2476">
        <v>-1.1102951500789999</v>
      </c>
      <c r="AH2476">
        <v>47.050763742752501</v>
      </c>
      <c r="AI2476">
        <v>91.346735209643498</v>
      </c>
      <c r="AJ2476">
        <v>94.964312520731596</v>
      </c>
      <c r="AK2476">
        <v>47.240974885430298</v>
      </c>
      <c r="AL2476">
        <v>87.921637721843695</v>
      </c>
      <c r="AM2476">
        <v>85.486854166779693</v>
      </c>
      <c r="AN2476">
        <v>0.99999999323279398</v>
      </c>
    </row>
    <row r="2477" spans="1:40" x14ac:dyDescent="0.25">
      <c r="A2477" t="str">
        <f>"20190312154844570"</f>
        <v>20190312154844570</v>
      </c>
      <c r="B2477" t="str">
        <f>"1552376924557686"</f>
        <v>1552376924557686</v>
      </c>
      <c r="C2477" t="s">
        <v>40</v>
      </c>
      <c r="D2477">
        <v>4.4948629999999996</v>
      </c>
      <c r="E2477">
        <v>0.43584780000000001</v>
      </c>
      <c r="F2477" t="s">
        <v>49</v>
      </c>
      <c r="G2477">
        <v>-472.88940000000002</v>
      </c>
      <c r="H2477" s="1">
        <v>4.964852E-6</v>
      </c>
      <c r="I2477">
        <v>280.4076</v>
      </c>
      <c r="J2477">
        <v>-428.56349999999998</v>
      </c>
      <c r="K2477">
        <v>1.1102989999999999</v>
      </c>
      <c r="L2477">
        <v>283.22550000000001</v>
      </c>
      <c r="M2477">
        <v>-0.99952980000000002</v>
      </c>
      <c r="N2477">
        <v>0</v>
      </c>
      <c r="O2477">
        <v>2.7368010000000002E-2</v>
      </c>
      <c r="P2477">
        <v>-0.99416309999999997</v>
      </c>
      <c r="Q2477">
        <v>2.1997160000000002E-2</v>
      </c>
      <c r="R2477">
        <v>0.1056219</v>
      </c>
      <c r="S2477">
        <v>-3.040009</v>
      </c>
      <c r="T2477">
        <v>-7.5590610000000003E-2</v>
      </c>
      <c r="U2477">
        <v>-0.1912537</v>
      </c>
      <c r="V2477">
        <v>7.8341110000000005E-2</v>
      </c>
      <c r="W2477">
        <v>3.5846969999999999E-2</v>
      </c>
      <c r="X2477">
        <v>0.99628190000000005</v>
      </c>
      <c r="Y2477">
        <v>-9.0045009999999995E-2</v>
      </c>
      <c r="Z2477">
        <v>-1.798102E-3</v>
      </c>
      <c r="AA2477">
        <v>0.99593609999999999</v>
      </c>
      <c r="AB2477">
        <v>34</v>
      </c>
      <c r="AC2477">
        <v>-44.325899999999997</v>
      </c>
      <c r="AD2477">
        <v>-1.110294035148</v>
      </c>
      <c r="AE2477">
        <v>-2.8178999999999998</v>
      </c>
      <c r="AF2477">
        <v>-4.0275551207976497</v>
      </c>
      <c r="AG2477">
        <v>-1.110294035148</v>
      </c>
      <c r="AH2477">
        <v>44.2045424633137</v>
      </c>
      <c r="AI2477">
        <v>91.432874029364001</v>
      </c>
      <c r="AJ2477">
        <v>95.205947472570799</v>
      </c>
      <c r="AK2477">
        <v>44.401526184202801</v>
      </c>
      <c r="AL2477">
        <v>87.945679739573706</v>
      </c>
      <c r="AM2477">
        <v>85.503885229370098</v>
      </c>
      <c r="AN2477">
        <v>0.99999997952091102</v>
      </c>
    </row>
    <row r="2478" spans="1:40" x14ac:dyDescent="0.25">
      <c r="A2478" t="str">
        <f>"20190312154844593"</f>
        <v>20190312154844593</v>
      </c>
      <c r="B2478" t="str">
        <f>"1552376924587942"</f>
        <v>1552376924587942</v>
      </c>
      <c r="C2478" t="s">
        <v>40</v>
      </c>
      <c r="D2478">
        <v>4.5047309999999996</v>
      </c>
      <c r="E2478">
        <v>0.434726</v>
      </c>
      <c r="F2478" t="s">
        <v>49</v>
      </c>
      <c r="G2478">
        <v>-471.6019</v>
      </c>
      <c r="H2478" s="1">
        <v>5.5336739999999998E-6</v>
      </c>
      <c r="I2478">
        <v>280.38319999999999</v>
      </c>
      <c r="J2478">
        <v>-428.91230000000002</v>
      </c>
      <c r="K2478">
        <v>1.1102959999999999</v>
      </c>
      <c r="L2478">
        <v>283.2346</v>
      </c>
      <c r="M2478">
        <v>-0.99954100000000001</v>
      </c>
      <c r="N2478">
        <v>0</v>
      </c>
      <c r="O2478">
        <v>2.6956190000000001E-2</v>
      </c>
      <c r="P2478">
        <v>-0.99425140000000001</v>
      </c>
      <c r="Q2478">
        <v>2.242719E-2</v>
      </c>
      <c r="R2478">
        <v>0.1046974</v>
      </c>
      <c r="S2478">
        <v>-3.04068</v>
      </c>
      <c r="T2478">
        <v>-7.8442689999999995E-2</v>
      </c>
      <c r="U2478">
        <v>-0.2008057</v>
      </c>
      <c r="V2478">
        <v>7.7824959999999999E-2</v>
      </c>
      <c r="W2478">
        <v>3.6274889999999997E-2</v>
      </c>
      <c r="X2478">
        <v>0.9963069</v>
      </c>
      <c r="Y2478">
        <v>-9.2732739999999994E-2</v>
      </c>
      <c r="Z2478">
        <v>-1.889344E-3</v>
      </c>
      <c r="AA2478">
        <v>0.9956893</v>
      </c>
      <c r="AB2478">
        <v>34</v>
      </c>
      <c r="AC2478">
        <v>-42.689599999999899</v>
      </c>
      <c r="AD2478">
        <v>-1.110290466326</v>
      </c>
      <c r="AE2478">
        <v>-2.8514000000000101</v>
      </c>
      <c r="AF2478">
        <v>-3.9985298667905198</v>
      </c>
      <c r="AG2478">
        <v>-1.110290466326</v>
      </c>
      <c r="AH2478">
        <v>42.568546926952003</v>
      </c>
      <c r="AI2478">
        <v>91.4875285423294</v>
      </c>
      <c r="AJ2478">
        <v>95.366136653645597</v>
      </c>
      <c r="AK2478">
        <v>42.770342218496999</v>
      </c>
      <c r="AL2478">
        <v>87.921145846713401</v>
      </c>
      <c r="AM2478">
        <v>85.533499217740598</v>
      </c>
      <c r="AN2478">
        <v>1.0000000155155599</v>
      </c>
    </row>
    <row r="2479" spans="1:40" x14ac:dyDescent="0.25">
      <c r="A2479" t="str">
        <f>"20190312154844609"</f>
        <v>20190312154844609</v>
      </c>
      <c r="B2479" t="str">
        <f>"1552376924597702"</f>
        <v>1552376924597702</v>
      </c>
      <c r="C2479" t="s">
        <v>40</v>
      </c>
      <c r="D2479">
        <v>4.5066689999999996</v>
      </c>
      <c r="E2479">
        <v>0.43439990000000001</v>
      </c>
      <c r="F2479" t="s">
        <v>49</v>
      </c>
      <c r="G2479">
        <v>-471.55360000000002</v>
      </c>
      <c r="H2479" s="1">
        <v>5.5437500000000001E-6</v>
      </c>
      <c r="I2479">
        <v>280.25380000000001</v>
      </c>
      <c r="J2479">
        <v>-429.1431</v>
      </c>
      <c r="K2479">
        <v>1.1102939999999999</v>
      </c>
      <c r="L2479">
        <v>283.2405</v>
      </c>
      <c r="M2479">
        <v>-0.9995484</v>
      </c>
      <c r="N2479">
        <v>0</v>
      </c>
      <c r="O2479">
        <v>2.6683579999999998E-2</v>
      </c>
      <c r="P2479">
        <v>-0.99431409999999998</v>
      </c>
      <c r="Q2479">
        <v>2.2563039999999999E-2</v>
      </c>
      <c r="R2479">
        <v>0.1040711</v>
      </c>
      <c r="S2479">
        <v>-3.041534</v>
      </c>
      <c r="T2479">
        <v>-7.9195139999999997E-2</v>
      </c>
      <c r="U2479">
        <v>-0.212616</v>
      </c>
      <c r="V2479">
        <v>7.7468800000000004E-2</v>
      </c>
      <c r="W2479">
        <v>3.6409740000000003E-2</v>
      </c>
      <c r="X2479">
        <v>0.99632969999999998</v>
      </c>
      <c r="Y2479">
        <v>-9.6288869999999999E-2</v>
      </c>
      <c r="Z2479">
        <v>-1.945827E-3</v>
      </c>
      <c r="AA2479">
        <v>0.9953516</v>
      </c>
      <c r="AB2479">
        <v>34</v>
      </c>
      <c r="AC2479">
        <v>-42.410499999999999</v>
      </c>
      <c r="AD2479">
        <v>-1.1102884562499999</v>
      </c>
      <c r="AE2479">
        <v>-2.9866999999999799</v>
      </c>
      <c r="AF2479">
        <v>-4.1146022647127802</v>
      </c>
      <c r="AG2479">
        <v>-1.1102884562499999</v>
      </c>
      <c r="AH2479">
        <v>42.286853445009697</v>
      </c>
      <c r="AI2479">
        <v>91.496952559026496</v>
      </c>
      <c r="AJ2479">
        <v>95.557508322909001</v>
      </c>
      <c r="AK2479">
        <v>42.501066651704001</v>
      </c>
      <c r="AL2479">
        <v>87.913414324463105</v>
      </c>
      <c r="AM2479">
        <v>85.553959008829096</v>
      </c>
      <c r="AN2479">
        <v>0.99999997762119797</v>
      </c>
    </row>
    <row r="2480" spans="1:40" x14ac:dyDescent="0.25">
      <c r="A2480" t="str">
        <f>"20190312154844627"</f>
        <v>20190312154844627</v>
      </c>
      <c r="B2480" t="str">
        <f>"1552376924618198"</f>
        <v>1552376924618198</v>
      </c>
      <c r="C2480" t="s">
        <v>40</v>
      </c>
      <c r="D2480">
        <v>4.5088460000000001</v>
      </c>
      <c r="E2480">
        <v>0.43389139999999998</v>
      </c>
      <c r="F2480" t="s">
        <v>49</v>
      </c>
      <c r="G2480">
        <v>-471.64909999999998</v>
      </c>
      <c r="H2480" s="1">
        <v>5.4971640000000003E-6</v>
      </c>
      <c r="I2480">
        <v>280.20499999999998</v>
      </c>
      <c r="J2480">
        <v>-429.41559999999998</v>
      </c>
      <c r="K2480">
        <v>1.110295</v>
      </c>
      <c r="L2480">
        <v>283.24740000000003</v>
      </c>
      <c r="M2480">
        <v>-0.99955689999999997</v>
      </c>
      <c r="N2480">
        <v>0</v>
      </c>
      <c r="O2480">
        <v>2.6362110000000001E-2</v>
      </c>
      <c r="P2480">
        <v>-0.99440660000000003</v>
      </c>
      <c r="Q2480">
        <v>2.2807250000000001E-2</v>
      </c>
      <c r="R2480">
        <v>0.1031285</v>
      </c>
      <c r="S2480">
        <v>-3.0417179999999999</v>
      </c>
      <c r="T2480">
        <v>-7.9452040000000002E-2</v>
      </c>
      <c r="U2480">
        <v>-0.2172241</v>
      </c>
      <c r="V2480">
        <v>7.6844419999999997E-2</v>
      </c>
      <c r="W2480">
        <v>3.6652289999999997E-2</v>
      </c>
      <c r="X2480">
        <v>0.99636919999999995</v>
      </c>
      <c r="Y2480">
        <v>-9.7464400000000007E-2</v>
      </c>
      <c r="Z2480">
        <v>-1.958862E-3</v>
      </c>
      <c r="AA2480">
        <v>0.99523709999999999</v>
      </c>
      <c r="AB2480">
        <v>34</v>
      </c>
      <c r="AC2480">
        <v>-42.2334999999999</v>
      </c>
      <c r="AD2480">
        <v>-1.110289502836</v>
      </c>
      <c r="AE2480">
        <v>-3.0424000000000402</v>
      </c>
      <c r="AF2480">
        <v>-4.1519582586241999</v>
      </c>
      <c r="AG2480">
        <v>-1.110289502836</v>
      </c>
      <c r="AH2480">
        <v>42.109654682651197</v>
      </c>
      <c r="AI2480">
        <v>91.503061316717094</v>
      </c>
      <c r="AJ2480">
        <v>95.631089932597405</v>
      </c>
      <c r="AK2480">
        <v>42.328412652184298</v>
      </c>
      <c r="AL2480">
        <v>87.899508037474604</v>
      </c>
      <c r="AM2480">
        <v>85.589825238192802</v>
      </c>
      <c r="AN2480">
        <v>1.0000000189780101</v>
      </c>
    </row>
    <row r="2481" spans="1:40" x14ac:dyDescent="0.25">
      <c r="A2481" t="str">
        <f>"20190312154844650"</f>
        <v>20190312154844650</v>
      </c>
      <c r="B2481" t="str">
        <f>"1552376924637719"</f>
        <v>1552376924637719</v>
      </c>
      <c r="C2481" t="s">
        <v>40</v>
      </c>
      <c r="D2481">
        <v>4.4768119999999998</v>
      </c>
      <c r="E2481">
        <v>0.43349480000000001</v>
      </c>
      <c r="F2481" t="s">
        <v>49</v>
      </c>
      <c r="G2481">
        <v>-471.81349999999998</v>
      </c>
      <c r="H2481" s="1">
        <v>5.4171880000000001E-6</v>
      </c>
      <c r="I2481">
        <v>280.1241</v>
      </c>
      <c r="J2481">
        <v>-429.75810000000001</v>
      </c>
      <c r="K2481">
        <v>1.1102939999999999</v>
      </c>
      <c r="L2481">
        <v>283.2561</v>
      </c>
      <c r="M2481">
        <v>-0.9995676</v>
      </c>
      <c r="N2481">
        <v>0</v>
      </c>
      <c r="O2481">
        <v>2.595708E-2</v>
      </c>
      <c r="P2481">
        <v>-0.99455260000000001</v>
      </c>
      <c r="Q2481">
        <v>2.258201E-2</v>
      </c>
      <c r="R2481">
        <v>0.1017614</v>
      </c>
      <c r="S2481">
        <v>-3.0419309999999999</v>
      </c>
      <c r="T2481">
        <v>-7.9660179999999997E-2</v>
      </c>
      <c r="U2481">
        <v>-0.2240906</v>
      </c>
      <c r="V2481">
        <v>7.5878150000000005E-2</v>
      </c>
      <c r="W2481">
        <v>3.6424989999999997E-2</v>
      </c>
      <c r="X2481">
        <v>0.99645159999999999</v>
      </c>
      <c r="Y2481">
        <v>-9.9290069999999994E-2</v>
      </c>
      <c r="Z2481">
        <v>-1.9769739999999998E-3</v>
      </c>
      <c r="AA2481">
        <v>0.99505659999999896</v>
      </c>
      <c r="AB2481">
        <v>34</v>
      </c>
      <c r="AC2481">
        <v>-42.055399999999899</v>
      </c>
      <c r="AD2481">
        <v>-1.1102885828119999</v>
      </c>
      <c r="AE2481">
        <v>-3.1320000000000001</v>
      </c>
      <c r="AF2481">
        <v>-4.2197591407180903</v>
      </c>
      <c r="AG2481">
        <v>-1.1102885828119999</v>
      </c>
      <c r="AH2481">
        <v>41.930857438519404</v>
      </c>
      <c r="AI2481">
        <v>91.509163125712405</v>
      </c>
      <c r="AJ2481">
        <v>95.746677449756305</v>
      </c>
      <c r="AK2481">
        <v>42.157275925660002</v>
      </c>
      <c r="AL2481">
        <v>87.912540098108295</v>
      </c>
      <c r="AM2481">
        <v>85.645424449667303</v>
      </c>
      <c r="AN2481">
        <v>1.0000000323432401</v>
      </c>
    </row>
    <row r="2482" spans="1:40" x14ac:dyDescent="0.25">
      <c r="A2482" t="str">
        <f>"20190312154844671"</f>
        <v>20190312154844671</v>
      </c>
      <c r="B2482" t="str">
        <f>"1552376924658215"</f>
        <v>1552376924658215</v>
      </c>
      <c r="C2482" t="s">
        <v>40</v>
      </c>
      <c r="D2482">
        <v>4.4660399999999996</v>
      </c>
      <c r="E2482">
        <v>0.43325200000000003</v>
      </c>
      <c r="F2482" t="s">
        <v>49</v>
      </c>
      <c r="G2482">
        <v>-471.63279999999997</v>
      </c>
      <c r="H2482" s="1">
        <v>5.4926039999999998E-6</v>
      </c>
      <c r="I2482">
        <v>280.07040000000001</v>
      </c>
      <c r="J2482">
        <v>-430.08609999999999</v>
      </c>
      <c r="K2482">
        <v>1.110295</v>
      </c>
      <c r="L2482">
        <v>283.26409999999998</v>
      </c>
      <c r="M2482">
        <v>-0.99957750000000001</v>
      </c>
      <c r="N2482">
        <v>0</v>
      </c>
      <c r="O2482">
        <v>2.5569399999999999E-2</v>
      </c>
      <c r="P2482">
        <v>-0.99465689999999995</v>
      </c>
      <c r="Q2482">
        <v>2.239375E-2</v>
      </c>
      <c r="R2482">
        <v>0.100781</v>
      </c>
      <c r="S2482">
        <v>-3.0419010000000002</v>
      </c>
      <c r="T2482">
        <v>-8.0654499999999907E-2</v>
      </c>
      <c r="U2482">
        <v>-0.2314148</v>
      </c>
      <c r="V2482">
        <v>7.5282489999999994E-2</v>
      </c>
      <c r="W2482">
        <v>3.6234860000000001E-2</v>
      </c>
      <c r="X2482">
        <v>0.99650369999999999</v>
      </c>
      <c r="Y2482">
        <v>-0.1012855</v>
      </c>
      <c r="Z2482">
        <v>-2.0176339999999999E-3</v>
      </c>
      <c r="AA2482">
        <v>0.9948553</v>
      </c>
      <c r="AB2482">
        <v>34</v>
      </c>
      <c r="AC2482">
        <v>-41.546699999999902</v>
      </c>
      <c r="AD2482">
        <v>-1.110289507396</v>
      </c>
      <c r="AE2482">
        <v>-3.19369999999997</v>
      </c>
      <c r="AF2482">
        <v>-4.2520624487643799</v>
      </c>
      <c r="AG2482">
        <v>-1.110289507396</v>
      </c>
      <c r="AH2482">
        <v>41.422036442979199</v>
      </c>
      <c r="AI2482">
        <v>91.527384283861693</v>
      </c>
      <c r="AJ2482">
        <v>95.861007620603303</v>
      </c>
      <c r="AK2482">
        <v>41.654506130092599</v>
      </c>
      <c r="AL2482">
        <v>87.9234409174652</v>
      </c>
      <c r="AM2482">
        <v>85.679703900386698</v>
      </c>
      <c r="AN2482">
        <v>1.0000000212467499</v>
      </c>
    </row>
    <row r="2483" spans="1:40" x14ac:dyDescent="0.25">
      <c r="A2483" t="str">
        <f>"20190312154844695"</f>
        <v>20190312154844695</v>
      </c>
      <c r="B2483" t="str">
        <f>"1552376924688470"</f>
        <v>1552376924688470</v>
      </c>
      <c r="C2483" t="s">
        <v>40</v>
      </c>
      <c r="D2483">
        <v>4.4859540000000004</v>
      </c>
      <c r="E2483">
        <v>0.43279459999999997</v>
      </c>
      <c r="F2483" t="s">
        <v>49</v>
      </c>
      <c r="G2483">
        <v>-471.5899</v>
      </c>
      <c r="H2483" s="1">
        <v>5.5091959999999996E-6</v>
      </c>
      <c r="I2483">
        <v>280.04250000000002</v>
      </c>
      <c r="J2483">
        <v>-430.4332</v>
      </c>
      <c r="K2483">
        <v>1.1102939999999999</v>
      </c>
      <c r="L2483">
        <v>283.27260000000001</v>
      </c>
      <c r="M2483">
        <v>-0.99958809999999998</v>
      </c>
      <c r="N2483">
        <v>0</v>
      </c>
      <c r="O2483">
        <v>2.5158710000000001E-2</v>
      </c>
      <c r="P2483">
        <v>-0.99474850000000004</v>
      </c>
      <c r="Q2483">
        <v>2.2402310000000002E-2</v>
      </c>
      <c r="R2483">
        <v>9.9869830000000007E-2</v>
      </c>
      <c r="S2483">
        <v>-3.0418699999999999</v>
      </c>
      <c r="T2483">
        <v>-8.137453E-2</v>
      </c>
      <c r="U2483">
        <v>-0.2361145</v>
      </c>
      <c r="V2483">
        <v>7.4778849999999994E-2</v>
      </c>
      <c r="W2483">
        <v>3.6241519999999999E-2</v>
      </c>
      <c r="X2483">
        <v>0.99654140000000002</v>
      </c>
      <c r="Y2483">
        <v>-0.1024045</v>
      </c>
      <c r="Z2483">
        <v>-2.0395130000000002E-3</v>
      </c>
      <c r="AA2483">
        <v>0.99474070000000003</v>
      </c>
      <c r="AB2483">
        <v>34</v>
      </c>
      <c r="AC2483">
        <v>-41.156700000000001</v>
      </c>
      <c r="AD2483">
        <v>-1.1102884908040001</v>
      </c>
      <c r="AE2483">
        <v>-3.23009999999999</v>
      </c>
      <c r="AF2483">
        <v>-4.2615431769018404</v>
      </c>
      <c r="AG2483">
        <v>-1.1102884908040001</v>
      </c>
      <c r="AH2483">
        <v>41.032717945127601</v>
      </c>
      <c r="AI2483">
        <v>91.541678017156002</v>
      </c>
      <c r="AJ2483">
        <v>95.929321667274493</v>
      </c>
      <c r="AK2483">
        <v>41.268358735789398</v>
      </c>
      <c r="AL2483">
        <v>87.923059122078399</v>
      </c>
      <c r="AM2483">
        <v>85.708660094826399</v>
      </c>
      <c r="AN2483">
        <v>1.0000000430465901</v>
      </c>
    </row>
    <row r="2484" spans="1:40" x14ac:dyDescent="0.25">
      <c r="A2484" t="str">
        <f>"20190312154844716"</f>
        <v>20190312154844716</v>
      </c>
      <c r="B2484" t="str">
        <f>"1552376924707990"</f>
        <v>1552376924707990</v>
      </c>
      <c r="C2484" t="s">
        <v>40</v>
      </c>
      <c r="D2484">
        <v>4.5228739999999998</v>
      </c>
      <c r="E2484">
        <v>0.4102017</v>
      </c>
      <c r="F2484" t="s">
        <v>49</v>
      </c>
      <c r="G2484">
        <v>-472.06490000000002</v>
      </c>
      <c r="H2484" s="1">
        <v>5.2906910000000004E-6</v>
      </c>
      <c r="I2484">
        <v>279.95280000000002</v>
      </c>
      <c r="J2484">
        <v>-430.7527</v>
      </c>
      <c r="K2484">
        <v>1.110295</v>
      </c>
      <c r="L2484">
        <v>283.28019999999998</v>
      </c>
      <c r="M2484">
        <v>-0.99959750000000003</v>
      </c>
      <c r="N2484">
        <v>0</v>
      </c>
      <c r="O2484">
        <v>2.4781040000000001E-2</v>
      </c>
      <c r="P2484">
        <v>-0.99482210000000004</v>
      </c>
      <c r="Q2484">
        <v>2.2610600000000002E-2</v>
      </c>
      <c r="R2484">
        <v>9.9084820000000004E-2</v>
      </c>
      <c r="S2484">
        <v>-3.042084</v>
      </c>
      <c r="T2484">
        <v>-8.1130270000000004E-2</v>
      </c>
      <c r="U2484">
        <v>-0.2425842</v>
      </c>
      <c r="V2484">
        <v>7.4368669999999998E-2</v>
      </c>
      <c r="W2484">
        <v>3.6447859999999999E-2</v>
      </c>
      <c r="X2484">
        <v>0.99656449999999996</v>
      </c>
      <c r="Y2484">
        <v>-0.10412540000000001</v>
      </c>
      <c r="Z2484">
        <v>-2.045935E-3</v>
      </c>
      <c r="AA2484">
        <v>0.9945621</v>
      </c>
      <c r="AB2484">
        <v>34</v>
      </c>
      <c r="AC2484">
        <v>-41.312199999999997</v>
      </c>
      <c r="AD2484">
        <v>-1.1102897093089901</v>
      </c>
      <c r="AE2484">
        <v>-3.3273999999999502</v>
      </c>
      <c r="AF2484">
        <v>-4.3471152278563698</v>
      </c>
      <c r="AG2484">
        <v>-1.1102897093089901</v>
      </c>
      <c r="AH2484">
        <v>41.187488558853701</v>
      </c>
      <c r="AI2484">
        <v>91.535621056246697</v>
      </c>
      <c r="AJ2484">
        <v>96.024951772518605</v>
      </c>
      <c r="AK2484">
        <v>41.431140073965601</v>
      </c>
      <c r="AL2484">
        <v>87.911228751311597</v>
      </c>
      <c r="AM2484">
        <v>85.732210476399302</v>
      </c>
      <c r="AN2484">
        <v>0.99999997411819797</v>
      </c>
    </row>
    <row r="2485" spans="1:40" x14ac:dyDescent="0.25">
      <c r="A2485" t="str">
        <f>"20190312154844738"</f>
        <v>20190312154844738</v>
      </c>
      <c r="B2485" t="str">
        <f>"1552376924728486"</f>
        <v>1552376924728486</v>
      </c>
      <c r="C2485" t="s">
        <v>40</v>
      </c>
      <c r="D2485">
        <v>4.4812200000000004</v>
      </c>
      <c r="E2485">
        <v>0.40822629999999999</v>
      </c>
      <c r="F2485" t="s">
        <v>49</v>
      </c>
      <c r="G2485">
        <v>-499.95780000000002</v>
      </c>
      <c r="H2485">
        <v>1.885614E-2</v>
      </c>
      <c r="I2485">
        <v>273.72199999999998</v>
      </c>
      <c r="J2485">
        <v>-431.08920000000001</v>
      </c>
      <c r="K2485">
        <v>1.1102939999999999</v>
      </c>
      <c r="L2485">
        <v>283.28809999999999</v>
      </c>
      <c r="M2485">
        <v>-0.99960729999999998</v>
      </c>
      <c r="N2485">
        <v>0</v>
      </c>
      <c r="O2485">
        <v>2.4382979999999999E-2</v>
      </c>
      <c r="P2485">
        <v>-0.9948861</v>
      </c>
      <c r="Q2485">
        <v>2.316402E-2</v>
      </c>
      <c r="R2485">
        <v>9.8313559999999994E-2</v>
      </c>
      <c r="S2485">
        <v>-3.0587460000000002</v>
      </c>
      <c r="T2485">
        <v>-4.8239709999999998E-2</v>
      </c>
      <c r="U2485">
        <v>-0.42245480000000002</v>
      </c>
      <c r="V2485">
        <v>7.3992710000000003E-2</v>
      </c>
      <c r="W2485">
        <v>3.6998709999999997E-2</v>
      </c>
      <c r="X2485">
        <v>0.99657220000000002</v>
      </c>
      <c r="Y2485">
        <v>-0.16090769999999999</v>
      </c>
      <c r="Z2485">
        <v>-1.645646E-3</v>
      </c>
      <c r="AA2485">
        <v>0.98696810000000001</v>
      </c>
      <c r="AB2485">
        <v>34</v>
      </c>
      <c r="AC2485">
        <v>-68.868600000000001</v>
      </c>
      <c r="AD2485">
        <v>-1.0914378600000001</v>
      </c>
      <c r="AE2485">
        <v>-9.5661000000000005</v>
      </c>
      <c r="AF2485">
        <v>-11.2398676152355</v>
      </c>
      <c r="AG2485">
        <v>-1.0914378600000001</v>
      </c>
      <c r="AH2485">
        <v>68.597945437609795</v>
      </c>
      <c r="AI2485">
        <v>90.899542996166602</v>
      </c>
      <c r="AJ2485">
        <v>99.305306109278902</v>
      </c>
      <c r="AK2485">
        <v>69.521248398396494</v>
      </c>
      <c r="AL2485">
        <v>87.879646095468203</v>
      </c>
      <c r="AM2485">
        <v>85.753739240262206</v>
      </c>
      <c r="AN2485">
        <v>0.99999998774382404</v>
      </c>
    </row>
    <row r="2486" spans="1:40" x14ac:dyDescent="0.25">
      <c r="A2486" t="str">
        <f>"20190312154844760"</f>
        <v>20190312154844760</v>
      </c>
      <c r="B2486" t="str">
        <f>"1552376924748006"</f>
        <v>1552376924748006</v>
      </c>
      <c r="C2486" t="s">
        <v>40</v>
      </c>
      <c r="D2486">
        <v>4.4593790000000002</v>
      </c>
      <c r="E2486">
        <v>0.40785149999999998</v>
      </c>
      <c r="F2486" t="s">
        <v>50</v>
      </c>
      <c r="G2486">
        <v>-463.39179999999999</v>
      </c>
      <c r="H2486">
        <v>8.0000719999999997E-2</v>
      </c>
      <c r="I2486">
        <v>278.61369999999999</v>
      </c>
      <c r="J2486">
        <v>-431.41849999999999</v>
      </c>
      <c r="K2486">
        <v>1.1102989999999999</v>
      </c>
      <c r="L2486">
        <v>283.29570000000001</v>
      </c>
      <c r="M2486">
        <v>-0.99961670000000002</v>
      </c>
      <c r="N2486">
        <v>0</v>
      </c>
      <c r="O2486">
        <v>2.3994040000000001E-2</v>
      </c>
      <c r="P2486">
        <v>-0.99494890000000002</v>
      </c>
      <c r="Q2486">
        <v>2.3255169999999999E-2</v>
      </c>
      <c r="R2486">
        <v>9.7653909999999997E-2</v>
      </c>
      <c r="S2486">
        <v>-3.061493</v>
      </c>
      <c r="T2486">
        <v>-9.7646590000000005E-2</v>
      </c>
      <c r="U2486">
        <v>-0.44302370000000002</v>
      </c>
      <c r="V2486">
        <v>7.3719699999999999E-2</v>
      </c>
      <c r="W2486">
        <v>3.7088299999999998E-2</v>
      </c>
      <c r="X2486">
        <v>0.99658910000000001</v>
      </c>
      <c r="Y2486">
        <v>-0.16682920000000001</v>
      </c>
      <c r="Z2486">
        <v>-3.4075529999999998E-3</v>
      </c>
      <c r="AA2486">
        <v>0.98597990000000002</v>
      </c>
      <c r="AB2486">
        <v>34</v>
      </c>
      <c r="AC2486">
        <v>-31.973299999999899</v>
      </c>
      <c r="AD2486">
        <v>-1.03029828</v>
      </c>
      <c r="AE2486">
        <v>-4.6820000000000102</v>
      </c>
      <c r="AF2486">
        <v>-5.4423610812766601</v>
      </c>
      <c r="AG2486">
        <v>-1.03029828</v>
      </c>
      <c r="AH2486">
        <v>31.819395760844799</v>
      </c>
      <c r="AI2486">
        <v>91.828036740157202</v>
      </c>
      <c r="AJ2486">
        <v>99.705899613501998</v>
      </c>
      <c r="AK2486">
        <v>32.297906360475302</v>
      </c>
      <c r="AL2486">
        <v>87.874509435588394</v>
      </c>
      <c r="AM2486">
        <v>85.769421108968004</v>
      </c>
      <c r="AN2486">
        <v>0.99999998520189404</v>
      </c>
    </row>
    <row r="2487" spans="1:40" x14ac:dyDescent="0.25">
      <c r="A2487" t="str">
        <f>"20190312154844783"</f>
        <v>20190312154844783</v>
      </c>
      <c r="B2487" t="str">
        <f>"1552376924778266"</f>
        <v>1552376924778266</v>
      </c>
      <c r="C2487" t="s">
        <v>40</v>
      </c>
      <c r="D2487">
        <v>4.4724779999999997</v>
      </c>
      <c r="E2487">
        <v>0.4077518</v>
      </c>
      <c r="F2487" t="s">
        <v>50</v>
      </c>
      <c r="G2487">
        <v>-458.8963</v>
      </c>
      <c r="H2487">
        <v>8.0000550000000004E-2</v>
      </c>
      <c r="I2487">
        <v>279.26909999999998</v>
      </c>
      <c r="J2487">
        <v>-431.76389999999998</v>
      </c>
      <c r="K2487">
        <v>1.1102970000000001</v>
      </c>
      <c r="L2487">
        <v>283.30360000000002</v>
      </c>
      <c r="M2487">
        <v>-0.99962649999999997</v>
      </c>
      <c r="N2487">
        <v>0</v>
      </c>
      <c r="O2487">
        <v>2.3584959999999999E-2</v>
      </c>
      <c r="P2487">
        <v>-0.99506170000000005</v>
      </c>
      <c r="Q2487">
        <v>2.3317299999999999E-2</v>
      </c>
      <c r="R2487">
        <v>9.6482869999999998E-2</v>
      </c>
      <c r="S2487">
        <v>-3.0619200000000002</v>
      </c>
      <c r="T2487">
        <v>-0.1148086</v>
      </c>
      <c r="U2487">
        <v>-0.44869999999999999</v>
      </c>
      <c r="V2487">
        <v>7.2954249999999998E-2</v>
      </c>
      <c r="W2487">
        <v>3.7147859999999998E-2</v>
      </c>
      <c r="X2487">
        <v>0.99664319999999895</v>
      </c>
      <c r="Y2487">
        <v>-0.16815910000000001</v>
      </c>
      <c r="Z2487">
        <v>-4.0145160000000001E-3</v>
      </c>
      <c r="AA2487">
        <v>0.98575170000000001</v>
      </c>
      <c r="AB2487">
        <v>34</v>
      </c>
      <c r="AC2487">
        <v>-27.132400000000001</v>
      </c>
      <c r="AD2487">
        <v>-1.03029644999999</v>
      </c>
      <c r="AE2487">
        <v>-4.0345000000000297</v>
      </c>
      <c r="AF2487">
        <v>-4.6667714511434699</v>
      </c>
      <c r="AG2487">
        <v>-1.03029644999999</v>
      </c>
      <c r="AH2487">
        <v>26.991610304428502</v>
      </c>
      <c r="AI2487">
        <v>92.154047236203198</v>
      </c>
      <c r="AJ2487">
        <v>99.809297521584398</v>
      </c>
      <c r="AK2487">
        <v>27.411444569343999</v>
      </c>
      <c r="AL2487">
        <v>87.871094528409202</v>
      </c>
      <c r="AM2487">
        <v>85.813417702851297</v>
      </c>
      <c r="AN2487">
        <v>0.99999997710094002</v>
      </c>
    </row>
    <row r="2488" spans="1:40" x14ac:dyDescent="0.25">
      <c r="A2488" t="str">
        <f>"20190312154844799"</f>
        <v>20190312154844799</v>
      </c>
      <c r="B2488" t="str">
        <f>"1552376924788022"</f>
        <v>1552376924788022</v>
      </c>
      <c r="C2488" t="s">
        <v>40</v>
      </c>
      <c r="D2488">
        <v>4.4621779999999998</v>
      </c>
      <c r="E2488">
        <v>0.40769529999999998</v>
      </c>
      <c r="F2488" t="s">
        <v>50</v>
      </c>
      <c r="G2488">
        <v>-456.73500000000001</v>
      </c>
      <c r="H2488">
        <v>6.3404310000000005E-2</v>
      </c>
      <c r="I2488">
        <v>279.60289999999998</v>
      </c>
      <c r="J2488">
        <v>-431.99979999999999</v>
      </c>
      <c r="K2488">
        <v>1.110298</v>
      </c>
      <c r="L2488">
        <v>283.30880000000002</v>
      </c>
      <c r="M2488">
        <v>-0.99963299999999999</v>
      </c>
      <c r="N2488">
        <v>0</v>
      </c>
      <c r="O2488">
        <v>2.33061E-2</v>
      </c>
      <c r="P2488">
        <v>-0.99513510000000005</v>
      </c>
      <c r="Q2488">
        <v>2.3553620000000001E-2</v>
      </c>
      <c r="R2488">
        <v>9.5663200000000004E-2</v>
      </c>
      <c r="S2488">
        <v>-3.06189</v>
      </c>
      <c r="T2488">
        <v>-0.12836729999999999</v>
      </c>
      <c r="U2488">
        <v>-0.4537659</v>
      </c>
      <c r="V2488">
        <v>7.2410989999999995E-2</v>
      </c>
      <c r="W2488">
        <v>3.7382770000000003E-2</v>
      </c>
      <c r="X2488">
        <v>0.99667410000000001</v>
      </c>
      <c r="Y2488">
        <v>-0.16944770000000001</v>
      </c>
      <c r="Z2488">
        <v>-4.5029720000000001E-3</v>
      </c>
      <c r="AA2488">
        <v>0.98552890000000004</v>
      </c>
      <c r="AB2488">
        <v>34</v>
      </c>
      <c r="AC2488">
        <v>-24.735199999999999</v>
      </c>
      <c r="AD2488">
        <v>-1.0468936900000001</v>
      </c>
      <c r="AE2488">
        <v>-3.7059000000000402</v>
      </c>
      <c r="AF2488">
        <v>-4.2739412783918196</v>
      </c>
      <c r="AG2488">
        <v>-1.0468936900000001</v>
      </c>
      <c r="AH2488">
        <v>24.599004330918898</v>
      </c>
      <c r="AI2488">
        <v>92.401017353563603</v>
      </c>
      <c r="AJ2488">
        <v>99.856432378514697</v>
      </c>
      <c r="AK2488">
        <v>24.989469272512999</v>
      </c>
      <c r="AL2488">
        <v>87.857625960953897</v>
      </c>
      <c r="AM2488">
        <v>85.844612204955396</v>
      </c>
      <c r="AN2488">
        <v>1.00000004228823</v>
      </c>
    </row>
    <row r="2489" spans="1:40" x14ac:dyDescent="0.25">
      <c r="A2489" t="str">
        <f>"20190312154844817"</f>
        <v>20190312154844817</v>
      </c>
      <c r="B2489" t="str">
        <f>"1552376924808519"</f>
        <v>1552376924808519</v>
      </c>
      <c r="C2489" t="s">
        <v>40</v>
      </c>
      <c r="D2489">
        <v>4.4561409999999997</v>
      </c>
      <c r="E2489">
        <v>0.40773579999999998</v>
      </c>
      <c r="F2489" t="s">
        <v>50</v>
      </c>
      <c r="G2489">
        <v>-456.7946</v>
      </c>
      <c r="H2489">
        <v>5.6024730000000002E-2</v>
      </c>
      <c r="I2489">
        <v>279.6103</v>
      </c>
      <c r="J2489">
        <v>-432.25760000000002</v>
      </c>
      <c r="K2489">
        <v>1.1103050000000001</v>
      </c>
      <c r="L2489">
        <v>283.31450000000001</v>
      </c>
      <c r="M2489">
        <v>-0.99964010000000003</v>
      </c>
      <c r="N2489">
        <v>0</v>
      </c>
      <c r="O2489">
        <v>2.3001259999999999E-2</v>
      </c>
      <c r="P2489">
        <v>-0.99523919999999999</v>
      </c>
      <c r="Q2489">
        <v>2.424192E-2</v>
      </c>
      <c r="R2489">
        <v>9.4400949999999997E-2</v>
      </c>
      <c r="S2489">
        <v>-3.0616759999999998</v>
      </c>
      <c r="T2489">
        <v>-0.13018189999999999</v>
      </c>
      <c r="U2489">
        <v>-0.45669559999999998</v>
      </c>
      <c r="V2489">
        <v>7.1450299999999994E-2</v>
      </c>
      <c r="W2489">
        <v>3.8069409999999998E-2</v>
      </c>
      <c r="X2489">
        <v>0.99671739999999998</v>
      </c>
      <c r="Y2489">
        <v>-0.170074799999999</v>
      </c>
      <c r="Z2489">
        <v>-4.5669250000000003E-3</v>
      </c>
      <c r="AA2489">
        <v>0.98542059999999998</v>
      </c>
      <c r="AB2489">
        <v>34</v>
      </c>
      <c r="AC2489">
        <v>-24.5369999999999</v>
      </c>
      <c r="AD2489">
        <v>-1.05428026999999</v>
      </c>
      <c r="AE2489">
        <v>-3.7042000000000099</v>
      </c>
      <c r="AF2489">
        <v>-4.25996619203009</v>
      </c>
      <c r="AG2489">
        <v>-1.05428026999999</v>
      </c>
      <c r="AH2489">
        <v>24.401252946120799</v>
      </c>
      <c r="AI2489">
        <v>92.437166257220497</v>
      </c>
      <c r="AJ2489">
        <v>99.902884321696305</v>
      </c>
      <c r="AK2489">
        <v>24.792740150808701</v>
      </c>
      <c r="AL2489">
        <v>87.818256269853705</v>
      </c>
      <c r="AM2489">
        <v>85.8997307237249</v>
      </c>
      <c r="AN2489">
        <v>1.00000000040529</v>
      </c>
    </row>
    <row r="2490" spans="1:40" x14ac:dyDescent="0.25">
      <c r="A2490" t="str">
        <f>"20190312154844839"</f>
        <v>20190312154844839</v>
      </c>
      <c r="B2490" t="str">
        <f>"1552376924828038"</f>
        <v>1552376924828038</v>
      </c>
      <c r="C2490" t="s">
        <v>40</v>
      </c>
      <c r="D2490">
        <v>4.3418109999999999</v>
      </c>
      <c r="E2490">
        <v>0.40641949999999999</v>
      </c>
      <c r="F2490" t="s">
        <v>50</v>
      </c>
      <c r="G2490">
        <v>-456.91919999999999</v>
      </c>
      <c r="H2490">
        <v>5.8773859999999997E-2</v>
      </c>
      <c r="I2490">
        <v>279.60750000000002</v>
      </c>
      <c r="J2490">
        <v>-432.60340000000002</v>
      </c>
      <c r="K2490">
        <v>1.110309</v>
      </c>
      <c r="L2490">
        <v>283.32209999999998</v>
      </c>
      <c r="M2490">
        <v>-0.99964949999999997</v>
      </c>
      <c r="N2490">
        <v>0</v>
      </c>
      <c r="O2490">
        <v>2.2592170000000002E-2</v>
      </c>
      <c r="P2490">
        <v>-0.99540220000000001</v>
      </c>
      <c r="Q2490">
        <v>2.4807309999999999E-2</v>
      </c>
      <c r="R2490">
        <v>9.2517089999999996E-2</v>
      </c>
      <c r="S2490">
        <v>-3.0612180000000002</v>
      </c>
      <c r="T2490">
        <v>-0.13052540000000001</v>
      </c>
      <c r="U2490">
        <v>-0.460144</v>
      </c>
      <c r="V2490">
        <v>6.9970859999999996E-2</v>
      </c>
      <c r="W2490">
        <v>3.8633090000000002E-2</v>
      </c>
      <c r="X2490">
        <v>0.99680069999999998</v>
      </c>
      <c r="Y2490">
        <v>-0.1707776</v>
      </c>
      <c r="Z2490">
        <v>-4.5768060000000001E-3</v>
      </c>
      <c r="AA2490">
        <v>0.98529900000000004</v>
      </c>
      <c r="AB2490">
        <v>33</v>
      </c>
      <c r="AC2490">
        <v>-24.3157999999999</v>
      </c>
      <c r="AD2490">
        <v>-1.0515351399999999</v>
      </c>
      <c r="AE2490">
        <v>-3.7145999999999599</v>
      </c>
      <c r="AF2490">
        <v>-4.25527432047235</v>
      </c>
      <c r="AG2490">
        <v>-1.0515351399999999</v>
      </c>
      <c r="AH2490">
        <v>24.181472624378699</v>
      </c>
      <c r="AI2490">
        <v>92.452314277966494</v>
      </c>
      <c r="AJ2490">
        <v>99.980301283696306</v>
      </c>
      <c r="AK2490">
        <v>24.575530594001499</v>
      </c>
      <c r="AL2490">
        <v>87.785936086381497</v>
      </c>
      <c r="AM2490">
        <v>85.984684139363196</v>
      </c>
      <c r="AN2490">
        <v>1.00000003620628</v>
      </c>
    </row>
    <row r="2491" spans="1:40" x14ac:dyDescent="0.25">
      <c r="A2491" t="str">
        <f>"20190312154844863"</f>
        <v>20190312154844863</v>
      </c>
      <c r="B2491" t="str">
        <f>"1552376924858294"</f>
        <v>1552376924858294</v>
      </c>
      <c r="C2491" t="s">
        <v>40</v>
      </c>
      <c r="D2491">
        <v>4.2940430000000003</v>
      </c>
      <c r="E2491">
        <v>0.40537669999999998</v>
      </c>
      <c r="F2491" t="s">
        <v>50</v>
      </c>
      <c r="G2491">
        <v>-458.04579999999999</v>
      </c>
      <c r="H2491">
        <v>8.0000799999999997E-2</v>
      </c>
      <c r="I2491">
        <v>279.3648</v>
      </c>
      <c r="J2491">
        <v>-432.93950000000001</v>
      </c>
      <c r="K2491">
        <v>1.1103069999999999</v>
      </c>
      <c r="L2491">
        <v>283.32920000000001</v>
      </c>
      <c r="M2491">
        <v>-0.99965850000000001</v>
      </c>
      <c r="N2491">
        <v>0</v>
      </c>
      <c r="O2491">
        <v>2.219436E-2</v>
      </c>
      <c r="P2491">
        <v>-0.99553069999999999</v>
      </c>
      <c r="Q2491">
        <v>2.539069E-2</v>
      </c>
      <c r="R2491">
        <v>9.0964690000000001E-2</v>
      </c>
      <c r="S2491">
        <v>-3.0612490000000001</v>
      </c>
      <c r="T2491">
        <v>-0.1239673</v>
      </c>
      <c r="U2491">
        <v>-0.47613529999999998</v>
      </c>
      <c r="V2491">
        <v>6.8812600000000002E-2</v>
      </c>
      <c r="W2491">
        <v>3.9213919999999999E-2</v>
      </c>
      <c r="X2491">
        <v>0.99685860000000004</v>
      </c>
      <c r="Y2491">
        <v>-0.175425</v>
      </c>
      <c r="Z2491">
        <v>-4.4227880000000004E-3</v>
      </c>
      <c r="AA2491">
        <v>0.98448290000000005</v>
      </c>
      <c r="AB2491">
        <v>33</v>
      </c>
      <c r="AC2491">
        <v>-25.106299999999901</v>
      </c>
      <c r="AD2491">
        <v>-1.0303061999999901</v>
      </c>
      <c r="AE2491">
        <v>-3.9644000000000101</v>
      </c>
      <c r="AF2491">
        <v>-4.5132786744155204</v>
      </c>
      <c r="AG2491">
        <v>-1.0303061999999901</v>
      </c>
      <c r="AH2491">
        <v>24.971088125627801</v>
      </c>
      <c r="AI2491">
        <v>92.325052950767699</v>
      </c>
      <c r="AJ2491">
        <v>100.245046028448</v>
      </c>
      <c r="AK2491">
        <v>25.396583578043799</v>
      </c>
      <c r="AL2491">
        <v>87.752631630417795</v>
      </c>
      <c r="AM2491">
        <v>86.051168100404198</v>
      </c>
      <c r="AN2491">
        <v>0.99999998691724301</v>
      </c>
    </row>
    <row r="2492" spans="1:40" x14ac:dyDescent="0.25">
      <c r="A2492" t="str">
        <f>"20190312154844883"</f>
        <v>20190312154844883</v>
      </c>
      <c r="B2492" t="str">
        <f>"1552376924878795"</f>
        <v>1552376924878795</v>
      </c>
      <c r="C2492" t="s">
        <v>40</v>
      </c>
      <c r="D2492">
        <v>4.3554279999999999</v>
      </c>
      <c r="E2492">
        <v>0.40380909999999998</v>
      </c>
      <c r="F2492" t="s">
        <v>50</v>
      </c>
      <c r="G2492">
        <v>-458.71949999999998</v>
      </c>
      <c r="H2492">
        <v>8.0000600000000005E-2</v>
      </c>
      <c r="I2492">
        <v>279.21089999999998</v>
      </c>
      <c r="J2492">
        <v>-433.262</v>
      </c>
      <c r="K2492">
        <v>1.1103149999999999</v>
      </c>
      <c r="L2492">
        <v>283.33600000000001</v>
      </c>
      <c r="M2492">
        <v>-0.99966690000000002</v>
      </c>
      <c r="N2492">
        <v>0</v>
      </c>
      <c r="O2492">
        <v>2.1812749999999999E-2</v>
      </c>
      <c r="P2492">
        <v>-0.99568719999999999</v>
      </c>
      <c r="Q2492">
        <v>2.5825029999999999E-2</v>
      </c>
      <c r="R2492">
        <v>8.9109910000000001E-2</v>
      </c>
      <c r="S2492">
        <v>-3.0613100000000002</v>
      </c>
      <c r="T2492">
        <v>-0.1223462</v>
      </c>
      <c r="U2492">
        <v>-0.48904419999999998</v>
      </c>
      <c r="V2492">
        <v>6.7335019999999995E-2</v>
      </c>
      <c r="W2492">
        <v>3.9647019999999998E-2</v>
      </c>
      <c r="X2492">
        <v>0.99694240000000001</v>
      </c>
      <c r="Y2492">
        <v>-0.17909739999999999</v>
      </c>
      <c r="Z2492">
        <v>-4.42123E-3</v>
      </c>
      <c r="AA2492">
        <v>0.98382139999999996</v>
      </c>
      <c r="AB2492">
        <v>33</v>
      </c>
      <c r="AC2492">
        <v>-25.4575</v>
      </c>
      <c r="AD2492">
        <v>-1.0303144</v>
      </c>
      <c r="AE2492">
        <v>-4.12510000000003</v>
      </c>
      <c r="AF2492">
        <v>-4.6720124069348303</v>
      </c>
      <c r="AG2492">
        <v>-1.0303144</v>
      </c>
      <c r="AH2492">
        <v>25.321039333405999</v>
      </c>
      <c r="AI2492">
        <v>92.291446178535793</v>
      </c>
      <c r="AJ2492">
        <v>100.454129947124</v>
      </c>
      <c r="AK2492">
        <v>25.769056649735798</v>
      </c>
      <c r="AL2492">
        <v>87.727797589956793</v>
      </c>
      <c r="AM2492">
        <v>86.136023610578306</v>
      </c>
      <c r="AN2492">
        <v>1.0000000200155199</v>
      </c>
    </row>
    <row r="2493" spans="1:40" x14ac:dyDescent="0.25">
      <c r="A2493" t="str">
        <f>"20190312154844900"</f>
        <v>20190312154844900</v>
      </c>
      <c r="B2493" t="str">
        <f>"1552376924888551"</f>
        <v>1552376924888551</v>
      </c>
      <c r="C2493" t="s">
        <v>40</v>
      </c>
      <c r="D2493">
        <v>4.3311739999999999</v>
      </c>
      <c r="E2493">
        <v>0.40311910000000001</v>
      </c>
      <c r="F2493" t="s">
        <v>50</v>
      </c>
      <c r="G2493">
        <v>-461.2518</v>
      </c>
      <c r="H2493">
        <v>8.0001349999999999E-2</v>
      </c>
      <c r="I2493">
        <v>278.70100000000002</v>
      </c>
      <c r="J2493">
        <v>-433.49979999999999</v>
      </c>
      <c r="K2493">
        <v>1.1103160000000001</v>
      </c>
      <c r="L2493">
        <v>283.34089999999998</v>
      </c>
      <c r="M2493">
        <v>-0.99967289999999998</v>
      </c>
      <c r="N2493">
        <v>0</v>
      </c>
      <c r="O2493">
        <v>2.1530850000000001E-2</v>
      </c>
      <c r="P2493">
        <v>-0.99575159999999996</v>
      </c>
      <c r="Q2493">
        <v>2.6159990000000001E-2</v>
      </c>
      <c r="R2493">
        <v>8.8286879999999998E-2</v>
      </c>
      <c r="S2493">
        <v>-3.0612180000000002</v>
      </c>
      <c r="T2493">
        <v>-0.1126847</v>
      </c>
      <c r="U2493">
        <v>-0.50692749999999998</v>
      </c>
      <c r="V2493">
        <v>6.679177E-2</v>
      </c>
      <c r="W2493">
        <v>3.9980069999999999E-2</v>
      </c>
      <c r="X2493">
        <v>0.99696560000000001</v>
      </c>
      <c r="Y2493">
        <v>-0.18444160000000001</v>
      </c>
      <c r="Z2493">
        <v>-4.1579260000000002E-3</v>
      </c>
      <c r="AA2493">
        <v>0.98283469999999995</v>
      </c>
      <c r="AB2493">
        <v>33</v>
      </c>
      <c r="AC2493">
        <v>-27.751999999999999</v>
      </c>
      <c r="AD2493">
        <v>-1.03031465</v>
      </c>
      <c r="AE2493">
        <v>-4.6399000000000097</v>
      </c>
      <c r="AF2493">
        <v>-5.2293934745122197</v>
      </c>
      <c r="AG2493">
        <v>-1.03031465</v>
      </c>
      <c r="AH2493">
        <v>27.6086360733375</v>
      </c>
      <c r="AI2493">
        <v>92.099901889562304</v>
      </c>
      <c r="AJ2493">
        <v>100.72542044894099</v>
      </c>
      <c r="AK2493">
        <v>28.118408387020601</v>
      </c>
      <c r="AL2493">
        <v>87.708699990505096</v>
      </c>
      <c r="AM2493">
        <v>86.167193288159197</v>
      </c>
      <c r="AN2493">
        <v>0.99999997706014798</v>
      </c>
    </row>
    <row r="2494" spans="1:40" x14ac:dyDescent="0.25">
      <c r="A2494" t="str">
        <f>"20190312154844916"</f>
        <v>20190312154844916</v>
      </c>
      <c r="B2494" t="str">
        <f>"1552376924908070"</f>
        <v>1552376924908070</v>
      </c>
      <c r="C2494" t="s">
        <v>40</v>
      </c>
      <c r="D2494">
        <v>4.3495080000000002</v>
      </c>
      <c r="E2494">
        <v>0.40188889999999999</v>
      </c>
      <c r="F2494" t="s">
        <v>50</v>
      </c>
      <c r="G2494">
        <v>-462.56380000000001</v>
      </c>
      <c r="H2494">
        <v>8.0000970000000005E-2</v>
      </c>
      <c r="I2494">
        <v>278.4547</v>
      </c>
      <c r="J2494">
        <v>-433.75409999999999</v>
      </c>
      <c r="K2494">
        <v>1.1103209999999999</v>
      </c>
      <c r="L2494">
        <v>283.346</v>
      </c>
      <c r="M2494">
        <v>-0.9996796</v>
      </c>
      <c r="N2494">
        <v>0</v>
      </c>
      <c r="O2494">
        <v>2.1229350000000001E-2</v>
      </c>
      <c r="P2494">
        <v>-0.99586339999999995</v>
      </c>
      <c r="Q2494">
        <v>2.671016E-2</v>
      </c>
      <c r="R2494">
        <v>8.684936E-2</v>
      </c>
      <c r="S2494">
        <v>-3.0612789999999999</v>
      </c>
      <c r="T2494">
        <v>-0.1085219</v>
      </c>
      <c r="U2494">
        <v>-0.51464840000000001</v>
      </c>
      <c r="V2494">
        <v>6.5652630000000003E-2</v>
      </c>
      <c r="W2494">
        <v>4.0528469999999997E-2</v>
      </c>
      <c r="X2494">
        <v>0.99701919999999999</v>
      </c>
      <c r="Y2494">
        <v>-0.18656210000000001</v>
      </c>
      <c r="Z2494">
        <v>-4.0302159999999997E-3</v>
      </c>
      <c r="AA2494">
        <v>0.9824349</v>
      </c>
      <c r="AB2494">
        <v>33</v>
      </c>
      <c r="AC2494">
        <v>-28.809699999999999</v>
      </c>
      <c r="AD2494">
        <v>-1.0303200299999999</v>
      </c>
      <c r="AE2494">
        <v>-4.8913000000000002</v>
      </c>
      <c r="AF2494">
        <v>-5.4950355869365701</v>
      </c>
      <c r="AG2494">
        <v>-1.0303200299999999</v>
      </c>
      <c r="AH2494">
        <v>28.663723544682998</v>
      </c>
      <c r="AI2494">
        <v>92.021829384009195</v>
      </c>
      <c r="AJ2494">
        <v>100.852331993354</v>
      </c>
      <c r="AK2494">
        <v>29.203869998887601</v>
      </c>
      <c r="AL2494">
        <v>87.677253676512294</v>
      </c>
      <c r="AM2494">
        <v>86.232574235293797</v>
      </c>
      <c r="AN2494">
        <v>1.0000000549375401</v>
      </c>
    </row>
    <row r="2495" spans="1:40" x14ac:dyDescent="0.25">
      <c r="A2495" t="str">
        <f>"20190312154844933"</f>
        <v>20190312154844933</v>
      </c>
      <c r="B2495" t="str">
        <f>"1552376924928567"</f>
        <v>1552376924928567</v>
      </c>
      <c r="C2495" t="s">
        <v>40</v>
      </c>
      <c r="D2495">
        <v>4.31433</v>
      </c>
      <c r="E2495">
        <v>0.40098270000000003</v>
      </c>
      <c r="F2495" t="s">
        <v>50</v>
      </c>
      <c r="G2495">
        <v>-464.54289999999997</v>
      </c>
      <c r="H2495">
        <v>8.0000420000000003E-2</v>
      </c>
      <c r="I2495">
        <v>278.03059999999999</v>
      </c>
      <c r="J2495">
        <v>-433.995</v>
      </c>
      <c r="K2495">
        <v>1.1103209999999999</v>
      </c>
      <c r="L2495">
        <v>283.35079999999999</v>
      </c>
      <c r="M2495">
        <v>-0.99968539999999995</v>
      </c>
      <c r="N2495">
        <v>0</v>
      </c>
      <c r="O2495">
        <v>2.0944170000000002E-2</v>
      </c>
      <c r="P2495">
        <v>-0.99592829999999999</v>
      </c>
      <c r="Q2495">
        <v>2.6920659999999999E-2</v>
      </c>
      <c r="R2495">
        <v>8.6035619999999993E-2</v>
      </c>
      <c r="S2495">
        <v>-3.0613100000000002</v>
      </c>
      <c r="T2495">
        <v>-0.1024442</v>
      </c>
      <c r="U2495">
        <v>-0.52850339999999996</v>
      </c>
      <c r="V2495">
        <v>6.5122159999999998E-2</v>
      </c>
      <c r="W2495">
        <v>4.073715E-2</v>
      </c>
      <c r="X2495">
        <v>0.99704550000000003</v>
      </c>
      <c r="Y2495">
        <v>-0.19061149999999999</v>
      </c>
      <c r="Z2495">
        <v>-3.8609270000000001E-3</v>
      </c>
      <c r="AA2495">
        <v>0.98165800000000003</v>
      </c>
      <c r="AB2495">
        <v>33</v>
      </c>
      <c r="AC2495">
        <v>-30.547899999999899</v>
      </c>
      <c r="AD2495">
        <v>-1.0303205799999999</v>
      </c>
      <c r="AE2495">
        <v>-5.3201999999999998</v>
      </c>
      <c r="AF2495">
        <v>-5.9523222085567404</v>
      </c>
      <c r="AG2495">
        <v>-1.0303205799999999</v>
      </c>
      <c r="AH2495">
        <v>30.396199972876101</v>
      </c>
      <c r="AI2495">
        <v>91.905216326808997</v>
      </c>
      <c r="AJ2495">
        <v>101.079714612004</v>
      </c>
      <c r="AK2495">
        <v>30.990654606882998</v>
      </c>
      <c r="AL2495">
        <v>87.665287346813699</v>
      </c>
      <c r="AM2495">
        <v>86.2630265359779</v>
      </c>
      <c r="AN2495">
        <v>1.00000007009171</v>
      </c>
    </row>
    <row r="2496" spans="1:40" x14ac:dyDescent="0.25">
      <c r="A2496" t="str">
        <f>"20190312154844951"</f>
        <v>20190312154844951</v>
      </c>
      <c r="B2496" t="str">
        <f>"1552376924938327"</f>
        <v>1552376924938327</v>
      </c>
      <c r="C2496" t="s">
        <v>40</v>
      </c>
      <c r="D2496">
        <v>4.3592060000000004</v>
      </c>
      <c r="E2496">
        <v>0.4006361</v>
      </c>
      <c r="F2496" t="s">
        <v>50</v>
      </c>
      <c r="G2496">
        <v>-466.322</v>
      </c>
      <c r="H2496">
        <v>8.0001379999999997E-2</v>
      </c>
      <c r="I2496">
        <v>277.6705</v>
      </c>
      <c r="J2496">
        <v>-434.25779999999997</v>
      </c>
      <c r="K2496">
        <v>1.110314</v>
      </c>
      <c r="L2496">
        <v>283.35599999999999</v>
      </c>
      <c r="M2496">
        <v>-0.99969200000000003</v>
      </c>
      <c r="N2496">
        <v>0</v>
      </c>
      <c r="O2496">
        <v>2.0632890000000001E-2</v>
      </c>
      <c r="P2496">
        <v>-0.9960523</v>
      </c>
      <c r="Q2496">
        <v>2.6508859999999999E-2</v>
      </c>
      <c r="R2496">
        <v>8.4718550000000004E-2</v>
      </c>
      <c r="S2496">
        <v>-3.061401</v>
      </c>
      <c r="T2496">
        <v>-9.7572450000000005E-2</v>
      </c>
      <c r="U2496">
        <v>-0.53793329999999995</v>
      </c>
      <c r="V2496">
        <v>6.411377E-2</v>
      </c>
      <c r="W2496">
        <v>4.0324069999999997E-2</v>
      </c>
      <c r="X2496">
        <v>0.9971276</v>
      </c>
      <c r="Y2496">
        <v>-0.19324450000000001</v>
      </c>
      <c r="Z2496">
        <v>-3.708126E-3</v>
      </c>
      <c r="AA2496">
        <v>0.98114369999999995</v>
      </c>
      <c r="AB2496">
        <v>33</v>
      </c>
      <c r="AC2496">
        <v>-32.0641999999999</v>
      </c>
      <c r="AD2496">
        <v>-1.0303126199999999</v>
      </c>
      <c r="AE2496">
        <v>-5.6854999999999896</v>
      </c>
      <c r="AF2496">
        <v>-6.3395832723688903</v>
      </c>
      <c r="AG2496">
        <v>-1.0303126199999999</v>
      </c>
      <c r="AH2496">
        <v>31.9081119989517</v>
      </c>
      <c r="AI2496">
        <v>91.814004801645396</v>
      </c>
      <c r="AJ2496">
        <v>101.23732995394001</v>
      </c>
      <c r="AK2496">
        <v>32.5481101064236</v>
      </c>
      <c r="AL2496">
        <v>87.688974453367905</v>
      </c>
      <c r="AM2496">
        <v>86.321033957217793</v>
      </c>
      <c r="AN2496">
        <v>1.0000000284033601</v>
      </c>
    </row>
    <row r="2497" spans="1:40" x14ac:dyDescent="0.25">
      <c r="A2497" t="str">
        <f>"20190312154844973"</f>
        <v>20190312154844973</v>
      </c>
      <c r="B2497" t="str">
        <f>"1552376924968132"</f>
        <v>1552376924968132</v>
      </c>
      <c r="C2497" t="s">
        <v>40</v>
      </c>
      <c r="D2497">
        <v>4.3299620000000001</v>
      </c>
      <c r="E2497">
        <v>0.39985140000000002</v>
      </c>
      <c r="F2497" t="s">
        <v>50</v>
      </c>
      <c r="G2497">
        <v>-466.49900000000002</v>
      </c>
      <c r="H2497">
        <v>8.0001320000000001E-2</v>
      </c>
      <c r="I2497">
        <v>277.62060000000002</v>
      </c>
      <c r="J2497">
        <v>-434.58670000000001</v>
      </c>
      <c r="K2497">
        <v>1.110312</v>
      </c>
      <c r="L2497">
        <v>283.36239999999998</v>
      </c>
      <c r="M2497">
        <v>-0.99970000000000003</v>
      </c>
      <c r="N2497">
        <v>0</v>
      </c>
      <c r="O2497">
        <v>2.0243529999999999E-2</v>
      </c>
      <c r="P2497">
        <v>-0.99612900000000004</v>
      </c>
      <c r="Q2497">
        <v>2.6493909999999999E-2</v>
      </c>
      <c r="R2497">
        <v>8.3816929999999998E-2</v>
      </c>
      <c r="S2497">
        <v>-3.0608520000000001</v>
      </c>
      <c r="T2497">
        <v>-9.7813960000000005E-2</v>
      </c>
      <c r="U2497">
        <v>-0.54449459999999905</v>
      </c>
      <c r="V2497">
        <v>6.3599459999999997E-2</v>
      </c>
      <c r="W2497">
        <v>4.03074E-2</v>
      </c>
      <c r="X2497">
        <v>0.99716119999999997</v>
      </c>
      <c r="Y2497">
        <v>-0.1949304</v>
      </c>
      <c r="Z2497">
        <v>-3.731641E-3</v>
      </c>
      <c r="AA2497">
        <v>0.98080999999999996</v>
      </c>
      <c r="AB2497">
        <v>33</v>
      </c>
      <c r="AC2497">
        <v>-31.912299999999998</v>
      </c>
      <c r="AD2497">
        <v>-1.0303106799999999</v>
      </c>
      <c r="AE2497">
        <v>-5.7417999999999498</v>
      </c>
      <c r="AF2497">
        <v>-6.3802601581124598</v>
      </c>
      <c r="AG2497">
        <v>-1.0303106799999999</v>
      </c>
      <c r="AH2497">
        <v>31.757449043862</v>
      </c>
      <c r="AI2497">
        <v>91.821823654559097</v>
      </c>
      <c r="AJ2497">
        <v>101.35983391110101</v>
      </c>
      <c r="AK2497">
        <v>32.4084067728731</v>
      </c>
      <c r="AL2497">
        <v>87.689930327778598</v>
      </c>
      <c r="AM2497">
        <v>86.350588570932203</v>
      </c>
      <c r="AN2497">
        <v>1.0000000182962401</v>
      </c>
    </row>
    <row r="2498" spans="1:40" x14ac:dyDescent="0.25">
      <c r="A2498" t="str">
        <f>"20190312154844995"</f>
        <v>20190312154844995</v>
      </c>
      <c r="B2498" t="str">
        <f>"1552376924988627"</f>
        <v>1552376924988627</v>
      </c>
      <c r="C2498" t="s">
        <v>40</v>
      </c>
      <c r="D2498">
        <v>4.3149009999999999</v>
      </c>
      <c r="E2498">
        <v>0.39930890000000002</v>
      </c>
      <c r="F2498" t="s">
        <v>50</v>
      </c>
      <c r="G2498">
        <v>-467.80759999999998</v>
      </c>
      <c r="H2498">
        <v>8.0000959999999996E-2</v>
      </c>
      <c r="I2498">
        <v>277.36009999999999</v>
      </c>
      <c r="J2498">
        <v>-434.91719999999998</v>
      </c>
      <c r="K2498">
        <v>1.1103130000000001</v>
      </c>
      <c r="L2498">
        <v>283.36869999999999</v>
      </c>
      <c r="M2498">
        <v>-0.99970789999999998</v>
      </c>
      <c r="N2498">
        <v>0</v>
      </c>
      <c r="O2498">
        <v>1.985203E-2</v>
      </c>
      <c r="P2498">
        <v>-0.99620280000000005</v>
      </c>
      <c r="Q2498">
        <v>2.652875E-2</v>
      </c>
      <c r="R2498">
        <v>8.2923869999999997E-2</v>
      </c>
      <c r="S2498">
        <v>-3.0607600000000001</v>
      </c>
      <c r="T2498">
        <v>-9.4926360000000001E-2</v>
      </c>
      <c r="U2498">
        <v>-0.55300899999999997</v>
      </c>
      <c r="V2498">
        <v>6.3095769999999995E-2</v>
      </c>
      <c r="W2498">
        <v>4.0340269999999998E-2</v>
      </c>
      <c r="X2498">
        <v>0.99719179999999996</v>
      </c>
      <c r="Y2498">
        <v>-0.19719970000000001</v>
      </c>
      <c r="Z2498">
        <v>-3.6436070000000001E-3</v>
      </c>
      <c r="AA2498">
        <v>0.98035660000000002</v>
      </c>
      <c r="AB2498">
        <v>33</v>
      </c>
      <c r="AC2498">
        <v>-32.8904</v>
      </c>
      <c r="AD2498">
        <v>-1.0303120400000001</v>
      </c>
      <c r="AE2498">
        <v>-6.0086000000000004</v>
      </c>
      <c r="AF2498">
        <v>-6.6541001557864696</v>
      </c>
      <c r="AG2498">
        <v>-1.0303120400000001</v>
      </c>
      <c r="AH2498">
        <v>32.733538943157299</v>
      </c>
      <c r="AI2498">
        <v>91.766721216626394</v>
      </c>
      <c r="AJ2498">
        <v>101.490564348207</v>
      </c>
      <c r="AK2498">
        <v>33.4189042837464</v>
      </c>
      <c r="AL2498">
        <v>87.688045324037503</v>
      </c>
      <c r="AM2498">
        <v>86.379524514451504</v>
      </c>
      <c r="AN2498">
        <v>0.99999994978140105</v>
      </c>
    </row>
    <row r="2499" spans="1:40" x14ac:dyDescent="0.25">
      <c r="A2499" t="str">
        <f>"20190312154845017"</f>
        <v>20190312154845017</v>
      </c>
      <c r="B2499" t="str">
        <f>"1552376925008150"</f>
        <v>1552376925008150</v>
      </c>
      <c r="C2499" t="s">
        <v>40</v>
      </c>
      <c r="D2499">
        <v>4.3191899999999999</v>
      </c>
      <c r="E2499">
        <v>0.39899030000000002</v>
      </c>
      <c r="F2499" t="s">
        <v>50</v>
      </c>
      <c r="G2499">
        <v>-468.88049999999998</v>
      </c>
      <c r="H2499">
        <v>8.0000650000000006E-2</v>
      </c>
      <c r="I2499">
        <v>277.15289999999999</v>
      </c>
      <c r="J2499">
        <v>-435.25380000000001</v>
      </c>
      <c r="K2499">
        <v>1.110312</v>
      </c>
      <c r="L2499">
        <v>283.37490000000003</v>
      </c>
      <c r="M2499">
        <v>-0.99971560000000004</v>
      </c>
      <c r="N2499">
        <v>0</v>
      </c>
      <c r="O2499">
        <v>1.945297E-2</v>
      </c>
      <c r="P2499">
        <v>-0.99624330000000005</v>
      </c>
      <c r="Q2499">
        <v>2.6714069999999999E-2</v>
      </c>
      <c r="R2499">
        <v>8.2376320000000003E-2</v>
      </c>
      <c r="S2499">
        <v>-3.0605159999999998</v>
      </c>
      <c r="T2499">
        <v>-9.2844010000000005E-2</v>
      </c>
      <c r="U2499">
        <v>-0.56011959999999905</v>
      </c>
      <c r="V2499">
        <v>6.2945810000000005E-2</v>
      </c>
      <c r="W2499">
        <v>4.0523700000000003E-2</v>
      </c>
      <c r="X2499">
        <v>0.99719389999999997</v>
      </c>
      <c r="Y2499">
        <v>-0.19903029999999999</v>
      </c>
      <c r="Z2499">
        <v>-3.578782E-3</v>
      </c>
      <c r="AA2499">
        <v>0.97998680000000005</v>
      </c>
      <c r="AB2499">
        <v>33</v>
      </c>
      <c r="AC2499">
        <v>-33.6266999999999</v>
      </c>
      <c r="AD2499">
        <v>-1.0303113500000001</v>
      </c>
      <c r="AE2499">
        <v>-6.2220000000000297</v>
      </c>
      <c r="AF2499">
        <v>-6.8687889540665203</v>
      </c>
      <c r="AG2499">
        <v>-1.0303113500000001</v>
      </c>
      <c r="AH2499">
        <v>33.468907652758197</v>
      </c>
      <c r="AI2499">
        <v>91.7272664811764</v>
      </c>
      <c r="AJ2499">
        <v>101.59771477485999</v>
      </c>
      <c r="AK2499">
        <v>34.182006708827103</v>
      </c>
      <c r="AL2499">
        <v>87.677527097015897</v>
      </c>
      <c r="AM2499">
        <v>86.388114095266999</v>
      </c>
      <c r="AN2499">
        <v>1.00000000972772</v>
      </c>
    </row>
    <row r="2500" spans="1:40" x14ac:dyDescent="0.25">
      <c r="A2500" t="str">
        <f>"20190312154845052"</f>
        <v>20190312154845052</v>
      </c>
      <c r="B2500" t="str">
        <f>"1552376925038404"</f>
        <v>1552376925038404</v>
      </c>
      <c r="C2500" t="s">
        <v>40</v>
      </c>
      <c r="D2500">
        <v>4.3490760000000002</v>
      </c>
      <c r="E2500">
        <v>0.39849210000000002</v>
      </c>
      <c r="F2500" t="s">
        <v>49</v>
      </c>
      <c r="G2500">
        <v>-470.27069999999998</v>
      </c>
      <c r="H2500">
        <v>8.0000589999999996E-2</v>
      </c>
      <c r="I2500">
        <v>276.91950000000003</v>
      </c>
      <c r="J2500">
        <v>-435.7527</v>
      </c>
      <c r="K2500">
        <v>1.1103149999999999</v>
      </c>
      <c r="L2500">
        <v>283.38389999999998</v>
      </c>
      <c r="M2500">
        <v>-0.99972709999999998</v>
      </c>
      <c r="N2500">
        <v>0</v>
      </c>
      <c r="O2500">
        <v>1.886152E-2</v>
      </c>
      <c r="P2500">
        <v>-0.99628910000000004</v>
      </c>
      <c r="Q2500">
        <v>2.6595259999999999E-2</v>
      </c>
      <c r="R2500">
        <v>8.1859619999999994E-2</v>
      </c>
      <c r="S2500">
        <v>-3.060333</v>
      </c>
      <c r="T2500">
        <v>-9.0044979999999997E-2</v>
      </c>
      <c r="U2500">
        <v>-0.56417850000000003</v>
      </c>
      <c r="V2500">
        <v>6.301872E-2</v>
      </c>
      <c r="W2500">
        <v>4.0402199999999999E-2</v>
      </c>
      <c r="X2500">
        <v>0.99719420000000003</v>
      </c>
      <c r="Y2500">
        <v>-0.19972390000000001</v>
      </c>
      <c r="Z2500">
        <v>-3.46358E-3</v>
      </c>
      <c r="AA2500">
        <v>0.97984610000000005</v>
      </c>
      <c r="AB2500">
        <v>33</v>
      </c>
      <c r="AC2500">
        <v>-34.517999999999901</v>
      </c>
      <c r="AD2500">
        <v>-1.0303144099999999</v>
      </c>
      <c r="AE2500">
        <v>-6.4643999999999497</v>
      </c>
      <c r="AF2500">
        <v>-7.1082551600870296</v>
      </c>
      <c r="AG2500">
        <v>-1.0303144099999999</v>
      </c>
      <c r="AH2500">
        <v>34.360342582908302</v>
      </c>
      <c r="AI2500">
        <v>91.681939255439204</v>
      </c>
      <c r="AJ2500">
        <v>101.68811993519699</v>
      </c>
      <c r="AK2500">
        <v>35.103019551303298</v>
      </c>
      <c r="AL2500">
        <v>87.684494181935605</v>
      </c>
      <c r="AM2500">
        <v>86.383942634474593</v>
      </c>
      <c r="AN2500">
        <v>0.99999998467445905</v>
      </c>
    </row>
    <row r="2501" spans="1:40" x14ac:dyDescent="0.25">
      <c r="A2501" t="str">
        <f>"20190312154845074"</f>
        <v>20190312154845074</v>
      </c>
      <c r="B2501" t="str">
        <f>"1552376925068661"</f>
        <v>1552376925068661</v>
      </c>
      <c r="C2501" t="s">
        <v>40</v>
      </c>
      <c r="D2501">
        <v>4.3453299999999997</v>
      </c>
      <c r="E2501">
        <v>0.39928190000000002</v>
      </c>
      <c r="F2501" t="s">
        <v>49</v>
      </c>
      <c r="G2501">
        <v>-471.31099999999998</v>
      </c>
      <c r="H2501">
        <v>8.0000429999999997E-2</v>
      </c>
      <c r="I2501">
        <v>276.76729999999998</v>
      </c>
      <c r="J2501">
        <v>-436.08550000000002</v>
      </c>
      <c r="K2501">
        <v>1.110311</v>
      </c>
      <c r="L2501">
        <v>283.38979999999998</v>
      </c>
      <c r="M2501">
        <v>-0.99973449999999997</v>
      </c>
      <c r="N2501">
        <v>0</v>
      </c>
      <c r="O2501">
        <v>1.846662E-2</v>
      </c>
      <c r="P2501">
        <v>-0.99635419999999997</v>
      </c>
      <c r="Q2501">
        <v>2.5723920000000001E-2</v>
      </c>
      <c r="R2501">
        <v>8.1342330000000004E-2</v>
      </c>
      <c r="S2501">
        <v>-3.060333</v>
      </c>
      <c r="T2501">
        <v>-8.8674069999999994E-2</v>
      </c>
      <c r="U2501">
        <v>-0.56945800000000002</v>
      </c>
      <c r="V2501">
        <v>6.2895099999999995E-2</v>
      </c>
      <c r="W2501">
        <v>3.9529340000000003E-2</v>
      </c>
      <c r="X2501">
        <v>0.99723700000000004</v>
      </c>
      <c r="Y2501">
        <v>-0.2009734</v>
      </c>
      <c r="Z2501">
        <v>-3.4169339999999999E-3</v>
      </c>
      <c r="AA2501">
        <v>0.97959070000000004</v>
      </c>
      <c r="AB2501">
        <v>33</v>
      </c>
      <c r="AC2501">
        <v>-35.225499999999897</v>
      </c>
      <c r="AD2501">
        <v>-1.0303105699999999</v>
      </c>
      <c r="AE2501">
        <v>-6.6224999999999996</v>
      </c>
      <c r="AF2501">
        <v>-7.2659243797636996</v>
      </c>
      <c r="AG2501">
        <v>-1.0303105699999999</v>
      </c>
      <c r="AH2501">
        <v>35.0682085116377</v>
      </c>
      <c r="AI2501">
        <v>91.647896697636696</v>
      </c>
      <c r="AJ2501">
        <v>101.705714272338</v>
      </c>
      <c r="AK2501">
        <v>35.827844551114097</v>
      </c>
      <c r="AL2501">
        <v>87.734545397592299</v>
      </c>
      <c r="AM2501">
        <v>86.3911717520959</v>
      </c>
      <c r="AN2501">
        <v>0.99999999824692198</v>
      </c>
    </row>
    <row r="2502" spans="1:40" x14ac:dyDescent="0.25">
      <c r="A2502" t="str">
        <f>"20190312154845095"</f>
        <v>20190312154845095</v>
      </c>
      <c r="B2502" t="str">
        <f>"1552376925088180"</f>
        <v>1552376925088180</v>
      </c>
      <c r="C2502" t="s">
        <v>40</v>
      </c>
      <c r="D2502">
        <v>4.5791950000000003</v>
      </c>
      <c r="E2502">
        <v>0.43785459999999898</v>
      </c>
      <c r="F2502" t="s">
        <v>50</v>
      </c>
      <c r="G2502">
        <v>-468.69540000000001</v>
      </c>
      <c r="H2502">
        <v>8.0000699999999994E-2</v>
      </c>
      <c r="I2502">
        <v>277.36750000000001</v>
      </c>
      <c r="J2502">
        <v>-436.40730000000002</v>
      </c>
      <c r="K2502">
        <v>1.110312</v>
      </c>
      <c r="L2502">
        <v>283.39530000000002</v>
      </c>
      <c r="M2502">
        <v>-0.9997414</v>
      </c>
      <c r="N2502">
        <v>0</v>
      </c>
      <c r="O2502">
        <v>1.8084599999999999E-2</v>
      </c>
      <c r="P2502">
        <v>-0.99636829999999998</v>
      </c>
      <c r="Q2502">
        <v>2.4788089999999999E-2</v>
      </c>
      <c r="R2502">
        <v>8.1458849999999999E-2</v>
      </c>
      <c r="S2502">
        <v>-3.0595699999999999</v>
      </c>
      <c r="T2502">
        <v>-9.6666929999999998E-2</v>
      </c>
      <c r="U2502">
        <v>-0.56503300000000001</v>
      </c>
      <c r="V2502">
        <v>6.3393240000000003E-2</v>
      </c>
      <c r="W2502">
        <v>3.8591170000000001E-2</v>
      </c>
      <c r="X2502">
        <v>0.99724219999999997</v>
      </c>
      <c r="Y2502">
        <v>-0.1992572</v>
      </c>
      <c r="Z2502">
        <v>-3.6873280000000001E-3</v>
      </c>
      <c r="AA2502">
        <v>0.97994029999999999</v>
      </c>
      <c r="AB2502">
        <v>33</v>
      </c>
      <c r="AC2502">
        <v>-32.288099999999901</v>
      </c>
      <c r="AD2502">
        <v>-1.0303112999999999</v>
      </c>
      <c r="AE2502">
        <v>-6.0278000000000098</v>
      </c>
      <c r="AF2502">
        <v>-6.60428860710695</v>
      </c>
      <c r="AG2502">
        <v>-1.0303112999999999</v>
      </c>
      <c r="AH2502">
        <v>32.142171567939499</v>
      </c>
      <c r="AI2502">
        <v>91.798431304916605</v>
      </c>
      <c r="AJ2502">
        <v>101.611029424595</v>
      </c>
      <c r="AK2502">
        <v>32.829824283473201</v>
      </c>
      <c r="AL2502">
        <v>87.788339623037203</v>
      </c>
      <c r="AM2502">
        <v>86.362684560291896</v>
      </c>
      <c r="AN2502">
        <v>0.99999999337025303</v>
      </c>
    </row>
    <row r="2503" spans="1:40" x14ac:dyDescent="0.25">
      <c r="A2503" t="str">
        <f>"20190312154845118"</f>
        <v>20190312154845118</v>
      </c>
      <c r="B2503" t="str">
        <f>"1552376925108676"</f>
        <v>1552376925108676</v>
      </c>
      <c r="C2503" t="s">
        <v>40</v>
      </c>
      <c r="D2503">
        <v>4.4840650000000002</v>
      </c>
      <c r="E2503">
        <v>0.4877708</v>
      </c>
      <c r="F2503" t="s">
        <v>50</v>
      </c>
      <c r="G2503">
        <v>-462.04410000000001</v>
      </c>
      <c r="H2503" s="1">
        <v>-2.9993280000000001E-7</v>
      </c>
      <c r="I2503">
        <v>281.20569999999998</v>
      </c>
      <c r="J2503">
        <v>-436.74329999999998</v>
      </c>
      <c r="K2503">
        <v>1.1103130000000001</v>
      </c>
      <c r="L2503">
        <v>283.40089999999998</v>
      </c>
      <c r="M2503">
        <v>-0.99974870000000005</v>
      </c>
      <c r="N2503">
        <v>0</v>
      </c>
      <c r="O2503">
        <v>1.7685889999999999E-2</v>
      </c>
      <c r="P2503">
        <v>-0.99638839999999995</v>
      </c>
      <c r="Q2503">
        <v>2.462756E-2</v>
      </c>
      <c r="R2503">
        <v>8.1264509999999998E-2</v>
      </c>
      <c r="S2503">
        <v>-3.035431</v>
      </c>
      <c r="T2503">
        <v>-0.13146250000000001</v>
      </c>
      <c r="U2503">
        <v>-0.2592468</v>
      </c>
      <c r="V2503">
        <v>6.359679E-2</v>
      </c>
      <c r="W2503">
        <v>3.8429159999999997E-2</v>
      </c>
      <c r="X2503">
        <v>0.99723550000000005</v>
      </c>
      <c r="Y2503">
        <v>-0.1025952</v>
      </c>
      <c r="Z2503">
        <v>-2.9809979999999999E-3</v>
      </c>
      <c r="AA2503">
        <v>0.99471869999999996</v>
      </c>
      <c r="AB2503">
        <v>33</v>
      </c>
      <c r="AC2503">
        <v>-25.300799999999999</v>
      </c>
      <c r="AD2503">
        <v>-1.11031329993279</v>
      </c>
      <c r="AE2503">
        <v>-2.1951999999999998</v>
      </c>
      <c r="AF2503">
        <v>-2.6373250691068</v>
      </c>
      <c r="AG2503">
        <v>-1.11031329993279</v>
      </c>
      <c r="AH2503">
        <v>25.209826660654699</v>
      </c>
      <c r="AI2503">
        <v>92.508171117815294</v>
      </c>
      <c r="AJ2503">
        <v>95.972271620700695</v>
      </c>
      <c r="AK2503">
        <v>25.3717094300799</v>
      </c>
      <c r="AL2503">
        <v>87.797629011676904</v>
      </c>
      <c r="AM2503">
        <v>86.351012521579307</v>
      </c>
      <c r="AN2503">
        <v>0.99999999724842903</v>
      </c>
    </row>
    <row r="2504" spans="1:40" x14ac:dyDescent="0.25">
      <c r="A2504" t="str">
        <f>"20190312154845139"</f>
        <v>20190312154845139</v>
      </c>
      <c r="B2504" t="str">
        <f>"1552376925128196"</f>
        <v>1552376925128196</v>
      </c>
      <c r="C2504" t="s">
        <v>40</v>
      </c>
      <c r="D2504">
        <v>4.4794980000000004</v>
      </c>
      <c r="E2504">
        <v>0.50074049999999903</v>
      </c>
      <c r="F2504" t="s">
        <v>41</v>
      </c>
      <c r="G2504">
        <v>-437.55</v>
      </c>
      <c r="H2504">
        <v>1.0040070000000001</v>
      </c>
      <c r="I2504">
        <v>283.4348</v>
      </c>
      <c r="J2504">
        <v>-437.06420000000003</v>
      </c>
      <c r="K2504">
        <v>1.1103149999999999</v>
      </c>
      <c r="L2504">
        <v>283.40629999999999</v>
      </c>
      <c r="M2504">
        <v>-0.99975530000000001</v>
      </c>
      <c r="N2504">
        <v>0</v>
      </c>
      <c r="O2504">
        <v>1.7305580000000001E-2</v>
      </c>
      <c r="P2504">
        <v>-0.99640969999999995</v>
      </c>
      <c r="Q2504">
        <v>2.4733959999999999E-2</v>
      </c>
      <c r="R2504">
        <v>8.0969650000000004E-2</v>
      </c>
      <c r="S2504">
        <v>-3.010437</v>
      </c>
      <c r="T2504">
        <v>-0.39688069999999998</v>
      </c>
      <c r="U2504">
        <v>0.12551880000000001</v>
      </c>
      <c r="V2504">
        <v>6.3681039999999994E-2</v>
      </c>
      <c r="W2504">
        <v>3.853351E-2</v>
      </c>
      <c r="X2504">
        <v>0.9972261</v>
      </c>
      <c r="Y2504">
        <v>2.429951E-2</v>
      </c>
      <c r="Z2504">
        <v>-6.7642660000000003E-4</v>
      </c>
      <c r="AA2504">
        <v>0.9997045</v>
      </c>
      <c r="AB2504">
        <v>33</v>
      </c>
      <c r="AC2504">
        <v>-0.48579999999998302</v>
      </c>
      <c r="AD2504">
        <v>-0.106308</v>
      </c>
      <c r="AE2504">
        <v>2.8500000000008099E-2</v>
      </c>
      <c r="AF2504">
        <v>1.9172900315625199E-2</v>
      </c>
      <c r="AG2504">
        <v>-0.106308</v>
      </c>
      <c r="AH2504">
        <v>0.464073658593043</v>
      </c>
      <c r="AI2504">
        <v>102.89182706111301</v>
      </c>
      <c r="AJ2504">
        <v>87.634207690281698</v>
      </c>
      <c r="AK2504">
        <v>0.47648016912610902</v>
      </c>
      <c r="AL2504">
        <v>87.791645772319001</v>
      </c>
      <c r="AM2504">
        <v>86.346157255112203</v>
      </c>
      <c r="AN2504">
        <v>1.0000000003848</v>
      </c>
    </row>
    <row r="2505" spans="1:40" x14ac:dyDescent="0.25">
      <c r="A2505" t="str">
        <f>"20190312154845163"</f>
        <v>20190312154845163</v>
      </c>
      <c r="B2505" t="str">
        <f>"1552376925158452"</f>
        <v>1552376925158452</v>
      </c>
      <c r="C2505" t="s">
        <v>40</v>
      </c>
      <c r="D2505">
        <v>4.453875</v>
      </c>
      <c r="E2505">
        <v>0.50836179999999997</v>
      </c>
      <c r="F2505" t="s">
        <v>41</v>
      </c>
      <c r="G2505">
        <v>-437.83150000000001</v>
      </c>
      <c r="H2505">
        <v>0.97787800000000002</v>
      </c>
      <c r="I2505">
        <v>283.46319999999997</v>
      </c>
      <c r="J2505">
        <v>-437.39659999999998</v>
      </c>
      <c r="K2505">
        <v>1.1103160000000001</v>
      </c>
      <c r="L2505">
        <v>283.41160000000002</v>
      </c>
      <c r="M2505">
        <v>-0.99976220000000005</v>
      </c>
      <c r="N2505">
        <v>0</v>
      </c>
      <c r="O2505">
        <v>1.6911510000000001E-2</v>
      </c>
      <c r="P2505">
        <v>-0.99646409999999996</v>
      </c>
      <c r="Q2505">
        <v>2.4970309999999999E-2</v>
      </c>
      <c r="R2505">
        <v>8.0225450000000004E-2</v>
      </c>
      <c r="S2505">
        <v>-3.0056150000000001</v>
      </c>
      <c r="T2505">
        <v>-0.51871990000000001</v>
      </c>
      <c r="U2505">
        <v>0.22232060000000001</v>
      </c>
      <c r="V2505">
        <v>6.3329179999999999E-2</v>
      </c>
      <c r="W2505">
        <v>3.8767940000000001E-2</v>
      </c>
      <c r="X2505">
        <v>0.9972394</v>
      </c>
      <c r="Y2505">
        <v>5.6310180000000001E-2</v>
      </c>
      <c r="Z2505">
        <v>1.923927E-3</v>
      </c>
      <c r="AA2505">
        <v>0.99841150000000001</v>
      </c>
      <c r="AB2505">
        <v>33</v>
      </c>
      <c r="AC2505">
        <v>-0.43490000000002699</v>
      </c>
      <c r="AD2505">
        <v>-0.132438</v>
      </c>
      <c r="AE2505">
        <v>5.1599999999950803E-2</v>
      </c>
      <c r="AF2505">
        <v>4.05306500065169E-2</v>
      </c>
      <c r="AG2505">
        <v>-0.132438</v>
      </c>
      <c r="AH2505">
        <v>0.39920400747136098</v>
      </c>
      <c r="AI2505">
        <v>108.265908157542</v>
      </c>
      <c r="AJ2505">
        <v>84.202701178434907</v>
      </c>
      <c r="AK2505">
        <v>0.42254750858944201</v>
      </c>
      <c r="AL2505">
        <v>87.778203832383696</v>
      </c>
      <c r="AM2505">
        <v>86.366340104944996</v>
      </c>
      <c r="AN2505">
        <v>0.99999997956183695</v>
      </c>
    </row>
    <row r="2506" spans="1:40" x14ac:dyDescent="0.25">
      <c r="A2506" t="str">
        <f>"20190312154845185"</f>
        <v>20190312154845185</v>
      </c>
      <c r="B2506" t="str">
        <f>"1552376925177972"</f>
        <v>1552376925177972</v>
      </c>
      <c r="C2506" t="s">
        <v>40</v>
      </c>
      <c r="D2506">
        <v>4.4221680000000001</v>
      </c>
      <c r="E2506">
        <v>0.51022089999999998</v>
      </c>
      <c r="F2506" t="s">
        <v>41</v>
      </c>
      <c r="G2506">
        <v>-438.11950000000002</v>
      </c>
      <c r="H2506">
        <v>0.96436040000000001</v>
      </c>
      <c r="I2506">
        <v>283.47829999999999</v>
      </c>
      <c r="J2506">
        <v>-437.72620000000001</v>
      </c>
      <c r="K2506">
        <v>1.1103190000000001</v>
      </c>
      <c r="L2506">
        <v>283.41669999999999</v>
      </c>
      <c r="M2506">
        <v>-0.99976869999999995</v>
      </c>
      <c r="N2506">
        <v>0</v>
      </c>
      <c r="O2506">
        <v>1.6520369999999999E-2</v>
      </c>
      <c r="P2506">
        <v>-0.99652569999999996</v>
      </c>
      <c r="Q2506">
        <v>2.511333E-2</v>
      </c>
      <c r="R2506">
        <v>7.9411949999999995E-2</v>
      </c>
      <c r="S2506">
        <v>-3.003571</v>
      </c>
      <c r="T2506">
        <v>-0.60646549999999999</v>
      </c>
      <c r="U2506">
        <v>0.27688600000000002</v>
      </c>
      <c r="V2506">
        <v>6.2905069999999993E-2</v>
      </c>
      <c r="W2506">
        <v>3.8908980000000003E-2</v>
      </c>
      <c r="X2506">
        <v>0.9972607</v>
      </c>
      <c r="Y2506">
        <v>7.4178240000000006E-2</v>
      </c>
      <c r="Z2506">
        <v>4.1036240000000002E-3</v>
      </c>
      <c r="AA2506">
        <v>0.99723649999999997</v>
      </c>
      <c r="AB2506">
        <v>33</v>
      </c>
      <c r="AC2506">
        <v>-0.39330000000000997</v>
      </c>
      <c r="AD2506">
        <v>-0.14595859999999999</v>
      </c>
      <c r="AE2506">
        <v>6.1599999999998503E-2</v>
      </c>
      <c r="AF2506">
        <v>4.8565060095827901E-2</v>
      </c>
      <c r="AG2506">
        <v>-0.14595859999999999</v>
      </c>
      <c r="AH2506">
        <v>0.34754468663938098</v>
      </c>
      <c r="AI2506">
        <v>112.583868492956</v>
      </c>
      <c r="AJ2506">
        <v>82.045135589088204</v>
      </c>
      <c r="AK2506">
        <v>0.3800655038113</v>
      </c>
      <c r="AL2506">
        <v>87.7701166235573</v>
      </c>
      <c r="AM2506">
        <v>86.390686751309005</v>
      </c>
      <c r="AN2506">
        <v>0.999999930160415</v>
      </c>
    </row>
    <row r="2507" spans="1:40" x14ac:dyDescent="0.25">
      <c r="A2507" t="str">
        <f>"20190312154845207"</f>
        <v>20190312154845207</v>
      </c>
      <c r="B2507" t="str">
        <f>"1552376925198468"</f>
        <v>1552376925198468</v>
      </c>
      <c r="C2507" t="s">
        <v>40</v>
      </c>
      <c r="D2507">
        <v>4.422847</v>
      </c>
      <c r="E2507">
        <v>0.51138930000000005</v>
      </c>
      <c r="F2507" t="s">
        <v>41</v>
      </c>
      <c r="G2507">
        <v>-438.68169999999998</v>
      </c>
      <c r="H2507">
        <v>0.91024159999999998</v>
      </c>
      <c r="I2507">
        <v>283.50880000000001</v>
      </c>
      <c r="J2507">
        <v>-438.05270000000002</v>
      </c>
      <c r="K2507">
        <v>1.11032</v>
      </c>
      <c r="L2507">
        <v>283.42169999999999</v>
      </c>
      <c r="M2507">
        <v>-0.99977490000000002</v>
      </c>
      <c r="N2507">
        <v>0</v>
      </c>
      <c r="O2507">
        <v>1.6132859999999999E-2</v>
      </c>
      <c r="P2507">
        <v>-0.99657649999999998</v>
      </c>
      <c r="Q2507">
        <v>2.5546579999999999E-2</v>
      </c>
      <c r="R2507">
        <v>7.8631919999999994E-2</v>
      </c>
      <c r="S2507">
        <v>-3.0033569999999998</v>
      </c>
      <c r="T2507">
        <v>-0.62901499999999999</v>
      </c>
      <c r="U2507">
        <v>0.28799439999999998</v>
      </c>
      <c r="V2507">
        <v>6.2510769999999993E-2</v>
      </c>
      <c r="W2507">
        <v>3.9340189999999997E-2</v>
      </c>
      <c r="X2507">
        <v>0.99726859999999995</v>
      </c>
      <c r="Y2507">
        <v>7.8049110000000005E-2</v>
      </c>
      <c r="Z2507">
        <v>4.7328429999999996E-3</v>
      </c>
      <c r="AA2507">
        <v>0.99693830000000005</v>
      </c>
      <c r="AB2507">
        <v>33</v>
      </c>
      <c r="AC2507">
        <v>-0.62899999999996203</v>
      </c>
      <c r="AD2507">
        <v>-0.20007839999999999</v>
      </c>
      <c r="AE2507">
        <v>8.71000000000208E-2</v>
      </c>
      <c r="AF2507">
        <v>6.99915511518482E-2</v>
      </c>
      <c r="AG2507">
        <v>-0.20007839999999999</v>
      </c>
      <c r="AH2507">
        <v>0.57339797387001201</v>
      </c>
      <c r="AI2507">
        <v>109.104232936576</v>
      </c>
      <c r="AJ2507">
        <v>83.040645842637701</v>
      </c>
      <c r="AK2507">
        <v>0.61132268060119999</v>
      </c>
      <c r="AL2507">
        <v>87.745391230444</v>
      </c>
      <c r="AM2507">
        <v>86.413279652761602</v>
      </c>
      <c r="AN2507">
        <v>0.99999995373059303</v>
      </c>
    </row>
    <row r="2508" spans="1:40" x14ac:dyDescent="0.25">
      <c r="A2508" t="str">
        <f>"20190312154845230"</f>
        <v>20190312154845230</v>
      </c>
      <c r="B2508" t="str">
        <f>"1552376925217989"</f>
        <v>1552376925217989</v>
      </c>
      <c r="C2508" t="s">
        <v>40</v>
      </c>
      <c r="D2508">
        <v>4.4480009999999996</v>
      </c>
      <c r="E2508">
        <v>0.51198270000000001</v>
      </c>
      <c r="F2508" t="s">
        <v>41</v>
      </c>
      <c r="G2508">
        <v>-438.97710000000001</v>
      </c>
      <c r="H2508">
        <v>0.91266499999999995</v>
      </c>
      <c r="I2508">
        <v>283.51240000000001</v>
      </c>
      <c r="J2508">
        <v>-438.3879</v>
      </c>
      <c r="K2508">
        <v>1.110322</v>
      </c>
      <c r="L2508">
        <v>283.42669999999998</v>
      </c>
      <c r="M2508">
        <v>-0.99978140000000004</v>
      </c>
      <c r="N2508">
        <v>0</v>
      </c>
      <c r="O2508">
        <v>1.5733E-2</v>
      </c>
      <c r="P2508">
        <v>-0.99663469999999998</v>
      </c>
      <c r="Q2508">
        <v>2.6147719999999999E-2</v>
      </c>
      <c r="R2508">
        <v>7.7690229999999999E-2</v>
      </c>
      <c r="S2508">
        <v>-3.003571</v>
      </c>
      <c r="T2508">
        <v>-0.64222619999999997</v>
      </c>
      <c r="U2508">
        <v>0.29388429999999999</v>
      </c>
      <c r="V2508">
        <v>6.1966489999999999E-2</v>
      </c>
      <c r="W2508">
        <v>3.9939089999999997E-2</v>
      </c>
      <c r="X2508">
        <v>0.99727880000000002</v>
      </c>
      <c r="Y2508">
        <v>8.0263769999999998E-2</v>
      </c>
      <c r="Z2508">
        <v>5.1472230000000002E-3</v>
      </c>
      <c r="AA2508">
        <v>0.99676039999999999</v>
      </c>
      <c r="AB2508">
        <v>33</v>
      </c>
      <c r="AC2508">
        <v>-0.58920000000000505</v>
      </c>
      <c r="AD2508">
        <v>-0.197657</v>
      </c>
      <c r="AE2508">
        <v>8.5700000000031196E-2</v>
      </c>
      <c r="AF2508">
        <v>6.8832812418683206E-2</v>
      </c>
      <c r="AG2508">
        <v>-0.197657</v>
      </c>
      <c r="AH2508">
        <v>0.53186102295802096</v>
      </c>
      <c r="AI2508">
        <v>110.231822136548</v>
      </c>
      <c r="AJ2508">
        <v>82.625837497352293</v>
      </c>
      <c r="AK2508">
        <v>0.57156136455888895</v>
      </c>
      <c r="AL2508">
        <v>87.711049880048904</v>
      </c>
      <c r="AM2508">
        <v>86.444464961003007</v>
      </c>
      <c r="AN2508">
        <v>0.99999999086119395</v>
      </c>
    </row>
    <row r="2509" spans="1:40" x14ac:dyDescent="0.25">
      <c r="A2509" t="str">
        <f>"20190312154845253"</f>
        <v>20190312154845253</v>
      </c>
      <c r="B2509" t="str">
        <f>"1552376925238484"</f>
        <v>1552376925238484</v>
      </c>
      <c r="C2509" t="s">
        <v>40</v>
      </c>
      <c r="D2509">
        <v>4.4505160000000004</v>
      </c>
      <c r="E2509">
        <v>0.51252140000000002</v>
      </c>
      <c r="F2509" t="s">
        <v>41</v>
      </c>
      <c r="G2509">
        <v>-439.27390000000003</v>
      </c>
      <c r="H2509">
        <v>0.91879270000000002</v>
      </c>
      <c r="I2509">
        <v>283.51409999999998</v>
      </c>
      <c r="J2509">
        <v>-438.71980000000002</v>
      </c>
      <c r="K2509">
        <v>1.110312</v>
      </c>
      <c r="L2509">
        <v>283.43150000000003</v>
      </c>
      <c r="M2509">
        <v>-0.9997876</v>
      </c>
      <c r="N2509">
        <v>0</v>
      </c>
      <c r="O2509">
        <v>1.533023E-2</v>
      </c>
      <c r="P2509">
        <v>-0.99675179999999997</v>
      </c>
      <c r="Q2509">
        <v>2.5998029999999998E-2</v>
      </c>
      <c r="R2509">
        <v>7.6223990000000005E-2</v>
      </c>
      <c r="S2509">
        <v>-3.0041199999999999</v>
      </c>
      <c r="T2509">
        <v>-0.64950350000000001</v>
      </c>
      <c r="U2509">
        <v>0.295929</v>
      </c>
      <c r="V2509">
        <v>6.0900660000000002E-2</v>
      </c>
      <c r="W2509">
        <v>3.978806E-2</v>
      </c>
      <c r="X2509">
        <v>0.99735050000000003</v>
      </c>
      <c r="Y2509">
        <v>8.1255690000000005E-2</v>
      </c>
      <c r="Z2509">
        <v>5.394767E-3</v>
      </c>
      <c r="AA2509">
        <v>0.99667870000000003</v>
      </c>
      <c r="AB2509">
        <v>33</v>
      </c>
      <c r="AC2509">
        <v>-0.55410000000000503</v>
      </c>
      <c r="AD2509">
        <v>-0.1915193</v>
      </c>
      <c r="AE2509">
        <v>8.2599999999956694E-2</v>
      </c>
      <c r="AF2509">
        <v>6.63416475588854E-2</v>
      </c>
      <c r="AG2509">
        <v>-0.1915193</v>
      </c>
      <c r="AH2509">
        <v>0.49719412432145399</v>
      </c>
      <c r="AI2509">
        <v>110.897670995925</v>
      </c>
      <c r="AJ2509">
        <v>82.3997976046969</v>
      </c>
      <c r="AK2509">
        <v>0.53691978333182599</v>
      </c>
      <c r="AL2509">
        <v>87.7197101662873</v>
      </c>
      <c r="AM2509">
        <v>86.505718260091797</v>
      </c>
      <c r="AN2509">
        <v>0.99999999997862399</v>
      </c>
    </row>
    <row r="2510" spans="1:40" x14ac:dyDescent="0.25">
      <c r="A2510" t="str">
        <f>"20190312154845275"</f>
        <v>20190312154845275</v>
      </c>
      <c r="B2510" t="str">
        <f>"1552376925268740"</f>
        <v>1552376925268740</v>
      </c>
      <c r="C2510" t="s">
        <v>40</v>
      </c>
      <c r="D2510">
        <v>4.4735490000000002</v>
      </c>
      <c r="E2510">
        <v>0.51336709999999997</v>
      </c>
      <c r="F2510" t="s">
        <v>41</v>
      </c>
      <c r="G2510">
        <v>-439.57029999999997</v>
      </c>
      <c r="H2510">
        <v>0.92430040000000002</v>
      </c>
      <c r="I2510">
        <v>283.51499999999999</v>
      </c>
      <c r="J2510">
        <v>-439.04739999999998</v>
      </c>
      <c r="K2510">
        <v>1.1103130000000001</v>
      </c>
      <c r="L2510">
        <v>283.43610000000001</v>
      </c>
      <c r="M2510">
        <v>-0.99979390000000001</v>
      </c>
      <c r="N2510">
        <v>0</v>
      </c>
      <c r="O2510">
        <v>1.491904E-2</v>
      </c>
      <c r="P2510">
        <v>-0.99687179999999997</v>
      </c>
      <c r="Q2510">
        <v>2.569511E-2</v>
      </c>
      <c r="R2510">
        <v>7.4742680000000006E-2</v>
      </c>
      <c r="S2510">
        <v>-3.0043639999999998</v>
      </c>
      <c r="T2510">
        <v>-0.65708659999999997</v>
      </c>
      <c r="U2510">
        <v>0.2954407</v>
      </c>
      <c r="V2510">
        <v>5.9827440000000003E-2</v>
      </c>
      <c r="W2510">
        <v>3.9484560000000002E-2</v>
      </c>
      <c r="X2510">
        <v>0.99742750000000002</v>
      </c>
      <c r="Y2510">
        <v>8.1448290000000007E-2</v>
      </c>
      <c r="Z2510">
        <v>5.5653380000000004E-3</v>
      </c>
      <c r="AA2510">
        <v>0.99666200000000005</v>
      </c>
      <c r="AB2510">
        <v>33</v>
      </c>
      <c r="AC2510">
        <v>-0.52289999999999204</v>
      </c>
      <c r="AD2510">
        <v>-0.186012599999999</v>
      </c>
      <c r="AE2510">
        <v>7.8899999999975906E-2</v>
      </c>
      <c r="AF2510">
        <v>6.3261987334813405E-2</v>
      </c>
      <c r="AG2510">
        <v>-0.186012599999999</v>
      </c>
      <c r="AH2510">
        <v>0.46632164055099501</v>
      </c>
      <c r="AI2510">
        <v>111.56753008081699</v>
      </c>
      <c r="AJ2510">
        <v>82.274321374212803</v>
      </c>
      <c r="AK2510">
        <v>0.50602236990718297</v>
      </c>
      <c r="AL2510">
        <v>87.737113078152404</v>
      </c>
      <c r="AM2510">
        <v>86.567411933526699</v>
      </c>
      <c r="AN2510">
        <v>0.99999998540579804</v>
      </c>
    </row>
    <row r="2511" spans="1:40" x14ac:dyDescent="0.25">
      <c r="A2511" t="str">
        <f>"20190312154845297"</f>
        <v>20190312154845297</v>
      </c>
      <c r="B2511" t="str">
        <f>"1552376925288261"</f>
        <v>1552376925288261</v>
      </c>
      <c r="C2511" t="s">
        <v>40</v>
      </c>
      <c r="D2511">
        <v>4.4260219999999997</v>
      </c>
      <c r="E2511">
        <v>0.53127409999999997</v>
      </c>
      <c r="F2511" t="s">
        <v>41</v>
      </c>
      <c r="G2511">
        <v>-439.86619999999999</v>
      </c>
      <c r="H2511">
        <v>0.92903970000000002</v>
      </c>
      <c r="I2511">
        <v>283.51740000000001</v>
      </c>
      <c r="J2511">
        <v>-439.36759999999998</v>
      </c>
      <c r="K2511">
        <v>1.110328</v>
      </c>
      <c r="L2511">
        <v>283.44049999999999</v>
      </c>
      <c r="M2511">
        <v>-0.99980009999999997</v>
      </c>
      <c r="N2511">
        <v>0</v>
      </c>
      <c r="O2511">
        <v>1.450037E-2</v>
      </c>
      <c r="P2511">
        <v>-0.99696660000000004</v>
      </c>
      <c r="Q2511">
        <v>2.4208250000000001E-2</v>
      </c>
      <c r="R2511">
        <v>7.3972270000000007E-2</v>
      </c>
      <c r="S2511">
        <v>-3.0042719999999998</v>
      </c>
      <c r="T2511">
        <v>-0.66514030000000002</v>
      </c>
      <c r="U2511">
        <v>0.29727170000000003</v>
      </c>
      <c r="V2511">
        <v>5.94738E-2</v>
      </c>
      <c r="W2511">
        <v>3.7997940000000001E-2</v>
      </c>
      <c r="X2511">
        <v>0.99750640000000002</v>
      </c>
      <c r="Y2511">
        <v>8.2399319999999998E-2</v>
      </c>
      <c r="Z2511">
        <v>5.8270759999999996E-3</v>
      </c>
      <c r="AA2511">
        <v>0.99658230000000003</v>
      </c>
      <c r="AB2511">
        <v>33</v>
      </c>
      <c r="AC2511">
        <v>-0.49860000000000998</v>
      </c>
      <c r="AD2511">
        <v>-0.18128830000000001</v>
      </c>
      <c r="AE2511">
        <v>7.69000000000232E-2</v>
      </c>
      <c r="AF2511">
        <v>6.1694738200984402E-2</v>
      </c>
      <c r="AG2511">
        <v>-0.18128830000000001</v>
      </c>
      <c r="AH2511">
        <v>0.442520356797449</v>
      </c>
      <c r="AI2511">
        <v>112.084752987744</v>
      </c>
      <c r="AJ2511">
        <v>82.063169086023393</v>
      </c>
      <c r="AK2511">
        <v>0.48217834316642599</v>
      </c>
      <c r="AL2511">
        <v>87.822354157199101</v>
      </c>
      <c r="AM2511">
        <v>86.587923144051501</v>
      </c>
      <c r="AN2511">
        <v>0.999999997185821</v>
      </c>
    </row>
    <row r="2512" spans="1:40" x14ac:dyDescent="0.25">
      <c r="A2512" t="str">
        <f>"20190312154845319"</f>
        <v>20190312154845319</v>
      </c>
      <c r="B2512" t="str">
        <f>"1552376925308756"</f>
        <v>1552376925308756</v>
      </c>
      <c r="C2512" t="s">
        <v>40</v>
      </c>
      <c r="D2512">
        <v>4.4133509999999996</v>
      </c>
      <c r="E2512">
        <v>0.53202579999999999</v>
      </c>
      <c r="F2512" t="s">
        <v>41</v>
      </c>
      <c r="G2512">
        <v>-440.154</v>
      </c>
      <c r="H2512">
        <v>0.91664270000000003</v>
      </c>
      <c r="I2512">
        <v>283.55439999999999</v>
      </c>
      <c r="J2512">
        <v>-439.6927</v>
      </c>
      <c r="K2512">
        <v>1.1103499999999999</v>
      </c>
      <c r="L2512">
        <v>283.44470000000001</v>
      </c>
      <c r="M2512">
        <v>-0.99980639999999998</v>
      </c>
      <c r="N2512">
        <v>0</v>
      </c>
      <c r="O2512">
        <v>1.405439E-2</v>
      </c>
      <c r="P2512">
        <v>-0.99703030000000004</v>
      </c>
      <c r="Q2512">
        <v>2.2697390000000001E-2</v>
      </c>
      <c r="R2512">
        <v>7.3590749999999996E-2</v>
      </c>
      <c r="S2512">
        <v>-2.9949340000000002</v>
      </c>
      <c r="T2512">
        <v>-0.73775939999999995</v>
      </c>
      <c r="U2512">
        <v>0.43292239999999999</v>
      </c>
      <c r="V2512">
        <v>5.9536449999999998E-2</v>
      </c>
      <c r="W2512">
        <v>3.6488840000000002E-2</v>
      </c>
      <c r="X2512">
        <v>0.99755899999999997</v>
      </c>
      <c r="Y2512">
        <v>0.12586600000000001</v>
      </c>
      <c r="Z2512">
        <v>1.180513E-2</v>
      </c>
      <c r="AA2512">
        <v>0.991977</v>
      </c>
      <c r="AB2512">
        <v>33</v>
      </c>
      <c r="AC2512">
        <v>-0.46129999999999399</v>
      </c>
      <c r="AD2512">
        <v>-0.1937073</v>
      </c>
      <c r="AE2512">
        <v>0.109699999999975</v>
      </c>
      <c r="AF2512">
        <v>8.8444603628633101E-2</v>
      </c>
      <c r="AG2512">
        <v>-0.1937073</v>
      </c>
      <c r="AH2512">
        <v>0.39660614001134398</v>
      </c>
      <c r="AI2512">
        <v>115.48726432782701</v>
      </c>
      <c r="AJ2512">
        <v>77.428535603437496</v>
      </c>
      <c r="AK2512">
        <v>0.45015707956113898</v>
      </c>
      <c r="AL2512">
        <v>87.908879243468107</v>
      </c>
      <c r="AM2512">
        <v>86.584517027575998</v>
      </c>
      <c r="AN2512">
        <v>0.99999999140207396</v>
      </c>
    </row>
    <row r="2513" spans="1:40" x14ac:dyDescent="0.25">
      <c r="A2513" t="str">
        <f>"20190312154845341"</f>
        <v>20190312154845341</v>
      </c>
      <c r="B2513" t="str">
        <f>"1552376925328276"</f>
        <v>1552376925328276</v>
      </c>
      <c r="C2513" t="s">
        <v>40</v>
      </c>
      <c r="D2513">
        <v>4.4225450000000004</v>
      </c>
      <c r="E2513">
        <v>0.532699699999999</v>
      </c>
      <c r="F2513" t="s">
        <v>41</v>
      </c>
      <c r="G2513">
        <v>-440.44959999999998</v>
      </c>
      <c r="H2513">
        <v>0.92232879999999995</v>
      </c>
      <c r="I2513">
        <v>283.55549999999999</v>
      </c>
      <c r="J2513">
        <v>-440.02440000000001</v>
      </c>
      <c r="K2513">
        <v>1.1103700000000001</v>
      </c>
      <c r="L2513">
        <v>283.44889999999998</v>
      </c>
      <c r="M2513">
        <v>-0.99981319999999996</v>
      </c>
      <c r="N2513">
        <v>0</v>
      </c>
      <c r="O2513">
        <v>1.3572600000000001E-2</v>
      </c>
      <c r="P2513">
        <v>-0.99703209999999998</v>
      </c>
      <c r="Q2513">
        <v>2.2746280000000001E-2</v>
      </c>
      <c r="R2513">
        <v>7.3549539999999997E-2</v>
      </c>
      <c r="S2513">
        <v>-2.9936219999999998</v>
      </c>
      <c r="T2513">
        <v>-0.74366119999999902</v>
      </c>
      <c r="U2513">
        <v>0.43679810000000002</v>
      </c>
      <c r="V2513">
        <v>5.9974260000000001E-2</v>
      </c>
      <c r="W2513">
        <v>3.6538870000000001E-2</v>
      </c>
      <c r="X2513">
        <v>0.9975309</v>
      </c>
      <c r="Y2513">
        <v>0.12754469999999901</v>
      </c>
      <c r="Z2513">
        <v>1.22224E-2</v>
      </c>
      <c r="AA2513">
        <v>0.99175749999999996</v>
      </c>
      <c r="AB2513">
        <v>33</v>
      </c>
      <c r="AC2513">
        <v>-0.425199999999961</v>
      </c>
      <c r="AD2513">
        <v>-0.18804119999999999</v>
      </c>
      <c r="AE2513">
        <v>0.106600000000014</v>
      </c>
      <c r="AF2513">
        <v>8.5149948645056595E-2</v>
      </c>
      <c r="AG2513">
        <v>-0.18804119999999999</v>
      </c>
      <c r="AH2513">
        <v>0.360306985160185</v>
      </c>
      <c r="AI2513">
        <v>116.926068384657</v>
      </c>
      <c r="AJ2513">
        <v>76.703465957568696</v>
      </c>
      <c r="AK2513">
        <v>0.41524827538102699</v>
      </c>
      <c r="AL2513">
        <v>87.906010733256494</v>
      </c>
      <c r="AM2513">
        <v>86.559364202025193</v>
      </c>
      <c r="AN2513">
        <v>0.99999994866911501</v>
      </c>
    </row>
    <row r="2514" spans="1:40" x14ac:dyDescent="0.25">
      <c r="A2514" t="str">
        <f>"20190312154845363"</f>
        <v>20190312154845363</v>
      </c>
      <c r="B2514" t="str">
        <f>"1552376925358063"</f>
        <v>1552376925358063</v>
      </c>
      <c r="C2514" t="s">
        <v>40</v>
      </c>
      <c r="D2514">
        <v>4.3966830000000003</v>
      </c>
      <c r="E2514">
        <v>0.53337060000000003</v>
      </c>
      <c r="F2514" t="s">
        <v>41</v>
      </c>
      <c r="G2514">
        <v>-440.74630000000002</v>
      </c>
      <c r="H2514">
        <v>0.9305329</v>
      </c>
      <c r="I2514">
        <v>283.55560000000003</v>
      </c>
      <c r="J2514">
        <v>-440.34960000000001</v>
      </c>
      <c r="K2514">
        <v>1.110395</v>
      </c>
      <c r="L2514">
        <v>283.45280000000002</v>
      </c>
      <c r="M2514">
        <v>-0.99981989999999998</v>
      </c>
      <c r="N2514">
        <v>0</v>
      </c>
      <c r="O2514">
        <v>1.307374E-2</v>
      </c>
      <c r="P2514">
        <v>-0.99706410000000001</v>
      </c>
      <c r="Q2514">
        <v>2.3057939999999999E-2</v>
      </c>
      <c r="R2514">
        <v>7.3019899999999999E-2</v>
      </c>
      <c r="S2514">
        <v>-2.9933779999999999</v>
      </c>
      <c r="T2514">
        <v>-0.74587930000000002</v>
      </c>
      <c r="U2514">
        <v>0.4416504</v>
      </c>
      <c r="V2514">
        <v>5.9940090000000001E-2</v>
      </c>
      <c r="W2514">
        <v>3.6851950000000001E-2</v>
      </c>
      <c r="X2514">
        <v>0.99752149999999995</v>
      </c>
      <c r="Y2514">
        <v>0.12953049999999999</v>
      </c>
      <c r="Z2514">
        <v>1.262156E-2</v>
      </c>
      <c r="AA2514">
        <v>0.99149509999999996</v>
      </c>
      <c r="AB2514">
        <v>33</v>
      </c>
      <c r="AC2514">
        <v>-0.39670000000000899</v>
      </c>
      <c r="AD2514">
        <v>-0.1798621</v>
      </c>
      <c r="AE2514">
        <v>0.102800000000001</v>
      </c>
      <c r="AF2514">
        <v>8.1839467910771305E-2</v>
      </c>
      <c r="AG2514">
        <v>-0.1798621</v>
      </c>
      <c r="AH2514">
        <v>0.333724228549449</v>
      </c>
      <c r="AI2514">
        <v>117.629564079659</v>
      </c>
      <c r="AJ2514">
        <v>76.221223574631196</v>
      </c>
      <c r="AK2514">
        <v>0.38784008849686102</v>
      </c>
      <c r="AL2514">
        <v>87.888060613412605</v>
      </c>
      <c r="AM2514">
        <v>86.561287453742693</v>
      </c>
      <c r="AN2514">
        <v>1.00000001178513</v>
      </c>
    </row>
    <row r="2515" spans="1:40" x14ac:dyDescent="0.25">
      <c r="A2515" t="str">
        <f>"20190312154845386"</f>
        <v>20190312154845386</v>
      </c>
      <c r="B2515" t="str">
        <f>"1552376925378562"</f>
        <v>1552376925378562</v>
      </c>
      <c r="C2515" t="s">
        <v>40</v>
      </c>
      <c r="D2515">
        <v>4.4059019999999904</v>
      </c>
      <c r="E2515">
        <v>0.53366530000000001</v>
      </c>
      <c r="F2515" t="s">
        <v>41</v>
      </c>
      <c r="G2515">
        <v>-441.04219999999998</v>
      </c>
      <c r="H2515">
        <v>0.93752530000000001</v>
      </c>
      <c r="I2515">
        <v>283.55619999999999</v>
      </c>
      <c r="J2515">
        <v>-440.67129999999997</v>
      </c>
      <c r="K2515">
        <v>1.110411</v>
      </c>
      <c r="L2515">
        <v>283.45650000000001</v>
      </c>
      <c r="M2515">
        <v>-0.99982660000000001</v>
      </c>
      <c r="N2515">
        <v>0</v>
      </c>
      <c r="O2515">
        <v>1.2550850000000001E-2</v>
      </c>
      <c r="P2515">
        <v>-0.99707509999999999</v>
      </c>
      <c r="Q2515">
        <v>2.3772789999999999E-2</v>
      </c>
      <c r="R2515">
        <v>7.2638460000000002E-2</v>
      </c>
      <c r="S2515">
        <v>-2.9934690000000002</v>
      </c>
      <c r="T2515">
        <v>-0.74738039999999994</v>
      </c>
      <c r="U2515">
        <v>0.44564819999999999</v>
      </c>
      <c r="V2515">
        <v>6.0078069999999997E-2</v>
      </c>
      <c r="W2515">
        <v>3.7568610000000002E-2</v>
      </c>
      <c r="X2515">
        <v>0.99748650000000005</v>
      </c>
      <c r="Y2515">
        <v>0.1312594</v>
      </c>
      <c r="Z2515">
        <v>1.2983979999999999E-2</v>
      </c>
      <c r="AA2515">
        <v>0.99126300000000001</v>
      </c>
      <c r="AB2515">
        <v>33</v>
      </c>
      <c r="AC2515">
        <v>-0.370900000000006</v>
      </c>
      <c r="AD2515">
        <v>-0.1728857</v>
      </c>
      <c r="AE2515">
        <v>9.9699999999984301E-2</v>
      </c>
      <c r="AF2515">
        <v>7.9023904855320806E-2</v>
      </c>
      <c r="AG2515">
        <v>-0.1728857</v>
      </c>
      <c r="AH2515">
        <v>0.30942344742074701</v>
      </c>
      <c r="AI2515">
        <v>118.42929353995</v>
      </c>
      <c r="AJ2515">
        <v>75.673425487371404</v>
      </c>
      <c r="AK2515">
        <v>0.36314888491748498</v>
      </c>
      <c r="AL2515">
        <v>87.846970637454504</v>
      </c>
      <c r="AM2515">
        <v>86.553270073799993</v>
      </c>
      <c r="AN2515">
        <v>1.00000004631725</v>
      </c>
    </row>
    <row r="2516" spans="1:40" x14ac:dyDescent="0.25">
      <c r="A2516" t="str">
        <f>"20190312154845408"</f>
        <v>20190312154845408</v>
      </c>
      <c r="B2516" t="str">
        <f>"1552376925398078"</f>
        <v>1552376925398078</v>
      </c>
      <c r="C2516" t="s">
        <v>40</v>
      </c>
      <c r="D2516">
        <v>4.3751670000000003</v>
      </c>
      <c r="E2516">
        <v>0.53382649999999998</v>
      </c>
      <c r="F2516" t="s">
        <v>41</v>
      </c>
      <c r="G2516">
        <v>-441.60109999999997</v>
      </c>
      <c r="H2516">
        <v>0.87854709999999903</v>
      </c>
      <c r="I2516">
        <v>283.59559999999999</v>
      </c>
      <c r="J2516">
        <v>-441.00360000000001</v>
      </c>
      <c r="K2516">
        <v>1.1104320000000001</v>
      </c>
      <c r="L2516">
        <v>283.45999999999998</v>
      </c>
      <c r="M2516">
        <v>-0.99983370000000005</v>
      </c>
      <c r="N2516">
        <v>0</v>
      </c>
      <c r="O2516">
        <v>1.1979099999999999E-2</v>
      </c>
      <c r="P2516">
        <v>-0.99716329999999997</v>
      </c>
      <c r="Q2516">
        <v>2.32483E-2</v>
      </c>
      <c r="R2516">
        <v>7.1591219999999997E-2</v>
      </c>
      <c r="S2516">
        <v>-2.9940190000000002</v>
      </c>
      <c r="T2516">
        <v>-0.74667930000000005</v>
      </c>
      <c r="U2516">
        <v>0.447052</v>
      </c>
      <c r="V2516">
        <v>5.9598869999999998E-2</v>
      </c>
      <c r="W2516">
        <v>3.7045889999999998E-2</v>
      </c>
      <c r="X2516">
        <v>0.99753480000000005</v>
      </c>
      <c r="Y2516">
        <v>0.13221649999999999</v>
      </c>
      <c r="Z2516">
        <v>1.322601E-2</v>
      </c>
      <c r="AA2516">
        <v>0.99113260000000003</v>
      </c>
      <c r="AB2516">
        <v>33</v>
      </c>
      <c r="AC2516">
        <v>-0.59749999999996795</v>
      </c>
      <c r="AD2516">
        <v>-0.23188489999999901</v>
      </c>
      <c r="AE2516">
        <v>0.13560000000000999</v>
      </c>
      <c r="AF2516">
        <v>0.112340638167349</v>
      </c>
      <c r="AG2516">
        <v>-0.23188489999999901</v>
      </c>
      <c r="AH2516">
        <v>0.524021832560154</v>
      </c>
      <c r="AI2516">
        <v>113.397114079513</v>
      </c>
      <c r="AJ2516">
        <v>77.899990449216901</v>
      </c>
      <c r="AK2516">
        <v>0.58394341064144195</v>
      </c>
      <c r="AL2516">
        <v>87.8769411588152</v>
      </c>
      <c r="AM2516">
        <v>86.580861862955402</v>
      </c>
      <c r="AN2516">
        <v>1.0000000502410999</v>
      </c>
    </row>
    <row r="2517" spans="1:40" x14ac:dyDescent="0.25">
      <c r="A2517" t="str">
        <f>"20190312154845430"</f>
        <v>20190312154845430</v>
      </c>
      <c r="B2517" t="str">
        <f>"1552376925418575"</f>
        <v>1552376925418575</v>
      </c>
      <c r="C2517" t="s">
        <v>40</v>
      </c>
      <c r="D2517">
        <v>4.4103029999999999</v>
      </c>
      <c r="E2517">
        <v>0.53382439999999998</v>
      </c>
      <c r="F2517" t="s">
        <v>41</v>
      </c>
      <c r="G2517">
        <v>-441.8965</v>
      </c>
      <c r="H2517">
        <v>0.88727099999999903</v>
      </c>
      <c r="I2517">
        <v>283.59300000000002</v>
      </c>
      <c r="J2517">
        <v>-441.3211</v>
      </c>
      <c r="K2517">
        <v>1.1104480000000001</v>
      </c>
      <c r="L2517">
        <v>283.46319999999997</v>
      </c>
      <c r="M2517">
        <v>-0.99984019999999996</v>
      </c>
      <c r="N2517">
        <v>0</v>
      </c>
      <c r="O2517">
        <v>1.140949E-2</v>
      </c>
      <c r="P2517">
        <v>-0.99731329999999996</v>
      </c>
      <c r="Q2517">
        <v>2.2358650000000001E-2</v>
      </c>
      <c r="R2517">
        <v>6.9760959999999997E-2</v>
      </c>
      <c r="S2517">
        <v>-2.9939879999999999</v>
      </c>
      <c r="T2517">
        <v>-0.7482413</v>
      </c>
      <c r="U2517">
        <v>0.44567869999999998</v>
      </c>
      <c r="V2517">
        <v>5.8334839999999999E-2</v>
      </c>
      <c r="W2517">
        <v>3.6157660000000001E-2</v>
      </c>
      <c r="X2517">
        <v>0.99764200000000003</v>
      </c>
      <c r="Y2517">
        <v>0.13230259999999999</v>
      </c>
      <c r="Z2517">
        <v>1.340337E-2</v>
      </c>
      <c r="AA2517">
        <v>0.99111870000000002</v>
      </c>
      <c r="AB2517">
        <v>33</v>
      </c>
      <c r="AC2517">
        <v>-0.57540000000000102</v>
      </c>
      <c r="AD2517">
        <v>-0.22317699999999999</v>
      </c>
      <c r="AE2517">
        <v>0.12980000000004499</v>
      </c>
      <c r="AF2517">
        <v>0.107794684427063</v>
      </c>
      <c r="AG2517">
        <v>-0.22317699999999999</v>
      </c>
      <c r="AH2517">
        <v>0.504607177316172</v>
      </c>
      <c r="AI2517">
        <v>113.38944702301799</v>
      </c>
      <c r="AJ2517">
        <v>77.941661748502597</v>
      </c>
      <c r="AK2517">
        <v>0.56218864335623597</v>
      </c>
      <c r="AL2517">
        <v>87.927866894033301</v>
      </c>
      <c r="AM2517">
        <v>86.653570412305399</v>
      </c>
      <c r="AN2517">
        <v>0.99999994504924905</v>
      </c>
    </row>
    <row r="2518" spans="1:40" x14ac:dyDescent="0.25">
      <c r="A2518" t="str">
        <f>"20190312154845453"</f>
        <v>20190312154845453</v>
      </c>
      <c r="B2518" t="str">
        <f>"1552376925448831"</f>
        <v>1552376925448831</v>
      </c>
      <c r="C2518" t="s">
        <v>40</v>
      </c>
      <c r="D2518">
        <v>4.3407850000000003</v>
      </c>
      <c r="E2518">
        <v>0.50101850000000003</v>
      </c>
      <c r="F2518" t="s">
        <v>41</v>
      </c>
      <c r="G2518">
        <v>-442.19009999999997</v>
      </c>
      <c r="H2518">
        <v>0.89232469999999997</v>
      </c>
      <c r="I2518">
        <v>283.59120000000001</v>
      </c>
      <c r="J2518">
        <v>-441.65969999999999</v>
      </c>
      <c r="K2518">
        <v>1.110468</v>
      </c>
      <c r="L2518">
        <v>283.46640000000002</v>
      </c>
      <c r="M2518">
        <v>-0.99984740000000005</v>
      </c>
      <c r="N2518">
        <v>0</v>
      </c>
      <c r="O2518">
        <v>1.0775059999999999E-2</v>
      </c>
      <c r="P2518">
        <v>-0.99741239999999998</v>
      </c>
      <c r="Q2518">
        <v>2.2340970000000002E-2</v>
      </c>
      <c r="R2518">
        <v>6.8335469999999995E-2</v>
      </c>
      <c r="S2518">
        <v>-2.9941710000000001</v>
      </c>
      <c r="T2518">
        <v>-0.75166509999999997</v>
      </c>
      <c r="U2518">
        <v>0.44033810000000001</v>
      </c>
      <c r="V2518">
        <v>5.7539659999999999E-2</v>
      </c>
      <c r="W2518">
        <v>3.6140980000000003E-2</v>
      </c>
      <c r="X2518">
        <v>0.99768880000000004</v>
      </c>
      <c r="Y2518">
        <v>0.1311737</v>
      </c>
      <c r="Z2518">
        <v>1.348092E-2</v>
      </c>
      <c r="AA2518">
        <v>0.99126769999999997</v>
      </c>
      <c r="AB2518">
        <v>33</v>
      </c>
      <c r="AC2518">
        <v>-0.53039999999998599</v>
      </c>
      <c r="AD2518">
        <v>-0.21814330000000001</v>
      </c>
      <c r="AE2518">
        <v>0.124799999999993</v>
      </c>
      <c r="AF2518">
        <v>0.10262806894686199</v>
      </c>
      <c r="AG2518">
        <v>-0.21814330000000001</v>
      </c>
      <c r="AH2518">
        <v>0.45826424336621902</v>
      </c>
      <c r="AI2518">
        <v>114.915564849669</v>
      </c>
      <c r="AJ2518">
        <v>77.3769158694476</v>
      </c>
      <c r="AK2518">
        <v>0.51780801135040899</v>
      </c>
      <c r="AL2518">
        <v>87.928823248435293</v>
      </c>
      <c r="AM2518">
        <v>86.699239548491406</v>
      </c>
      <c r="AN2518">
        <v>0.99999996227685695</v>
      </c>
    </row>
    <row r="2519" spans="1:40" x14ac:dyDescent="0.25">
      <c r="A2519" t="str">
        <f>"20190312154845476"</f>
        <v>20190312154845476</v>
      </c>
      <c r="B2519" t="str">
        <f>"1552376925468351"</f>
        <v>1552376925468351</v>
      </c>
      <c r="C2519" t="s">
        <v>40</v>
      </c>
      <c r="D2519">
        <v>4.2991060000000001</v>
      </c>
      <c r="E2519">
        <v>0.44169580000000003</v>
      </c>
      <c r="F2519" t="s">
        <v>41</v>
      </c>
      <c r="G2519">
        <v>-442.50940000000003</v>
      </c>
      <c r="H2519">
        <v>0.95325800000000005</v>
      </c>
      <c r="I2519">
        <v>283.51839999999999</v>
      </c>
      <c r="J2519">
        <v>-441.98610000000002</v>
      </c>
      <c r="K2519">
        <v>1.110493</v>
      </c>
      <c r="L2519">
        <v>283.4692</v>
      </c>
      <c r="M2519">
        <v>-0.99985400000000002</v>
      </c>
      <c r="N2519">
        <v>0</v>
      </c>
      <c r="O2519">
        <v>1.0136279999999999E-2</v>
      </c>
      <c r="P2519">
        <v>-0.99753219999999998</v>
      </c>
      <c r="Q2519">
        <v>2.301798E-2</v>
      </c>
      <c r="R2519">
        <v>6.6331810000000005E-2</v>
      </c>
      <c r="S2519">
        <v>-3.00766</v>
      </c>
      <c r="T2519">
        <v>-0.55648089999999995</v>
      </c>
      <c r="U2519">
        <v>0.18377689999999999</v>
      </c>
      <c r="V2519">
        <v>5.6169700000000003E-2</v>
      </c>
      <c r="W2519">
        <v>3.6818589999999998E-2</v>
      </c>
      <c r="X2519">
        <v>0.99774209999999997</v>
      </c>
      <c r="Y2519">
        <v>5.0190489999999997E-2</v>
      </c>
      <c r="Z2519">
        <v>2.7419329999999998E-3</v>
      </c>
      <c r="AA2519">
        <v>0.99873590000000001</v>
      </c>
      <c r="AB2519">
        <v>33</v>
      </c>
      <c r="AC2519">
        <v>-0.52330000000000598</v>
      </c>
      <c r="AD2519">
        <v>-0.15723499999999899</v>
      </c>
      <c r="AE2519">
        <v>4.9199999999984798E-2</v>
      </c>
      <c r="AF2519">
        <v>4.0287337632894403E-2</v>
      </c>
      <c r="AG2519">
        <v>-0.15723499999999899</v>
      </c>
      <c r="AH2519">
        <v>0.48074954815839699</v>
      </c>
      <c r="AI2519">
        <v>108.0518139337</v>
      </c>
      <c r="AJ2519">
        <v>85.209743514359204</v>
      </c>
      <c r="AK2519">
        <v>0.50741111818036699</v>
      </c>
      <c r="AL2519">
        <v>87.889973212413096</v>
      </c>
      <c r="AM2519">
        <v>86.777831407063701</v>
      </c>
      <c r="AN2519">
        <v>0.999999970940043</v>
      </c>
    </row>
    <row r="2520" spans="1:40" x14ac:dyDescent="0.25">
      <c r="A2520" t="str">
        <f>"20190312154845498"</f>
        <v>20190312154845498</v>
      </c>
      <c r="B2520" t="str">
        <f>"1552376925488848"</f>
        <v>1552376925488848</v>
      </c>
      <c r="C2520" t="s">
        <v>40</v>
      </c>
      <c r="D2520">
        <v>4.2150309999999998</v>
      </c>
      <c r="E2520">
        <v>0.42689709999999997</v>
      </c>
      <c r="F2520" t="s">
        <v>50</v>
      </c>
      <c r="G2520">
        <v>-459.71940000000001</v>
      </c>
      <c r="H2520" s="1">
        <v>3.7566039999999999E-6</v>
      </c>
      <c r="I2520">
        <v>281.84339999999997</v>
      </c>
      <c r="J2520">
        <v>-442.3109</v>
      </c>
      <c r="K2520">
        <v>1.1105210000000001</v>
      </c>
      <c r="L2520">
        <v>283.47179999999997</v>
      </c>
      <c r="M2520">
        <v>-0.99986059999999999</v>
      </c>
      <c r="N2520">
        <v>0</v>
      </c>
      <c r="O2520">
        <v>9.4736449999999993E-3</v>
      </c>
      <c r="P2520">
        <v>-0.99763190000000002</v>
      </c>
      <c r="Q2520">
        <v>2.334804E-2</v>
      </c>
      <c r="R2520">
        <v>6.4697320000000003E-2</v>
      </c>
      <c r="S2520">
        <v>-3.0302730000000002</v>
      </c>
      <c r="T2520">
        <v>-0.1897607</v>
      </c>
      <c r="U2520">
        <v>-0.27783200000000002</v>
      </c>
      <c r="V2520">
        <v>5.519334E-2</v>
      </c>
      <c r="W2520">
        <v>3.7149290000000001E-2</v>
      </c>
      <c r="X2520">
        <v>0.99778440000000002</v>
      </c>
      <c r="Y2520">
        <v>-0.1005197</v>
      </c>
      <c r="Z2520">
        <v>-3.7292639999999999E-3</v>
      </c>
      <c r="AA2520">
        <v>0.99492809999999998</v>
      </c>
      <c r="AB2520">
        <v>33</v>
      </c>
      <c r="AC2520">
        <v>-17.4085</v>
      </c>
      <c r="AD2520">
        <v>-1.11051724339599</v>
      </c>
      <c r="AE2520">
        <v>-1.6283999999999901</v>
      </c>
      <c r="AF2520">
        <v>-1.7860593438727399</v>
      </c>
      <c r="AG2520">
        <v>-1.11051724339599</v>
      </c>
      <c r="AH2520">
        <v>17.322410309370898</v>
      </c>
      <c r="AI2520">
        <v>93.648846763287295</v>
      </c>
      <c r="AJ2520">
        <v>95.8867859041858</v>
      </c>
      <c r="AK2520">
        <v>17.449617630593298</v>
      </c>
      <c r="AL2520">
        <v>87.871012676455393</v>
      </c>
      <c r="AM2520">
        <v>86.833859183199607</v>
      </c>
      <c r="AN2520">
        <v>1.0000000417056001</v>
      </c>
    </row>
    <row r="2521" spans="1:40" x14ac:dyDescent="0.25">
      <c r="A2521" t="str">
        <f>"20190312154845520"</f>
        <v>20190312154845520</v>
      </c>
      <c r="B2521" t="str">
        <f>"1552376925508368"</f>
        <v>1552376925508368</v>
      </c>
      <c r="C2521" t="s">
        <v>40</v>
      </c>
      <c r="D2521">
        <v>4.2155589999999998</v>
      </c>
      <c r="E2521">
        <v>0.41989599999999999</v>
      </c>
      <c r="F2521" t="s">
        <v>50</v>
      </c>
      <c r="G2521">
        <v>-468.08159999999998</v>
      </c>
      <c r="H2521" s="1">
        <v>2.961532E-6</v>
      </c>
      <c r="I2521">
        <v>280.09379999999999</v>
      </c>
      <c r="J2521">
        <v>-442.62450000000001</v>
      </c>
      <c r="K2521">
        <v>1.11054599999999</v>
      </c>
      <c r="L2521">
        <v>283.47410000000002</v>
      </c>
      <c r="M2521">
        <v>-0.9998667</v>
      </c>
      <c r="N2521">
        <v>0</v>
      </c>
      <c r="O2521">
        <v>8.8083859999999996E-3</v>
      </c>
      <c r="P2521">
        <v>-0.99774790000000002</v>
      </c>
      <c r="Q2521">
        <v>2.3720769999999999E-2</v>
      </c>
      <c r="R2521">
        <v>6.2741969999999994E-2</v>
      </c>
      <c r="S2521">
        <v>-3.0359500000000001</v>
      </c>
      <c r="T2521">
        <v>-0.13082559999999999</v>
      </c>
      <c r="U2521">
        <v>-0.3979492</v>
      </c>
      <c r="V2521">
        <v>5.3898599999999998E-2</v>
      </c>
      <c r="W2521">
        <v>3.752287E-2</v>
      </c>
      <c r="X2521">
        <v>0.99784119999999998</v>
      </c>
      <c r="Y2521">
        <v>-0.1385622</v>
      </c>
      <c r="Z2521">
        <v>-3.3492650000000001E-3</v>
      </c>
      <c r="AA2521">
        <v>0.99034809999999995</v>
      </c>
      <c r="AB2521">
        <v>33</v>
      </c>
      <c r="AC2521">
        <v>-25.457099999999901</v>
      </c>
      <c r="AD2521">
        <v>-1.11054303846799</v>
      </c>
      <c r="AE2521">
        <v>-3.3803000000000298</v>
      </c>
      <c r="AF2521">
        <v>-3.5976979775436</v>
      </c>
      <c r="AG2521">
        <v>-1.11054303846799</v>
      </c>
      <c r="AH2521">
        <v>25.378873655963002</v>
      </c>
      <c r="AI2521">
        <v>92.480811079977499</v>
      </c>
      <c r="AJ2521">
        <v>98.068463811083703</v>
      </c>
      <c r="AK2521">
        <v>25.656655367043602</v>
      </c>
      <c r="AL2521">
        <v>87.849593187507693</v>
      </c>
      <c r="AM2521">
        <v>86.908161174660805</v>
      </c>
      <c r="AN2521">
        <v>1.0000000426362099</v>
      </c>
    </row>
    <row r="2522" spans="1:40" x14ac:dyDescent="0.25">
      <c r="A2522" t="str">
        <f>"20190312154845542"</f>
        <v>20190312154845542</v>
      </c>
      <c r="B2522" t="str">
        <f>"1552376925538626"</f>
        <v>1552376925538626</v>
      </c>
      <c r="C2522" t="s">
        <v>40</v>
      </c>
      <c r="D2522">
        <v>4.1536970000000002</v>
      </c>
      <c r="E2522">
        <v>0.41456549999999998</v>
      </c>
      <c r="F2522" t="s">
        <v>49</v>
      </c>
      <c r="G2522">
        <v>-471.58760000000001</v>
      </c>
      <c r="H2522">
        <v>8.0000589999999996E-2</v>
      </c>
      <c r="I2522">
        <v>279.10390000000001</v>
      </c>
      <c r="J2522">
        <v>-442.94850000000002</v>
      </c>
      <c r="K2522">
        <v>1.1105689999999999</v>
      </c>
      <c r="L2522">
        <v>283.47620000000001</v>
      </c>
      <c r="M2522">
        <v>-0.99987280000000001</v>
      </c>
      <c r="N2522">
        <v>0</v>
      </c>
      <c r="O2522">
        <v>8.0966359999999904E-3</v>
      </c>
      <c r="P2522">
        <v>-0.99778509999999998</v>
      </c>
      <c r="Q2522">
        <v>2.420899E-2</v>
      </c>
      <c r="R2522">
        <v>6.1962240000000002E-2</v>
      </c>
      <c r="S2522">
        <v>-3.038208</v>
      </c>
      <c r="T2522">
        <v>-0.1081032</v>
      </c>
      <c r="U2522">
        <v>-0.45843509999999998</v>
      </c>
      <c r="V2522">
        <v>5.3826690000000003E-2</v>
      </c>
      <c r="W2522">
        <v>3.8012230000000001E-2</v>
      </c>
      <c r="X2522">
        <v>0.99782649999999995</v>
      </c>
      <c r="Y2522">
        <v>-0.15710070000000001</v>
      </c>
      <c r="Z2522">
        <v>-3.0647690000000002E-3</v>
      </c>
      <c r="AA2522">
        <v>0.98757790000000001</v>
      </c>
      <c r="AB2522">
        <v>33</v>
      </c>
      <c r="AC2522">
        <v>-28.6390999999999</v>
      </c>
      <c r="AD2522">
        <v>-1.0305684100000001</v>
      </c>
      <c r="AE2522">
        <v>-4.3722999999999903</v>
      </c>
      <c r="AF2522">
        <v>-4.5982402962575097</v>
      </c>
      <c r="AG2522">
        <v>-1.0305684100000001</v>
      </c>
      <c r="AH2522">
        <v>28.566608563724699</v>
      </c>
      <c r="AI2522">
        <v>92.039870571025403</v>
      </c>
      <c r="AJ2522">
        <v>99.144210684600296</v>
      </c>
      <c r="AK2522">
        <v>28.952668441836</v>
      </c>
      <c r="AL2522">
        <v>87.821534777961503</v>
      </c>
      <c r="AM2522">
        <v>86.912232831527305</v>
      </c>
      <c r="AN2522">
        <v>0.999999983144089</v>
      </c>
    </row>
    <row r="2523" spans="1:40" x14ac:dyDescent="0.25">
      <c r="A2523" t="str">
        <f>"20190312154845564"</f>
        <v>20190312154845564</v>
      </c>
      <c r="B2523" t="str">
        <f>"1552376925558161"</f>
        <v>1552376925558161</v>
      </c>
      <c r="C2523" t="s">
        <v>40</v>
      </c>
      <c r="D2523">
        <v>4.218038</v>
      </c>
      <c r="E2523">
        <v>0.41257349999999998</v>
      </c>
      <c r="F2523" t="s">
        <v>49</v>
      </c>
      <c r="G2523">
        <v>-477.1739</v>
      </c>
      <c r="H2523">
        <v>8.0000080000000001E-2</v>
      </c>
      <c r="I2523">
        <v>277.81670000000003</v>
      </c>
      <c r="J2523">
        <v>-443.27229999999997</v>
      </c>
      <c r="K2523">
        <v>1.1105959999999999</v>
      </c>
      <c r="L2523">
        <v>283.47809999999998</v>
      </c>
      <c r="M2523">
        <v>-0.9998783</v>
      </c>
      <c r="N2523">
        <v>0</v>
      </c>
      <c r="O2523">
        <v>7.3622740000000002E-3</v>
      </c>
      <c r="P2523">
        <v>-0.99785950000000001</v>
      </c>
      <c r="Q2523">
        <v>2.44342E-2</v>
      </c>
      <c r="R2523">
        <v>6.0658690000000001E-2</v>
      </c>
      <c r="S2523">
        <v>-3.0400999999999998</v>
      </c>
      <c r="T2523">
        <v>-9.1541289999999997E-2</v>
      </c>
      <c r="U2523">
        <v>-0.5027161</v>
      </c>
      <c r="V2523">
        <v>5.3253479999999999E-2</v>
      </c>
      <c r="W2523">
        <v>3.8238080000000001E-2</v>
      </c>
      <c r="X2523">
        <v>0.99784859999999997</v>
      </c>
      <c r="Y2523">
        <v>-0.1703276</v>
      </c>
      <c r="Z2523">
        <v>-2.7667270000000001E-3</v>
      </c>
      <c r="AA2523">
        <v>0.98538360000000003</v>
      </c>
      <c r="AB2523">
        <v>33</v>
      </c>
      <c r="AC2523">
        <v>-33.901600000000002</v>
      </c>
      <c r="AD2523">
        <v>-1.0305959200000001</v>
      </c>
      <c r="AE2523">
        <v>-5.6613999999999498</v>
      </c>
      <c r="AF2523">
        <v>-5.9055535426192298</v>
      </c>
      <c r="AG2523">
        <v>-1.0305959200000001</v>
      </c>
      <c r="AH2523">
        <v>33.828582224347201</v>
      </c>
      <c r="AI2523">
        <v>91.719008569722106</v>
      </c>
      <c r="AJ2523">
        <v>99.902499652954504</v>
      </c>
      <c r="AK2523">
        <v>34.3556496941112</v>
      </c>
      <c r="AL2523">
        <v>87.808585052085107</v>
      </c>
      <c r="AM2523">
        <v>86.945119925942706</v>
      </c>
      <c r="AN2523">
        <v>0.99999995620807702</v>
      </c>
    </row>
    <row r="2524" spans="1:40" x14ac:dyDescent="0.25">
      <c r="A2524" t="str">
        <f>"20190312154845580"</f>
        <v>20190312154845580</v>
      </c>
      <c r="B2524" t="str">
        <f>"1552376925568879"</f>
        <v>1552376925568879</v>
      </c>
      <c r="C2524" t="s">
        <v>40</v>
      </c>
      <c r="D2524">
        <v>4.2362359999999999</v>
      </c>
      <c r="E2524">
        <v>0.41184880000000001</v>
      </c>
      <c r="F2524" t="s">
        <v>49</v>
      </c>
      <c r="G2524">
        <v>-478.8766</v>
      </c>
      <c r="H2524">
        <v>8.0000080000000001E-2</v>
      </c>
      <c r="I2524">
        <v>277.3605</v>
      </c>
      <c r="J2524">
        <v>-443.505</v>
      </c>
      <c r="K2524">
        <v>1.110609</v>
      </c>
      <c r="L2524">
        <v>283.47919999999999</v>
      </c>
      <c r="M2524">
        <v>-0.9998823</v>
      </c>
      <c r="N2524">
        <v>0</v>
      </c>
      <c r="O2524">
        <v>6.8194869999999999E-3</v>
      </c>
      <c r="P2524">
        <v>-0.9979055</v>
      </c>
      <c r="Q2524">
        <v>2.450364E-2</v>
      </c>
      <c r="R2524">
        <v>5.9869829999999999E-2</v>
      </c>
      <c r="S2524">
        <v>-3.040375</v>
      </c>
      <c r="T2524">
        <v>-8.8006260000000003E-2</v>
      </c>
      <c r="U2524">
        <v>-0.52239990000000003</v>
      </c>
      <c r="V2524">
        <v>5.3004919999999997E-2</v>
      </c>
      <c r="W2524">
        <v>3.8307180000000003E-2</v>
      </c>
      <c r="X2524">
        <v>0.99785919999999895</v>
      </c>
      <c r="Y2524">
        <v>-0.17598269999999999</v>
      </c>
      <c r="Z2524">
        <v>-2.7239080000000001E-3</v>
      </c>
      <c r="AA2524">
        <v>0.98438950000000003</v>
      </c>
      <c r="AB2524">
        <v>32</v>
      </c>
      <c r="AC2524">
        <v>-35.371600000000001</v>
      </c>
      <c r="AD2524">
        <v>-1.0306089199999999</v>
      </c>
      <c r="AE2524">
        <v>-6.1186999999999898</v>
      </c>
      <c r="AF2524">
        <v>-6.35455872465739</v>
      </c>
      <c r="AG2524">
        <v>-1.0306089199999999</v>
      </c>
      <c r="AH2524">
        <v>35.299950054078501</v>
      </c>
      <c r="AI2524">
        <v>91.645878386930406</v>
      </c>
      <c r="AJ2524">
        <v>100.204866265738</v>
      </c>
      <c r="AK2524">
        <v>35.882154968055303</v>
      </c>
      <c r="AL2524">
        <v>87.804623046049599</v>
      </c>
      <c r="AM2524">
        <v>86.959383963646701</v>
      </c>
      <c r="AN2524">
        <v>0.99999997230419801</v>
      </c>
    </row>
    <row r="2525" spans="1:40" x14ac:dyDescent="0.25">
      <c r="A2525" t="str">
        <f>"20190312154845599"</f>
        <v>20190312154845599</v>
      </c>
      <c r="B2525" t="str">
        <f>"1552376925588399"</f>
        <v>1552376925588399</v>
      </c>
      <c r="C2525" t="s">
        <v>40</v>
      </c>
      <c r="D2525">
        <v>4.2228770000000004</v>
      </c>
      <c r="E2525">
        <v>0.41074110000000003</v>
      </c>
      <c r="F2525" t="s">
        <v>49</v>
      </c>
      <c r="G2525">
        <v>-479.59989999999999</v>
      </c>
      <c r="H2525">
        <v>7.9999979999999998E-2</v>
      </c>
      <c r="I2525">
        <v>277.1814</v>
      </c>
      <c r="J2525">
        <v>-443.76409999999998</v>
      </c>
      <c r="K2525">
        <v>1.1106229999999999</v>
      </c>
      <c r="L2525">
        <v>283.4803</v>
      </c>
      <c r="M2525">
        <v>-0.99988619999999995</v>
      </c>
      <c r="N2525">
        <v>0</v>
      </c>
      <c r="O2525">
        <v>6.203737E-3</v>
      </c>
      <c r="P2525">
        <v>-0.99797020000000003</v>
      </c>
      <c r="Q2525">
        <v>2.4427589999999999E-2</v>
      </c>
      <c r="R2525">
        <v>5.8811410000000001E-2</v>
      </c>
      <c r="S2525">
        <v>-3.040222</v>
      </c>
      <c r="T2525">
        <v>-8.6806540000000001E-2</v>
      </c>
      <c r="U2525">
        <v>-0.5304565</v>
      </c>
      <c r="V2525">
        <v>5.2559700000000001E-2</v>
      </c>
      <c r="W2525">
        <v>3.8230939999999998E-2</v>
      </c>
      <c r="X2525">
        <v>0.99788569999999999</v>
      </c>
      <c r="Y2525">
        <v>-0.17791870000000001</v>
      </c>
      <c r="Z2525">
        <v>-2.6962930000000002E-3</v>
      </c>
      <c r="AA2525">
        <v>0.98404150000000001</v>
      </c>
      <c r="AB2525">
        <v>32</v>
      </c>
      <c r="AC2525">
        <v>-35.835799999999999</v>
      </c>
      <c r="AD2525">
        <v>-1.0306230199999999</v>
      </c>
      <c r="AE2525">
        <v>-6.2988999999999997</v>
      </c>
      <c r="AF2525">
        <v>-6.5158878007679801</v>
      </c>
      <c r="AG2525">
        <v>-1.0306230199999999</v>
      </c>
      <c r="AH2525">
        <v>35.767332795717799</v>
      </c>
      <c r="AI2525">
        <v>91.623790725702506</v>
      </c>
      <c r="AJ2525">
        <v>100.324594796347</v>
      </c>
      <c r="AK2525">
        <v>36.370607266873897</v>
      </c>
      <c r="AL2525">
        <v>87.808994536136893</v>
      </c>
      <c r="AM2525">
        <v>86.984956513005798</v>
      </c>
      <c r="AN2525">
        <v>0.99999999855093102</v>
      </c>
    </row>
    <row r="2526" spans="1:40" x14ac:dyDescent="0.25">
      <c r="A2526" t="str">
        <f>"20190312154845621"</f>
        <v>20190312154845621</v>
      </c>
      <c r="B2526" t="str">
        <f>"1552376925608895"</f>
        <v>1552376925608895</v>
      </c>
      <c r="C2526" t="s">
        <v>40</v>
      </c>
      <c r="D2526">
        <v>4.2338639999999996</v>
      </c>
      <c r="E2526">
        <v>0.40985129999999997</v>
      </c>
      <c r="F2526" t="s">
        <v>49</v>
      </c>
      <c r="G2526">
        <v>-483.40620000000001</v>
      </c>
      <c r="H2526" s="1">
        <v>1.5017270000000001E-6</v>
      </c>
      <c r="I2526">
        <v>276.4067</v>
      </c>
      <c r="J2526">
        <v>-444.08409999999998</v>
      </c>
      <c r="K2526">
        <v>1.110643</v>
      </c>
      <c r="L2526">
        <v>283.48160000000001</v>
      </c>
      <c r="M2526">
        <v>-0.99989090000000003</v>
      </c>
      <c r="N2526">
        <v>0</v>
      </c>
      <c r="O2526">
        <v>5.4280980000000001E-3</v>
      </c>
      <c r="P2526">
        <v>-0.99802060000000004</v>
      </c>
      <c r="Q2526">
        <v>2.4943900000000001E-2</v>
      </c>
      <c r="R2526">
        <v>5.7731789999999998E-2</v>
      </c>
      <c r="S2526">
        <v>-3.0401609999999999</v>
      </c>
      <c r="T2526">
        <v>-8.5173849999999995E-2</v>
      </c>
      <c r="U2526">
        <v>-0.54248050000000003</v>
      </c>
      <c r="V2526">
        <v>5.2251989999999998E-2</v>
      </c>
      <c r="W2526">
        <v>3.8747450000000003E-2</v>
      </c>
      <c r="X2526">
        <v>0.99788189999999999</v>
      </c>
      <c r="Y2526">
        <v>-0.18093409999999999</v>
      </c>
      <c r="Z2526">
        <v>-2.6650900000000002E-3</v>
      </c>
      <c r="AA2526">
        <v>0.98349160000000002</v>
      </c>
      <c r="AB2526">
        <v>32</v>
      </c>
      <c r="AC2526">
        <v>-39.322099999999999</v>
      </c>
      <c r="AD2526">
        <v>-1.110641498273</v>
      </c>
      <c r="AE2526">
        <v>-7.0749000000000102</v>
      </c>
      <c r="AF2526">
        <v>-7.2826324632384196</v>
      </c>
      <c r="AG2526">
        <v>-1.110641498273</v>
      </c>
      <c r="AH2526">
        <v>39.252781180697099</v>
      </c>
      <c r="AI2526">
        <v>91.593548266408604</v>
      </c>
      <c r="AJ2526">
        <v>100.510667480371</v>
      </c>
      <c r="AK2526">
        <v>39.938090722416703</v>
      </c>
      <c r="AL2526">
        <v>87.7793786640988</v>
      </c>
      <c r="AM2526">
        <v>87.002564364440602</v>
      </c>
      <c r="AN2526">
        <v>0.99999996084403497</v>
      </c>
    </row>
    <row r="2527" spans="1:40" x14ac:dyDescent="0.25">
      <c r="A2527" t="str">
        <f>"20190312154845644"</f>
        <v>20190312154845644</v>
      </c>
      <c r="B2527" t="str">
        <f>"1552376925638175"</f>
        <v>1552376925638175</v>
      </c>
      <c r="C2527" t="s">
        <v>40</v>
      </c>
      <c r="D2527">
        <v>4.2547199999999998</v>
      </c>
      <c r="E2527">
        <v>0.40884920000000002</v>
      </c>
      <c r="F2527" t="s">
        <v>49</v>
      </c>
      <c r="G2527">
        <v>-485.52670000000001</v>
      </c>
      <c r="H2527" s="1">
        <v>1.6089430000000001E-6</v>
      </c>
      <c r="I2527">
        <v>275.94760000000002</v>
      </c>
      <c r="J2527">
        <v>-444.41550000000001</v>
      </c>
      <c r="K2527">
        <v>1.110663</v>
      </c>
      <c r="L2527">
        <v>283.48250000000002</v>
      </c>
      <c r="M2527">
        <v>-0.99989499999999998</v>
      </c>
      <c r="N2527">
        <v>0</v>
      </c>
      <c r="O2527">
        <v>4.607402E-3</v>
      </c>
      <c r="P2527">
        <v>-0.99807349999999995</v>
      </c>
      <c r="Q2527">
        <v>2.5463909999999999E-2</v>
      </c>
      <c r="R2527">
        <v>5.657968E-2</v>
      </c>
      <c r="S2527">
        <v>-3.0399479999999999</v>
      </c>
      <c r="T2527">
        <v>-8.1469059999999996E-2</v>
      </c>
      <c r="U2527">
        <v>-0.55264279999999999</v>
      </c>
      <c r="V2527">
        <v>5.1916699999999899E-2</v>
      </c>
      <c r="W2527">
        <v>3.9267280000000002E-2</v>
      </c>
      <c r="X2527">
        <v>0.99787910000000002</v>
      </c>
      <c r="Y2527">
        <v>-0.1833283</v>
      </c>
      <c r="Z2527">
        <v>-2.5586329999999998E-3</v>
      </c>
      <c r="AA2527">
        <v>0.98304840000000004</v>
      </c>
      <c r="AB2527">
        <v>32</v>
      </c>
      <c r="AC2527">
        <v>-41.111199999999997</v>
      </c>
      <c r="AD2527">
        <v>-1.110661391057</v>
      </c>
      <c r="AE2527">
        <v>-7.5348999999999897</v>
      </c>
      <c r="AF2527">
        <v>-7.7188031183436197</v>
      </c>
      <c r="AG2527">
        <v>-1.110661391057</v>
      </c>
      <c r="AH2527">
        <v>41.0470587886185</v>
      </c>
      <c r="AI2527">
        <v>91.523259278417797</v>
      </c>
      <c r="AJ2527">
        <v>100.64996486553601</v>
      </c>
      <c r="AK2527">
        <v>41.781270032176401</v>
      </c>
      <c r="AL2527">
        <v>87.749571956820304</v>
      </c>
      <c r="AM2527">
        <v>87.021755196537299</v>
      </c>
      <c r="AN2527">
        <v>0.99999998061714901</v>
      </c>
    </row>
    <row r="2528" spans="1:40" x14ac:dyDescent="0.25">
      <c r="A2528" t="str">
        <f>"20190312154845667"</f>
        <v>20190312154845667</v>
      </c>
      <c r="B2528" t="str">
        <f>"1552376925658671"</f>
        <v>1552376925658671</v>
      </c>
      <c r="C2528" t="s">
        <v>40</v>
      </c>
      <c r="D2528">
        <v>4.2847549999999996</v>
      </c>
      <c r="E2528">
        <v>0.40842079999999997</v>
      </c>
      <c r="F2528" t="s">
        <v>49</v>
      </c>
      <c r="G2528">
        <v>-488.54570000000001</v>
      </c>
      <c r="H2528" s="1">
        <v>1.7612960000000001E-6</v>
      </c>
      <c r="I2528">
        <v>275.29230000000001</v>
      </c>
      <c r="J2528">
        <v>-444.74299999999999</v>
      </c>
      <c r="K2528">
        <v>1.1106799999999999</v>
      </c>
      <c r="L2528">
        <v>283.48320000000001</v>
      </c>
      <c r="M2528">
        <v>-0.99989850000000002</v>
      </c>
      <c r="N2528">
        <v>0</v>
      </c>
      <c r="O2528">
        <v>3.77597E-3</v>
      </c>
      <c r="P2528">
        <v>-0.99813050000000003</v>
      </c>
      <c r="Q2528">
        <v>2.567995E-2</v>
      </c>
      <c r="R2528">
        <v>5.5461459999999997E-2</v>
      </c>
      <c r="S2528">
        <v>-3.0397029999999998</v>
      </c>
      <c r="T2528">
        <v>-7.6502680000000003E-2</v>
      </c>
      <c r="U2528">
        <v>-0.56414790000000004</v>
      </c>
      <c r="V2528">
        <v>5.1626440000000003E-2</v>
      </c>
      <c r="W2528">
        <v>3.9482639999999999E-2</v>
      </c>
      <c r="X2528">
        <v>0.99788569999999999</v>
      </c>
      <c r="Y2528">
        <v>-0.1861305</v>
      </c>
      <c r="Z2528">
        <v>-2.416292E-3</v>
      </c>
      <c r="AA2528">
        <v>0.98252209999999995</v>
      </c>
      <c r="AB2528">
        <v>32</v>
      </c>
      <c r="AC2528">
        <v>-43.802699999999902</v>
      </c>
      <c r="AD2528">
        <v>-1.110678238704</v>
      </c>
      <c r="AE2528">
        <v>-8.1908999999999992</v>
      </c>
      <c r="AF2528">
        <v>-8.35106700486247</v>
      </c>
      <c r="AG2528">
        <v>-1.110678238704</v>
      </c>
      <c r="AH2528">
        <v>43.744281166965003</v>
      </c>
      <c r="AI2528">
        <v>91.428651829618502</v>
      </c>
      <c r="AJ2528">
        <v>100.808086944205</v>
      </c>
      <c r="AK2528">
        <v>44.5481319595347</v>
      </c>
      <c r="AL2528">
        <v>87.737223248445503</v>
      </c>
      <c r="AM2528">
        <v>87.038396030085707</v>
      </c>
      <c r="AN2528">
        <v>1.00000001921646</v>
      </c>
    </row>
    <row r="2529" spans="1:40" x14ac:dyDescent="0.25">
      <c r="A2529" t="str">
        <f>"20190312154845688"</f>
        <v>20190312154845688</v>
      </c>
      <c r="B2529" t="str">
        <f>"1552376925678192"</f>
        <v>1552376925678192</v>
      </c>
      <c r="C2529" t="s">
        <v>40</v>
      </c>
      <c r="D2529">
        <v>4.2755169999999998</v>
      </c>
      <c r="E2529">
        <v>0.40788089999999999</v>
      </c>
      <c r="F2529" t="s">
        <v>49</v>
      </c>
      <c r="G2529">
        <v>-491.20370000000003</v>
      </c>
      <c r="H2529" s="1">
        <v>1.706488E-6</v>
      </c>
      <c r="I2529">
        <v>274.75630000000001</v>
      </c>
      <c r="J2529">
        <v>-445.06169999999997</v>
      </c>
      <c r="K2529">
        <v>1.1106929999999999</v>
      </c>
      <c r="L2529">
        <v>283.48349999999999</v>
      </c>
      <c r="M2529">
        <v>-0.99990129999999999</v>
      </c>
      <c r="N2529">
        <v>0</v>
      </c>
      <c r="O2529">
        <v>2.945109E-3</v>
      </c>
      <c r="P2529">
        <v>-0.99817400000000001</v>
      </c>
      <c r="Q2529">
        <v>2.560606E-2</v>
      </c>
      <c r="R2529">
        <v>5.4709920000000002E-2</v>
      </c>
      <c r="S2529">
        <v>-3.039215</v>
      </c>
      <c r="T2529">
        <v>-7.2654839999999998E-2</v>
      </c>
      <c r="U2529">
        <v>-0.57086179999999997</v>
      </c>
      <c r="V2529">
        <v>5.170284E-2</v>
      </c>
      <c r="W2529">
        <v>3.9409739999999999E-2</v>
      </c>
      <c r="X2529">
        <v>0.99788460000000001</v>
      </c>
      <c r="Y2529">
        <v>-0.1874451</v>
      </c>
      <c r="Z2529">
        <v>-2.2905790000000001E-3</v>
      </c>
      <c r="AA2529">
        <v>0.98227240000000005</v>
      </c>
      <c r="AB2529">
        <v>32</v>
      </c>
      <c r="AC2529">
        <v>-46.142000000000003</v>
      </c>
      <c r="AD2529">
        <v>-1.1106912935119999</v>
      </c>
      <c r="AE2529">
        <v>-8.7271999999999803</v>
      </c>
      <c r="AF2529">
        <v>-8.8581128823729394</v>
      </c>
      <c r="AG2529">
        <v>-1.1106912935119999</v>
      </c>
      <c r="AH2529">
        <v>46.090311546787902</v>
      </c>
      <c r="AI2529">
        <v>91.355654718255707</v>
      </c>
      <c r="AJ2529">
        <v>100.879043196805</v>
      </c>
      <c r="AK2529">
        <v>46.9469553588549</v>
      </c>
      <c r="AL2529">
        <v>87.741403305061993</v>
      </c>
      <c r="AM2529">
        <v>87.034017821430595</v>
      </c>
      <c r="AN2529">
        <v>0.99999999309404597</v>
      </c>
    </row>
    <row r="2530" spans="1:40" x14ac:dyDescent="0.25">
      <c r="A2530" t="str">
        <f>"20190312154845711"</f>
        <v>20190312154845711</v>
      </c>
      <c r="B2530" t="str">
        <f>"1552376925698687"</f>
        <v>1552376925698687</v>
      </c>
      <c r="C2530" t="s">
        <v>40</v>
      </c>
      <c r="D2530">
        <v>4.3557600000000001</v>
      </c>
      <c r="E2530">
        <v>0.4076552</v>
      </c>
      <c r="F2530" t="s">
        <v>49</v>
      </c>
      <c r="G2530">
        <v>-491.86079999999998</v>
      </c>
      <c r="H2530" s="1">
        <v>1.5946369999999999E-6</v>
      </c>
      <c r="I2530">
        <v>274.59320000000002</v>
      </c>
      <c r="J2530">
        <v>-445.38240000000002</v>
      </c>
      <c r="K2530">
        <v>1.1107100000000001</v>
      </c>
      <c r="L2530">
        <v>283.48349999999999</v>
      </c>
      <c r="M2530">
        <v>-0.9999036</v>
      </c>
      <c r="N2530">
        <v>0</v>
      </c>
      <c r="O2530">
        <v>2.08969E-3</v>
      </c>
      <c r="P2530">
        <v>-0.99821280000000001</v>
      </c>
      <c r="Q2530">
        <v>2.5464899999999999E-2</v>
      </c>
      <c r="R2530">
        <v>5.4065309999999998E-2</v>
      </c>
      <c r="S2530">
        <v>-3.0389710000000001</v>
      </c>
      <c r="T2530">
        <v>-7.2124480000000005E-2</v>
      </c>
      <c r="U2530">
        <v>-0.57730099999999995</v>
      </c>
      <c r="V2530">
        <v>5.1910699999999997E-2</v>
      </c>
      <c r="W2530">
        <v>3.9269659999999998E-2</v>
      </c>
      <c r="X2530">
        <v>0.99787930000000002</v>
      </c>
      <c r="Y2530">
        <v>-0.1886293</v>
      </c>
      <c r="Z2530">
        <v>-2.2674010000000001E-3</v>
      </c>
      <c r="AA2530">
        <v>0.98204579999999997</v>
      </c>
      <c r="AB2530">
        <v>32</v>
      </c>
      <c r="AC2530">
        <v>-46.478399999999901</v>
      </c>
      <c r="AD2530">
        <v>-1.1107084053630001</v>
      </c>
      <c r="AE2530">
        <v>-8.8902999999999608</v>
      </c>
      <c r="AF2530">
        <v>-8.9824665259430194</v>
      </c>
      <c r="AG2530">
        <v>-1.1107084053630001</v>
      </c>
      <c r="AH2530">
        <v>46.434137086000298</v>
      </c>
      <c r="AI2530">
        <v>91.345327288990603</v>
      </c>
      <c r="AJ2530">
        <v>100.948370477061</v>
      </c>
      <c r="AK2530">
        <v>47.3080063517044</v>
      </c>
      <c r="AL2530">
        <v>87.749435446064695</v>
      </c>
      <c r="AM2530">
        <v>87.022099367760305</v>
      </c>
      <c r="AN2530">
        <v>0.99999996216974696</v>
      </c>
    </row>
    <row r="2531" spans="1:40" x14ac:dyDescent="0.25">
      <c r="A2531" t="str">
        <f>"20190312154845732"</f>
        <v>20190312154845732</v>
      </c>
      <c r="B2531" t="str">
        <f>"1552376925727967"</f>
        <v>1552376925727967</v>
      </c>
      <c r="C2531" t="s">
        <v>40</v>
      </c>
      <c r="D2531">
        <v>4.2321569999999999</v>
      </c>
      <c r="E2531">
        <v>0.4068389</v>
      </c>
      <c r="F2531" t="s">
        <v>49</v>
      </c>
      <c r="G2531">
        <v>-490.56689999999998</v>
      </c>
      <c r="H2531" s="1">
        <v>1.792599E-6</v>
      </c>
      <c r="I2531">
        <v>274.84019999999998</v>
      </c>
      <c r="J2531">
        <v>-445.7029</v>
      </c>
      <c r="K2531">
        <v>1.1107199999999999</v>
      </c>
      <c r="L2531">
        <v>283.48320000000001</v>
      </c>
      <c r="M2531">
        <v>-0.99990500000000004</v>
      </c>
      <c r="N2531">
        <v>0</v>
      </c>
      <c r="O2531">
        <v>1.211001E-3</v>
      </c>
      <c r="P2531">
        <v>-0.99823759999999995</v>
      </c>
      <c r="Q2531">
        <v>2.54647E-2</v>
      </c>
      <c r="R2531">
        <v>5.3606189999999998E-2</v>
      </c>
      <c r="S2531">
        <v>-3.0386959999999998</v>
      </c>
      <c r="T2531">
        <v>-7.4696059999999995E-2</v>
      </c>
      <c r="U2531">
        <v>-0.58126829999999996</v>
      </c>
      <c r="V2531">
        <v>5.232726E-2</v>
      </c>
      <c r="W2531">
        <v>3.9270619999999999E-2</v>
      </c>
      <c r="X2531">
        <v>0.99785760000000001</v>
      </c>
      <c r="Y2531">
        <v>-0.18901609999999999</v>
      </c>
      <c r="Z2531">
        <v>-2.3314519999999999E-3</v>
      </c>
      <c r="AA2531">
        <v>0.98197120000000004</v>
      </c>
      <c r="AB2531">
        <v>32</v>
      </c>
      <c r="AC2531">
        <v>-44.863999999999898</v>
      </c>
      <c r="AD2531">
        <v>-1.110718207401</v>
      </c>
      <c r="AE2531">
        <v>-8.6430000000000202</v>
      </c>
      <c r="AF2531">
        <v>-8.6921920703773807</v>
      </c>
      <c r="AG2531">
        <v>-1.110718207401</v>
      </c>
      <c r="AH2531">
        <v>44.827006789967797</v>
      </c>
      <c r="AI2531">
        <v>91.393433745352695</v>
      </c>
      <c r="AJ2531">
        <v>100.97376990933201</v>
      </c>
      <c r="AK2531">
        <v>45.675468642066498</v>
      </c>
      <c r="AL2531">
        <v>87.749380612753001</v>
      </c>
      <c r="AM2531">
        <v>86.998181426192204</v>
      </c>
      <c r="AN2531">
        <v>1.0000000568060201</v>
      </c>
    </row>
    <row r="2532" spans="1:40" x14ac:dyDescent="0.25">
      <c r="A2532" t="str">
        <f>"20190312154845755"</f>
        <v>20190312154845755</v>
      </c>
      <c r="B2532" t="str">
        <f>"1552376925748467"</f>
        <v>1552376925748467</v>
      </c>
      <c r="C2532" t="s">
        <v>40</v>
      </c>
      <c r="D2532">
        <v>4.2140269999999997</v>
      </c>
      <c r="E2532">
        <v>0.40617379999999997</v>
      </c>
      <c r="F2532" t="s">
        <v>49</v>
      </c>
      <c r="G2532">
        <v>-491.73219999999998</v>
      </c>
      <c r="H2532" s="1">
        <v>1.6001609999999999E-6</v>
      </c>
      <c r="I2532">
        <v>274.5598</v>
      </c>
      <c r="J2532">
        <v>-446.0204</v>
      </c>
      <c r="K2532">
        <v>1.1107400000000001</v>
      </c>
      <c r="L2532">
        <v>283.48270000000002</v>
      </c>
      <c r="M2532">
        <v>-0.99990559999999995</v>
      </c>
      <c r="N2532">
        <v>0</v>
      </c>
      <c r="O2532">
        <v>3.1361200000000001E-4</v>
      </c>
      <c r="P2532">
        <v>-0.99827299999999997</v>
      </c>
      <c r="Q2532">
        <v>2.545304E-2</v>
      </c>
      <c r="R2532">
        <v>5.2945319999999997E-2</v>
      </c>
      <c r="S2532">
        <v>-3.0387879999999998</v>
      </c>
      <c r="T2532">
        <v>-7.3328019999999994E-2</v>
      </c>
      <c r="U2532">
        <v>-0.5891113</v>
      </c>
      <c r="V2532">
        <v>5.2560290000000003E-2</v>
      </c>
      <c r="W2532">
        <v>3.9259660000000002E-2</v>
      </c>
      <c r="X2532">
        <v>0.99784569999999995</v>
      </c>
      <c r="Y2532">
        <v>-0.19057479999999999</v>
      </c>
      <c r="Z2532">
        <v>-2.2853180000000002E-3</v>
      </c>
      <c r="AA2532">
        <v>0.98167000000000004</v>
      </c>
      <c r="AB2532">
        <v>32</v>
      </c>
      <c r="AC2532">
        <v>-45.711799999999897</v>
      </c>
      <c r="AD2532">
        <v>-1.1107383998389999</v>
      </c>
      <c r="AE2532">
        <v>-8.9229000000000198</v>
      </c>
      <c r="AF2532">
        <v>-8.9321564579422006</v>
      </c>
      <c r="AG2532">
        <v>-1.1107383998389999</v>
      </c>
      <c r="AH2532">
        <v>45.683016631715603</v>
      </c>
      <c r="AI2532">
        <v>91.366943204314694</v>
      </c>
      <c r="AJ2532">
        <v>101.06316595833501</v>
      </c>
      <c r="AK2532">
        <v>46.561305473060301</v>
      </c>
      <c r="AL2532">
        <v>87.750008870438094</v>
      </c>
      <c r="AM2532">
        <v>86.984802090144697</v>
      </c>
      <c r="AN2532">
        <v>0.99999997299834398</v>
      </c>
    </row>
    <row r="2533" spans="1:40" x14ac:dyDescent="0.25">
      <c r="A2533" t="str">
        <f>"20190312154845776"</f>
        <v>20190312154845776</v>
      </c>
      <c r="B2533" t="str">
        <f>"1552376925767983"</f>
        <v>1552376925767983</v>
      </c>
      <c r="C2533" t="s">
        <v>40</v>
      </c>
      <c r="D2533">
        <v>4.1915079999999998</v>
      </c>
      <c r="E2533">
        <v>0.40569749999999999</v>
      </c>
      <c r="F2533" t="s">
        <v>49</v>
      </c>
      <c r="G2533">
        <v>-492.09589999999997</v>
      </c>
      <c r="H2533" s="1">
        <v>1.546065E-6</v>
      </c>
      <c r="I2533">
        <v>274.4359</v>
      </c>
      <c r="J2533">
        <v>-446.3356</v>
      </c>
      <c r="K2533">
        <v>1.1107640000000001</v>
      </c>
      <c r="L2533">
        <v>283.48180000000002</v>
      </c>
      <c r="M2533">
        <v>-0.99990559999999995</v>
      </c>
      <c r="N2533">
        <v>0</v>
      </c>
      <c r="O2533">
        <v>-6.0701120000000003E-4</v>
      </c>
      <c r="P2533">
        <v>-0.99832080000000001</v>
      </c>
      <c r="Q2533">
        <v>2.5084120000000001E-2</v>
      </c>
      <c r="R2533">
        <v>5.221903E-2</v>
      </c>
      <c r="S2533">
        <v>-3.0387270000000002</v>
      </c>
      <c r="T2533">
        <v>-7.3254349999999996E-2</v>
      </c>
      <c r="U2533">
        <v>-0.59664919999999899</v>
      </c>
      <c r="V2533">
        <v>5.2751630000000001E-2</v>
      </c>
      <c r="W2533">
        <v>3.8893259999999999E-2</v>
      </c>
      <c r="X2533">
        <v>0.99785000000000001</v>
      </c>
      <c r="Y2533">
        <v>-0.1920203</v>
      </c>
      <c r="Z2533">
        <v>-2.2778030000000001E-3</v>
      </c>
      <c r="AA2533">
        <v>0.98138829999999999</v>
      </c>
      <c r="AB2533">
        <v>32</v>
      </c>
      <c r="AC2533">
        <v>-45.760299999999901</v>
      </c>
      <c r="AD2533">
        <v>-1.1107624539349901</v>
      </c>
      <c r="AE2533">
        <v>-9.0459000000000103</v>
      </c>
      <c r="AF2533">
        <v>-9.0130079292862799</v>
      </c>
      <c r="AG2533">
        <v>-1.1107624539349901</v>
      </c>
      <c r="AH2533">
        <v>45.739846542897901</v>
      </c>
      <c r="AI2533">
        <v>91.364881795223397</v>
      </c>
      <c r="AJ2533">
        <v>101.147284209915</v>
      </c>
      <c r="AK2533">
        <v>46.632624491125299</v>
      </c>
      <c r="AL2533">
        <v>87.771018198851095</v>
      </c>
      <c r="AM2533">
        <v>86.973858972297904</v>
      </c>
      <c r="AN2533">
        <v>1.00000002132054</v>
      </c>
    </row>
    <row r="2534" spans="1:40" x14ac:dyDescent="0.25">
      <c r="A2534" t="str">
        <f>"20190312154845800"</f>
        <v>20190312154845800</v>
      </c>
      <c r="B2534" t="str">
        <f>"1552376925788479"</f>
        <v>1552376925788479</v>
      </c>
      <c r="C2534" t="s">
        <v>40</v>
      </c>
      <c r="D2534">
        <v>4.1982489999999997</v>
      </c>
      <c r="E2534">
        <v>0.40514650000000002</v>
      </c>
      <c r="F2534" t="s">
        <v>49</v>
      </c>
      <c r="G2534">
        <v>-492.1121</v>
      </c>
      <c r="H2534" s="1">
        <v>1.538968E-6</v>
      </c>
      <c r="I2534">
        <v>274.40370000000001</v>
      </c>
      <c r="J2534">
        <v>-446.66059999999999</v>
      </c>
      <c r="K2534">
        <v>1.1107899999999999</v>
      </c>
      <c r="L2534">
        <v>283.48059999999998</v>
      </c>
      <c r="M2534">
        <v>-0.99990449999999997</v>
      </c>
      <c r="N2534">
        <v>0</v>
      </c>
      <c r="O2534">
        <v>-1.5881770000000001E-3</v>
      </c>
      <c r="P2534">
        <v>-0.99837699999999996</v>
      </c>
      <c r="Q2534">
        <v>2.5023E-2</v>
      </c>
      <c r="R2534">
        <v>5.1157969999999997E-2</v>
      </c>
      <c r="S2534">
        <v>-3.0384519999999999</v>
      </c>
      <c r="T2534">
        <v>-7.3727849999999998E-2</v>
      </c>
      <c r="U2534">
        <v>-0.60256960000000004</v>
      </c>
      <c r="V2534">
        <v>5.2667789999999999E-2</v>
      </c>
      <c r="W2534">
        <v>3.8833689999999997E-2</v>
      </c>
      <c r="X2534">
        <v>0.99785670000000004</v>
      </c>
      <c r="Y2534">
        <v>-0.1929139</v>
      </c>
      <c r="Z2534">
        <v>-2.2794579999999998E-3</v>
      </c>
      <c r="AA2534">
        <v>0.981213</v>
      </c>
      <c r="AB2534">
        <v>32</v>
      </c>
      <c r="AC2534">
        <v>-45.451500000000003</v>
      </c>
      <c r="AD2534">
        <v>-1.110788461032</v>
      </c>
      <c r="AE2534">
        <v>-9.0768999999999593</v>
      </c>
      <c r="AF2534">
        <v>-8.9995277757487901</v>
      </c>
      <c r="AG2534">
        <v>-1.110788461032</v>
      </c>
      <c r="AH2534">
        <v>45.439761091474402</v>
      </c>
      <c r="AI2534">
        <v>91.373661907042006</v>
      </c>
      <c r="AJ2534">
        <v>101.202684861869</v>
      </c>
      <c r="AK2534">
        <v>46.335701561991101</v>
      </c>
      <c r="AL2534">
        <v>87.774433780461706</v>
      </c>
      <c r="AM2534">
        <v>86.978679854283797</v>
      </c>
      <c r="AN2534">
        <v>0.999999972658694</v>
      </c>
    </row>
    <row r="2535" spans="1:40" x14ac:dyDescent="0.25">
      <c r="A2535" t="str">
        <f>"20190312154845822"</f>
        <v>20190312154845822</v>
      </c>
      <c r="B2535" t="str">
        <f>"1552376925818735"</f>
        <v>1552376925818735</v>
      </c>
      <c r="C2535" t="s">
        <v>40</v>
      </c>
      <c r="D2535">
        <v>4.2144779999999997</v>
      </c>
      <c r="E2535">
        <v>0.40437600000000001</v>
      </c>
      <c r="F2535" t="s">
        <v>49</v>
      </c>
      <c r="G2535">
        <v>-492.88470000000001</v>
      </c>
      <c r="H2535" s="1">
        <v>1.434807E-6</v>
      </c>
      <c r="I2535">
        <v>274.2013</v>
      </c>
      <c r="J2535">
        <v>-446.98090000000002</v>
      </c>
      <c r="K2535">
        <v>1.1108199999999999</v>
      </c>
      <c r="L2535">
        <v>283.47910000000002</v>
      </c>
      <c r="M2535">
        <v>-0.99990250000000003</v>
      </c>
      <c r="N2535">
        <v>0</v>
      </c>
      <c r="O2535">
        <v>-2.5875870000000001E-3</v>
      </c>
      <c r="P2535">
        <v>-0.99842220000000004</v>
      </c>
      <c r="Q2535">
        <v>2.52485E-2</v>
      </c>
      <c r="R2535">
        <v>5.0156659999999999E-2</v>
      </c>
      <c r="S2535">
        <v>-3.0379939999999999</v>
      </c>
      <c r="T2535">
        <v>-7.3004600000000003E-2</v>
      </c>
      <c r="U2535">
        <v>-0.6098633</v>
      </c>
      <c r="V2535">
        <v>5.2661340000000001E-2</v>
      </c>
      <c r="W2535">
        <v>3.906097E-2</v>
      </c>
      <c r="X2535">
        <v>0.99784819999999996</v>
      </c>
      <c r="Y2535">
        <v>-0.1942277</v>
      </c>
      <c r="Z2535">
        <v>-2.2487639999999999E-3</v>
      </c>
      <c r="AA2535">
        <v>0.98095390000000005</v>
      </c>
      <c r="AB2535">
        <v>32</v>
      </c>
      <c r="AC2535">
        <v>-45.903799999999897</v>
      </c>
      <c r="AD2535">
        <v>-1.110818565193</v>
      </c>
      <c r="AE2535">
        <v>-9.2778000000000098</v>
      </c>
      <c r="AF2535">
        <v>-9.1538277170088396</v>
      </c>
      <c r="AG2535">
        <v>-1.110818565193</v>
      </c>
      <c r="AH2535">
        <v>45.901831234585899</v>
      </c>
      <c r="AI2535">
        <v>91.359520579526901</v>
      </c>
      <c r="AJ2535">
        <v>101.27807697685</v>
      </c>
      <c r="AK2535">
        <v>46.818848666385101</v>
      </c>
      <c r="AL2535">
        <v>87.761401775767794</v>
      </c>
      <c r="AM2535">
        <v>86.979023491304702</v>
      </c>
      <c r="AN2535">
        <v>1.00000000317558</v>
      </c>
    </row>
    <row r="2536" spans="1:40" x14ac:dyDescent="0.25">
      <c r="A2536" t="str">
        <f>"20190312154845844"</f>
        <v>20190312154845844</v>
      </c>
      <c r="B2536" t="str">
        <f>"1552376925838259"</f>
        <v>1552376925838259</v>
      </c>
      <c r="C2536" t="s">
        <v>40</v>
      </c>
      <c r="D2536">
        <v>4.1575739999999897</v>
      </c>
      <c r="E2536">
        <v>0.40393669999999998</v>
      </c>
      <c r="F2536" t="s">
        <v>49</v>
      </c>
      <c r="G2536">
        <v>-493.81599999999997</v>
      </c>
      <c r="H2536" s="1">
        <v>1.3047129999999999E-6</v>
      </c>
      <c r="I2536">
        <v>273.9316</v>
      </c>
      <c r="J2536">
        <v>-447.30160000000001</v>
      </c>
      <c r="K2536">
        <v>1.1108469999999999</v>
      </c>
      <c r="L2536">
        <v>283.47710000000001</v>
      </c>
      <c r="M2536">
        <v>-0.99989930000000005</v>
      </c>
      <c r="N2536">
        <v>0</v>
      </c>
      <c r="O2536">
        <v>-3.6165339999999998E-3</v>
      </c>
      <c r="P2536">
        <v>-0.99848020000000004</v>
      </c>
      <c r="Q2536">
        <v>2.524817E-2</v>
      </c>
      <c r="R2536">
        <v>4.8991100000000003E-2</v>
      </c>
      <c r="S2536">
        <v>-3.0376590000000001</v>
      </c>
      <c r="T2536">
        <v>-7.2046159999999998E-2</v>
      </c>
      <c r="U2536">
        <v>-0.61923219999999901</v>
      </c>
      <c r="V2536">
        <v>5.2521169999999999E-2</v>
      </c>
      <c r="W2536">
        <v>3.9062409999999999E-2</v>
      </c>
      <c r="X2536">
        <v>0.99785550000000001</v>
      </c>
      <c r="Y2536">
        <v>-0.1961465</v>
      </c>
      <c r="Z2536">
        <v>-2.2171880000000001E-3</v>
      </c>
      <c r="AA2536">
        <v>0.98057209999999995</v>
      </c>
      <c r="AB2536">
        <v>32</v>
      </c>
      <c r="AC2536">
        <v>-46.514399999999902</v>
      </c>
      <c r="AD2536">
        <v>-1.1108456952869901</v>
      </c>
      <c r="AE2536">
        <v>-9.5455000000000005</v>
      </c>
      <c r="AF2536">
        <v>-9.3720715719433993</v>
      </c>
      <c r="AG2536">
        <v>-1.1108456952869901</v>
      </c>
      <c r="AH2536">
        <v>46.523158967307701</v>
      </c>
      <c r="AI2536">
        <v>91.340879448544698</v>
      </c>
      <c r="AJ2536">
        <v>101.389771439393</v>
      </c>
      <c r="AK2536">
        <v>47.470770206578202</v>
      </c>
      <c r="AL2536">
        <v>87.761319137061093</v>
      </c>
      <c r="AM2536">
        <v>86.987071665637302</v>
      </c>
      <c r="AN2536">
        <v>0.99999997202671298</v>
      </c>
    </row>
    <row r="2537" spans="1:40" x14ac:dyDescent="0.25">
      <c r="A2537" t="str">
        <f>"20190312154845867"</f>
        <v>20190312154845867</v>
      </c>
      <c r="B2537" t="str">
        <f>"1552376925858751"</f>
        <v>1552376925858751</v>
      </c>
      <c r="C2537" t="s">
        <v>40</v>
      </c>
      <c r="D2537">
        <v>4.2806519999999999</v>
      </c>
      <c r="E2537">
        <v>0.4040704</v>
      </c>
      <c r="F2537" t="s">
        <v>49</v>
      </c>
      <c r="G2537">
        <v>-494.10199999999998</v>
      </c>
      <c r="H2537" s="1">
        <v>1.261219E-6</v>
      </c>
      <c r="I2537">
        <v>273.82870000000003</v>
      </c>
      <c r="J2537">
        <v>-447.6216</v>
      </c>
      <c r="K2537">
        <v>1.110873</v>
      </c>
      <c r="L2537">
        <v>283.47489999999999</v>
      </c>
      <c r="M2537">
        <v>-0.99989490000000003</v>
      </c>
      <c r="N2537">
        <v>0</v>
      </c>
      <c r="O2537">
        <v>-4.6708069999999999E-3</v>
      </c>
      <c r="P2537">
        <v>-0.99854410000000005</v>
      </c>
      <c r="Q2537">
        <v>2.5418409999999999E-2</v>
      </c>
      <c r="R2537">
        <v>4.7578660000000002E-2</v>
      </c>
      <c r="S2537">
        <v>-3.0370789999999999</v>
      </c>
      <c r="T2537">
        <v>-7.2087529999999997E-2</v>
      </c>
      <c r="U2537">
        <v>-0.62612919999999905</v>
      </c>
      <c r="V2537">
        <v>5.2159259999999999E-2</v>
      </c>
      <c r="W2537">
        <v>3.9233450000000003E-2</v>
      </c>
      <c r="X2537">
        <v>0.99786779999999997</v>
      </c>
      <c r="Y2537">
        <v>-0.19728609999999999</v>
      </c>
      <c r="Z2537">
        <v>-2.2069979999999999E-3</v>
      </c>
      <c r="AA2537">
        <v>0.98034350000000003</v>
      </c>
      <c r="AB2537">
        <v>32</v>
      </c>
      <c r="AC2537">
        <v>-46.480399999999896</v>
      </c>
      <c r="AD2537">
        <v>-1.1108717387809901</v>
      </c>
      <c r="AE2537">
        <v>-9.6461999999999595</v>
      </c>
      <c r="AF2537">
        <v>-9.4238127139601904</v>
      </c>
      <c r="AG2537">
        <v>-1.1108717387809901</v>
      </c>
      <c r="AH2537">
        <v>46.499488882568301</v>
      </c>
      <c r="AI2537">
        <v>91.341276842485399</v>
      </c>
      <c r="AJ2537">
        <v>101.456670042601</v>
      </c>
      <c r="AK2537">
        <v>47.457820729863997</v>
      </c>
      <c r="AL2537">
        <v>87.751511809551999</v>
      </c>
      <c r="AM2537">
        <v>87.007831944284803</v>
      </c>
      <c r="AN2537">
        <v>0.99999999913974402</v>
      </c>
    </row>
    <row r="2538" spans="1:40" x14ac:dyDescent="0.25">
      <c r="A2538" t="str">
        <f>"20190312154845889"</f>
        <v>20190312154845889</v>
      </c>
      <c r="B2538" t="str">
        <f>"1552376925878271"</f>
        <v>1552376925878271</v>
      </c>
      <c r="C2538" t="s">
        <v>40</v>
      </c>
      <c r="D2538">
        <v>4.2591970000000003</v>
      </c>
      <c r="E2538">
        <v>0.42165829999999999</v>
      </c>
      <c r="F2538" t="s">
        <v>49</v>
      </c>
      <c r="G2538">
        <v>-494.584</v>
      </c>
      <c r="H2538" s="1">
        <v>1.203072E-6</v>
      </c>
      <c r="I2538">
        <v>273.74119999999999</v>
      </c>
      <c r="J2538">
        <v>-447.94279999999998</v>
      </c>
      <c r="K2538">
        <v>1.1108910000000001</v>
      </c>
      <c r="L2538">
        <v>283.47219999999999</v>
      </c>
      <c r="M2538">
        <v>-0.99988929999999998</v>
      </c>
      <c r="N2538">
        <v>0</v>
      </c>
      <c r="O2538">
        <v>-5.7494369999999996E-3</v>
      </c>
      <c r="P2538">
        <v>-0.99862340000000005</v>
      </c>
      <c r="Q2538">
        <v>2.5400309999999999E-2</v>
      </c>
      <c r="R2538">
        <v>4.5893749999999997E-2</v>
      </c>
      <c r="S2538">
        <v>-3.0362239999999998</v>
      </c>
      <c r="T2538">
        <v>-7.1820380000000003E-2</v>
      </c>
      <c r="U2538">
        <v>-0.62930299999999995</v>
      </c>
      <c r="V2538">
        <v>5.1550079999999998E-2</v>
      </c>
      <c r="W2538">
        <v>3.9214390000000002E-2</v>
      </c>
      <c r="X2538">
        <v>0.99790020000000001</v>
      </c>
      <c r="Y2538">
        <v>-0.19726650000000001</v>
      </c>
      <c r="Z2538">
        <v>-2.1737309999999999E-3</v>
      </c>
      <c r="AA2538">
        <v>0.98034750000000004</v>
      </c>
      <c r="AB2538">
        <v>32</v>
      </c>
      <c r="AC2538">
        <v>-46.641199999999998</v>
      </c>
      <c r="AD2538">
        <v>-1.1108897969280001</v>
      </c>
      <c r="AE2538">
        <v>-9.7309999999999892</v>
      </c>
      <c r="AF2538">
        <v>-9.45751191344349</v>
      </c>
      <c r="AG2538">
        <v>-1.1108897969280001</v>
      </c>
      <c r="AH2538">
        <v>46.671010549648301</v>
      </c>
      <c r="AI2538">
        <v>91.336376911064903</v>
      </c>
      <c r="AJ2538">
        <v>101.455417452106</v>
      </c>
      <c r="AK2538">
        <v>47.632571140546503</v>
      </c>
      <c r="AL2538">
        <v>87.752604696925303</v>
      </c>
      <c r="AM2538">
        <v>87.0428116128884</v>
      </c>
      <c r="AN2538">
        <v>0.99999999414555896</v>
      </c>
    </row>
    <row r="2539" spans="1:40" x14ac:dyDescent="0.25">
      <c r="A2539" t="str">
        <f>"20190312154845911"</f>
        <v>20190312154845911</v>
      </c>
      <c r="B2539" t="str">
        <f>"1552376925908527"</f>
        <v>1552376925908527</v>
      </c>
      <c r="C2539" t="s">
        <v>40</v>
      </c>
      <c r="D2539">
        <v>4.2546010000000001</v>
      </c>
      <c r="E2539">
        <v>0.42150320000000002</v>
      </c>
      <c r="F2539" t="s">
        <v>57</v>
      </c>
      <c r="G2539">
        <v>-512.8252</v>
      </c>
      <c r="H2539">
        <v>6.6719410000000007E-2</v>
      </c>
      <c r="I2539">
        <v>272.90719999999999</v>
      </c>
      <c r="J2539">
        <v>-448.26069999999999</v>
      </c>
      <c r="K2539">
        <v>1.1109020000000001</v>
      </c>
      <c r="L2539">
        <v>283.4692</v>
      </c>
      <c r="M2539">
        <v>-0.99988250000000001</v>
      </c>
      <c r="N2539">
        <v>0</v>
      </c>
      <c r="O2539">
        <v>-6.8296449999999996E-3</v>
      </c>
      <c r="P2539">
        <v>-0.99869470000000005</v>
      </c>
      <c r="Q2539">
        <v>2.536414E-2</v>
      </c>
      <c r="R2539">
        <v>4.4337000000000001E-2</v>
      </c>
      <c r="S2539">
        <v>-3.028076</v>
      </c>
      <c r="T2539">
        <v>-4.872787E-2</v>
      </c>
      <c r="U2539">
        <v>-0.49307250000000002</v>
      </c>
      <c r="V2539">
        <v>5.1071320000000003E-2</v>
      </c>
      <c r="W2539">
        <v>3.9177709999999998E-2</v>
      </c>
      <c r="X2539">
        <v>0.99792619999999999</v>
      </c>
      <c r="Y2539">
        <v>-0.15395309999999901</v>
      </c>
      <c r="Z2539">
        <v>-1.1213550000000001E-3</v>
      </c>
      <c r="AA2539">
        <v>0.98807750000000005</v>
      </c>
      <c r="AB2539">
        <v>32</v>
      </c>
      <c r="AC2539">
        <v>-64.564499999999995</v>
      </c>
      <c r="AD2539">
        <v>-1.0441825899999999</v>
      </c>
      <c r="AE2539">
        <v>-10.561999999999999</v>
      </c>
      <c r="AF2539">
        <v>-10.118181979842801</v>
      </c>
      <c r="AG2539">
        <v>-1.0441825899999999</v>
      </c>
      <c r="AH2539">
        <v>64.618674514935705</v>
      </c>
      <c r="AI2539">
        <v>90.914627595336</v>
      </c>
      <c r="AJ2539">
        <v>98.899279589041896</v>
      </c>
      <c r="AK2539">
        <v>65.414379305514103</v>
      </c>
      <c r="AL2539">
        <v>87.754707793253402</v>
      </c>
      <c r="AM2539">
        <v>87.070303974793504</v>
      </c>
      <c r="AN2539">
        <v>0.999999936666911</v>
      </c>
    </row>
    <row r="2540" spans="1:40" x14ac:dyDescent="0.25">
      <c r="A2540" t="str">
        <f>"20190312154845933"</f>
        <v>20190312154845933</v>
      </c>
      <c r="B2540" t="str">
        <f>"1552376925928047"</f>
        <v>1552376925928047</v>
      </c>
      <c r="C2540" t="s">
        <v>40</v>
      </c>
      <c r="D2540">
        <v>4.2308009999999996</v>
      </c>
      <c r="E2540">
        <v>0.42142370000000001</v>
      </c>
      <c r="F2540" t="s">
        <v>57</v>
      </c>
      <c r="G2540">
        <v>-512.8252</v>
      </c>
      <c r="H2540">
        <v>0.14635129999999999</v>
      </c>
      <c r="I2540">
        <v>272.83120000000002</v>
      </c>
      <c r="J2540">
        <v>-448.58069999999998</v>
      </c>
      <c r="K2540">
        <v>1.1109089999999999</v>
      </c>
      <c r="L2540">
        <v>283.46589999999998</v>
      </c>
      <c r="M2540">
        <v>-0.99987440000000005</v>
      </c>
      <c r="N2540">
        <v>0</v>
      </c>
      <c r="O2540">
        <v>-7.9239619999999997E-3</v>
      </c>
      <c r="P2540">
        <v>-0.99876860000000001</v>
      </c>
      <c r="Q2540">
        <v>2.5283509999999999E-2</v>
      </c>
      <c r="R2540">
        <v>4.2683150000000003E-2</v>
      </c>
      <c r="S2540">
        <v>-3.0272220000000001</v>
      </c>
      <c r="T2540">
        <v>-4.522085E-2</v>
      </c>
      <c r="U2540">
        <v>-0.49877929999999998</v>
      </c>
      <c r="V2540">
        <v>5.0510140000000002E-2</v>
      </c>
      <c r="W2540">
        <v>3.909576E-2</v>
      </c>
      <c r="X2540">
        <v>0.99795809999999996</v>
      </c>
      <c r="Y2540">
        <v>-0.1547325</v>
      </c>
      <c r="Z2540">
        <v>-1.03034E-3</v>
      </c>
      <c r="AA2540">
        <v>0.9879559</v>
      </c>
      <c r="AB2540">
        <v>32</v>
      </c>
      <c r="AC2540">
        <v>-64.244500000000002</v>
      </c>
      <c r="AD2540">
        <v>-0.96455769999999996</v>
      </c>
      <c r="AE2540">
        <v>-10.634699999999899</v>
      </c>
      <c r="AF2540">
        <v>-10.123026092400501</v>
      </c>
      <c r="AG2540">
        <v>-0.96455769999999996</v>
      </c>
      <c r="AH2540">
        <v>64.312649114785103</v>
      </c>
      <c r="AI2540">
        <v>90.8488056065829</v>
      </c>
      <c r="AJ2540">
        <v>98.945154698702297</v>
      </c>
      <c r="AK2540">
        <v>65.111618509951995</v>
      </c>
      <c r="AL2540">
        <v>87.759407061522495</v>
      </c>
      <c r="AM2540">
        <v>87.102533252693704</v>
      </c>
      <c r="AN2540">
        <v>1.0000000610241999</v>
      </c>
    </row>
    <row r="2541" spans="1:40" x14ac:dyDescent="0.25">
      <c r="A2541" t="str">
        <f>"20190312154845955"</f>
        <v>20190312154845955</v>
      </c>
      <c r="B2541" t="str">
        <f>"1552376925948547"</f>
        <v>1552376925948547</v>
      </c>
      <c r="C2541" t="s">
        <v>40</v>
      </c>
      <c r="D2541">
        <v>4.216761</v>
      </c>
      <c r="E2541">
        <v>0.42128769999999999</v>
      </c>
      <c r="F2541" t="s">
        <v>57</v>
      </c>
      <c r="G2541">
        <v>-512.8252</v>
      </c>
      <c r="H2541">
        <v>0.1853129</v>
      </c>
      <c r="I2541">
        <v>272.75850000000003</v>
      </c>
      <c r="J2541">
        <v>-448.89100000000002</v>
      </c>
      <c r="K2541">
        <v>1.1109150000000001</v>
      </c>
      <c r="L2541">
        <v>283.46230000000003</v>
      </c>
      <c r="M2541">
        <v>-0.99986560000000002</v>
      </c>
      <c r="N2541">
        <v>0</v>
      </c>
      <c r="O2541">
        <v>-8.9879350000000007E-3</v>
      </c>
      <c r="P2541">
        <v>-0.99882780000000004</v>
      </c>
      <c r="Q2541">
        <v>2.5349090000000001E-2</v>
      </c>
      <c r="R2541">
        <v>4.1241489999999999E-2</v>
      </c>
      <c r="S2541">
        <v>-3.0263979999999999</v>
      </c>
      <c r="T2541">
        <v>-4.3598650000000003E-2</v>
      </c>
      <c r="U2541">
        <v>-0.50439449999999997</v>
      </c>
      <c r="V2541">
        <v>5.0130929999999997E-2</v>
      </c>
      <c r="W2541">
        <v>3.9159600000000003E-2</v>
      </c>
      <c r="X2541">
        <v>0.99797460000000004</v>
      </c>
      <c r="Y2541">
        <v>-0.15550949999999999</v>
      </c>
      <c r="Z2541">
        <v>-9.8384069999999995E-4</v>
      </c>
      <c r="AA2541">
        <v>0.98783390000000004</v>
      </c>
      <c r="AB2541">
        <v>32</v>
      </c>
      <c r="AC2541">
        <v>-63.934199999999997</v>
      </c>
      <c r="AD2541">
        <v>-0.92560209999999998</v>
      </c>
      <c r="AE2541">
        <v>-10.703799999999999</v>
      </c>
      <c r="AF2541">
        <v>-10.1266124865704</v>
      </c>
      <c r="AG2541">
        <v>-0.92560209999999998</v>
      </c>
      <c r="AH2541">
        <v>64.014779770049699</v>
      </c>
      <c r="AI2541">
        <v>90.818219886590398</v>
      </c>
      <c r="AJ2541">
        <v>98.989231651859399</v>
      </c>
      <c r="AK2541">
        <v>64.817413159649107</v>
      </c>
      <c r="AL2541">
        <v>87.755746231719399</v>
      </c>
      <c r="AM2541">
        <v>87.124297092257095</v>
      </c>
      <c r="AN2541">
        <v>0.99999994332998998</v>
      </c>
    </row>
    <row r="2542" spans="1:40" x14ac:dyDescent="0.25">
      <c r="A2542" t="str">
        <f>"20190312154845978"</f>
        <v>20190312154845978</v>
      </c>
      <c r="B2542" t="str">
        <f>"1552376925968063"</f>
        <v>1552376925968063</v>
      </c>
      <c r="C2542" t="s">
        <v>40</v>
      </c>
      <c r="D2542">
        <v>4.1906509999999999</v>
      </c>
      <c r="E2542">
        <v>0.42129280000000002</v>
      </c>
      <c r="F2542" t="s">
        <v>57</v>
      </c>
      <c r="G2542">
        <v>-512.8252</v>
      </c>
      <c r="H2542">
        <v>0.18155489999999999</v>
      </c>
      <c r="I2542">
        <v>272.68619999999999</v>
      </c>
      <c r="J2542">
        <v>-449.21910000000003</v>
      </c>
      <c r="K2542">
        <v>1.1109180000000001</v>
      </c>
      <c r="L2542">
        <v>283.45830000000001</v>
      </c>
      <c r="M2542">
        <v>-0.99985489999999999</v>
      </c>
      <c r="N2542">
        <v>0</v>
      </c>
      <c r="O2542">
        <v>-1.0113860000000001E-2</v>
      </c>
      <c r="P2542">
        <v>-0.99886169999999996</v>
      </c>
      <c r="Q2542">
        <v>2.5578819999999999E-2</v>
      </c>
      <c r="R2542">
        <v>4.0267379999999998E-2</v>
      </c>
      <c r="S2542">
        <v>-3.0256959999999999</v>
      </c>
      <c r="T2542">
        <v>-4.3978209999999997E-2</v>
      </c>
      <c r="U2542">
        <v>-0.50997919999999997</v>
      </c>
      <c r="V2542">
        <v>5.0280789999999999E-2</v>
      </c>
      <c r="W2542">
        <v>3.9388300000000001E-2</v>
      </c>
      <c r="X2542">
        <v>0.99795809999999996</v>
      </c>
      <c r="Y2542">
        <v>-0.1562075</v>
      </c>
      <c r="Z2542">
        <v>-9.8127460000000007E-4</v>
      </c>
      <c r="AA2542">
        <v>0.98772380000000004</v>
      </c>
      <c r="AB2542">
        <v>32</v>
      </c>
      <c r="AC2542">
        <v>-63.606099999999898</v>
      </c>
      <c r="AD2542">
        <v>-0.9293631</v>
      </c>
      <c r="AE2542">
        <v>-10.7721</v>
      </c>
      <c r="AF2542">
        <v>-10.126083787014</v>
      </c>
      <c r="AG2542">
        <v>-0.9293631</v>
      </c>
      <c r="AH2542">
        <v>63.698584197934203</v>
      </c>
      <c r="AI2542">
        <v>90.825522423898406</v>
      </c>
      <c r="AJ2542">
        <v>99.032655793943903</v>
      </c>
      <c r="AK2542">
        <v>64.505123187655201</v>
      </c>
      <c r="AL2542">
        <v>87.742632657620504</v>
      </c>
      <c r="AM2542">
        <v>87.115667433184001</v>
      </c>
      <c r="AN2542">
        <v>0.99999998268776102</v>
      </c>
    </row>
    <row r="2543" spans="1:40" x14ac:dyDescent="0.25">
      <c r="A2543" t="str">
        <f>"20190312154846000"</f>
        <v>20190312154846000</v>
      </c>
      <c r="B2543" t="str">
        <f>"1552376925988559"</f>
        <v>1552376925988559</v>
      </c>
      <c r="C2543" t="s">
        <v>40</v>
      </c>
      <c r="D2543">
        <v>4.2304529999999998</v>
      </c>
      <c r="E2543">
        <v>0.42113970000000001</v>
      </c>
      <c r="F2543" t="s">
        <v>57</v>
      </c>
      <c r="G2543">
        <v>-512.8252</v>
      </c>
      <c r="H2543">
        <v>0.1709504</v>
      </c>
      <c r="I2543">
        <v>272.67290000000003</v>
      </c>
      <c r="J2543">
        <v>-449.52940000000001</v>
      </c>
      <c r="K2543">
        <v>1.1109180000000001</v>
      </c>
      <c r="L2543">
        <v>283.45389999999998</v>
      </c>
      <c r="M2543">
        <v>-0.9998435</v>
      </c>
      <c r="N2543">
        <v>0</v>
      </c>
      <c r="O2543">
        <v>-1.1177640000000001E-2</v>
      </c>
      <c r="P2543">
        <v>-0.99887910000000002</v>
      </c>
      <c r="Q2543">
        <v>2.5756850000000001E-2</v>
      </c>
      <c r="R2543">
        <v>3.9718719999999999E-2</v>
      </c>
      <c r="S2543">
        <v>-3.0252379999999999</v>
      </c>
      <c r="T2543">
        <v>-4.4702890000000002E-2</v>
      </c>
      <c r="U2543">
        <v>-0.51297000000000004</v>
      </c>
      <c r="V2543">
        <v>5.0794020000000002E-2</v>
      </c>
      <c r="W2543">
        <v>3.9566030000000002E-2</v>
      </c>
      <c r="X2543">
        <v>0.99792510000000001</v>
      </c>
      <c r="Y2543">
        <v>-0.15612999999999999</v>
      </c>
      <c r="Z2543">
        <v>-9.8134070000000006E-4</v>
      </c>
      <c r="AA2543">
        <v>0.98773599999999995</v>
      </c>
      <c r="AB2543">
        <v>32</v>
      </c>
      <c r="AC2543">
        <v>-63.2957999999999</v>
      </c>
      <c r="AD2543">
        <v>-0.93996760000000001</v>
      </c>
      <c r="AE2543">
        <v>-10.780999999999899</v>
      </c>
      <c r="AF2543">
        <v>-10.070603874860099</v>
      </c>
      <c r="AG2543">
        <v>-0.93996760000000001</v>
      </c>
      <c r="AH2543">
        <v>63.398775114086703</v>
      </c>
      <c r="AI2543">
        <v>90.838904581204204</v>
      </c>
      <c r="AJ2543">
        <v>99.0257629556491</v>
      </c>
      <c r="AK2543">
        <v>64.200508467300594</v>
      </c>
      <c r="AL2543">
        <v>87.732441583095195</v>
      </c>
      <c r="AM2543">
        <v>87.086180539587701</v>
      </c>
      <c r="AN2543">
        <v>1.0000000042038599</v>
      </c>
    </row>
    <row r="2544" spans="1:40" x14ac:dyDescent="0.25">
      <c r="A2544" t="str">
        <f>"20190312154846022"</f>
        <v>20190312154846022</v>
      </c>
      <c r="B2544" t="str">
        <f>"1552376926018816"</f>
        <v>1552376926018816</v>
      </c>
      <c r="C2544" t="s">
        <v>40</v>
      </c>
      <c r="D2544">
        <v>4.2028650000000001</v>
      </c>
      <c r="E2544">
        <v>0.42114580000000001</v>
      </c>
      <c r="F2544" t="s">
        <v>57</v>
      </c>
      <c r="G2544">
        <v>-512.8252</v>
      </c>
      <c r="H2544">
        <v>0.16924449999999999</v>
      </c>
      <c r="I2544">
        <v>272.65940000000001</v>
      </c>
      <c r="J2544">
        <v>-449.85070000000002</v>
      </c>
      <c r="K2544">
        <v>1.1109249999999999</v>
      </c>
      <c r="L2544">
        <v>283.44920000000002</v>
      </c>
      <c r="M2544">
        <v>-0.99983060000000001</v>
      </c>
      <c r="N2544">
        <v>0</v>
      </c>
      <c r="O2544">
        <v>-1.2278000000000001E-2</v>
      </c>
      <c r="P2544">
        <v>-0.99889620000000001</v>
      </c>
      <c r="Q2544">
        <v>2.5915839999999999E-2</v>
      </c>
      <c r="R2544">
        <v>3.9174769999999998E-2</v>
      </c>
      <c r="S2544">
        <v>-3.0250849999999998</v>
      </c>
      <c r="T2544">
        <v>-4.5001270000000003E-2</v>
      </c>
      <c r="U2544">
        <v>-0.51589969999999996</v>
      </c>
      <c r="V2544">
        <v>5.1348579999999998E-2</v>
      </c>
      <c r="W2544">
        <v>3.9723729999999999E-2</v>
      </c>
      <c r="X2544">
        <v>0.99789050000000001</v>
      </c>
      <c r="Y2544">
        <v>-0.15598090000000001</v>
      </c>
      <c r="Z2544">
        <v>-9.7051500000000003E-4</v>
      </c>
      <c r="AA2544">
        <v>0.98775959999999996</v>
      </c>
      <c r="AB2544">
        <v>32</v>
      </c>
      <c r="AC2544">
        <v>-62.9744999999999</v>
      </c>
      <c r="AD2544">
        <v>-0.94168050000000003</v>
      </c>
      <c r="AE2544">
        <v>-10.7898</v>
      </c>
      <c r="AF2544">
        <v>-10.013537726281299</v>
      </c>
      <c r="AG2544">
        <v>-0.94168050000000003</v>
      </c>
      <c r="AH2544">
        <v>63.088537388994901</v>
      </c>
      <c r="AI2544">
        <v>90.844581467444399</v>
      </c>
      <c r="AJ2544">
        <v>99.018865479313803</v>
      </c>
      <c r="AK2544">
        <v>63.885219337827699</v>
      </c>
      <c r="AL2544">
        <v>87.723399035546294</v>
      </c>
      <c r="AM2544">
        <v>87.054321751000899</v>
      </c>
      <c r="AN2544">
        <v>1.00000005069168</v>
      </c>
    </row>
    <row r="2545" spans="1:40" x14ac:dyDescent="0.25">
      <c r="A2545" t="str">
        <f>"20190312154846039"</f>
        <v>20190312154846039</v>
      </c>
      <c r="B2545" t="str">
        <f>"1552376926028577"</f>
        <v>1552376926028577</v>
      </c>
      <c r="C2545" t="s">
        <v>40</v>
      </c>
      <c r="D2545">
        <v>4.158671</v>
      </c>
      <c r="E2545">
        <v>0.42106519999999997</v>
      </c>
      <c r="F2545" t="s">
        <v>57</v>
      </c>
      <c r="G2545">
        <v>-512.8252</v>
      </c>
      <c r="H2545">
        <v>0.13436139999999999</v>
      </c>
      <c r="I2545">
        <v>272.66989999999998</v>
      </c>
      <c r="J2545">
        <v>-450.08550000000002</v>
      </c>
      <c r="K2545">
        <v>1.1109249999999999</v>
      </c>
      <c r="L2545">
        <v>283.44549999999998</v>
      </c>
      <c r="M2545">
        <v>-0.9998205</v>
      </c>
      <c r="N2545">
        <v>0</v>
      </c>
      <c r="O2545">
        <v>-1.308106E-2</v>
      </c>
      <c r="P2545">
        <v>-0.99890999999999996</v>
      </c>
      <c r="Q2545">
        <v>2.6217569999999999E-2</v>
      </c>
      <c r="R2545">
        <v>3.8622650000000001E-2</v>
      </c>
      <c r="S2545">
        <v>-3.0248409999999999</v>
      </c>
      <c r="T2545">
        <v>-4.6903130000000001E-2</v>
      </c>
      <c r="U2545">
        <v>-0.51776120000000003</v>
      </c>
      <c r="V2545">
        <v>5.1597990000000003E-2</v>
      </c>
      <c r="W2545">
        <v>4.0024860000000002E-2</v>
      </c>
      <c r="X2545">
        <v>0.99786560000000002</v>
      </c>
      <c r="Y2545">
        <v>-0.15579009999999999</v>
      </c>
      <c r="Z2545">
        <v>-9.9773190000000006E-4</v>
      </c>
      <c r="AA2545">
        <v>0.98778969999999999</v>
      </c>
      <c r="AB2545">
        <v>32</v>
      </c>
      <c r="AC2545">
        <v>-62.7396999999999</v>
      </c>
      <c r="AD2545">
        <v>-0.97656359999999998</v>
      </c>
      <c r="AE2545">
        <v>-10.775599999999899</v>
      </c>
      <c r="AF2545">
        <v>-9.9515570104950601</v>
      </c>
      <c r="AG2545">
        <v>-0.97656359999999998</v>
      </c>
      <c r="AH2545">
        <v>62.860507034882502</v>
      </c>
      <c r="AI2545">
        <v>90.879095400225395</v>
      </c>
      <c r="AJ2545">
        <v>98.995937147526504</v>
      </c>
      <c r="AK2545">
        <v>63.650848447451899</v>
      </c>
      <c r="AL2545">
        <v>87.706131821449603</v>
      </c>
      <c r="AM2545">
        <v>87.039965673838793</v>
      </c>
      <c r="AN2545">
        <v>1.0000000488267</v>
      </c>
    </row>
    <row r="2546" spans="1:40" x14ac:dyDescent="0.25">
      <c r="A2546" t="str">
        <f>"20190312154846055"</f>
        <v>20190312154846055</v>
      </c>
      <c r="B2546" t="str">
        <f>"1552376926048096"</f>
        <v>1552376926048096</v>
      </c>
      <c r="C2546" t="s">
        <v>40</v>
      </c>
      <c r="D2546">
        <v>4.2218019999999896</v>
      </c>
      <c r="E2546">
        <v>0.42100460000000001</v>
      </c>
      <c r="F2546" t="s">
        <v>57</v>
      </c>
      <c r="G2546">
        <v>-512.8252</v>
      </c>
      <c r="H2546">
        <v>0.15440580000000001</v>
      </c>
      <c r="I2546">
        <v>272.65559999999999</v>
      </c>
      <c r="J2546">
        <v>-450.32319999999999</v>
      </c>
      <c r="K2546">
        <v>1.110922</v>
      </c>
      <c r="L2546">
        <v>283.44150000000002</v>
      </c>
      <c r="M2546">
        <v>-0.99980939999999996</v>
      </c>
      <c r="N2546">
        <v>0</v>
      </c>
      <c r="O2546">
        <v>-1.3894490000000001E-2</v>
      </c>
      <c r="P2546">
        <v>-0.99891439999999998</v>
      </c>
      <c r="Q2546">
        <v>2.675837E-2</v>
      </c>
      <c r="R2546">
        <v>3.8135670000000003E-2</v>
      </c>
      <c r="S2546">
        <v>-3.0246580000000001</v>
      </c>
      <c r="T2546">
        <v>-4.6109440000000002E-2</v>
      </c>
      <c r="U2546">
        <v>-0.52017209999999903</v>
      </c>
      <c r="V2546">
        <v>5.1922059999999999E-2</v>
      </c>
      <c r="W2546">
        <v>4.0564200000000002E-2</v>
      </c>
      <c r="X2546">
        <v>0.99782689999999996</v>
      </c>
      <c r="Y2546">
        <v>-0.15576189999999901</v>
      </c>
      <c r="Z2546">
        <v>-9.6832720000000001E-4</v>
      </c>
      <c r="AA2546">
        <v>0.98779419999999996</v>
      </c>
      <c r="AB2546">
        <v>32</v>
      </c>
      <c r="AC2546">
        <v>-62.502000000000002</v>
      </c>
      <c r="AD2546">
        <v>-0.95651620000000004</v>
      </c>
      <c r="AE2546">
        <v>-10.7859</v>
      </c>
      <c r="AF2546">
        <v>-9.9140887180841908</v>
      </c>
      <c r="AG2546">
        <v>-0.95651620000000004</v>
      </c>
      <c r="AH2546">
        <v>62.631599574644397</v>
      </c>
      <c r="AI2546">
        <v>90.864200758254995</v>
      </c>
      <c r="AJ2546">
        <v>98.994839844176298</v>
      </c>
      <c r="AK2546">
        <v>63.418619849611197</v>
      </c>
      <c r="AL2546">
        <v>87.675204542717097</v>
      </c>
      <c r="AM2546">
        <v>87.021292730908499</v>
      </c>
      <c r="AN2546">
        <v>0.99999993849994395</v>
      </c>
    </row>
    <row r="2547" spans="1:40" x14ac:dyDescent="0.25">
      <c r="A2547" t="str">
        <f>"20190312154846079"</f>
        <v>20190312154846079</v>
      </c>
      <c r="B2547" t="str">
        <f>"1552376926068593"</f>
        <v>1552376926068593</v>
      </c>
      <c r="C2547" t="s">
        <v>40</v>
      </c>
      <c r="D2547">
        <v>4.175249</v>
      </c>
      <c r="E2547">
        <v>0.42100759999999998</v>
      </c>
      <c r="F2547" t="s">
        <v>57</v>
      </c>
      <c r="G2547">
        <v>-512.8252</v>
      </c>
      <c r="H2547">
        <v>0.1671725</v>
      </c>
      <c r="I2547">
        <v>272.65370000000001</v>
      </c>
      <c r="J2547">
        <v>-450.65019999999998</v>
      </c>
      <c r="K2547">
        <v>1.1109209999999901</v>
      </c>
      <c r="L2547">
        <v>283.43579999999997</v>
      </c>
      <c r="M2547">
        <v>-0.9997935</v>
      </c>
      <c r="N2547">
        <v>0</v>
      </c>
      <c r="O2547">
        <v>-1.501247E-2</v>
      </c>
      <c r="P2547">
        <v>-0.99896059999999998</v>
      </c>
      <c r="Q2547">
        <v>2.687001E-2</v>
      </c>
      <c r="R2547">
        <v>3.6828800000000002E-2</v>
      </c>
      <c r="S2547">
        <v>-3.024384</v>
      </c>
      <c r="T2547">
        <v>-4.5662759999999997E-2</v>
      </c>
      <c r="U2547">
        <v>-0.5220032</v>
      </c>
      <c r="V2547">
        <v>5.1732210000000001E-2</v>
      </c>
      <c r="W2547">
        <v>4.0674259999999997E-2</v>
      </c>
      <c r="X2547">
        <v>0.99783239999999995</v>
      </c>
      <c r="Y2547">
        <v>-0.15525359999999999</v>
      </c>
      <c r="Z2547">
        <v>-9.3843159999999998E-4</v>
      </c>
      <c r="AA2547">
        <v>0.98787420000000004</v>
      </c>
      <c r="AB2547">
        <v>32</v>
      </c>
      <c r="AC2547">
        <v>-62.174999999999997</v>
      </c>
      <c r="AD2547">
        <v>-0.94374849999999999</v>
      </c>
      <c r="AE2547">
        <v>-10.7820999999999</v>
      </c>
      <c r="AF2547">
        <v>-9.8451947186302498</v>
      </c>
      <c r="AG2547">
        <v>-0.94374849999999999</v>
      </c>
      <c r="AH2547">
        <v>62.315934730784498</v>
      </c>
      <c r="AI2547">
        <v>90.857025753228896</v>
      </c>
      <c r="AJ2547">
        <v>98.977862413115304</v>
      </c>
      <c r="AK2547">
        <v>63.095913034446198</v>
      </c>
      <c r="AL2547">
        <v>87.668893638304397</v>
      </c>
      <c r="AM2547">
        <v>87.032181023531706</v>
      </c>
      <c r="AN2547">
        <v>1.0000000577338899</v>
      </c>
    </row>
    <row r="2548" spans="1:40" x14ac:dyDescent="0.25">
      <c r="A2548" t="str">
        <f>"20190312154846101"</f>
        <v>20190312154846101</v>
      </c>
      <c r="B2548" t="str">
        <f>"1552376926088111"</f>
        <v>1552376926088111</v>
      </c>
      <c r="C2548" t="s">
        <v>40</v>
      </c>
      <c r="D2548">
        <v>4.2284889999999997</v>
      </c>
      <c r="E2548">
        <v>0.42096220000000001</v>
      </c>
      <c r="F2548" t="s">
        <v>57</v>
      </c>
      <c r="G2548">
        <v>-512.8252</v>
      </c>
      <c r="H2548">
        <v>0.15089910000000001</v>
      </c>
      <c r="I2548">
        <v>272.62020000000001</v>
      </c>
      <c r="J2548">
        <v>-450.96300000000002</v>
      </c>
      <c r="K2548">
        <v>1.110919</v>
      </c>
      <c r="L2548">
        <v>283.43</v>
      </c>
      <c r="M2548">
        <v>-0.99977669999999996</v>
      </c>
      <c r="N2548">
        <v>0</v>
      </c>
      <c r="O2548">
        <v>-1.608122E-2</v>
      </c>
      <c r="P2548">
        <v>-0.99899070000000001</v>
      </c>
      <c r="Q2548">
        <v>2.675582E-2</v>
      </c>
      <c r="R2548">
        <v>3.6080029999999999E-2</v>
      </c>
      <c r="S2548">
        <v>-3.0238040000000002</v>
      </c>
      <c r="T2548">
        <v>-4.6685459999999998E-2</v>
      </c>
      <c r="U2548">
        <v>-0.52600100000000005</v>
      </c>
      <c r="V2548">
        <v>5.2051420000000001E-2</v>
      </c>
      <c r="W2548">
        <v>4.0558959999999998E-2</v>
      </c>
      <c r="X2548">
        <v>0.99782040000000005</v>
      </c>
      <c r="Y2548">
        <v>-0.15549669999999999</v>
      </c>
      <c r="Z2548">
        <v>-9.4501790000000002E-4</v>
      </c>
      <c r="AA2548">
        <v>0.98783589999999999</v>
      </c>
      <c r="AB2548">
        <v>32</v>
      </c>
      <c r="AC2548">
        <v>-61.862199999999902</v>
      </c>
      <c r="AD2548">
        <v>-0.96001990000000004</v>
      </c>
      <c r="AE2548">
        <v>-10.8097999999999</v>
      </c>
      <c r="AF2548">
        <v>-9.8111959459722904</v>
      </c>
      <c r="AG2548">
        <v>-0.96001990000000004</v>
      </c>
      <c r="AH2548">
        <v>62.013557941109703</v>
      </c>
      <c r="AI2548">
        <v>90.876019893362496</v>
      </c>
      <c r="AJ2548">
        <v>98.990277522346403</v>
      </c>
      <c r="AK2548">
        <v>62.792217452595501</v>
      </c>
      <c r="AL2548">
        <v>87.675505081785602</v>
      </c>
      <c r="AM2548">
        <v>87.013865498137093</v>
      </c>
      <c r="AN2548">
        <v>0.99999996510822797</v>
      </c>
    </row>
    <row r="2549" spans="1:40" x14ac:dyDescent="0.25">
      <c r="A2549" t="str">
        <f>"20190312154846123"</f>
        <v>20190312154846123</v>
      </c>
      <c r="B2549" t="str">
        <f>"1552376926118370"</f>
        <v>1552376926118370</v>
      </c>
      <c r="C2549" t="s">
        <v>40</v>
      </c>
      <c r="D2549">
        <v>4.2243940000000002</v>
      </c>
      <c r="E2549">
        <v>0.42095260000000001</v>
      </c>
      <c r="F2549" t="s">
        <v>57</v>
      </c>
      <c r="G2549">
        <v>-512.8252</v>
      </c>
      <c r="H2549">
        <v>0.1262258</v>
      </c>
      <c r="I2549">
        <v>272.6155</v>
      </c>
      <c r="J2549">
        <v>-451.28219999999999</v>
      </c>
      <c r="K2549">
        <v>1.110924</v>
      </c>
      <c r="L2549">
        <v>283.4237</v>
      </c>
      <c r="M2549">
        <v>-0.9997587</v>
      </c>
      <c r="N2549">
        <v>0</v>
      </c>
      <c r="O2549">
        <v>-1.7171889999999999E-2</v>
      </c>
      <c r="P2549">
        <v>-0.99903790000000003</v>
      </c>
      <c r="Q2549">
        <v>2.675338E-2</v>
      </c>
      <c r="R2549">
        <v>3.4752680000000001E-2</v>
      </c>
      <c r="S2549">
        <v>-3.0234070000000002</v>
      </c>
      <c r="T2549">
        <v>-4.8121089999999998E-2</v>
      </c>
      <c r="U2549">
        <v>-0.5285339</v>
      </c>
      <c r="V2549">
        <v>5.1814300000000001E-2</v>
      </c>
      <c r="W2549">
        <v>4.0554189999999997E-2</v>
      </c>
      <c r="X2549">
        <v>0.99783299999999997</v>
      </c>
      <c r="Y2549">
        <v>-0.1552432</v>
      </c>
      <c r="Z2549">
        <v>-9.5491480000000001E-4</v>
      </c>
      <c r="AA2549">
        <v>0.98787579999999997</v>
      </c>
      <c r="AB2549">
        <v>32</v>
      </c>
      <c r="AC2549">
        <v>-61.542999999999999</v>
      </c>
      <c r="AD2549">
        <v>-0.98469819999999997</v>
      </c>
      <c r="AE2549">
        <v>-10.808199999999999</v>
      </c>
      <c r="AF2549">
        <v>-9.7472765566743806</v>
      </c>
      <c r="AG2549">
        <v>-0.98469819999999997</v>
      </c>
      <c r="AH2549">
        <v>61.704214580927498</v>
      </c>
      <c r="AI2549">
        <v>90.903072950859496</v>
      </c>
      <c r="AJ2549">
        <v>98.976708713795205</v>
      </c>
      <c r="AK2549">
        <v>62.477108830887197</v>
      </c>
      <c r="AL2549">
        <v>87.675778758497998</v>
      </c>
      <c r="AM2549">
        <v>87.027481835534005</v>
      </c>
      <c r="AN2549">
        <v>1.00000002995002</v>
      </c>
    </row>
    <row r="2550" spans="1:40" x14ac:dyDescent="0.25">
      <c r="A2550" t="str">
        <f>"20190312154846145"</f>
        <v>20190312154846145</v>
      </c>
      <c r="B2550" t="str">
        <f>"1552376926138874"</f>
        <v>1552376926138874</v>
      </c>
      <c r="C2550" t="s">
        <v>40</v>
      </c>
      <c r="D2550">
        <v>4.2180679999999997</v>
      </c>
      <c r="E2550">
        <v>0.42084139999999998</v>
      </c>
      <c r="F2550" t="s">
        <v>57</v>
      </c>
      <c r="G2550">
        <v>-512.8252</v>
      </c>
      <c r="H2550">
        <v>8.8391659999999997E-2</v>
      </c>
      <c r="I2550">
        <v>272.58</v>
      </c>
      <c r="J2550">
        <v>-451.59120000000001</v>
      </c>
      <c r="K2550">
        <v>1.110922</v>
      </c>
      <c r="L2550">
        <v>283.41719999999998</v>
      </c>
      <c r="M2550">
        <v>-0.99973990000000001</v>
      </c>
      <c r="N2550">
        <v>0</v>
      </c>
      <c r="O2550">
        <v>-1.8228589999999999E-2</v>
      </c>
      <c r="P2550">
        <v>-0.99907520000000005</v>
      </c>
      <c r="Q2550">
        <v>2.7293120000000001E-2</v>
      </c>
      <c r="R2550">
        <v>3.3227810000000003E-2</v>
      </c>
      <c r="S2550">
        <v>-3.0227360000000001</v>
      </c>
      <c r="T2550">
        <v>-5.0218459999999999E-2</v>
      </c>
      <c r="U2550">
        <v>-0.53259279999999998</v>
      </c>
      <c r="V2550">
        <v>5.134445E-2</v>
      </c>
      <c r="W2550">
        <v>4.1091139999999998E-2</v>
      </c>
      <c r="X2550">
        <v>0.99783529999999998</v>
      </c>
      <c r="Y2550">
        <v>-0.15552179999999999</v>
      </c>
      <c r="Z2550">
        <v>-9.8152310000000002E-4</v>
      </c>
      <c r="AA2550">
        <v>0.98783200000000004</v>
      </c>
      <c r="AB2550">
        <v>32</v>
      </c>
      <c r="AC2550">
        <v>-61.233999999999902</v>
      </c>
      <c r="AD2550">
        <v>-1.0225303400000001</v>
      </c>
      <c r="AE2550">
        <v>-10.8371999999999</v>
      </c>
      <c r="AF2550">
        <v>-9.7164575506597401</v>
      </c>
      <c r="AG2550">
        <v>-1.0225303400000001</v>
      </c>
      <c r="AH2550">
        <v>61.404786651425802</v>
      </c>
      <c r="AI2550">
        <v>90.9422959475977</v>
      </c>
      <c r="AJ2550">
        <v>98.991711795128694</v>
      </c>
      <c r="AK2550">
        <v>62.177189863623703</v>
      </c>
      <c r="AL2550">
        <v>87.644988076694503</v>
      </c>
      <c r="AM2550">
        <v>87.054395602466002</v>
      </c>
      <c r="AN2550">
        <v>1.0000000101291899</v>
      </c>
    </row>
    <row r="2551" spans="1:40" x14ac:dyDescent="0.25">
      <c r="A2551" t="str">
        <f>"20190312154846168"</f>
        <v>20190312154846168</v>
      </c>
      <c r="B2551" t="str">
        <f>"1552376926158384"</f>
        <v>1552376926158384</v>
      </c>
      <c r="C2551" t="s">
        <v>40</v>
      </c>
      <c r="D2551">
        <v>4.2696639999999997</v>
      </c>
      <c r="E2551">
        <v>0.42082320000000001</v>
      </c>
      <c r="F2551" t="s">
        <v>57</v>
      </c>
      <c r="G2551">
        <v>-512.8252</v>
      </c>
      <c r="H2551">
        <v>9.9844039999999995E-2</v>
      </c>
      <c r="I2551">
        <v>272.51060000000001</v>
      </c>
      <c r="J2551">
        <v>-451.90550000000002</v>
      </c>
      <c r="K2551">
        <v>1.1109180000000001</v>
      </c>
      <c r="L2551">
        <v>283.41030000000001</v>
      </c>
      <c r="M2551">
        <v>-0.99971969999999999</v>
      </c>
      <c r="N2551">
        <v>0</v>
      </c>
      <c r="O2551">
        <v>-1.9302699999999999E-2</v>
      </c>
      <c r="P2551">
        <v>-0.99911349999999999</v>
      </c>
      <c r="Q2551">
        <v>2.727417E-2</v>
      </c>
      <c r="R2551">
        <v>3.2065919999999998E-2</v>
      </c>
      <c r="S2551">
        <v>-3.0220639999999999</v>
      </c>
      <c r="T2551">
        <v>-4.9895410000000001E-2</v>
      </c>
      <c r="U2551">
        <v>-0.538269</v>
      </c>
      <c r="V2551">
        <v>5.1256169999999997E-2</v>
      </c>
      <c r="W2551">
        <v>4.107065E-2</v>
      </c>
      <c r="X2551">
        <v>0.99784059999999997</v>
      </c>
      <c r="Y2551">
        <v>-0.15629709999999999</v>
      </c>
      <c r="Z2551">
        <v>-9.6403730000000005E-4</v>
      </c>
      <c r="AA2551">
        <v>0.98770959999999997</v>
      </c>
      <c r="AB2551">
        <v>32</v>
      </c>
      <c r="AC2551">
        <v>-60.919699999999899</v>
      </c>
      <c r="AD2551">
        <v>-1.01107396</v>
      </c>
      <c r="AE2551">
        <v>-10.8996999999999</v>
      </c>
      <c r="AF2551">
        <v>-9.7190495286533007</v>
      </c>
      <c r="AG2551">
        <v>-1.01107396</v>
      </c>
      <c r="AH2551">
        <v>61.102452173437698</v>
      </c>
      <c r="AI2551">
        <v>90.936230236797101</v>
      </c>
      <c r="AJ2551">
        <v>99.037841049662006</v>
      </c>
      <c r="AK2551">
        <v>61.878848210840601</v>
      </c>
      <c r="AL2551">
        <v>87.646162865979093</v>
      </c>
      <c r="AM2551">
        <v>87.059466875124301</v>
      </c>
      <c r="AN2551">
        <v>0.99999992813142302</v>
      </c>
    </row>
    <row r="2552" spans="1:40" x14ac:dyDescent="0.25">
      <c r="A2552" t="str">
        <f>"20190312154846189"</f>
        <v>20190312154846189</v>
      </c>
      <c r="B2552" t="str">
        <f>"1552376926178879"</f>
        <v>1552376926178879</v>
      </c>
      <c r="C2552" t="s">
        <v>40</v>
      </c>
      <c r="D2552">
        <v>4.250737</v>
      </c>
      <c r="E2552">
        <v>0.42955860000000001</v>
      </c>
      <c r="F2552" t="s">
        <v>57</v>
      </c>
      <c r="G2552">
        <v>-512.8252</v>
      </c>
      <c r="H2552">
        <v>8.7736549999999996E-2</v>
      </c>
      <c r="I2552">
        <v>272.48289999999997</v>
      </c>
      <c r="J2552">
        <v>-452.22089999999997</v>
      </c>
      <c r="K2552">
        <v>1.1109249999999999</v>
      </c>
      <c r="L2552">
        <v>283.40309999999999</v>
      </c>
      <c r="M2552">
        <v>-0.99969839999999999</v>
      </c>
      <c r="N2552">
        <v>0</v>
      </c>
      <c r="O2552">
        <v>-2.0381099999999999E-2</v>
      </c>
      <c r="P2552">
        <v>-0.99915299999999996</v>
      </c>
      <c r="Q2552">
        <v>2.7897910000000001E-2</v>
      </c>
      <c r="R2552">
        <v>3.0256870000000002E-2</v>
      </c>
      <c r="S2552">
        <v>-3.021423</v>
      </c>
      <c r="T2552">
        <v>-5.0742509999999998E-2</v>
      </c>
      <c r="U2552">
        <v>-0.54196169999999899</v>
      </c>
      <c r="V2552">
        <v>5.0524119999999999E-2</v>
      </c>
      <c r="W2552">
        <v>4.1690970000000001E-2</v>
      </c>
      <c r="X2552">
        <v>0.99785230000000003</v>
      </c>
      <c r="Y2552">
        <v>-0.1564371</v>
      </c>
      <c r="Z2552">
        <v>-9.6371969999999995E-4</v>
      </c>
      <c r="AA2552">
        <v>0.98768750000000005</v>
      </c>
      <c r="AB2552">
        <v>32</v>
      </c>
      <c r="AC2552">
        <v>-60.604300000000002</v>
      </c>
      <c r="AD2552">
        <v>-1.0231884499999999</v>
      </c>
      <c r="AE2552">
        <v>-10.920199999999999</v>
      </c>
      <c r="AF2552">
        <v>-9.67996062290762</v>
      </c>
      <c r="AG2552">
        <v>-1.0231884499999999</v>
      </c>
      <c r="AH2552">
        <v>60.797511021618199</v>
      </c>
      <c r="AI2552">
        <v>90.952174265599396</v>
      </c>
      <c r="AJ2552">
        <v>99.046495083780002</v>
      </c>
      <c r="AK2552">
        <v>61.571794668411599</v>
      </c>
      <c r="AL2552">
        <v>87.610590890660106</v>
      </c>
      <c r="AM2552">
        <v>87.101425897589706</v>
      </c>
      <c r="AN2552">
        <v>1.0000000181483</v>
      </c>
    </row>
    <row r="2553" spans="1:40" x14ac:dyDescent="0.25">
      <c r="A2553" t="str">
        <f>"20190312154846213"</f>
        <v>20190312154846213</v>
      </c>
      <c r="B2553" t="str">
        <f>"1552376926208163"</f>
        <v>1552376926208163</v>
      </c>
      <c r="C2553" t="s">
        <v>40</v>
      </c>
      <c r="D2553">
        <v>4.2616719999999999</v>
      </c>
      <c r="E2553">
        <v>0.43122860000000002</v>
      </c>
      <c r="F2553" t="s">
        <v>57</v>
      </c>
      <c r="G2553">
        <v>-512.82510000000002</v>
      </c>
      <c r="H2553">
        <v>-2.4847569999999999E-2</v>
      </c>
      <c r="I2553">
        <v>273.80810000000002</v>
      </c>
      <c r="J2553">
        <v>-452.53859999999997</v>
      </c>
      <c r="K2553">
        <v>1.110922</v>
      </c>
      <c r="L2553">
        <v>283.3954</v>
      </c>
      <c r="M2553">
        <v>-0.99967569999999994</v>
      </c>
      <c r="N2553">
        <v>0</v>
      </c>
      <c r="O2553">
        <v>-2.1466280000000001E-2</v>
      </c>
      <c r="P2553">
        <v>-0.99918419999999997</v>
      </c>
      <c r="Q2553">
        <v>2.8295629999999999E-2</v>
      </c>
      <c r="R2553">
        <v>2.8811409999999999E-2</v>
      </c>
      <c r="S2553">
        <v>-3.0185849999999999</v>
      </c>
      <c r="T2553">
        <v>-5.6566600000000002E-2</v>
      </c>
      <c r="U2553">
        <v>-0.47790529999999998</v>
      </c>
      <c r="V2553">
        <v>5.0162390000000001E-2</v>
      </c>
      <c r="W2553">
        <v>4.2085919999999999E-2</v>
      </c>
      <c r="X2553">
        <v>0.99785389999999996</v>
      </c>
      <c r="Y2553">
        <v>-0.1351136</v>
      </c>
      <c r="Z2553">
        <v>-8.5844549999999995E-4</v>
      </c>
      <c r="AA2553">
        <v>0.99082979999999998</v>
      </c>
      <c r="AB2553">
        <v>32</v>
      </c>
      <c r="AC2553">
        <v>-60.286499999999997</v>
      </c>
      <c r="AD2553">
        <v>-1.1357695699999999</v>
      </c>
      <c r="AE2553">
        <v>-9.5872999999999706</v>
      </c>
      <c r="AF2553">
        <v>-8.2879729805887106</v>
      </c>
      <c r="AG2553">
        <v>-1.1357695699999999</v>
      </c>
      <c r="AH2553">
        <v>60.457499960092697</v>
      </c>
      <c r="AI2553">
        <v>91.066275813719002</v>
      </c>
      <c r="AJ2553">
        <v>97.805884333781805</v>
      </c>
      <c r="AK2553">
        <v>61.033513499287601</v>
      </c>
      <c r="AL2553">
        <v>87.587941874204006</v>
      </c>
      <c r="AM2553">
        <v>87.122147981046993</v>
      </c>
      <c r="AN2553">
        <v>0.99999994788898205</v>
      </c>
    </row>
    <row r="2554" spans="1:40" x14ac:dyDescent="0.25">
      <c r="A2554" t="str">
        <f>"20190312154846234"</f>
        <v>20190312154846234</v>
      </c>
      <c r="B2554" t="str">
        <f>"1552376926228659"</f>
        <v>1552376926228659</v>
      </c>
      <c r="C2554" t="s">
        <v>40</v>
      </c>
      <c r="D2554">
        <v>4.2728650000000004</v>
      </c>
      <c r="E2554">
        <v>0.43179020000000001</v>
      </c>
      <c r="F2554" t="s">
        <v>57</v>
      </c>
      <c r="G2554">
        <v>-512.8252</v>
      </c>
      <c r="H2554">
        <v>3.7720440000000001E-2</v>
      </c>
      <c r="I2554">
        <v>274.02530000000002</v>
      </c>
      <c r="J2554">
        <v>-452.851</v>
      </c>
      <c r="K2554">
        <v>1.110919</v>
      </c>
      <c r="L2554">
        <v>283.38760000000002</v>
      </c>
      <c r="M2554">
        <v>-0.99965219999999999</v>
      </c>
      <c r="N2554">
        <v>0</v>
      </c>
      <c r="O2554">
        <v>-2.2531300000000001E-2</v>
      </c>
      <c r="P2554">
        <v>-0.99921470000000001</v>
      </c>
      <c r="Q2554">
        <v>2.85837E-2</v>
      </c>
      <c r="R2554">
        <v>2.7444530000000002E-2</v>
      </c>
      <c r="S2554">
        <v>-3.017487</v>
      </c>
      <c r="T2554">
        <v>-5.3712129999999997E-2</v>
      </c>
      <c r="U2554">
        <v>-0.46899410000000002</v>
      </c>
      <c r="V2554">
        <v>4.9859880000000002E-2</v>
      </c>
      <c r="W2554">
        <v>4.2371760000000001E-2</v>
      </c>
      <c r="X2554">
        <v>0.99785699999999999</v>
      </c>
      <c r="Y2554">
        <v>-0.1312596</v>
      </c>
      <c r="Z2554">
        <v>-7.6268940000000002E-4</v>
      </c>
      <c r="AA2554">
        <v>0.99134770000000005</v>
      </c>
      <c r="AB2554">
        <v>32</v>
      </c>
      <c r="AC2554">
        <v>-59.974200000000003</v>
      </c>
      <c r="AD2554">
        <v>-1.07319856</v>
      </c>
      <c r="AE2554">
        <v>-9.3622999999999994</v>
      </c>
      <c r="AF2554">
        <v>-8.00599661817445</v>
      </c>
      <c r="AG2554">
        <v>-1.07319856</v>
      </c>
      <c r="AH2554">
        <v>60.151133941200598</v>
      </c>
      <c r="AI2554">
        <v>91.013212444724104</v>
      </c>
      <c r="AJ2554">
        <v>97.581395804392798</v>
      </c>
      <c r="AK2554">
        <v>60.691075549965802</v>
      </c>
      <c r="AL2554">
        <v>87.571549910862302</v>
      </c>
      <c r="AM2554">
        <v>87.139483154816105</v>
      </c>
      <c r="AN2554">
        <v>0.99999998306405502</v>
      </c>
    </row>
    <row r="2555" spans="1:40" x14ac:dyDescent="0.25">
      <c r="A2555" t="str">
        <f>"20190312154846256"</f>
        <v>20190312154846256</v>
      </c>
      <c r="B2555" t="str">
        <f>"1552376926248176"</f>
        <v>1552376926248176</v>
      </c>
      <c r="C2555" t="s">
        <v>40</v>
      </c>
      <c r="D2555">
        <v>4.275684</v>
      </c>
      <c r="E2555">
        <v>0.43175180000000002</v>
      </c>
      <c r="F2555" t="s">
        <v>57</v>
      </c>
      <c r="G2555">
        <v>-512.82510000000002</v>
      </c>
      <c r="H2555">
        <v>3.4280539999999998E-2</v>
      </c>
      <c r="I2555">
        <v>274.06819999999999</v>
      </c>
      <c r="J2555">
        <v>-453.1651</v>
      </c>
      <c r="K2555">
        <v>1.1109260000000001</v>
      </c>
      <c r="L2555">
        <v>283.3793</v>
      </c>
      <c r="M2555">
        <v>-0.99962759999999995</v>
      </c>
      <c r="N2555">
        <v>0</v>
      </c>
      <c r="O2555">
        <v>-2.3601090000000002E-2</v>
      </c>
      <c r="P2555">
        <v>-0.99923249999999997</v>
      </c>
      <c r="Q2555">
        <v>2.9021689999999999E-2</v>
      </c>
      <c r="R2555">
        <v>2.6309550000000001E-2</v>
      </c>
      <c r="S2555">
        <v>-3.0168149999999998</v>
      </c>
      <c r="T2555">
        <v>-5.4152850000000002E-2</v>
      </c>
      <c r="U2555">
        <v>-0.46878049999999999</v>
      </c>
      <c r="V2555">
        <v>4.9793209999999997E-2</v>
      </c>
      <c r="W2555">
        <v>4.2806719999999999E-2</v>
      </c>
      <c r="X2555">
        <v>0.9978418</v>
      </c>
      <c r="Y2555">
        <v>-0.13016359999999999</v>
      </c>
      <c r="Z2555">
        <v>-7.4027439999999999E-4</v>
      </c>
      <c r="AA2555">
        <v>0.99149229999999999</v>
      </c>
      <c r="AB2555">
        <v>32</v>
      </c>
      <c r="AC2555">
        <v>-59.66</v>
      </c>
      <c r="AD2555">
        <v>-1.0766454599999999</v>
      </c>
      <c r="AE2555">
        <v>-9.3111000000000104</v>
      </c>
      <c r="AF2555">
        <v>-7.8978218697134999</v>
      </c>
      <c r="AG2555">
        <v>-1.0766454599999999</v>
      </c>
      <c r="AH2555">
        <v>59.844125585995798</v>
      </c>
      <c r="AI2555">
        <v>91.021829161055507</v>
      </c>
      <c r="AJ2555">
        <v>97.5180621390532</v>
      </c>
      <c r="AK2555">
        <v>60.372627265050397</v>
      </c>
      <c r="AL2555">
        <v>87.546605992285293</v>
      </c>
      <c r="AM2555">
        <v>87.143258303311697</v>
      </c>
      <c r="AN2555">
        <v>1.00000001843325</v>
      </c>
    </row>
    <row r="2556" spans="1:40" x14ac:dyDescent="0.25">
      <c r="A2556" t="str">
        <f>"20190312154846280"</f>
        <v>20190312154846280</v>
      </c>
      <c r="B2556" t="str">
        <f>"1552376926268671"</f>
        <v>1552376926268671</v>
      </c>
      <c r="C2556" t="s">
        <v>40</v>
      </c>
      <c r="D2556">
        <v>4.270251</v>
      </c>
      <c r="E2556">
        <v>0.43211640000000001</v>
      </c>
      <c r="F2556" t="s">
        <v>57</v>
      </c>
      <c r="G2556">
        <v>-512.8252</v>
      </c>
      <c r="H2556">
        <v>9.0685370000000001E-2</v>
      </c>
      <c r="I2556">
        <v>274.03449999999998</v>
      </c>
      <c r="J2556">
        <v>-453.4889</v>
      </c>
      <c r="K2556">
        <v>1.110927</v>
      </c>
      <c r="L2556">
        <v>283.37049999999999</v>
      </c>
      <c r="M2556">
        <v>-0.99960110000000002</v>
      </c>
      <c r="N2556">
        <v>0</v>
      </c>
      <c r="O2556">
        <v>-2.470259E-2</v>
      </c>
      <c r="P2556">
        <v>-0.99925929999999996</v>
      </c>
      <c r="Q2556">
        <v>2.9204259999999999E-2</v>
      </c>
      <c r="R2556">
        <v>2.5059370000000001E-2</v>
      </c>
      <c r="S2556">
        <v>-3.0162049999999998</v>
      </c>
      <c r="T2556">
        <v>-5.1575660000000002E-2</v>
      </c>
      <c r="U2556">
        <v>-0.47244259999999899</v>
      </c>
      <c r="V2556">
        <v>4.964416E-2</v>
      </c>
      <c r="W2556">
        <v>4.2986799999999999E-2</v>
      </c>
      <c r="X2556">
        <v>0.99784150000000005</v>
      </c>
      <c r="Y2556">
        <v>-0.13027839999999999</v>
      </c>
      <c r="Z2556">
        <v>-6.8740199999999896E-4</v>
      </c>
      <c r="AA2556">
        <v>0.99147719999999995</v>
      </c>
      <c r="AB2556">
        <v>32</v>
      </c>
      <c r="AC2556">
        <v>-59.336300000000001</v>
      </c>
      <c r="AD2556">
        <v>-1.0202416299999999</v>
      </c>
      <c r="AE2556">
        <v>-9.3360000000000092</v>
      </c>
      <c r="AF2556">
        <v>-7.8649838230129898</v>
      </c>
      <c r="AG2556">
        <v>-1.0202416299999999</v>
      </c>
      <c r="AH2556">
        <v>59.531659961155697</v>
      </c>
      <c r="AI2556">
        <v>90.973371138775306</v>
      </c>
      <c r="AJ2556">
        <v>97.526007209777902</v>
      </c>
      <c r="AK2556">
        <v>60.057617345766502</v>
      </c>
      <c r="AL2556">
        <v>87.536278699082899</v>
      </c>
      <c r="AM2556">
        <v>87.1517946601586</v>
      </c>
      <c r="AN2556">
        <v>1.00000003335929</v>
      </c>
    </row>
    <row r="2557" spans="1:40" x14ac:dyDescent="0.25">
      <c r="A2557" t="str">
        <f>"20190312154846302"</f>
        <v>20190312154846302</v>
      </c>
      <c r="B2557" t="str">
        <f>"1552376926297952"</f>
        <v>1552376926297952</v>
      </c>
      <c r="C2557" t="s">
        <v>40</v>
      </c>
      <c r="D2557">
        <v>4.2946619999999998</v>
      </c>
      <c r="E2557">
        <v>0.43241469999999999</v>
      </c>
      <c r="F2557" t="s">
        <v>57</v>
      </c>
      <c r="G2557">
        <v>-512.8252</v>
      </c>
      <c r="H2557">
        <v>5.638021E-2</v>
      </c>
      <c r="I2557">
        <v>274.05599999999998</v>
      </c>
      <c r="J2557">
        <v>-453.80500000000001</v>
      </c>
      <c r="K2557">
        <v>1.1109249999999999</v>
      </c>
      <c r="L2557">
        <v>283.36160000000001</v>
      </c>
      <c r="M2557">
        <v>-0.99957390000000002</v>
      </c>
      <c r="N2557">
        <v>0</v>
      </c>
      <c r="O2557">
        <v>-2.5777270000000001E-2</v>
      </c>
      <c r="P2557">
        <v>-0.99928430000000001</v>
      </c>
      <c r="Q2557">
        <v>2.909631E-2</v>
      </c>
      <c r="R2557">
        <v>2.4172320000000001E-2</v>
      </c>
      <c r="S2557">
        <v>-3.0156559999999999</v>
      </c>
      <c r="T2557">
        <v>-5.3591130000000001E-2</v>
      </c>
      <c r="U2557">
        <v>-0.4733887</v>
      </c>
      <c r="V2557">
        <v>4.9831710000000001E-2</v>
      </c>
      <c r="W2557">
        <v>4.2877230000000002E-2</v>
      </c>
      <c r="X2557">
        <v>0.99783679999999997</v>
      </c>
      <c r="Y2557">
        <v>-0.12954269999999901</v>
      </c>
      <c r="Z2557">
        <v>-6.8891549999999997E-4</v>
      </c>
      <c r="AA2557">
        <v>0.99157360000000005</v>
      </c>
      <c r="AB2557">
        <v>32</v>
      </c>
      <c r="AC2557">
        <v>-59.020199999999903</v>
      </c>
      <c r="AD2557">
        <v>-1.05454479</v>
      </c>
      <c r="AE2557">
        <v>-9.3056000000000196</v>
      </c>
      <c r="AF2557">
        <v>-7.7785618941469696</v>
      </c>
      <c r="AG2557">
        <v>-1.05454479</v>
      </c>
      <c r="AH2557">
        <v>59.222032079616397</v>
      </c>
      <c r="AI2557">
        <v>91.011451417867306</v>
      </c>
      <c r="AJ2557">
        <v>97.482723095279496</v>
      </c>
      <c r="AK2557">
        <v>59.739996430317198</v>
      </c>
      <c r="AL2557">
        <v>87.542562229829997</v>
      </c>
      <c r="AM2557">
        <v>87.141038838125397</v>
      </c>
      <c r="AN2557">
        <v>0.99999996780411704</v>
      </c>
    </row>
    <row r="2558" spans="1:40" x14ac:dyDescent="0.25">
      <c r="A2558" t="str">
        <f>"20190312154846324"</f>
        <v>20190312154846324</v>
      </c>
      <c r="B2558" t="str">
        <f>"1552376926318452"</f>
        <v>1552376926318452</v>
      </c>
      <c r="C2558" t="s">
        <v>40</v>
      </c>
      <c r="D2558">
        <v>4.2872680000000001</v>
      </c>
      <c r="E2558">
        <v>0.4326314</v>
      </c>
      <c r="F2558" t="s">
        <v>57</v>
      </c>
      <c r="G2558">
        <v>-512.82510000000002</v>
      </c>
      <c r="H2558">
        <v>-2.4686900000000001E-2</v>
      </c>
      <c r="I2558">
        <v>274.08609999999999</v>
      </c>
      <c r="J2558">
        <v>-454.11</v>
      </c>
      <c r="K2558">
        <v>1.1109230000000001</v>
      </c>
      <c r="L2558">
        <v>283.3526</v>
      </c>
      <c r="M2558">
        <v>-0.99954670000000001</v>
      </c>
      <c r="N2558">
        <v>0</v>
      </c>
      <c r="O2558">
        <v>-2.6813320000000002E-2</v>
      </c>
      <c r="P2558">
        <v>-0.99930450000000004</v>
      </c>
      <c r="Q2558">
        <v>2.922717E-2</v>
      </c>
      <c r="R2558">
        <v>2.3162439999999999E-2</v>
      </c>
      <c r="S2558">
        <v>-3.01532</v>
      </c>
      <c r="T2558">
        <v>-5.8013799999999997E-2</v>
      </c>
      <c r="U2558">
        <v>-0.47387699999999999</v>
      </c>
      <c r="V2558">
        <v>4.9857529999999997E-2</v>
      </c>
      <c r="W2558">
        <v>4.300586E-2</v>
      </c>
      <c r="X2558">
        <v>0.99782999999999999</v>
      </c>
      <c r="Y2558">
        <v>-0.12868599999999999</v>
      </c>
      <c r="Z2558">
        <v>-7.1785600000000001E-4</v>
      </c>
      <c r="AA2558">
        <v>0.99168520000000004</v>
      </c>
      <c r="AB2558">
        <v>32</v>
      </c>
      <c r="AC2558">
        <v>-58.7151</v>
      </c>
      <c r="AD2558">
        <v>-1.13560989999999</v>
      </c>
      <c r="AE2558">
        <v>-9.2665000000000006</v>
      </c>
      <c r="AF2558">
        <v>-7.6858681280262502</v>
      </c>
      <c r="AG2558">
        <v>-1.13560989999999</v>
      </c>
      <c r="AH2558">
        <v>58.920969213542897</v>
      </c>
      <c r="AI2558">
        <v>91.094876805944693</v>
      </c>
      <c r="AJ2558">
        <v>97.431909296974695</v>
      </c>
      <c r="AK2558">
        <v>59.430991845918697</v>
      </c>
      <c r="AL2558">
        <v>87.535185531422499</v>
      </c>
      <c r="AM2558">
        <v>87.1395404832937</v>
      </c>
      <c r="AN2558">
        <v>0.99999999309601995</v>
      </c>
    </row>
    <row r="2559" spans="1:40" x14ac:dyDescent="0.25">
      <c r="A2559" t="str">
        <f>"20190312154846346"</f>
        <v>20190312154846346</v>
      </c>
      <c r="B2559" t="str">
        <f>"1552376926337968"</f>
        <v>1552376926337968</v>
      </c>
      <c r="C2559" t="s">
        <v>40</v>
      </c>
      <c r="D2559">
        <v>4.3010000000000002</v>
      </c>
      <c r="E2559">
        <v>0.43269869999999999</v>
      </c>
      <c r="F2559" t="s">
        <v>57</v>
      </c>
      <c r="G2559">
        <v>-512.82510000000002</v>
      </c>
      <c r="H2559">
        <v>-4.4565859999999999E-2</v>
      </c>
      <c r="I2559">
        <v>274.09629999999999</v>
      </c>
      <c r="J2559">
        <v>-454.42180000000002</v>
      </c>
      <c r="K2559">
        <v>1.110922</v>
      </c>
      <c r="L2559">
        <v>283.34309999999999</v>
      </c>
      <c r="M2559">
        <v>-0.99951789999999996</v>
      </c>
      <c r="N2559">
        <v>0</v>
      </c>
      <c r="O2559">
        <v>-2.7870369999999998E-2</v>
      </c>
      <c r="P2559">
        <v>-0.99933839999999996</v>
      </c>
      <c r="Q2559">
        <v>2.89278E-2</v>
      </c>
      <c r="R2559">
        <v>2.2045729999999999E-2</v>
      </c>
      <c r="S2559">
        <v>-3.0148320000000002</v>
      </c>
      <c r="T2559">
        <v>-5.9326289999999997E-2</v>
      </c>
      <c r="U2559">
        <v>-0.4752808</v>
      </c>
      <c r="V2559">
        <v>4.9798630000000003E-2</v>
      </c>
      <c r="W2559">
        <v>4.2704770000000003E-2</v>
      </c>
      <c r="X2559">
        <v>0.99784589999999995</v>
      </c>
      <c r="Y2559">
        <v>-0.128111999999999</v>
      </c>
      <c r="Z2559">
        <v>-7.0792740000000004E-4</v>
      </c>
      <c r="AA2559">
        <v>0.99175950000000002</v>
      </c>
      <c r="AB2559">
        <v>32</v>
      </c>
      <c r="AC2559">
        <v>-58.403300000000002</v>
      </c>
      <c r="AD2559">
        <v>-1.15548786</v>
      </c>
      <c r="AE2559">
        <v>-9.2468000000000004</v>
      </c>
      <c r="AF2559">
        <v>-7.6124265269312303</v>
      </c>
      <c r="AG2559">
        <v>-1.15548786</v>
      </c>
      <c r="AH2559">
        <v>58.6159615450958</v>
      </c>
      <c r="AI2559">
        <v>91.119914661220093</v>
      </c>
      <c r="AJ2559">
        <v>97.399560043410602</v>
      </c>
      <c r="AK2559">
        <v>59.119498794210699</v>
      </c>
      <c r="AL2559">
        <v>87.552452648498402</v>
      </c>
      <c r="AM2559">
        <v>87.142959581389306</v>
      </c>
      <c r="AN2559">
        <v>1.0000000205387101</v>
      </c>
    </row>
    <row r="2560" spans="1:40" x14ac:dyDescent="0.25">
      <c r="A2560" t="str">
        <f>"20190312154846369"</f>
        <v>20190312154846369</v>
      </c>
      <c r="B2560" t="str">
        <f>"1552376926358464"</f>
        <v>1552376926358464</v>
      </c>
      <c r="C2560" t="s">
        <v>40</v>
      </c>
      <c r="D2560">
        <v>4.6009570000000002</v>
      </c>
      <c r="E2560">
        <v>0.4326622</v>
      </c>
      <c r="F2560" t="s">
        <v>49</v>
      </c>
      <c r="G2560">
        <v>-504.0181</v>
      </c>
      <c r="H2560">
        <v>8.0000180000000004E-2</v>
      </c>
      <c r="I2560">
        <v>275.4769</v>
      </c>
      <c r="J2560">
        <v>-454.74059999999997</v>
      </c>
      <c r="K2560">
        <v>1.1109199999999999</v>
      </c>
      <c r="L2560">
        <v>283.33300000000003</v>
      </c>
      <c r="M2560">
        <v>-0.99948720000000002</v>
      </c>
      <c r="N2560">
        <v>0</v>
      </c>
      <c r="O2560">
        <v>-2.8948959999999999E-2</v>
      </c>
      <c r="P2560">
        <v>-0.99936320000000001</v>
      </c>
      <c r="Q2560">
        <v>2.8751189999999999E-2</v>
      </c>
      <c r="R2560">
        <v>2.113276E-2</v>
      </c>
      <c r="S2560">
        <v>-3.0143430000000002</v>
      </c>
      <c r="T2560">
        <v>-6.2656879999999998E-2</v>
      </c>
      <c r="U2560">
        <v>-0.47808840000000002</v>
      </c>
      <c r="V2560">
        <v>4.9964950000000001E-2</v>
      </c>
      <c r="W2560">
        <v>4.2526120000000001E-2</v>
      </c>
      <c r="X2560">
        <v>0.99784519999999999</v>
      </c>
      <c r="Y2560">
        <v>-0.12796569999999999</v>
      </c>
      <c r="Z2560">
        <v>-7.2397070000000002E-4</v>
      </c>
      <c r="AA2560">
        <v>0.9917783</v>
      </c>
      <c r="AB2560">
        <v>31</v>
      </c>
      <c r="AC2560">
        <v>-49.277500000000003</v>
      </c>
      <c r="AD2560">
        <v>-1.03091982</v>
      </c>
      <c r="AE2560">
        <v>-7.8560999999999597</v>
      </c>
      <c r="AF2560">
        <v>-6.4233991532387797</v>
      </c>
      <c r="AG2560">
        <v>-1.03091982</v>
      </c>
      <c r="AH2560">
        <v>49.463178482018002</v>
      </c>
      <c r="AI2560">
        <v>91.184055858995507</v>
      </c>
      <c r="AJ2560">
        <v>97.399150098982204</v>
      </c>
      <c r="AK2560">
        <v>49.889165937115699</v>
      </c>
      <c r="AL2560">
        <v>87.562697809007503</v>
      </c>
      <c r="AM2560">
        <v>87.133431373592202</v>
      </c>
      <c r="AN2560">
        <v>1.00000000513689</v>
      </c>
    </row>
    <row r="2561" spans="1:40" x14ac:dyDescent="0.25">
      <c r="A2561" t="str">
        <f>"20190312154846390"</f>
        <v>20190312154846390</v>
      </c>
      <c r="B2561" t="str">
        <f>"1552376926377984"</f>
        <v>1552376926377984</v>
      </c>
      <c r="C2561" t="s">
        <v>40</v>
      </c>
      <c r="D2561">
        <v>4.3125169999999997</v>
      </c>
      <c r="E2561">
        <v>0.43254880000000001</v>
      </c>
      <c r="F2561" t="s">
        <v>49</v>
      </c>
      <c r="G2561">
        <v>-503.68239999999997</v>
      </c>
      <c r="H2561">
        <v>8.0000290000000002E-2</v>
      </c>
      <c r="I2561">
        <v>275.5179</v>
      </c>
      <c r="J2561">
        <v>-455.04739999999998</v>
      </c>
      <c r="K2561">
        <v>1.1109089999999999</v>
      </c>
      <c r="L2561">
        <v>283.32299999999998</v>
      </c>
      <c r="M2561">
        <v>-0.99945669999999998</v>
      </c>
      <c r="N2561">
        <v>0</v>
      </c>
      <c r="O2561">
        <v>-2.9984159999999999E-2</v>
      </c>
      <c r="P2561">
        <v>-0.99938959999999999</v>
      </c>
      <c r="Q2561">
        <v>2.863301E-2</v>
      </c>
      <c r="R2561">
        <v>2.0018810000000001E-2</v>
      </c>
      <c r="S2561">
        <v>-3.0138850000000001</v>
      </c>
      <c r="T2561">
        <v>-6.3485029999999998E-2</v>
      </c>
      <c r="U2561">
        <v>-0.48126219999999997</v>
      </c>
      <c r="V2561">
        <v>4.9887019999999997E-2</v>
      </c>
      <c r="W2561">
        <v>4.240559E-2</v>
      </c>
      <c r="X2561">
        <v>0.99785420000000002</v>
      </c>
      <c r="Y2561">
        <v>-0.12798010000000001</v>
      </c>
      <c r="Z2561">
        <v>-7.1210390000000004E-4</v>
      </c>
      <c r="AA2561">
        <v>0.99177649999999995</v>
      </c>
      <c r="AB2561">
        <v>31</v>
      </c>
      <c r="AC2561">
        <v>-48.634999999999899</v>
      </c>
      <c r="AD2561">
        <v>-1.0309087099999901</v>
      </c>
      <c r="AE2561">
        <v>-7.8050999999999799</v>
      </c>
      <c r="AF2561">
        <v>-6.3403965379764502</v>
      </c>
      <c r="AG2561">
        <v>-1.0309087099999901</v>
      </c>
      <c r="AH2561">
        <v>48.825792701836903</v>
      </c>
      <c r="AI2561">
        <v>91.1994961730406</v>
      </c>
      <c r="AJ2561">
        <v>97.398884364301693</v>
      </c>
      <c r="AK2561">
        <v>49.246537279182299</v>
      </c>
      <c r="AL2561">
        <v>87.5696098352593</v>
      </c>
      <c r="AM2561">
        <v>87.137920673281101</v>
      </c>
      <c r="AN2561">
        <v>0.99999997664268303</v>
      </c>
    </row>
    <row r="2562" spans="1:40" x14ac:dyDescent="0.25">
      <c r="A2562" t="str">
        <f>"20190312154846414"</f>
        <v>20190312154846414</v>
      </c>
      <c r="B2562" t="str">
        <f>"1552376926408246"</f>
        <v>1552376926408246</v>
      </c>
      <c r="C2562" t="s">
        <v>40</v>
      </c>
      <c r="D2562">
        <v>4.2904980000000004</v>
      </c>
      <c r="E2562">
        <v>0.43263829999999998</v>
      </c>
      <c r="F2562" t="s">
        <v>49</v>
      </c>
      <c r="G2562">
        <v>-503.87830000000002</v>
      </c>
      <c r="H2562">
        <v>8.000024E-2</v>
      </c>
      <c r="I2562">
        <v>275.45960000000002</v>
      </c>
      <c r="J2562">
        <v>-455.36520000000002</v>
      </c>
      <c r="K2562">
        <v>1.110897</v>
      </c>
      <c r="L2562">
        <v>283.31229999999999</v>
      </c>
      <c r="M2562">
        <v>-0.99942399999999998</v>
      </c>
      <c r="N2562">
        <v>0</v>
      </c>
      <c r="O2562">
        <v>-3.1052110000000001E-2</v>
      </c>
      <c r="P2562">
        <v>-0.99942909999999996</v>
      </c>
      <c r="Q2562">
        <v>2.794437E-2</v>
      </c>
      <c r="R2562">
        <v>1.8996260000000001E-2</v>
      </c>
      <c r="S2562">
        <v>-3.0133969999999999</v>
      </c>
      <c r="T2562">
        <v>-6.3618179999999996E-2</v>
      </c>
      <c r="U2562">
        <v>-0.48526000000000002</v>
      </c>
      <c r="V2562">
        <v>4.9935060000000003E-2</v>
      </c>
      <c r="W2562">
        <v>4.171478E-2</v>
      </c>
      <c r="X2562">
        <v>0.99788089999999996</v>
      </c>
      <c r="Y2562">
        <v>-0.12822819999999999</v>
      </c>
      <c r="Z2562">
        <v>-6.938755E-4</v>
      </c>
      <c r="AA2562">
        <v>0.99174450000000003</v>
      </c>
      <c r="AB2562">
        <v>31</v>
      </c>
      <c r="AC2562">
        <v>-48.513100000000001</v>
      </c>
      <c r="AD2562">
        <v>-1.0308967600000001</v>
      </c>
      <c r="AE2562">
        <v>-7.8526999999999703</v>
      </c>
      <c r="AF2562">
        <v>-6.3395475668088697</v>
      </c>
      <c r="AG2562">
        <v>-1.0308967600000001</v>
      </c>
      <c r="AH2562">
        <v>48.7121320759124</v>
      </c>
      <c r="AI2562">
        <v>91.202236341117697</v>
      </c>
      <c r="AJ2562">
        <v>97.414974388679298</v>
      </c>
      <c r="AK2562">
        <v>49.1337401676562</v>
      </c>
      <c r="AL2562">
        <v>87.609225355646203</v>
      </c>
      <c r="AM2562">
        <v>87.135245674637204</v>
      </c>
      <c r="AN2562">
        <v>0.99999996183622997</v>
      </c>
    </row>
    <row r="2563" spans="1:40" x14ac:dyDescent="0.25">
      <c r="A2563" t="str">
        <f>"20190312154846435"</f>
        <v>20190312154846435</v>
      </c>
      <c r="B2563" t="str">
        <f>"1552376926428737"</f>
        <v>1552376926428737</v>
      </c>
      <c r="C2563" t="s">
        <v>40</v>
      </c>
      <c r="D2563">
        <v>4.2795529999999999</v>
      </c>
      <c r="E2563">
        <v>0.4326895</v>
      </c>
      <c r="F2563" t="s">
        <v>49</v>
      </c>
      <c r="G2563">
        <v>-500.548</v>
      </c>
      <c r="H2563">
        <v>8.0001119999999995E-2</v>
      </c>
      <c r="I2563">
        <v>276</v>
      </c>
      <c r="J2563">
        <v>-455.6737</v>
      </c>
      <c r="K2563">
        <v>1.110889</v>
      </c>
      <c r="L2563">
        <v>283.30160000000001</v>
      </c>
      <c r="M2563">
        <v>-0.99939169999999999</v>
      </c>
      <c r="N2563">
        <v>0</v>
      </c>
      <c r="O2563">
        <v>-3.2080450000000003E-2</v>
      </c>
      <c r="P2563">
        <v>-0.99945830000000002</v>
      </c>
      <c r="Q2563">
        <v>2.7512539999999999E-2</v>
      </c>
      <c r="R2563">
        <v>1.8066849999999999E-2</v>
      </c>
      <c r="S2563">
        <v>-3.0129090000000001</v>
      </c>
      <c r="T2563">
        <v>-6.8742869999999998E-2</v>
      </c>
      <c r="U2563">
        <v>-0.48760989999999999</v>
      </c>
      <c r="V2563">
        <v>5.0035709999999997E-2</v>
      </c>
      <c r="W2563">
        <v>4.128076E-2</v>
      </c>
      <c r="X2563">
        <v>0.9978939</v>
      </c>
      <c r="Y2563">
        <v>-0.1279836</v>
      </c>
      <c r="Z2563">
        <v>-7.2378860000000004E-4</v>
      </c>
      <c r="AA2563">
        <v>0.99177599999999999</v>
      </c>
      <c r="AB2563">
        <v>31</v>
      </c>
      <c r="AC2563">
        <v>-44.874299999999998</v>
      </c>
      <c r="AD2563">
        <v>-1.0308878800000001</v>
      </c>
      <c r="AE2563">
        <v>-7.3015999999999996</v>
      </c>
      <c r="AF2563">
        <v>-5.8551083490263496</v>
      </c>
      <c r="AG2563">
        <v>-1.0308878800000001</v>
      </c>
      <c r="AH2563">
        <v>45.062290750389302</v>
      </c>
      <c r="AI2563">
        <v>91.299603494517001</v>
      </c>
      <c r="AJ2563">
        <v>97.403174243958006</v>
      </c>
      <c r="AK2563">
        <v>45.452778476926902</v>
      </c>
      <c r="AL2563">
        <v>87.634114293176097</v>
      </c>
      <c r="AM2563">
        <v>87.129518405295599</v>
      </c>
      <c r="AN2563">
        <v>0.99999995453929402</v>
      </c>
    </row>
    <row r="2564" spans="1:40" x14ac:dyDescent="0.25">
      <c r="A2564" t="str">
        <f>"20190312154846458"</f>
        <v>20190312154846458</v>
      </c>
      <c r="B2564" t="str">
        <f>"1552376926448256"</f>
        <v>1552376926448256</v>
      </c>
      <c r="C2564" t="s">
        <v>40</v>
      </c>
      <c r="D2564">
        <v>4.3073889999999997</v>
      </c>
      <c r="E2564">
        <v>0.43275740000000001</v>
      </c>
      <c r="F2564" t="s">
        <v>49</v>
      </c>
      <c r="G2564">
        <v>-499.96199999999999</v>
      </c>
      <c r="H2564">
        <v>5.428297E-2</v>
      </c>
      <c r="I2564">
        <v>276.09249999999997</v>
      </c>
      <c r="J2564">
        <v>-455.99149999999997</v>
      </c>
      <c r="K2564">
        <v>1.110889</v>
      </c>
      <c r="L2564">
        <v>283.2903</v>
      </c>
      <c r="M2564">
        <v>-0.99935759999999996</v>
      </c>
      <c r="N2564">
        <v>0</v>
      </c>
      <c r="O2564">
        <v>-3.3127690000000001E-2</v>
      </c>
      <c r="P2564">
        <v>-0.99945989999999996</v>
      </c>
      <c r="Q2564">
        <v>2.7939490000000001E-2</v>
      </c>
      <c r="R2564">
        <v>1.7312089999999999E-2</v>
      </c>
      <c r="S2564">
        <v>-3.012451</v>
      </c>
      <c r="T2564">
        <v>-7.1869370000000002E-2</v>
      </c>
      <c r="U2564">
        <v>-0.49035640000000003</v>
      </c>
      <c r="V2564">
        <v>5.0327759999999999E-2</v>
      </c>
      <c r="W2564">
        <v>4.1704789999999999E-2</v>
      </c>
      <c r="X2564">
        <v>0.99786160000000002</v>
      </c>
      <c r="Y2564">
        <v>-0.12784719999999999</v>
      </c>
      <c r="Z2564">
        <v>-7.3036599999999998E-4</v>
      </c>
      <c r="AA2564">
        <v>0.99179360000000005</v>
      </c>
      <c r="AB2564">
        <v>31</v>
      </c>
      <c r="AC2564">
        <v>-43.970500000000001</v>
      </c>
      <c r="AD2564">
        <v>-1.05660603</v>
      </c>
      <c r="AE2564">
        <v>-7.1978000000000204</v>
      </c>
      <c r="AF2564">
        <v>-5.73384679903406</v>
      </c>
      <c r="AG2564">
        <v>-1.05660603</v>
      </c>
      <c r="AH2564">
        <v>44.159995985758201</v>
      </c>
      <c r="AI2564">
        <v>91.359235854275596</v>
      </c>
      <c r="AJ2564">
        <v>97.398041052828205</v>
      </c>
      <c r="AK2564">
        <v>44.543222389939501</v>
      </c>
      <c r="AL2564">
        <v>87.609798265375304</v>
      </c>
      <c r="AM2564">
        <v>87.112698856375005</v>
      </c>
      <c r="AN2564">
        <v>0.99999997284506004</v>
      </c>
    </row>
    <row r="2565" spans="1:40" x14ac:dyDescent="0.25">
      <c r="A2565" t="str">
        <f>"20190312154846480"</f>
        <v>20190312154846480</v>
      </c>
      <c r="B2565" t="str">
        <f>"1552376926468752"</f>
        <v>1552376926468752</v>
      </c>
      <c r="C2565" t="s">
        <v>40</v>
      </c>
      <c r="D2565">
        <v>4.3002940000000001</v>
      </c>
      <c r="E2565">
        <v>0.4327299</v>
      </c>
      <c r="F2565" t="s">
        <v>49</v>
      </c>
      <c r="G2565">
        <v>-499.97379999999998</v>
      </c>
      <c r="H2565">
        <v>6.6066219999999995E-2</v>
      </c>
      <c r="I2565">
        <v>276.10300000000001</v>
      </c>
      <c r="J2565">
        <v>-456.298</v>
      </c>
      <c r="K2565">
        <v>1.1108789999999999</v>
      </c>
      <c r="L2565">
        <v>283.27910000000003</v>
      </c>
      <c r="M2565">
        <v>-0.99932399999999999</v>
      </c>
      <c r="N2565">
        <v>0</v>
      </c>
      <c r="O2565">
        <v>-3.4122909999999999E-2</v>
      </c>
      <c r="P2565">
        <v>-0.99944560000000005</v>
      </c>
      <c r="Q2565">
        <v>2.8909850000000001E-2</v>
      </c>
      <c r="R2565">
        <v>1.6517750000000001E-2</v>
      </c>
      <c r="S2565">
        <v>-3.0121150000000001</v>
      </c>
      <c r="T2565">
        <v>-7.1554300000000001E-2</v>
      </c>
      <c r="U2565">
        <v>-0.49221799999999999</v>
      </c>
      <c r="V2565">
        <v>5.0526750000000002E-2</v>
      </c>
      <c r="W2565">
        <v>4.2670949999999999E-2</v>
      </c>
      <c r="X2565">
        <v>0.99781070000000005</v>
      </c>
      <c r="Y2565">
        <v>-0.1274747</v>
      </c>
      <c r="Z2565">
        <v>-6.9937280000000003E-4</v>
      </c>
      <c r="AA2565">
        <v>0.99184159999999999</v>
      </c>
      <c r="AB2565">
        <v>31</v>
      </c>
      <c r="AC2565">
        <v>-43.675799999999903</v>
      </c>
      <c r="AD2565">
        <v>-1.04481278</v>
      </c>
      <c r="AE2565">
        <v>-7.1761000000000204</v>
      </c>
      <c r="AF2565">
        <v>-5.6782712405233298</v>
      </c>
      <c r="AG2565">
        <v>-1.04481278</v>
      </c>
      <c r="AH2565">
        <v>43.870807019744298</v>
      </c>
      <c r="AI2565">
        <v>91.352997870073693</v>
      </c>
      <c r="AJ2565">
        <v>97.374887321964493</v>
      </c>
      <c r="AK2565">
        <v>44.249091590561001</v>
      </c>
      <c r="AL2565">
        <v>87.554392054928002</v>
      </c>
      <c r="AM2565">
        <v>87.101154626136505</v>
      </c>
      <c r="AN2565">
        <v>0.99999997773697702</v>
      </c>
    </row>
    <row r="2566" spans="1:40" x14ac:dyDescent="0.25">
      <c r="A2566" t="str">
        <f>"20190312154846503"</f>
        <v>20190312154846503</v>
      </c>
      <c r="B2566" t="str">
        <f>"1552376926498032"</f>
        <v>1552376926498032</v>
      </c>
      <c r="C2566" t="s">
        <v>40</v>
      </c>
      <c r="D2566">
        <v>4.3162060000000002</v>
      </c>
      <c r="E2566">
        <v>0.43273980000000001</v>
      </c>
      <c r="F2566" t="s">
        <v>49</v>
      </c>
      <c r="G2566">
        <v>-500.52809999999999</v>
      </c>
      <c r="H2566">
        <v>8.0001139999999998E-2</v>
      </c>
      <c r="I2566">
        <v>276.01310000000001</v>
      </c>
      <c r="J2566">
        <v>-456.61689999999999</v>
      </c>
      <c r="K2566">
        <v>1.1108640000000001</v>
      </c>
      <c r="L2566">
        <v>283.26710000000003</v>
      </c>
      <c r="M2566">
        <v>-0.99928879999999998</v>
      </c>
      <c r="N2566">
        <v>0</v>
      </c>
      <c r="O2566">
        <v>-3.513989E-2</v>
      </c>
      <c r="P2566">
        <v>-0.99946250000000003</v>
      </c>
      <c r="Q2566">
        <v>2.868074E-2</v>
      </c>
      <c r="R2566">
        <v>1.5883419999999999E-2</v>
      </c>
      <c r="S2566">
        <v>-3.0118710000000002</v>
      </c>
      <c r="T2566">
        <v>-7.0198179999999999E-2</v>
      </c>
      <c r="U2566">
        <v>-0.49478149999999999</v>
      </c>
      <c r="V2566">
        <v>5.0911400000000002E-2</v>
      </c>
      <c r="W2566">
        <v>4.2438940000000001E-2</v>
      </c>
      <c r="X2566">
        <v>0.9978011</v>
      </c>
      <c r="Y2566">
        <v>-0.12730150000000001</v>
      </c>
      <c r="Z2566">
        <v>-6.6062740000000003E-4</v>
      </c>
      <c r="AA2566">
        <v>0.99186379999999996</v>
      </c>
      <c r="AB2566">
        <v>31</v>
      </c>
      <c r="AC2566">
        <v>-43.911200000000001</v>
      </c>
      <c r="AD2566">
        <v>-1.0308628599999901</v>
      </c>
      <c r="AE2566">
        <v>-7.2540000000000102</v>
      </c>
      <c r="AF2566">
        <v>-5.7032802921915797</v>
      </c>
      <c r="AG2566">
        <v>-1.0308628599999901</v>
      </c>
      <c r="AH2566">
        <v>44.115336879464301</v>
      </c>
      <c r="AI2566">
        <v>91.327568312291305</v>
      </c>
      <c r="AJ2566">
        <v>97.366404312304198</v>
      </c>
      <c r="AK2566">
        <v>44.494415743057601</v>
      </c>
      <c r="AL2566">
        <v>87.567697440592298</v>
      </c>
      <c r="AM2566">
        <v>87.079096315955596</v>
      </c>
      <c r="AN2566">
        <v>1.00000003471974</v>
      </c>
    </row>
    <row r="2567" spans="1:40" x14ac:dyDescent="0.25">
      <c r="A2567" t="str">
        <f>"20190312154846526"</f>
        <v>20190312154846526</v>
      </c>
      <c r="B2567" t="str">
        <f>"1552376926518528"</f>
        <v>1552376926518528</v>
      </c>
      <c r="C2567" t="s">
        <v>40</v>
      </c>
      <c r="D2567">
        <v>4.5668309999999996</v>
      </c>
      <c r="E2567">
        <v>0.43274180000000001</v>
      </c>
      <c r="F2567" t="s">
        <v>49</v>
      </c>
      <c r="G2567">
        <v>-499.96289999999999</v>
      </c>
      <c r="H2567">
        <v>5.516066E-2</v>
      </c>
      <c r="I2567">
        <v>276.11669999999998</v>
      </c>
      <c r="J2567">
        <v>-456.92399999999998</v>
      </c>
      <c r="K2567">
        <v>1.110849</v>
      </c>
      <c r="L2567">
        <v>283.2552</v>
      </c>
      <c r="M2567">
        <v>-0.99925459999999999</v>
      </c>
      <c r="N2567">
        <v>0</v>
      </c>
      <c r="O2567">
        <v>-3.6100460000000001E-2</v>
      </c>
      <c r="P2567">
        <v>-0.99947719999999995</v>
      </c>
      <c r="Q2567">
        <v>2.8469919999999999E-2</v>
      </c>
      <c r="R2567">
        <v>1.532653E-2</v>
      </c>
      <c r="S2567">
        <v>-3.0115970000000001</v>
      </c>
      <c r="T2567">
        <v>-7.3348280000000002E-2</v>
      </c>
      <c r="U2567">
        <v>-0.49679570000000001</v>
      </c>
      <c r="V2567">
        <v>5.1317120000000001E-2</v>
      </c>
      <c r="W2567">
        <v>4.222455E-2</v>
      </c>
      <c r="X2567">
        <v>0.99778940000000005</v>
      </c>
      <c r="Y2567">
        <v>-0.12700649999999999</v>
      </c>
      <c r="Z2567">
        <v>-6.6353240000000002E-4</v>
      </c>
      <c r="AA2567">
        <v>0.99190160000000005</v>
      </c>
      <c r="AB2567">
        <v>31</v>
      </c>
      <c r="AC2567">
        <v>-43.038899999999899</v>
      </c>
      <c r="AD2567">
        <v>-1.0556883399999999</v>
      </c>
      <c r="AE2567">
        <v>-7.1385000000000201</v>
      </c>
      <c r="AF2567">
        <v>-5.5767111935421703</v>
      </c>
      <c r="AG2567">
        <v>-1.0556883399999999</v>
      </c>
      <c r="AH2567">
        <v>43.243246735153001</v>
      </c>
      <c r="AI2567">
        <v>91.386990650754896</v>
      </c>
      <c r="AJ2567">
        <v>97.348387968388707</v>
      </c>
      <c r="AK2567">
        <v>43.614132730168002</v>
      </c>
      <c r="AL2567">
        <v>87.579992075011504</v>
      </c>
      <c r="AM2567">
        <v>87.0558255588045</v>
      </c>
      <c r="AN2567">
        <v>1.0000000230900701</v>
      </c>
    </row>
    <row r="2568" spans="1:40" x14ac:dyDescent="0.25">
      <c r="A2568" t="str">
        <f>"20190312154846547"</f>
        <v>20190312154846547</v>
      </c>
      <c r="B2568" t="str">
        <f>"1552376926538048"</f>
        <v>1552376926538048</v>
      </c>
      <c r="C2568" t="s">
        <v>40</v>
      </c>
      <c r="D2568">
        <v>4.3374439999999996</v>
      </c>
      <c r="E2568">
        <v>0.43264900000000001</v>
      </c>
      <c r="F2568" t="s">
        <v>49</v>
      </c>
      <c r="G2568">
        <v>-499.96109999999999</v>
      </c>
      <c r="H2568">
        <v>5.3351589999999997E-2</v>
      </c>
      <c r="I2568">
        <v>276.12729999999999</v>
      </c>
      <c r="J2568">
        <v>-457.23820000000001</v>
      </c>
      <c r="K2568">
        <v>1.1108370000000001</v>
      </c>
      <c r="L2568">
        <v>283.24290000000002</v>
      </c>
      <c r="M2568">
        <v>-0.99921950000000004</v>
      </c>
      <c r="N2568">
        <v>0</v>
      </c>
      <c r="O2568">
        <v>-3.7061730000000001E-2</v>
      </c>
      <c r="P2568">
        <v>-0.99948490000000001</v>
      </c>
      <c r="Q2568">
        <v>2.8598950000000001E-2</v>
      </c>
      <c r="R2568">
        <v>1.4567099999999999E-2</v>
      </c>
      <c r="S2568">
        <v>-3.0113530000000002</v>
      </c>
      <c r="T2568">
        <v>-7.3994160000000003E-2</v>
      </c>
      <c r="U2568">
        <v>-0.49874879999999999</v>
      </c>
      <c r="V2568">
        <v>5.1520259999999998E-2</v>
      </c>
      <c r="W2568">
        <v>4.2349850000000001E-2</v>
      </c>
      <c r="X2568">
        <v>0.99777360000000004</v>
      </c>
      <c r="Y2568">
        <v>-0.12669140000000001</v>
      </c>
      <c r="Z2568">
        <v>-6.4213710000000002E-4</v>
      </c>
      <c r="AA2568">
        <v>0.99194199999999999</v>
      </c>
      <c r="AB2568">
        <v>31</v>
      </c>
      <c r="AC2568">
        <v>-42.722899999999903</v>
      </c>
      <c r="AD2568">
        <v>-1.05748541</v>
      </c>
      <c r="AE2568">
        <v>-7.1156000000000201</v>
      </c>
      <c r="AF2568">
        <v>-5.5238850266648098</v>
      </c>
      <c r="AG2568">
        <v>-1.05748541</v>
      </c>
      <c r="AH2568">
        <v>42.9316909699155</v>
      </c>
      <c r="AI2568">
        <v>91.399481521371897</v>
      </c>
      <c r="AJ2568">
        <v>97.331784387528501</v>
      </c>
      <c r="AK2568">
        <v>43.2985181122461</v>
      </c>
      <c r="AL2568">
        <v>87.572806435052499</v>
      </c>
      <c r="AM2568">
        <v>87.044144880141801</v>
      </c>
      <c r="AN2568">
        <v>1.0000000019212201</v>
      </c>
    </row>
    <row r="2569" spans="1:40" x14ac:dyDescent="0.25">
      <c r="A2569" t="str">
        <f>"20190312154846570"</f>
        <v>20190312154846570</v>
      </c>
      <c r="B2569" t="str">
        <f>"1552376926558543"</f>
        <v>1552376926558543</v>
      </c>
      <c r="C2569" t="s">
        <v>40</v>
      </c>
      <c r="D2569">
        <v>4.3619149999999998</v>
      </c>
      <c r="E2569">
        <v>0.43262010000000001</v>
      </c>
      <c r="F2569" t="s">
        <v>49</v>
      </c>
      <c r="G2569">
        <v>-499.98570000000001</v>
      </c>
      <c r="H2569">
        <v>7.800667E-2</v>
      </c>
      <c r="I2569">
        <v>276.11590000000001</v>
      </c>
      <c r="J2569">
        <v>-457.54480000000001</v>
      </c>
      <c r="K2569">
        <v>1.1108229999999999</v>
      </c>
      <c r="L2569">
        <v>283.23039999999997</v>
      </c>
      <c r="M2569">
        <v>-0.99918479999999998</v>
      </c>
      <c r="N2569">
        <v>0</v>
      </c>
      <c r="O2569">
        <v>-3.7983950000000002E-2</v>
      </c>
      <c r="P2569">
        <v>-0.99948610000000004</v>
      </c>
      <c r="Q2569">
        <v>2.892486E-2</v>
      </c>
      <c r="R2569">
        <v>1.383505E-2</v>
      </c>
      <c r="S2569">
        <v>-3.0109249999999999</v>
      </c>
      <c r="T2569">
        <v>-7.2747350000000002E-2</v>
      </c>
      <c r="U2569">
        <v>-0.50198359999999997</v>
      </c>
      <c r="V2569">
        <v>5.1711430000000003E-2</v>
      </c>
      <c r="W2569">
        <v>4.2671889999999997E-2</v>
      </c>
      <c r="X2569">
        <v>0.99775000000000003</v>
      </c>
      <c r="Y2569">
        <v>-0.1268367</v>
      </c>
      <c r="Z2569">
        <v>-6.110194E-4</v>
      </c>
      <c r="AA2569">
        <v>0.99192349999999996</v>
      </c>
      <c r="AB2569">
        <v>31</v>
      </c>
      <c r="AC2569">
        <v>-42.440899999999999</v>
      </c>
      <c r="AD2569">
        <v>-1.0328163299999999</v>
      </c>
      <c r="AE2569">
        <v>-7.1144999999999596</v>
      </c>
      <c r="AF2569">
        <v>-5.4939764515013998</v>
      </c>
      <c r="AG2569">
        <v>-1.0328163299999999</v>
      </c>
      <c r="AH2569">
        <v>42.655957949700102</v>
      </c>
      <c r="AI2569">
        <v>91.375656205142107</v>
      </c>
      <c r="AJ2569">
        <v>97.3391429246511</v>
      </c>
      <c r="AK2569">
        <v>43.020707054019297</v>
      </c>
      <c r="AL2569">
        <v>87.554338232482806</v>
      </c>
      <c r="AM2569">
        <v>87.033126455157998</v>
      </c>
      <c r="AN2569">
        <v>1.0000000123443999</v>
      </c>
    </row>
    <row r="2570" spans="1:40" x14ac:dyDescent="0.25">
      <c r="A2570" t="str">
        <f>"20190312154846592"</f>
        <v>20190312154846592</v>
      </c>
      <c r="B2570" t="str">
        <f>"1552376926588799"</f>
        <v>1552376926588799</v>
      </c>
      <c r="C2570" t="s">
        <v>40</v>
      </c>
      <c r="D2570">
        <v>4.3919069999999998</v>
      </c>
      <c r="E2570">
        <v>0.43273660000000003</v>
      </c>
      <c r="F2570" t="s">
        <v>49</v>
      </c>
      <c r="G2570">
        <v>-500.60829999999999</v>
      </c>
      <c r="H2570">
        <v>8.0001119999999995E-2</v>
      </c>
      <c r="I2570">
        <v>276.0204</v>
      </c>
      <c r="J2570">
        <v>-457.85719999999998</v>
      </c>
      <c r="K2570">
        <v>1.110803</v>
      </c>
      <c r="L2570">
        <v>283.21749999999997</v>
      </c>
      <c r="M2570">
        <v>-0.99914930000000002</v>
      </c>
      <c r="N2570">
        <v>0</v>
      </c>
      <c r="O2570">
        <v>-3.8909529999999998E-2</v>
      </c>
      <c r="P2570">
        <v>-0.99949259999999995</v>
      </c>
      <c r="Q2570">
        <v>2.9122780000000001E-2</v>
      </c>
      <c r="R2570">
        <v>1.29126E-2</v>
      </c>
      <c r="S2570">
        <v>-3.0106199999999999</v>
      </c>
      <c r="T2570">
        <v>-7.2065950000000004E-2</v>
      </c>
      <c r="U2570">
        <v>-0.50405880000000003</v>
      </c>
      <c r="V2570">
        <v>5.1715270000000001E-2</v>
      </c>
      <c r="W2570">
        <v>4.2865790000000001E-2</v>
      </c>
      <c r="X2570">
        <v>0.99774149999999995</v>
      </c>
      <c r="Y2570">
        <v>-0.12660009999999999</v>
      </c>
      <c r="Z2570">
        <v>-5.8056049999999999E-4</v>
      </c>
      <c r="AA2570">
        <v>0.99195370000000005</v>
      </c>
      <c r="AB2570">
        <v>31</v>
      </c>
      <c r="AC2570">
        <v>-42.751100000000001</v>
      </c>
      <c r="AD2570">
        <v>-1.0308018800000001</v>
      </c>
      <c r="AE2570">
        <v>-7.1970999999999696</v>
      </c>
      <c r="AF2570">
        <v>-5.5249448212052998</v>
      </c>
      <c r="AG2570">
        <v>-1.0308018800000001</v>
      </c>
      <c r="AH2570">
        <v>42.974486385532998</v>
      </c>
      <c r="AI2570">
        <v>91.362841769658601</v>
      </c>
      <c r="AJ2570">
        <v>97.325952482023894</v>
      </c>
      <c r="AK2570">
        <v>43.340443559030803</v>
      </c>
      <c r="AL2570">
        <v>87.543218432356696</v>
      </c>
      <c r="AM2570">
        <v>87.0328813017816</v>
      </c>
      <c r="AN2570">
        <v>1.00000002296287</v>
      </c>
    </row>
    <row r="2571" spans="1:40" x14ac:dyDescent="0.25">
      <c r="A2571" t="str">
        <f>"20190312154846615"</f>
        <v>20190312154846615</v>
      </c>
      <c r="B2571" t="str">
        <f>"1552376926608322"</f>
        <v>1552376926608322</v>
      </c>
      <c r="C2571" t="s">
        <v>40</v>
      </c>
      <c r="D2571">
        <v>4.3563150000000004</v>
      </c>
      <c r="E2571">
        <v>0.4327762</v>
      </c>
      <c r="F2571" t="s">
        <v>49</v>
      </c>
      <c r="G2571">
        <v>-499.98469999999998</v>
      </c>
      <c r="H2571">
        <v>7.6973009999999994E-2</v>
      </c>
      <c r="I2571">
        <v>276.13549999999998</v>
      </c>
      <c r="J2571">
        <v>-458.1678</v>
      </c>
      <c r="K2571">
        <v>1.110792</v>
      </c>
      <c r="L2571">
        <v>283.20440000000002</v>
      </c>
      <c r="M2571">
        <v>-0.99911349999999999</v>
      </c>
      <c r="N2571">
        <v>0</v>
      </c>
      <c r="O2571">
        <v>-3.9816190000000001E-2</v>
      </c>
      <c r="P2571">
        <v>-0.9994963</v>
      </c>
      <c r="Q2571">
        <v>2.938093E-2</v>
      </c>
      <c r="R2571">
        <v>1.199337E-2</v>
      </c>
      <c r="S2571">
        <v>-3.0102229999999999</v>
      </c>
      <c r="T2571">
        <v>-7.3872450000000006E-2</v>
      </c>
      <c r="U2571">
        <v>-0.50604249999999995</v>
      </c>
      <c r="V2571">
        <v>5.1703619999999999E-2</v>
      </c>
      <c r="W2571">
        <v>4.3120190000000003E-2</v>
      </c>
      <c r="X2571">
        <v>0.99773109999999998</v>
      </c>
      <c r="Y2571">
        <v>-0.1263561</v>
      </c>
      <c r="Z2571">
        <v>-5.7014010000000005E-4</v>
      </c>
      <c r="AA2571">
        <v>0.9919848</v>
      </c>
      <c r="AB2571">
        <v>31</v>
      </c>
      <c r="AC2571">
        <v>-41.816899999999897</v>
      </c>
      <c r="AD2571">
        <v>-1.0338189900000001</v>
      </c>
      <c r="AE2571">
        <v>-7.0689000000000402</v>
      </c>
      <c r="AF2571">
        <v>-5.3949424294659396</v>
      </c>
      <c r="AG2571">
        <v>-1.0338189900000001</v>
      </c>
      <c r="AH2571">
        <v>42.040235600768597</v>
      </c>
      <c r="AI2571">
        <v>91.397233592187405</v>
      </c>
      <c r="AJ2571">
        <v>97.312689741806906</v>
      </c>
      <c r="AK2571">
        <v>42.3975894938552</v>
      </c>
      <c r="AL2571">
        <v>87.528628793962696</v>
      </c>
      <c r="AM2571">
        <v>87.033517650412307</v>
      </c>
      <c r="AN2571">
        <v>0.999999981506975</v>
      </c>
    </row>
    <row r="2572" spans="1:40" x14ac:dyDescent="0.25">
      <c r="A2572" t="str">
        <f>"20190312154846637"</f>
        <v>20190312154846637</v>
      </c>
      <c r="B2572" t="str">
        <f>"1552376926628816"</f>
        <v>1552376926628816</v>
      </c>
      <c r="C2572" t="s">
        <v>40</v>
      </c>
      <c r="D2572">
        <v>4.3734989999999998</v>
      </c>
      <c r="E2572">
        <v>0.432811</v>
      </c>
      <c r="F2572" t="s">
        <v>49</v>
      </c>
      <c r="G2572">
        <v>-500.017</v>
      </c>
      <c r="H2572">
        <v>8.0001470000000005E-2</v>
      </c>
      <c r="I2572">
        <v>276.12950000000001</v>
      </c>
      <c r="J2572">
        <v>-458.47949999999997</v>
      </c>
      <c r="K2572">
        <v>1.1107800000000001</v>
      </c>
      <c r="L2572">
        <v>283.19099999999997</v>
      </c>
      <c r="M2572">
        <v>-0.9990774</v>
      </c>
      <c r="N2572">
        <v>0</v>
      </c>
      <c r="O2572">
        <v>-4.071632E-2</v>
      </c>
      <c r="P2572">
        <v>-0.99950799999999995</v>
      </c>
      <c r="Q2572">
        <v>2.929315E-2</v>
      </c>
      <c r="R2572">
        <v>1.121871E-2</v>
      </c>
      <c r="S2572">
        <v>-3.0097659999999999</v>
      </c>
      <c r="T2572">
        <v>-7.4133630000000006E-2</v>
      </c>
      <c r="U2572">
        <v>-0.50881960000000004</v>
      </c>
      <c r="V2572">
        <v>5.1830580000000001E-2</v>
      </c>
      <c r="W2572">
        <v>4.3029680000000001E-2</v>
      </c>
      <c r="X2572">
        <v>0.99772850000000002</v>
      </c>
      <c r="Y2572">
        <v>-0.12637709999999999</v>
      </c>
      <c r="Z2572">
        <v>-5.5049629999999895E-4</v>
      </c>
      <c r="AA2572">
        <v>0.99198209999999998</v>
      </c>
      <c r="AB2572">
        <v>31</v>
      </c>
      <c r="AC2572">
        <v>-41.537500000000001</v>
      </c>
      <c r="AD2572">
        <v>-1.0307785300000001</v>
      </c>
      <c r="AE2572">
        <v>-7.0614999999999597</v>
      </c>
      <c r="AF2572">
        <v>-5.3610225740815602</v>
      </c>
      <c r="AG2572">
        <v>-1.0307785300000001</v>
      </c>
      <c r="AH2572">
        <v>41.765596164349702</v>
      </c>
      <c r="AI2572">
        <v>91.4022775205774</v>
      </c>
      <c r="AJ2572">
        <v>97.314476753419498</v>
      </c>
      <c r="AK2572">
        <v>42.120874758025501</v>
      </c>
      <c r="AL2572">
        <v>87.533819649088201</v>
      </c>
      <c r="AM2572">
        <v>87.026238675103897</v>
      </c>
      <c r="AN2572">
        <v>1.0000000610481401</v>
      </c>
    </row>
    <row r="2573" spans="1:40" x14ac:dyDescent="0.25">
      <c r="A2573" t="str">
        <f>"20190312154846660"</f>
        <v>20190312154846660</v>
      </c>
      <c r="B2573" t="str">
        <f>"1552376926648336"</f>
        <v>1552376926648336</v>
      </c>
      <c r="C2573" t="s">
        <v>40</v>
      </c>
      <c r="D2573">
        <v>4.3972350000000002</v>
      </c>
      <c r="E2573">
        <v>0.43284739999999999</v>
      </c>
      <c r="F2573" t="s">
        <v>49</v>
      </c>
      <c r="G2573">
        <v>-499.97129999999999</v>
      </c>
      <c r="H2573">
        <v>6.3604640000000004E-2</v>
      </c>
      <c r="I2573">
        <v>276.1481</v>
      </c>
      <c r="J2573">
        <v>-458.78930000000003</v>
      </c>
      <c r="K2573">
        <v>1.1107769999999999</v>
      </c>
      <c r="L2573">
        <v>283.17739999999998</v>
      </c>
      <c r="M2573">
        <v>-0.9990407</v>
      </c>
      <c r="N2573">
        <v>0</v>
      </c>
      <c r="O2573">
        <v>-4.1604200000000001E-2</v>
      </c>
      <c r="P2573">
        <v>-0.99951310000000004</v>
      </c>
      <c r="Q2573">
        <v>2.933827E-2</v>
      </c>
      <c r="R2573">
        <v>1.063716E-2</v>
      </c>
      <c r="S2573">
        <v>-3.0094599999999998</v>
      </c>
      <c r="T2573">
        <v>-7.5953010000000001E-2</v>
      </c>
      <c r="U2573">
        <v>-0.51083369999999995</v>
      </c>
      <c r="V2573">
        <v>5.2137999999999997E-2</v>
      </c>
      <c r="W2573">
        <v>4.3072069999999997E-2</v>
      </c>
      <c r="X2573">
        <v>0.9977106</v>
      </c>
      <c r="Y2573">
        <v>-0.1261565</v>
      </c>
      <c r="Z2573">
        <v>-5.3907219999999999E-4</v>
      </c>
      <c r="AA2573">
        <v>0.99201019999999895</v>
      </c>
      <c r="AB2573">
        <v>31</v>
      </c>
      <c r="AC2573">
        <v>-41.181999999999903</v>
      </c>
      <c r="AD2573">
        <v>-1.04717236</v>
      </c>
      <c r="AE2573">
        <v>-7.0292999999999699</v>
      </c>
      <c r="AF2573">
        <v>-5.3063746404044601</v>
      </c>
      <c r="AG2573">
        <v>-1.04717236</v>
      </c>
      <c r="AH2573">
        <v>41.412793867024398</v>
      </c>
      <c r="AI2573">
        <v>91.436742717486993</v>
      </c>
      <c r="AJ2573">
        <v>97.301733325363003</v>
      </c>
      <c r="AK2573">
        <v>41.7645026026712</v>
      </c>
      <c r="AL2573">
        <v>87.531388495779794</v>
      </c>
      <c r="AM2573">
        <v>87.008578930061802</v>
      </c>
      <c r="AN2573">
        <v>1.00000000780522</v>
      </c>
    </row>
    <row r="2574" spans="1:40" x14ac:dyDescent="0.25">
      <c r="A2574" t="str">
        <f>"20190312154846682"</f>
        <v>20190312154846682</v>
      </c>
      <c r="B2574" t="str">
        <f>"1552376926678592"</f>
        <v>1552376926678592</v>
      </c>
      <c r="C2574" t="s">
        <v>40</v>
      </c>
      <c r="D2574">
        <v>4.3744199999999998</v>
      </c>
      <c r="E2574">
        <v>0.4329481</v>
      </c>
      <c r="F2574" t="s">
        <v>49</v>
      </c>
      <c r="G2574">
        <v>-499.95890000000003</v>
      </c>
      <c r="H2574">
        <v>5.1136750000000002E-2</v>
      </c>
      <c r="I2574">
        <v>276.16680000000002</v>
      </c>
      <c r="J2574">
        <v>-459.09620000000001</v>
      </c>
      <c r="K2574">
        <v>1.1107750000000001</v>
      </c>
      <c r="L2574">
        <v>283.16370000000001</v>
      </c>
      <c r="M2574">
        <v>-0.99900389999999994</v>
      </c>
      <c r="N2574">
        <v>0</v>
      </c>
      <c r="O2574">
        <v>-4.2480200000000003E-2</v>
      </c>
      <c r="P2574">
        <v>-0.99954069999999995</v>
      </c>
      <c r="Q2574">
        <v>2.863446E-2</v>
      </c>
      <c r="R2574">
        <v>9.9218680000000004E-3</v>
      </c>
      <c r="S2574">
        <v>-3.0091549999999998</v>
      </c>
      <c r="T2574">
        <v>-7.7450989999999997E-2</v>
      </c>
      <c r="U2574">
        <v>-0.51242069999999995</v>
      </c>
      <c r="V2574">
        <v>5.2301519999999997E-2</v>
      </c>
      <c r="W2574">
        <v>4.2365569999999998E-2</v>
      </c>
      <c r="X2574">
        <v>0.99773230000000002</v>
      </c>
      <c r="Y2574">
        <v>-0.12581110000000001</v>
      </c>
      <c r="Z2574">
        <v>-5.2299140000000002E-4</v>
      </c>
      <c r="AA2574">
        <v>0.99205410000000005</v>
      </c>
      <c r="AB2574">
        <v>31</v>
      </c>
      <c r="AC2574">
        <v>-40.862699999999997</v>
      </c>
      <c r="AD2574">
        <v>-1.0596382499999999</v>
      </c>
      <c r="AE2574">
        <v>-6.9968999999999797</v>
      </c>
      <c r="AF2574">
        <v>-5.2511345468617101</v>
      </c>
      <c r="AG2574">
        <v>-1.0596382499999999</v>
      </c>
      <c r="AH2574">
        <v>41.096216117128101</v>
      </c>
      <c r="AI2574">
        <v>91.465099263200401</v>
      </c>
      <c r="AJ2574">
        <v>97.281602106130904</v>
      </c>
      <c r="AK2574">
        <v>41.443892510185499</v>
      </c>
      <c r="AL2574">
        <v>87.571904971708094</v>
      </c>
      <c r="AM2574">
        <v>86.999279225745894</v>
      </c>
      <c r="AN2574">
        <v>1.00000001648951</v>
      </c>
    </row>
    <row r="2575" spans="1:40" x14ac:dyDescent="0.25">
      <c r="A2575" t="str">
        <f>"20190312154846704"</f>
        <v>20190312154846704</v>
      </c>
      <c r="B2575" t="str">
        <f>"1552376926698112"</f>
        <v>1552376926698112</v>
      </c>
      <c r="C2575" t="s">
        <v>40</v>
      </c>
      <c r="D2575">
        <v>4.3897349999999999</v>
      </c>
      <c r="E2575">
        <v>0.43300230000000001</v>
      </c>
      <c r="F2575" t="s">
        <v>49</v>
      </c>
      <c r="G2575">
        <v>-499.95350000000002</v>
      </c>
      <c r="H2575" s="1">
        <v>1.157673E-6</v>
      </c>
      <c r="I2575">
        <v>276.18549999999999</v>
      </c>
      <c r="J2575">
        <v>-459.41149999999999</v>
      </c>
      <c r="K2575">
        <v>1.11077</v>
      </c>
      <c r="L2575">
        <v>283.14929999999998</v>
      </c>
      <c r="M2575">
        <v>-0.99896529999999994</v>
      </c>
      <c r="N2575">
        <v>0</v>
      </c>
      <c r="O2575">
        <v>-4.3378060000000003E-2</v>
      </c>
      <c r="P2575">
        <v>-0.9995501</v>
      </c>
      <c r="Q2575">
        <v>2.8488200000000002E-2</v>
      </c>
      <c r="R2575">
        <v>9.3794949999999998E-3</v>
      </c>
      <c r="S2575">
        <v>-3.0087890000000002</v>
      </c>
      <c r="T2575">
        <v>-8.1798910000000002E-2</v>
      </c>
      <c r="U2575">
        <v>-0.5138855</v>
      </c>
      <c r="V2575">
        <v>5.2658129999999997E-2</v>
      </c>
      <c r="W2575">
        <v>4.2217879999999999E-2</v>
      </c>
      <c r="X2575">
        <v>0.99771980000000005</v>
      </c>
      <c r="Y2575">
        <v>-0.12540609999999999</v>
      </c>
      <c r="Z2575">
        <v>-5.2275219999999999E-4</v>
      </c>
      <c r="AA2575">
        <v>0.99210540000000003</v>
      </c>
      <c r="AB2575">
        <v>31</v>
      </c>
      <c r="AC2575">
        <v>-40.542000000000002</v>
      </c>
      <c r="AD2575">
        <v>-1.1107688423269999</v>
      </c>
      <c r="AE2575">
        <v>-6.9637999999999902</v>
      </c>
      <c r="AF2575">
        <v>-5.1946588594058296</v>
      </c>
      <c r="AG2575">
        <v>-1.1107688423269999</v>
      </c>
      <c r="AH2575">
        <v>40.7762047664283</v>
      </c>
      <c r="AI2575">
        <v>91.547882479615197</v>
      </c>
      <c r="AJ2575">
        <v>97.260052946501602</v>
      </c>
      <c r="AK2575">
        <v>41.120763164615198</v>
      </c>
      <c r="AL2575">
        <v>87.580374556151895</v>
      </c>
      <c r="AM2575">
        <v>86.978819259397795</v>
      </c>
      <c r="AN2575">
        <v>1.00000001367941</v>
      </c>
    </row>
    <row r="2576" spans="1:40" x14ac:dyDescent="0.25">
      <c r="A2576" t="str">
        <f>"20190312154846727"</f>
        <v>20190312154846727</v>
      </c>
      <c r="B2576" t="str">
        <f>"1552376926718607"</f>
        <v>1552376926718607</v>
      </c>
      <c r="C2576" t="s">
        <v>40</v>
      </c>
      <c r="D2576">
        <v>4.3959039999999998</v>
      </c>
      <c r="E2576">
        <v>0.43301479999999998</v>
      </c>
      <c r="F2576" t="s">
        <v>49</v>
      </c>
      <c r="G2576">
        <v>-499.55160000000001</v>
      </c>
      <c r="H2576" s="1">
        <v>1.244895E-6</v>
      </c>
      <c r="I2576">
        <v>276.27589999999998</v>
      </c>
      <c r="J2576">
        <v>-459.71260000000001</v>
      </c>
      <c r="K2576">
        <v>1.110765</v>
      </c>
      <c r="L2576">
        <v>283.13529999999997</v>
      </c>
      <c r="M2576">
        <v>-0.99892769999999997</v>
      </c>
      <c r="N2576">
        <v>0</v>
      </c>
      <c r="O2576">
        <v>-4.4235169999999997E-2</v>
      </c>
      <c r="P2576">
        <v>-0.99955450000000001</v>
      </c>
      <c r="Q2576">
        <v>2.8689570000000001E-2</v>
      </c>
      <c r="R2576">
        <v>8.2350830000000007E-3</v>
      </c>
      <c r="S2576">
        <v>-3.0085449999999998</v>
      </c>
      <c r="T2576">
        <v>-8.3253259999999996E-2</v>
      </c>
      <c r="U2576">
        <v>-0.51516720000000005</v>
      </c>
      <c r="V2576">
        <v>5.2371429999999997E-2</v>
      </c>
      <c r="W2576">
        <v>4.241702E-2</v>
      </c>
      <c r="X2576">
        <v>0.99772640000000001</v>
      </c>
      <c r="Y2576">
        <v>-0.1249783</v>
      </c>
      <c r="Z2576">
        <v>-5.027101E-4</v>
      </c>
      <c r="AA2576">
        <v>0.99215940000000002</v>
      </c>
      <c r="AB2576">
        <v>31</v>
      </c>
      <c r="AC2576">
        <v>-39.838999999999999</v>
      </c>
      <c r="AD2576">
        <v>-1.110763755105</v>
      </c>
      <c r="AE2576">
        <v>-6.8593999999999902</v>
      </c>
      <c r="AF2576">
        <v>-5.0863947661472997</v>
      </c>
      <c r="AG2576">
        <v>-1.110763755105</v>
      </c>
      <c r="AH2576">
        <v>40.073196492040204</v>
      </c>
      <c r="AI2576">
        <v>91.575108326824306</v>
      </c>
      <c r="AJ2576">
        <v>97.233734798247696</v>
      </c>
      <c r="AK2576">
        <v>40.409977541770701</v>
      </c>
      <c r="AL2576">
        <v>87.568954337967597</v>
      </c>
      <c r="AM2576">
        <v>86.995257854355003</v>
      </c>
      <c r="AN2576">
        <v>0.99999996976144201</v>
      </c>
    </row>
    <row r="2577" spans="1:40" x14ac:dyDescent="0.25">
      <c r="A2577" t="str">
        <f>"20190312154846748"</f>
        <v>20190312154846748</v>
      </c>
      <c r="B2577" t="str">
        <f>"1552376926738128"</f>
        <v>1552376926738128</v>
      </c>
      <c r="C2577" t="s">
        <v>40</v>
      </c>
      <c r="D2577">
        <v>4.383038</v>
      </c>
      <c r="E2577">
        <v>0.43304930000000003</v>
      </c>
      <c r="F2577" t="s">
        <v>49</v>
      </c>
      <c r="G2577">
        <v>-499.51889999999997</v>
      </c>
      <c r="H2577" s="1">
        <v>1.2504210000000001E-6</v>
      </c>
      <c r="I2577">
        <v>276.27429999999998</v>
      </c>
      <c r="J2577">
        <v>-460.02609999999999</v>
      </c>
      <c r="K2577">
        <v>1.1107640000000001</v>
      </c>
      <c r="L2577">
        <v>283.12040000000002</v>
      </c>
      <c r="M2577">
        <v>-0.99888790000000005</v>
      </c>
      <c r="N2577">
        <v>0</v>
      </c>
      <c r="O2577">
        <v>-4.5127590000000002E-2</v>
      </c>
      <c r="P2577">
        <v>-0.99956060000000002</v>
      </c>
      <c r="Q2577">
        <v>2.8755470000000002E-2</v>
      </c>
      <c r="R2577">
        <v>7.2043089999999999E-3</v>
      </c>
      <c r="S2577">
        <v>-3.0080260000000001</v>
      </c>
      <c r="T2577">
        <v>-8.3936810000000001E-2</v>
      </c>
      <c r="U2577">
        <v>-0.51846309999999995</v>
      </c>
      <c r="V2577">
        <v>5.2233920000000003E-2</v>
      </c>
      <c r="W2577">
        <v>4.2479910000000003E-2</v>
      </c>
      <c r="X2577">
        <v>0.99773100000000003</v>
      </c>
      <c r="Y2577">
        <v>-0.12517609999999901</v>
      </c>
      <c r="Z2577">
        <v>-4.8496969999999999E-4</v>
      </c>
      <c r="AA2577">
        <v>0.99213450000000003</v>
      </c>
      <c r="AB2577">
        <v>31</v>
      </c>
      <c r="AC2577">
        <v>-39.492799999999903</v>
      </c>
      <c r="AD2577">
        <v>-1.11076274957899</v>
      </c>
      <c r="AE2577">
        <v>-6.8461000000000301</v>
      </c>
      <c r="AF2577">
        <v>-5.0528625549307797</v>
      </c>
      <c r="AG2577">
        <v>-1.11076274957899</v>
      </c>
      <c r="AH2577">
        <v>39.731022752349801</v>
      </c>
      <c r="AI2577">
        <v>91.588615738807604</v>
      </c>
      <c r="AJ2577">
        <v>97.247783405278696</v>
      </c>
      <c r="AK2577">
        <v>40.0664371117849</v>
      </c>
      <c r="AL2577">
        <v>87.565347918726999</v>
      </c>
      <c r="AM2577">
        <v>87.003146701607093</v>
      </c>
      <c r="AN2577">
        <v>1.00000003675658</v>
      </c>
    </row>
    <row r="2578" spans="1:40" x14ac:dyDescent="0.25">
      <c r="A2578" t="str">
        <f>"20190312154846771"</f>
        <v>20190312154846771</v>
      </c>
      <c r="B2578" t="str">
        <f>"1552376926758624"</f>
        <v>1552376926758624</v>
      </c>
      <c r="C2578" t="s">
        <v>40</v>
      </c>
      <c r="D2578">
        <v>4.3659520000000001</v>
      </c>
      <c r="E2578">
        <v>0.43306080000000002</v>
      </c>
      <c r="F2578" t="s">
        <v>49</v>
      </c>
      <c r="G2578">
        <v>-499.57810000000001</v>
      </c>
      <c r="H2578" s="1">
        <v>1.237944E-6</v>
      </c>
      <c r="I2578">
        <v>276.26319999999998</v>
      </c>
      <c r="J2578">
        <v>-460.3304</v>
      </c>
      <c r="K2578">
        <v>1.11076</v>
      </c>
      <c r="L2578">
        <v>283.10570000000001</v>
      </c>
      <c r="M2578">
        <v>-0.99884839999999997</v>
      </c>
      <c r="N2578">
        <v>0</v>
      </c>
      <c r="O2578">
        <v>-4.5994390000000003E-2</v>
      </c>
      <c r="P2578">
        <v>-0.99955629999999995</v>
      </c>
      <c r="Q2578">
        <v>2.8992759999999999E-2</v>
      </c>
      <c r="R2578">
        <v>6.8392899999999996E-3</v>
      </c>
      <c r="S2578">
        <v>-3.0075069999999999</v>
      </c>
      <c r="T2578">
        <v>-8.4461690000000006E-2</v>
      </c>
      <c r="U2578">
        <v>-0.52142330000000003</v>
      </c>
      <c r="V2578">
        <v>5.2735160000000003E-2</v>
      </c>
      <c r="W2578">
        <v>4.2716209999999998E-2</v>
      </c>
      <c r="X2578">
        <v>0.99769450000000004</v>
      </c>
      <c r="Y2578">
        <v>-0.12529189999999901</v>
      </c>
      <c r="Z2578">
        <v>-4.6556990000000002E-4</v>
      </c>
      <c r="AA2578">
        <v>0.9921198</v>
      </c>
      <c r="AB2578">
        <v>31</v>
      </c>
      <c r="AC2578">
        <v>-39.247700000000002</v>
      </c>
      <c r="AD2578">
        <v>-1.110758762056</v>
      </c>
      <c r="AE2578">
        <v>-6.8425000000000296</v>
      </c>
      <c r="AF2578">
        <v>-5.0260080569259804</v>
      </c>
      <c r="AG2578">
        <v>-1.110758762056</v>
      </c>
      <c r="AH2578">
        <v>39.490205224900102</v>
      </c>
      <c r="AI2578">
        <v>91.598273522041694</v>
      </c>
      <c r="AJ2578">
        <v>97.253168823683296</v>
      </c>
      <c r="AK2578">
        <v>39.824249531165002</v>
      </c>
      <c r="AL2578">
        <v>87.551796519927905</v>
      </c>
      <c r="AM2578">
        <v>86.974331402932705</v>
      </c>
      <c r="AN2578">
        <v>0.99999999351361901</v>
      </c>
    </row>
    <row r="2579" spans="1:40" x14ac:dyDescent="0.25">
      <c r="A2579" t="str">
        <f>"20190312154846793"</f>
        <v>20190312154846793</v>
      </c>
      <c r="B2579" t="str">
        <f>"1552376926788715"</f>
        <v>1552376926788715</v>
      </c>
      <c r="C2579" t="s">
        <v>40</v>
      </c>
      <c r="D2579">
        <v>4.3627019999999996</v>
      </c>
      <c r="E2579">
        <v>0.43305860000000002</v>
      </c>
      <c r="F2579" t="s">
        <v>49</v>
      </c>
      <c r="G2579">
        <v>-499.78960000000001</v>
      </c>
      <c r="H2579" s="1">
        <v>1.1979969999999999E-6</v>
      </c>
      <c r="I2579">
        <v>276.24939999999998</v>
      </c>
      <c r="J2579">
        <v>-460.64210000000003</v>
      </c>
      <c r="K2579">
        <v>1.1107579999999999</v>
      </c>
      <c r="L2579">
        <v>283.09039999999999</v>
      </c>
      <c r="M2579">
        <v>-0.998807</v>
      </c>
      <c r="N2579">
        <v>0</v>
      </c>
      <c r="O2579">
        <v>-4.6883609999999999E-2</v>
      </c>
      <c r="P2579">
        <v>-0.9995522</v>
      </c>
      <c r="Q2579">
        <v>2.9119160000000002E-2</v>
      </c>
      <c r="R2579">
        <v>6.9030059999999997E-3</v>
      </c>
      <c r="S2579">
        <v>-3.007355</v>
      </c>
      <c r="T2579">
        <v>-8.4655519999999998E-2</v>
      </c>
      <c r="U2579">
        <v>-0.52255249999999998</v>
      </c>
      <c r="V2579">
        <v>5.3687209999999999E-2</v>
      </c>
      <c r="W2579">
        <v>4.284197E-2</v>
      </c>
      <c r="X2579">
        <v>0.99763829999999998</v>
      </c>
      <c r="Y2579">
        <v>-0.1247791</v>
      </c>
      <c r="Z2579">
        <v>-4.3471429999999999E-4</v>
      </c>
      <c r="AA2579">
        <v>0.99218450000000002</v>
      </c>
      <c r="AB2579">
        <v>31</v>
      </c>
      <c r="AC2579">
        <v>-39.147499999999901</v>
      </c>
      <c r="AD2579">
        <v>-1.1107568020030001</v>
      </c>
      <c r="AE2579">
        <v>-6.8410000000000002</v>
      </c>
      <c r="AF2579">
        <v>-4.9940272833177897</v>
      </c>
      <c r="AG2579">
        <v>-1.1107568020030001</v>
      </c>
      <c r="AH2579">
        <v>39.394429249612998</v>
      </c>
      <c r="AI2579">
        <v>91.602254972096603</v>
      </c>
      <c r="AJ2579">
        <v>97.224841362080397</v>
      </c>
      <c r="AK2579">
        <v>39.725245689391002</v>
      </c>
      <c r="AL2579">
        <v>87.544584328499297</v>
      </c>
      <c r="AM2579">
        <v>86.919638808043899</v>
      </c>
      <c r="AN2579">
        <v>0.99999996426897597</v>
      </c>
    </row>
    <row r="2580" spans="1:40" x14ac:dyDescent="0.25">
      <c r="A2580" t="str">
        <f>"20190312154846815"</f>
        <v>20190312154846815</v>
      </c>
      <c r="B2580" t="str">
        <f>"1552376926808232"</f>
        <v>1552376926808232</v>
      </c>
      <c r="C2580" t="s">
        <v>40</v>
      </c>
      <c r="D2580">
        <v>4.3566399999999996</v>
      </c>
      <c r="E2580">
        <v>0.43303960000000002</v>
      </c>
      <c r="F2580" t="s">
        <v>49</v>
      </c>
      <c r="G2580">
        <v>-499.649</v>
      </c>
      <c r="H2580" s="1">
        <v>1.2339909999999999E-6</v>
      </c>
      <c r="I2580">
        <v>276.31209999999999</v>
      </c>
      <c r="J2580">
        <v>-460.93920000000003</v>
      </c>
      <c r="K2580">
        <v>1.1107579999999999</v>
      </c>
      <c r="L2580">
        <v>283.07549999999998</v>
      </c>
      <c r="M2580">
        <v>-0.99876690000000001</v>
      </c>
      <c r="N2580">
        <v>0</v>
      </c>
      <c r="O2580">
        <v>-4.7731820000000001E-2</v>
      </c>
      <c r="P2580">
        <v>-0.9995619</v>
      </c>
      <c r="Q2580">
        <v>2.8819290000000001E-2</v>
      </c>
      <c r="R2580">
        <v>6.7543100000000003E-3</v>
      </c>
      <c r="S2580">
        <v>-3.0074770000000002</v>
      </c>
      <c r="T2580">
        <v>-8.5640670000000002E-2</v>
      </c>
      <c r="U2580">
        <v>-0.52261349999999995</v>
      </c>
      <c r="V2580">
        <v>5.4387499999999998E-2</v>
      </c>
      <c r="W2580">
        <v>4.2540889999999998E-2</v>
      </c>
      <c r="X2580">
        <v>0.99761330000000004</v>
      </c>
      <c r="Y2580">
        <v>-0.1239492</v>
      </c>
      <c r="Z2580">
        <v>-4.0412400000000001E-4</v>
      </c>
      <c r="AA2580">
        <v>0.99228850000000002</v>
      </c>
      <c r="AB2580">
        <v>31</v>
      </c>
      <c r="AC2580">
        <v>-38.709799999999902</v>
      </c>
      <c r="AD2580">
        <v>-1.1107567660090001</v>
      </c>
      <c r="AE2580">
        <v>-6.7633999999999901</v>
      </c>
      <c r="AF2580">
        <v>-4.9039100286397401</v>
      </c>
      <c r="AG2580">
        <v>-1.1107567660090001</v>
      </c>
      <c r="AH2580">
        <v>38.957403083366302</v>
      </c>
      <c r="AI2580">
        <v>91.620399008027903</v>
      </c>
      <c r="AJ2580">
        <v>97.174586241670895</v>
      </c>
      <c r="AK2580">
        <v>39.280546955994701</v>
      </c>
      <c r="AL2580">
        <v>87.561850800343194</v>
      </c>
      <c r="AM2580">
        <v>86.879459771605895</v>
      </c>
      <c r="AN2580">
        <v>1.00000001190756</v>
      </c>
    </row>
    <row r="2581" spans="1:40" x14ac:dyDescent="0.25">
      <c r="A2581" t="str">
        <f>"20190312154846838"</f>
        <v>20190312154846838</v>
      </c>
      <c r="B2581" t="str">
        <f>"1552376926828726"</f>
        <v>1552376926828726</v>
      </c>
      <c r="C2581" t="s">
        <v>40</v>
      </c>
      <c r="D2581">
        <v>4.292573</v>
      </c>
      <c r="E2581">
        <v>0.43298940000000002</v>
      </c>
      <c r="F2581" t="s">
        <v>49</v>
      </c>
      <c r="G2581">
        <v>-499.02370000000002</v>
      </c>
      <c r="H2581" s="1">
        <v>1.36913999999999E-6</v>
      </c>
      <c r="I2581">
        <v>276.44970000000001</v>
      </c>
      <c r="J2581">
        <v>-461.2516</v>
      </c>
      <c r="K2581">
        <v>1.110757</v>
      </c>
      <c r="L2581">
        <v>283.05959999999999</v>
      </c>
      <c r="M2581">
        <v>-0.9987239</v>
      </c>
      <c r="N2581">
        <v>0</v>
      </c>
      <c r="O2581">
        <v>-4.8624500000000001E-2</v>
      </c>
      <c r="P2581">
        <v>-0.99958089999999999</v>
      </c>
      <c r="Q2581">
        <v>2.8325550000000001E-2</v>
      </c>
      <c r="R2581">
        <v>6.0028929999999996E-3</v>
      </c>
      <c r="S2581">
        <v>-3.0074160000000001</v>
      </c>
      <c r="T2581">
        <v>-8.7713120000000006E-2</v>
      </c>
      <c r="U2581">
        <v>-0.52322389999999996</v>
      </c>
      <c r="V2581">
        <v>5.4530910000000002E-2</v>
      </c>
      <c r="W2581">
        <v>4.204542E-2</v>
      </c>
      <c r="X2581">
        <v>0.99762649999999997</v>
      </c>
      <c r="Y2581">
        <v>-0.1232603</v>
      </c>
      <c r="Z2581">
        <v>-3.7817120000000002E-4</v>
      </c>
      <c r="AA2581">
        <v>0.99237430000000004</v>
      </c>
      <c r="AB2581">
        <v>31</v>
      </c>
      <c r="AC2581">
        <v>-37.772100000000002</v>
      </c>
      <c r="AD2581">
        <v>-1.11075563086</v>
      </c>
      <c r="AE2581">
        <v>-6.6098999999999801</v>
      </c>
      <c r="AF2581">
        <v>-4.7612643625595101</v>
      </c>
      <c r="AG2581">
        <v>-1.11075563086</v>
      </c>
      <c r="AH2581">
        <v>38.016946538766298</v>
      </c>
      <c r="AI2581">
        <v>91.660591209792599</v>
      </c>
      <c r="AJ2581">
        <v>97.138587994006997</v>
      </c>
      <c r="AK2581">
        <v>38.3300357491756</v>
      </c>
      <c r="AL2581">
        <v>87.590264620424804</v>
      </c>
      <c r="AM2581">
        <v>86.871289113283098</v>
      </c>
      <c r="AN2581">
        <v>1.00000003549532</v>
      </c>
    </row>
    <row r="2582" spans="1:40" x14ac:dyDescent="0.25">
      <c r="A2582" t="str">
        <f>"20190312154846859"</f>
        <v>20190312154846859</v>
      </c>
      <c r="B2582" t="str">
        <f>"1552376926848246"</f>
        <v>1552376926848246</v>
      </c>
      <c r="C2582" t="s">
        <v>40</v>
      </c>
      <c r="D2582">
        <v>4.3049710000000001</v>
      </c>
      <c r="E2582">
        <v>0.43291560000000001</v>
      </c>
      <c r="F2582" t="s">
        <v>49</v>
      </c>
      <c r="G2582">
        <v>-498.26690000000002</v>
      </c>
      <c r="H2582" s="1">
        <v>1.5271430000000001E-6</v>
      </c>
      <c r="I2582">
        <v>276.58460000000002</v>
      </c>
      <c r="J2582">
        <v>-461.55709999999999</v>
      </c>
      <c r="K2582">
        <v>1.1107499999999999</v>
      </c>
      <c r="L2582">
        <v>283.04379999999998</v>
      </c>
      <c r="M2582">
        <v>-0.99868100000000004</v>
      </c>
      <c r="N2582">
        <v>0</v>
      </c>
      <c r="O2582">
        <v>-4.9497390000000002E-2</v>
      </c>
      <c r="P2582">
        <v>-0.99959120000000001</v>
      </c>
      <c r="Q2582">
        <v>2.8151599999999902E-2</v>
      </c>
      <c r="R2582">
        <v>5.0103040000000001E-3</v>
      </c>
      <c r="S2582">
        <v>-3.006958</v>
      </c>
      <c r="T2582">
        <v>-9.0232850000000003E-2</v>
      </c>
      <c r="U2582">
        <v>-0.52600100000000005</v>
      </c>
      <c r="V2582">
        <v>5.4412969999999998E-2</v>
      </c>
      <c r="W2582">
        <v>4.1869620000000003E-2</v>
      </c>
      <c r="X2582">
        <v>0.99764030000000004</v>
      </c>
      <c r="Y2582">
        <v>-0.1233065</v>
      </c>
      <c r="Z2582">
        <v>-3.6383889999999999E-4</v>
      </c>
      <c r="AA2582">
        <v>0.99236860000000005</v>
      </c>
      <c r="AB2582">
        <v>31</v>
      </c>
      <c r="AC2582">
        <v>-36.709800000000001</v>
      </c>
      <c r="AD2582">
        <v>-1.1107484728569901</v>
      </c>
      <c r="AE2582">
        <v>-6.4591999999999503</v>
      </c>
      <c r="AF2582">
        <v>-4.6299611118515598</v>
      </c>
      <c r="AG2582">
        <v>-1.1107484728569901</v>
      </c>
      <c r="AH2582">
        <v>36.9517239028863</v>
      </c>
      <c r="AI2582">
        <v>91.708410783515504</v>
      </c>
      <c r="AJ2582">
        <v>97.141802785251798</v>
      </c>
      <c r="AK2582">
        <v>37.257216770209098</v>
      </c>
      <c r="AL2582">
        <v>87.600346016167407</v>
      </c>
      <c r="AM2582">
        <v>86.878085619882896</v>
      </c>
      <c r="AN2582">
        <v>1.00000000228362</v>
      </c>
    </row>
    <row r="2583" spans="1:40" x14ac:dyDescent="0.25">
      <c r="A2583" t="str">
        <f>"20190312154846882"</f>
        <v>20190312154846882</v>
      </c>
      <c r="B2583" t="str">
        <f>"1552376926878033"</f>
        <v>1552376926878033</v>
      </c>
      <c r="C2583" t="s">
        <v>40</v>
      </c>
      <c r="D2583">
        <v>4.2821660000000001</v>
      </c>
      <c r="E2583">
        <v>0.43279129999999899</v>
      </c>
      <c r="F2583" t="s">
        <v>49</v>
      </c>
      <c r="G2583">
        <v>-497.94060000000002</v>
      </c>
      <c r="H2583" s="1">
        <v>1.5938589999999901E-6</v>
      </c>
      <c r="I2583">
        <v>276.63470000000001</v>
      </c>
      <c r="J2583">
        <v>-461.86720000000003</v>
      </c>
      <c r="K2583">
        <v>1.1107479999999901</v>
      </c>
      <c r="L2583">
        <v>283.0274</v>
      </c>
      <c r="M2583">
        <v>-0.99863679999999999</v>
      </c>
      <c r="N2583">
        <v>0</v>
      </c>
      <c r="O2583">
        <v>-5.0383629999999999E-2</v>
      </c>
      <c r="P2583">
        <v>-0.99959290000000001</v>
      </c>
      <c r="Q2583">
        <v>2.8270460000000001E-2</v>
      </c>
      <c r="R2583">
        <v>3.8740089999999999E-3</v>
      </c>
      <c r="S2583">
        <v>-3.0064700000000002</v>
      </c>
      <c r="T2583">
        <v>-9.1784359999999995E-2</v>
      </c>
      <c r="U2583">
        <v>-0.52960209999999996</v>
      </c>
      <c r="V2583">
        <v>5.416369E-2</v>
      </c>
      <c r="W2583">
        <v>4.1986339999999997E-2</v>
      </c>
      <c r="X2583">
        <v>0.99764900000000001</v>
      </c>
      <c r="Y2583">
        <v>-0.1236054</v>
      </c>
      <c r="Z2583">
        <v>-3.4788970000000001E-4</v>
      </c>
      <c r="AA2583">
        <v>0.99233139999999997</v>
      </c>
      <c r="AB2583">
        <v>31</v>
      </c>
      <c r="AC2583">
        <v>-36.0733999999999</v>
      </c>
      <c r="AD2583">
        <v>-1.110746406141</v>
      </c>
      <c r="AE2583">
        <v>-6.3926999999999898</v>
      </c>
      <c r="AF2583">
        <v>-4.5627072460309597</v>
      </c>
      <c r="AG2583">
        <v>-1.110746406141</v>
      </c>
      <c r="AH2583">
        <v>36.316310198777998</v>
      </c>
      <c r="AI2583">
        <v>91.738207789524296</v>
      </c>
      <c r="AJ2583">
        <v>97.161003772325998</v>
      </c>
      <c r="AK2583">
        <v>36.618662474831098</v>
      </c>
      <c r="AL2583">
        <v>87.593652663959901</v>
      </c>
      <c r="AM2583">
        <v>86.892386872864705</v>
      </c>
      <c r="AN2583">
        <v>1.0000000426310001</v>
      </c>
    </row>
    <row r="2584" spans="1:40" x14ac:dyDescent="0.25">
      <c r="A2584" t="str">
        <f>"20190312154846906"</f>
        <v>20190312154846906</v>
      </c>
      <c r="B2584" t="str">
        <f>"1552376926898530"</f>
        <v>1552376926898530</v>
      </c>
      <c r="C2584" t="s">
        <v>40</v>
      </c>
      <c r="D2584">
        <v>4.2783499999999997</v>
      </c>
      <c r="E2584">
        <v>0.43267939999999999</v>
      </c>
      <c r="F2584" t="s">
        <v>49</v>
      </c>
      <c r="G2584">
        <v>-497.98020000000002</v>
      </c>
      <c r="H2584" s="1">
        <v>1.5831609999999999E-6</v>
      </c>
      <c r="I2584">
        <v>276.6139</v>
      </c>
      <c r="J2584">
        <v>-462.17329999999998</v>
      </c>
      <c r="K2584">
        <v>1.110743</v>
      </c>
      <c r="L2584">
        <v>283.01100000000002</v>
      </c>
      <c r="M2584">
        <v>-0.99859219999999904</v>
      </c>
      <c r="N2584">
        <v>0</v>
      </c>
      <c r="O2584">
        <v>-5.1257839999999999E-2</v>
      </c>
      <c r="P2584">
        <v>-0.99958179999999996</v>
      </c>
      <c r="Q2584">
        <v>2.879512E-2</v>
      </c>
      <c r="R2584">
        <v>2.6928659999999999E-3</v>
      </c>
      <c r="S2584">
        <v>-3.0059200000000001</v>
      </c>
      <c r="T2584">
        <v>-9.2454910000000001E-2</v>
      </c>
      <c r="U2584">
        <v>-0.53384399999999999</v>
      </c>
      <c r="V2584">
        <v>5.3856510000000003E-2</v>
      </c>
      <c r="W2584">
        <v>4.250897E-2</v>
      </c>
      <c r="X2584">
        <v>0.99764350000000002</v>
      </c>
      <c r="Y2584">
        <v>-0.1241252</v>
      </c>
      <c r="Z2584">
        <v>-3.3180310000000001E-4</v>
      </c>
      <c r="AA2584">
        <v>0.99226650000000005</v>
      </c>
      <c r="AB2584">
        <v>31</v>
      </c>
      <c r="AC2584">
        <v>-35.806899999999999</v>
      </c>
      <c r="AD2584">
        <v>-1.110741416839</v>
      </c>
      <c r="AE2584">
        <v>-6.39709999999996</v>
      </c>
      <c r="AF2584">
        <v>-4.5488920186795303</v>
      </c>
      <c r="AG2584">
        <v>-1.110741416839</v>
      </c>
      <c r="AH2584">
        <v>36.054133071539198</v>
      </c>
      <c r="AI2584">
        <v>91.7507169016137</v>
      </c>
      <c r="AJ2584">
        <v>97.190920904101603</v>
      </c>
      <c r="AK2584">
        <v>36.356934367915898</v>
      </c>
      <c r="AL2584">
        <v>87.563681417305901</v>
      </c>
      <c r="AM2584">
        <v>86.909959909541897</v>
      </c>
      <c r="AN2584">
        <v>1.00000004464604</v>
      </c>
    </row>
    <row r="2585" spans="1:40" x14ac:dyDescent="0.25">
      <c r="A2585" t="str">
        <f>"20190312154846928"</f>
        <v>20190312154846928</v>
      </c>
      <c r="B2585" t="str">
        <f>"1552376926918049"</f>
        <v>1552376926918049</v>
      </c>
      <c r="C2585" t="s">
        <v>40</v>
      </c>
      <c r="D2585">
        <v>4.2560440000000002</v>
      </c>
      <c r="E2585">
        <v>0.432562</v>
      </c>
      <c r="F2585" t="s">
        <v>49</v>
      </c>
      <c r="G2585">
        <v>-498.666</v>
      </c>
      <c r="H2585" s="1">
        <v>1.4366060000000001E-6</v>
      </c>
      <c r="I2585">
        <v>276.47250000000003</v>
      </c>
      <c r="J2585">
        <v>-462.48700000000002</v>
      </c>
      <c r="K2585">
        <v>1.1107450000000001</v>
      </c>
      <c r="L2585">
        <v>282.99400000000003</v>
      </c>
      <c r="M2585">
        <v>-0.99854580000000004</v>
      </c>
      <c r="N2585">
        <v>0</v>
      </c>
      <c r="O2585">
        <v>-5.2154579999999999E-2</v>
      </c>
      <c r="P2585">
        <v>-0.99958539999999996</v>
      </c>
      <c r="Q2585">
        <v>2.875904E-2</v>
      </c>
      <c r="R2585">
        <v>1.477325E-3</v>
      </c>
      <c r="S2585">
        <v>-3.005341</v>
      </c>
      <c r="T2585">
        <v>-9.1474769999999997E-2</v>
      </c>
      <c r="U2585">
        <v>-0.53848269999999998</v>
      </c>
      <c r="V2585">
        <v>5.3539370000000003E-2</v>
      </c>
      <c r="W2585">
        <v>4.2469899999999998E-2</v>
      </c>
      <c r="X2585">
        <v>0.99766220000000005</v>
      </c>
      <c r="Y2585">
        <v>-0.12475219999999999</v>
      </c>
      <c r="Z2585">
        <v>-3.1079909999999998E-4</v>
      </c>
      <c r="AA2585">
        <v>0.99218790000000001</v>
      </c>
      <c r="AB2585">
        <v>31</v>
      </c>
      <c r="AC2585">
        <v>-36.179000000000002</v>
      </c>
      <c r="AD2585">
        <v>-1.1107435633939999</v>
      </c>
      <c r="AE2585">
        <v>-6.5214999999999996</v>
      </c>
      <c r="AF2585">
        <v>-4.6213276558638299</v>
      </c>
      <c r="AG2585">
        <v>-1.1107435633939999</v>
      </c>
      <c r="AH2585">
        <v>36.436646473306403</v>
      </c>
      <c r="AI2585">
        <v>91.732209397216806</v>
      </c>
      <c r="AJ2585">
        <v>97.228336070797795</v>
      </c>
      <c r="AK2585">
        <v>36.745334762214199</v>
      </c>
      <c r="AL2585">
        <v>87.565921904610306</v>
      </c>
      <c r="AM2585">
        <v>86.928178467356204</v>
      </c>
      <c r="AN2585">
        <v>1.0000000109274201</v>
      </c>
    </row>
    <row r="2586" spans="1:40" x14ac:dyDescent="0.25">
      <c r="A2586" t="str">
        <f>"20190312154846949"</f>
        <v>20190312154846949</v>
      </c>
      <c r="B2586" t="str">
        <f>"1552376926938546"</f>
        <v>1552376926938546</v>
      </c>
      <c r="C2586" t="s">
        <v>40</v>
      </c>
      <c r="D2586">
        <v>4.2557280000000004</v>
      </c>
      <c r="E2586">
        <v>0.43242409999999998</v>
      </c>
      <c r="F2586" t="s">
        <v>49</v>
      </c>
      <c r="G2586">
        <v>-498.685</v>
      </c>
      <c r="H2586" s="1">
        <v>1.4296339999999999E-6</v>
      </c>
      <c r="I2586">
        <v>276.45209999999997</v>
      </c>
      <c r="J2586">
        <v>-462.77980000000002</v>
      </c>
      <c r="K2586">
        <v>1.1107499999999999</v>
      </c>
      <c r="L2586">
        <v>282.97770000000003</v>
      </c>
      <c r="M2586">
        <v>-0.99850170000000005</v>
      </c>
      <c r="N2586">
        <v>0</v>
      </c>
      <c r="O2586">
        <v>-5.2992060000000001E-2</v>
      </c>
      <c r="P2586">
        <v>-0.99958809999999998</v>
      </c>
      <c r="Q2586">
        <v>2.8689269999999999E-2</v>
      </c>
      <c r="R2586">
        <v>7.2026179999999998E-4</v>
      </c>
      <c r="S2586">
        <v>-3.0047299999999999</v>
      </c>
      <c r="T2586">
        <v>-9.2200760000000007E-2</v>
      </c>
      <c r="U2586">
        <v>-0.54302980000000001</v>
      </c>
      <c r="V2586">
        <v>5.3620880000000003E-2</v>
      </c>
      <c r="W2586">
        <v>4.239892E-2</v>
      </c>
      <c r="X2586">
        <v>0.99766080000000001</v>
      </c>
      <c r="Y2586">
        <v>-0.12540889999999999</v>
      </c>
      <c r="Z2586">
        <v>-2.9789209999999999E-4</v>
      </c>
      <c r="AA2586">
        <v>0.99210509999999996</v>
      </c>
      <c r="AB2586">
        <v>31</v>
      </c>
      <c r="AC2586">
        <v>-35.905199999999901</v>
      </c>
      <c r="AD2586">
        <v>-1.1107485703659901</v>
      </c>
      <c r="AE2586">
        <v>-6.5256000000000496</v>
      </c>
      <c r="AF2586">
        <v>-4.6092916209554504</v>
      </c>
      <c r="AG2586">
        <v>-1.1107485703659901</v>
      </c>
      <c r="AH2586">
        <v>36.167073050766597</v>
      </c>
      <c r="AI2586">
        <v>91.7449867707587</v>
      </c>
      <c r="AJ2586">
        <v>97.262874823408495</v>
      </c>
      <c r="AK2586">
        <v>36.476519909293202</v>
      </c>
      <c r="AL2586">
        <v>87.569992324825094</v>
      </c>
      <c r="AM2586">
        <v>86.923506498881906</v>
      </c>
      <c r="AN2586">
        <v>0.99999996952288905</v>
      </c>
    </row>
    <row r="2587" spans="1:40" x14ac:dyDescent="0.25">
      <c r="A2587" t="str">
        <f>"20190312154846972"</f>
        <v>20190312154846972</v>
      </c>
      <c r="B2587" t="str">
        <f>"1552376926967826"</f>
        <v>1552376926967826</v>
      </c>
      <c r="C2587" t="s">
        <v>40</v>
      </c>
      <c r="D2587">
        <v>4.2142670000000004</v>
      </c>
      <c r="E2587">
        <v>0.42265789999999998</v>
      </c>
      <c r="F2587" t="s">
        <v>49</v>
      </c>
      <c r="G2587">
        <v>-498.61540000000002</v>
      </c>
      <c r="H2587" s="1">
        <v>1.443106E-6</v>
      </c>
      <c r="I2587">
        <v>276.45850000000002</v>
      </c>
      <c r="J2587">
        <v>-463.08699999999999</v>
      </c>
      <c r="K2587">
        <v>1.1107479999999901</v>
      </c>
      <c r="L2587">
        <v>282.96050000000002</v>
      </c>
      <c r="M2587">
        <v>-0.99845470000000003</v>
      </c>
      <c r="N2587">
        <v>0</v>
      </c>
      <c r="O2587">
        <v>-5.3870679999999997E-2</v>
      </c>
      <c r="P2587">
        <v>-0.99958899999999995</v>
      </c>
      <c r="Q2587">
        <v>2.8667809999999998E-2</v>
      </c>
      <c r="R2587">
        <v>-3.7849509999999999E-4</v>
      </c>
      <c r="S2587">
        <v>-3.0042719999999998</v>
      </c>
      <c r="T2587">
        <v>-9.3119259999999995E-2</v>
      </c>
      <c r="U2587">
        <v>-0.54653929999999995</v>
      </c>
      <c r="V2587">
        <v>5.3402270000000002E-2</v>
      </c>
      <c r="W2587">
        <v>4.2375099999999999E-2</v>
      </c>
      <c r="X2587">
        <v>0.99767360000000005</v>
      </c>
      <c r="Y2587">
        <v>-0.12568409999999999</v>
      </c>
      <c r="Z2587">
        <v>-2.7819960000000001E-4</v>
      </c>
      <c r="AA2587">
        <v>0.99207029999999996</v>
      </c>
      <c r="AB2587">
        <v>31</v>
      </c>
      <c r="AC2587">
        <v>-35.528399999999998</v>
      </c>
      <c r="AD2587">
        <v>-1.11074655689399</v>
      </c>
      <c r="AE2587">
        <v>-6.5019999999999998</v>
      </c>
      <c r="AF2587">
        <v>-4.5741136578852899</v>
      </c>
      <c r="AG2587">
        <v>-1.11074655689399</v>
      </c>
      <c r="AH2587">
        <v>35.793249014430899</v>
      </c>
      <c r="AI2587">
        <v>91.763119693374605</v>
      </c>
      <c r="AJ2587">
        <v>97.282506467297793</v>
      </c>
      <c r="AK2587">
        <v>36.101425853807498</v>
      </c>
      <c r="AL2587">
        <v>87.571358489450503</v>
      </c>
      <c r="AM2587">
        <v>86.936064517112797</v>
      </c>
      <c r="AN2587">
        <v>1.0000000318390601</v>
      </c>
    </row>
    <row r="2588" spans="1:40" x14ac:dyDescent="0.25">
      <c r="A2588" t="str">
        <f>"20190312154846995"</f>
        <v>20190312154846995</v>
      </c>
      <c r="B2588" t="str">
        <f>"1552376926988322"</f>
        <v>1552376926988322</v>
      </c>
      <c r="C2588" t="s">
        <v>40</v>
      </c>
      <c r="D2588">
        <v>4.2273339999999999</v>
      </c>
      <c r="E2588">
        <v>0.41831669999999999</v>
      </c>
      <c r="F2588" t="s">
        <v>49</v>
      </c>
      <c r="G2588">
        <v>-491.34829999999999</v>
      </c>
      <c r="H2588" s="1">
        <v>2.5024439999999999E-6</v>
      </c>
      <c r="I2588">
        <v>277.04430000000002</v>
      </c>
      <c r="J2588">
        <v>-463.39479999999998</v>
      </c>
      <c r="K2588">
        <v>1.1107479999999901</v>
      </c>
      <c r="L2588">
        <v>282.94290000000001</v>
      </c>
      <c r="M2588">
        <v>-0.99840680000000004</v>
      </c>
      <c r="N2588">
        <v>0</v>
      </c>
      <c r="O2588">
        <v>-5.4751080000000001E-2</v>
      </c>
      <c r="P2588">
        <v>-0.99958829999999999</v>
      </c>
      <c r="Q2588">
        <v>2.867372E-2</v>
      </c>
      <c r="R2588">
        <v>-1.1796210000000001E-3</v>
      </c>
      <c r="S2588">
        <v>-3.0043950000000001</v>
      </c>
      <c r="T2588">
        <v>-0.1180809</v>
      </c>
      <c r="U2588">
        <v>-0.62893679999999996</v>
      </c>
      <c r="V2588">
        <v>5.3482620000000002E-2</v>
      </c>
      <c r="W2588">
        <v>4.2378909999999999E-2</v>
      </c>
      <c r="X2588">
        <v>0.99766909999999998</v>
      </c>
      <c r="Y2588">
        <v>-0.15092469999999999</v>
      </c>
      <c r="Z2588">
        <v>-8.0858850000000001E-4</v>
      </c>
      <c r="AA2588">
        <v>0.98854489999999995</v>
      </c>
      <c r="AB2588">
        <v>31</v>
      </c>
      <c r="AC2588">
        <v>-27.953499999999998</v>
      </c>
      <c r="AD2588">
        <v>-1.1107454975559901</v>
      </c>
      <c r="AE2588">
        <v>-5.8985999999999796</v>
      </c>
      <c r="AF2588">
        <v>-4.3525445397334801</v>
      </c>
      <c r="AG2588">
        <v>-1.1107454975559901</v>
      </c>
      <c r="AH2588">
        <v>28.191932759212499</v>
      </c>
      <c r="AI2588">
        <v>92.229860842676999</v>
      </c>
      <c r="AJ2588">
        <v>98.776583597981997</v>
      </c>
      <c r="AK2588">
        <v>28.5475650840954</v>
      </c>
      <c r="AL2588">
        <v>87.571139913719406</v>
      </c>
      <c r="AM2588">
        <v>86.931449454907195</v>
      </c>
      <c r="AN2588">
        <v>0.99999999787483096</v>
      </c>
    </row>
    <row r="2589" spans="1:40" x14ac:dyDescent="0.25">
      <c r="A2589" t="str">
        <f>"20190312154847016"</f>
        <v>20190312154847016</v>
      </c>
      <c r="B2589" t="str">
        <f>"1552376927007842"</f>
        <v>1552376927007842</v>
      </c>
      <c r="C2589" t="s">
        <v>40</v>
      </c>
      <c r="D2589">
        <v>4.1909390000000002</v>
      </c>
      <c r="E2589">
        <v>0.41628939999999998</v>
      </c>
      <c r="F2589" t="s">
        <v>49</v>
      </c>
      <c r="G2589">
        <v>-490.34449999999998</v>
      </c>
      <c r="H2589" s="1">
        <v>2.5635620000000001E-6</v>
      </c>
      <c r="I2589">
        <v>276.96530000000001</v>
      </c>
      <c r="J2589">
        <v>-463.69200000000001</v>
      </c>
      <c r="K2589">
        <v>1.110749</v>
      </c>
      <c r="L2589">
        <v>282.92570000000001</v>
      </c>
      <c r="M2589">
        <v>-0.99836000000000003</v>
      </c>
      <c r="N2589">
        <v>0</v>
      </c>
      <c r="O2589">
        <v>-5.5601329999999997E-2</v>
      </c>
      <c r="P2589">
        <v>-0.99958910000000001</v>
      </c>
      <c r="Q2589">
        <v>2.8605370000000001E-2</v>
      </c>
      <c r="R2589">
        <v>-1.8711159999999999E-3</v>
      </c>
      <c r="S2589">
        <v>-3.0039669999999998</v>
      </c>
      <c r="T2589">
        <v>-0.123810199999999</v>
      </c>
      <c r="U2589">
        <v>-0.6662903</v>
      </c>
      <c r="V2589">
        <v>5.3642269999999999E-2</v>
      </c>
      <c r="W2589">
        <v>4.2308869999999998E-2</v>
      </c>
      <c r="X2589">
        <v>0.99766350000000004</v>
      </c>
      <c r="Y2589">
        <v>-0.1618329</v>
      </c>
      <c r="Z2589">
        <v>-1.034531E-3</v>
      </c>
      <c r="AA2589">
        <v>0.98681770000000002</v>
      </c>
      <c r="AB2589">
        <v>31</v>
      </c>
      <c r="AC2589">
        <v>-26.6525</v>
      </c>
      <c r="AD2589">
        <v>-1.110746436438</v>
      </c>
      <c r="AE2589">
        <v>-5.9603999999999902</v>
      </c>
      <c r="AF2589">
        <v>-4.4617455652392399</v>
      </c>
      <c r="AG2589">
        <v>-1.110746436438</v>
      </c>
      <c r="AH2589">
        <v>26.898207085238599</v>
      </c>
      <c r="AI2589">
        <v>92.332814233396604</v>
      </c>
      <c r="AJ2589">
        <v>99.418194643912997</v>
      </c>
      <c r="AK2589">
        <v>27.288357875390201</v>
      </c>
      <c r="AL2589">
        <v>87.575156509107103</v>
      </c>
      <c r="AM2589">
        <v>86.922289921651796</v>
      </c>
      <c r="AN2589">
        <v>0.99999999642183901</v>
      </c>
    </row>
    <row r="2590" spans="1:40" x14ac:dyDescent="0.25">
      <c r="A2590" t="str">
        <f>"20190312154847039"</f>
        <v>20190312154847039</v>
      </c>
      <c r="B2590" t="str">
        <f>"1552376927028338"</f>
        <v>1552376927028338</v>
      </c>
      <c r="C2590" t="s">
        <v>40</v>
      </c>
      <c r="D2590">
        <v>4.2225789999999996</v>
      </c>
      <c r="E2590">
        <v>0.41506799999999999</v>
      </c>
      <c r="F2590" t="s">
        <v>49</v>
      </c>
      <c r="G2590">
        <v>-491.81200000000001</v>
      </c>
      <c r="H2590" s="1">
        <v>2.2748830000000002E-6</v>
      </c>
      <c r="I2590">
        <v>276.51690000000002</v>
      </c>
      <c r="J2590">
        <v>-464.00529999999998</v>
      </c>
      <c r="K2590">
        <v>1.1107499999999999</v>
      </c>
      <c r="L2590">
        <v>282.90719999999999</v>
      </c>
      <c r="M2590">
        <v>-0.99830969999999997</v>
      </c>
      <c r="N2590">
        <v>0</v>
      </c>
      <c r="O2590">
        <v>-5.6497470000000001E-2</v>
      </c>
      <c r="P2590">
        <v>-0.99958740000000001</v>
      </c>
      <c r="Q2590">
        <v>2.8630010000000001E-2</v>
      </c>
      <c r="R2590">
        <v>-2.321427E-3</v>
      </c>
      <c r="S2590">
        <v>-3.0033259999999999</v>
      </c>
      <c r="T2590">
        <v>-0.118632</v>
      </c>
      <c r="U2590">
        <v>-0.68447880000000005</v>
      </c>
      <c r="V2590">
        <v>5.408872E-2</v>
      </c>
      <c r="W2590">
        <v>4.2332219999999997E-2</v>
      </c>
      <c r="X2590">
        <v>0.99763840000000004</v>
      </c>
      <c r="Y2590">
        <v>-0.16668250000000001</v>
      </c>
      <c r="Z2590">
        <v>-1.050683E-3</v>
      </c>
      <c r="AA2590">
        <v>0.9860101</v>
      </c>
      <c r="AB2590">
        <v>31</v>
      </c>
      <c r="AC2590">
        <v>-27.8066999999999</v>
      </c>
      <c r="AD2590">
        <v>-1.1107477251169999</v>
      </c>
      <c r="AE2590">
        <v>-6.3902999999999599</v>
      </c>
      <c r="AF2590">
        <v>-4.8016596686352901</v>
      </c>
      <c r="AG2590">
        <v>-1.1107477251169999</v>
      </c>
      <c r="AH2590">
        <v>28.080787750435299</v>
      </c>
      <c r="AI2590">
        <v>92.232804573350293</v>
      </c>
      <c r="AJ2590">
        <v>99.703415192120801</v>
      </c>
      <c r="AK2590">
        <v>28.510004152354099</v>
      </c>
      <c r="AL2590">
        <v>87.573817441792798</v>
      </c>
      <c r="AM2590">
        <v>86.896646915103602</v>
      </c>
      <c r="AN2590">
        <v>0.99999999181796295</v>
      </c>
    </row>
    <row r="2591" spans="1:40" x14ac:dyDescent="0.25">
      <c r="A2591" t="str">
        <f>"20190312154847061"</f>
        <v>20190312154847061</v>
      </c>
      <c r="B2591" t="str">
        <f>"1552376927058594"</f>
        <v>1552376927058594</v>
      </c>
      <c r="C2591" t="s">
        <v>40</v>
      </c>
      <c r="D2591">
        <v>4.224831</v>
      </c>
      <c r="E2591">
        <v>0.4142324</v>
      </c>
      <c r="F2591" t="s">
        <v>49</v>
      </c>
      <c r="G2591">
        <v>-491.62049999999999</v>
      </c>
      <c r="H2591" s="1">
        <v>2.2898059999999998E-6</v>
      </c>
      <c r="I2591">
        <v>276.5111</v>
      </c>
      <c r="J2591">
        <v>-464.30340000000001</v>
      </c>
      <c r="K2591">
        <v>1.110744</v>
      </c>
      <c r="L2591">
        <v>282.88940000000002</v>
      </c>
      <c r="M2591">
        <v>-0.99826099999999995</v>
      </c>
      <c r="N2591">
        <v>0</v>
      </c>
      <c r="O2591">
        <v>-5.735022E-2</v>
      </c>
      <c r="P2591">
        <v>-0.99959419999999999</v>
      </c>
      <c r="Q2591">
        <v>2.8356240000000001E-2</v>
      </c>
      <c r="R2591">
        <v>-2.722314E-3</v>
      </c>
      <c r="S2591">
        <v>-3.0030519999999998</v>
      </c>
      <c r="T2591">
        <v>-0.1207898</v>
      </c>
      <c r="U2591">
        <v>-0.69555659999999997</v>
      </c>
      <c r="V2591">
        <v>5.4541989999999999E-2</v>
      </c>
      <c r="W2591">
        <v>4.205685E-2</v>
      </c>
      <c r="X2591">
        <v>0.9976254</v>
      </c>
      <c r="Y2591">
        <v>-0.16930979999999901</v>
      </c>
      <c r="Z2591">
        <v>-1.087932E-3</v>
      </c>
      <c r="AA2591">
        <v>0.9855623</v>
      </c>
      <c r="AB2591">
        <v>31</v>
      </c>
      <c r="AC2591">
        <v>-27.3170999999999</v>
      </c>
      <c r="AD2591">
        <v>-1.110741710194</v>
      </c>
      <c r="AE2591">
        <v>-6.3783000000000198</v>
      </c>
      <c r="AF2591">
        <v>-4.7934973264037302</v>
      </c>
      <c r="AG2591">
        <v>-1.110741710194</v>
      </c>
      <c r="AH2591">
        <v>27.594697737998001</v>
      </c>
      <c r="AI2591">
        <v>92.271051321780405</v>
      </c>
      <c r="AJ2591">
        <v>99.854559668688694</v>
      </c>
      <c r="AK2591">
        <v>28.029960881465399</v>
      </c>
      <c r="AL2591">
        <v>87.589609119798297</v>
      </c>
      <c r="AM2591">
        <v>86.870651218050597</v>
      </c>
      <c r="AN2591">
        <v>1.00000002301512</v>
      </c>
    </row>
    <row r="2592" spans="1:40" x14ac:dyDescent="0.25">
      <c r="A2592" t="str">
        <f>"20190312154847083"</f>
        <v>20190312154847083</v>
      </c>
      <c r="B2592" t="str">
        <f>"1552376927078114"</f>
        <v>1552376927078114</v>
      </c>
      <c r="C2592" t="s">
        <v>40</v>
      </c>
      <c r="D2592">
        <v>4.2746890000000004</v>
      </c>
      <c r="E2592">
        <v>0.41394259999999999</v>
      </c>
      <c r="F2592" t="s">
        <v>49</v>
      </c>
      <c r="G2592">
        <v>-489.89830000000001</v>
      </c>
      <c r="H2592" s="1">
        <v>2.5603100000000001E-6</v>
      </c>
      <c r="I2592">
        <v>276.88900000000001</v>
      </c>
      <c r="J2592">
        <v>-464.61290000000002</v>
      </c>
      <c r="K2592">
        <v>1.1107370000000001</v>
      </c>
      <c r="L2592">
        <v>282.8707</v>
      </c>
      <c r="M2592">
        <v>-0.99820989999999998</v>
      </c>
      <c r="N2592">
        <v>0</v>
      </c>
      <c r="O2592">
        <v>-5.823598E-2</v>
      </c>
      <c r="P2592">
        <v>-0.99958899999999995</v>
      </c>
      <c r="Q2592">
        <v>2.8439010000000001E-2</v>
      </c>
      <c r="R2592">
        <v>-3.650557E-3</v>
      </c>
      <c r="S2592">
        <v>-3.0029599999999999</v>
      </c>
      <c r="T2592">
        <v>-0.13031960000000001</v>
      </c>
      <c r="U2592">
        <v>-0.70401000000000002</v>
      </c>
      <c r="V2592">
        <v>5.4500760000000002E-2</v>
      </c>
      <c r="W2592">
        <v>4.2137380000000002E-2</v>
      </c>
      <c r="X2592">
        <v>0.99762419999999996</v>
      </c>
      <c r="Y2592">
        <v>-0.1710583</v>
      </c>
      <c r="Z2592">
        <v>-1.1730829999999999E-3</v>
      </c>
      <c r="AA2592">
        <v>0.98526020000000003</v>
      </c>
      <c r="AB2592">
        <v>31</v>
      </c>
      <c r="AC2592">
        <v>-25.2853999999999</v>
      </c>
      <c r="AD2592">
        <v>-1.1107344396900001</v>
      </c>
      <c r="AE2592">
        <v>-5.9816999999999796</v>
      </c>
      <c r="AF2592">
        <v>-4.4906833126982004</v>
      </c>
      <c r="AG2592">
        <v>-1.1107344396900001</v>
      </c>
      <c r="AH2592">
        <v>25.544182048592798</v>
      </c>
      <c r="AI2592">
        <v>92.452257469929194</v>
      </c>
      <c r="AJ2592">
        <v>99.970749094838197</v>
      </c>
      <c r="AK2592">
        <v>25.9596842072878</v>
      </c>
      <c r="AL2592">
        <v>87.584990864053196</v>
      </c>
      <c r="AM2592">
        <v>86.873008340720403</v>
      </c>
      <c r="AN2592">
        <v>0.99999996802974001</v>
      </c>
    </row>
    <row r="2593" spans="1:40" x14ac:dyDescent="0.25">
      <c r="A2593" t="str">
        <f>"20190312154847118"</f>
        <v>20190312154847118</v>
      </c>
      <c r="B2593" t="str">
        <f>"1552376927108371"</f>
        <v>1552376927108371</v>
      </c>
      <c r="C2593" t="s">
        <v>40</v>
      </c>
      <c r="D2593">
        <v>4.2795110000000003</v>
      </c>
      <c r="E2593">
        <v>0.41280790000000001</v>
      </c>
      <c r="F2593" t="s">
        <v>49</v>
      </c>
      <c r="G2593">
        <v>-489.41430000000003</v>
      </c>
      <c r="H2593" s="1">
        <v>2.5182779999999999E-6</v>
      </c>
      <c r="I2593">
        <v>277.0129</v>
      </c>
      <c r="J2593">
        <v>-465.06720000000001</v>
      </c>
      <c r="K2593">
        <v>1.1107370000000001</v>
      </c>
      <c r="L2593">
        <v>282.84269999999998</v>
      </c>
      <c r="M2593">
        <v>-0.9981331</v>
      </c>
      <c r="N2593">
        <v>0</v>
      </c>
      <c r="O2593">
        <v>-5.9536800000000001E-2</v>
      </c>
      <c r="P2593">
        <v>-0.99958219999999998</v>
      </c>
      <c r="Q2593">
        <v>2.8407539999999998E-2</v>
      </c>
      <c r="R2593">
        <v>-5.3709359999999998E-3</v>
      </c>
      <c r="S2593">
        <v>-3.0024410000000001</v>
      </c>
      <c r="T2593">
        <v>-0.13446449999999999</v>
      </c>
      <c r="U2593">
        <v>-0.70913700000000002</v>
      </c>
      <c r="V2593">
        <v>5.4084180000000003E-2</v>
      </c>
      <c r="W2593">
        <v>4.2103069999999999E-2</v>
      </c>
      <c r="X2593">
        <v>0.99764839999999999</v>
      </c>
      <c r="Y2593">
        <v>-0.17140079999999999</v>
      </c>
      <c r="Z2593">
        <v>-1.160746E-3</v>
      </c>
      <c r="AA2593">
        <v>0.98520070000000004</v>
      </c>
      <c r="AB2593">
        <v>31</v>
      </c>
      <c r="AC2593">
        <v>-24.347100000000001</v>
      </c>
      <c r="AD2593">
        <v>-1.110734481722</v>
      </c>
      <c r="AE2593">
        <v>-5.8297999999999703</v>
      </c>
      <c r="AF2593">
        <v>-4.3611890674162002</v>
      </c>
      <c r="AG2593">
        <v>-1.110734481722</v>
      </c>
      <c r="AH2593">
        <v>24.6025949963167</v>
      </c>
      <c r="AI2593">
        <v>92.545351265296205</v>
      </c>
      <c r="AJ2593">
        <v>100.052138302524</v>
      </c>
      <c r="AK2593">
        <v>25.0108252907301</v>
      </c>
      <c r="AL2593">
        <v>87.5869586227833</v>
      </c>
      <c r="AM2593">
        <v>86.896937932871893</v>
      </c>
      <c r="AN2593">
        <v>1.00000004852612</v>
      </c>
    </row>
    <row r="2594" spans="1:40" x14ac:dyDescent="0.25">
      <c r="A2594" t="str">
        <f>"20190312154847139"</f>
        <v>20190312154847139</v>
      </c>
      <c r="B2594" t="str">
        <f>"1552376927128866"</f>
        <v>1552376927128866</v>
      </c>
      <c r="C2594" t="s">
        <v>40</v>
      </c>
      <c r="D2594">
        <v>4.2508679999999996</v>
      </c>
      <c r="E2594">
        <v>0.41215889999999999</v>
      </c>
      <c r="F2594" t="s">
        <v>49</v>
      </c>
      <c r="G2594">
        <v>-490.0471</v>
      </c>
      <c r="H2594" s="1">
        <v>2.5393910000000002E-6</v>
      </c>
      <c r="I2594">
        <v>276.82240000000002</v>
      </c>
      <c r="J2594">
        <v>-465.37</v>
      </c>
      <c r="K2594">
        <v>1.1107340000000001</v>
      </c>
      <c r="L2594">
        <v>282.8236</v>
      </c>
      <c r="M2594">
        <v>-0.99808110000000005</v>
      </c>
      <c r="N2594">
        <v>0</v>
      </c>
      <c r="O2594">
        <v>-6.0403499999999999E-2</v>
      </c>
      <c r="P2594">
        <v>-0.99957149999999995</v>
      </c>
      <c r="Q2594">
        <v>2.861402E-2</v>
      </c>
      <c r="R2594">
        <v>-6.205716E-3</v>
      </c>
      <c r="S2594">
        <v>-3.00116</v>
      </c>
      <c r="T2594">
        <v>-0.13344710000000001</v>
      </c>
      <c r="U2594">
        <v>-0.72329709999999903</v>
      </c>
      <c r="V2594">
        <v>5.4116499999999998E-2</v>
      </c>
      <c r="W2594">
        <v>4.2307930000000001E-2</v>
      </c>
      <c r="X2594">
        <v>0.99763789999999997</v>
      </c>
      <c r="Y2594">
        <v>-0.17503529999999901</v>
      </c>
      <c r="Z2594">
        <v>-1.193749E-3</v>
      </c>
      <c r="AA2594">
        <v>0.98456140000000003</v>
      </c>
      <c r="AB2594">
        <v>30</v>
      </c>
      <c r="AC2594">
        <v>-24.677099999999999</v>
      </c>
      <c r="AD2594">
        <v>-1.110731460609</v>
      </c>
      <c r="AE2594">
        <v>-6.0011999999999803</v>
      </c>
      <c r="AF2594">
        <v>-4.4909281380455397</v>
      </c>
      <c r="AG2594">
        <v>-1.110731460609</v>
      </c>
      <c r="AH2594">
        <v>24.946840346063901</v>
      </c>
      <c r="AI2594">
        <v>92.509070775234804</v>
      </c>
      <c r="AJ2594">
        <v>100.205079085908</v>
      </c>
      <c r="AK2594">
        <v>25.3721698553883</v>
      </c>
      <c r="AL2594">
        <v>87.575210346485406</v>
      </c>
      <c r="AM2594">
        <v>86.895054595834594</v>
      </c>
      <c r="AN2594">
        <v>0.99999996801477198</v>
      </c>
    </row>
    <row r="2595" spans="1:40" x14ac:dyDescent="0.25">
      <c r="A2595" t="str">
        <f>"20190312154847162"</f>
        <v>20190312154847162</v>
      </c>
      <c r="B2595" t="str">
        <f>"1552376927158146"</f>
        <v>1552376927158146</v>
      </c>
      <c r="C2595" t="s">
        <v>40</v>
      </c>
      <c r="D2595">
        <v>4.3125660000000003</v>
      </c>
      <c r="E2595">
        <v>0.41143869999999999</v>
      </c>
      <c r="F2595" t="s">
        <v>49</v>
      </c>
      <c r="G2595">
        <v>-490.37439999999998</v>
      </c>
      <c r="H2595" s="1">
        <v>2.4775879999999999E-6</v>
      </c>
      <c r="I2595">
        <v>276.7296</v>
      </c>
      <c r="J2595">
        <v>-465.66989999999998</v>
      </c>
      <c r="K2595">
        <v>1.110733</v>
      </c>
      <c r="L2595">
        <v>282.80459999999999</v>
      </c>
      <c r="M2595">
        <v>-0.99802880000000005</v>
      </c>
      <c r="N2595">
        <v>0</v>
      </c>
      <c r="O2595">
        <v>-6.126185E-2</v>
      </c>
      <c r="P2595">
        <v>-0.9995754</v>
      </c>
      <c r="Q2595">
        <v>2.83857E-2</v>
      </c>
      <c r="R2595">
        <v>-6.5827409999999996E-3</v>
      </c>
      <c r="S2595">
        <v>-3.0005799999999998</v>
      </c>
      <c r="T2595">
        <v>-0.13329009999999999</v>
      </c>
      <c r="U2595">
        <v>-0.73129270000000002</v>
      </c>
      <c r="V2595">
        <v>5.4599269999999998E-2</v>
      </c>
      <c r="W2595">
        <v>4.207781E-2</v>
      </c>
      <c r="X2595">
        <v>0.99762139999999999</v>
      </c>
      <c r="Y2595">
        <v>-0.17670910000000001</v>
      </c>
      <c r="Z2595">
        <v>-1.1915020000000001E-3</v>
      </c>
      <c r="AA2595">
        <v>0.98426239999999998</v>
      </c>
      <c r="AB2595">
        <v>30</v>
      </c>
      <c r="AC2595">
        <v>-24.704499999999999</v>
      </c>
      <c r="AD2595">
        <v>-1.1107305224120001</v>
      </c>
      <c r="AE2595">
        <v>-6.0749999999999797</v>
      </c>
      <c r="AF2595">
        <v>-4.54134693574649</v>
      </c>
      <c r="AG2595">
        <v>-1.1107305224120001</v>
      </c>
      <c r="AH2595">
        <v>24.982668110551501</v>
      </c>
      <c r="AI2595">
        <v>92.504703665004499</v>
      </c>
      <c r="AJ2595">
        <v>100.30272331144801</v>
      </c>
      <c r="AK2595">
        <v>25.416358122402201</v>
      </c>
      <c r="AL2595">
        <v>87.588407177391105</v>
      </c>
      <c r="AM2595">
        <v>86.867358782615298</v>
      </c>
      <c r="AN2595">
        <v>1.0000000400584399</v>
      </c>
    </row>
    <row r="2596" spans="1:40" x14ac:dyDescent="0.25">
      <c r="A2596" t="str">
        <f>"20190312154847184"</f>
        <v>20190312154847184</v>
      </c>
      <c r="B2596" t="str">
        <f>"1552376927178642"</f>
        <v>1552376927178642</v>
      </c>
      <c r="C2596" t="s">
        <v>40</v>
      </c>
      <c r="D2596">
        <v>4.3280120000000002</v>
      </c>
      <c r="E2596">
        <v>0.4110588</v>
      </c>
      <c r="F2596" t="s">
        <v>49</v>
      </c>
      <c r="G2596">
        <v>-490.44619999999998</v>
      </c>
      <c r="H2596" s="1">
        <v>2.464396E-6</v>
      </c>
      <c r="I2596">
        <v>276.71030000000002</v>
      </c>
      <c r="J2596">
        <v>-465.97390000000001</v>
      </c>
      <c r="K2596">
        <v>1.110733</v>
      </c>
      <c r="L2596">
        <v>282.78489999999999</v>
      </c>
      <c r="M2596">
        <v>-0.99797499999999995</v>
      </c>
      <c r="N2596">
        <v>0</v>
      </c>
      <c r="O2596">
        <v>-6.213225E-2</v>
      </c>
      <c r="P2596">
        <v>-0.99959410000000004</v>
      </c>
      <c r="Q2596">
        <v>2.7538130000000001E-2</v>
      </c>
      <c r="R2596">
        <v>-7.3188019999999897E-3</v>
      </c>
      <c r="S2596">
        <v>-3.0002749999999998</v>
      </c>
      <c r="T2596">
        <v>-0.13450309999999999</v>
      </c>
      <c r="U2596">
        <v>-0.73797609999999902</v>
      </c>
      <c r="V2596">
        <v>5.4738000000000002E-2</v>
      </c>
      <c r="W2596">
        <v>4.1228830000000001E-2</v>
      </c>
      <c r="X2596">
        <v>0.99764920000000001</v>
      </c>
      <c r="Y2596">
        <v>-0.17793989999999901</v>
      </c>
      <c r="Z2596">
        <v>-1.1911199999999999E-3</v>
      </c>
      <c r="AA2596">
        <v>0.98404060000000004</v>
      </c>
      <c r="AB2596">
        <v>30</v>
      </c>
      <c r="AC2596">
        <v>-24.472299999999901</v>
      </c>
      <c r="AD2596">
        <v>-1.110730535604</v>
      </c>
      <c r="AE2596">
        <v>-6.07459999999997</v>
      </c>
      <c r="AF2596">
        <v>-4.5334043314796997</v>
      </c>
      <c r="AG2596">
        <v>-1.110730535604</v>
      </c>
      <c r="AH2596">
        <v>24.754437911980499</v>
      </c>
      <c r="AI2596">
        <v>92.527162668752993</v>
      </c>
      <c r="AJ2596">
        <v>100.377864062504</v>
      </c>
      <c r="AK2596">
        <v>25.190626699101799</v>
      </c>
      <c r="AL2596">
        <v>87.637092295584907</v>
      </c>
      <c r="AM2596">
        <v>86.859502380707397</v>
      </c>
      <c r="AN2596">
        <v>0.99999999566390396</v>
      </c>
    </row>
    <row r="2597" spans="1:40" x14ac:dyDescent="0.25">
      <c r="A2597" t="str">
        <f>"20190312154847206"</f>
        <v>20190312154847206</v>
      </c>
      <c r="B2597" t="str">
        <f>"1552376927198162"</f>
        <v>1552376927198162</v>
      </c>
      <c r="C2597" t="s">
        <v>40</v>
      </c>
      <c r="D2597">
        <v>4.3516300000000001</v>
      </c>
      <c r="E2597">
        <v>0.41062939999999998</v>
      </c>
      <c r="F2597" t="s">
        <v>49</v>
      </c>
      <c r="G2597">
        <v>-489.98759999999999</v>
      </c>
      <c r="H2597" s="1">
        <v>2.5493650000000002E-6</v>
      </c>
      <c r="I2597">
        <v>276.83569999999997</v>
      </c>
      <c r="J2597">
        <v>-466.27330000000001</v>
      </c>
      <c r="K2597">
        <v>1.1107340000000001</v>
      </c>
      <c r="L2597">
        <v>282.7654</v>
      </c>
      <c r="M2597">
        <v>-0.99792130000000001</v>
      </c>
      <c r="N2597">
        <v>0</v>
      </c>
      <c r="O2597">
        <v>-6.2990470000000007E-2</v>
      </c>
      <c r="P2597">
        <v>-0.99961540000000004</v>
      </c>
      <c r="Q2597">
        <v>2.653349E-2</v>
      </c>
      <c r="R2597">
        <v>-8.0789269999999996E-3</v>
      </c>
      <c r="S2597">
        <v>-2.999603</v>
      </c>
      <c r="T2597">
        <v>-0.13874339999999999</v>
      </c>
      <c r="U2597">
        <v>-0.7431335</v>
      </c>
      <c r="V2597">
        <v>5.4840769999999997E-2</v>
      </c>
      <c r="W2597">
        <v>4.022307E-2</v>
      </c>
      <c r="X2597">
        <v>0.99768460000000003</v>
      </c>
      <c r="Y2597">
        <v>-0.17873249999999999</v>
      </c>
      <c r="Z2597">
        <v>-1.2078530000000001E-3</v>
      </c>
      <c r="AA2597">
        <v>0.98389700000000002</v>
      </c>
      <c r="AB2597">
        <v>30</v>
      </c>
      <c r="AC2597">
        <v>-23.714299999999898</v>
      </c>
      <c r="AD2597">
        <v>-1.1107314506349999</v>
      </c>
      <c r="AE2597">
        <v>-5.92970000000002</v>
      </c>
      <c r="AF2597">
        <v>-4.4148934175130501</v>
      </c>
      <c r="AG2597">
        <v>-1.1107314506349999</v>
      </c>
      <c r="AH2597">
        <v>23.991212033651799</v>
      </c>
      <c r="AI2597">
        <v>92.607041702969994</v>
      </c>
      <c r="AJ2597">
        <v>100.426987548778</v>
      </c>
      <c r="AK2597">
        <v>24.419321511603702</v>
      </c>
      <c r="AL2597">
        <v>87.694765921538206</v>
      </c>
      <c r="AM2597">
        <v>86.853729382399706</v>
      </c>
      <c r="AN2597">
        <v>0.99999998324578798</v>
      </c>
    </row>
    <row r="2598" spans="1:40" x14ac:dyDescent="0.25">
      <c r="A2598" t="str">
        <f>"20190312154847229"</f>
        <v>20190312154847229</v>
      </c>
      <c r="B2598" t="str">
        <f>"1552376927218658"</f>
        <v>1552376927218658</v>
      </c>
      <c r="C2598" t="s">
        <v>40</v>
      </c>
      <c r="D2598">
        <v>4.3790449999999996</v>
      </c>
      <c r="E2598">
        <v>0.41021190000000002</v>
      </c>
      <c r="F2598" t="s">
        <v>49</v>
      </c>
      <c r="G2598">
        <v>-489.35770000000002</v>
      </c>
      <c r="H2598" s="1">
        <v>2.5049060000000001E-6</v>
      </c>
      <c r="I2598">
        <v>277.00349999999997</v>
      </c>
      <c r="J2598">
        <v>-466.57920000000001</v>
      </c>
      <c r="K2598">
        <v>1.110735</v>
      </c>
      <c r="L2598">
        <v>282.745</v>
      </c>
      <c r="M2598">
        <v>-0.99786509999999995</v>
      </c>
      <c r="N2598">
        <v>0</v>
      </c>
      <c r="O2598">
        <v>-6.3872460000000006E-2</v>
      </c>
      <c r="P2598">
        <v>-0.99960550000000004</v>
      </c>
      <c r="Q2598">
        <v>2.6214879999999999E-2</v>
      </c>
      <c r="R2598">
        <v>-1.008263E-2</v>
      </c>
      <c r="S2598">
        <v>-2.9989319999999999</v>
      </c>
      <c r="T2598">
        <v>-0.14429710000000001</v>
      </c>
      <c r="U2598">
        <v>-0.74853519999999996</v>
      </c>
      <c r="V2598">
        <v>5.3723279999999998E-2</v>
      </c>
      <c r="W2598">
        <v>3.9901930000000002E-2</v>
      </c>
      <c r="X2598">
        <v>0.99775829999999999</v>
      </c>
      <c r="Y2598">
        <v>-0.17957379999999901</v>
      </c>
      <c r="Z2598">
        <v>-1.2345639999999901E-3</v>
      </c>
      <c r="AA2598">
        <v>0.9837437</v>
      </c>
      <c r="AB2598">
        <v>30</v>
      </c>
      <c r="AC2598">
        <v>-22.778500000000001</v>
      </c>
      <c r="AD2598">
        <v>-1.1107324950939901</v>
      </c>
      <c r="AE2598">
        <v>-5.7415000000000296</v>
      </c>
      <c r="AF2598">
        <v>-4.2651844853508596</v>
      </c>
      <c r="AG2598">
        <v>-1.1107324950939901</v>
      </c>
      <c r="AH2598">
        <v>23.047209867219902</v>
      </c>
      <c r="AI2598">
        <v>92.713167214179293</v>
      </c>
      <c r="AJ2598">
        <v>100.484705128212</v>
      </c>
      <c r="AK2598">
        <v>23.464854741366199</v>
      </c>
      <c r="AL2598">
        <v>87.713180687879003</v>
      </c>
      <c r="AM2598">
        <v>86.9179432502346</v>
      </c>
      <c r="AN2598">
        <v>0.99999999002528595</v>
      </c>
    </row>
    <row r="2599" spans="1:40" x14ac:dyDescent="0.25">
      <c r="A2599" t="str">
        <f>"20190312154847251"</f>
        <v>20190312154847251</v>
      </c>
      <c r="B2599" t="str">
        <f>"1552376927248913"</f>
        <v>1552376927248913</v>
      </c>
      <c r="C2599" t="s">
        <v>40</v>
      </c>
      <c r="D2599">
        <v>4.4414309999999997</v>
      </c>
      <c r="E2599">
        <v>0.40979919999999997</v>
      </c>
      <c r="F2599" t="s">
        <v>49</v>
      </c>
      <c r="G2599">
        <v>-489.33370000000002</v>
      </c>
      <c r="H2599" s="1">
        <v>2.4957020000000001E-6</v>
      </c>
      <c r="I2599">
        <v>276.98950000000002</v>
      </c>
      <c r="J2599">
        <v>-466.88310000000001</v>
      </c>
      <c r="K2599">
        <v>1.1107450000000001</v>
      </c>
      <c r="L2599">
        <v>282.72460000000001</v>
      </c>
      <c r="M2599">
        <v>-0.99780800000000003</v>
      </c>
      <c r="N2599">
        <v>0</v>
      </c>
      <c r="O2599">
        <v>-6.4757729999999999E-2</v>
      </c>
      <c r="P2599">
        <v>-0.99955419999999995</v>
      </c>
      <c r="Q2599">
        <v>2.668326E-2</v>
      </c>
      <c r="R2599">
        <v>-1.3391129999999999E-2</v>
      </c>
      <c r="S2599">
        <v>-2.9973450000000001</v>
      </c>
      <c r="T2599">
        <v>-0.14631189999999999</v>
      </c>
      <c r="U2599">
        <v>-0.75814820000000005</v>
      </c>
      <c r="V2599">
        <v>5.130258E-2</v>
      </c>
      <c r="W2599">
        <v>4.0366470000000002E-2</v>
      </c>
      <c r="X2599">
        <v>0.99786699999999995</v>
      </c>
      <c r="Y2599">
        <v>-0.18178549999999999</v>
      </c>
      <c r="Z2599">
        <v>-1.2628489999999999E-3</v>
      </c>
      <c r="AA2599">
        <v>0.98333740000000003</v>
      </c>
      <c r="AB2599">
        <v>30</v>
      </c>
      <c r="AC2599">
        <v>-22.450600000000001</v>
      </c>
      <c r="AD2599">
        <v>-1.1107425042979999</v>
      </c>
      <c r="AE2599">
        <v>-5.7350999999999797</v>
      </c>
      <c r="AF2599">
        <v>-4.2592879344035603</v>
      </c>
      <c r="AG2599">
        <v>-1.1107425042979999</v>
      </c>
      <c r="AH2599">
        <v>22.722681612594901</v>
      </c>
      <c r="AI2599">
        <v>92.750703947210297</v>
      </c>
      <c r="AJ2599">
        <v>100.616695966413</v>
      </c>
      <c r="AK2599">
        <v>23.145097586451602</v>
      </c>
      <c r="AL2599">
        <v>87.686543016482005</v>
      </c>
      <c r="AM2599">
        <v>87.056886772196705</v>
      </c>
      <c r="AN2599">
        <v>0.99999997815195796</v>
      </c>
    </row>
    <row r="2600" spans="1:40" x14ac:dyDescent="0.25">
      <c r="A2600" t="str">
        <f>"20190312154847273"</f>
        <v>20190312154847273</v>
      </c>
      <c r="B2600" t="str">
        <f>"1552376927268436"</f>
        <v>1552376927268436</v>
      </c>
      <c r="C2600" t="s">
        <v>40</v>
      </c>
      <c r="D2600">
        <v>4.4356200000000001</v>
      </c>
      <c r="E2600">
        <v>0.40384510000000001</v>
      </c>
      <c r="F2600" t="s">
        <v>49</v>
      </c>
      <c r="G2600">
        <v>-489.5258</v>
      </c>
      <c r="H2600" s="1">
        <v>2.4957769999999999E-6</v>
      </c>
      <c r="I2600">
        <v>276.89330000000001</v>
      </c>
      <c r="J2600">
        <v>-467.18020000000001</v>
      </c>
      <c r="K2600">
        <v>1.11076</v>
      </c>
      <c r="L2600">
        <v>282.70429999999999</v>
      </c>
      <c r="M2600">
        <v>-0.99774969999999996</v>
      </c>
      <c r="N2600">
        <v>0</v>
      </c>
      <c r="O2600">
        <v>-6.565095E-2</v>
      </c>
      <c r="P2600">
        <v>-0.99948910000000002</v>
      </c>
      <c r="Q2600">
        <v>2.6598159999999999E-2</v>
      </c>
      <c r="R2600">
        <v>-1.7734150000000001E-2</v>
      </c>
      <c r="S2600">
        <v>-2.9949340000000002</v>
      </c>
      <c r="T2600">
        <v>-0.14691760000000001</v>
      </c>
      <c r="U2600">
        <v>-0.77130129999999997</v>
      </c>
      <c r="V2600">
        <v>4.7857299999999998E-2</v>
      </c>
      <c r="W2600">
        <v>4.0277380000000002E-2</v>
      </c>
      <c r="X2600">
        <v>0.99804179999999998</v>
      </c>
      <c r="Y2600">
        <v>-0.1851428</v>
      </c>
      <c r="Z2600">
        <v>-1.306621E-3</v>
      </c>
      <c r="AA2600">
        <v>0.9827108</v>
      </c>
      <c r="AB2600">
        <v>30</v>
      </c>
      <c r="AC2600">
        <v>-22.345599999999902</v>
      </c>
      <c r="AD2600">
        <v>-1.110757504223</v>
      </c>
      <c r="AE2600">
        <v>-5.8109999999999697</v>
      </c>
      <c r="AF2600">
        <v>-4.3213141899714298</v>
      </c>
      <c r="AG2600">
        <v>-1.110757504223</v>
      </c>
      <c r="AH2600">
        <v>22.6265503234122</v>
      </c>
      <c r="AI2600">
        <v>92.760627927727299</v>
      </c>
      <c r="AJ2600">
        <v>100.812384399371</v>
      </c>
      <c r="AK2600">
        <v>23.062270445460101</v>
      </c>
      <c r="AL2600">
        <v>87.6916517293174</v>
      </c>
      <c r="AM2600">
        <v>87.254701545520703</v>
      </c>
      <c r="AN2600">
        <v>1.00000001152509</v>
      </c>
    </row>
    <row r="2601" spans="1:40" x14ac:dyDescent="0.25">
      <c r="A2601" t="str">
        <f>"20190312154847295"</f>
        <v>20190312154847295</v>
      </c>
      <c r="B2601" t="str">
        <f>"1552376927288930"</f>
        <v>1552376927288930</v>
      </c>
      <c r="C2601" t="s">
        <v>40</v>
      </c>
      <c r="D2601">
        <v>4.4670809999999896</v>
      </c>
      <c r="E2601">
        <v>0.40447810000000001</v>
      </c>
      <c r="F2601" t="s">
        <v>49</v>
      </c>
      <c r="G2601">
        <v>-485.19630000000001</v>
      </c>
      <c r="H2601" s="1">
        <v>2.0067720000000001E-6</v>
      </c>
      <c r="I2601">
        <v>277.6825</v>
      </c>
      <c r="J2601">
        <v>-467.47770000000003</v>
      </c>
      <c r="K2601">
        <v>1.110787</v>
      </c>
      <c r="L2601">
        <v>282.68369999999999</v>
      </c>
      <c r="M2601">
        <v>-0.99768659999999998</v>
      </c>
      <c r="N2601">
        <v>0</v>
      </c>
      <c r="O2601">
        <v>-6.6603670000000004E-2</v>
      </c>
      <c r="P2601">
        <v>-0.99944909999999998</v>
      </c>
      <c r="Q2601">
        <v>2.6184410000000002E-2</v>
      </c>
      <c r="R2601">
        <v>-2.039823E-2</v>
      </c>
      <c r="S2601">
        <v>-2.991638</v>
      </c>
      <c r="T2601">
        <v>-0.184445</v>
      </c>
      <c r="U2601">
        <v>-0.83389279999999999</v>
      </c>
      <c r="V2601">
        <v>4.6147170000000001E-2</v>
      </c>
      <c r="W2601">
        <v>3.9864770000000001E-2</v>
      </c>
      <c r="X2601">
        <v>0.99813890000000005</v>
      </c>
      <c r="Y2601">
        <v>-0.20350499999999999</v>
      </c>
      <c r="Z2601">
        <v>-2.1355950000000001E-3</v>
      </c>
      <c r="AA2601">
        <v>0.97907160000000004</v>
      </c>
      <c r="AB2601">
        <v>30</v>
      </c>
      <c r="AC2601">
        <v>-17.718599999999899</v>
      </c>
      <c r="AD2601">
        <v>-1.1107849932280001</v>
      </c>
      <c r="AE2601">
        <v>-5.0011999999999803</v>
      </c>
      <c r="AF2601">
        <v>-3.7960417422169401</v>
      </c>
      <c r="AG2601">
        <v>-1.1107849932280001</v>
      </c>
      <c r="AH2601">
        <v>17.9470492461551</v>
      </c>
      <c r="AI2601">
        <v>93.465181158805294</v>
      </c>
      <c r="AJ2601">
        <v>101.942803791567</v>
      </c>
      <c r="AK2601">
        <v>18.3777134827418</v>
      </c>
      <c r="AL2601">
        <v>87.715311545696096</v>
      </c>
      <c r="AM2601">
        <v>87.352916909838697</v>
      </c>
      <c r="AN2601">
        <v>1.00000001243968</v>
      </c>
    </row>
    <row r="2602" spans="1:40" x14ac:dyDescent="0.25">
      <c r="A2602" t="str">
        <f>"20190312154847319"</f>
        <v>20190312154847319</v>
      </c>
      <c r="B2602" t="str">
        <f>"1552376927308449"</f>
        <v>1552376927308449</v>
      </c>
      <c r="C2602" t="s">
        <v>40</v>
      </c>
      <c r="D2602">
        <v>4.4605090000000001</v>
      </c>
      <c r="E2602">
        <v>0.40453840000000002</v>
      </c>
      <c r="F2602" t="s">
        <v>49</v>
      </c>
      <c r="G2602">
        <v>-485.88069999999999</v>
      </c>
      <c r="H2602" s="1">
        <v>2.07546E-6</v>
      </c>
      <c r="I2602">
        <v>277.53339999999997</v>
      </c>
      <c r="J2602">
        <v>-467.78789999999998</v>
      </c>
      <c r="K2602">
        <v>1.110859</v>
      </c>
      <c r="L2602">
        <v>282.66180000000003</v>
      </c>
      <c r="M2602">
        <v>-0.99761310000000003</v>
      </c>
      <c r="N2602">
        <v>0</v>
      </c>
      <c r="O2602">
        <v>-6.769849E-2</v>
      </c>
      <c r="P2602">
        <v>-0.99939310000000003</v>
      </c>
      <c r="Q2602">
        <v>2.7206689999999999E-2</v>
      </c>
      <c r="R2602">
        <v>-2.176084E-2</v>
      </c>
      <c r="S2602">
        <v>-2.9893489999999998</v>
      </c>
      <c r="T2602">
        <v>-0.18043380000000001</v>
      </c>
      <c r="U2602">
        <v>-0.83660889999999999</v>
      </c>
      <c r="V2602">
        <v>4.5871370000000002E-2</v>
      </c>
      <c r="W2602">
        <v>4.089247E-2</v>
      </c>
      <c r="X2602">
        <v>0.99811000000000005</v>
      </c>
      <c r="Y2602">
        <v>-0.20346159999999999</v>
      </c>
      <c r="Z2602">
        <v>-2.0248900000000001E-3</v>
      </c>
      <c r="AA2602">
        <v>0.97908090000000003</v>
      </c>
      <c r="AB2602">
        <v>30</v>
      </c>
      <c r="AC2602">
        <v>-18.0928</v>
      </c>
      <c r="AD2602">
        <v>-1.11085692454</v>
      </c>
      <c r="AE2602">
        <v>-5.1284000000000498</v>
      </c>
      <c r="AF2602">
        <v>-3.8781317088889802</v>
      </c>
      <c r="AG2602">
        <v>-1.11085692454</v>
      </c>
      <c r="AH2602">
        <v>18.334526019231099</v>
      </c>
      <c r="AI2602">
        <v>93.392335990717498</v>
      </c>
      <c r="AJ2602">
        <v>101.943202906077</v>
      </c>
      <c r="AK2602">
        <v>18.773085868022601</v>
      </c>
      <c r="AL2602">
        <v>87.656380520934306</v>
      </c>
      <c r="AM2602">
        <v>87.368638901921003</v>
      </c>
      <c r="AN2602">
        <v>0.99999997439418797</v>
      </c>
    </row>
    <row r="2603" spans="1:40" x14ac:dyDescent="0.25">
      <c r="A2603" t="str">
        <f>"20190312154847340"</f>
        <v>20190312154847340</v>
      </c>
      <c r="B2603" t="str">
        <f>"1552376927328946"</f>
        <v>1552376927328946</v>
      </c>
      <c r="C2603" t="s">
        <v>40</v>
      </c>
      <c r="D2603">
        <v>4.5138509999999998</v>
      </c>
      <c r="E2603">
        <v>0.40436879999999997</v>
      </c>
      <c r="F2603" t="s">
        <v>49</v>
      </c>
      <c r="G2603">
        <v>-486.26979999999998</v>
      </c>
      <c r="H2603" s="1">
        <v>2.1192189999999999E-6</v>
      </c>
      <c r="I2603">
        <v>277.46190000000001</v>
      </c>
      <c r="J2603">
        <v>-468.0847</v>
      </c>
      <c r="K2603">
        <v>1.110962</v>
      </c>
      <c r="L2603">
        <v>282.6404</v>
      </c>
      <c r="M2603">
        <v>-0.99753150000000002</v>
      </c>
      <c r="N2603">
        <v>0</v>
      </c>
      <c r="O2603">
        <v>-6.8888370000000004E-2</v>
      </c>
      <c r="P2603">
        <v>-0.99932299999999996</v>
      </c>
      <c r="Q2603">
        <v>2.8641150000000001E-2</v>
      </c>
      <c r="R2603">
        <v>-2.3096439999999999E-2</v>
      </c>
      <c r="S2603">
        <v>-2.9884029999999999</v>
      </c>
      <c r="T2603">
        <v>-0.17961859999999999</v>
      </c>
      <c r="U2603">
        <v>-0.84078980000000003</v>
      </c>
      <c r="V2603">
        <v>4.5712139999999998E-2</v>
      </c>
      <c r="W2603">
        <v>4.2336989999999998E-2</v>
      </c>
      <c r="X2603">
        <v>0.99805710000000003</v>
      </c>
      <c r="Y2603">
        <v>-0.20364769999999999</v>
      </c>
      <c r="Z2603">
        <v>-1.951876E-3</v>
      </c>
      <c r="AA2603">
        <v>0.97904230000000003</v>
      </c>
      <c r="AB2603">
        <v>30</v>
      </c>
      <c r="AC2603">
        <v>-18.185099999999899</v>
      </c>
      <c r="AD2603">
        <v>-1.1109598807809999</v>
      </c>
      <c r="AE2603">
        <v>-5.1784999999999801</v>
      </c>
      <c r="AF2603">
        <v>-3.89987420229017</v>
      </c>
      <c r="AG2603">
        <v>-1.1109598807809999</v>
      </c>
      <c r="AH2603">
        <v>18.435020092612401</v>
      </c>
      <c r="AI2603">
        <v>93.374180332702593</v>
      </c>
      <c r="AJ2603">
        <v>101.944648446298</v>
      </c>
      <c r="AK2603">
        <v>18.875730885595299</v>
      </c>
      <c r="AL2603">
        <v>87.573543909876406</v>
      </c>
      <c r="AM2603">
        <v>87.377621393092497</v>
      </c>
      <c r="AN2603">
        <v>0.99999999766302405</v>
      </c>
    </row>
    <row r="2604" spans="1:40" x14ac:dyDescent="0.25">
      <c r="A2604" t="str">
        <f>"20190312154847363"</f>
        <v>20190312154847363</v>
      </c>
      <c r="B2604" t="str">
        <f>"1552376927358226"</f>
        <v>1552376927358226</v>
      </c>
      <c r="C2604" t="s">
        <v>40</v>
      </c>
      <c r="D2604">
        <v>4.4794090000000004</v>
      </c>
      <c r="E2604">
        <v>0.4041226</v>
      </c>
      <c r="F2604" t="s">
        <v>49</v>
      </c>
      <c r="G2604">
        <v>-486.7441</v>
      </c>
      <c r="H2604" s="1">
        <v>2.1652320000000001E-6</v>
      </c>
      <c r="I2604">
        <v>277.35410000000002</v>
      </c>
      <c r="J2604">
        <v>-468.38810000000001</v>
      </c>
      <c r="K2604">
        <v>1.111097</v>
      </c>
      <c r="L2604">
        <v>282.61799999999999</v>
      </c>
      <c r="M2604">
        <v>-0.99743280000000001</v>
      </c>
      <c r="N2604">
        <v>0</v>
      </c>
      <c r="O2604">
        <v>-7.0301899999999903E-2</v>
      </c>
      <c r="P2604">
        <v>-0.99925730000000001</v>
      </c>
      <c r="Q2604">
        <v>2.9975559999999998E-2</v>
      </c>
      <c r="R2604">
        <v>-2.4211099999999999E-2</v>
      </c>
      <c r="S2604">
        <v>-2.9875790000000002</v>
      </c>
      <c r="T2604">
        <v>-0.1778777</v>
      </c>
      <c r="U2604">
        <v>-0.84640499999999996</v>
      </c>
      <c r="V2604">
        <v>4.5992600000000002E-2</v>
      </c>
      <c r="W2604">
        <v>4.3688039999999997E-2</v>
      </c>
      <c r="X2604">
        <v>0.99798600000000004</v>
      </c>
      <c r="Y2604">
        <v>-0.2040411</v>
      </c>
      <c r="Z2604">
        <v>-1.8626269999999999E-3</v>
      </c>
      <c r="AA2604">
        <v>0.97896059999999996</v>
      </c>
      <c r="AB2604">
        <v>30</v>
      </c>
      <c r="AC2604">
        <v>-18.355999999999899</v>
      </c>
      <c r="AD2604">
        <v>-1.1110948347679901</v>
      </c>
      <c r="AE2604">
        <v>-5.2638999999999703</v>
      </c>
      <c r="AF2604">
        <v>-3.9469297001924599</v>
      </c>
      <c r="AG2604">
        <v>-1.1110948347679901</v>
      </c>
      <c r="AH2604">
        <v>18.6176406640156</v>
      </c>
      <c r="AI2604">
        <v>93.341257579193098</v>
      </c>
      <c r="AJ2604">
        <v>101.96945656661001</v>
      </c>
      <c r="AK2604">
        <v>19.0638225360109</v>
      </c>
      <c r="AL2604">
        <v>87.496062765896994</v>
      </c>
      <c r="AM2604">
        <v>87.361367141512901</v>
      </c>
      <c r="AN2604">
        <v>1.0000000101449</v>
      </c>
    </row>
    <row r="2605" spans="1:40" x14ac:dyDescent="0.25">
      <c r="A2605" t="str">
        <f>"20190312154847384"</f>
        <v>20190312154847384</v>
      </c>
      <c r="B2605" t="str">
        <f>"1552376927378723"</f>
        <v>1552376927378723</v>
      </c>
      <c r="C2605" t="s">
        <v>40</v>
      </c>
      <c r="D2605">
        <v>4.5429170000000001</v>
      </c>
      <c r="E2605">
        <v>0.40402719999999998</v>
      </c>
      <c r="F2605" t="s">
        <v>49</v>
      </c>
      <c r="G2605">
        <v>-486.81760000000003</v>
      </c>
      <c r="H2605" s="1">
        <v>2.1823670000000002E-6</v>
      </c>
      <c r="I2605">
        <v>277.3657</v>
      </c>
      <c r="J2605">
        <v>-468.67970000000003</v>
      </c>
      <c r="K2605">
        <v>1.1112770000000001</v>
      </c>
      <c r="L2605">
        <v>282.59589999999997</v>
      </c>
      <c r="M2605">
        <v>-0.99731860000000006</v>
      </c>
      <c r="N2605">
        <v>0</v>
      </c>
      <c r="O2605">
        <v>-7.1904850000000006E-2</v>
      </c>
      <c r="P2605">
        <v>-0.99921879999999996</v>
      </c>
      <c r="Q2605">
        <v>2.9846299999999999E-2</v>
      </c>
      <c r="R2605">
        <v>-2.5911190000000001E-2</v>
      </c>
      <c r="S2605">
        <v>-2.9870000000000001</v>
      </c>
      <c r="T2605">
        <v>-0.1800832</v>
      </c>
      <c r="U2605">
        <v>-0.85128780000000004</v>
      </c>
      <c r="V2605">
        <v>4.5881119999999997E-2</v>
      </c>
      <c r="W2605">
        <v>4.3579899999999998E-2</v>
      </c>
      <c r="X2605">
        <v>0.99799590000000005</v>
      </c>
      <c r="Y2605">
        <v>-0.2039957</v>
      </c>
      <c r="Z2605">
        <v>-1.7903070000000001E-3</v>
      </c>
      <c r="AA2605">
        <v>0.97897009999999995</v>
      </c>
      <c r="AB2605">
        <v>30</v>
      </c>
      <c r="AC2605">
        <v>-18.137899999999998</v>
      </c>
      <c r="AD2605">
        <v>-1.1112748176330001</v>
      </c>
      <c r="AE2605">
        <v>-5.23019999999996</v>
      </c>
      <c r="AF2605">
        <v>-3.8988234418669601</v>
      </c>
      <c r="AG2605">
        <v>-1.1112748176330001</v>
      </c>
      <c r="AH2605">
        <v>18.403274195085601</v>
      </c>
      <c r="AI2605">
        <v>93.380732920106993</v>
      </c>
      <c r="AJ2605">
        <v>101.961528987988</v>
      </c>
      <c r="AK2605">
        <v>18.844528570666299</v>
      </c>
      <c r="AL2605">
        <v>87.502264739392999</v>
      </c>
      <c r="AM2605">
        <v>87.3677799082826</v>
      </c>
      <c r="AN2605">
        <v>1.00000005063663</v>
      </c>
    </row>
    <row r="2606" spans="1:40" x14ac:dyDescent="0.25">
      <c r="A2606" t="str">
        <f>"20190312154847408"</f>
        <v>20190312154847408</v>
      </c>
      <c r="B2606" t="str">
        <f>"1552376927398243"</f>
        <v>1552376927398243</v>
      </c>
      <c r="C2606" t="s">
        <v>40</v>
      </c>
      <c r="D2606">
        <v>4.5666699999999896</v>
      </c>
      <c r="E2606">
        <v>0.40400009999999997</v>
      </c>
      <c r="F2606" t="s">
        <v>49</v>
      </c>
      <c r="G2606">
        <v>-486.55180000000001</v>
      </c>
      <c r="H2606" s="1">
        <v>2.1707190000000001E-6</v>
      </c>
      <c r="I2606">
        <v>277.46609999999998</v>
      </c>
      <c r="J2606">
        <v>-468.98410000000001</v>
      </c>
      <c r="K2606">
        <v>1.11149599999999</v>
      </c>
      <c r="L2606">
        <v>282.57190000000003</v>
      </c>
      <c r="M2606">
        <v>-0.99717210000000001</v>
      </c>
      <c r="N2606">
        <v>0</v>
      </c>
      <c r="O2606">
        <v>-7.3907990000000007E-2</v>
      </c>
      <c r="P2606">
        <v>-0.99918070000000003</v>
      </c>
      <c r="Q2606">
        <v>2.9379740000000001E-2</v>
      </c>
      <c r="R2606">
        <v>-2.783358E-2</v>
      </c>
      <c r="S2606">
        <v>-2.9856259999999999</v>
      </c>
      <c r="T2606">
        <v>-0.18564410000000001</v>
      </c>
      <c r="U2606">
        <v>-0.85696410000000001</v>
      </c>
      <c r="V2606">
        <v>4.5945220000000002E-2</v>
      </c>
      <c r="W2606">
        <v>4.3143059999999997E-2</v>
      </c>
      <c r="X2606">
        <v>0.99801189999999995</v>
      </c>
      <c r="Y2606">
        <v>-0.2038584</v>
      </c>
      <c r="Z2606">
        <v>-1.7206019999999999E-3</v>
      </c>
      <c r="AA2606">
        <v>0.97899890000000001</v>
      </c>
      <c r="AB2606">
        <v>30</v>
      </c>
      <c r="AC2606">
        <v>-17.567699999999999</v>
      </c>
      <c r="AD2606">
        <v>-1.1114938292809899</v>
      </c>
      <c r="AE2606">
        <v>-5.1058000000000403</v>
      </c>
      <c r="AF2606">
        <v>-3.7793691990309002</v>
      </c>
      <c r="AG2606">
        <v>-1.1114938292809899</v>
      </c>
      <c r="AH2606">
        <v>17.831220424245998</v>
      </c>
      <c r="AI2606">
        <v>93.489545510505494</v>
      </c>
      <c r="AJ2606">
        <v>101.966874019659</v>
      </c>
      <c r="AK2606">
        <v>18.261201271908799</v>
      </c>
      <c r="AL2606">
        <v>87.527317313415693</v>
      </c>
      <c r="AM2606">
        <v>87.364149844673605</v>
      </c>
      <c r="AN2606">
        <v>1.00000001970431</v>
      </c>
    </row>
    <row r="2607" spans="1:40" x14ac:dyDescent="0.25">
      <c r="A2607" t="str">
        <f>"20190312154847430"</f>
        <v>20190312154847430</v>
      </c>
      <c r="B2607" t="str">
        <f>"1552376927418738"</f>
        <v>1552376927418738</v>
      </c>
      <c r="C2607" t="s">
        <v>40</v>
      </c>
      <c r="D2607">
        <v>4.5313549999999996</v>
      </c>
      <c r="E2607">
        <v>0.4039683</v>
      </c>
      <c r="F2607" t="s">
        <v>49</v>
      </c>
      <c r="G2607">
        <v>-486.52460000000002</v>
      </c>
      <c r="H2607" s="1">
        <v>2.176883E-6</v>
      </c>
      <c r="I2607">
        <v>277.49720000000002</v>
      </c>
      <c r="J2607">
        <v>-469.27949999999998</v>
      </c>
      <c r="K2607">
        <v>1.111737</v>
      </c>
      <c r="L2607">
        <v>282.54770000000002</v>
      </c>
      <c r="M2607">
        <v>-0.99700180000000005</v>
      </c>
      <c r="N2607">
        <v>0</v>
      </c>
      <c r="O2607">
        <v>-7.6169009999999995E-2</v>
      </c>
      <c r="P2607">
        <v>-0.99909510000000001</v>
      </c>
      <c r="Q2607">
        <v>2.9677200000000001E-2</v>
      </c>
      <c r="R2607">
        <v>-3.0471499999999999E-2</v>
      </c>
      <c r="S2607">
        <v>-2.9840089999999999</v>
      </c>
      <c r="T2607">
        <v>-0.18908820000000001</v>
      </c>
      <c r="U2607">
        <v>-0.86331179999999996</v>
      </c>
      <c r="V2607">
        <v>4.5546959999999997E-2</v>
      </c>
      <c r="W2607">
        <v>4.3470799999999997E-2</v>
      </c>
      <c r="X2607">
        <v>0.99801589999999996</v>
      </c>
      <c r="Y2607">
        <v>-0.20369780000000001</v>
      </c>
      <c r="Z2607">
        <v>-1.6087409999999999E-3</v>
      </c>
      <c r="AA2607">
        <v>0.97903249999999997</v>
      </c>
      <c r="AB2607">
        <v>30</v>
      </c>
      <c r="AC2607">
        <v>-17.245100000000001</v>
      </c>
      <c r="AD2607">
        <v>-1.1117348231169999</v>
      </c>
      <c r="AE2607">
        <v>-5.0505000000000004</v>
      </c>
      <c r="AF2607">
        <v>-3.7079681719123498</v>
      </c>
      <c r="AG2607">
        <v>-1.1117348231169999</v>
      </c>
      <c r="AH2607">
        <v>17.512687058317301</v>
      </c>
      <c r="AI2607">
        <v>93.5537826139157</v>
      </c>
      <c r="AJ2607">
        <v>101.95470280932101</v>
      </c>
      <c r="AK2607">
        <v>17.935417204051902</v>
      </c>
      <c r="AL2607">
        <v>87.508521477837107</v>
      </c>
      <c r="AM2607">
        <v>87.386976438130603</v>
      </c>
      <c r="AN2607">
        <v>0.99999998633534504</v>
      </c>
    </row>
    <row r="2608" spans="1:40" x14ac:dyDescent="0.25">
      <c r="A2608" t="str">
        <f>"20190312154847452"</f>
        <v>20190312154847452</v>
      </c>
      <c r="B2608" t="str">
        <f>"1552376927448994"</f>
        <v>1552376927448994</v>
      </c>
      <c r="C2608" t="s">
        <v>40</v>
      </c>
      <c r="D2608">
        <v>4.5992290000000002</v>
      </c>
      <c r="E2608">
        <v>0.40245520000000001</v>
      </c>
      <c r="F2608" t="s">
        <v>49</v>
      </c>
      <c r="G2608">
        <v>-486.8</v>
      </c>
      <c r="H2608" s="1">
        <v>2.2012129999999999E-6</v>
      </c>
      <c r="I2608">
        <v>277.42779999999999</v>
      </c>
      <c r="J2608">
        <v>-469.57850000000002</v>
      </c>
      <c r="K2608">
        <v>1.111972</v>
      </c>
      <c r="L2608">
        <v>282.5222</v>
      </c>
      <c r="M2608">
        <v>-0.99680170000000001</v>
      </c>
      <c r="N2608">
        <v>0</v>
      </c>
      <c r="O2608">
        <v>-7.8743830000000001E-2</v>
      </c>
      <c r="P2608">
        <v>-0.99893050000000005</v>
      </c>
      <c r="Q2608">
        <v>3.100412E-2</v>
      </c>
      <c r="R2608">
        <v>-3.4302190000000003E-2</v>
      </c>
      <c r="S2608">
        <v>-2.9817809999999998</v>
      </c>
      <c r="T2608">
        <v>-0.18920429999999999</v>
      </c>
      <c r="U2608">
        <v>-0.8713379</v>
      </c>
      <c r="V2608">
        <v>4.426331E-2</v>
      </c>
      <c r="W2608">
        <v>4.4824660000000002E-2</v>
      </c>
      <c r="X2608">
        <v>0.99801379999999995</v>
      </c>
      <c r="Y2608">
        <v>-0.20379839999999999</v>
      </c>
      <c r="Z2608">
        <v>-1.4548740000000001E-3</v>
      </c>
      <c r="AA2608">
        <v>0.97901179999999999</v>
      </c>
      <c r="AB2608">
        <v>30</v>
      </c>
      <c r="AC2608">
        <v>-17.221499999999899</v>
      </c>
      <c r="AD2608">
        <v>-1.1119697987870001</v>
      </c>
      <c r="AE2608">
        <v>-5.0944000000000003</v>
      </c>
      <c r="AF2608">
        <v>-3.7081497701278101</v>
      </c>
      <c r="AG2608">
        <v>-1.1119697987870001</v>
      </c>
      <c r="AH2608">
        <v>17.5021082593416</v>
      </c>
      <c r="AI2608">
        <v>93.556575277262894</v>
      </c>
      <c r="AJ2608">
        <v>101.962289464254</v>
      </c>
      <c r="AK2608">
        <v>17.9251400293785</v>
      </c>
      <c r="AL2608">
        <v>87.430875383873001</v>
      </c>
      <c r="AM2608">
        <v>87.460516143375401</v>
      </c>
      <c r="AN2608">
        <v>1.0000000178733499</v>
      </c>
    </row>
    <row r="2609" spans="1:40" x14ac:dyDescent="0.25">
      <c r="A2609" t="str">
        <f>"20190312154847474"</f>
        <v>20190312154847474</v>
      </c>
      <c r="B2609" t="str">
        <f>"1552376927468518"</f>
        <v>1552376927468518</v>
      </c>
      <c r="C2609" t="s">
        <v>40</v>
      </c>
      <c r="D2609">
        <v>4.5396159999999997</v>
      </c>
      <c r="E2609">
        <v>0.40221669999999998</v>
      </c>
      <c r="F2609" t="s">
        <v>49</v>
      </c>
      <c r="G2609">
        <v>-482.65300000000002</v>
      </c>
      <c r="H2609" s="1">
        <v>1.8749330000000001E-6</v>
      </c>
      <c r="I2609">
        <v>278.58580000000001</v>
      </c>
      <c r="J2609">
        <v>-469.87189999999998</v>
      </c>
      <c r="K2609">
        <v>1.112201</v>
      </c>
      <c r="L2609">
        <v>282.49619999999999</v>
      </c>
      <c r="M2609">
        <v>-0.99657390000000001</v>
      </c>
      <c r="N2609">
        <v>0</v>
      </c>
      <c r="O2609">
        <v>-8.1573919999999994E-2</v>
      </c>
      <c r="P2609">
        <v>-0.99876450000000006</v>
      </c>
      <c r="Q2609">
        <v>3.1897189999999999E-2</v>
      </c>
      <c r="R2609">
        <v>-3.810504E-2</v>
      </c>
      <c r="S2609">
        <v>-2.9802249999999999</v>
      </c>
      <c r="T2609">
        <v>-0.2534653</v>
      </c>
      <c r="U2609">
        <v>-0.89727780000000001</v>
      </c>
      <c r="V2609">
        <v>4.32658E-2</v>
      </c>
      <c r="W2609">
        <v>4.5743529999999998E-2</v>
      </c>
      <c r="X2609">
        <v>0.99801580000000001</v>
      </c>
      <c r="Y2609">
        <v>-0.20879629999999999</v>
      </c>
      <c r="Z2609">
        <v>-1.9211040000000001E-3</v>
      </c>
      <c r="AA2609">
        <v>0.97795719999999997</v>
      </c>
      <c r="AB2609">
        <v>30</v>
      </c>
      <c r="AC2609">
        <v>-12.7811</v>
      </c>
      <c r="AD2609">
        <v>-1.112199125067</v>
      </c>
      <c r="AE2609">
        <v>-3.9103999999999801</v>
      </c>
      <c r="AF2609">
        <v>-2.8350336230594899</v>
      </c>
      <c r="AG2609">
        <v>-1.112199125067</v>
      </c>
      <c r="AH2609">
        <v>12.9677220845807</v>
      </c>
      <c r="AI2609">
        <v>94.789497486122798</v>
      </c>
      <c r="AJ2609">
        <v>102.33210621321101</v>
      </c>
      <c r="AK2609">
        <v>13.320518706139</v>
      </c>
      <c r="AL2609">
        <v>87.378173816723205</v>
      </c>
      <c r="AM2609">
        <v>87.517678052469094</v>
      </c>
      <c r="AN2609">
        <v>0.99999996851806905</v>
      </c>
    </row>
    <row r="2610" spans="1:40" x14ac:dyDescent="0.25">
      <c r="A2610" t="str">
        <f>"20190312154847496"</f>
        <v>20190312154847496</v>
      </c>
      <c r="B2610" t="str">
        <f>"1552376927488034"</f>
        <v>1552376927488034</v>
      </c>
      <c r="C2610" t="s">
        <v>40</v>
      </c>
      <c r="D2610">
        <v>4.5857640000000002</v>
      </c>
      <c r="E2610">
        <v>0.4024742</v>
      </c>
      <c r="F2610" t="s">
        <v>49</v>
      </c>
      <c r="G2610">
        <v>-482.9599</v>
      </c>
      <c r="H2610" s="1">
        <v>1.8976029999999999E-6</v>
      </c>
      <c r="I2610">
        <v>278.49590000000001</v>
      </c>
      <c r="J2610">
        <v>-470.1712</v>
      </c>
      <c r="K2610">
        <v>1.1124430000000001</v>
      </c>
      <c r="L2610">
        <v>282.46839999999997</v>
      </c>
      <c r="M2610">
        <v>-0.99630560000000001</v>
      </c>
      <c r="N2610">
        <v>0</v>
      </c>
      <c r="O2610">
        <v>-8.4787420000000002E-2</v>
      </c>
      <c r="P2610">
        <v>-0.99857799999999997</v>
      </c>
      <c r="Q2610">
        <v>3.2095239999999997E-2</v>
      </c>
      <c r="R2610">
        <v>-4.2569839999999998E-2</v>
      </c>
      <c r="S2610">
        <v>-2.9771420000000002</v>
      </c>
      <c r="T2610">
        <v>-0.2529941</v>
      </c>
      <c r="U2610">
        <v>-0.90994260000000005</v>
      </c>
      <c r="V2610">
        <v>4.199398E-2</v>
      </c>
      <c r="W2610">
        <v>4.5967899999999999E-2</v>
      </c>
      <c r="X2610">
        <v>0.9980599</v>
      </c>
      <c r="Y2610">
        <v>-0.20974029999999999</v>
      </c>
      <c r="Z2610">
        <v>-1.693501E-3</v>
      </c>
      <c r="AA2610">
        <v>0.97775570000000001</v>
      </c>
      <c r="AB2610">
        <v>30</v>
      </c>
      <c r="AC2610">
        <v>-12.7887</v>
      </c>
      <c r="AD2610">
        <v>-1.112441102397</v>
      </c>
      <c r="AE2610">
        <v>-3.9724999999999602</v>
      </c>
      <c r="AF2610">
        <v>-2.8540754396499799</v>
      </c>
      <c r="AG2610">
        <v>-1.112441102397</v>
      </c>
      <c r="AH2610">
        <v>12.9898496070265</v>
      </c>
      <c r="AI2610">
        <v>94.781323711089996</v>
      </c>
      <c r="AJ2610">
        <v>102.391886891984</v>
      </c>
      <c r="AK2610">
        <v>13.3461404396433</v>
      </c>
      <c r="AL2610">
        <v>87.365305047978097</v>
      </c>
      <c r="AM2610">
        <v>87.590666198492997</v>
      </c>
      <c r="AN2610">
        <v>1.0000000530873201</v>
      </c>
    </row>
    <row r="2611" spans="1:40" x14ac:dyDescent="0.25">
      <c r="A2611" t="str">
        <f>"20190312154847520"</f>
        <v>20190312154847520</v>
      </c>
      <c r="B2611" t="str">
        <f>"1552376927508530"</f>
        <v>1552376927508530</v>
      </c>
      <c r="C2611" t="s">
        <v>40</v>
      </c>
      <c r="D2611">
        <v>4.5344069999999999</v>
      </c>
      <c r="E2611">
        <v>0.40293580000000001</v>
      </c>
      <c r="F2611" t="s">
        <v>49</v>
      </c>
      <c r="G2611">
        <v>-483.3673</v>
      </c>
      <c r="H2611" s="1">
        <v>1.9286879999999999E-6</v>
      </c>
      <c r="I2611">
        <v>278.37939999999998</v>
      </c>
      <c r="J2611">
        <v>-470.47309999999999</v>
      </c>
      <c r="K2611">
        <v>1.112695</v>
      </c>
      <c r="L2611">
        <v>282.4391</v>
      </c>
      <c r="M2611">
        <v>-0.99599420000000005</v>
      </c>
      <c r="N2611">
        <v>0</v>
      </c>
      <c r="O2611">
        <v>-8.8368509999999997E-2</v>
      </c>
      <c r="P2611">
        <v>-0.99832860000000001</v>
      </c>
      <c r="Q2611">
        <v>3.2251700000000001E-2</v>
      </c>
      <c r="R2611">
        <v>-4.7960669999999997E-2</v>
      </c>
      <c r="S2611">
        <v>-2.9730219999999998</v>
      </c>
      <c r="T2611">
        <v>-0.25062780000000001</v>
      </c>
      <c r="U2611">
        <v>-0.92123409999999994</v>
      </c>
      <c r="V2611">
        <v>4.0162000000000003E-2</v>
      </c>
      <c r="W2611">
        <v>4.6151280000000003E-2</v>
      </c>
      <c r="X2611">
        <v>0.99812679999999998</v>
      </c>
      <c r="Y2611">
        <v>-0.21001400000000001</v>
      </c>
      <c r="Z2611">
        <v>-1.3987889999999999E-3</v>
      </c>
      <c r="AA2611">
        <v>0.97769740000000005</v>
      </c>
      <c r="AB2611">
        <v>30</v>
      </c>
      <c r="AC2611">
        <v>-12.8942</v>
      </c>
      <c r="AD2611">
        <v>-1.112693071312</v>
      </c>
      <c r="AE2611">
        <v>-4.0597000000000198</v>
      </c>
      <c r="AF2611">
        <v>-2.8847231489212501</v>
      </c>
      <c r="AG2611">
        <v>-1.112693071312</v>
      </c>
      <c r="AH2611">
        <v>13.1136835888055</v>
      </c>
      <c r="AI2611">
        <v>94.737188053784493</v>
      </c>
      <c r="AJ2611">
        <v>102.40622145955599</v>
      </c>
      <c r="AK2611">
        <v>13.4732479671449</v>
      </c>
      <c r="AL2611">
        <v>87.354786892404704</v>
      </c>
      <c r="AM2611">
        <v>87.695811361484004</v>
      </c>
      <c r="AN2611">
        <v>1.0000000178839299</v>
      </c>
    </row>
    <row r="2612" spans="1:40" x14ac:dyDescent="0.25">
      <c r="A2612" t="str">
        <f>"20190312154847541"</f>
        <v>20190312154847541</v>
      </c>
      <c r="B2612" t="str">
        <f>"1552376927538786"</f>
        <v>1552376927538786</v>
      </c>
      <c r="C2612" t="s">
        <v>40</v>
      </c>
      <c r="D2612">
        <v>4.5062389999999999</v>
      </c>
      <c r="E2612">
        <v>0.40340429999999999</v>
      </c>
      <c r="F2612" t="s">
        <v>49</v>
      </c>
      <c r="G2612">
        <v>-483.93150000000003</v>
      </c>
      <c r="H2612" s="1">
        <v>1.9676539999999998E-6</v>
      </c>
      <c r="I2612">
        <v>278.20650000000001</v>
      </c>
      <c r="J2612">
        <v>-470.76440000000002</v>
      </c>
      <c r="K2612">
        <v>1.112957</v>
      </c>
      <c r="L2612">
        <v>282.40949999999998</v>
      </c>
      <c r="M2612">
        <v>-0.99565139999999996</v>
      </c>
      <c r="N2612">
        <v>0</v>
      </c>
      <c r="O2612">
        <v>-9.2149400000000006E-2</v>
      </c>
      <c r="P2612">
        <v>-0.99801340000000005</v>
      </c>
      <c r="Q2612">
        <v>3.123225E-2</v>
      </c>
      <c r="R2612">
        <v>-5.471881E-2</v>
      </c>
      <c r="S2612">
        <v>-2.9680789999999999</v>
      </c>
      <c r="T2612">
        <v>-0.24539150000000001</v>
      </c>
      <c r="U2612">
        <v>-0.93344119999999997</v>
      </c>
      <c r="V2612">
        <v>3.717289E-2</v>
      </c>
      <c r="W2612">
        <v>4.5150969999999999E-2</v>
      </c>
      <c r="X2612">
        <v>0.99828830000000002</v>
      </c>
      <c r="Y2612">
        <v>-0.2104519</v>
      </c>
      <c r="Z2612">
        <v>-1.0872550000000001E-3</v>
      </c>
      <c r="AA2612">
        <v>0.97760360000000002</v>
      </c>
      <c r="AB2612">
        <v>30</v>
      </c>
      <c r="AC2612">
        <v>-13.1671</v>
      </c>
      <c r="AD2612">
        <v>-1.112955032346</v>
      </c>
      <c r="AE2612">
        <v>-4.2029999999999701</v>
      </c>
      <c r="AF2612">
        <v>-2.9525161926069798</v>
      </c>
      <c r="AG2612">
        <v>-1.112955032346</v>
      </c>
      <c r="AH2612">
        <v>13.411447696422</v>
      </c>
      <c r="AI2612">
        <v>94.633395241905902</v>
      </c>
      <c r="AJ2612">
        <v>102.41555875448201</v>
      </c>
      <c r="AK2612">
        <v>13.777624979853901</v>
      </c>
      <c r="AL2612">
        <v>87.412160156697695</v>
      </c>
      <c r="AM2612">
        <v>87.867483637015994</v>
      </c>
      <c r="AN2612">
        <v>0.99999998187989103</v>
      </c>
    </row>
    <row r="2613" spans="1:40" x14ac:dyDescent="0.25">
      <c r="A2613" t="str">
        <f>"20190312154847564"</f>
        <v>20190312154847564</v>
      </c>
      <c r="B2613" t="str">
        <f>"1552376927558311"</f>
        <v>1552376927558311</v>
      </c>
      <c r="C2613" t="s">
        <v>40</v>
      </c>
      <c r="D2613">
        <v>4.6436149999999996</v>
      </c>
      <c r="E2613">
        <v>0.40412979999999998</v>
      </c>
      <c r="F2613" t="s">
        <v>49</v>
      </c>
      <c r="G2613">
        <v>-484.30840000000001</v>
      </c>
      <c r="H2613" s="1">
        <v>1.985796E-6</v>
      </c>
      <c r="I2613">
        <v>278.06869999999998</v>
      </c>
      <c r="J2613">
        <v>-471.06509999999997</v>
      </c>
      <c r="K2613">
        <v>1.1132280000000001</v>
      </c>
      <c r="L2613">
        <v>282.37740000000002</v>
      </c>
      <c r="M2613">
        <v>-0.99524959999999996</v>
      </c>
      <c r="N2613">
        <v>0</v>
      </c>
      <c r="O2613">
        <v>-9.6391690000000002E-2</v>
      </c>
      <c r="P2613">
        <v>-0.99760199999999999</v>
      </c>
      <c r="Q2613">
        <v>2.9380779999999999E-2</v>
      </c>
      <c r="R2613">
        <v>-6.2669260000000004E-2</v>
      </c>
      <c r="S2613">
        <v>-2.9615480000000001</v>
      </c>
      <c r="T2613">
        <v>-0.24336050000000001</v>
      </c>
      <c r="U2613">
        <v>-0.94915769999999999</v>
      </c>
      <c r="V2613">
        <v>3.3459969999999999E-2</v>
      </c>
      <c r="W2613">
        <v>4.3313129999999998E-2</v>
      </c>
      <c r="X2613">
        <v>0.99850110000000003</v>
      </c>
      <c r="Y2613">
        <v>-0.2116294</v>
      </c>
      <c r="Z2613">
        <v>-7.9132200000000001E-4</v>
      </c>
      <c r="AA2613">
        <v>0.97734960000000004</v>
      </c>
      <c r="AB2613">
        <v>30</v>
      </c>
      <c r="AC2613">
        <v>-13.2433</v>
      </c>
      <c r="AD2613">
        <v>-1.113226014204</v>
      </c>
      <c r="AE2613">
        <v>-4.3087000000000399</v>
      </c>
      <c r="AF2613">
        <v>-2.9928460858779999</v>
      </c>
      <c r="AG2613">
        <v>-1.113226014204</v>
      </c>
      <c r="AH2613">
        <v>13.5106540677134</v>
      </c>
      <c r="AI2613">
        <v>94.599314772379898</v>
      </c>
      <c r="AJ2613">
        <v>102.49032356972</v>
      </c>
      <c r="AK2613">
        <v>13.88287337657</v>
      </c>
      <c r="AL2613">
        <v>87.517563908280707</v>
      </c>
      <c r="AM2613">
        <v>88.080725249853302</v>
      </c>
      <c r="AN2613">
        <v>1.000000021762</v>
      </c>
    </row>
    <row r="2614" spans="1:40" x14ac:dyDescent="0.25">
      <c r="A2614" t="str">
        <f>"20190312154847586"</f>
        <v>20190312154847586</v>
      </c>
      <c r="B2614" t="str">
        <f>"1552376927578802"</f>
        <v>1552376927578802</v>
      </c>
      <c r="C2614" t="s">
        <v>40</v>
      </c>
      <c r="D2614">
        <v>4.4753930000000004</v>
      </c>
      <c r="E2614">
        <v>0.40436630000000001</v>
      </c>
      <c r="F2614" t="s">
        <v>49</v>
      </c>
      <c r="G2614">
        <v>-484.24529999999999</v>
      </c>
      <c r="H2614" s="1">
        <v>1.9720689999999999E-6</v>
      </c>
      <c r="I2614">
        <v>278.0616</v>
      </c>
      <c r="J2614">
        <v>-471.35149999999999</v>
      </c>
      <c r="K2614">
        <v>1.1134820000000001</v>
      </c>
      <c r="L2614">
        <v>282.34519999999998</v>
      </c>
      <c r="M2614">
        <v>-0.99481399999999998</v>
      </c>
      <c r="N2614">
        <v>0</v>
      </c>
      <c r="O2614">
        <v>-0.1007827</v>
      </c>
      <c r="P2614">
        <v>-0.99711890000000003</v>
      </c>
      <c r="Q2614">
        <v>2.8191419999999998E-2</v>
      </c>
      <c r="R2614">
        <v>-7.0420730000000001E-2</v>
      </c>
      <c r="S2614">
        <v>-2.953827</v>
      </c>
      <c r="T2614">
        <v>-0.2494866</v>
      </c>
      <c r="U2614">
        <v>-0.96722410000000003</v>
      </c>
      <c r="V2614">
        <v>3.008924E-2</v>
      </c>
      <c r="W2614">
        <v>4.2134989999999997E-2</v>
      </c>
      <c r="X2614">
        <v>0.99865870000000001</v>
      </c>
      <c r="Y2614">
        <v>-0.2134567</v>
      </c>
      <c r="Z2614">
        <v>-5.3137910000000004E-4</v>
      </c>
      <c r="AA2614">
        <v>0.97695240000000005</v>
      </c>
      <c r="AB2614">
        <v>30</v>
      </c>
      <c r="AC2614">
        <v>-12.893800000000001</v>
      </c>
      <c r="AD2614">
        <v>-1.11348002793099</v>
      </c>
      <c r="AE2614">
        <v>-4.2835999999999697</v>
      </c>
      <c r="AF2614">
        <v>-2.9424292107034198</v>
      </c>
      <c r="AG2614">
        <v>-1.11348002793099</v>
      </c>
      <c r="AH2614">
        <v>13.1714274845778</v>
      </c>
      <c r="AI2614">
        <v>94.7164437344628</v>
      </c>
      <c r="AJ2614">
        <v>102.592817281476</v>
      </c>
      <c r="AK2614">
        <v>13.5419433396427</v>
      </c>
      <c r="AL2614">
        <v>87.585127901881904</v>
      </c>
      <c r="AM2614">
        <v>88.274220142755297</v>
      </c>
      <c r="AN2614">
        <v>0.99999995941588204</v>
      </c>
    </row>
    <row r="2615" spans="1:40" x14ac:dyDescent="0.25">
      <c r="A2615" t="str">
        <f>"20190312154847609"</f>
        <v>20190312154847609</v>
      </c>
      <c r="B2615" t="str">
        <f>"1552376927598322"</f>
        <v>1552376927598322</v>
      </c>
      <c r="C2615" t="s">
        <v>40</v>
      </c>
      <c r="D2615">
        <v>4.4599880000000001</v>
      </c>
      <c r="E2615">
        <v>0.40462419999999999</v>
      </c>
      <c r="F2615" t="s">
        <v>49</v>
      </c>
      <c r="G2615">
        <v>-484.51620000000003</v>
      </c>
      <c r="H2615" s="1">
        <v>1.9726270000000001E-6</v>
      </c>
      <c r="I2615">
        <v>277.92720000000003</v>
      </c>
      <c r="J2615">
        <v>-471.65</v>
      </c>
      <c r="K2615">
        <v>1.1137600000000001</v>
      </c>
      <c r="L2615">
        <v>282.3098</v>
      </c>
      <c r="M2615">
        <v>-0.99430079999999998</v>
      </c>
      <c r="N2615">
        <v>0</v>
      </c>
      <c r="O2615">
        <v>-0.1057236</v>
      </c>
      <c r="P2615">
        <v>-0.99657260000000003</v>
      </c>
      <c r="Q2615">
        <v>2.9155159999999999E-2</v>
      </c>
      <c r="R2615">
        <v>-7.7417520000000004E-2</v>
      </c>
      <c r="S2615">
        <v>-2.9458920000000002</v>
      </c>
      <c r="T2615">
        <v>-0.249166</v>
      </c>
      <c r="U2615">
        <v>-0.98861690000000002</v>
      </c>
      <c r="V2615">
        <v>2.8000540000000001E-2</v>
      </c>
      <c r="W2615">
        <v>4.3118759999999999E-2</v>
      </c>
      <c r="X2615">
        <v>0.9986775</v>
      </c>
      <c r="Y2615">
        <v>-0.2157799</v>
      </c>
      <c r="Z2615">
        <v>-2.2659730000000001E-4</v>
      </c>
      <c r="AA2615">
        <v>0.97644200000000003</v>
      </c>
      <c r="AB2615">
        <v>30</v>
      </c>
      <c r="AC2615">
        <v>-12.866199999999999</v>
      </c>
      <c r="AD2615">
        <v>-1.1137580273729999</v>
      </c>
      <c r="AE2615">
        <v>-4.3825999999999601</v>
      </c>
      <c r="AF2615">
        <v>-2.9776510706681698</v>
      </c>
      <c r="AG2615">
        <v>-1.1137580273729999</v>
      </c>
      <c r="AH2615">
        <v>13.1690443952703</v>
      </c>
      <c r="AI2615">
        <v>94.715738179950094</v>
      </c>
      <c r="AJ2615">
        <v>102.740896427984</v>
      </c>
      <c r="AK2615">
        <v>13.547346349997399</v>
      </c>
      <c r="AL2615">
        <v>87.528710857230706</v>
      </c>
      <c r="AM2615">
        <v>88.393983466641401</v>
      </c>
      <c r="AN2615">
        <v>1.0000000033552301</v>
      </c>
    </row>
    <row r="2616" spans="1:40" x14ac:dyDescent="0.25">
      <c r="A2616" t="str">
        <f>"20190312154847631"</f>
        <v>20190312154847631</v>
      </c>
      <c r="B2616" t="str">
        <f>"1552376927618818"</f>
        <v>1552376927618818</v>
      </c>
      <c r="C2616" t="s">
        <v>40</v>
      </c>
      <c r="D2616">
        <v>4.5384789999999997</v>
      </c>
      <c r="E2616">
        <v>0.405111</v>
      </c>
      <c r="F2616" t="s">
        <v>49</v>
      </c>
      <c r="G2616">
        <v>-484.9622</v>
      </c>
      <c r="H2616" s="1">
        <v>1.9873029999999999E-6</v>
      </c>
      <c r="I2616">
        <v>277.74489999999997</v>
      </c>
      <c r="J2616">
        <v>-471.94299999999998</v>
      </c>
      <c r="K2616">
        <v>1.1140139999999901</v>
      </c>
      <c r="L2616">
        <v>282.27319999999997</v>
      </c>
      <c r="M2616">
        <v>-0.99374010000000002</v>
      </c>
      <c r="N2616">
        <v>0</v>
      </c>
      <c r="O2616">
        <v>-0.1108683</v>
      </c>
      <c r="P2616">
        <v>-0.9958766</v>
      </c>
      <c r="Q2616">
        <v>3.0629300000000002E-2</v>
      </c>
      <c r="R2616">
        <v>-8.5392999999999997E-2</v>
      </c>
      <c r="S2616">
        <v>-2.939209</v>
      </c>
      <c r="T2616">
        <v>-0.2459064</v>
      </c>
      <c r="U2616">
        <v>-1.0078739999999999</v>
      </c>
      <c r="V2616">
        <v>2.5128109999999999E-2</v>
      </c>
      <c r="W2616">
        <v>4.4601250000000002E-2</v>
      </c>
      <c r="X2616">
        <v>0.99868880000000004</v>
      </c>
      <c r="Y2616">
        <v>-0.21715190000000001</v>
      </c>
      <c r="Z2616">
        <v>1.3191160000000001E-4</v>
      </c>
      <c r="AA2616">
        <v>0.97613780000000006</v>
      </c>
      <c r="AB2616">
        <v>30</v>
      </c>
      <c r="AC2616">
        <v>-13.0191999999999</v>
      </c>
      <c r="AD2616">
        <v>-1.1140120126969999</v>
      </c>
      <c r="AE2616">
        <v>-4.5282999999999998</v>
      </c>
      <c r="AF2616">
        <v>-3.0369891837056402</v>
      </c>
      <c r="AG2616">
        <v>-1.1140120126969999</v>
      </c>
      <c r="AH2616">
        <v>13.353794515204401</v>
      </c>
      <c r="AI2616">
        <v>94.650526274590703</v>
      </c>
      <c r="AJ2616">
        <v>102.812571921523</v>
      </c>
      <c r="AK2616">
        <v>13.740020160854201</v>
      </c>
      <c r="AL2616">
        <v>87.443688619099902</v>
      </c>
      <c r="AM2616">
        <v>88.558679197560195</v>
      </c>
      <c r="AN2616">
        <v>1.00000000632958</v>
      </c>
    </row>
    <row r="2617" spans="1:40" x14ac:dyDescent="0.25">
      <c r="A2617" t="str">
        <f>"20190312154847653"</f>
        <v>20190312154847653</v>
      </c>
      <c r="B2617" t="str">
        <f>"1552376927648098"</f>
        <v>1552376927648098</v>
      </c>
      <c r="C2617" t="s">
        <v>40</v>
      </c>
      <c r="D2617">
        <v>4.4767029999999997</v>
      </c>
      <c r="E2617">
        <v>0.40574680000000002</v>
      </c>
      <c r="F2617" t="s">
        <v>49</v>
      </c>
      <c r="G2617">
        <v>-485.2398</v>
      </c>
      <c r="H2617" s="1">
        <v>1.9898579999999999E-6</v>
      </c>
      <c r="I2617">
        <v>277.61279999999999</v>
      </c>
      <c r="J2617">
        <v>-472.24360000000001</v>
      </c>
      <c r="K2617">
        <v>1.1142449999999999</v>
      </c>
      <c r="L2617">
        <v>282.23390000000001</v>
      </c>
      <c r="M2617">
        <v>-0.99310120000000002</v>
      </c>
      <c r="N2617">
        <v>0</v>
      </c>
      <c r="O2617">
        <v>-0.1164502</v>
      </c>
      <c r="P2617">
        <v>-0.99518010000000001</v>
      </c>
      <c r="Q2617">
        <v>3.0291539999999999E-2</v>
      </c>
      <c r="R2617">
        <v>-9.326893E-2</v>
      </c>
      <c r="S2617">
        <v>-2.931854</v>
      </c>
      <c r="T2617">
        <v>-0.2456315</v>
      </c>
      <c r="U2617">
        <v>-1.0275879999999999</v>
      </c>
      <c r="V2617">
        <v>2.2816639999999999E-2</v>
      </c>
      <c r="W2617">
        <v>4.4273510000000002E-2</v>
      </c>
      <c r="X2617">
        <v>0.99875890000000001</v>
      </c>
      <c r="Y2617">
        <v>-0.21829029999999999</v>
      </c>
      <c r="Z2617">
        <v>5.3173680000000005E-4</v>
      </c>
      <c r="AA2617">
        <v>0.97588370000000002</v>
      </c>
      <c r="AB2617">
        <v>30</v>
      </c>
      <c r="AC2617">
        <v>-12.9961999999999</v>
      </c>
      <c r="AD2617">
        <v>-1.114243010142</v>
      </c>
      <c r="AE2617">
        <v>-4.62110000000001</v>
      </c>
      <c r="AF2617">
        <v>-3.05615778778792</v>
      </c>
      <c r="AG2617">
        <v>-1.114243010142</v>
      </c>
      <c r="AH2617">
        <v>13.3587686523028</v>
      </c>
      <c r="AI2617">
        <v>94.648406898517607</v>
      </c>
      <c r="AJ2617">
        <v>102.88610810865499</v>
      </c>
      <c r="AK2617">
        <v>13.7491213470263</v>
      </c>
      <c r="AL2617">
        <v>87.462485395144299</v>
      </c>
      <c r="AM2617">
        <v>88.691305957353507</v>
      </c>
      <c r="AN2617">
        <v>1.0000000415389001</v>
      </c>
    </row>
    <row r="2618" spans="1:40" x14ac:dyDescent="0.25">
      <c r="A2618" t="str">
        <f>"20190312154847676"</f>
        <v>20190312154847676</v>
      </c>
      <c r="B2618" t="str">
        <f>"1552376927668594"</f>
        <v>1552376927668594</v>
      </c>
      <c r="C2618" t="s">
        <v>40</v>
      </c>
      <c r="D2618">
        <v>4.4854880000000001</v>
      </c>
      <c r="E2618">
        <v>0.40635690000000002</v>
      </c>
      <c r="F2618" t="s">
        <v>49</v>
      </c>
      <c r="G2618">
        <v>-485.2201</v>
      </c>
      <c r="H2618" s="1">
        <v>1.9787229999999998E-6</v>
      </c>
      <c r="I2618">
        <v>277.59120000000001</v>
      </c>
      <c r="J2618">
        <v>-472.529</v>
      </c>
      <c r="K2618">
        <v>1.114468</v>
      </c>
      <c r="L2618">
        <v>282.19459999999998</v>
      </c>
      <c r="M2618">
        <v>-0.99242810000000004</v>
      </c>
      <c r="N2618">
        <v>0</v>
      </c>
      <c r="O2618">
        <v>-0.1220535</v>
      </c>
      <c r="P2618">
        <v>-0.99449960000000004</v>
      </c>
      <c r="Q2618">
        <v>2.9662520000000001E-2</v>
      </c>
      <c r="R2618">
        <v>-0.10045469999999999</v>
      </c>
      <c r="S2618">
        <v>-2.9241329999999999</v>
      </c>
      <c r="T2618">
        <v>-0.25108439999999999</v>
      </c>
      <c r="U2618">
        <v>-1.046173</v>
      </c>
      <c r="V2618">
        <v>2.1223530000000001E-2</v>
      </c>
      <c r="W2618">
        <v>4.365898E-2</v>
      </c>
      <c r="X2618">
        <v>0.99882099999999996</v>
      </c>
      <c r="Y2618">
        <v>-0.21909719999999999</v>
      </c>
      <c r="Z2618">
        <v>9.6848609999999999E-4</v>
      </c>
      <c r="AA2618">
        <v>0.97570259999999998</v>
      </c>
      <c r="AB2618">
        <v>30</v>
      </c>
      <c r="AC2618">
        <v>-12.6911</v>
      </c>
      <c r="AD2618">
        <v>-1.1144660212769999</v>
      </c>
      <c r="AE2618">
        <v>-4.6033999999999597</v>
      </c>
      <c r="AF2618">
        <v>-2.99939604705198</v>
      </c>
      <c r="AG2618">
        <v>-1.1144660212769999</v>
      </c>
      <c r="AH2618">
        <v>13.0690485112872</v>
      </c>
      <c r="AI2618">
        <v>94.751184619788404</v>
      </c>
      <c r="AJ2618">
        <v>102.92575878057499</v>
      </c>
      <c r="AK2618">
        <v>13.4550525881555</v>
      </c>
      <c r="AL2618">
        <v>87.497729264387004</v>
      </c>
      <c r="AM2618">
        <v>88.782729104404396</v>
      </c>
      <c r="AN2618">
        <v>0.99999996740065</v>
      </c>
    </row>
    <row r="2619" spans="1:40" x14ac:dyDescent="0.25">
      <c r="A2619" t="str">
        <f>"20190312154847697"</f>
        <v>20190312154847697</v>
      </c>
      <c r="B2619" t="str">
        <f>"1552376927688114"</f>
        <v>1552376927688114</v>
      </c>
      <c r="C2619" t="s">
        <v>40</v>
      </c>
      <c r="D2619">
        <v>4.4945719999999998</v>
      </c>
      <c r="E2619">
        <v>0.40657510000000002</v>
      </c>
      <c r="F2619" t="s">
        <v>49</v>
      </c>
      <c r="G2619">
        <v>-485.3313</v>
      </c>
      <c r="H2619" s="1">
        <v>1.9766050000000002E-6</v>
      </c>
      <c r="I2619">
        <v>277.52940000000001</v>
      </c>
      <c r="J2619">
        <v>-472.82010000000002</v>
      </c>
      <c r="K2619">
        <v>1.1147180000000001</v>
      </c>
      <c r="L2619">
        <v>282.15260000000001</v>
      </c>
      <c r="M2619">
        <v>-0.99166639999999995</v>
      </c>
      <c r="N2619">
        <v>0</v>
      </c>
      <c r="O2619">
        <v>-0.12809189999999901</v>
      </c>
      <c r="P2619">
        <v>-0.99369339999999995</v>
      </c>
      <c r="Q2619">
        <v>3.0566260000000001E-2</v>
      </c>
      <c r="R2619">
        <v>-0.1078855</v>
      </c>
      <c r="S2619">
        <v>-2.9168090000000002</v>
      </c>
      <c r="T2619">
        <v>-0.25391399999999997</v>
      </c>
      <c r="U2619">
        <v>-1.062897</v>
      </c>
      <c r="V2619">
        <v>1.9796370000000001E-2</v>
      </c>
      <c r="W2619">
        <v>4.4582200000000002E-2</v>
      </c>
      <c r="X2619">
        <v>0.99880959999999996</v>
      </c>
      <c r="Y2619">
        <v>-0.2188958</v>
      </c>
      <c r="Z2619">
        <v>1.4882160000000001E-3</v>
      </c>
      <c r="AA2619">
        <v>0.97574709999999998</v>
      </c>
      <c r="AB2619">
        <v>30</v>
      </c>
      <c r="AC2619">
        <v>-12.511199999999899</v>
      </c>
      <c r="AD2619">
        <v>-1.114716023395</v>
      </c>
      <c r="AE2619">
        <v>-4.62319999999999</v>
      </c>
      <c r="AF2619">
        <v>-2.9616861427415802</v>
      </c>
      <c r="AG2619">
        <v>-1.114716023395</v>
      </c>
      <c r="AH2619">
        <v>12.910194884131</v>
      </c>
      <c r="AI2619">
        <v>94.810548099975705</v>
      </c>
      <c r="AJ2619">
        <v>102.92047861290099</v>
      </c>
      <c r="AK2619">
        <v>13.292377837210401</v>
      </c>
      <c r="AL2619">
        <v>87.444781284081898</v>
      </c>
      <c r="AM2619">
        <v>88.864548395369695</v>
      </c>
      <c r="AN2619">
        <v>1.0000000429370799</v>
      </c>
    </row>
    <row r="2620" spans="1:40" x14ac:dyDescent="0.25">
      <c r="A2620" t="str">
        <f>"20190312154847721"</f>
        <v>20190312154847721</v>
      </c>
      <c r="B2620" t="str">
        <f>"1552376927708611"</f>
        <v>1552376927708611</v>
      </c>
      <c r="C2620" t="s">
        <v>40</v>
      </c>
      <c r="D2620">
        <v>4.514011</v>
      </c>
      <c r="E2620">
        <v>0.4166339</v>
      </c>
      <c r="F2620" t="s">
        <v>49</v>
      </c>
      <c r="G2620">
        <v>-485.6037</v>
      </c>
      <c r="H2620" s="1">
        <v>1.976015E-6</v>
      </c>
      <c r="I2620">
        <v>277.39109999999999</v>
      </c>
      <c r="J2620">
        <v>-473.11799999999999</v>
      </c>
      <c r="K2620">
        <v>1.114995</v>
      </c>
      <c r="L2620">
        <v>282.10739999999998</v>
      </c>
      <c r="M2620">
        <v>-0.99079870000000003</v>
      </c>
      <c r="N2620">
        <v>0</v>
      </c>
      <c r="O2620">
        <v>-0.13463559999999999</v>
      </c>
      <c r="P2620">
        <v>-0.9928266</v>
      </c>
      <c r="Q2620">
        <v>3.1727440000000003E-2</v>
      </c>
      <c r="R2620">
        <v>-0.11527709999999999</v>
      </c>
      <c r="S2620">
        <v>-2.9092410000000002</v>
      </c>
      <c r="T2620">
        <v>-0.25368190000000002</v>
      </c>
      <c r="U2620">
        <v>-1.083618</v>
      </c>
      <c r="V2620">
        <v>1.8907670000000001E-2</v>
      </c>
      <c r="W2620">
        <v>4.5773069999999999E-2</v>
      </c>
      <c r="X2620">
        <v>0.99877289999999996</v>
      </c>
      <c r="Y2620">
        <v>-0.2194082</v>
      </c>
      <c r="Z2620">
        <v>2.0070579999999999E-3</v>
      </c>
      <c r="AA2620">
        <v>0.97563109999999997</v>
      </c>
      <c r="AB2620">
        <v>30</v>
      </c>
      <c r="AC2620">
        <v>-12.4856999999999</v>
      </c>
      <c r="AD2620">
        <v>-1.1149930239849899</v>
      </c>
      <c r="AE2620">
        <v>-4.7162999999999897</v>
      </c>
      <c r="AF2620">
        <v>-2.9714326718971802</v>
      </c>
      <c r="AG2620">
        <v>-1.1149930239849899</v>
      </c>
      <c r="AH2620">
        <v>12.916893901762601</v>
      </c>
      <c r="AI2620">
        <v>94.808590285796498</v>
      </c>
      <c r="AJ2620">
        <v>102.95506924235001</v>
      </c>
      <c r="AK2620">
        <v>13.301081521310399</v>
      </c>
      <c r="AL2620">
        <v>87.376479580639696</v>
      </c>
      <c r="AM2620">
        <v>88.915468866796004</v>
      </c>
      <c r="AN2620">
        <v>0.99999998984823102</v>
      </c>
    </row>
    <row r="2621" spans="1:40" x14ac:dyDescent="0.25">
      <c r="A2621" t="str">
        <f>"20190312154847743"</f>
        <v>20190312154847743</v>
      </c>
      <c r="B2621" t="str">
        <f>"1552376927738866"</f>
        <v>1552376927738866</v>
      </c>
      <c r="C2621" t="s">
        <v>40</v>
      </c>
      <c r="D2621">
        <v>4.913335</v>
      </c>
      <c r="E2621">
        <v>0.41668300000000003</v>
      </c>
      <c r="F2621" t="s">
        <v>49</v>
      </c>
      <c r="G2621">
        <v>-485.01740000000001</v>
      </c>
      <c r="H2621" s="1">
        <v>2.0553410000000001E-6</v>
      </c>
      <c r="I2621">
        <v>277.90969999999999</v>
      </c>
      <c r="J2621">
        <v>-473.40269999999998</v>
      </c>
      <c r="K2621">
        <v>1.1152820000000001</v>
      </c>
      <c r="L2621">
        <v>282.06189999999998</v>
      </c>
      <c r="M2621">
        <v>-0.98987590000000003</v>
      </c>
      <c r="N2621">
        <v>0</v>
      </c>
      <c r="O2621">
        <v>-0.14125839999999901</v>
      </c>
      <c r="P2621">
        <v>-0.99197860000000004</v>
      </c>
      <c r="Q2621">
        <v>3.1784880000000001E-2</v>
      </c>
      <c r="R2621">
        <v>-0.12234489999999899</v>
      </c>
      <c r="S2621">
        <v>-2.9111940000000001</v>
      </c>
      <c r="T2621">
        <v>-0.27278400000000003</v>
      </c>
      <c r="U2621">
        <v>-1.0269779999999999</v>
      </c>
      <c r="V2621">
        <v>1.8440169999999999E-2</v>
      </c>
      <c r="W2621">
        <v>4.5867860000000003E-2</v>
      </c>
      <c r="X2621">
        <v>0.99877729999999998</v>
      </c>
      <c r="Y2621">
        <v>-0.19590050000000001</v>
      </c>
      <c r="Z2621">
        <v>3.8236059999999998E-3</v>
      </c>
      <c r="AA2621">
        <v>0.9806163</v>
      </c>
      <c r="AB2621">
        <v>30</v>
      </c>
      <c r="AC2621">
        <v>-11.614699999999999</v>
      </c>
      <c r="AD2621">
        <v>-1.1152799446589901</v>
      </c>
      <c r="AE2621">
        <v>-4.1521999999999899</v>
      </c>
      <c r="AF2621">
        <v>-2.4496978882884601</v>
      </c>
      <c r="AG2621">
        <v>-1.1152799446589901</v>
      </c>
      <c r="AH2621">
        <v>11.9868044472887</v>
      </c>
      <c r="AI2621">
        <v>95.208581339914403</v>
      </c>
      <c r="AJ2621">
        <v>101.550273347505</v>
      </c>
      <c r="AK2621">
        <v>12.2852899825923</v>
      </c>
      <c r="AL2621">
        <v>87.371042824062599</v>
      </c>
      <c r="AM2621">
        <v>88.942282839250396</v>
      </c>
      <c r="AN2621">
        <v>0.99999999772294901</v>
      </c>
    </row>
    <row r="2622" spans="1:40" x14ac:dyDescent="0.25">
      <c r="A2622" t="str">
        <f>"20190312154847765"</f>
        <v>20190312154847765</v>
      </c>
      <c r="B2622" t="str">
        <f>"1552376927758387"</f>
        <v>1552376927758387</v>
      </c>
      <c r="C2622" t="s">
        <v>40</v>
      </c>
      <c r="D2622">
        <v>4.5010680000000001</v>
      </c>
      <c r="E2622">
        <v>0.41719129999999899</v>
      </c>
      <c r="F2622" t="s">
        <v>49</v>
      </c>
      <c r="G2622">
        <v>-485.43869999999998</v>
      </c>
      <c r="H2622" s="1">
        <v>2.0634020000000001E-6</v>
      </c>
      <c r="I2622">
        <v>277.72109999999998</v>
      </c>
      <c r="J2622">
        <v>-473.68920000000003</v>
      </c>
      <c r="K2622">
        <v>1.1155889999999999</v>
      </c>
      <c r="L2622">
        <v>282.0138</v>
      </c>
      <c r="M2622">
        <v>-0.98884309999999997</v>
      </c>
      <c r="N2622">
        <v>0</v>
      </c>
      <c r="O2622">
        <v>-0.14831150000000001</v>
      </c>
      <c r="P2622">
        <v>-0.99116930000000003</v>
      </c>
      <c r="Q2622">
        <v>3.1058559999999999E-2</v>
      </c>
      <c r="R2622">
        <v>-0.128914</v>
      </c>
      <c r="S2622">
        <v>-2.9037169999999999</v>
      </c>
      <c r="T2622">
        <v>-0.26906469999999999</v>
      </c>
      <c r="U2622">
        <v>-1.0472410000000001</v>
      </c>
      <c r="V2622">
        <v>1.892255E-2</v>
      </c>
      <c r="W2622">
        <v>4.5196210000000001E-2</v>
      </c>
      <c r="X2622">
        <v>0.99879890000000005</v>
      </c>
      <c r="Y2622">
        <v>-0.1958028</v>
      </c>
      <c r="Z2622">
        <v>4.3988309999999997E-3</v>
      </c>
      <c r="AA2622">
        <v>0.98063339999999999</v>
      </c>
      <c r="AB2622">
        <v>30</v>
      </c>
      <c r="AC2622">
        <v>-11.7494999999999</v>
      </c>
      <c r="AD2622">
        <v>-1.115586936598</v>
      </c>
      <c r="AE2622">
        <v>-4.2927000000000204</v>
      </c>
      <c r="AF2622">
        <v>-2.4827162678845802</v>
      </c>
      <c r="AG2622">
        <v>-1.115586936598</v>
      </c>
      <c r="AH2622">
        <v>12.1595418551761</v>
      </c>
      <c r="AI2622">
        <v>95.136581103978699</v>
      </c>
      <c r="AJ2622">
        <v>101.539945340716</v>
      </c>
      <c r="AK2622">
        <v>12.4604523355978</v>
      </c>
      <c r="AL2622">
        <v>87.409565497560706</v>
      </c>
      <c r="AM2622">
        <v>88.914643811352605</v>
      </c>
      <c r="AN2622">
        <v>1.00000000146903</v>
      </c>
    </row>
    <row r="2623" spans="1:40" x14ac:dyDescent="0.25">
      <c r="A2623" t="str">
        <f>"20190312154847779"</f>
        <v>20190312154847779</v>
      </c>
      <c r="B2623" t="str">
        <f>"1552376927768146"</f>
        <v>1552376927768146</v>
      </c>
      <c r="C2623" t="s">
        <v>40</v>
      </c>
      <c r="D2623">
        <v>4.5165920000000002</v>
      </c>
      <c r="E2623">
        <v>0.41714659999999898</v>
      </c>
      <c r="F2623" t="s">
        <v>49</v>
      </c>
      <c r="G2623">
        <v>-485.54629999999997</v>
      </c>
      <c r="H2623" s="1">
        <v>2.0624540000000002E-6</v>
      </c>
      <c r="I2623">
        <v>277.6644</v>
      </c>
      <c r="J2623">
        <v>-473.88040000000001</v>
      </c>
      <c r="K2623">
        <v>1.1157979999999901</v>
      </c>
      <c r="L2623">
        <v>281.98</v>
      </c>
      <c r="M2623">
        <v>-0.9880816</v>
      </c>
      <c r="N2623">
        <v>0</v>
      </c>
      <c r="O2623">
        <v>-0.1533004</v>
      </c>
      <c r="P2623">
        <v>-0.9905467</v>
      </c>
      <c r="Q2623">
        <v>3.0321170000000001E-2</v>
      </c>
      <c r="R2623">
        <v>-0.1337827</v>
      </c>
      <c r="S2623">
        <v>-2.8970340000000001</v>
      </c>
      <c r="T2623">
        <v>-0.27257100000000001</v>
      </c>
      <c r="U2623">
        <v>-1.062683</v>
      </c>
      <c r="V2623">
        <v>1.90461E-2</v>
      </c>
      <c r="W2623">
        <v>4.4495970000000003E-2</v>
      </c>
      <c r="X2623">
        <v>0.99882800000000005</v>
      </c>
      <c r="Y2623">
        <v>-0.19620280000000001</v>
      </c>
      <c r="Z2623">
        <v>4.8859020000000001E-3</v>
      </c>
      <c r="AA2623">
        <v>0.98055119999999896</v>
      </c>
      <c r="AB2623">
        <v>30</v>
      </c>
      <c r="AC2623">
        <v>-11.665899999999899</v>
      </c>
      <c r="AD2623">
        <v>-1.11579593754599</v>
      </c>
      <c r="AE2623">
        <v>-4.3156000000000097</v>
      </c>
      <c r="AF2623">
        <v>-2.4562524089086502</v>
      </c>
      <c r="AG2623">
        <v>-1.11579593754599</v>
      </c>
      <c r="AH2623">
        <v>12.092319261962899</v>
      </c>
      <c r="AI2623">
        <v>95.1670028149518</v>
      </c>
      <c r="AJ2623">
        <v>101.481991622416</v>
      </c>
      <c r="AK2623">
        <v>12.389606999568301</v>
      </c>
      <c r="AL2623">
        <v>87.449726721149901</v>
      </c>
      <c r="AM2623">
        <v>88.907590784298307</v>
      </c>
      <c r="AN2623">
        <v>1.0000000094277199</v>
      </c>
    </row>
    <row r="2624" spans="1:40" x14ac:dyDescent="0.25">
      <c r="A2624" t="str">
        <f>"20190312154847799"</f>
        <v>20190312154847799</v>
      </c>
      <c r="B2624" t="str">
        <f>"1552376927788643"</f>
        <v>1552376927788643</v>
      </c>
      <c r="C2624" t="s">
        <v>40</v>
      </c>
      <c r="D2624">
        <v>4.4629640000000004</v>
      </c>
      <c r="E2624">
        <v>0.4173769</v>
      </c>
      <c r="F2624" t="s">
        <v>49</v>
      </c>
      <c r="G2624">
        <v>-485.58210000000003</v>
      </c>
      <c r="H2624" s="1">
        <v>2.0529479999999999E-6</v>
      </c>
      <c r="I2624">
        <v>277.61959999999999</v>
      </c>
      <c r="J2624">
        <v>-474.1241</v>
      </c>
      <c r="K2624">
        <v>1.116058</v>
      </c>
      <c r="L2624">
        <v>281.93540000000002</v>
      </c>
      <c r="M2624">
        <v>-0.98703490000000005</v>
      </c>
      <c r="N2624">
        <v>0</v>
      </c>
      <c r="O2624">
        <v>-0.15989890000000001</v>
      </c>
      <c r="P2624">
        <v>-0.9898129</v>
      </c>
      <c r="Q2624">
        <v>2.848732E-2</v>
      </c>
      <c r="R2624">
        <v>-0.13949690000000001</v>
      </c>
      <c r="S2624">
        <v>-2.8915410000000001</v>
      </c>
      <c r="T2624">
        <v>-0.27571990000000002</v>
      </c>
      <c r="U2624">
        <v>-1.0774840000000001</v>
      </c>
      <c r="V2624">
        <v>1.9961710000000001E-2</v>
      </c>
      <c r="W2624">
        <v>4.2722879999999998E-2</v>
      </c>
      <c r="X2624">
        <v>0.99888750000000004</v>
      </c>
      <c r="Y2624">
        <v>-0.19469520000000001</v>
      </c>
      <c r="Z2624">
        <v>5.6081509999999996E-3</v>
      </c>
      <c r="AA2624">
        <v>0.98084780000000005</v>
      </c>
      <c r="AB2624">
        <v>30</v>
      </c>
      <c r="AC2624">
        <v>-11.458</v>
      </c>
      <c r="AD2624">
        <v>-1.116055947052</v>
      </c>
      <c r="AE2624">
        <v>-4.3158000000000198</v>
      </c>
      <c r="AF2624">
        <v>-2.4079526094405299</v>
      </c>
      <c r="AG2624">
        <v>-1.116055947052</v>
      </c>
      <c r="AH2624">
        <v>11.9018151291442</v>
      </c>
      <c r="AI2624">
        <v>95.251285832192806</v>
      </c>
      <c r="AJ2624">
        <v>101.437584279066</v>
      </c>
      <c r="AK2624">
        <v>12.194138756574301</v>
      </c>
      <c r="AL2624">
        <v>87.551413964969896</v>
      </c>
      <c r="AM2624">
        <v>88.855156842104705</v>
      </c>
      <c r="AN2624">
        <v>0.99999997599893398</v>
      </c>
    </row>
    <row r="2625" spans="1:40" x14ac:dyDescent="0.25">
      <c r="A2625" t="str">
        <f>"20190312154847820"</f>
        <v>20190312154847820</v>
      </c>
      <c r="B2625" t="str">
        <f>"1552376927808162"</f>
        <v>1552376927808162</v>
      </c>
      <c r="C2625" t="s">
        <v>40</v>
      </c>
      <c r="D2625">
        <v>4.472194</v>
      </c>
      <c r="E2625">
        <v>0.4175355</v>
      </c>
      <c r="F2625" t="s">
        <v>49</v>
      </c>
      <c r="G2625">
        <v>-485.5926</v>
      </c>
      <c r="H2625" s="1">
        <v>2.0454139999999999E-6</v>
      </c>
      <c r="I2625">
        <v>277.59300000000002</v>
      </c>
      <c r="J2625">
        <v>-474.40320000000003</v>
      </c>
      <c r="K2625">
        <v>1.1163609999999999</v>
      </c>
      <c r="L2625">
        <v>281.88189999999997</v>
      </c>
      <c r="M2625">
        <v>-0.98571620000000004</v>
      </c>
      <c r="N2625">
        <v>0</v>
      </c>
      <c r="O2625">
        <v>-0.1678327</v>
      </c>
      <c r="P2625">
        <v>-0.98883960000000004</v>
      </c>
      <c r="Q2625">
        <v>2.60834E-2</v>
      </c>
      <c r="R2625">
        <v>-0.1466829</v>
      </c>
      <c r="S2625">
        <v>-2.8850099999999999</v>
      </c>
      <c r="T2625">
        <v>-0.28075539999999999</v>
      </c>
      <c r="U2625">
        <v>-1.0923769999999999</v>
      </c>
      <c r="V2625">
        <v>2.0755639999999999E-2</v>
      </c>
      <c r="W2625">
        <v>4.038982E-2</v>
      </c>
      <c r="X2625">
        <v>0.99896839999999998</v>
      </c>
      <c r="Y2625">
        <v>-0.1920046</v>
      </c>
      <c r="Z2625">
        <v>6.5680369999999997E-3</v>
      </c>
      <c r="AA2625">
        <v>0.98137209999999997</v>
      </c>
      <c r="AB2625">
        <v>30</v>
      </c>
      <c r="AC2625">
        <v>-11.1893999999999</v>
      </c>
      <c r="AD2625">
        <v>-1.116358954586</v>
      </c>
      <c r="AE2625">
        <v>-4.2888999999999502</v>
      </c>
      <c r="AF2625">
        <v>-2.3297019215668899</v>
      </c>
      <c r="AG2625">
        <v>-1.116358954586</v>
      </c>
      <c r="AH2625">
        <v>11.6494371804786</v>
      </c>
      <c r="AI2625">
        <v>95.368250605563404</v>
      </c>
      <c r="AJ2625">
        <v>101.309055142753</v>
      </c>
      <c r="AK2625">
        <v>11.932441283356701</v>
      </c>
      <c r="AL2625">
        <v>87.6852041167392</v>
      </c>
      <c r="AM2625">
        <v>88.809732624938306</v>
      </c>
      <c r="AN2625">
        <v>0.99999999917500004</v>
      </c>
    </row>
    <row r="2626" spans="1:40" x14ac:dyDescent="0.25">
      <c r="A2626" t="str">
        <f>"20190312154847843"</f>
        <v>20190312154847843</v>
      </c>
      <c r="B2626" t="str">
        <f>"1552376927838418"</f>
        <v>1552376927838418</v>
      </c>
      <c r="C2626" t="s">
        <v>40</v>
      </c>
      <c r="D2626">
        <v>4.4519769999999896</v>
      </c>
      <c r="E2626">
        <v>0.41828720000000003</v>
      </c>
      <c r="F2626" t="s">
        <v>49</v>
      </c>
      <c r="G2626">
        <v>-485.6087</v>
      </c>
      <c r="H2626" s="1">
        <v>2.0330350000000002E-6</v>
      </c>
      <c r="I2626">
        <v>277.54989999999998</v>
      </c>
      <c r="J2626">
        <v>-474.6961</v>
      </c>
      <c r="K2626">
        <v>1.1166700000000001</v>
      </c>
      <c r="L2626">
        <v>281.82299999999998</v>
      </c>
      <c r="M2626">
        <v>-0.98418620000000001</v>
      </c>
      <c r="N2626">
        <v>0</v>
      </c>
      <c r="O2626">
        <v>-0.1765803</v>
      </c>
      <c r="P2626">
        <v>-0.9877283</v>
      </c>
      <c r="Q2626">
        <v>2.3997109999999999E-2</v>
      </c>
      <c r="R2626">
        <v>-0.1543283</v>
      </c>
      <c r="S2626">
        <v>-2.8764949999999998</v>
      </c>
      <c r="T2626">
        <v>-0.28657359999999998</v>
      </c>
      <c r="U2626">
        <v>-1.112061</v>
      </c>
      <c r="V2626">
        <v>2.1910599999999999E-2</v>
      </c>
      <c r="W2626">
        <v>3.8385320000000001E-2</v>
      </c>
      <c r="X2626">
        <v>0.99902279999999999</v>
      </c>
      <c r="Y2626">
        <v>-0.1901456</v>
      </c>
      <c r="Z2626">
        <v>7.6176169999999897E-3</v>
      </c>
      <c r="AA2626">
        <v>0.98172630000000005</v>
      </c>
      <c r="AB2626">
        <v>30</v>
      </c>
      <c r="AC2626">
        <v>-10.9125999999999</v>
      </c>
      <c r="AD2626">
        <v>-1.1166679669649999</v>
      </c>
      <c r="AE2626">
        <v>-4.2731000000000003</v>
      </c>
      <c r="AF2626">
        <v>-2.2582971864956098</v>
      </c>
      <c r="AG2626">
        <v>-1.1166679669649999</v>
      </c>
      <c r="AH2626">
        <v>11.3922771232908</v>
      </c>
      <c r="AI2626">
        <v>95.492040065675994</v>
      </c>
      <c r="AJ2626">
        <v>101.212415837723</v>
      </c>
      <c r="AK2626">
        <v>11.6675117992156</v>
      </c>
      <c r="AL2626">
        <v>87.800142787742203</v>
      </c>
      <c r="AM2626">
        <v>88.743588555981006</v>
      </c>
      <c r="AN2626">
        <v>1.00000003105185</v>
      </c>
    </row>
    <row r="2627" spans="1:40" x14ac:dyDescent="0.25">
      <c r="A2627" t="str">
        <f>"20190312154847858"</f>
        <v>20190312154847858</v>
      </c>
      <c r="B2627" t="str">
        <f>"1552376927848178"</f>
        <v>1552376927848178</v>
      </c>
      <c r="C2627" t="s">
        <v>40</v>
      </c>
      <c r="D2627">
        <v>4.4897289999999996</v>
      </c>
      <c r="E2627">
        <v>0.41846430000000001</v>
      </c>
      <c r="F2627" t="s">
        <v>49</v>
      </c>
      <c r="G2627">
        <v>-485.91500000000002</v>
      </c>
      <c r="H2627" s="1">
        <v>2.0376120000000001E-6</v>
      </c>
      <c r="I2627">
        <v>277.40910000000002</v>
      </c>
      <c r="J2627">
        <v>-474.88729999999998</v>
      </c>
      <c r="K2627">
        <v>1.1168739999999999</v>
      </c>
      <c r="L2627">
        <v>281.78250000000003</v>
      </c>
      <c r="M2627">
        <v>-0.98309270000000004</v>
      </c>
      <c r="N2627">
        <v>0</v>
      </c>
      <c r="O2627">
        <v>-0.1825676</v>
      </c>
      <c r="P2627">
        <v>-0.98689260000000001</v>
      </c>
      <c r="Q2627">
        <v>2.30409E-2</v>
      </c>
      <c r="R2627">
        <v>-0.15972610000000001</v>
      </c>
      <c r="S2627">
        <v>-2.8679199999999998</v>
      </c>
      <c r="T2627">
        <v>-0.28545779999999998</v>
      </c>
      <c r="U2627">
        <v>-1.1283259999999999</v>
      </c>
      <c r="V2627">
        <v>2.2530109999999999E-2</v>
      </c>
      <c r="W2627">
        <v>3.7482840000000003E-2</v>
      </c>
      <c r="X2627">
        <v>0.99904329999999997</v>
      </c>
      <c r="Y2627">
        <v>-0.1900133</v>
      </c>
      <c r="Z2627">
        <v>8.16243E-3</v>
      </c>
      <c r="AA2627">
        <v>0.98174760000000005</v>
      </c>
      <c r="AB2627">
        <v>30</v>
      </c>
      <c r="AC2627">
        <v>-11.027699999999999</v>
      </c>
      <c r="AD2627">
        <v>-1.1168719623879999</v>
      </c>
      <c r="AE2627">
        <v>-4.3734000000000002</v>
      </c>
      <c r="AF2627">
        <v>-2.2662960115884698</v>
      </c>
      <c r="AG2627">
        <v>-1.1168719623879999</v>
      </c>
      <c r="AH2627">
        <v>11.538573230438599</v>
      </c>
      <c r="AI2627">
        <v>95.425673742479802</v>
      </c>
      <c r="AJ2627">
        <v>101.112039155652</v>
      </c>
      <c r="AK2627">
        <v>11.811950422631501</v>
      </c>
      <c r="AL2627">
        <v>87.851888351155495</v>
      </c>
      <c r="AM2627">
        <v>88.708102598013198</v>
      </c>
      <c r="AN2627">
        <v>1.00000004221298</v>
      </c>
    </row>
    <row r="2628" spans="1:40" x14ac:dyDescent="0.25">
      <c r="A2628" t="str">
        <f>"20190312154847877"</f>
        <v>20190312154847877</v>
      </c>
      <c r="B2628" t="str">
        <f>"1552376927868674"</f>
        <v>1552376927868674</v>
      </c>
      <c r="C2628" t="s">
        <v>40</v>
      </c>
      <c r="D2628">
        <v>4.4920640000000001</v>
      </c>
      <c r="E2628">
        <v>0.41662559999999899</v>
      </c>
      <c r="F2628" t="s">
        <v>49</v>
      </c>
      <c r="G2628">
        <v>-485.94450000000001</v>
      </c>
      <c r="H2628" s="1">
        <v>2.0276700000000001E-6</v>
      </c>
      <c r="I2628">
        <v>277.36619999999999</v>
      </c>
      <c r="J2628">
        <v>-475.12180000000001</v>
      </c>
      <c r="K2628">
        <v>1.1171169999999999</v>
      </c>
      <c r="L2628">
        <v>281.7312</v>
      </c>
      <c r="M2628">
        <v>-0.98165659999999999</v>
      </c>
      <c r="N2628">
        <v>0</v>
      </c>
      <c r="O2628">
        <v>-0.1901351</v>
      </c>
      <c r="P2628">
        <v>-0.98589950000000004</v>
      </c>
      <c r="Q2628">
        <v>2.2032300000000001E-2</v>
      </c>
      <c r="R2628">
        <v>-0.16588259999999999</v>
      </c>
      <c r="S2628">
        <v>-2.8616030000000001</v>
      </c>
      <c r="T2628">
        <v>-0.28904760000000002</v>
      </c>
      <c r="U2628">
        <v>-1.142944</v>
      </c>
      <c r="V2628">
        <v>2.3989259999999998E-2</v>
      </c>
      <c r="W2628">
        <v>3.6552689999999999E-2</v>
      </c>
      <c r="X2628">
        <v>0.99904380000000004</v>
      </c>
      <c r="Y2628">
        <v>-0.18756220000000001</v>
      </c>
      <c r="Z2628">
        <v>9.1027810000000008E-3</v>
      </c>
      <c r="AA2628">
        <v>0.98221060000000004</v>
      </c>
      <c r="AB2628">
        <v>29</v>
      </c>
      <c r="AC2628">
        <v>-10.8226999999999</v>
      </c>
      <c r="AD2628">
        <v>-1.11711497233</v>
      </c>
      <c r="AE2628">
        <v>-4.3650000000000002</v>
      </c>
      <c r="AF2628">
        <v>-2.2071518937927599</v>
      </c>
      <c r="AG2628">
        <v>-1.11711497233</v>
      </c>
      <c r="AH2628">
        <v>11.351235261151301</v>
      </c>
      <c r="AI2628">
        <v>95.517894652875697</v>
      </c>
      <c r="AJ2628">
        <v>101.00338161423799</v>
      </c>
      <c r="AK2628">
        <v>11.6176592865208</v>
      </c>
      <c r="AL2628">
        <v>87.905218586560395</v>
      </c>
      <c r="AM2628">
        <v>88.624465440481302</v>
      </c>
      <c r="AN2628">
        <v>1.0000000490300101</v>
      </c>
    </row>
    <row r="2629" spans="1:40" x14ac:dyDescent="0.25">
      <c r="A2629" t="str">
        <f>"20190312154847898"</f>
        <v>20190312154847898</v>
      </c>
      <c r="B2629" t="str">
        <f>"1552376927888194"</f>
        <v>1552376927888194</v>
      </c>
      <c r="C2629" t="s">
        <v>40</v>
      </c>
      <c r="D2629">
        <v>4.5295050000000003</v>
      </c>
      <c r="E2629">
        <v>0.39180599999999999</v>
      </c>
      <c r="F2629" t="s">
        <v>49</v>
      </c>
      <c r="G2629">
        <v>-486.15769999999998</v>
      </c>
      <c r="H2629" s="1">
        <v>2.000593E-6</v>
      </c>
      <c r="I2629">
        <v>277.18259999999998</v>
      </c>
      <c r="J2629">
        <v>-475.4033</v>
      </c>
      <c r="K2629">
        <v>1.1174040000000001</v>
      </c>
      <c r="L2629">
        <v>281.66669999999999</v>
      </c>
      <c r="M2629">
        <v>-0.97977979999999998</v>
      </c>
      <c r="N2629">
        <v>0</v>
      </c>
      <c r="O2629">
        <v>-0.19957720000000001</v>
      </c>
      <c r="P2629">
        <v>-0.98437019999999997</v>
      </c>
      <c r="Q2629">
        <v>2.193525E-2</v>
      </c>
      <c r="R2629">
        <v>-0.17474120000000001</v>
      </c>
      <c r="S2629">
        <v>-2.8515320000000002</v>
      </c>
      <c r="T2629">
        <v>-0.28864780000000001</v>
      </c>
      <c r="U2629">
        <v>-1.1752929999999999</v>
      </c>
      <c r="V2629">
        <v>2.4599309999999999E-2</v>
      </c>
      <c r="W2629">
        <v>3.6534110000000002E-2</v>
      </c>
      <c r="X2629">
        <v>0.99902959999999996</v>
      </c>
      <c r="Y2629">
        <v>-0.1888957</v>
      </c>
      <c r="Z2629">
        <v>9.9175180000000002E-3</v>
      </c>
      <c r="AA2629">
        <v>0.98194709999999996</v>
      </c>
      <c r="AB2629">
        <v>29</v>
      </c>
      <c r="AC2629">
        <v>-10.754399999999899</v>
      </c>
      <c r="AD2629">
        <v>-1.1174019994069999</v>
      </c>
      <c r="AE2629">
        <v>-4.4841000000000104</v>
      </c>
      <c r="AF2629">
        <v>-2.22684317640394</v>
      </c>
      <c r="AG2629">
        <v>-1.1174019994069999</v>
      </c>
      <c r="AH2629">
        <v>11.328825990297799</v>
      </c>
      <c r="AI2629">
        <v>95.527957193622996</v>
      </c>
      <c r="AJ2629">
        <v>101.120530182076</v>
      </c>
      <c r="AK2629">
        <v>11.5995567190743</v>
      </c>
      <c r="AL2629">
        <v>87.906283760262298</v>
      </c>
      <c r="AM2629">
        <v>88.589479333409102</v>
      </c>
      <c r="AN2629">
        <v>1.00000000446106</v>
      </c>
    </row>
    <row r="2630" spans="1:40" x14ac:dyDescent="0.25">
      <c r="A2630" t="str">
        <f>"20190312154847922"</f>
        <v>20190312154847922</v>
      </c>
      <c r="B2630" t="str">
        <f>"1552376927908691"</f>
        <v>1552376927908691</v>
      </c>
      <c r="C2630" t="s">
        <v>40</v>
      </c>
      <c r="D2630">
        <v>4.5454309999999998</v>
      </c>
      <c r="E2630">
        <v>0.39163589999999998</v>
      </c>
      <c r="F2630" t="s">
        <v>49</v>
      </c>
      <c r="G2630">
        <v>-487.90929999999997</v>
      </c>
      <c r="H2630" s="1">
        <v>1.733268E-6</v>
      </c>
      <c r="I2630">
        <v>275.45359999999999</v>
      </c>
      <c r="J2630">
        <v>-475.6902</v>
      </c>
      <c r="K2630">
        <v>1.1176820000000001</v>
      </c>
      <c r="L2630">
        <v>281.59769999999997</v>
      </c>
      <c r="M2630">
        <v>-0.97768969999999999</v>
      </c>
      <c r="N2630">
        <v>0</v>
      </c>
      <c r="O2630">
        <v>-0.2095736</v>
      </c>
      <c r="P2630">
        <v>-0.98242569999999996</v>
      </c>
      <c r="Q2630">
        <v>2.1600569999999999E-2</v>
      </c>
      <c r="R2630">
        <v>-0.1854005</v>
      </c>
      <c r="S2630">
        <v>-2.8057560000000001</v>
      </c>
      <c r="T2630">
        <v>-0.250693</v>
      </c>
      <c r="U2630">
        <v>-1.393921</v>
      </c>
      <c r="V2630">
        <v>2.3955500000000001E-2</v>
      </c>
      <c r="W2630">
        <v>3.6257730000000002E-2</v>
      </c>
      <c r="X2630">
        <v>0.99905529999999998</v>
      </c>
      <c r="Y2630">
        <v>-0.24721129999999999</v>
      </c>
      <c r="Z2630">
        <v>6.9366050000000002E-3</v>
      </c>
      <c r="AA2630">
        <v>0.96893669999999998</v>
      </c>
      <c r="AB2630">
        <v>29</v>
      </c>
      <c r="AC2630">
        <v>-12.2190999999999</v>
      </c>
      <c r="AD2630">
        <v>-1.117680266732</v>
      </c>
      <c r="AE2630">
        <v>-6.1440999999999804</v>
      </c>
      <c r="AF2630">
        <v>-3.4237058486741399</v>
      </c>
      <c r="AG2630">
        <v>-1.117680266732</v>
      </c>
      <c r="AH2630">
        <v>13.14766124104</v>
      </c>
      <c r="AI2630">
        <v>94.702922048188299</v>
      </c>
      <c r="AJ2630">
        <v>104.595905136551</v>
      </c>
      <c r="AK2630">
        <v>13.632019917313499</v>
      </c>
      <c r="AL2630">
        <v>87.922129637922595</v>
      </c>
      <c r="AM2630">
        <v>88.626416288474203</v>
      </c>
      <c r="AN2630">
        <v>0.99999999071154599</v>
      </c>
    </row>
    <row r="2631" spans="1:40" x14ac:dyDescent="0.25">
      <c r="A2631" t="str">
        <f>"20190312154847944"</f>
        <v>20190312154847944</v>
      </c>
      <c r="B2631" t="str">
        <f>"1552376927938947"</f>
        <v>1552376927938947</v>
      </c>
      <c r="C2631" t="s">
        <v>40</v>
      </c>
      <c r="D2631">
        <v>4.5350710000000003</v>
      </c>
      <c r="E2631">
        <v>0.39240789999999998</v>
      </c>
      <c r="F2631" t="s">
        <v>49</v>
      </c>
      <c r="G2631">
        <v>-488.11320000000001</v>
      </c>
      <c r="H2631" s="1">
        <v>1.7153619999999999E-6</v>
      </c>
      <c r="I2631">
        <v>275.24930000000001</v>
      </c>
      <c r="J2631">
        <v>-475.96809999999999</v>
      </c>
      <c r="K2631">
        <v>1.1179349999999999</v>
      </c>
      <c r="L2631">
        <v>281.52760000000001</v>
      </c>
      <c r="M2631">
        <v>-0.97548500000000005</v>
      </c>
      <c r="N2631">
        <v>0</v>
      </c>
      <c r="O2631">
        <v>-0.2196032</v>
      </c>
      <c r="P2631">
        <v>-0.98024719999999999</v>
      </c>
      <c r="Q2631">
        <v>2.0967989999999999E-2</v>
      </c>
      <c r="R2631">
        <v>-0.19666110000000001</v>
      </c>
      <c r="S2631">
        <v>-2.7901609999999999</v>
      </c>
      <c r="T2631">
        <v>-0.2510269</v>
      </c>
      <c r="U2631">
        <v>-1.4258420000000001</v>
      </c>
      <c r="V2631">
        <v>2.2742430000000001E-2</v>
      </c>
      <c r="W2631">
        <v>3.566826E-2</v>
      </c>
      <c r="X2631">
        <v>0.99910489999999996</v>
      </c>
      <c r="Y2631">
        <v>-0.24827289999999999</v>
      </c>
      <c r="Z2631">
        <v>7.7257710000000002E-3</v>
      </c>
      <c r="AA2631">
        <v>0.9686593</v>
      </c>
      <c r="AB2631">
        <v>29</v>
      </c>
      <c r="AC2631">
        <v>-12.145099999999999</v>
      </c>
      <c r="AD2631">
        <v>-1.1179332846379999</v>
      </c>
      <c r="AE2631">
        <v>-6.2782999999999998</v>
      </c>
      <c r="AF2631">
        <v>-3.43467173363298</v>
      </c>
      <c r="AG2631">
        <v>-1.1179332846379999</v>
      </c>
      <c r="AH2631">
        <v>13.139590258736099</v>
      </c>
      <c r="AI2631">
        <v>94.705720157697797</v>
      </c>
      <c r="AJ2631">
        <v>104.649255472786</v>
      </c>
      <c r="AK2631">
        <v>13.627016434795699</v>
      </c>
      <c r="AL2631">
        <v>87.955925707844401</v>
      </c>
      <c r="AM2631">
        <v>88.696012531591805</v>
      </c>
      <c r="AN2631">
        <v>1.0000000220488701</v>
      </c>
    </row>
    <row r="2632" spans="1:40" x14ac:dyDescent="0.25">
      <c r="A2632" t="str">
        <f>"20190312154847966"</f>
        <v>20190312154847966</v>
      </c>
      <c r="B2632" t="str">
        <f>"1552376927958467"</f>
        <v>1552376927958467</v>
      </c>
      <c r="C2632" t="s">
        <v>40</v>
      </c>
      <c r="D2632">
        <v>4.4991859999999999</v>
      </c>
      <c r="E2632">
        <v>0.3929742</v>
      </c>
      <c r="F2632" t="s">
        <v>49</v>
      </c>
      <c r="G2632">
        <v>-488.22489999999999</v>
      </c>
      <c r="H2632" s="1">
        <v>1.701056E-6</v>
      </c>
      <c r="I2632">
        <v>275.11180000000002</v>
      </c>
      <c r="J2632">
        <v>-476.23719999999997</v>
      </c>
      <c r="K2632">
        <v>1.118169</v>
      </c>
      <c r="L2632">
        <v>281.4563</v>
      </c>
      <c r="M2632">
        <v>-0.97317149999999997</v>
      </c>
      <c r="N2632">
        <v>0</v>
      </c>
      <c r="O2632">
        <v>-0.22963629999999999</v>
      </c>
      <c r="P2632">
        <v>-0.97786090000000003</v>
      </c>
      <c r="Q2632">
        <v>1.9794530000000001E-2</v>
      </c>
      <c r="R2632">
        <v>-0.2083178</v>
      </c>
      <c r="S2632">
        <v>-2.7744749999999998</v>
      </c>
      <c r="T2632">
        <v>-0.25305889999999998</v>
      </c>
      <c r="U2632">
        <v>-1.4523010000000001</v>
      </c>
      <c r="V2632">
        <v>2.1142270000000001E-2</v>
      </c>
      <c r="W2632">
        <v>3.4525510000000002E-2</v>
      </c>
      <c r="X2632">
        <v>0.99918010000000002</v>
      </c>
      <c r="Y2632">
        <v>-0.2478243</v>
      </c>
      <c r="Z2632">
        <v>8.6439140000000008E-3</v>
      </c>
      <c r="AA2632">
        <v>0.96876649999999997</v>
      </c>
      <c r="AB2632">
        <v>29</v>
      </c>
      <c r="AC2632">
        <v>-11.9877</v>
      </c>
      <c r="AD2632">
        <v>-1.1181672989439999</v>
      </c>
      <c r="AE2632">
        <v>-6.3444999999999796</v>
      </c>
      <c r="AF2632">
        <v>-3.3987252472691498</v>
      </c>
      <c r="AG2632">
        <v>-1.1181672989439999</v>
      </c>
      <c r="AH2632">
        <v>13.0357572277823</v>
      </c>
      <c r="AI2632">
        <v>94.744799981714905</v>
      </c>
      <c r="AJ2632">
        <v>104.61302567352701</v>
      </c>
      <c r="AK2632">
        <v>13.5178621799651</v>
      </c>
      <c r="AL2632">
        <v>88.021440661196294</v>
      </c>
      <c r="AM2632">
        <v>88.787824035662695</v>
      </c>
      <c r="AN2632">
        <v>0.99999993932875897</v>
      </c>
    </row>
    <row r="2633" spans="1:40" x14ac:dyDescent="0.25">
      <c r="A2633" t="str">
        <f>"20190312154847979"</f>
        <v>20190312154847979</v>
      </c>
      <c r="B2633" t="str">
        <f>"1552376927968227"</f>
        <v>1552376927968227</v>
      </c>
      <c r="C2633" t="s">
        <v>40</v>
      </c>
      <c r="D2633">
        <v>4.4929329999999998</v>
      </c>
      <c r="E2633">
        <v>0.3933159</v>
      </c>
      <c r="F2633" t="s">
        <v>49</v>
      </c>
      <c r="G2633">
        <v>-488.31389999999999</v>
      </c>
      <c r="H2633" s="1">
        <v>1.6844529999999999E-6</v>
      </c>
      <c r="I2633">
        <v>274.97269999999997</v>
      </c>
      <c r="J2633">
        <v>-476.41230000000002</v>
      </c>
      <c r="K2633">
        <v>1.1183110000000001</v>
      </c>
      <c r="L2633">
        <v>281.40800000000002</v>
      </c>
      <c r="M2633">
        <v>-0.97156609999999999</v>
      </c>
      <c r="N2633">
        <v>0</v>
      </c>
      <c r="O2633">
        <v>-0.2363343</v>
      </c>
      <c r="P2633">
        <v>-0.97625810000000002</v>
      </c>
      <c r="Q2633">
        <v>1.9877499999999999E-2</v>
      </c>
      <c r="R2633">
        <v>-0.21569769999999999</v>
      </c>
      <c r="S2633">
        <v>-2.7576900000000002</v>
      </c>
      <c r="T2633">
        <v>-0.25533139999999999</v>
      </c>
      <c r="U2633">
        <v>-1.4805299999999999</v>
      </c>
      <c r="V2633">
        <v>2.0463350000000002E-2</v>
      </c>
      <c r="W2633">
        <v>3.4634650000000003E-2</v>
      </c>
      <c r="X2633">
        <v>0.99919049999999998</v>
      </c>
      <c r="Y2633">
        <v>-0.25130789999999997</v>
      </c>
      <c r="Z2633">
        <v>9.1430450000000007E-3</v>
      </c>
      <c r="AA2633">
        <v>0.96786399999999995</v>
      </c>
      <c r="AB2633">
        <v>29</v>
      </c>
      <c r="AC2633">
        <v>-11.901599999999901</v>
      </c>
      <c r="AD2633">
        <v>-1.1183093155470001</v>
      </c>
      <c r="AE2633">
        <v>-6.4353000000000398</v>
      </c>
      <c r="AF2633">
        <v>-3.4165753794332598</v>
      </c>
      <c r="AG2633">
        <v>-1.1183093155470001</v>
      </c>
      <c r="AH2633">
        <v>12.9966284015086</v>
      </c>
      <c r="AI2633">
        <v>94.757116447183705</v>
      </c>
      <c r="AJ2633">
        <v>104.728760355612</v>
      </c>
      <c r="AK2633">
        <v>13.484656200863601</v>
      </c>
      <c r="AL2633">
        <v>88.015183741012194</v>
      </c>
      <c r="AM2633">
        <v>88.826750544773702</v>
      </c>
      <c r="AN2633">
        <v>0.99999998148204705</v>
      </c>
    </row>
    <row r="2634" spans="1:40" x14ac:dyDescent="0.25">
      <c r="A2634" t="str">
        <f>"20190312154847999"</f>
        <v>20190312154847999</v>
      </c>
      <c r="B2634" t="str">
        <f>"1552376927988723"</f>
        <v>1552376927988723</v>
      </c>
      <c r="C2634" t="s">
        <v>40</v>
      </c>
      <c r="D2634">
        <v>4.4851130000000001</v>
      </c>
      <c r="E2634">
        <v>0.39417049999999998</v>
      </c>
      <c r="F2634" t="s">
        <v>49</v>
      </c>
      <c r="G2634">
        <v>-488.48739999999998</v>
      </c>
      <c r="H2634" s="1">
        <v>1.672782E-6</v>
      </c>
      <c r="I2634">
        <v>274.81909999999999</v>
      </c>
      <c r="J2634">
        <v>-476.65690000000001</v>
      </c>
      <c r="K2634">
        <v>1.118495</v>
      </c>
      <c r="L2634">
        <v>281.3383</v>
      </c>
      <c r="M2634">
        <v>-0.96920430000000002</v>
      </c>
      <c r="N2634">
        <v>0</v>
      </c>
      <c r="O2634">
        <v>-0.24583769999999999</v>
      </c>
      <c r="P2634">
        <v>-0.97397049999999996</v>
      </c>
      <c r="Q2634">
        <v>2.0110349999999999E-2</v>
      </c>
      <c r="R2634">
        <v>-0.2257817</v>
      </c>
      <c r="S2634">
        <v>-2.7469790000000001</v>
      </c>
      <c r="T2634">
        <v>-0.25440620000000003</v>
      </c>
      <c r="U2634">
        <v>-1.4989319999999999</v>
      </c>
      <c r="V2634">
        <v>1.9893750000000002E-2</v>
      </c>
      <c r="W2634">
        <v>3.4907710000000002E-2</v>
      </c>
      <c r="X2634">
        <v>0.99919250000000004</v>
      </c>
      <c r="Y2634">
        <v>-0.248448</v>
      </c>
      <c r="Z2634">
        <v>1.002573E-2</v>
      </c>
      <c r="AA2634">
        <v>0.96859340000000005</v>
      </c>
      <c r="AB2634">
        <v>29</v>
      </c>
      <c r="AC2634">
        <v>-11.830499999999899</v>
      </c>
      <c r="AD2634">
        <v>-1.118493327218</v>
      </c>
      <c r="AE2634">
        <v>-6.5192000000000103</v>
      </c>
      <c r="AF2634">
        <v>-3.3871825536839602</v>
      </c>
      <c r="AG2634">
        <v>-1.118493327218</v>
      </c>
      <c r="AH2634">
        <v>12.981184000509399</v>
      </c>
      <c r="AI2634">
        <v>94.765798744785201</v>
      </c>
      <c r="AJ2634">
        <v>104.62412511187399</v>
      </c>
      <c r="AK2634">
        <v>13.462361272454901</v>
      </c>
      <c r="AL2634">
        <v>87.999529087344101</v>
      </c>
      <c r="AM2634">
        <v>88.859401627039105</v>
      </c>
      <c r="AN2634">
        <v>0.99999998078137797</v>
      </c>
    </row>
    <row r="2635" spans="1:40" x14ac:dyDescent="0.25">
      <c r="A2635" t="str">
        <f>"20190312154848014"</f>
        <v>20190312154848014</v>
      </c>
      <c r="B2635" t="str">
        <f>"1552376928008242"</f>
        <v>1552376928008242</v>
      </c>
      <c r="C2635" t="s">
        <v>40</v>
      </c>
      <c r="D2635">
        <v>4.4867860000000004</v>
      </c>
      <c r="E2635">
        <v>0.40092749999999999</v>
      </c>
      <c r="F2635" t="s">
        <v>49</v>
      </c>
      <c r="G2635">
        <v>-488.80180000000001</v>
      </c>
      <c r="H2635" s="1">
        <v>1.6533530000000001E-6</v>
      </c>
      <c r="I2635">
        <v>274.58350000000002</v>
      </c>
      <c r="J2635">
        <v>-476.82749999999999</v>
      </c>
      <c r="K2635">
        <v>1.118608</v>
      </c>
      <c r="L2635">
        <v>281.28809999999999</v>
      </c>
      <c r="M2635">
        <v>-0.96746980000000005</v>
      </c>
      <c r="N2635">
        <v>0</v>
      </c>
      <c r="O2635">
        <v>-0.25257540000000001</v>
      </c>
      <c r="P2635">
        <v>-0.9722961</v>
      </c>
      <c r="Q2635">
        <v>2.0197369999999999E-2</v>
      </c>
      <c r="R2635">
        <v>-0.23287859999999999</v>
      </c>
      <c r="S2635">
        <v>-2.732971</v>
      </c>
      <c r="T2635">
        <v>-0.2516949</v>
      </c>
      <c r="U2635">
        <v>-1.5200499999999999</v>
      </c>
      <c r="V2635">
        <v>1.954647E-2</v>
      </c>
      <c r="W2635">
        <v>3.5021120000000003E-2</v>
      </c>
      <c r="X2635">
        <v>0.99919539999999996</v>
      </c>
      <c r="Y2635">
        <v>-0.2495453</v>
      </c>
      <c r="Z2635">
        <v>1.044002E-2</v>
      </c>
      <c r="AA2635">
        <v>0.96830680000000002</v>
      </c>
      <c r="AB2635">
        <v>29</v>
      </c>
      <c r="AC2635">
        <v>-11.974299999999999</v>
      </c>
      <c r="AD2635">
        <v>-1.118606346647</v>
      </c>
      <c r="AE2635">
        <v>-6.7045999999999699</v>
      </c>
      <c r="AF2635">
        <v>-3.4395920030886198</v>
      </c>
      <c r="AG2635">
        <v>-1.118606346647</v>
      </c>
      <c r="AH2635">
        <v>13.1919251502349</v>
      </c>
      <c r="AI2635">
        <v>94.6907021889334</v>
      </c>
      <c r="AJ2635">
        <v>104.613636279159</v>
      </c>
      <c r="AK2635">
        <v>13.678777813674399</v>
      </c>
      <c r="AL2635">
        <v>87.993027226599295</v>
      </c>
      <c r="AM2635">
        <v>88.879310883685093</v>
      </c>
      <c r="AN2635">
        <v>0.99999999535833695</v>
      </c>
    </row>
    <row r="2636" spans="1:40" x14ac:dyDescent="0.25">
      <c r="A2636" t="str">
        <f>"20190312154848028"</f>
        <v>20190312154848028</v>
      </c>
      <c r="B2636" t="str">
        <f>"1552376928018979"</f>
        <v>1552376928018979</v>
      </c>
      <c r="C2636" t="s">
        <v>40</v>
      </c>
      <c r="D2636">
        <v>4.4672409999999996</v>
      </c>
      <c r="E2636">
        <v>0.4009431</v>
      </c>
      <c r="F2636" t="s">
        <v>49</v>
      </c>
      <c r="G2636">
        <v>-490.06920000000002</v>
      </c>
      <c r="H2636" s="1">
        <v>1.5818630000000001E-6</v>
      </c>
      <c r="I2636">
        <v>274.09120000000001</v>
      </c>
      <c r="J2636">
        <v>-477.01620000000003</v>
      </c>
      <c r="K2636">
        <v>1.1187199999999999</v>
      </c>
      <c r="L2636">
        <v>281.23110000000003</v>
      </c>
      <c r="M2636">
        <v>-0.96547179999999999</v>
      </c>
      <c r="N2636">
        <v>0</v>
      </c>
      <c r="O2636">
        <v>-0.26010699999999998</v>
      </c>
      <c r="P2636">
        <v>-0.9705087</v>
      </c>
      <c r="Q2636">
        <v>1.9994209999999998E-2</v>
      </c>
      <c r="R2636">
        <v>-0.24023520000000001</v>
      </c>
      <c r="S2636">
        <v>-2.7343440000000001</v>
      </c>
      <c r="T2636">
        <v>-0.23098650000000001</v>
      </c>
      <c r="U2636">
        <v>-1.4861150000000001</v>
      </c>
      <c r="V2636">
        <v>1.9760920000000001E-2</v>
      </c>
      <c r="W2636">
        <v>3.4857659999999999E-2</v>
      </c>
      <c r="X2636">
        <v>0.99919690000000005</v>
      </c>
      <c r="Y2636">
        <v>-0.23259009999999999</v>
      </c>
      <c r="Z2636">
        <v>1.084152E-2</v>
      </c>
      <c r="AA2636">
        <v>0.9725144</v>
      </c>
      <c r="AB2636">
        <v>29</v>
      </c>
      <c r="AC2636">
        <v>-13.0529999999999</v>
      </c>
      <c r="AD2636">
        <v>-1.118718418137</v>
      </c>
      <c r="AE2636">
        <v>-7.1399000000000097</v>
      </c>
      <c r="AF2636">
        <v>-3.47889113333349</v>
      </c>
      <c r="AG2636">
        <v>-1.118718418137</v>
      </c>
      <c r="AH2636">
        <v>14.379648977035201</v>
      </c>
      <c r="AI2636">
        <v>94.324318286579498</v>
      </c>
      <c r="AJ2636">
        <v>103.600330970399</v>
      </c>
      <c r="AK2636">
        <v>14.8367287202878</v>
      </c>
      <c r="AL2636">
        <v>88.002398521241005</v>
      </c>
      <c r="AM2636">
        <v>88.867020365802006</v>
      </c>
      <c r="AN2636">
        <v>0.999999997694766</v>
      </c>
    </row>
    <row r="2637" spans="1:40" x14ac:dyDescent="0.25">
      <c r="A2637" t="str">
        <f>"20190312154848043"</f>
        <v>20190312154848043</v>
      </c>
      <c r="B2637" t="str">
        <f>"1552376928038499"</f>
        <v>1552376928038499</v>
      </c>
      <c r="C2637" t="s">
        <v>40</v>
      </c>
      <c r="D2637">
        <v>4.4608080000000001</v>
      </c>
      <c r="E2637">
        <v>0.40154770000000001</v>
      </c>
      <c r="F2637" t="s">
        <v>49</v>
      </c>
      <c r="G2637">
        <v>-490.40019999999998</v>
      </c>
      <c r="H2637" s="1">
        <v>1.488976E-6</v>
      </c>
      <c r="I2637">
        <v>273.82850000000002</v>
      </c>
      <c r="J2637">
        <v>-477.20409999999998</v>
      </c>
      <c r="K2637">
        <v>1.118814</v>
      </c>
      <c r="L2637">
        <v>281.17270000000002</v>
      </c>
      <c r="M2637">
        <v>-0.96339300000000005</v>
      </c>
      <c r="N2637">
        <v>0</v>
      </c>
      <c r="O2637">
        <v>-0.26770260000000001</v>
      </c>
      <c r="P2637">
        <v>-0.96835729999999998</v>
      </c>
      <c r="Q2637">
        <v>1.8885880000000001E-2</v>
      </c>
      <c r="R2637">
        <v>-0.2488524</v>
      </c>
      <c r="S2637">
        <v>-2.7230219999999998</v>
      </c>
      <c r="T2637">
        <v>-0.22760749999999999</v>
      </c>
      <c r="U2637">
        <v>-1.5061040000000001</v>
      </c>
      <c r="V2637">
        <v>1.8769020000000001E-2</v>
      </c>
      <c r="W2637">
        <v>3.3761109999999997E-2</v>
      </c>
      <c r="X2637">
        <v>0.99925370000000002</v>
      </c>
      <c r="Y2637">
        <v>-0.2321271</v>
      </c>
      <c r="Z2637">
        <v>1.127413E-2</v>
      </c>
      <c r="AA2637">
        <v>0.97262009999999999</v>
      </c>
      <c r="AB2637">
        <v>29</v>
      </c>
      <c r="AC2637">
        <v>-13.196099999999999</v>
      </c>
      <c r="AD2637">
        <v>-1.1188125110239999</v>
      </c>
      <c r="AE2637">
        <v>-7.3441999999999998</v>
      </c>
      <c r="AF2637">
        <v>-3.5237518737570301</v>
      </c>
      <c r="AG2637">
        <v>-1.1188125110239999</v>
      </c>
      <c r="AH2637">
        <v>14.600495838798199</v>
      </c>
      <c r="AI2637">
        <v>94.260076850371505</v>
      </c>
      <c r="AJ2637">
        <v>103.568558985199</v>
      </c>
      <c r="AK2637">
        <v>15.061309619066799</v>
      </c>
      <c r="AL2637">
        <v>88.065263271167595</v>
      </c>
      <c r="AM2637">
        <v>88.923937742626194</v>
      </c>
      <c r="AN2637">
        <v>1.0000000228119399</v>
      </c>
    </row>
    <row r="2638" spans="1:40" x14ac:dyDescent="0.25">
      <c r="A2638" t="str">
        <f>"20190312154848057"</f>
        <v>20190312154848057</v>
      </c>
      <c r="B2638" t="str">
        <f>"1552376928048259"</f>
        <v>1552376928048259</v>
      </c>
      <c r="C2638" t="s">
        <v>40</v>
      </c>
      <c r="D2638">
        <v>4.491695</v>
      </c>
      <c r="E2638">
        <v>0.40182950000000001</v>
      </c>
      <c r="F2638" t="s">
        <v>49</v>
      </c>
      <c r="G2638">
        <v>-490.47680000000003</v>
      </c>
      <c r="H2638" s="1">
        <v>1.4466299999999901E-6</v>
      </c>
      <c r="I2638">
        <v>273.70870000000002</v>
      </c>
      <c r="J2638">
        <v>-477.35669999999999</v>
      </c>
      <c r="K2638">
        <v>1.118884</v>
      </c>
      <c r="L2638">
        <v>281.12349999999998</v>
      </c>
      <c r="M2638">
        <v>-0.96163639999999995</v>
      </c>
      <c r="N2638">
        <v>0</v>
      </c>
      <c r="O2638">
        <v>-0.27394420000000003</v>
      </c>
      <c r="P2638">
        <v>-0.96654430000000002</v>
      </c>
      <c r="Q2638">
        <v>1.8053670000000001E-2</v>
      </c>
      <c r="R2638">
        <v>-0.25586439999999999</v>
      </c>
      <c r="S2638">
        <v>-2.7107540000000001</v>
      </c>
      <c r="T2638">
        <v>-0.22850110000000001</v>
      </c>
      <c r="U2638">
        <v>-1.5244139999999999</v>
      </c>
      <c r="V2638">
        <v>1.8022570000000002E-2</v>
      </c>
      <c r="W2638">
        <v>3.2937599999999997E-2</v>
      </c>
      <c r="X2638">
        <v>0.99929489999999999</v>
      </c>
      <c r="Y2638">
        <v>-0.2327022</v>
      </c>
      <c r="Z2638">
        <v>1.1776719999999999E-2</v>
      </c>
      <c r="AA2638">
        <v>0.97247669999999997</v>
      </c>
      <c r="AB2638">
        <v>29</v>
      </c>
      <c r="AC2638">
        <v>-13.120100000000001</v>
      </c>
      <c r="AD2638">
        <v>-1.11888255337</v>
      </c>
      <c r="AE2638">
        <v>-7.4147999999999499</v>
      </c>
      <c r="AF2638">
        <v>-3.5171506044981098</v>
      </c>
      <c r="AG2638">
        <v>-1.11888255337</v>
      </c>
      <c r="AH2638">
        <v>14.569237768948801</v>
      </c>
      <c r="AI2638">
        <v>94.269386525828295</v>
      </c>
      <c r="AJ2638">
        <v>103.572062189364</v>
      </c>
      <c r="AK2638">
        <v>15.029468909815799</v>
      </c>
      <c r="AL2638">
        <v>88.112473131921405</v>
      </c>
      <c r="AM2638">
        <v>88.966766208366394</v>
      </c>
      <c r="AN2638">
        <v>0.99999999784458704</v>
      </c>
    </row>
    <row r="2639" spans="1:40" x14ac:dyDescent="0.25">
      <c r="A2639" t="str">
        <f>"20190312154848070"</f>
        <v>20190312154848070</v>
      </c>
      <c r="B2639" t="str">
        <f>"1552376928058994"</f>
        <v>1552376928058994</v>
      </c>
      <c r="C2639" t="s">
        <v>40</v>
      </c>
      <c r="D2639">
        <v>4.5001910000000001</v>
      </c>
      <c r="E2639">
        <v>0.40176630000000002</v>
      </c>
      <c r="F2639" t="s">
        <v>49</v>
      </c>
      <c r="G2639">
        <v>-490.42689999999999</v>
      </c>
      <c r="H2639" s="1">
        <v>1.43025E-6</v>
      </c>
      <c r="I2639">
        <v>273.66230000000002</v>
      </c>
      <c r="J2639">
        <v>-477.52409999999998</v>
      </c>
      <c r="K2639">
        <v>1.1189450000000001</v>
      </c>
      <c r="L2639">
        <v>281.06869999999998</v>
      </c>
      <c r="M2639">
        <v>-0.95965100000000003</v>
      </c>
      <c r="N2639">
        <v>0</v>
      </c>
      <c r="O2639">
        <v>-0.2808195</v>
      </c>
      <c r="P2639">
        <v>-0.96439580000000003</v>
      </c>
      <c r="Q2639">
        <v>1.720959E-2</v>
      </c>
      <c r="R2639">
        <v>-0.26390390000000002</v>
      </c>
      <c r="S2639">
        <v>-2.7001339999999998</v>
      </c>
      <c r="T2639">
        <v>-0.2311465</v>
      </c>
      <c r="U2639">
        <v>-1.541382</v>
      </c>
      <c r="V2639">
        <v>1.6870010000000001E-2</v>
      </c>
      <c r="W2639">
        <v>3.2093570000000002E-2</v>
      </c>
      <c r="X2639">
        <v>0.99934250000000002</v>
      </c>
      <c r="Y2639">
        <v>-0.23201730000000001</v>
      </c>
      <c r="Z2639">
        <v>1.246919E-2</v>
      </c>
      <c r="AA2639">
        <v>0.97263180000000005</v>
      </c>
      <c r="AB2639">
        <v>29</v>
      </c>
      <c r="AC2639">
        <v>-12.902799999999999</v>
      </c>
      <c r="AD2639">
        <v>-1.1189435697499901</v>
      </c>
      <c r="AE2639">
        <v>-7.4063999999999597</v>
      </c>
      <c r="AF2639">
        <v>-3.46496761387208</v>
      </c>
      <c r="AG2639">
        <v>-1.1189435697499901</v>
      </c>
      <c r="AH2639">
        <v>14.382212166391</v>
      </c>
      <c r="AI2639">
        <v>94.325411309583004</v>
      </c>
      <c r="AJ2639">
        <v>103.54558317279999</v>
      </c>
      <c r="AK2639">
        <v>14.8359718952468</v>
      </c>
      <c r="AL2639">
        <v>88.160858103424502</v>
      </c>
      <c r="AM2639">
        <v>89.032875542696402</v>
      </c>
      <c r="AN2639">
        <v>1.00000001338949</v>
      </c>
    </row>
    <row r="2640" spans="1:40" x14ac:dyDescent="0.25">
      <c r="A2640" t="str">
        <f>"20190312154848083"</f>
        <v>20190312154848083</v>
      </c>
      <c r="B2640" t="str">
        <f>"1552376928078514"</f>
        <v>1552376928078514</v>
      </c>
      <c r="C2640" t="s">
        <v>40</v>
      </c>
      <c r="D2640">
        <v>4.4793710000000004</v>
      </c>
      <c r="E2640">
        <v>0.40255600000000002</v>
      </c>
      <c r="F2640" t="s">
        <v>49</v>
      </c>
      <c r="G2640">
        <v>-490.0607</v>
      </c>
      <c r="H2640" s="1">
        <v>1.47012E-6</v>
      </c>
      <c r="I2640">
        <v>273.77510000000001</v>
      </c>
      <c r="J2640">
        <v>-477.69060000000002</v>
      </c>
      <c r="K2640">
        <v>1.1189990000000001</v>
      </c>
      <c r="L2640">
        <v>281.0129</v>
      </c>
      <c r="M2640">
        <v>-0.95761019999999997</v>
      </c>
      <c r="N2640">
        <v>0</v>
      </c>
      <c r="O2640">
        <v>-0.28770079999999998</v>
      </c>
      <c r="P2640">
        <v>-0.96221959999999995</v>
      </c>
      <c r="Q2640">
        <v>1.7025180000000001E-2</v>
      </c>
      <c r="R2640">
        <v>-0.2717424</v>
      </c>
      <c r="S2640">
        <v>-2.6872560000000001</v>
      </c>
      <c r="T2640">
        <v>-0.23984739999999999</v>
      </c>
      <c r="U2640">
        <v>-1.563385</v>
      </c>
      <c r="V2640">
        <v>1.5911410000000001E-2</v>
      </c>
      <c r="W2640">
        <v>3.1911500000000002E-2</v>
      </c>
      <c r="X2640">
        <v>0.99936400000000003</v>
      </c>
      <c r="Y2640">
        <v>-0.2330351</v>
      </c>
      <c r="Z2640">
        <v>1.344716E-2</v>
      </c>
      <c r="AA2640">
        <v>0.97237530000000005</v>
      </c>
      <c r="AB2640">
        <v>29</v>
      </c>
      <c r="AC2640">
        <v>-12.3700999999999</v>
      </c>
      <c r="AD2640">
        <v>-1.1189975298799999</v>
      </c>
      <c r="AE2640">
        <v>-7.2377999999999902</v>
      </c>
      <c r="AF2640">
        <v>-3.3520251354433701</v>
      </c>
      <c r="AG2640">
        <v>-1.1189975298799999</v>
      </c>
      <c r="AH2640">
        <v>13.845123842115299</v>
      </c>
      <c r="AI2640">
        <v>94.491533636317101</v>
      </c>
      <c r="AJ2640">
        <v>103.609918693582</v>
      </c>
      <c r="AK2640">
        <v>14.289005640142801</v>
      </c>
      <c r="AL2640">
        <v>88.171295195450398</v>
      </c>
      <c r="AM2640">
        <v>89.087840249142999</v>
      </c>
      <c r="AN2640">
        <v>0.99999996064821794</v>
      </c>
    </row>
    <row r="2641" spans="1:40" x14ac:dyDescent="0.25">
      <c r="A2641" t="str">
        <f>"20190312154848099"</f>
        <v>20190312154848099</v>
      </c>
      <c r="B2641" t="str">
        <f>"1552376928088275"</f>
        <v>1552376928088275</v>
      </c>
      <c r="C2641" t="s">
        <v>40</v>
      </c>
      <c r="D2641">
        <v>4.4423019999999998</v>
      </c>
      <c r="E2641">
        <v>0.40297759999999999</v>
      </c>
      <c r="F2641" t="s">
        <v>49</v>
      </c>
      <c r="G2641">
        <v>-490.03449999999998</v>
      </c>
      <c r="H2641" s="1">
        <v>1.4541640000000001E-6</v>
      </c>
      <c r="I2641">
        <v>273.73</v>
      </c>
      <c r="J2641">
        <v>-477.88130000000001</v>
      </c>
      <c r="K2641">
        <v>1.11904</v>
      </c>
      <c r="L2641">
        <v>280.94690000000003</v>
      </c>
      <c r="M2641">
        <v>-0.95518959999999997</v>
      </c>
      <c r="N2641">
        <v>0</v>
      </c>
      <c r="O2641">
        <v>-0.29563689999999998</v>
      </c>
      <c r="P2641">
        <v>-0.95917410000000003</v>
      </c>
      <c r="Q2641">
        <v>1.7931329999999999E-2</v>
      </c>
      <c r="R2641">
        <v>-0.28224840000000001</v>
      </c>
      <c r="S2641">
        <v>-2.6762079999999999</v>
      </c>
      <c r="T2641">
        <v>-0.24260380000000001</v>
      </c>
      <c r="U2641">
        <v>-1.5789789999999999</v>
      </c>
      <c r="V2641">
        <v>1.3245720000000001E-2</v>
      </c>
      <c r="W2641">
        <v>3.2782699999999998E-2</v>
      </c>
      <c r="X2641">
        <v>0.99937469999999995</v>
      </c>
      <c r="Y2641">
        <v>-0.23095280000000001</v>
      </c>
      <c r="Z2641">
        <v>1.4330030000000001E-2</v>
      </c>
      <c r="AA2641">
        <v>0.97285940000000004</v>
      </c>
      <c r="AB2641">
        <v>29</v>
      </c>
      <c r="AC2641">
        <v>-12.153199999999901</v>
      </c>
      <c r="AD2641">
        <v>-1.1190385458359999</v>
      </c>
      <c r="AE2641">
        <v>-7.2169000000000096</v>
      </c>
      <c r="AF2641">
        <v>-3.2803614588771799</v>
      </c>
      <c r="AG2641">
        <v>-1.1190385458359999</v>
      </c>
      <c r="AH2641">
        <v>13.6580380011836</v>
      </c>
      <c r="AI2641">
        <v>94.554962470954905</v>
      </c>
      <c r="AJ2641">
        <v>103.50538088213401</v>
      </c>
      <c r="AK2641">
        <v>14.090955276691901</v>
      </c>
      <c r="AL2641">
        <v>88.121352996564397</v>
      </c>
      <c r="AM2641">
        <v>89.240645758224602</v>
      </c>
      <c r="AN2641">
        <v>0.999999972758848</v>
      </c>
    </row>
    <row r="2642" spans="1:40" x14ac:dyDescent="0.25">
      <c r="A2642" t="str">
        <f>"20190312154848122"</f>
        <v>20190312154848122</v>
      </c>
      <c r="B2642" t="str">
        <f>"1552376928118531"</f>
        <v>1552376928118531</v>
      </c>
      <c r="C2642" t="s">
        <v>40</v>
      </c>
      <c r="D2642">
        <v>4.3505570000000002</v>
      </c>
      <c r="E2642">
        <v>0.40342060000000002</v>
      </c>
      <c r="F2642" t="s">
        <v>49</v>
      </c>
      <c r="G2642">
        <v>-490.1748</v>
      </c>
      <c r="H2642" s="1">
        <v>1.385097E-6</v>
      </c>
      <c r="I2642">
        <v>273.53460000000001</v>
      </c>
      <c r="J2642">
        <v>-478.15410000000003</v>
      </c>
      <c r="K2642">
        <v>1.119086</v>
      </c>
      <c r="L2642">
        <v>280.84980000000002</v>
      </c>
      <c r="M2642">
        <v>-0.95158759999999998</v>
      </c>
      <c r="N2642">
        <v>0</v>
      </c>
      <c r="O2642">
        <v>-0.30703190000000002</v>
      </c>
      <c r="P2642">
        <v>-0.95474950000000003</v>
      </c>
      <c r="Q2642">
        <v>1.7322549999999999E-2</v>
      </c>
      <c r="R2642">
        <v>-0.29690739999999999</v>
      </c>
      <c r="S2642">
        <v>-2.6602169999999998</v>
      </c>
      <c r="T2642">
        <v>-0.24215249999999999</v>
      </c>
      <c r="U2642">
        <v>-1.6039730000000001</v>
      </c>
      <c r="V2642">
        <v>9.8932510000000005E-3</v>
      </c>
      <c r="W2642">
        <v>3.2127879999999998E-2</v>
      </c>
      <c r="X2642">
        <v>0.99943479999999996</v>
      </c>
      <c r="Y2642">
        <v>-0.22864719999999999</v>
      </c>
      <c r="Z2642">
        <v>1.531619E-2</v>
      </c>
      <c r="AA2642">
        <v>0.9733889</v>
      </c>
      <c r="AB2642">
        <v>29</v>
      </c>
      <c r="AC2642">
        <v>-12.0206999999999</v>
      </c>
      <c r="AD2642">
        <v>-1.119084614903</v>
      </c>
      <c r="AE2642">
        <v>-7.3151999999999999</v>
      </c>
      <c r="AF2642">
        <v>-3.2501067413753102</v>
      </c>
      <c r="AG2642">
        <v>-1.119084614903</v>
      </c>
      <c r="AH2642">
        <v>13.6001856004173</v>
      </c>
      <c r="AI2642">
        <v>94.575685433311804</v>
      </c>
      <c r="AJ2642">
        <v>103.44020022849</v>
      </c>
      <c r="AK2642">
        <v>14.027850604117599</v>
      </c>
      <c r="AL2642">
        <v>88.158891243148503</v>
      </c>
      <c r="AM2642">
        <v>89.432856435800502</v>
      </c>
      <c r="AN2642">
        <v>0.99999999826984098</v>
      </c>
    </row>
    <row r="2643" spans="1:40" x14ac:dyDescent="0.25">
      <c r="A2643" t="str">
        <f>"20190312154848144"</f>
        <v>20190312154848144</v>
      </c>
      <c r="B2643" t="str">
        <f>"1552376928138051"</f>
        <v>1552376928138051</v>
      </c>
      <c r="C2643" t="s">
        <v>40</v>
      </c>
      <c r="D2643">
        <v>4.7486410000000001</v>
      </c>
      <c r="E2643">
        <v>0.40223550000000002</v>
      </c>
      <c r="F2643" t="s">
        <v>49</v>
      </c>
      <c r="G2643">
        <v>-491.0487</v>
      </c>
      <c r="H2643" s="1">
        <v>1.1352820000000001E-6</v>
      </c>
      <c r="I2643">
        <v>272.8279</v>
      </c>
      <c r="J2643">
        <v>-478.42469999999997</v>
      </c>
      <c r="K2643">
        <v>1.1191120000000001</v>
      </c>
      <c r="L2643">
        <v>280.74970000000002</v>
      </c>
      <c r="M2643">
        <v>-0.94784849999999998</v>
      </c>
      <c r="N2643">
        <v>0</v>
      </c>
      <c r="O2643">
        <v>-0.31838630000000001</v>
      </c>
      <c r="P2643">
        <v>-0.9501077</v>
      </c>
      <c r="Q2643">
        <v>1.478731E-2</v>
      </c>
      <c r="R2643">
        <v>-0.31157079999999998</v>
      </c>
      <c r="S2643">
        <v>-2.6363219999999998</v>
      </c>
      <c r="T2643">
        <v>-0.2287979</v>
      </c>
      <c r="U2643">
        <v>-1.6400760000000001</v>
      </c>
      <c r="V2643">
        <v>6.5209889999999996E-3</v>
      </c>
      <c r="W2643">
        <v>2.9540830000000001E-2</v>
      </c>
      <c r="X2643">
        <v>0.99954229999999999</v>
      </c>
      <c r="Y2643">
        <v>-0.23057069999999999</v>
      </c>
      <c r="Z2643">
        <v>1.527857E-2</v>
      </c>
      <c r="AA2643">
        <v>0.97293560000000001</v>
      </c>
      <c r="AB2643">
        <v>29</v>
      </c>
      <c r="AC2643">
        <v>-12.624000000000001</v>
      </c>
      <c r="AD2643">
        <v>-1.1191108647179999</v>
      </c>
      <c r="AE2643">
        <v>-7.9218000000000099</v>
      </c>
      <c r="AF2643">
        <v>-3.47016367818176</v>
      </c>
      <c r="AG2643">
        <v>-1.1191108647179999</v>
      </c>
      <c r="AH2643">
        <v>14.408138801890001</v>
      </c>
      <c r="AI2643">
        <v>94.318371923116203</v>
      </c>
      <c r="AJ2643">
        <v>103.541635995763</v>
      </c>
      <c r="AK2643">
        <v>14.862331876776</v>
      </c>
      <c r="AL2643">
        <v>88.307188842939297</v>
      </c>
      <c r="AM2643">
        <v>89.626209068579698</v>
      </c>
      <c r="AN2643">
        <v>0.99999999671195805</v>
      </c>
    </row>
    <row r="2644" spans="1:40" x14ac:dyDescent="0.25">
      <c r="A2644" t="str">
        <f>"20190312154848168"</f>
        <v>20190312154848168</v>
      </c>
      <c r="B2644" t="str">
        <f>"1552376928158546"</f>
        <v>1552376928158546</v>
      </c>
      <c r="C2644" t="s">
        <v>40</v>
      </c>
      <c r="D2644">
        <v>4.4050719999999997</v>
      </c>
      <c r="E2644">
        <v>0.36788569999999998</v>
      </c>
      <c r="F2644" t="s">
        <v>49</v>
      </c>
      <c r="G2644">
        <v>-490.93380000000002</v>
      </c>
      <c r="H2644" s="1">
        <v>1.0708120000000001E-6</v>
      </c>
      <c r="I2644">
        <v>272.64550000000003</v>
      </c>
      <c r="J2644">
        <v>-478.6909</v>
      </c>
      <c r="K2644">
        <v>1.119124</v>
      </c>
      <c r="L2644">
        <v>280.64729999999997</v>
      </c>
      <c r="M2644">
        <v>-0.94401100000000004</v>
      </c>
      <c r="N2644">
        <v>0</v>
      </c>
      <c r="O2644">
        <v>-0.3295903</v>
      </c>
      <c r="P2644">
        <v>-0.94542280000000001</v>
      </c>
      <c r="Q2644">
        <v>1.481557E-2</v>
      </c>
      <c r="R2644">
        <v>-0.32550959999999901</v>
      </c>
      <c r="S2644">
        <v>-2.6072690000000001</v>
      </c>
      <c r="T2644">
        <v>-0.23325560000000001</v>
      </c>
      <c r="U2644">
        <v>-1.6891480000000001</v>
      </c>
      <c r="V2644">
        <v>3.6571749999999999E-3</v>
      </c>
      <c r="W2644">
        <v>2.952368E-2</v>
      </c>
      <c r="X2644">
        <v>0.99955740000000004</v>
      </c>
      <c r="Y2644">
        <v>-0.23691709999999999</v>
      </c>
      <c r="Z2644">
        <v>1.6205689999999998E-2</v>
      </c>
      <c r="AA2644">
        <v>0.97139470000000006</v>
      </c>
      <c r="AB2644">
        <v>29</v>
      </c>
      <c r="AC2644">
        <v>-12.242900000000001</v>
      </c>
      <c r="AD2644">
        <v>-1.119122929188</v>
      </c>
      <c r="AE2644">
        <v>-8.0017999999999407</v>
      </c>
      <c r="AF2644">
        <v>-3.4985386301988699</v>
      </c>
      <c r="AG2644">
        <v>-1.119122929188</v>
      </c>
      <c r="AH2644">
        <v>14.113631230907799</v>
      </c>
      <c r="AI2644">
        <v>94.401060310339503</v>
      </c>
      <c r="AJ2644">
        <v>103.92206244411</v>
      </c>
      <c r="AK2644">
        <v>14.583785352222</v>
      </c>
      <c r="AL2644">
        <v>88.308171915562994</v>
      </c>
      <c r="AM2644">
        <v>89.790367459213996</v>
      </c>
      <c r="AN2644">
        <v>1.0000000092522401</v>
      </c>
    </row>
    <row r="2645" spans="1:40" x14ac:dyDescent="0.25">
      <c r="A2645" t="str">
        <f>"20190312154848189"</f>
        <v>20190312154848189</v>
      </c>
      <c r="B2645" t="str">
        <f>"1552376928178067"</f>
        <v>1552376928178067</v>
      </c>
      <c r="C2645" t="s">
        <v>40</v>
      </c>
      <c r="D2645">
        <v>4.3939859999999999</v>
      </c>
      <c r="E2645">
        <v>0.36728070000000002</v>
      </c>
      <c r="F2645" t="s">
        <v>49</v>
      </c>
      <c r="G2645">
        <v>-489.08120000000002</v>
      </c>
      <c r="H2645" s="1">
        <v>8.9223969999999897E-7</v>
      </c>
      <c r="I2645">
        <v>272.3603</v>
      </c>
      <c r="J2645">
        <v>-478.95479999999998</v>
      </c>
      <c r="K2645">
        <v>1.11914</v>
      </c>
      <c r="L2645">
        <v>280.54230000000001</v>
      </c>
      <c r="M2645">
        <v>-0.94005590000000006</v>
      </c>
      <c r="N2645">
        <v>0</v>
      </c>
      <c r="O2645">
        <v>-0.34070640000000002</v>
      </c>
      <c r="P2645">
        <v>-0.9412391</v>
      </c>
      <c r="Q2645">
        <v>1.6222830000000001E-2</v>
      </c>
      <c r="R2645">
        <v>-0.33735159999999997</v>
      </c>
      <c r="S2645">
        <v>-2.4928279999999998</v>
      </c>
      <c r="T2645">
        <v>-0.26849899999999999</v>
      </c>
      <c r="U2645">
        <v>-1.9882200000000001</v>
      </c>
      <c r="V2645">
        <v>2.864185E-3</v>
      </c>
      <c r="W2645">
        <v>3.0928750000000001E-2</v>
      </c>
      <c r="X2645">
        <v>0.99951749999999995</v>
      </c>
      <c r="Y2645">
        <v>-0.31986619999999999</v>
      </c>
      <c r="Z2645">
        <v>1.565913E-2</v>
      </c>
      <c r="AA2645">
        <v>0.94733330000000004</v>
      </c>
      <c r="AB2645">
        <v>29</v>
      </c>
      <c r="AC2645">
        <v>-10.1264</v>
      </c>
      <c r="AD2645">
        <v>-1.1191391077602999</v>
      </c>
      <c r="AE2645">
        <v>-8.1820000000000093</v>
      </c>
      <c r="AF2645">
        <v>-4.2107459845172901</v>
      </c>
      <c r="AG2645">
        <v>-1.1191391077602999</v>
      </c>
      <c r="AH2645">
        <v>12.218071435885401</v>
      </c>
      <c r="AI2645">
        <v>94.949384511169995</v>
      </c>
      <c r="AJ2645">
        <v>109.015621870364</v>
      </c>
      <c r="AK2645">
        <v>12.9716661883139</v>
      </c>
      <c r="AL2645">
        <v>88.227630532876006</v>
      </c>
      <c r="AM2645">
        <v>89.835815517923905</v>
      </c>
      <c r="AN2645">
        <v>1.00000001196926</v>
      </c>
    </row>
    <row r="2646" spans="1:40" x14ac:dyDescent="0.25">
      <c r="A2646" t="str">
        <f>"20190312154848212"</f>
        <v>20190312154848212</v>
      </c>
      <c r="B2646" t="str">
        <f>"1552376928208327"</f>
        <v>1552376928208327</v>
      </c>
      <c r="C2646" t="s">
        <v>40</v>
      </c>
      <c r="D2646">
        <v>4.3462259999999997</v>
      </c>
      <c r="E2646">
        <v>0.36997869999999999</v>
      </c>
      <c r="F2646" t="s">
        <v>49</v>
      </c>
      <c r="G2646">
        <v>-489.53590000000003</v>
      </c>
      <c r="H2646" s="1">
        <v>7.5568150000000004E-7</v>
      </c>
      <c r="I2646">
        <v>271.85989999999998</v>
      </c>
      <c r="J2646">
        <v>-479.21300000000002</v>
      </c>
      <c r="K2646">
        <v>1.119151</v>
      </c>
      <c r="L2646">
        <v>280.4359</v>
      </c>
      <c r="M2646">
        <v>-0.93603769999999997</v>
      </c>
      <c r="N2646">
        <v>0</v>
      </c>
      <c r="O2646">
        <v>-0.35159499999999999</v>
      </c>
      <c r="P2646">
        <v>-0.93748180000000003</v>
      </c>
      <c r="Q2646">
        <v>1.7153129999999999E-2</v>
      </c>
      <c r="R2646">
        <v>-0.34761160000000002</v>
      </c>
      <c r="S2646">
        <v>-2.4664609999999998</v>
      </c>
      <c r="T2646">
        <v>-0.26087260000000001</v>
      </c>
      <c r="U2646">
        <v>-2.0238649999999998</v>
      </c>
      <c r="V2646">
        <v>3.5223979999999999E-3</v>
      </c>
      <c r="W2646">
        <v>3.188672E-2</v>
      </c>
      <c r="X2646">
        <v>0.99948530000000002</v>
      </c>
      <c r="Y2646">
        <v>-0.32204719999999998</v>
      </c>
      <c r="Z2646">
        <v>1.6058909999999999E-2</v>
      </c>
      <c r="AA2646">
        <v>0.94658739999999997</v>
      </c>
      <c r="AB2646">
        <v>29</v>
      </c>
      <c r="AC2646">
        <v>-10.322900000000001</v>
      </c>
      <c r="AD2646">
        <v>-1.1191502443185</v>
      </c>
      <c r="AE2646">
        <v>-8.5760000000000201</v>
      </c>
      <c r="AF2646">
        <v>-4.3680749001933599</v>
      </c>
      <c r="AG2646">
        <v>-1.1191502443185</v>
      </c>
      <c r="AH2646">
        <v>12.5916979473489</v>
      </c>
      <c r="AI2646">
        <v>94.799920848455002</v>
      </c>
      <c r="AJ2646">
        <v>109.131720638909</v>
      </c>
      <c r="AK2646">
        <v>13.374731130020001</v>
      </c>
      <c r="AL2646">
        <v>88.172715811855895</v>
      </c>
      <c r="AM2646">
        <v>89.798078367297506</v>
      </c>
      <c r="AN2646">
        <v>1.0000000175580499</v>
      </c>
    </row>
    <row r="2647" spans="1:40" x14ac:dyDescent="0.25">
      <c r="A2647" t="str">
        <f>"20190312154848234"</f>
        <v>20190312154848234</v>
      </c>
      <c r="B2647" t="str">
        <f>"1552376928228820"</f>
        <v>1552376928228820</v>
      </c>
      <c r="C2647" t="s">
        <v>40</v>
      </c>
      <c r="D2647">
        <v>4.3106169999999997</v>
      </c>
      <c r="E2647">
        <v>0.3718284</v>
      </c>
      <c r="F2647" t="s">
        <v>49</v>
      </c>
      <c r="G2647">
        <v>-489.84379999999999</v>
      </c>
      <c r="H2647" s="1">
        <v>7.0260519999999997E-7</v>
      </c>
      <c r="I2647">
        <v>271.63249999999999</v>
      </c>
      <c r="J2647">
        <v>-479.4769</v>
      </c>
      <c r="K2647">
        <v>1.1191519999999999</v>
      </c>
      <c r="L2647">
        <v>280.3236</v>
      </c>
      <c r="M2647">
        <v>-0.93177980000000005</v>
      </c>
      <c r="N2647">
        <v>0</v>
      </c>
      <c r="O2647">
        <v>-0.3627281</v>
      </c>
      <c r="P2647">
        <v>-0.93361859999999997</v>
      </c>
      <c r="Q2647">
        <v>1.748297E-2</v>
      </c>
      <c r="R2647">
        <v>-0.35784189999999999</v>
      </c>
      <c r="S2647">
        <v>-2.4519350000000002</v>
      </c>
      <c r="T2647">
        <v>-0.25812469999999998</v>
      </c>
      <c r="U2647">
        <v>-2.0304570000000002</v>
      </c>
      <c r="V2647">
        <v>4.4984600000000001E-3</v>
      </c>
      <c r="W2647">
        <v>3.2248930000000002E-2</v>
      </c>
      <c r="X2647">
        <v>0.99946979999999996</v>
      </c>
      <c r="Y2647">
        <v>-0.31505880000000003</v>
      </c>
      <c r="Z2647">
        <v>1.7168559999999999E-2</v>
      </c>
      <c r="AA2647">
        <v>0.94891689999999995</v>
      </c>
      <c r="AB2647">
        <v>29</v>
      </c>
      <c r="AC2647">
        <v>-10.3668999999999</v>
      </c>
      <c r="AD2647">
        <v>-1.1191512973947999</v>
      </c>
      <c r="AE2647">
        <v>-8.6911000000000005</v>
      </c>
      <c r="AF2647">
        <v>-4.3088019854298798</v>
      </c>
      <c r="AG2647">
        <v>-1.1191512973947999</v>
      </c>
      <c r="AH2647">
        <v>12.726450586873099</v>
      </c>
      <c r="AI2647">
        <v>94.761429944083901</v>
      </c>
      <c r="AJ2647">
        <v>108.704589020721</v>
      </c>
      <c r="AK2647">
        <v>13.4826117171796</v>
      </c>
      <c r="AL2647">
        <v>88.151952098795903</v>
      </c>
      <c r="AM2647">
        <v>89.742122241300905</v>
      </c>
      <c r="AN2647">
        <v>1.0000000553702699</v>
      </c>
    </row>
    <row r="2648" spans="1:40" x14ac:dyDescent="0.25">
      <c r="A2648" t="str">
        <f>"20190312154848256"</f>
        <v>20190312154848256</v>
      </c>
      <c r="B2648" t="str">
        <f>"1552376928248339"</f>
        <v>1552376928248339</v>
      </c>
      <c r="C2648" t="s">
        <v>40</v>
      </c>
      <c r="D2648">
        <v>4.2701250000000002</v>
      </c>
      <c r="E2648">
        <v>0.37369039999999998</v>
      </c>
      <c r="F2648" t="s">
        <v>49</v>
      </c>
      <c r="G2648">
        <v>-490.10070000000002</v>
      </c>
      <c r="H2648" s="1">
        <v>6.3239259999999896E-7</v>
      </c>
      <c r="I2648">
        <v>271.40530000000001</v>
      </c>
      <c r="J2648">
        <v>-479.73140000000001</v>
      </c>
      <c r="K2648">
        <v>1.1191409999999999</v>
      </c>
      <c r="L2648">
        <v>280.21179999999998</v>
      </c>
      <c r="M2648">
        <v>-0.92752789999999996</v>
      </c>
      <c r="N2648">
        <v>0</v>
      </c>
      <c r="O2648">
        <v>-0.37346580000000001</v>
      </c>
      <c r="P2648">
        <v>-0.92970870000000005</v>
      </c>
      <c r="Q2648">
        <v>1.7932690000000001E-2</v>
      </c>
      <c r="R2648">
        <v>-0.36785899999999999</v>
      </c>
      <c r="S2648">
        <v>-2.434723</v>
      </c>
      <c r="T2648">
        <v>-0.25648140000000003</v>
      </c>
      <c r="U2648">
        <v>-2.0438540000000001</v>
      </c>
      <c r="V2648">
        <v>5.283846E-3</v>
      </c>
      <c r="W2648">
        <v>3.2725039999999997E-2</v>
      </c>
      <c r="X2648">
        <v>0.99945039999999996</v>
      </c>
      <c r="Y2648">
        <v>-0.31049209999999999</v>
      </c>
      <c r="Z2648">
        <v>1.8188579999999999E-2</v>
      </c>
      <c r="AA2648">
        <v>0.95040190000000002</v>
      </c>
      <c r="AB2648">
        <v>29</v>
      </c>
      <c r="AC2648">
        <v>-10.369300000000001</v>
      </c>
      <c r="AD2648">
        <v>-1.1191403676074001</v>
      </c>
      <c r="AE2648">
        <v>-8.8064999999999696</v>
      </c>
      <c r="AF2648">
        <v>-4.2672799448111398</v>
      </c>
      <c r="AG2648">
        <v>-1.1191403676074001</v>
      </c>
      <c r="AH2648">
        <v>12.821364845380501</v>
      </c>
      <c r="AI2648">
        <v>94.734457798972699</v>
      </c>
      <c r="AJ2648">
        <v>108.408768980641</v>
      </c>
      <c r="AK2648">
        <v>13.5591131637786</v>
      </c>
      <c r="AL2648">
        <v>88.124658448423901</v>
      </c>
      <c r="AM2648">
        <v>89.697094268086303</v>
      </c>
      <c r="AN2648">
        <v>0.999999974665856</v>
      </c>
    </row>
    <row r="2649" spans="1:40" x14ac:dyDescent="0.25">
      <c r="A2649" t="str">
        <f>"20190312154848278"</f>
        <v>20190312154848278</v>
      </c>
      <c r="B2649" t="str">
        <f>"1552376928268835"</f>
        <v>1552376928268835</v>
      </c>
      <c r="C2649" t="s">
        <v>40</v>
      </c>
      <c r="D2649">
        <v>4.3152299999999997</v>
      </c>
      <c r="E2649">
        <v>0.38609310000000002</v>
      </c>
      <c r="F2649" t="s">
        <v>49</v>
      </c>
      <c r="G2649">
        <v>-490.5025</v>
      </c>
      <c r="H2649" s="1">
        <v>5.0826540000000003E-7</v>
      </c>
      <c r="I2649">
        <v>271.05410000000001</v>
      </c>
      <c r="J2649">
        <v>-479.99329999999998</v>
      </c>
      <c r="K2649">
        <v>1.1191249999999999</v>
      </c>
      <c r="L2649">
        <v>280.09309999999999</v>
      </c>
      <c r="M2649">
        <v>-0.9230005</v>
      </c>
      <c r="N2649">
        <v>0</v>
      </c>
      <c r="O2649">
        <v>-0.384519</v>
      </c>
      <c r="P2649">
        <v>-0.92592140000000001</v>
      </c>
      <c r="Q2649">
        <v>1.885738E-2</v>
      </c>
      <c r="R2649">
        <v>-0.377245</v>
      </c>
      <c r="S2649">
        <v>-2.4182130000000002</v>
      </c>
      <c r="T2649">
        <v>-0.25125589999999998</v>
      </c>
      <c r="U2649">
        <v>-2.0559690000000002</v>
      </c>
      <c r="V2649">
        <v>7.0854819999999997E-3</v>
      </c>
      <c r="W2649">
        <v>3.369772E-2</v>
      </c>
      <c r="X2649">
        <v>0.99940689999999999</v>
      </c>
      <c r="Y2649">
        <v>-0.30512709999999998</v>
      </c>
      <c r="Z2649">
        <v>1.898702E-2</v>
      </c>
      <c r="AA2649">
        <v>0.95212229999999998</v>
      </c>
      <c r="AB2649">
        <v>29</v>
      </c>
      <c r="AC2649">
        <v>-10.5092</v>
      </c>
      <c r="AD2649">
        <v>-1.1191244917345999</v>
      </c>
      <c r="AE2649">
        <v>-9.0389999999999802</v>
      </c>
      <c r="AF2649">
        <v>-4.2746149147438297</v>
      </c>
      <c r="AG2649">
        <v>-1.1191244917345999</v>
      </c>
      <c r="AH2649">
        <v>13.091748291104199</v>
      </c>
      <c r="AI2649">
        <v>94.645717958423106</v>
      </c>
      <c r="AJ2649">
        <v>108.08248961855899</v>
      </c>
      <c r="AK2649">
        <v>13.8173313492504</v>
      </c>
      <c r="AL2649">
        <v>88.068897170079097</v>
      </c>
      <c r="AM2649">
        <v>89.593797668592302</v>
      </c>
      <c r="AN2649">
        <v>0.99999994607798803</v>
      </c>
    </row>
    <row r="2650" spans="1:40" x14ac:dyDescent="0.25">
      <c r="A2650" t="str">
        <f>"20190312154848301"</f>
        <v>20190312154848301</v>
      </c>
      <c r="B2650" t="str">
        <f>"1552376928288355"</f>
        <v>1552376928288355</v>
      </c>
      <c r="C2650" t="s">
        <v>40</v>
      </c>
      <c r="D2650">
        <v>4.3351980000000001</v>
      </c>
      <c r="E2650">
        <v>0.38689440000000003</v>
      </c>
      <c r="F2650" t="s">
        <v>49</v>
      </c>
      <c r="G2650">
        <v>-491.65410000000003</v>
      </c>
      <c r="H2650" s="1">
        <v>3.369583E-7</v>
      </c>
      <c r="I2650">
        <v>270.56950000000001</v>
      </c>
      <c r="J2650">
        <v>-480.24619999999999</v>
      </c>
      <c r="K2650">
        <v>1.1191089999999999</v>
      </c>
      <c r="L2650">
        <v>279.97480000000002</v>
      </c>
      <c r="M2650">
        <v>-0.91847860000000003</v>
      </c>
      <c r="N2650">
        <v>0</v>
      </c>
      <c r="O2650">
        <v>-0.3951981</v>
      </c>
      <c r="P2650">
        <v>-0.9219482</v>
      </c>
      <c r="Q2650">
        <v>1.8842109999999999E-2</v>
      </c>
      <c r="R2650">
        <v>-0.3868547</v>
      </c>
      <c r="S2650">
        <v>-2.434631</v>
      </c>
      <c r="T2650">
        <v>-0.23365949999999999</v>
      </c>
      <c r="U2650">
        <v>-1.9884029999999999</v>
      </c>
      <c r="V2650">
        <v>8.2839590000000005E-3</v>
      </c>
      <c r="W2650">
        <v>3.3714399999999999E-2</v>
      </c>
      <c r="X2650">
        <v>0.99939719999999999</v>
      </c>
      <c r="Y2650">
        <v>-0.27519629999999901</v>
      </c>
      <c r="Z2650">
        <v>1.9767460000000001E-2</v>
      </c>
      <c r="AA2650">
        <v>0.96118479999999995</v>
      </c>
      <c r="AB2650">
        <v>29</v>
      </c>
      <c r="AC2650">
        <v>-11.4079</v>
      </c>
      <c r="AD2650">
        <v>-1.1191086630417</v>
      </c>
      <c r="AE2650">
        <v>-9.4053000000000093</v>
      </c>
      <c r="AF2650">
        <v>-4.1071010789484204</v>
      </c>
      <c r="AG2650">
        <v>-1.1191086630417</v>
      </c>
      <c r="AH2650">
        <v>14.1155278122478</v>
      </c>
      <c r="AI2650">
        <v>94.353255963582697</v>
      </c>
      <c r="AJ2650">
        <v>106.223059230575</v>
      </c>
      <c r="AK2650">
        <v>14.743432737688201</v>
      </c>
      <c r="AL2650">
        <v>88.067941083796299</v>
      </c>
      <c r="AM2650">
        <v>89.525088704899005</v>
      </c>
      <c r="AN2650">
        <v>1.0000000240559499</v>
      </c>
    </row>
    <row r="2651" spans="1:40" x14ac:dyDescent="0.25">
      <c r="A2651" t="str">
        <f>"20190312154848323"</f>
        <v>20190312154848323</v>
      </c>
      <c r="B2651" t="str">
        <f>"1552376928318611"</f>
        <v>1552376928318611</v>
      </c>
      <c r="C2651" t="s">
        <v>40</v>
      </c>
      <c r="D2651">
        <v>4.3255540000000003</v>
      </c>
      <c r="E2651">
        <v>0.38873669999999999</v>
      </c>
      <c r="F2651" t="s">
        <v>49</v>
      </c>
      <c r="G2651">
        <v>-491.42099999999999</v>
      </c>
      <c r="H2651" s="1">
        <v>3.7793050000000001E-7</v>
      </c>
      <c r="I2651">
        <v>270.68549999999999</v>
      </c>
      <c r="J2651">
        <v>-480.50439999999998</v>
      </c>
      <c r="K2651">
        <v>1.1190880000000001</v>
      </c>
      <c r="L2651">
        <v>279.85039999999998</v>
      </c>
      <c r="M2651">
        <v>-0.91370989999999996</v>
      </c>
      <c r="N2651">
        <v>0</v>
      </c>
      <c r="O2651">
        <v>-0.40610180000000001</v>
      </c>
      <c r="P2651">
        <v>-0.91762169999999998</v>
      </c>
      <c r="Q2651">
        <v>1.7638689999999999E-2</v>
      </c>
      <c r="R2651">
        <v>-0.39706360000000002</v>
      </c>
      <c r="S2651">
        <v>-2.4161679999999999</v>
      </c>
      <c r="T2651">
        <v>-0.2419703</v>
      </c>
      <c r="U2651">
        <v>-2.0085139999999999</v>
      </c>
      <c r="V2651">
        <v>9.1243079999999994E-3</v>
      </c>
      <c r="W2651">
        <v>3.2534889999999997E-2</v>
      </c>
      <c r="X2651">
        <v>0.99942889999999995</v>
      </c>
      <c r="Y2651">
        <v>-0.27214379999999999</v>
      </c>
      <c r="Z2651">
        <v>2.148079E-2</v>
      </c>
      <c r="AA2651">
        <v>0.96201680000000001</v>
      </c>
      <c r="AB2651">
        <v>29</v>
      </c>
      <c r="AC2651">
        <v>-10.916600000000001</v>
      </c>
      <c r="AD2651">
        <v>-1.1190876220695001</v>
      </c>
      <c r="AE2651">
        <v>-9.1648999999999798</v>
      </c>
      <c r="AF2651">
        <v>-3.9170881803296198</v>
      </c>
      <c r="AG2651">
        <v>-1.1190876220695001</v>
      </c>
      <c r="AH2651">
        <v>13.614045094856699</v>
      </c>
      <c r="AI2651">
        <v>94.516764460460905</v>
      </c>
      <c r="AJ2651">
        <v>106.05179961609799</v>
      </c>
      <c r="AK2651">
        <v>14.2104947402664</v>
      </c>
      <c r="AL2651">
        <v>88.135558998084093</v>
      </c>
      <c r="AM2651">
        <v>89.476931459825494</v>
      </c>
      <c r="AN2651">
        <v>0.99999994910949896</v>
      </c>
    </row>
    <row r="2652" spans="1:40" x14ac:dyDescent="0.25">
      <c r="A2652" t="str">
        <f>"20190312154848346"</f>
        <v>20190312154848346</v>
      </c>
      <c r="B2652" t="str">
        <f>"1552376928338131"</f>
        <v>1552376928338131</v>
      </c>
      <c r="C2652" t="s">
        <v>40</v>
      </c>
      <c r="D2652">
        <v>4.33005</v>
      </c>
      <c r="E2652">
        <v>0.38987830000000001</v>
      </c>
      <c r="F2652" t="s">
        <v>49</v>
      </c>
      <c r="G2652">
        <v>-491.39210000000003</v>
      </c>
      <c r="H2652" s="1">
        <v>3.7392299999999998E-7</v>
      </c>
      <c r="I2652">
        <v>270.67410000000001</v>
      </c>
      <c r="J2652">
        <v>-480.76130000000001</v>
      </c>
      <c r="K2652">
        <v>1.119062</v>
      </c>
      <c r="L2652">
        <v>279.72269999999997</v>
      </c>
      <c r="M2652">
        <v>-0.90880380000000005</v>
      </c>
      <c r="N2652">
        <v>0</v>
      </c>
      <c r="O2652">
        <v>-0.41696499999999997</v>
      </c>
      <c r="P2652">
        <v>-0.9128752</v>
      </c>
      <c r="Q2652">
        <v>1.6431439999999999E-2</v>
      </c>
      <c r="R2652">
        <v>-0.4079083</v>
      </c>
      <c r="S2652">
        <v>-2.3990779999999998</v>
      </c>
      <c r="T2652">
        <v>-0.24658730000000001</v>
      </c>
      <c r="U2652">
        <v>-2.021973</v>
      </c>
      <c r="V2652">
        <v>9.2340740000000001E-3</v>
      </c>
      <c r="W2652">
        <v>3.1333390000000003E-2</v>
      </c>
      <c r="X2652">
        <v>0.99946639999999998</v>
      </c>
      <c r="Y2652">
        <v>-0.26724540000000002</v>
      </c>
      <c r="Z2652">
        <v>2.3010360000000001E-2</v>
      </c>
      <c r="AA2652">
        <v>0.96335380000000004</v>
      </c>
      <c r="AB2652">
        <v>29</v>
      </c>
      <c r="AC2652">
        <v>-10.630800000000001</v>
      </c>
      <c r="AD2652">
        <v>-1.1190616260770001</v>
      </c>
      <c r="AE2652">
        <v>-9.0485999999999596</v>
      </c>
      <c r="AF2652">
        <v>-3.7669347595436999</v>
      </c>
      <c r="AG2652">
        <v>-1.1190616260770001</v>
      </c>
      <c r="AH2652">
        <v>13.3499292336859</v>
      </c>
      <c r="AI2652">
        <v>94.612355821905098</v>
      </c>
      <c r="AJ2652">
        <v>105.75741553422201</v>
      </c>
      <c r="AK2652">
        <v>13.916274894886101</v>
      </c>
      <c r="AL2652">
        <v>88.204435225214894</v>
      </c>
      <c r="AM2652">
        <v>89.470659128790203</v>
      </c>
      <c r="AN2652">
        <v>1.00000006709024</v>
      </c>
    </row>
    <row r="2653" spans="1:40" x14ac:dyDescent="0.25">
      <c r="A2653" t="str">
        <f>"20190312154848368"</f>
        <v>20190312154848368</v>
      </c>
      <c r="B2653" t="str">
        <f>"1552376928358627"</f>
        <v>1552376928358627</v>
      </c>
      <c r="C2653" t="s">
        <v>40</v>
      </c>
      <c r="D2653">
        <v>4.3816069999999998</v>
      </c>
      <c r="E2653">
        <v>0.37115789999999999</v>
      </c>
      <c r="F2653" t="s">
        <v>49</v>
      </c>
      <c r="G2653">
        <v>-491.45319999999998</v>
      </c>
      <c r="H2653" s="1">
        <v>3.2773249999999899E-7</v>
      </c>
      <c r="I2653">
        <v>270.54349999999999</v>
      </c>
      <c r="J2653">
        <v>-481.00889999999998</v>
      </c>
      <c r="K2653">
        <v>1.119043</v>
      </c>
      <c r="L2653">
        <v>279.5958</v>
      </c>
      <c r="M2653">
        <v>-0.90392139999999999</v>
      </c>
      <c r="N2653">
        <v>0</v>
      </c>
      <c r="O2653">
        <v>-0.4274461</v>
      </c>
      <c r="P2653">
        <v>-0.90827979999999997</v>
      </c>
      <c r="Q2653">
        <v>1.6177589999999999E-2</v>
      </c>
      <c r="R2653">
        <v>-0.41805059999999999</v>
      </c>
      <c r="S2653">
        <v>-2.378387</v>
      </c>
      <c r="T2653">
        <v>-0.24893190000000001</v>
      </c>
      <c r="U2653">
        <v>-2.0419010000000002</v>
      </c>
      <c r="V2653">
        <v>9.6683199999999993E-3</v>
      </c>
      <c r="W2653">
        <v>3.1091750000000001E-2</v>
      </c>
      <c r="X2653">
        <v>0.99946979999999996</v>
      </c>
      <c r="Y2653">
        <v>-0.26492300000000002</v>
      </c>
      <c r="Z2653">
        <v>2.4220419999999999E-2</v>
      </c>
      <c r="AA2653">
        <v>0.96396539999999997</v>
      </c>
      <c r="AB2653">
        <v>29</v>
      </c>
      <c r="AC2653">
        <v>-10.444299999999901</v>
      </c>
      <c r="AD2653">
        <v>-1.1190426722675</v>
      </c>
      <c r="AE2653">
        <v>-9.0523000000000007</v>
      </c>
      <c r="AF2653">
        <v>-3.6943758875995498</v>
      </c>
      <c r="AG2653">
        <v>-1.1190426722675</v>
      </c>
      <c r="AH2653">
        <v>13.224939511935901</v>
      </c>
      <c r="AI2653">
        <v>94.659080861551104</v>
      </c>
      <c r="AJ2653">
        <v>105.607661832159</v>
      </c>
      <c r="AK2653">
        <v>13.7767810026725</v>
      </c>
      <c r="AL2653">
        <v>88.218286854398997</v>
      </c>
      <c r="AM2653">
        <v>89.445769493893195</v>
      </c>
      <c r="AN2653">
        <v>1.00000002722086</v>
      </c>
    </row>
    <row r="2654" spans="1:40" x14ac:dyDescent="0.25">
      <c r="A2654" t="str">
        <f>"20190312154848389"</f>
        <v>20190312154848389</v>
      </c>
      <c r="B2654" t="str">
        <f>"1552376928378147"</f>
        <v>1552376928378147</v>
      </c>
      <c r="C2654" t="s">
        <v>40</v>
      </c>
      <c r="D2654">
        <v>4.2873380000000001</v>
      </c>
      <c r="E2654">
        <v>0.35814449999999998</v>
      </c>
      <c r="F2654" t="s">
        <v>49</v>
      </c>
      <c r="G2654">
        <v>-490.14389999999997</v>
      </c>
      <c r="H2654" s="1">
        <v>4.202909E-7</v>
      </c>
      <c r="I2654">
        <v>270.80529999999999</v>
      </c>
      <c r="J2654">
        <v>-481.25450000000001</v>
      </c>
      <c r="K2654">
        <v>1.11903</v>
      </c>
      <c r="L2654">
        <v>279.46640000000002</v>
      </c>
      <c r="M2654">
        <v>-0.89893049999999997</v>
      </c>
      <c r="N2654">
        <v>0</v>
      </c>
      <c r="O2654">
        <v>-0.43784479999999998</v>
      </c>
      <c r="P2654">
        <v>-0.90369580000000005</v>
      </c>
      <c r="Q2654">
        <v>1.630624E-2</v>
      </c>
      <c r="R2654">
        <v>-0.42786459999999998</v>
      </c>
      <c r="S2654">
        <v>-2.2925420000000001</v>
      </c>
      <c r="T2654">
        <v>-0.28083730000000001</v>
      </c>
      <c r="U2654">
        <v>-2.2060849999999999</v>
      </c>
      <c r="V2654">
        <v>1.036859E-2</v>
      </c>
      <c r="W2654">
        <v>3.1237589999999999E-2</v>
      </c>
      <c r="X2654">
        <v>0.99945819999999996</v>
      </c>
      <c r="Y2654">
        <v>-0.30821749999999998</v>
      </c>
      <c r="Z2654">
        <v>2.6057179999999999E-2</v>
      </c>
      <c r="AA2654">
        <v>0.950959</v>
      </c>
      <c r="AB2654">
        <v>29</v>
      </c>
      <c r="AC2654">
        <v>-8.8893999999999593</v>
      </c>
      <c r="AD2654">
        <v>-1.1190295797091001</v>
      </c>
      <c r="AE2654">
        <v>-8.6611000000000296</v>
      </c>
      <c r="AF2654">
        <v>-3.8625692135976202</v>
      </c>
      <c r="AG2654">
        <v>-1.1190295797091001</v>
      </c>
      <c r="AH2654">
        <v>11.6894141111918</v>
      </c>
      <c r="AI2654">
        <v>95.193707069345393</v>
      </c>
      <c r="AJ2654">
        <v>108.285264343866</v>
      </c>
      <c r="AK2654">
        <v>12.3617988332211</v>
      </c>
      <c r="AL2654">
        <v>88.209926718065304</v>
      </c>
      <c r="AM2654">
        <v>89.405622830915803</v>
      </c>
      <c r="AN2654">
        <v>0.99999999411741802</v>
      </c>
    </row>
    <row r="2655" spans="1:40" x14ac:dyDescent="0.25">
      <c r="A2655" t="str">
        <f>"20190312154848413"</f>
        <v>20190312154848413</v>
      </c>
      <c r="B2655" t="str">
        <f>"1552376928408405"</f>
        <v>1552376928408405</v>
      </c>
      <c r="C2655" t="s">
        <v>40</v>
      </c>
      <c r="D2655">
        <v>4.2658040000000002</v>
      </c>
      <c r="E2655">
        <v>0.3521804</v>
      </c>
      <c r="F2655" t="s">
        <v>49</v>
      </c>
      <c r="G2655">
        <v>-489.95100000000002</v>
      </c>
      <c r="H2655" s="1">
        <v>2.6782939999999998E-7</v>
      </c>
      <c r="I2655">
        <v>270.37569999999999</v>
      </c>
      <c r="J2655">
        <v>-481.50709999999998</v>
      </c>
      <c r="K2655">
        <v>1.1190169999999999</v>
      </c>
      <c r="L2655">
        <v>279.32940000000002</v>
      </c>
      <c r="M2655">
        <v>-0.89363219999999999</v>
      </c>
      <c r="N2655">
        <v>0</v>
      </c>
      <c r="O2655">
        <v>-0.4485595</v>
      </c>
      <c r="P2655">
        <v>-0.89861619999999998</v>
      </c>
      <c r="Q2655">
        <v>1.7339219999999999E-2</v>
      </c>
      <c r="R2655">
        <v>-0.43839299999999998</v>
      </c>
      <c r="S2655">
        <v>-2.224091</v>
      </c>
      <c r="T2655">
        <v>-0.28618549999999998</v>
      </c>
      <c r="U2655">
        <v>-2.3248899999999999</v>
      </c>
      <c r="V2655">
        <v>1.06097E-2</v>
      </c>
      <c r="W2655">
        <v>3.2276569999999997E-2</v>
      </c>
      <c r="X2655">
        <v>0.9994227</v>
      </c>
      <c r="Y2655">
        <v>-0.33600160000000001</v>
      </c>
      <c r="Z2655">
        <v>2.6086069999999999E-2</v>
      </c>
      <c r="AA2655">
        <v>0.94150009999999995</v>
      </c>
      <c r="AB2655">
        <v>29</v>
      </c>
      <c r="AC2655">
        <v>-8.4438999999999798</v>
      </c>
      <c r="AD2655">
        <v>-1.1190167321705999</v>
      </c>
      <c r="AE2655">
        <v>-8.9537000000000209</v>
      </c>
      <c r="AF2655">
        <v>-4.1796246823069598</v>
      </c>
      <c r="AG2655">
        <v>-1.1190167321705999</v>
      </c>
      <c r="AH2655">
        <v>11.468445785936799</v>
      </c>
      <c r="AI2655">
        <v>95.237955871445195</v>
      </c>
      <c r="AJ2655">
        <v>110.024047054197</v>
      </c>
      <c r="AK2655">
        <v>12.257516456313599</v>
      </c>
      <c r="AL2655">
        <v>88.150367586534401</v>
      </c>
      <c r="AM2655">
        <v>89.391780677132701</v>
      </c>
      <c r="AN2655">
        <v>1.0000000379901699</v>
      </c>
    </row>
    <row r="2656" spans="1:40" x14ac:dyDescent="0.25">
      <c r="A2656" t="str">
        <f>"20190312154848434"</f>
        <v>20190312154848434</v>
      </c>
      <c r="B2656" t="str">
        <f>"1552376928428899"</f>
        <v>1552376928428899</v>
      </c>
      <c r="C2656" t="s">
        <v>40</v>
      </c>
      <c r="D2656">
        <v>4.3278759999999998</v>
      </c>
      <c r="E2656">
        <v>0.350966099999999</v>
      </c>
      <c r="F2656" t="s">
        <v>49</v>
      </c>
      <c r="G2656">
        <v>-489.99970000000002</v>
      </c>
      <c r="H2656" s="1">
        <v>1.312438E-7</v>
      </c>
      <c r="I2656">
        <v>269.98759999999999</v>
      </c>
      <c r="J2656">
        <v>-481.7466</v>
      </c>
      <c r="K2656">
        <v>1.119008</v>
      </c>
      <c r="L2656">
        <v>279.19589999999999</v>
      </c>
      <c r="M2656">
        <v>-0.88845540000000001</v>
      </c>
      <c r="N2656">
        <v>0</v>
      </c>
      <c r="O2656">
        <v>-0.45872760000000001</v>
      </c>
      <c r="P2656">
        <v>-0.89353739999999904</v>
      </c>
      <c r="Q2656">
        <v>1.7445849999999999E-2</v>
      </c>
      <c r="R2656">
        <v>-0.4486502</v>
      </c>
      <c r="S2656">
        <v>-2.1761780000000002</v>
      </c>
      <c r="T2656">
        <v>-0.28674450000000001</v>
      </c>
      <c r="U2656">
        <v>-2.393799</v>
      </c>
      <c r="V2656">
        <v>1.057247E-2</v>
      </c>
      <c r="W2656">
        <v>3.2383799999999997E-2</v>
      </c>
      <c r="X2656">
        <v>0.99941959999999996</v>
      </c>
      <c r="Y2656">
        <v>-0.34914959999999901</v>
      </c>
      <c r="Z2656">
        <v>2.6405339999999999E-2</v>
      </c>
      <c r="AA2656">
        <v>0.9366949</v>
      </c>
      <c r="AB2656">
        <v>29</v>
      </c>
      <c r="AC2656">
        <v>-8.2531000000000105</v>
      </c>
      <c r="AD2656">
        <v>-1.1190078687562</v>
      </c>
      <c r="AE2656">
        <v>-9.2082999999999995</v>
      </c>
      <c r="AF2656">
        <v>-4.3600089444786096</v>
      </c>
      <c r="AG2656">
        <v>-1.1190078687562</v>
      </c>
      <c r="AH2656">
        <v>11.4639802748872</v>
      </c>
      <c r="AI2656">
        <v>95.212958023406401</v>
      </c>
      <c r="AJ2656">
        <v>110.822932610051</v>
      </c>
      <c r="AK2656">
        <v>12.316034278503601</v>
      </c>
      <c r="AL2656">
        <v>88.144220499124003</v>
      </c>
      <c r="AM2656">
        <v>89.393912911688801</v>
      </c>
      <c r="AN2656">
        <v>1.0000000122442501</v>
      </c>
    </row>
    <row r="2657" spans="1:40" x14ac:dyDescent="0.25">
      <c r="A2657" t="str">
        <f>"20190312154848457"</f>
        <v>20190312154848457</v>
      </c>
      <c r="B2657" t="str">
        <f>"1552376928448420"</f>
        <v>1552376928448420</v>
      </c>
      <c r="C2657" t="s">
        <v>40</v>
      </c>
      <c r="D2657">
        <v>4.2787600000000001</v>
      </c>
      <c r="E2657">
        <v>0.35118280000000002</v>
      </c>
      <c r="F2657" t="s">
        <v>49</v>
      </c>
      <c r="G2657">
        <v>-490.0994</v>
      </c>
      <c r="H2657" s="1">
        <v>4.338755E-8</v>
      </c>
      <c r="I2657">
        <v>269.73910000000001</v>
      </c>
      <c r="J2657">
        <v>-481.99130000000002</v>
      </c>
      <c r="K2657">
        <v>1.1190040000000001</v>
      </c>
      <c r="L2657">
        <v>279.05579999999998</v>
      </c>
      <c r="M2657">
        <v>-0.88300159999999905</v>
      </c>
      <c r="N2657">
        <v>0</v>
      </c>
      <c r="O2657">
        <v>-0.4691399</v>
      </c>
      <c r="P2657">
        <v>-0.8883839</v>
      </c>
      <c r="Q2657">
        <v>1.7035990000000001E-2</v>
      </c>
      <c r="R2657">
        <v>-0.45878560000000002</v>
      </c>
      <c r="S2657">
        <v>-2.1441650000000001</v>
      </c>
      <c r="T2657">
        <v>-0.28725020000000001</v>
      </c>
      <c r="U2657">
        <v>-2.4275820000000001</v>
      </c>
      <c r="V2657">
        <v>1.0965509999999999E-2</v>
      </c>
      <c r="W2657">
        <v>3.1983949999999997E-2</v>
      </c>
      <c r="X2657">
        <v>0.99942819999999999</v>
      </c>
      <c r="Y2657">
        <v>-0.3515799</v>
      </c>
      <c r="Z2657">
        <v>2.732387E-2</v>
      </c>
      <c r="AA2657">
        <v>0.93575900000000001</v>
      </c>
      <c r="AB2657">
        <v>29</v>
      </c>
      <c r="AC2657">
        <v>-8.1080999999999701</v>
      </c>
      <c r="AD2657">
        <v>-1.1190039566124499</v>
      </c>
      <c r="AE2657">
        <v>-9.31669999999996</v>
      </c>
      <c r="AF2657">
        <v>-4.3872915000167199</v>
      </c>
      <c r="AG2657">
        <v>-1.1190039566124499</v>
      </c>
      <c r="AH2657">
        <v>11.437657976973799</v>
      </c>
      <c r="AI2657">
        <v>95.2192263690348</v>
      </c>
      <c r="AJ2657">
        <v>110.985966001544</v>
      </c>
      <c r="AK2657">
        <v>12.301240447990001</v>
      </c>
      <c r="AL2657">
        <v>88.167142015389899</v>
      </c>
      <c r="AM2657">
        <v>89.371388325502494</v>
      </c>
      <c r="AN2657">
        <v>0.99999997121119999</v>
      </c>
    </row>
    <row r="2658" spans="1:40" x14ac:dyDescent="0.25">
      <c r="A2658" t="str">
        <f>"20190312154848479"</f>
        <v>20190312154848479</v>
      </c>
      <c r="B2658" t="str">
        <f>"1552376928468915"</f>
        <v>1552376928468915</v>
      </c>
      <c r="C2658" t="s">
        <v>40</v>
      </c>
      <c r="D2658">
        <v>4.2919199999999904</v>
      </c>
      <c r="E2658">
        <v>0.35161439999999999</v>
      </c>
      <c r="F2658" t="s">
        <v>42</v>
      </c>
      <c r="G2658">
        <v>-490.34249999999997</v>
      </c>
      <c r="H2658" s="1">
        <v>-4.2826549999999999E-6</v>
      </c>
      <c r="I2658">
        <v>269.3931</v>
      </c>
      <c r="J2658">
        <v>-482.23419999999999</v>
      </c>
      <c r="K2658">
        <v>1.119005</v>
      </c>
      <c r="L2658">
        <v>278.91300000000001</v>
      </c>
      <c r="M2658">
        <v>-0.87741849999999999</v>
      </c>
      <c r="N2658">
        <v>0</v>
      </c>
      <c r="O2658">
        <v>-0.47950029999999999</v>
      </c>
      <c r="P2658">
        <v>-0.88342619999999905</v>
      </c>
      <c r="Q2658">
        <v>1.7220010000000001E-2</v>
      </c>
      <c r="R2658">
        <v>-0.4682539</v>
      </c>
      <c r="S2658">
        <v>-2.1172490000000002</v>
      </c>
      <c r="T2658">
        <v>-0.28369749999999999</v>
      </c>
      <c r="U2658">
        <v>-2.4497680000000002</v>
      </c>
      <c r="V2658">
        <v>1.204216E-2</v>
      </c>
      <c r="W2658">
        <v>3.219317E-2</v>
      </c>
      <c r="X2658">
        <v>0.99940910000000005</v>
      </c>
      <c r="Y2658">
        <v>-0.35066180000000002</v>
      </c>
      <c r="Z2658">
        <v>2.802837E-2</v>
      </c>
      <c r="AA2658">
        <v>0.93608270000000005</v>
      </c>
      <c r="AB2658">
        <v>29</v>
      </c>
      <c r="AC2658">
        <v>-8.1082999999999803</v>
      </c>
      <c r="AD2658">
        <v>-1.119009282655</v>
      </c>
      <c r="AE2658">
        <v>-9.5198999999999998</v>
      </c>
      <c r="AF2658">
        <v>-4.4300128958831904</v>
      </c>
      <c r="AG2658">
        <v>-1.119009282655</v>
      </c>
      <c r="AH2658">
        <v>11.5876404084917</v>
      </c>
      <c r="AI2658">
        <v>95.154250241831605</v>
      </c>
      <c r="AJ2658">
        <v>110.922105356866</v>
      </c>
      <c r="AK2658">
        <v>12.455946622752901</v>
      </c>
      <c r="AL2658">
        <v>88.155148434648197</v>
      </c>
      <c r="AM2658">
        <v>89.309660522160002</v>
      </c>
      <c r="AN2658">
        <v>0.99999998148746205</v>
      </c>
    </row>
    <row r="2659" spans="1:40" x14ac:dyDescent="0.25">
      <c r="A2659" t="str">
        <f>"20190312154848502"</f>
        <v>20190312154848502</v>
      </c>
      <c r="B2659" t="str">
        <f>"1552376928498310"</f>
        <v>1552376928498310</v>
      </c>
      <c r="C2659" t="s">
        <v>40</v>
      </c>
      <c r="D2659">
        <v>4.2990120000000003</v>
      </c>
      <c r="E2659">
        <v>0.35283360000000002</v>
      </c>
      <c r="F2659" t="s">
        <v>42</v>
      </c>
      <c r="G2659">
        <v>-490.47930000000002</v>
      </c>
      <c r="H2659" s="1">
        <v>-4.2348230000000001E-6</v>
      </c>
      <c r="I2659">
        <v>269.18119999999999</v>
      </c>
      <c r="J2659">
        <v>-482.47710000000001</v>
      </c>
      <c r="K2659">
        <v>1.1190059999999999</v>
      </c>
      <c r="L2659">
        <v>278.76620000000003</v>
      </c>
      <c r="M2659">
        <v>-0.87165609999999905</v>
      </c>
      <c r="N2659">
        <v>0</v>
      </c>
      <c r="O2659">
        <v>-0.48989769999999999</v>
      </c>
      <c r="P2659">
        <v>-0.87828580000000001</v>
      </c>
      <c r="Q2659">
        <v>1.7895939999999999E-2</v>
      </c>
      <c r="R2659">
        <v>-0.47780119999999998</v>
      </c>
      <c r="S2659">
        <v>-2.0923769999999999</v>
      </c>
      <c r="T2659">
        <v>-0.28397060000000002</v>
      </c>
      <c r="U2659">
        <v>-2.4696349999999998</v>
      </c>
      <c r="V2659">
        <v>1.3070119999999999E-2</v>
      </c>
      <c r="W2659">
        <v>3.2893279999999997E-2</v>
      </c>
      <c r="X2659">
        <v>0.99937339999999997</v>
      </c>
      <c r="Y2659">
        <v>-0.34876279999999998</v>
      </c>
      <c r="Z2659">
        <v>2.9145089999999998E-2</v>
      </c>
      <c r="AA2659">
        <v>0.93675770000000003</v>
      </c>
      <c r="AB2659">
        <v>29</v>
      </c>
      <c r="AC2659">
        <v>-8.0022000000000109</v>
      </c>
      <c r="AD2659">
        <v>-1.119010234823</v>
      </c>
      <c r="AE2659">
        <v>-9.5850000000000293</v>
      </c>
      <c r="AF2659">
        <v>-4.3997064829001298</v>
      </c>
      <c r="AG2659">
        <v>-1.119010234823</v>
      </c>
      <c r="AH2659">
        <v>11.579097377516099</v>
      </c>
      <c r="AI2659">
        <v>95.162025437888502</v>
      </c>
      <c r="AJ2659">
        <v>110.805275401063</v>
      </c>
      <c r="AK2659">
        <v>12.4372463640193</v>
      </c>
      <c r="AL2659">
        <v>88.115013850845898</v>
      </c>
      <c r="AM2659">
        <v>89.250710472810198</v>
      </c>
      <c r="AN2659">
        <v>0.999999994266766</v>
      </c>
    </row>
    <row r="2660" spans="1:40" x14ac:dyDescent="0.25">
      <c r="A2660" t="str">
        <f>"20190312154848524"</f>
        <v>20190312154848524</v>
      </c>
      <c r="B2660" t="str">
        <f>"1552376928518802"</f>
        <v>1552376928518802</v>
      </c>
      <c r="C2660" t="s">
        <v>40</v>
      </c>
      <c r="D2660">
        <v>4.2865799999999998</v>
      </c>
      <c r="E2660">
        <v>0.3537228</v>
      </c>
      <c r="F2660" t="s">
        <v>42</v>
      </c>
      <c r="G2660">
        <v>-490.66340000000002</v>
      </c>
      <c r="H2660" s="1">
        <v>-4.1868350000000002E-6</v>
      </c>
      <c r="I2660">
        <v>268.94420000000002</v>
      </c>
      <c r="J2660">
        <v>-482.71100000000001</v>
      </c>
      <c r="K2660">
        <v>1.119008</v>
      </c>
      <c r="L2660">
        <v>278.62110000000001</v>
      </c>
      <c r="M2660">
        <v>-0.86593050000000005</v>
      </c>
      <c r="N2660">
        <v>0</v>
      </c>
      <c r="O2660">
        <v>-0.49994830000000001</v>
      </c>
      <c r="P2660">
        <v>-0.8729749</v>
      </c>
      <c r="Q2660">
        <v>1.739485E-2</v>
      </c>
      <c r="R2660">
        <v>-0.48745549999999999</v>
      </c>
      <c r="S2660">
        <v>-2.0702509999999998</v>
      </c>
      <c r="T2660">
        <v>-0.28299159999999901</v>
      </c>
      <c r="U2660">
        <v>-2.4839169999999999</v>
      </c>
      <c r="V2660">
        <v>1.362879E-2</v>
      </c>
      <c r="W2660">
        <v>3.2407159999999997E-2</v>
      </c>
      <c r="X2660">
        <v>0.99938179999999999</v>
      </c>
      <c r="Y2660">
        <v>-0.34551979999999999</v>
      </c>
      <c r="Z2660">
        <v>3.0176419999999999E-2</v>
      </c>
      <c r="AA2660">
        <v>0.93792620000000004</v>
      </c>
      <c r="AB2660">
        <v>29</v>
      </c>
      <c r="AC2660">
        <v>-7.9524000000000097</v>
      </c>
      <c r="AD2660">
        <v>-1.119012186835</v>
      </c>
      <c r="AE2660">
        <v>-9.6768999999999892</v>
      </c>
      <c r="AF2660">
        <v>-4.3693352441672397</v>
      </c>
      <c r="AG2660">
        <v>-1.119012186835</v>
      </c>
      <c r="AH2660">
        <v>11.6325947257792</v>
      </c>
      <c r="AI2660">
        <v>95.145791423888596</v>
      </c>
      <c r="AJ2660">
        <v>110.586751069475</v>
      </c>
      <c r="AK2660">
        <v>12.476399272403601</v>
      </c>
      <c r="AL2660">
        <v>88.142881297767403</v>
      </c>
      <c r="AM2660">
        <v>89.218693251146206</v>
      </c>
      <c r="AN2660">
        <v>0.99999997505368399</v>
      </c>
    </row>
    <row r="2661" spans="1:40" x14ac:dyDescent="0.25">
      <c r="A2661" t="str">
        <f>"20190312154848548"</f>
        <v>20190312154848548</v>
      </c>
      <c r="B2661" t="str">
        <f>"1552376928538322"</f>
        <v>1552376928538322</v>
      </c>
      <c r="C2661" t="s">
        <v>40</v>
      </c>
      <c r="D2661">
        <v>4.3479469999999996</v>
      </c>
      <c r="E2661">
        <v>0.35476770000000002</v>
      </c>
      <c r="F2661" t="s">
        <v>42</v>
      </c>
      <c r="G2661">
        <v>-490.77449999999999</v>
      </c>
      <c r="H2661" s="1">
        <v>-4.1435409999999999E-6</v>
      </c>
      <c r="I2661">
        <v>268.76740000000001</v>
      </c>
      <c r="J2661">
        <v>-482.95319999999998</v>
      </c>
      <c r="K2661">
        <v>1.1190169999999999</v>
      </c>
      <c r="L2661">
        <v>278.4665</v>
      </c>
      <c r="M2661">
        <v>-0.85979669999999897</v>
      </c>
      <c r="N2661">
        <v>0</v>
      </c>
      <c r="O2661">
        <v>-0.51042489999999996</v>
      </c>
      <c r="P2661">
        <v>-0.86733879999999997</v>
      </c>
      <c r="Q2661">
        <v>1.562858E-2</v>
      </c>
      <c r="R2661">
        <v>-0.4974731</v>
      </c>
      <c r="S2661">
        <v>-2.0460509999999998</v>
      </c>
      <c r="T2661">
        <v>-0.28394009999999997</v>
      </c>
      <c r="U2661">
        <v>-2.5002749999999998</v>
      </c>
      <c r="V2661">
        <v>1.4312119999999999E-2</v>
      </c>
      <c r="W2661">
        <v>3.0660900000000001E-2</v>
      </c>
      <c r="X2661">
        <v>0.99942739999999997</v>
      </c>
      <c r="Y2661">
        <v>-0.34260279999999999</v>
      </c>
      <c r="Z2661">
        <v>3.1437640000000003E-2</v>
      </c>
      <c r="AA2661">
        <v>0.93895419999999996</v>
      </c>
      <c r="AB2661">
        <v>29</v>
      </c>
      <c r="AC2661">
        <v>-7.8212999999999999</v>
      </c>
      <c r="AD2661">
        <v>-1.119021143541</v>
      </c>
      <c r="AE2661">
        <v>-9.6990999999999801</v>
      </c>
      <c r="AF2661">
        <v>-4.3127509367752204</v>
      </c>
      <c r="AG2661">
        <v>-1.119021143541</v>
      </c>
      <c r="AH2661">
        <v>11.583221293363099</v>
      </c>
      <c r="AI2661">
        <v>95.173188514368306</v>
      </c>
      <c r="AJ2661">
        <v>110.421678750922</v>
      </c>
      <c r="AK2661">
        <v>12.4106021003563</v>
      </c>
      <c r="AL2661">
        <v>88.242984516930804</v>
      </c>
      <c r="AM2661">
        <v>89.179562193069302</v>
      </c>
      <c r="AN2661">
        <v>1.00000002771923</v>
      </c>
    </row>
    <row r="2662" spans="1:40" x14ac:dyDescent="0.25">
      <c r="A2662" t="str">
        <f>"20190312154848569"</f>
        <v>20190312154848569</v>
      </c>
      <c r="B2662" t="str">
        <f>"1552376928558818"</f>
        <v>1552376928558818</v>
      </c>
      <c r="C2662" t="s">
        <v>40</v>
      </c>
      <c r="D2662">
        <v>4.3209269999999904</v>
      </c>
      <c r="E2662">
        <v>0.35568270000000002</v>
      </c>
      <c r="F2662" t="s">
        <v>42</v>
      </c>
      <c r="G2662">
        <v>-490.762</v>
      </c>
      <c r="H2662" s="1">
        <v>-4.1280619999999997E-6</v>
      </c>
      <c r="I2662">
        <v>268.73910000000001</v>
      </c>
      <c r="J2662">
        <v>-483.18450000000001</v>
      </c>
      <c r="K2662">
        <v>1.1190439999999999</v>
      </c>
      <c r="L2662">
        <v>278.31479999999999</v>
      </c>
      <c r="M2662">
        <v>-0.85373719999999997</v>
      </c>
      <c r="N2662">
        <v>0</v>
      </c>
      <c r="O2662">
        <v>-0.52049619999999996</v>
      </c>
      <c r="P2662">
        <v>-0.86165959999999997</v>
      </c>
      <c r="Q2662">
        <v>1.5740690000000002E-2</v>
      </c>
      <c r="R2662">
        <v>-0.50724269999999905</v>
      </c>
      <c r="S2662">
        <v>-2.0204770000000001</v>
      </c>
      <c r="T2662">
        <v>-0.28954079999999999</v>
      </c>
      <c r="U2662">
        <v>-2.5169069999999998</v>
      </c>
      <c r="V2662">
        <v>1.476046E-2</v>
      </c>
      <c r="W2662">
        <v>3.0790060000000001E-2</v>
      </c>
      <c r="X2662">
        <v>0.99941690000000005</v>
      </c>
      <c r="Y2662">
        <v>-0.3404336</v>
      </c>
      <c r="Z2662">
        <v>3.31732E-2</v>
      </c>
      <c r="AA2662">
        <v>0.93968320000000005</v>
      </c>
      <c r="AB2662">
        <v>28</v>
      </c>
      <c r="AC2662">
        <v>-7.5774999999999197</v>
      </c>
      <c r="AD2662">
        <v>-1.1190481280619999</v>
      </c>
      <c r="AE2662">
        <v>-9.5756999999999799</v>
      </c>
      <c r="AF2662">
        <v>-4.1962883978844001</v>
      </c>
      <c r="AG2662">
        <v>-1.1190481280619999</v>
      </c>
      <c r="AH2662">
        <v>11.359153295305299</v>
      </c>
      <c r="AI2662">
        <v>95.279765641053402</v>
      </c>
      <c r="AJ2662">
        <v>110.27519378621</v>
      </c>
      <c r="AK2662">
        <v>12.161063630184</v>
      </c>
      <c r="AL2662">
        <v>88.235580684092895</v>
      </c>
      <c r="AM2662">
        <v>89.153856034186205</v>
      </c>
      <c r="AN2662">
        <v>1.0000000194899099</v>
      </c>
    </row>
    <row r="2663" spans="1:40" x14ac:dyDescent="0.25">
      <c r="A2663" t="str">
        <f>"20190312154848591"</f>
        <v>20190312154848591</v>
      </c>
      <c r="B2663" t="str">
        <f>"1552376928588322"</f>
        <v>1552376928588322</v>
      </c>
      <c r="C2663" t="s">
        <v>40</v>
      </c>
      <c r="D2663">
        <v>4.3598710000000001</v>
      </c>
      <c r="E2663">
        <v>0.35714309999999899</v>
      </c>
      <c r="F2663" t="s">
        <v>42</v>
      </c>
      <c r="G2663">
        <v>-490.88119999999998</v>
      </c>
      <c r="H2663" s="1">
        <v>-4.0760730000000001E-6</v>
      </c>
      <c r="I2663">
        <v>268.54399999999998</v>
      </c>
      <c r="J2663">
        <v>-483.41390000000001</v>
      </c>
      <c r="K2663">
        <v>1.1190739999999999</v>
      </c>
      <c r="L2663">
        <v>278.16050000000001</v>
      </c>
      <c r="M2663">
        <v>-0.84752179999999999</v>
      </c>
      <c r="N2663">
        <v>0</v>
      </c>
      <c r="O2663">
        <v>-0.53055649999999999</v>
      </c>
      <c r="P2663">
        <v>-0.85616930000000002</v>
      </c>
      <c r="Q2663">
        <v>1.635789E-2</v>
      </c>
      <c r="R2663">
        <v>-0.51643669999999997</v>
      </c>
      <c r="S2663">
        <v>-1.9956050000000001</v>
      </c>
      <c r="T2663">
        <v>-0.2901473</v>
      </c>
      <c r="U2663">
        <v>-2.5333860000000001</v>
      </c>
      <c r="V2663">
        <v>1.5860269999999999E-2</v>
      </c>
      <c r="W2663">
        <v>3.1439670000000003E-2</v>
      </c>
      <c r="X2663">
        <v>0.99937980000000004</v>
      </c>
      <c r="Y2663">
        <v>-0.33800809999999998</v>
      </c>
      <c r="Z2663">
        <v>3.4369700000000003E-2</v>
      </c>
      <c r="AA2663">
        <v>0.9405154</v>
      </c>
      <c r="AB2663">
        <v>28</v>
      </c>
      <c r="AC2663">
        <v>-7.4672999999999599</v>
      </c>
      <c r="AD2663">
        <v>-1.1190780760729999</v>
      </c>
      <c r="AE2663">
        <v>-9.6164999999999701</v>
      </c>
      <c r="AF2663">
        <v>-4.1537311118664801</v>
      </c>
      <c r="AG2663">
        <v>-1.1190780760729999</v>
      </c>
      <c r="AH2663">
        <v>11.336263667191099</v>
      </c>
      <c r="AI2663">
        <v>95.295637009573895</v>
      </c>
      <c r="AJ2663">
        <v>110.12338711704</v>
      </c>
      <c r="AK2663">
        <v>12.125043992584599</v>
      </c>
      <c r="AL2663">
        <v>88.198342694747893</v>
      </c>
      <c r="AM2663">
        <v>89.090785851685993</v>
      </c>
      <c r="AN2663">
        <v>0.99999999283111096</v>
      </c>
    </row>
    <row r="2664" spans="1:40" x14ac:dyDescent="0.25">
      <c r="A2664" t="str">
        <f>"20190312154848601"</f>
        <v>20190312154848601</v>
      </c>
      <c r="B2664" t="str">
        <f>"1552376928598081"</f>
        <v>1552376928598081</v>
      </c>
      <c r="C2664" t="s">
        <v>40</v>
      </c>
      <c r="D2664">
        <v>4.3355009999999998</v>
      </c>
      <c r="E2664">
        <v>0.35754209999999997</v>
      </c>
      <c r="F2664" t="s">
        <v>42</v>
      </c>
      <c r="G2664">
        <v>-491.08699999999999</v>
      </c>
      <c r="H2664" s="1">
        <v>-4.0127270000000002E-6</v>
      </c>
      <c r="I2664">
        <v>268.26870000000002</v>
      </c>
      <c r="J2664">
        <v>-483.53</v>
      </c>
      <c r="K2664">
        <v>1.119094</v>
      </c>
      <c r="L2664">
        <v>278.08100000000002</v>
      </c>
      <c r="M2664">
        <v>-0.84429730000000003</v>
      </c>
      <c r="N2664">
        <v>0</v>
      </c>
      <c r="O2664">
        <v>-0.53567279999999995</v>
      </c>
      <c r="P2664">
        <v>-0.85325899999999999</v>
      </c>
      <c r="Q2664">
        <v>1.6087460000000001E-2</v>
      </c>
      <c r="R2664">
        <v>-0.52123980000000003</v>
      </c>
      <c r="S2664">
        <v>-1.9742740000000001</v>
      </c>
      <c r="T2664">
        <v>-0.287935</v>
      </c>
      <c r="U2664">
        <v>-2.5451350000000001</v>
      </c>
      <c r="V2664">
        <v>1.629632E-2</v>
      </c>
      <c r="W2664">
        <v>3.1183260000000001E-2</v>
      </c>
      <c r="X2664">
        <v>0.99938079999999996</v>
      </c>
      <c r="Y2664">
        <v>-0.33933560000000001</v>
      </c>
      <c r="Z2664">
        <v>3.4601E-2</v>
      </c>
      <c r="AA2664">
        <v>0.9400288</v>
      </c>
      <c r="AB2664">
        <v>28</v>
      </c>
      <c r="AC2664">
        <v>-7.5570000000000102</v>
      </c>
      <c r="AD2664">
        <v>-1.119098012727</v>
      </c>
      <c r="AE2664">
        <v>-9.8122999999999294</v>
      </c>
      <c r="AF2664">
        <v>-4.2025654602843199</v>
      </c>
      <c r="AG2664">
        <v>-1.119098012727</v>
      </c>
      <c r="AH2664">
        <v>11.543548349920499</v>
      </c>
      <c r="AI2664">
        <v>95.20508008054</v>
      </c>
      <c r="AJ2664">
        <v>110.004634547884</v>
      </c>
      <c r="AK2664">
        <v>12.3356169410783</v>
      </c>
      <c r="AL2664">
        <v>88.213041080081695</v>
      </c>
      <c r="AM2664">
        <v>89.065793926426693</v>
      </c>
      <c r="AN2664">
        <v>0.99999997457920398</v>
      </c>
    </row>
    <row r="2665" spans="1:40" x14ac:dyDescent="0.25">
      <c r="A2665" t="str">
        <f>"20190312154848614"</f>
        <v>20190312154848614</v>
      </c>
      <c r="B2665" t="str">
        <f>"1552376928608818"</f>
        <v>1552376928608818</v>
      </c>
      <c r="C2665" t="s">
        <v>40</v>
      </c>
      <c r="D2665">
        <v>4.3801610000000002</v>
      </c>
      <c r="E2665">
        <v>0.35798839999999998</v>
      </c>
      <c r="F2665" t="s">
        <v>42</v>
      </c>
      <c r="G2665">
        <v>-491.15809999999999</v>
      </c>
      <c r="H2665" s="1">
        <v>-3.9805100000000001E-6</v>
      </c>
      <c r="I2665">
        <v>268.14949999999999</v>
      </c>
      <c r="J2665">
        <v>-483.65</v>
      </c>
      <c r="K2665">
        <v>1.119119</v>
      </c>
      <c r="L2665">
        <v>277.99740000000003</v>
      </c>
      <c r="M2665">
        <v>-0.84089419999999904</v>
      </c>
      <c r="N2665">
        <v>0</v>
      </c>
      <c r="O2665">
        <v>-0.54099919999999901</v>
      </c>
      <c r="P2665">
        <v>-0.8502556</v>
      </c>
      <c r="Q2665">
        <v>1.587028E-2</v>
      </c>
      <c r="R2665">
        <v>-0.52613100000000002</v>
      </c>
      <c r="S2665">
        <v>-1.961395</v>
      </c>
      <c r="T2665">
        <v>-0.28775240000000002</v>
      </c>
      <c r="U2665">
        <v>-2.5536799999999999</v>
      </c>
      <c r="V2665">
        <v>1.6879930000000001E-2</v>
      </c>
      <c r="W2665">
        <v>3.0984520000000002E-2</v>
      </c>
      <c r="X2665">
        <v>0.99937730000000002</v>
      </c>
      <c r="Y2665">
        <v>-0.33790710000000002</v>
      </c>
      <c r="Z2665">
        <v>3.5176970000000002E-2</v>
      </c>
      <c r="AA2665">
        <v>0.94052190000000002</v>
      </c>
      <c r="AB2665">
        <v>28</v>
      </c>
      <c r="AC2665">
        <v>-7.5081000000000104</v>
      </c>
      <c r="AD2665">
        <v>-1.11912298051</v>
      </c>
      <c r="AE2665">
        <v>-9.8479000000000294</v>
      </c>
      <c r="AF2665">
        <v>-4.1854407278242203</v>
      </c>
      <c r="AG2665">
        <v>-1.11912298051</v>
      </c>
      <c r="AH2665">
        <v>11.548171661599</v>
      </c>
      <c r="AI2665">
        <v>95.205828241732107</v>
      </c>
      <c r="AJ2665">
        <v>109.922197395057</v>
      </c>
      <c r="AK2665">
        <v>12.334124170665399</v>
      </c>
      <c r="AL2665">
        <v>88.224433558558502</v>
      </c>
      <c r="AM2665">
        <v>89.032340647031603</v>
      </c>
      <c r="AN2665">
        <v>0.999999980135862</v>
      </c>
    </row>
    <row r="2666" spans="1:40" x14ac:dyDescent="0.25">
      <c r="A2666" t="str">
        <f>"20190312154848626"</f>
        <v>20190312154848626</v>
      </c>
      <c r="B2666" t="str">
        <f>"1552376928618578"</f>
        <v>1552376928618578</v>
      </c>
      <c r="C2666" t="s">
        <v>40</v>
      </c>
      <c r="D2666">
        <v>4.3644600000000002</v>
      </c>
      <c r="E2666">
        <v>0.35798839999999998</v>
      </c>
      <c r="F2666" t="s">
        <v>42</v>
      </c>
      <c r="G2666">
        <v>-491.22129999999999</v>
      </c>
      <c r="H2666" s="1">
        <v>-3.9506230000000003E-6</v>
      </c>
      <c r="I2666">
        <v>268.04059999999998</v>
      </c>
      <c r="J2666">
        <v>-483.76670000000001</v>
      </c>
      <c r="K2666">
        <v>1.11914</v>
      </c>
      <c r="L2666">
        <v>277.91550000000001</v>
      </c>
      <c r="M2666">
        <v>-0.83753509999999998</v>
      </c>
      <c r="N2666">
        <v>0</v>
      </c>
      <c r="O2666">
        <v>-0.54618449999999996</v>
      </c>
      <c r="P2666">
        <v>-0.84737340000000005</v>
      </c>
      <c r="Q2666">
        <v>1.559315E-2</v>
      </c>
      <c r="R2666">
        <v>-0.53076829999999997</v>
      </c>
      <c r="S2666">
        <v>-1.9483029999999999</v>
      </c>
      <c r="T2666">
        <v>-0.28797899999999998</v>
      </c>
      <c r="U2666">
        <v>-2.5621339999999999</v>
      </c>
      <c r="V2666">
        <v>1.7602070000000001E-2</v>
      </c>
      <c r="W2666">
        <v>3.0729050000000001E-2</v>
      </c>
      <c r="X2666">
        <v>0.9993727</v>
      </c>
      <c r="Y2666">
        <v>-0.33664889999999997</v>
      </c>
      <c r="Z2666">
        <v>3.5783860000000001E-2</v>
      </c>
      <c r="AA2666">
        <v>0.94094999999999995</v>
      </c>
      <c r="AB2666">
        <v>28</v>
      </c>
      <c r="AC2666">
        <v>-7.4545999999999699</v>
      </c>
      <c r="AD2666">
        <v>-1.1191439506229901</v>
      </c>
      <c r="AE2666">
        <v>-9.8749000000000198</v>
      </c>
      <c r="AF2666">
        <v>-4.1653654922733701</v>
      </c>
      <c r="AG2666">
        <v>-1.1191439506229901</v>
      </c>
      <c r="AH2666">
        <v>11.543824549803499</v>
      </c>
      <c r="AI2666">
        <v>95.210529986063506</v>
      </c>
      <c r="AJ2666">
        <v>109.84099659726</v>
      </c>
      <c r="AK2666">
        <v>12.323255986267799</v>
      </c>
      <c r="AL2666">
        <v>88.239077832773205</v>
      </c>
      <c r="AM2666">
        <v>88.990946968726405</v>
      </c>
      <c r="AN2666">
        <v>0.99999995044373702</v>
      </c>
    </row>
    <row r="2667" spans="1:40" x14ac:dyDescent="0.25">
      <c r="A2667" t="str">
        <f>"20190312154848637"</f>
        <v>20190312154848637</v>
      </c>
      <c r="B2667" t="str">
        <f>"1552376928628338"</f>
        <v>1552376928628338</v>
      </c>
      <c r="C2667" t="s">
        <v>40</v>
      </c>
      <c r="D2667">
        <v>4.3945439999999998</v>
      </c>
      <c r="E2667">
        <v>0.37271389999999999</v>
      </c>
      <c r="F2667" t="s">
        <v>42</v>
      </c>
      <c r="G2667">
        <v>-491.28469999999999</v>
      </c>
      <c r="H2667" s="1">
        <v>-3.9136390000000001E-6</v>
      </c>
      <c r="I2667">
        <v>267.9151</v>
      </c>
      <c r="J2667">
        <v>-483.8852</v>
      </c>
      <c r="K2667">
        <v>1.1191690000000001</v>
      </c>
      <c r="L2667">
        <v>277.83049999999997</v>
      </c>
      <c r="M2667">
        <v>-0.83403159999999898</v>
      </c>
      <c r="N2667">
        <v>0</v>
      </c>
      <c r="O2667">
        <v>-0.5515198</v>
      </c>
      <c r="P2667">
        <v>-0.84436429999999996</v>
      </c>
      <c r="Q2667">
        <v>1.528529E-2</v>
      </c>
      <c r="R2667">
        <v>-0.53555140000000001</v>
      </c>
      <c r="S2667">
        <v>-1.9341429999999999</v>
      </c>
      <c r="T2667">
        <v>-0.28791899999999998</v>
      </c>
      <c r="U2667">
        <v>-2.572784</v>
      </c>
      <c r="V2667">
        <v>1.833804E-2</v>
      </c>
      <c r="W2667">
        <v>3.0445469999999999E-2</v>
      </c>
      <c r="X2667">
        <v>0.99936820000000004</v>
      </c>
      <c r="Y2667">
        <v>-0.33583439999999998</v>
      </c>
      <c r="Z2667">
        <v>3.6339839999999998E-2</v>
      </c>
      <c r="AA2667">
        <v>0.94121969999999999</v>
      </c>
      <c r="AB2667">
        <v>28</v>
      </c>
      <c r="AC2667">
        <v>-7.3994999999999802</v>
      </c>
      <c r="AD2667">
        <v>-1.1191729136390001</v>
      </c>
      <c r="AE2667">
        <v>-9.9153999999999698</v>
      </c>
      <c r="AF2667">
        <v>-4.1552389710926603</v>
      </c>
      <c r="AG2667">
        <v>-1.1191729136390001</v>
      </c>
      <c r="AH2667">
        <v>11.546734043029099</v>
      </c>
      <c r="AI2667">
        <v>95.210957894979202</v>
      </c>
      <c r="AJ2667">
        <v>109.791912254952</v>
      </c>
      <c r="AK2667">
        <v>12.3225657222008</v>
      </c>
      <c r="AL2667">
        <v>88.255333471550401</v>
      </c>
      <c r="AM2667">
        <v>88.9487614329785</v>
      </c>
      <c r="AN2667">
        <v>1.0000000047629001</v>
      </c>
    </row>
    <row r="2668" spans="1:40" x14ac:dyDescent="0.25">
      <c r="A2668" t="str">
        <f>"20190312154848650"</f>
        <v>20190312154848650</v>
      </c>
      <c r="B2668" t="str">
        <f>"1552376928638097"</f>
        <v>1552376928638097</v>
      </c>
      <c r="C2668" t="s">
        <v>40</v>
      </c>
      <c r="D2668">
        <v>4.3898020000000004</v>
      </c>
      <c r="E2668">
        <v>0.37412459999999997</v>
      </c>
      <c r="F2668" t="s">
        <v>42</v>
      </c>
      <c r="G2668">
        <v>-491.31529999999998</v>
      </c>
      <c r="H2668" s="1">
        <v>-4.1556980000000002E-6</v>
      </c>
      <c r="I2668">
        <v>268.5129</v>
      </c>
      <c r="J2668">
        <v>-484.01049999999998</v>
      </c>
      <c r="K2668">
        <v>1.119211</v>
      </c>
      <c r="L2668">
        <v>277.73970000000003</v>
      </c>
      <c r="M2668">
        <v>-0.8302619</v>
      </c>
      <c r="N2668">
        <v>0</v>
      </c>
      <c r="O2668">
        <v>-0.55717810000000001</v>
      </c>
      <c r="P2668">
        <v>-0.84130169999999904</v>
      </c>
      <c r="Q2668">
        <v>1.471153E-2</v>
      </c>
      <c r="R2668">
        <v>-0.5403656</v>
      </c>
      <c r="S2668">
        <v>-1.9819340000000001</v>
      </c>
      <c r="T2668">
        <v>-0.29852899999999999</v>
      </c>
      <c r="U2668">
        <v>-2.485382</v>
      </c>
      <c r="V2668">
        <v>1.9440949999999999E-2</v>
      </c>
      <c r="W2668">
        <v>2.9905930000000001E-2</v>
      </c>
      <c r="X2668">
        <v>0.99936369999999997</v>
      </c>
      <c r="Y2668">
        <v>-0.30253780000000002</v>
      </c>
      <c r="Z2668">
        <v>4.0133849999999999E-2</v>
      </c>
      <c r="AA2668">
        <v>0.95229209999999997</v>
      </c>
      <c r="AB2668">
        <v>28</v>
      </c>
      <c r="AC2668">
        <v>-7.3048000000000002</v>
      </c>
      <c r="AD2668">
        <v>-1.1192151556979999</v>
      </c>
      <c r="AE2668">
        <v>-9.2268000000000203</v>
      </c>
      <c r="AF2668">
        <v>-3.5587885494764402</v>
      </c>
      <c r="AG2668">
        <v>-1.1192151556979999</v>
      </c>
      <c r="AH2668">
        <v>11.106631550381399</v>
      </c>
      <c r="AI2668">
        <v>95.481550120413104</v>
      </c>
      <c r="AJ2668">
        <v>107.766505710619</v>
      </c>
      <c r="AK2668">
        <v>11.716436442048201</v>
      </c>
      <c r="AL2668">
        <v>88.286261015457697</v>
      </c>
      <c r="AM2668">
        <v>88.885546966737607</v>
      </c>
      <c r="AN2668">
        <v>1.0000000600318699</v>
      </c>
    </row>
    <row r="2669" spans="1:40" x14ac:dyDescent="0.25">
      <c r="A2669" t="str">
        <f>"20190312154848663"</f>
        <v>20190312154848663</v>
      </c>
      <c r="B2669" t="str">
        <f>"1552376928658595"</f>
        <v>1552376928658595</v>
      </c>
      <c r="C2669" t="s">
        <v>40</v>
      </c>
      <c r="D2669">
        <v>4.41791</v>
      </c>
      <c r="E2669">
        <v>0.37523060000000003</v>
      </c>
      <c r="F2669" t="s">
        <v>42</v>
      </c>
      <c r="G2669">
        <v>-491.38869999999997</v>
      </c>
      <c r="H2669" s="1">
        <v>-4.1447439999999998E-6</v>
      </c>
      <c r="I2669">
        <v>268.4425</v>
      </c>
      <c r="J2669">
        <v>-484.15050000000002</v>
      </c>
      <c r="K2669">
        <v>1.1192580000000001</v>
      </c>
      <c r="L2669">
        <v>277.63679999999999</v>
      </c>
      <c r="M2669">
        <v>-0.82595680000000005</v>
      </c>
      <c r="N2669">
        <v>0</v>
      </c>
      <c r="O2669">
        <v>-0.56353999999999904</v>
      </c>
      <c r="P2669">
        <v>-0.83753449999999996</v>
      </c>
      <c r="Q2669">
        <v>1.46999E-2</v>
      </c>
      <c r="R2669">
        <v>-0.54618710000000004</v>
      </c>
      <c r="S2669">
        <v>-1.973724</v>
      </c>
      <c r="T2669">
        <v>-0.29940020000000001</v>
      </c>
      <c r="U2669">
        <v>-2.4870909999999999</v>
      </c>
      <c r="V2669">
        <v>2.0184810000000001E-2</v>
      </c>
      <c r="W2669">
        <v>2.992357E-2</v>
      </c>
      <c r="X2669">
        <v>0.99934829999999997</v>
      </c>
      <c r="Y2669">
        <v>-0.29749619999999999</v>
      </c>
      <c r="Z2669">
        <v>4.1168030000000001E-2</v>
      </c>
      <c r="AA2669">
        <v>0.95383499999999999</v>
      </c>
      <c r="AB2669">
        <v>28</v>
      </c>
      <c r="AC2669">
        <v>-7.2381999999999396</v>
      </c>
      <c r="AD2669">
        <v>-1.1192621447440001</v>
      </c>
      <c r="AE2669">
        <v>-9.1942999999999895</v>
      </c>
      <c r="AF2669">
        <v>-3.4835911286591101</v>
      </c>
      <c r="AG2669">
        <v>-1.1192621447440001</v>
      </c>
      <c r="AH2669">
        <v>11.0598263412266</v>
      </c>
      <c r="AI2669">
        <v>95.513435665155498</v>
      </c>
      <c r="AJ2669">
        <v>107.483229444437</v>
      </c>
      <c r="AK2669">
        <v>11.64937395736</v>
      </c>
      <c r="AL2669">
        <v>88.285249652091693</v>
      </c>
      <c r="AM2669">
        <v>88.842898723795102</v>
      </c>
      <c r="AN2669">
        <v>0.99999993565458301</v>
      </c>
    </row>
    <row r="2670" spans="1:40" x14ac:dyDescent="0.25">
      <c r="A2670" t="str">
        <f>"20190312154848676"</f>
        <v>20190312154848676</v>
      </c>
      <c r="B2670" t="str">
        <f>"1552376928668354"</f>
        <v>1552376928668354</v>
      </c>
      <c r="C2670" t="s">
        <v>40</v>
      </c>
      <c r="D2670">
        <v>4.469049</v>
      </c>
      <c r="E2670">
        <v>0.37575459999999999</v>
      </c>
      <c r="F2670" t="s">
        <v>42</v>
      </c>
      <c r="G2670">
        <v>-491.39679999999998</v>
      </c>
      <c r="H2670" s="1">
        <v>-4.1396670000000001E-6</v>
      </c>
      <c r="I2670">
        <v>268.42329999999998</v>
      </c>
      <c r="J2670">
        <v>-484.27330000000001</v>
      </c>
      <c r="K2670">
        <v>1.1193059999999999</v>
      </c>
      <c r="L2670">
        <v>277.5446</v>
      </c>
      <c r="M2670">
        <v>-0.82206539999999995</v>
      </c>
      <c r="N2670">
        <v>0</v>
      </c>
      <c r="O2670">
        <v>-0.56920159999999997</v>
      </c>
      <c r="P2670">
        <v>-0.83439769999999902</v>
      </c>
      <c r="Q2670">
        <v>1.4681700000000001E-2</v>
      </c>
      <c r="R2670">
        <v>-0.55096780000000001</v>
      </c>
      <c r="S2670">
        <v>-1.9611209999999999</v>
      </c>
      <c r="T2670">
        <v>-0.30291580000000001</v>
      </c>
      <c r="U2670">
        <v>-2.4935299999999998</v>
      </c>
      <c r="V2670">
        <v>2.1332819999999999E-2</v>
      </c>
      <c r="W2670">
        <v>2.9944539999999999E-2</v>
      </c>
      <c r="X2670">
        <v>0.99932390000000004</v>
      </c>
      <c r="Y2670">
        <v>-0.29515229999999998</v>
      </c>
      <c r="Z2670">
        <v>4.2377489999999997E-2</v>
      </c>
      <c r="AA2670">
        <v>0.95450999999999997</v>
      </c>
      <c r="AB2670">
        <v>28</v>
      </c>
      <c r="AC2670">
        <v>-7.1234999999999697</v>
      </c>
      <c r="AD2670">
        <v>-1.119310139667</v>
      </c>
      <c r="AE2670">
        <v>-9.1213000000000193</v>
      </c>
      <c r="AF2670">
        <v>-3.4120576527046498</v>
      </c>
      <c r="AG2670">
        <v>-1.119310139667</v>
      </c>
      <c r="AH2670">
        <v>10.9466543382935</v>
      </c>
      <c r="AI2670">
        <v>95.575497052622197</v>
      </c>
      <c r="AJ2670">
        <v>107.312187303134</v>
      </c>
      <c r="AK2670">
        <v>11.520600410404899</v>
      </c>
      <c r="AL2670">
        <v>88.284047750011396</v>
      </c>
      <c r="AM2670">
        <v>88.777078247278197</v>
      </c>
      <c r="AN2670">
        <v>1.00000001089808</v>
      </c>
    </row>
    <row r="2671" spans="1:40" x14ac:dyDescent="0.25">
      <c r="A2671" t="str">
        <f>"20190312154848689"</f>
        <v>20190312154848689</v>
      </c>
      <c r="B2671" t="str">
        <f>"1552376928678621"</f>
        <v>1552376928678621</v>
      </c>
      <c r="C2671" t="s">
        <v>40</v>
      </c>
      <c r="D2671">
        <v>4.40198</v>
      </c>
      <c r="E2671">
        <v>0.37622090000000002</v>
      </c>
      <c r="F2671" t="s">
        <v>42</v>
      </c>
      <c r="G2671">
        <v>-491.4821</v>
      </c>
      <c r="H2671" s="1">
        <v>-4.1102470000000003E-6</v>
      </c>
      <c r="I2671">
        <v>268.29239999999999</v>
      </c>
      <c r="J2671">
        <v>-484.40019999999998</v>
      </c>
      <c r="K2671">
        <v>1.119353</v>
      </c>
      <c r="L2671">
        <v>277.44830000000002</v>
      </c>
      <c r="M2671">
        <v>-0.81797169999999997</v>
      </c>
      <c r="N2671">
        <v>0</v>
      </c>
      <c r="O2671">
        <v>-0.57506849999999998</v>
      </c>
      <c r="P2671">
        <v>-0.83073839999999999</v>
      </c>
      <c r="Q2671">
        <v>1.480071E-2</v>
      </c>
      <c r="R2671">
        <v>-0.55646649999999998</v>
      </c>
      <c r="S2671">
        <v>-1.9489749999999999</v>
      </c>
      <c r="T2671">
        <v>-0.30261949999999999</v>
      </c>
      <c r="U2671">
        <v>-2.5014340000000002</v>
      </c>
      <c r="V2671">
        <v>2.1874689999999999E-2</v>
      </c>
      <c r="W2671">
        <v>3.0089910000000001E-2</v>
      </c>
      <c r="X2671">
        <v>0.99930779999999997</v>
      </c>
      <c r="Y2671">
        <v>-0.29268430000000001</v>
      </c>
      <c r="Z2671">
        <v>4.3072069999999997E-2</v>
      </c>
      <c r="AA2671">
        <v>0.95523849999999999</v>
      </c>
      <c r="AB2671">
        <v>28</v>
      </c>
      <c r="AC2671">
        <v>-7.0819000000000099</v>
      </c>
      <c r="AD2671">
        <v>-1.1193571102469999</v>
      </c>
      <c r="AE2671">
        <v>-9.1559000000000292</v>
      </c>
      <c r="AF2671">
        <v>-3.3854039676430601</v>
      </c>
      <c r="AG2671">
        <v>-1.1193571102469999</v>
      </c>
      <c r="AH2671">
        <v>10.956808383954399</v>
      </c>
      <c r="AI2671">
        <v>95.574860944792306</v>
      </c>
      <c r="AJ2671">
        <v>107.169956487088</v>
      </c>
      <c r="AK2671">
        <v>11.5223942966333</v>
      </c>
      <c r="AL2671">
        <v>88.275714875001995</v>
      </c>
      <c r="AM2671">
        <v>88.746004695382894</v>
      </c>
      <c r="AN2671">
        <v>0.99999999194362199</v>
      </c>
    </row>
    <row r="2672" spans="1:40" x14ac:dyDescent="0.25">
      <c r="A2672" t="str">
        <f>"20190312154848702"</f>
        <v>20190312154848702</v>
      </c>
      <c r="B2672" t="str">
        <f>"1552376928698142"</f>
        <v>1552376928698142</v>
      </c>
      <c r="C2672" t="s">
        <v>40</v>
      </c>
      <c r="D2672">
        <v>4.4377019999999998</v>
      </c>
      <c r="E2672">
        <v>0.37751050000000003</v>
      </c>
      <c r="F2672" t="s">
        <v>42</v>
      </c>
      <c r="G2672">
        <v>-491.57859999999999</v>
      </c>
      <c r="H2672" s="1">
        <v>-4.0723580000000003E-6</v>
      </c>
      <c r="I2672">
        <v>268.13080000000002</v>
      </c>
      <c r="J2672">
        <v>-484.52379999999999</v>
      </c>
      <c r="K2672">
        <v>1.1194109999999999</v>
      </c>
      <c r="L2672">
        <v>277.35300000000001</v>
      </c>
      <c r="M2672">
        <v>-0.81388309999999997</v>
      </c>
      <c r="N2672">
        <v>0</v>
      </c>
      <c r="O2672">
        <v>-0.58084019999999903</v>
      </c>
      <c r="P2672">
        <v>-0.82725550000000003</v>
      </c>
      <c r="Q2672">
        <v>1.47256E-2</v>
      </c>
      <c r="R2672">
        <v>-0.56163280000000004</v>
      </c>
      <c r="S2672">
        <v>-1.9345699999999999</v>
      </c>
      <c r="T2672">
        <v>-0.30166690000000002</v>
      </c>
      <c r="U2672">
        <v>-2.5110779999999999</v>
      </c>
      <c r="V2672">
        <v>2.2713870000000001E-2</v>
      </c>
      <c r="W2672">
        <v>3.004892E-2</v>
      </c>
      <c r="X2672">
        <v>0.99929029999999996</v>
      </c>
      <c r="Y2672">
        <v>-0.2911474</v>
      </c>
      <c r="Z2672">
        <v>4.3621849999999997E-2</v>
      </c>
      <c r="AA2672">
        <v>0.95568319999999995</v>
      </c>
      <c r="AB2672">
        <v>28</v>
      </c>
      <c r="AC2672">
        <v>-7.0548000000000002</v>
      </c>
      <c r="AD2672">
        <v>-1.1194150723580001</v>
      </c>
      <c r="AE2672">
        <v>-9.2221999999999795</v>
      </c>
      <c r="AF2672">
        <v>-3.3770659902625502</v>
      </c>
      <c r="AG2672">
        <v>-1.1194150723580001</v>
      </c>
      <c r="AH2672">
        <v>10.9974057775812</v>
      </c>
      <c r="AI2672">
        <v>95.557645344386202</v>
      </c>
      <c r="AJ2672">
        <v>107.07059225744599</v>
      </c>
      <c r="AK2672">
        <v>11.558572517555399</v>
      </c>
      <c r="AL2672">
        <v>88.278064471914305</v>
      </c>
      <c r="AM2672">
        <v>88.697891062014193</v>
      </c>
      <c r="AN2672">
        <v>0.99999998057881601</v>
      </c>
    </row>
    <row r="2673" spans="1:40" x14ac:dyDescent="0.25">
      <c r="A2673" t="str">
        <f>"20190312154848714"</f>
        <v>20190312154848714</v>
      </c>
      <c r="B2673" t="str">
        <f>"1552376928708876"</f>
        <v>1552376928708876</v>
      </c>
      <c r="C2673" t="s">
        <v>40</v>
      </c>
      <c r="D2673">
        <v>4.4263130000000004</v>
      </c>
      <c r="E2673">
        <v>0.37751050000000003</v>
      </c>
      <c r="F2673" t="s">
        <v>42</v>
      </c>
      <c r="G2673">
        <v>-491.72160000000002</v>
      </c>
      <c r="H2673" s="1">
        <v>-4.0360720000000003E-6</v>
      </c>
      <c r="I2673">
        <v>267.94959999999998</v>
      </c>
      <c r="J2673">
        <v>-484.64780000000002</v>
      </c>
      <c r="K2673">
        <v>1.1194740000000001</v>
      </c>
      <c r="L2673">
        <v>277.25560000000002</v>
      </c>
      <c r="M2673">
        <v>-0.80966969999999905</v>
      </c>
      <c r="N2673">
        <v>0</v>
      </c>
      <c r="O2673">
        <v>-0.58669919999999998</v>
      </c>
      <c r="P2673">
        <v>-0.82411440000000002</v>
      </c>
      <c r="Q2673">
        <v>1.439584E-2</v>
      </c>
      <c r="R2673">
        <v>-0.56624079999999999</v>
      </c>
      <c r="S2673">
        <v>-1.9246829999999999</v>
      </c>
      <c r="T2673">
        <v>-0.29933169999999998</v>
      </c>
      <c r="U2673">
        <v>-2.514465</v>
      </c>
      <c r="V2673">
        <v>2.435619E-2</v>
      </c>
      <c r="W2673">
        <v>2.9772949999999999E-2</v>
      </c>
      <c r="X2673">
        <v>0.99925989999999998</v>
      </c>
      <c r="Y2673">
        <v>-0.28724509999999998</v>
      </c>
      <c r="Z2673">
        <v>4.4101040000000001E-2</v>
      </c>
      <c r="AA2673">
        <v>0.95684130000000001</v>
      </c>
      <c r="AB2673">
        <v>28</v>
      </c>
      <c r="AC2673">
        <v>-7.0738000000000003</v>
      </c>
      <c r="AD2673">
        <v>-1.119478036072</v>
      </c>
      <c r="AE2673">
        <v>-9.30600000000004</v>
      </c>
      <c r="AF2673">
        <v>-3.35420024456961</v>
      </c>
      <c r="AG2673">
        <v>-1.119478036072</v>
      </c>
      <c r="AH2673">
        <v>11.086804187139</v>
      </c>
      <c r="AI2673">
        <v>95.520356793938404</v>
      </c>
      <c r="AJ2673">
        <v>106.832658581389</v>
      </c>
      <c r="AK2673">
        <v>11.6370579373775</v>
      </c>
      <c r="AL2673">
        <v>88.293883499863298</v>
      </c>
      <c r="AM2673">
        <v>88.6037359928238</v>
      </c>
      <c r="AN2673">
        <v>1.00000000014551</v>
      </c>
    </row>
    <row r="2674" spans="1:40" x14ac:dyDescent="0.25">
      <c r="A2674" t="str">
        <f>"20190312154848727"</f>
        <v>20190312154848727</v>
      </c>
      <c r="B2674" t="str">
        <f>"1552376928718637"</f>
        <v>1552376928718637</v>
      </c>
      <c r="C2674" t="s">
        <v>40</v>
      </c>
      <c r="D2674">
        <v>4.4569809999999999</v>
      </c>
      <c r="E2674">
        <v>0.38442199999999999</v>
      </c>
      <c r="F2674" t="s">
        <v>42</v>
      </c>
      <c r="G2674">
        <v>-491.7937</v>
      </c>
      <c r="H2674" s="1">
        <v>-4.0002560000000001E-6</v>
      </c>
      <c r="I2674">
        <v>267.80680000000001</v>
      </c>
      <c r="J2674">
        <v>-484.76369999999997</v>
      </c>
      <c r="K2674">
        <v>1.119529</v>
      </c>
      <c r="L2674">
        <v>277.16379999999998</v>
      </c>
      <c r="M2674">
        <v>-0.80566380000000004</v>
      </c>
      <c r="N2674">
        <v>0</v>
      </c>
      <c r="O2674">
        <v>-0.59218749999999998</v>
      </c>
      <c r="P2674">
        <v>-0.82056830000000003</v>
      </c>
      <c r="Q2674">
        <v>1.372251E-2</v>
      </c>
      <c r="R2674">
        <v>-0.57138369999999905</v>
      </c>
      <c r="S2674">
        <v>-1.910126</v>
      </c>
      <c r="T2674">
        <v>-0.29924240000000002</v>
      </c>
      <c r="U2674">
        <v>-2.5257260000000001</v>
      </c>
      <c r="V2674">
        <v>2.4915340000000001E-2</v>
      </c>
      <c r="W2674">
        <v>2.9128069999999999E-2</v>
      </c>
      <c r="X2674">
        <v>0.99926510000000002</v>
      </c>
      <c r="Y2674">
        <v>-0.28631509999999999</v>
      </c>
      <c r="Z2674">
        <v>4.469534E-2</v>
      </c>
      <c r="AA2674">
        <v>0.95709250000000001</v>
      </c>
      <c r="AB2674">
        <v>28</v>
      </c>
      <c r="AC2674">
        <v>-7.0300000000000296</v>
      </c>
      <c r="AD2674">
        <v>-1.119533000256</v>
      </c>
      <c r="AE2674">
        <v>-9.3569999999999691</v>
      </c>
      <c r="AF2674">
        <v>-3.3452788425737201</v>
      </c>
      <c r="AG2674">
        <v>-1.119533000256</v>
      </c>
      <c r="AH2674">
        <v>11.104536947246901</v>
      </c>
      <c r="AI2674">
        <v>95.513814876008695</v>
      </c>
      <c r="AJ2674">
        <v>106.765103213411</v>
      </c>
      <c r="AK2674">
        <v>11.6513941434494</v>
      </c>
      <c r="AL2674">
        <v>88.330848402001905</v>
      </c>
      <c r="AM2674">
        <v>88.571702235299895</v>
      </c>
      <c r="AN2674">
        <v>0.99999997935362495</v>
      </c>
    </row>
    <row r="2675" spans="1:40" x14ac:dyDescent="0.25">
      <c r="A2675" t="str">
        <f>"20190312154848739"</f>
        <v>20190312154848739</v>
      </c>
      <c r="B2675" t="str">
        <f>"1552376928729373"</f>
        <v>1552376928729373</v>
      </c>
      <c r="C2675" t="s">
        <v>40</v>
      </c>
      <c r="D2675">
        <v>4.4618370000000001</v>
      </c>
      <c r="E2675">
        <v>0.38518089999999999</v>
      </c>
      <c r="F2675" t="s">
        <v>42</v>
      </c>
      <c r="G2675">
        <v>-491.5806</v>
      </c>
      <c r="H2675" s="1">
        <v>-4.1430080000000002E-6</v>
      </c>
      <c r="I2675">
        <v>268.33730000000003</v>
      </c>
      <c r="J2675">
        <v>-484.88650000000001</v>
      </c>
      <c r="K2675">
        <v>1.119591</v>
      </c>
      <c r="L2675">
        <v>277.06439999999998</v>
      </c>
      <c r="M2675">
        <v>-0.80129119999999998</v>
      </c>
      <c r="N2675">
        <v>0</v>
      </c>
      <c r="O2675">
        <v>-0.59809049999999997</v>
      </c>
      <c r="P2675">
        <v>-0.81674360000000001</v>
      </c>
      <c r="Q2675">
        <v>1.2893770000000001E-2</v>
      </c>
      <c r="R2675">
        <v>-0.57685699999999995</v>
      </c>
      <c r="S2675">
        <v>-1.9253849999999999</v>
      </c>
      <c r="T2675">
        <v>-0.31620100000000001</v>
      </c>
      <c r="U2675">
        <v>-2.49295</v>
      </c>
      <c r="V2675">
        <v>2.5599139999999999E-2</v>
      </c>
      <c r="W2675">
        <v>2.833399E-2</v>
      </c>
      <c r="X2675">
        <v>0.99927069999999996</v>
      </c>
      <c r="Y2675">
        <v>-0.2697155</v>
      </c>
      <c r="Z2675">
        <v>4.8821400000000001E-2</v>
      </c>
      <c r="AA2675">
        <v>0.96170160000000005</v>
      </c>
      <c r="AB2675">
        <v>28</v>
      </c>
      <c r="AC2675">
        <v>-6.6940999999999899</v>
      </c>
      <c r="AD2675">
        <v>-1.119595143008</v>
      </c>
      <c r="AE2675">
        <v>-8.7270999999999503</v>
      </c>
      <c r="AF2675">
        <v>-2.9589401716374</v>
      </c>
      <c r="AG2675">
        <v>-1.119595143008</v>
      </c>
      <c r="AH2675">
        <v>10.476133322122401</v>
      </c>
      <c r="AI2675">
        <v>95.872074661582005</v>
      </c>
      <c r="AJ2675">
        <v>105.772111592694</v>
      </c>
      <c r="AK2675">
        <v>10.9434085003923</v>
      </c>
      <c r="AL2675">
        <v>88.376364711358704</v>
      </c>
      <c r="AM2675">
        <v>88.532527821855894</v>
      </c>
      <c r="AN2675">
        <v>1.00000003141827</v>
      </c>
    </row>
    <row r="2676" spans="1:40" x14ac:dyDescent="0.25">
      <c r="A2676" t="str">
        <f>"20190312154848753"</f>
        <v>20190312154848753</v>
      </c>
      <c r="B2676" t="str">
        <f>"1552376928748893"</f>
        <v>1552376928748893</v>
      </c>
      <c r="C2676" t="s">
        <v>40</v>
      </c>
      <c r="D2676">
        <v>4.4801520000000004</v>
      </c>
      <c r="E2676">
        <v>0.38599990000000001</v>
      </c>
      <c r="F2676" t="s">
        <v>42</v>
      </c>
      <c r="G2676">
        <v>-491.5883</v>
      </c>
      <c r="H2676" s="1">
        <v>-4.1319890000000003E-6</v>
      </c>
      <c r="I2676">
        <v>268.30090000000001</v>
      </c>
      <c r="J2676">
        <v>-485.0163</v>
      </c>
      <c r="K2676">
        <v>1.1196549999999901</v>
      </c>
      <c r="L2676">
        <v>276.95760000000001</v>
      </c>
      <c r="M2676">
        <v>-0.79655739999999997</v>
      </c>
      <c r="N2676">
        <v>0</v>
      </c>
      <c r="O2676">
        <v>-0.60438059999999905</v>
      </c>
      <c r="P2676">
        <v>-0.81267670000000003</v>
      </c>
      <c r="Q2676">
        <v>1.228622E-2</v>
      </c>
      <c r="R2676">
        <v>-0.58258569999999998</v>
      </c>
      <c r="S2676">
        <v>-1.9121699999999999</v>
      </c>
      <c r="T2676">
        <v>-0.3194438</v>
      </c>
      <c r="U2676">
        <v>-2.500397</v>
      </c>
      <c r="V2676">
        <v>2.6455449999999998E-2</v>
      </c>
      <c r="W2676">
        <v>2.776582E-2</v>
      </c>
      <c r="X2676">
        <v>0.99926429999999999</v>
      </c>
      <c r="Y2676">
        <v>-0.26677309999999999</v>
      </c>
      <c r="Z2676">
        <v>5.0178159999999999E-2</v>
      </c>
      <c r="AA2676">
        <v>0.96245219999999998</v>
      </c>
      <c r="AB2676">
        <v>28</v>
      </c>
      <c r="AC2676">
        <v>-6.5720000000000001</v>
      </c>
      <c r="AD2676">
        <v>-1.1196591319889999</v>
      </c>
      <c r="AE2676">
        <v>-8.6567000000000007</v>
      </c>
      <c r="AF2676">
        <v>-2.8931877634347898</v>
      </c>
      <c r="AG2676">
        <v>-1.1196591319889999</v>
      </c>
      <c r="AH2676">
        <v>10.358145835989699</v>
      </c>
      <c r="AI2676">
        <v>95.943631502195302</v>
      </c>
      <c r="AJ2676">
        <v>105.60585728444499</v>
      </c>
      <c r="AK2676">
        <v>10.812740502109801</v>
      </c>
      <c r="AL2676">
        <v>88.408931196372393</v>
      </c>
      <c r="AM2676">
        <v>88.483452646188297</v>
      </c>
      <c r="AN2676">
        <v>0.99999998642473198</v>
      </c>
    </row>
    <row r="2677" spans="1:40" x14ac:dyDescent="0.25">
      <c r="A2677" t="str">
        <f>"20190312154848766"</f>
        <v>20190312154848766</v>
      </c>
      <c r="B2677" t="str">
        <f>"1552376928758652"</f>
        <v>1552376928758652</v>
      </c>
      <c r="C2677" t="s">
        <v>40</v>
      </c>
      <c r="D2677">
        <v>4.4801769999999896</v>
      </c>
      <c r="E2677">
        <v>0.38599990000000001</v>
      </c>
      <c r="F2677" t="s">
        <v>42</v>
      </c>
      <c r="G2677">
        <v>-491.58449999999999</v>
      </c>
      <c r="H2677" s="1">
        <v>-4.1229489999999998E-6</v>
      </c>
      <c r="I2677">
        <v>268.27640000000002</v>
      </c>
      <c r="J2677">
        <v>-485.13909999999998</v>
      </c>
      <c r="K2677">
        <v>1.1197170000000001</v>
      </c>
      <c r="L2677">
        <v>276.85559999999998</v>
      </c>
      <c r="M2677">
        <v>-0.79198649999999904</v>
      </c>
      <c r="N2677">
        <v>0</v>
      </c>
      <c r="O2677">
        <v>-0.61035759999999994</v>
      </c>
      <c r="P2677">
        <v>-0.80867169999999999</v>
      </c>
      <c r="Q2677">
        <v>1.205442E-2</v>
      </c>
      <c r="R2677">
        <v>-0.58813709999999997</v>
      </c>
      <c r="S2677">
        <v>-1.89801</v>
      </c>
      <c r="T2677">
        <v>-0.32354939999999999</v>
      </c>
      <c r="U2677">
        <v>-2.5086360000000001</v>
      </c>
      <c r="V2677">
        <v>2.7135579999999999E-2</v>
      </c>
      <c r="W2677">
        <v>2.756896E-2</v>
      </c>
      <c r="X2677">
        <v>0.99925149999999996</v>
      </c>
      <c r="Y2677">
        <v>-0.26455119999999999</v>
      </c>
      <c r="Z2677">
        <v>5.162108E-2</v>
      </c>
      <c r="AA2677">
        <v>0.96298910000000004</v>
      </c>
      <c r="AB2677">
        <v>28</v>
      </c>
      <c r="AC2677">
        <v>-6.4454000000000002</v>
      </c>
      <c r="AD2677">
        <v>-1.1197211229490001</v>
      </c>
      <c r="AE2677">
        <v>-8.5791999999999504</v>
      </c>
      <c r="AF2677">
        <v>-2.8301119191598301</v>
      </c>
      <c r="AG2677">
        <v>-1.1197211229490001</v>
      </c>
      <c r="AH2677">
        <v>10.2307936373163</v>
      </c>
      <c r="AI2677">
        <v>96.021553646619793</v>
      </c>
      <c r="AJ2677">
        <v>105.462871723989</v>
      </c>
      <c r="AK2677">
        <v>10.6739143390558</v>
      </c>
      <c r="AL2677">
        <v>88.420214743202493</v>
      </c>
      <c r="AM2677">
        <v>88.4444634842596</v>
      </c>
      <c r="AN2677">
        <v>0.99999997375483296</v>
      </c>
    </row>
    <row r="2678" spans="1:40" x14ac:dyDescent="0.25">
      <c r="A2678" t="str">
        <f>"20190312154848779"</f>
        <v>20190312154848779</v>
      </c>
      <c r="B2678" t="str">
        <f>"1552376928768413"</f>
        <v>1552376928768413</v>
      </c>
      <c r="C2678" t="s">
        <v>40</v>
      </c>
      <c r="D2678">
        <v>4.4927049999999999</v>
      </c>
      <c r="E2678">
        <v>0.38282919999999998</v>
      </c>
      <c r="F2678" t="s">
        <v>42</v>
      </c>
      <c r="G2678">
        <v>-491.6309</v>
      </c>
      <c r="H2678" s="1">
        <v>-4.0893989999999999E-6</v>
      </c>
      <c r="I2678">
        <v>268.15359999999998</v>
      </c>
      <c r="J2678">
        <v>-485.26459999999997</v>
      </c>
      <c r="K2678">
        <v>1.119777</v>
      </c>
      <c r="L2678">
        <v>276.74880000000002</v>
      </c>
      <c r="M2678">
        <v>-0.78716519999999901</v>
      </c>
      <c r="N2678">
        <v>0</v>
      </c>
      <c r="O2678">
        <v>-0.61656259999999996</v>
      </c>
      <c r="P2678">
        <v>-0.80442480000000005</v>
      </c>
      <c r="Q2678">
        <v>1.2566920000000001E-2</v>
      </c>
      <c r="R2678">
        <v>-0.5939219</v>
      </c>
      <c r="S2678">
        <v>-1.8809199999999999</v>
      </c>
      <c r="T2678">
        <v>-0.32442710000000002</v>
      </c>
      <c r="U2678">
        <v>-2.5213009999999998</v>
      </c>
      <c r="V2678">
        <v>2.7799999999999998E-2</v>
      </c>
      <c r="W2678">
        <v>2.8117110000000001E-2</v>
      </c>
      <c r="X2678">
        <v>0.99921800000000005</v>
      </c>
      <c r="Y2678">
        <v>-0.263515</v>
      </c>
      <c r="Z2678">
        <v>5.250983E-2</v>
      </c>
      <c r="AA2678">
        <v>0.96322509999999995</v>
      </c>
      <c r="AB2678">
        <v>28</v>
      </c>
      <c r="AC2678">
        <v>-6.3663000000000203</v>
      </c>
      <c r="AD2678">
        <v>-1.1197810893989999</v>
      </c>
      <c r="AE2678">
        <v>-8.5952000000000304</v>
      </c>
      <c r="AF2678">
        <v>-2.8101352706367599</v>
      </c>
      <c r="AG2678">
        <v>-1.1197810893989999</v>
      </c>
      <c r="AH2678">
        <v>10.2001565442943</v>
      </c>
      <c r="AI2678">
        <v>96.041561812629496</v>
      </c>
      <c r="AJ2678">
        <v>105.40284053561901</v>
      </c>
      <c r="AK2678">
        <v>10.639265174605001</v>
      </c>
      <c r="AL2678">
        <v>88.3887959407393</v>
      </c>
      <c r="AM2678">
        <v>88.406341872988193</v>
      </c>
      <c r="AN2678">
        <v>1.0000000116993699</v>
      </c>
    </row>
    <row r="2679" spans="1:40" x14ac:dyDescent="0.25">
      <c r="A2679" t="str">
        <f>"20190312154848793"</f>
        <v>20190312154848793</v>
      </c>
      <c r="B2679" t="str">
        <f>"1552376928788359"</f>
        <v>1552376928788359</v>
      </c>
      <c r="C2679" t="s">
        <v>40</v>
      </c>
      <c r="D2679">
        <v>4.4779400000000003</v>
      </c>
      <c r="E2679">
        <v>0.37779570000000001</v>
      </c>
      <c r="F2679" t="s">
        <v>42</v>
      </c>
      <c r="G2679">
        <v>-491.55540000000002</v>
      </c>
      <c r="H2679" s="1">
        <v>-4.0400560000000001E-6</v>
      </c>
      <c r="I2679">
        <v>268.04790000000003</v>
      </c>
      <c r="J2679">
        <v>-485.39170000000001</v>
      </c>
      <c r="K2679">
        <v>1.1198440000000001</v>
      </c>
      <c r="L2679">
        <v>276.63920000000002</v>
      </c>
      <c r="M2679">
        <v>-0.78217349999999997</v>
      </c>
      <c r="N2679">
        <v>0</v>
      </c>
      <c r="O2679">
        <v>-0.62288250000000001</v>
      </c>
      <c r="P2679">
        <v>-0.80024359999999894</v>
      </c>
      <c r="Q2679">
        <v>1.347516E-2</v>
      </c>
      <c r="R2679">
        <v>-0.59952369999999899</v>
      </c>
      <c r="S2679">
        <v>-1.8476870000000001</v>
      </c>
      <c r="T2679">
        <v>-0.32889760000000001</v>
      </c>
      <c r="U2679">
        <v>-2.5555729999999999</v>
      </c>
      <c r="V2679">
        <v>2.883585E-2</v>
      </c>
      <c r="W2679">
        <v>2.9070869999999999E-2</v>
      </c>
      <c r="X2679">
        <v>0.99916139999999998</v>
      </c>
      <c r="Y2679">
        <v>-0.27016309999999999</v>
      </c>
      <c r="Z2679">
        <v>5.3534249999999999E-2</v>
      </c>
      <c r="AA2679">
        <v>0.96132510000000004</v>
      </c>
      <c r="AB2679">
        <v>28</v>
      </c>
      <c r="AC2679">
        <v>-6.1637000000000004</v>
      </c>
      <c r="AD2679">
        <v>-1.119848040056</v>
      </c>
      <c r="AE2679">
        <v>-8.5912999999999897</v>
      </c>
      <c r="AF2679">
        <v>-2.8489895144320001</v>
      </c>
      <c r="AG2679">
        <v>-1.119848040056</v>
      </c>
      <c r="AH2679">
        <v>10.060733083378199</v>
      </c>
      <c r="AI2679">
        <v>96.112933924641297</v>
      </c>
      <c r="AJ2679">
        <v>105.811014308355</v>
      </c>
      <c r="AK2679">
        <v>10.5161376494006</v>
      </c>
      <c r="AL2679">
        <v>88.334127247654393</v>
      </c>
      <c r="AM2679">
        <v>88.346899676895106</v>
      </c>
      <c r="AN2679">
        <v>1.0000000624888601</v>
      </c>
    </row>
    <row r="2680" spans="1:40" x14ac:dyDescent="0.25">
      <c r="A2680" t="str">
        <f>"20190312154848803"</f>
        <v>20190312154848803</v>
      </c>
      <c r="B2680" t="str">
        <f>"1552376928798119"</f>
        <v>1552376928798119</v>
      </c>
      <c r="C2680" t="s">
        <v>40</v>
      </c>
      <c r="D2680">
        <v>4.4613509999999996</v>
      </c>
      <c r="E2680">
        <v>0.37616519999999998</v>
      </c>
      <c r="F2680" t="s">
        <v>42</v>
      </c>
      <c r="G2680">
        <v>-491.53949999999998</v>
      </c>
      <c r="H2680" s="1">
        <v>-3.9267510000000004E-6</v>
      </c>
      <c r="I2680">
        <v>267.7876</v>
      </c>
      <c r="J2680">
        <v>-485.4957</v>
      </c>
      <c r="K2680">
        <v>1.119896</v>
      </c>
      <c r="L2680">
        <v>276.54840000000002</v>
      </c>
      <c r="M2680">
        <v>-0.77800689999999995</v>
      </c>
      <c r="N2680">
        <v>0</v>
      </c>
      <c r="O2680">
        <v>-0.6280789</v>
      </c>
      <c r="P2680">
        <v>-0.79645819999999901</v>
      </c>
      <c r="Q2680">
        <v>1.4124289999999999E-2</v>
      </c>
      <c r="R2680">
        <v>-0.60452850000000002</v>
      </c>
      <c r="S2680">
        <v>-1.8061830000000001</v>
      </c>
      <c r="T2680">
        <v>-0.32899990000000001</v>
      </c>
      <c r="U2680">
        <v>-2.6004939999999999</v>
      </c>
      <c r="V2680">
        <v>2.920114E-2</v>
      </c>
      <c r="W2680">
        <v>2.9745790000000001E-2</v>
      </c>
      <c r="X2680">
        <v>0.99913079999999999</v>
      </c>
      <c r="Y2680">
        <v>-0.28190599999999999</v>
      </c>
      <c r="Z2680">
        <v>5.3432889999999997E-2</v>
      </c>
      <c r="AA2680">
        <v>0.95795300000000005</v>
      </c>
      <c r="AB2680">
        <v>28</v>
      </c>
      <c r="AC2680">
        <v>-6.0437999999999699</v>
      </c>
      <c r="AD2680">
        <v>-1.1198999267509999</v>
      </c>
      <c r="AE2680">
        <v>-8.7608000000000104</v>
      </c>
      <c r="AF2680">
        <v>-2.98724170514215</v>
      </c>
      <c r="AG2680">
        <v>-1.1198999267509999</v>
      </c>
      <c r="AH2680">
        <v>10.093969529272499</v>
      </c>
      <c r="AI2680">
        <v>96.072650682886703</v>
      </c>
      <c r="AJ2680">
        <v>106.48576175013901</v>
      </c>
      <c r="AK2680">
        <v>10.586123450478</v>
      </c>
      <c r="AL2680">
        <v>88.295440235198697</v>
      </c>
      <c r="AM2680">
        <v>88.325918948608305</v>
      </c>
      <c r="AN2680">
        <v>0.99999993705432899</v>
      </c>
    </row>
    <row r="2681" spans="1:40" x14ac:dyDescent="0.25">
      <c r="A2681" t="str">
        <f>"20190312154848815"</f>
        <v>20190312154848815</v>
      </c>
      <c r="B2681" t="str">
        <f>"1552376928808855"</f>
        <v>1552376928808855</v>
      </c>
      <c r="C2681" t="s">
        <v>40</v>
      </c>
      <c r="D2681">
        <v>4.4781779999999998</v>
      </c>
      <c r="E2681">
        <v>0.37508459999999899</v>
      </c>
      <c r="F2681" t="s">
        <v>42</v>
      </c>
      <c r="G2681">
        <v>-491.56900000000002</v>
      </c>
      <c r="H2681" s="1">
        <v>-3.8590139999999998E-6</v>
      </c>
      <c r="I2681">
        <v>267.61149999999998</v>
      </c>
      <c r="J2681">
        <v>-485.6</v>
      </c>
      <c r="K2681">
        <v>1.1199460000000001</v>
      </c>
      <c r="L2681">
        <v>276.4554</v>
      </c>
      <c r="M2681">
        <v>-0.77370740000000005</v>
      </c>
      <c r="N2681">
        <v>0</v>
      </c>
      <c r="O2681">
        <v>-0.63336709999999996</v>
      </c>
      <c r="P2681">
        <v>-0.79256110000000002</v>
      </c>
      <c r="Q2681">
        <v>1.452754E-2</v>
      </c>
      <c r="R2681">
        <v>-0.60961969999999899</v>
      </c>
      <c r="S2681">
        <v>-1.7820739999999999</v>
      </c>
      <c r="T2681">
        <v>-0.32861200000000002</v>
      </c>
      <c r="U2681">
        <v>-2.6223749999999999</v>
      </c>
      <c r="V2681">
        <v>2.9590979999999999E-2</v>
      </c>
      <c r="W2681">
        <v>3.0176649999999999E-2</v>
      </c>
      <c r="X2681">
        <v>0.99910650000000001</v>
      </c>
      <c r="Y2681">
        <v>-0.28512090000000001</v>
      </c>
      <c r="Z2681">
        <v>5.3769320000000002E-2</v>
      </c>
      <c r="AA2681">
        <v>0.95698220000000001</v>
      </c>
      <c r="AB2681">
        <v>28</v>
      </c>
      <c r="AC2681">
        <v>-5.9689999999999896</v>
      </c>
      <c r="AD2681">
        <v>-1.11994985901399</v>
      </c>
      <c r="AE2681">
        <v>-8.8439000000000192</v>
      </c>
      <c r="AF2681">
        <v>-3.0289917321023001</v>
      </c>
      <c r="AG2681">
        <v>-1.11994985901399</v>
      </c>
      <c r="AH2681">
        <v>10.1094519668424</v>
      </c>
      <c r="AI2681">
        <v>96.057638728209895</v>
      </c>
      <c r="AJ2681">
        <v>106.67925568428799</v>
      </c>
      <c r="AK2681">
        <v>10.612732808741701</v>
      </c>
      <c r="AL2681">
        <v>88.270742842363603</v>
      </c>
      <c r="AM2681">
        <v>88.303541430017503</v>
      </c>
      <c r="AN2681">
        <v>1.0000000273224099</v>
      </c>
    </row>
    <row r="2682" spans="1:40" x14ac:dyDescent="0.25">
      <c r="A2682" t="str">
        <f>"20190312154848826"</f>
        <v>20190312154848826</v>
      </c>
      <c r="B2682" t="str">
        <f>"1552376928818615"</f>
        <v>1552376928818615</v>
      </c>
      <c r="C2682" t="s">
        <v>40</v>
      </c>
      <c r="D2682">
        <v>4.4532699999999998</v>
      </c>
      <c r="E2682">
        <v>0.37421939999999998</v>
      </c>
      <c r="F2682" t="s">
        <v>42</v>
      </c>
      <c r="G2682">
        <v>-491.5908</v>
      </c>
      <c r="H2682" s="1">
        <v>-3.8027640000000001E-6</v>
      </c>
      <c r="I2682">
        <v>267.46679999999998</v>
      </c>
      <c r="J2682">
        <v>-485.70030000000003</v>
      </c>
      <c r="K2682">
        <v>1.119993</v>
      </c>
      <c r="L2682">
        <v>276.36540000000002</v>
      </c>
      <c r="M2682">
        <v>-0.76952169999999998</v>
      </c>
      <c r="N2682">
        <v>0</v>
      </c>
      <c r="O2682">
        <v>-0.63844579999999995</v>
      </c>
      <c r="P2682">
        <v>-0.78855249999999999</v>
      </c>
      <c r="Q2682">
        <v>1.471168E-2</v>
      </c>
      <c r="R2682">
        <v>-0.61479130000000004</v>
      </c>
      <c r="S2682">
        <v>-1.76004</v>
      </c>
      <c r="T2682">
        <v>-0.32902940000000003</v>
      </c>
      <c r="U2682">
        <v>-2.6407470000000002</v>
      </c>
      <c r="V2682">
        <v>2.9620489999999999E-2</v>
      </c>
      <c r="W2682">
        <v>3.0378260000000001E-2</v>
      </c>
      <c r="X2682">
        <v>0.99909950000000003</v>
      </c>
      <c r="Y2682">
        <v>-0.2874313</v>
      </c>
      <c r="Z2682">
        <v>5.4276270000000001E-2</v>
      </c>
      <c r="AA2682">
        <v>0.95626219999999995</v>
      </c>
      <c r="AB2682">
        <v>28</v>
      </c>
      <c r="AC2682">
        <v>-5.8904999999999701</v>
      </c>
      <c r="AD2682">
        <v>-1.1199968027639999</v>
      </c>
      <c r="AE2682">
        <v>-8.8986000000000391</v>
      </c>
      <c r="AF2682">
        <v>-3.0536108060527098</v>
      </c>
      <c r="AG2682">
        <v>-1.1199968027639999</v>
      </c>
      <c r="AH2682">
        <v>10.1039891895542</v>
      </c>
      <c r="AI2682">
        <v>96.056829470688996</v>
      </c>
      <c r="AJ2682">
        <v>106.81577964311001</v>
      </c>
      <c r="AK2682">
        <v>10.6145903988648</v>
      </c>
      <c r="AL2682">
        <v>88.259186114638993</v>
      </c>
      <c r="AM2682">
        <v>88.301838713351501</v>
      </c>
      <c r="AN2682">
        <v>1.0000000115043499</v>
      </c>
    </row>
    <row r="2683" spans="1:40" x14ac:dyDescent="0.25">
      <c r="A2683" t="str">
        <f>"20190312154848837"</f>
        <v>20190312154848837</v>
      </c>
      <c r="B2683" t="str">
        <f>"1552376928828376"</f>
        <v>1552376928828376</v>
      </c>
      <c r="C2683" t="s">
        <v>40</v>
      </c>
      <c r="D2683">
        <v>4.4857279999999999</v>
      </c>
      <c r="E2683">
        <v>0.37369150000000001</v>
      </c>
      <c r="F2683" t="s">
        <v>42</v>
      </c>
      <c r="G2683">
        <v>-491.61779999999999</v>
      </c>
      <c r="H2683" s="1">
        <v>-3.7450070000000001E-6</v>
      </c>
      <c r="I2683">
        <v>267.31540000000001</v>
      </c>
      <c r="J2683">
        <v>-485.80160000000001</v>
      </c>
      <c r="K2683">
        <v>1.120042</v>
      </c>
      <c r="L2683">
        <v>276.27249999999998</v>
      </c>
      <c r="M2683">
        <v>-0.76516719999999905</v>
      </c>
      <c r="N2683">
        <v>0</v>
      </c>
      <c r="O2683">
        <v>-0.64365779999999995</v>
      </c>
      <c r="P2683">
        <v>-0.78451630000000006</v>
      </c>
      <c r="Q2683">
        <v>1.45544E-2</v>
      </c>
      <c r="R2683">
        <v>-0.61993739999999997</v>
      </c>
      <c r="S2683">
        <v>-1.738129</v>
      </c>
      <c r="T2683">
        <v>-0.32897009999999899</v>
      </c>
      <c r="U2683">
        <v>-2.6582029999999999</v>
      </c>
      <c r="V2683">
        <v>2.9871749999999999E-2</v>
      </c>
      <c r="W2683">
        <v>3.0245279999999999E-2</v>
      </c>
      <c r="X2683">
        <v>0.99909599999999998</v>
      </c>
      <c r="Y2683">
        <v>-0.28933880000000001</v>
      </c>
      <c r="Z2683">
        <v>5.4746620000000003E-2</v>
      </c>
      <c r="AA2683">
        <v>0.95565990000000001</v>
      </c>
      <c r="AB2683">
        <v>28</v>
      </c>
      <c r="AC2683">
        <v>-5.8161999999999798</v>
      </c>
      <c r="AD2683">
        <v>-1.120045745007</v>
      </c>
      <c r="AE2683">
        <v>-8.9570999999999596</v>
      </c>
      <c r="AF2683">
        <v>-3.0765462846939999</v>
      </c>
      <c r="AG2683">
        <v>-1.120045745007</v>
      </c>
      <c r="AH2683">
        <v>10.1056655509446</v>
      </c>
      <c r="AI2683">
        <v>96.0523901945771</v>
      </c>
      <c r="AJ2683">
        <v>106.932229472085</v>
      </c>
      <c r="AK2683">
        <v>10.622811103484899</v>
      </c>
      <c r="AL2683">
        <v>88.266808716915094</v>
      </c>
      <c r="AM2683">
        <v>88.287436365978195</v>
      </c>
      <c r="AN2683">
        <v>0.99999995781316897</v>
      </c>
    </row>
    <row r="2684" spans="1:40" x14ac:dyDescent="0.25">
      <c r="A2684" t="str">
        <f>"20190312154848848"</f>
        <v>20190312154848848</v>
      </c>
      <c r="B2684" t="str">
        <f>"1552376928838135"</f>
        <v>1552376928838135</v>
      </c>
      <c r="C2684" t="s">
        <v>40</v>
      </c>
      <c r="D2684">
        <v>4.4281389999999998</v>
      </c>
      <c r="E2684">
        <v>0.37320989999999998</v>
      </c>
      <c r="F2684" t="s">
        <v>42</v>
      </c>
      <c r="G2684">
        <v>-491.6284</v>
      </c>
      <c r="H2684" s="1">
        <v>-3.7014740000000002E-6</v>
      </c>
      <c r="I2684">
        <v>267.20729999999998</v>
      </c>
      <c r="J2684">
        <v>-485.90140000000002</v>
      </c>
      <c r="K2684">
        <v>1.1200969999999999</v>
      </c>
      <c r="L2684">
        <v>276.18020000000001</v>
      </c>
      <c r="M2684">
        <v>-0.7608163</v>
      </c>
      <c r="N2684">
        <v>0</v>
      </c>
      <c r="O2684">
        <v>-0.64879449999999905</v>
      </c>
      <c r="P2684">
        <v>-0.78025059999999902</v>
      </c>
      <c r="Q2684">
        <v>1.479782E-2</v>
      </c>
      <c r="R2684">
        <v>-0.62529179999999995</v>
      </c>
      <c r="S2684">
        <v>-1.718018</v>
      </c>
      <c r="T2684">
        <v>-0.33024100000000001</v>
      </c>
      <c r="U2684">
        <v>-2.6728209999999999</v>
      </c>
      <c r="V2684">
        <v>2.974771E-2</v>
      </c>
      <c r="W2684">
        <v>3.050361E-2</v>
      </c>
      <c r="X2684">
        <v>0.99909190000000003</v>
      </c>
      <c r="Y2684">
        <v>-0.29038439999999999</v>
      </c>
      <c r="Z2684">
        <v>5.5487139999999997E-2</v>
      </c>
      <c r="AA2684">
        <v>0.95530000000000004</v>
      </c>
      <c r="AB2684">
        <v>28</v>
      </c>
      <c r="AC2684">
        <v>-5.7269999999999701</v>
      </c>
      <c r="AD2684">
        <v>-1.1201007014740001</v>
      </c>
      <c r="AE2684">
        <v>-8.9729000000000294</v>
      </c>
      <c r="AF2684">
        <v>-3.0773577523379401</v>
      </c>
      <c r="AG2684">
        <v>-1.1201007014740001</v>
      </c>
      <c r="AH2684">
        <v>10.068423395334801</v>
      </c>
      <c r="AI2684">
        <v>96.072876056507894</v>
      </c>
      <c r="AJ2684">
        <v>106.99548164021699</v>
      </c>
      <c r="AK2684">
        <v>10.587629856820699</v>
      </c>
      <c r="AL2684">
        <v>88.2520007571744</v>
      </c>
      <c r="AM2684">
        <v>88.294536443458099</v>
      </c>
      <c r="AN2684">
        <v>1.00000001055944</v>
      </c>
    </row>
    <row r="2685" spans="1:40" x14ac:dyDescent="0.25">
      <c r="A2685" t="str">
        <f>"20190312154848859"</f>
        <v>20190312154848859</v>
      </c>
      <c r="B2685" t="str">
        <f>"1552376928848871"</f>
        <v>1552376928848871</v>
      </c>
      <c r="C2685" t="s">
        <v>40</v>
      </c>
      <c r="D2685">
        <v>4.4677910000000001</v>
      </c>
      <c r="E2685">
        <v>0.37307889999999999</v>
      </c>
      <c r="F2685" t="s">
        <v>42</v>
      </c>
      <c r="G2685">
        <v>-491.66950000000003</v>
      </c>
      <c r="H2685" s="1">
        <v>-3.6435980000000001E-6</v>
      </c>
      <c r="I2685">
        <v>267.04700000000003</v>
      </c>
      <c r="J2685">
        <v>-486.00349999999997</v>
      </c>
      <c r="K2685">
        <v>1.120147</v>
      </c>
      <c r="L2685">
        <v>276.08420000000001</v>
      </c>
      <c r="M2685">
        <v>-0.75625659999999995</v>
      </c>
      <c r="N2685">
        <v>0</v>
      </c>
      <c r="O2685">
        <v>-0.65410349999999995</v>
      </c>
      <c r="P2685">
        <v>-0.77591499999999902</v>
      </c>
      <c r="Q2685">
        <v>1.4851410000000001E-2</v>
      </c>
      <c r="R2685">
        <v>-0.63066279999999997</v>
      </c>
      <c r="S2685">
        <v>-1.697357</v>
      </c>
      <c r="T2685">
        <v>-0.32960489999999998</v>
      </c>
      <c r="U2685">
        <v>-2.687592</v>
      </c>
      <c r="V2685">
        <v>2.9838030000000001E-2</v>
      </c>
      <c r="W2685">
        <v>3.0577960000000001E-2</v>
      </c>
      <c r="X2685">
        <v>0.9990869</v>
      </c>
      <c r="Y2685">
        <v>-0.2913191</v>
      </c>
      <c r="Z2685">
        <v>5.5935829999999999E-2</v>
      </c>
      <c r="AA2685">
        <v>0.95498919999999998</v>
      </c>
      <c r="AB2685">
        <v>28</v>
      </c>
      <c r="AC2685">
        <v>-5.6660000000000501</v>
      </c>
      <c r="AD2685">
        <v>-1.120150643598</v>
      </c>
      <c r="AE2685">
        <v>-9.0371999999999808</v>
      </c>
      <c r="AF2685">
        <v>-3.0945158413744802</v>
      </c>
      <c r="AG2685">
        <v>-1.120150643598</v>
      </c>
      <c r="AH2685">
        <v>10.086126476096499</v>
      </c>
      <c r="AI2685">
        <v>96.060602872646001</v>
      </c>
      <c r="AJ2685">
        <v>107.056492356481</v>
      </c>
      <c r="AK2685">
        <v>10.6094633723241</v>
      </c>
      <c r="AL2685">
        <v>88.247738768584597</v>
      </c>
      <c r="AM2685">
        <v>88.289352830897101</v>
      </c>
      <c r="AN2685">
        <v>0.99999997671182494</v>
      </c>
    </row>
    <row r="2686" spans="1:40" x14ac:dyDescent="0.25">
      <c r="A2686" t="str">
        <f>"20190312154848871"</f>
        <v>20190312154848871</v>
      </c>
      <c r="B2686" t="str">
        <f>"1552376928868391"</f>
        <v>1552376928868391</v>
      </c>
      <c r="C2686" t="s">
        <v>40</v>
      </c>
      <c r="D2686">
        <v>4.4342040000000003</v>
      </c>
      <c r="E2686">
        <v>0.37302059999999998</v>
      </c>
      <c r="F2686" t="s">
        <v>42</v>
      </c>
      <c r="G2686">
        <v>-491.70030000000003</v>
      </c>
      <c r="H2686" s="1">
        <v>-3.5962040000000001E-6</v>
      </c>
      <c r="I2686">
        <v>266.91739999999999</v>
      </c>
      <c r="J2686">
        <v>-486.09789999999998</v>
      </c>
      <c r="K2686">
        <v>1.1201939999999999</v>
      </c>
      <c r="L2686">
        <v>275.9941</v>
      </c>
      <c r="M2686">
        <v>-0.7519574</v>
      </c>
      <c r="N2686">
        <v>0</v>
      </c>
      <c r="O2686">
        <v>-0.65904110000000005</v>
      </c>
      <c r="P2686">
        <v>-0.77193769999999995</v>
      </c>
      <c r="Q2686">
        <v>1.501072E-2</v>
      </c>
      <c r="R2686">
        <v>-0.63552109999999995</v>
      </c>
      <c r="S2686">
        <v>-1.67807</v>
      </c>
      <c r="T2686">
        <v>-0.32995570000000002</v>
      </c>
      <c r="U2686">
        <v>-2.7001949999999999</v>
      </c>
      <c r="V2686">
        <v>3.009856E-2</v>
      </c>
      <c r="W2686">
        <v>3.076098E-2</v>
      </c>
      <c r="X2686">
        <v>0.99907349999999995</v>
      </c>
      <c r="Y2686">
        <v>-0.29199140000000001</v>
      </c>
      <c r="Z2686">
        <v>5.6534920000000002E-2</v>
      </c>
      <c r="AA2686">
        <v>0.95474859999999995</v>
      </c>
      <c r="AB2686">
        <v>28</v>
      </c>
      <c r="AC2686">
        <v>-5.6024000000000402</v>
      </c>
      <c r="AD2686">
        <v>-1.1201975962040001</v>
      </c>
      <c r="AE2686">
        <v>-9.0767000000000095</v>
      </c>
      <c r="AF2686">
        <v>-3.0992496341071898</v>
      </c>
      <c r="AG2686">
        <v>-1.1201975962040001</v>
      </c>
      <c r="AH2686">
        <v>10.0846047490454</v>
      </c>
      <c r="AI2686">
        <v>96.060892159964197</v>
      </c>
      <c r="AJ2686">
        <v>107.083494035207</v>
      </c>
      <c r="AK2686">
        <v>10.609403559744701</v>
      </c>
      <c r="AL2686">
        <v>88.237247617847302</v>
      </c>
      <c r="AM2686">
        <v>88.2744022197151</v>
      </c>
      <c r="AN2686">
        <v>1.0000000098034401</v>
      </c>
    </row>
    <row r="2687" spans="1:40" x14ac:dyDescent="0.25">
      <c r="A2687" t="str">
        <f>"20190312154848882"</f>
        <v>20190312154848882</v>
      </c>
      <c r="B2687" t="str">
        <f>"1552376928878151"</f>
        <v>1552376928878151</v>
      </c>
      <c r="C2687" t="s">
        <v>40</v>
      </c>
      <c r="D2687">
        <v>4.6788080000000001</v>
      </c>
      <c r="E2687">
        <v>0.37320999999999999</v>
      </c>
      <c r="F2687" t="s">
        <v>42</v>
      </c>
      <c r="G2687">
        <v>-491.79660000000001</v>
      </c>
      <c r="H2687" s="1">
        <v>-3.5254749999999999E-6</v>
      </c>
      <c r="I2687">
        <v>266.69279999999998</v>
      </c>
      <c r="J2687">
        <v>-486.19850000000002</v>
      </c>
      <c r="K2687">
        <v>1.1202430000000001</v>
      </c>
      <c r="L2687">
        <v>275.89710000000002</v>
      </c>
      <c r="M2687">
        <v>-0.74729579999999995</v>
      </c>
      <c r="N2687">
        <v>0</v>
      </c>
      <c r="O2687">
        <v>-0.66432199999999997</v>
      </c>
      <c r="P2687">
        <v>-0.7674453</v>
      </c>
      <c r="Q2687">
        <v>1.501187E-2</v>
      </c>
      <c r="R2687">
        <v>-0.64093859999999903</v>
      </c>
      <c r="S2687">
        <v>-1.6608579999999999</v>
      </c>
      <c r="T2687">
        <v>-0.3264745</v>
      </c>
      <c r="U2687">
        <v>-2.7108150000000002</v>
      </c>
      <c r="V2687">
        <v>3.010063E-2</v>
      </c>
      <c r="W2687">
        <v>3.0780999999999999E-2</v>
      </c>
      <c r="X2687">
        <v>0.99907279999999998</v>
      </c>
      <c r="Y2687">
        <v>-0.29132160000000001</v>
      </c>
      <c r="Z2687">
        <v>5.6580789999999999E-2</v>
      </c>
      <c r="AA2687">
        <v>0.95495050000000004</v>
      </c>
      <c r="AB2687">
        <v>28</v>
      </c>
      <c r="AC2687">
        <v>-5.5980999999999801</v>
      </c>
      <c r="AD2687">
        <v>-1.120246525475</v>
      </c>
      <c r="AE2687">
        <v>-9.2043000000000408</v>
      </c>
      <c r="AF2687">
        <v>-3.1259482783094499</v>
      </c>
      <c r="AG2687">
        <v>-1.120246525475</v>
      </c>
      <c r="AH2687">
        <v>10.189039984206699</v>
      </c>
      <c r="AI2687">
        <v>96.000370219591005</v>
      </c>
      <c r="AJ2687">
        <v>107.05576065264</v>
      </c>
      <c r="AK2687">
        <v>10.716484531611499</v>
      </c>
      <c r="AL2687">
        <v>88.236099975846003</v>
      </c>
      <c r="AM2687">
        <v>88.274282406726599</v>
      </c>
      <c r="AN2687">
        <v>0.99999998879361796</v>
      </c>
    </row>
    <row r="2688" spans="1:40" x14ac:dyDescent="0.25">
      <c r="A2688" t="str">
        <f>"20190312154848893"</f>
        <v>20190312154848893</v>
      </c>
      <c r="B2688" t="str">
        <f>"1552376928888887"</f>
        <v>1552376928888887</v>
      </c>
      <c r="C2688" t="s">
        <v>40</v>
      </c>
      <c r="D2688">
        <v>4.4363720000000004</v>
      </c>
      <c r="E2688">
        <v>0.373423</v>
      </c>
      <c r="F2688" t="s">
        <v>42</v>
      </c>
      <c r="G2688">
        <v>-491.85070000000002</v>
      </c>
      <c r="H2688" s="1">
        <v>-3.4722879999999999E-6</v>
      </c>
      <c r="I2688">
        <v>266.53519999999997</v>
      </c>
      <c r="J2688">
        <v>-486.29559999999998</v>
      </c>
      <c r="K2688">
        <v>1.120288</v>
      </c>
      <c r="L2688">
        <v>275.80149999999998</v>
      </c>
      <c r="M2688">
        <v>-0.74267759999999905</v>
      </c>
      <c r="N2688">
        <v>0</v>
      </c>
      <c r="O2688">
        <v>-0.66948050000000003</v>
      </c>
      <c r="P2688">
        <v>-0.76325980000000004</v>
      </c>
      <c r="Q2688">
        <v>1.483304E-2</v>
      </c>
      <c r="R2688">
        <v>-0.64592130000000003</v>
      </c>
      <c r="S2688">
        <v>-1.6428830000000001</v>
      </c>
      <c r="T2688">
        <v>-0.32560830000000002</v>
      </c>
      <c r="U2688">
        <v>-2.7210999999999999</v>
      </c>
      <c r="V2688">
        <v>3.0517610000000001E-2</v>
      </c>
      <c r="W2688">
        <v>3.062991E-2</v>
      </c>
      <c r="X2688">
        <v>0.99906479999999998</v>
      </c>
      <c r="Y2688">
        <v>-0.29092750000000001</v>
      </c>
      <c r="Z2688">
        <v>5.7053029999999998E-2</v>
      </c>
      <c r="AA2688">
        <v>0.95504250000000002</v>
      </c>
      <c r="AB2688">
        <v>28</v>
      </c>
      <c r="AC2688">
        <v>-5.5551000000000403</v>
      </c>
      <c r="AD2688">
        <v>-1.120291472288</v>
      </c>
      <c r="AE2688">
        <v>-9.2662999999999993</v>
      </c>
      <c r="AF2688">
        <v>-3.1295494784516</v>
      </c>
      <c r="AG2688">
        <v>-1.120291472288</v>
      </c>
      <c r="AH2688">
        <v>10.2205272589997</v>
      </c>
      <c r="AI2688">
        <v>95.983243375745303</v>
      </c>
      <c r="AJ2688">
        <v>107.02471132856</v>
      </c>
      <c r="AK2688">
        <v>10.7474792566868</v>
      </c>
      <c r="AL2688">
        <v>88.244760890439807</v>
      </c>
      <c r="AM2688">
        <v>88.250377027588698</v>
      </c>
      <c r="AN2688">
        <v>0.99999999525287997</v>
      </c>
    </row>
    <row r="2689" spans="1:40" x14ac:dyDescent="0.25">
      <c r="A2689" t="str">
        <f>"20190312154848904"</f>
        <v>20190312154848904</v>
      </c>
      <c r="B2689" t="str">
        <f>"1552376928898647"</f>
        <v>1552376928898647</v>
      </c>
      <c r="C2689" t="s">
        <v>40</v>
      </c>
      <c r="D2689">
        <v>4.446091</v>
      </c>
      <c r="E2689">
        <v>0.37367509999999998</v>
      </c>
      <c r="F2689" t="s">
        <v>42</v>
      </c>
      <c r="G2689">
        <v>-491.91930000000002</v>
      </c>
      <c r="H2689" s="1">
        <v>-3.4146409999999898E-6</v>
      </c>
      <c r="I2689">
        <v>266.35829999999999</v>
      </c>
      <c r="J2689">
        <v>-486.392</v>
      </c>
      <c r="K2689">
        <v>1.1203299999999901</v>
      </c>
      <c r="L2689">
        <v>275.70609999999999</v>
      </c>
      <c r="M2689">
        <v>-0.73803619999999903</v>
      </c>
      <c r="N2689">
        <v>0</v>
      </c>
      <c r="O2689">
        <v>-0.67459349999999996</v>
      </c>
      <c r="P2689">
        <v>-0.75915269999999901</v>
      </c>
      <c r="Q2689">
        <v>1.501456E-2</v>
      </c>
      <c r="R2689">
        <v>-0.65073959999999997</v>
      </c>
      <c r="S2689">
        <v>-1.626099</v>
      </c>
      <c r="T2689">
        <v>-0.3239301</v>
      </c>
      <c r="U2689">
        <v>-2.7304689999999998</v>
      </c>
      <c r="V2689">
        <v>3.1083090000000001E-2</v>
      </c>
      <c r="W2689">
        <v>3.084249E-2</v>
      </c>
      <c r="X2689">
        <v>0.99904079999999995</v>
      </c>
      <c r="Y2689">
        <v>-0.29009940000000001</v>
      </c>
      <c r="Z2689">
        <v>5.7393199999999998E-2</v>
      </c>
      <c r="AA2689">
        <v>0.95527399999999996</v>
      </c>
      <c r="AB2689">
        <v>28</v>
      </c>
      <c r="AC2689">
        <v>-5.5273000000000199</v>
      </c>
      <c r="AD2689">
        <v>-1.12033341464099</v>
      </c>
      <c r="AE2689">
        <v>-9.3477999999999994</v>
      </c>
      <c r="AF2689">
        <v>-3.1373026199157001</v>
      </c>
      <c r="AG2689">
        <v>-1.12033341464099</v>
      </c>
      <c r="AH2689">
        <v>10.2771086693242</v>
      </c>
      <c r="AI2689">
        <v>95.952299155744498</v>
      </c>
      <c r="AJ2689">
        <v>106.975907320205</v>
      </c>
      <c r="AK2689">
        <v>10.803553919428101</v>
      </c>
      <c r="AL2689">
        <v>88.232575149545696</v>
      </c>
      <c r="AM2689">
        <v>88.217935093974205</v>
      </c>
      <c r="AN2689">
        <v>0.99999996886899301</v>
      </c>
    </row>
    <row r="2690" spans="1:40" x14ac:dyDescent="0.25">
      <c r="A2690" t="str">
        <f>"20190312154848915"</f>
        <v>20190312154848915</v>
      </c>
      <c r="B2690" t="str">
        <f>"1552376928908408"</f>
        <v>1552376928908408</v>
      </c>
      <c r="C2690" t="s">
        <v>40</v>
      </c>
      <c r="D2690">
        <v>4.4312360000000002</v>
      </c>
      <c r="E2690">
        <v>0.37393310000000002</v>
      </c>
      <c r="F2690" t="s">
        <v>42</v>
      </c>
      <c r="G2690">
        <v>-492.00009999999997</v>
      </c>
      <c r="H2690" s="1">
        <v>-3.3543330000000001E-6</v>
      </c>
      <c r="I2690">
        <v>266.16759999999999</v>
      </c>
      <c r="J2690">
        <v>-486.48610000000002</v>
      </c>
      <c r="K2690">
        <v>1.1203719999999999</v>
      </c>
      <c r="L2690">
        <v>275.6105</v>
      </c>
      <c r="M2690">
        <v>-0.73337259999999904</v>
      </c>
      <c r="N2690">
        <v>0</v>
      </c>
      <c r="O2690">
        <v>-0.67966040000000005</v>
      </c>
      <c r="P2690">
        <v>-0.75501879999999999</v>
      </c>
      <c r="Q2690">
        <v>1.499549E-2</v>
      </c>
      <c r="R2690">
        <v>-0.655532</v>
      </c>
      <c r="S2690">
        <v>-1.610352</v>
      </c>
      <c r="T2690">
        <v>-0.32169930000000002</v>
      </c>
      <c r="U2690">
        <v>-2.7389220000000001</v>
      </c>
      <c r="V2690">
        <v>3.163709E-2</v>
      </c>
      <c r="W2690">
        <v>3.0854880000000001E-2</v>
      </c>
      <c r="X2690">
        <v>0.99902310000000005</v>
      </c>
      <c r="Y2690">
        <v>-0.28887940000000001</v>
      </c>
      <c r="Z2690">
        <v>5.764217E-2</v>
      </c>
      <c r="AA2690">
        <v>0.95562860000000005</v>
      </c>
      <c r="AB2690">
        <v>28</v>
      </c>
      <c r="AC2690">
        <v>-5.5139999999999496</v>
      </c>
      <c r="AD2690">
        <v>-1.120375354333</v>
      </c>
      <c r="AE2690">
        <v>-9.4428999999999998</v>
      </c>
      <c r="AF2690">
        <v>-3.1448624569310999</v>
      </c>
      <c r="AG2690">
        <v>-1.120375354333</v>
      </c>
      <c r="AH2690">
        <v>10.3542696542788</v>
      </c>
      <c r="AI2690">
        <v>95.911002596558504</v>
      </c>
      <c r="AJ2690">
        <v>106.89490763838199</v>
      </c>
      <c r="AK2690">
        <v>10.8791682072267</v>
      </c>
      <c r="AL2690">
        <v>88.231865045622598</v>
      </c>
      <c r="AM2690">
        <v>88.186161918498897</v>
      </c>
      <c r="AN2690">
        <v>1.00000004170854</v>
      </c>
    </row>
    <row r="2691" spans="1:40" x14ac:dyDescent="0.25">
      <c r="A2691" t="str">
        <f>"20190312154848926"</f>
        <v>20190312154848926</v>
      </c>
      <c r="B2691" t="str">
        <f>"1552376928918168"</f>
        <v>1552376928918168</v>
      </c>
      <c r="C2691" t="s">
        <v>40</v>
      </c>
      <c r="D2691">
        <v>4.411543</v>
      </c>
      <c r="E2691">
        <v>0.37428689999999998</v>
      </c>
      <c r="F2691" t="s">
        <v>42</v>
      </c>
      <c r="G2691">
        <v>-492.04689999999999</v>
      </c>
      <c r="H2691" s="1">
        <v>-3.3067430000000002E-6</v>
      </c>
      <c r="I2691">
        <v>266.02769999999998</v>
      </c>
      <c r="J2691">
        <v>-486.58170000000001</v>
      </c>
      <c r="K2691">
        <v>1.120414</v>
      </c>
      <c r="L2691">
        <v>275.51310000000001</v>
      </c>
      <c r="M2691">
        <v>-0.72858480000000003</v>
      </c>
      <c r="N2691">
        <v>0</v>
      </c>
      <c r="O2691">
        <v>-0.68479000000000001</v>
      </c>
      <c r="P2691">
        <v>-0.75056590000000001</v>
      </c>
      <c r="Q2691">
        <v>1.519149E-2</v>
      </c>
      <c r="R2691">
        <v>-0.66062109999999996</v>
      </c>
      <c r="S2691">
        <v>-1.59433</v>
      </c>
      <c r="T2691">
        <v>-0.32122309999999998</v>
      </c>
      <c r="U2691">
        <v>-2.7474980000000002</v>
      </c>
      <c r="V2691">
        <v>3.1883050000000003E-2</v>
      </c>
      <c r="W2691">
        <v>3.107412E-2</v>
      </c>
      <c r="X2691">
        <v>0.99900840000000002</v>
      </c>
      <c r="Y2691">
        <v>-0.28763820000000001</v>
      </c>
      <c r="Z2691">
        <v>5.8205149999999997E-2</v>
      </c>
      <c r="AA2691">
        <v>0.95596890000000001</v>
      </c>
      <c r="AB2691">
        <v>28</v>
      </c>
      <c r="AC2691">
        <v>-5.4651999999999799</v>
      </c>
      <c r="AD2691">
        <v>-1.1204173067430001</v>
      </c>
      <c r="AE2691">
        <v>-9.4854000000000198</v>
      </c>
      <c r="AF2691">
        <v>-3.1359147260403102</v>
      </c>
      <c r="AG2691">
        <v>-1.1204173067430001</v>
      </c>
      <c r="AH2691">
        <v>10.369932408002001</v>
      </c>
      <c r="AI2691">
        <v>95.904507439752607</v>
      </c>
      <c r="AJ2691">
        <v>106.82555536363699</v>
      </c>
      <c r="AK2691">
        <v>10.891501010272901</v>
      </c>
      <c r="AL2691">
        <v>88.219297341382898</v>
      </c>
      <c r="AM2691">
        <v>88.172043031699403</v>
      </c>
      <c r="AN2691">
        <v>0.99999995654081697</v>
      </c>
    </row>
    <row r="2692" spans="1:40" x14ac:dyDescent="0.25">
      <c r="A2692" t="str">
        <f>"20190312154848938"</f>
        <v>20190312154848938</v>
      </c>
      <c r="B2692" t="str">
        <f>"1552376928928903"</f>
        <v>1552376928928903</v>
      </c>
      <c r="C2692" t="s">
        <v>40</v>
      </c>
      <c r="D2692">
        <v>4.430021</v>
      </c>
      <c r="E2692">
        <v>0.3747837</v>
      </c>
      <c r="F2692" t="s">
        <v>42</v>
      </c>
      <c r="G2692">
        <v>-492.09519999999998</v>
      </c>
      <c r="H2692" s="1">
        <v>-3.2557969999999999E-6</v>
      </c>
      <c r="I2692">
        <v>265.87900000000002</v>
      </c>
      <c r="J2692">
        <v>-486.67860000000002</v>
      </c>
      <c r="K2692">
        <v>1.1204529999999999</v>
      </c>
      <c r="L2692">
        <v>275.41199999999998</v>
      </c>
      <c r="M2692">
        <v>-0.72359629999999997</v>
      </c>
      <c r="N2692">
        <v>0</v>
      </c>
      <c r="O2692">
        <v>-0.69005869999999903</v>
      </c>
      <c r="P2692">
        <v>-0.74609269999999905</v>
      </c>
      <c r="Q2692">
        <v>1.557441E-2</v>
      </c>
      <c r="R2692">
        <v>-0.66566029999999998</v>
      </c>
      <c r="S2692">
        <v>-1.5774539999999999</v>
      </c>
      <c r="T2692">
        <v>-0.32055899999999998</v>
      </c>
      <c r="U2692">
        <v>-2.7563780000000002</v>
      </c>
      <c r="V2692">
        <v>3.2386690000000003E-2</v>
      </c>
      <c r="W2692">
        <v>3.1486859999999998E-2</v>
      </c>
      <c r="X2692">
        <v>0.99897930000000001</v>
      </c>
      <c r="Y2692">
        <v>-0.28643750000000001</v>
      </c>
      <c r="Z2692">
        <v>5.8748010000000003E-2</v>
      </c>
      <c r="AA2692">
        <v>0.95629609999999998</v>
      </c>
      <c r="AB2692">
        <v>28</v>
      </c>
      <c r="AC2692">
        <v>-5.4165999999999599</v>
      </c>
      <c r="AD2692">
        <v>-1.1204562557969999</v>
      </c>
      <c r="AE2692">
        <v>-9.5330000000000101</v>
      </c>
      <c r="AF2692">
        <v>-3.1279658635838801</v>
      </c>
      <c r="AG2692">
        <v>-1.1204562557969999</v>
      </c>
      <c r="AH2692">
        <v>10.390448493026</v>
      </c>
      <c r="AI2692">
        <v>95.895339116058807</v>
      </c>
      <c r="AJ2692">
        <v>106.754023768479</v>
      </c>
      <c r="AK2692">
        <v>10.908758524741801</v>
      </c>
      <c r="AL2692">
        <v>88.195637546136993</v>
      </c>
      <c r="AM2692">
        <v>88.143133749414702</v>
      </c>
      <c r="AN2692">
        <v>0.99999998093515197</v>
      </c>
    </row>
    <row r="2693" spans="1:40" x14ac:dyDescent="0.25">
      <c r="A2693" t="str">
        <f>"20190312154848950"</f>
        <v>20190312154848950</v>
      </c>
      <c r="B2693" t="str">
        <f>"1552376928938663"</f>
        <v>1552376928938663</v>
      </c>
      <c r="C2693" t="s">
        <v>40</v>
      </c>
      <c r="D2693">
        <v>4.3766610000000004</v>
      </c>
      <c r="E2693">
        <v>0.37525350000000002</v>
      </c>
      <c r="F2693" t="s">
        <v>42</v>
      </c>
      <c r="G2693">
        <v>-492.14699999999999</v>
      </c>
      <c r="H2693" s="1">
        <v>-3.2072349999999999E-6</v>
      </c>
      <c r="I2693">
        <v>265.73360000000002</v>
      </c>
      <c r="J2693">
        <v>-486.77429999999998</v>
      </c>
      <c r="K2693">
        <v>1.120492</v>
      </c>
      <c r="L2693">
        <v>275.31110000000001</v>
      </c>
      <c r="M2693">
        <v>-0.71859139999999999</v>
      </c>
      <c r="N2693">
        <v>0</v>
      </c>
      <c r="O2693">
        <v>-0.69526860000000001</v>
      </c>
      <c r="P2693">
        <v>-0.74144790000000005</v>
      </c>
      <c r="Q2693">
        <v>1.582068E-2</v>
      </c>
      <c r="R2693">
        <v>-0.67082410000000003</v>
      </c>
      <c r="S2693">
        <v>-1.5616760000000001</v>
      </c>
      <c r="T2693">
        <v>-0.31998130000000002</v>
      </c>
      <c r="U2693">
        <v>-2.7639469999999999</v>
      </c>
      <c r="V2693">
        <v>3.2655839999999998E-2</v>
      </c>
      <c r="W2693">
        <v>3.1756609999999998E-2</v>
      </c>
      <c r="X2693">
        <v>0.99896200000000002</v>
      </c>
      <c r="Y2693">
        <v>-0.28478720000000002</v>
      </c>
      <c r="Z2693">
        <v>5.9324330000000002E-2</v>
      </c>
      <c r="AA2693">
        <v>0.95675330000000003</v>
      </c>
      <c r="AB2693">
        <v>28</v>
      </c>
      <c r="AC2693">
        <v>-5.3727</v>
      </c>
      <c r="AD2693">
        <v>-1.1204952072350001</v>
      </c>
      <c r="AE2693">
        <v>-9.5774999999999793</v>
      </c>
      <c r="AF2693">
        <v>-3.1147703833103799</v>
      </c>
      <c r="AG2693">
        <v>-1.1204952072350001</v>
      </c>
      <c r="AH2693">
        <v>10.412505654506299</v>
      </c>
      <c r="AI2693">
        <v>95.886206064671697</v>
      </c>
      <c r="AJ2693">
        <v>106.65389356052501</v>
      </c>
      <c r="AK2693">
        <v>10.9260046702951</v>
      </c>
      <c r="AL2693">
        <v>88.180174277794507</v>
      </c>
      <c r="AM2693">
        <v>88.127680775498007</v>
      </c>
      <c r="AN2693">
        <v>0.99999998180439797</v>
      </c>
    </row>
    <row r="2694" spans="1:40" x14ac:dyDescent="0.25">
      <c r="A2694" t="str">
        <f>"20190312154848961"</f>
        <v>20190312154848961</v>
      </c>
      <c r="B2694" t="str">
        <f>"1552376928958183"</f>
        <v>1552376928958183</v>
      </c>
      <c r="C2694" t="s">
        <v>40</v>
      </c>
      <c r="D2694">
        <v>4.4091630000000004</v>
      </c>
      <c r="E2694">
        <v>0.37623440000000002</v>
      </c>
      <c r="F2694" t="s">
        <v>42</v>
      </c>
      <c r="G2694">
        <v>-492.19690000000003</v>
      </c>
      <c r="H2694" s="1">
        <v>-3.1557280000000001E-6</v>
      </c>
      <c r="I2694">
        <v>265.58260000000001</v>
      </c>
      <c r="J2694">
        <v>-486.87290000000002</v>
      </c>
      <c r="K2694">
        <v>1.1205290000000001</v>
      </c>
      <c r="L2694">
        <v>275.2056</v>
      </c>
      <c r="M2694">
        <v>-0.71333230000000003</v>
      </c>
      <c r="N2694">
        <v>0</v>
      </c>
      <c r="O2694">
        <v>-0.70066319999999904</v>
      </c>
      <c r="P2694">
        <v>-0.736402</v>
      </c>
      <c r="Q2694">
        <v>1.6001689999999999E-2</v>
      </c>
      <c r="R2694">
        <v>-0.67635509999999999</v>
      </c>
      <c r="S2694">
        <v>-1.5450740000000001</v>
      </c>
      <c r="T2694">
        <v>-0.31926310000000002</v>
      </c>
      <c r="U2694">
        <v>-2.7719420000000001</v>
      </c>
      <c r="V2694">
        <v>3.269466E-2</v>
      </c>
      <c r="W2694">
        <v>3.1955820000000003E-2</v>
      </c>
      <c r="X2694">
        <v>0.99895440000000002</v>
      </c>
      <c r="Y2694">
        <v>-0.28312199999999998</v>
      </c>
      <c r="Z2694">
        <v>5.9893059999999998E-2</v>
      </c>
      <c r="AA2694">
        <v>0.95721199999999995</v>
      </c>
      <c r="AB2694">
        <v>28</v>
      </c>
      <c r="AC2694">
        <v>-5.3240000000000096</v>
      </c>
      <c r="AD2694">
        <v>-1.1205321557279999</v>
      </c>
      <c r="AE2694">
        <v>-9.6229999999999905</v>
      </c>
      <c r="AF2694">
        <v>-3.10221819930885</v>
      </c>
      <c r="AG2694">
        <v>-1.1205321557279999</v>
      </c>
      <c r="AH2694">
        <v>10.4331554409997</v>
      </c>
      <c r="AI2694">
        <v>95.877698639159703</v>
      </c>
      <c r="AJ2694">
        <v>106.559439229695</v>
      </c>
      <c r="AK2694">
        <v>10.9421242235777</v>
      </c>
      <c r="AL2694">
        <v>88.168754630525697</v>
      </c>
      <c r="AM2694">
        <v>88.125442370533506</v>
      </c>
      <c r="AN2694">
        <v>1.00000000425187</v>
      </c>
    </row>
    <row r="2695" spans="1:40" x14ac:dyDescent="0.25">
      <c r="A2695" t="str">
        <f>"20190312154848973"</f>
        <v>20190312154848973</v>
      </c>
      <c r="B2695" t="str">
        <f>"1552376928968919"</f>
        <v>1552376928968919</v>
      </c>
      <c r="C2695" t="s">
        <v>40</v>
      </c>
      <c r="D2695">
        <v>4.4526859999999999</v>
      </c>
      <c r="E2695">
        <v>0.37633539999999999</v>
      </c>
      <c r="F2695" t="s">
        <v>42</v>
      </c>
      <c r="G2695">
        <v>-492.26979999999998</v>
      </c>
      <c r="H2695" s="1">
        <v>-3.0976580000000001E-6</v>
      </c>
      <c r="I2695">
        <v>265.40199999999999</v>
      </c>
      <c r="J2695">
        <v>-486.96850000000001</v>
      </c>
      <c r="K2695">
        <v>1.12056</v>
      </c>
      <c r="L2695">
        <v>275.10140000000001</v>
      </c>
      <c r="M2695">
        <v>-0.70811599999999997</v>
      </c>
      <c r="N2695">
        <v>0</v>
      </c>
      <c r="O2695">
        <v>-0.70593399999999995</v>
      </c>
      <c r="P2695">
        <v>-0.73136420000000002</v>
      </c>
      <c r="Q2695">
        <v>1.6141220000000001E-2</v>
      </c>
      <c r="R2695">
        <v>-0.68179630000000002</v>
      </c>
      <c r="S2695">
        <v>-1.5292969999999999</v>
      </c>
      <c r="T2695">
        <v>-0.31751889999999999</v>
      </c>
      <c r="U2695">
        <v>-2.7779850000000001</v>
      </c>
      <c r="V2695">
        <v>3.2688500000000002E-2</v>
      </c>
      <c r="W2695">
        <v>3.2110720000000002E-2</v>
      </c>
      <c r="X2695">
        <v>0.99894959999999999</v>
      </c>
      <c r="Y2695">
        <v>-0.2810646</v>
      </c>
      <c r="Z2695">
        <v>6.0289519999999999E-2</v>
      </c>
      <c r="AA2695">
        <v>0.95779320000000001</v>
      </c>
      <c r="AB2695">
        <v>28</v>
      </c>
      <c r="AC2695">
        <v>-5.3012999999999604</v>
      </c>
      <c r="AD2695">
        <v>-1.1205630976579899</v>
      </c>
      <c r="AE2695">
        <v>-9.6994000000000202</v>
      </c>
      <c r="AF2695">
        <v>-3.0944883194032502</v>
      </c>
      <c r="AG2695">
        <v>-1.1205630976579899</v>
      </c>
      <c r="AH2695">
        <v>10.4944342493267</v>
      </c>
      <c r="AI2695">
        <v>95.847684203504897</v>
      </c>
      <c r="AJ2695">
        <v>106.429179174753</v>
      </c>
      <c r="AK2695">
        <v>10.9983939658569</v>
      </c>
      <c r="AL2695">
        <v>88.159874893972301</v>
      </c>
      <c r="AM2695">
        <v>88.125786304754598</v>
      </c>
      <c r="AN2695">
        <v>0.99999996985566297</v>
      </c>
    </row>
    <row r="2696" spans="1:40" x14ac:dyDescent="0.25">
      <c r="A2696" t="str">
        <f>"20190312154848986"</f>
        <v>20190312154848986</v>
      </c>
      <c r="B2696" t="str">
        <f>"1552376928978679"</f>
        <v>1552376928978679</v>
      </c>
      <c r="C2696" t="s">
        <v>40</v>
      </c>
      <c r="D2696">
        <v>4.4280970000000002</v>
      </c>
      <c r="E2696">
        <v>0.37633539999999999</v>
      </c>
      <c r="F2696" t="s">
        <v>42</v>
      </c>
      <c r="G2696">
        <v>-492.31009999999998</v>
      </c>
      <c r="H2696" s="1">
        <v>-3.0336130000000002E-6</v>
      </c>
      <c r="I2696">
        <v>265.2278</v>
      </c>
      <c r="J2696">
        <v>-487.07299999999998</v>
      </c>
      <c r="K2696">
        <v>1.1205879999999999</v>
      </c>
      <c r="L2696">
        <v>274.98630000000003</v>
      </c>
      <c r="M2696">
        <v>-0.70232410000000001</v>
      </c>
      <c r="N2696">
        <v>0</v>
      </c>
      <c r="O2696">
        <v>-0.71169629999999995</v>
      </c>
      <c r="P2696">
        <v>-0.72566390000000003</v>
      </c>
      <c r="Q2696">
        <v>1.6269410000000002E-2</v>
      </c>
      <c r="R2696">
        <v>-0.6878571</v>
      </c>
      <c r="S2696">
        <v>-1.5088809999999999</v>
      </c>
      <c r="T2696">
        <v>-0.31653249999999999</v>
      </c>
      <c r="U2696">
        <v>-2.7890630000000001</v>
      </c>
      <c r="V2696">
        <v>3.2532060000000002E-2</v>
      </c>
      <c r="W2696">
        <v>3.2250840000000003E-2</v>
      </c>
      <c r="X2696">
        <v>0.99895020000000001</v>
      </c>
      <c r="Y2696">
        <v>-0.28024870000000002</v>
      </c>
      <c r="Z2696">
        <v>6.0789379999999997E-2</v>
      </c>
      <c r="AA2696">
        <v>0.95800070000000004</v>
      </c>
      <c r="AB2696">
        <v>28</v>
      </c>
      <c r="AC2696">
        <v>-5.2370999999999404</v>
      </c>
      <c r="AD2696">
        <v>-1.1205910336129901</v>
      </c>
      <c r="AE2696">
        <v>-9.7585000000000193</v>
      </c>
      <c r="AF2696">
        <v>-3.0950766290543301</v>
      </c>
      <c r="AG2696">
        <v>-1.1205910336129901</v>
      </c>
      <c r="AH2696">
        <v>10.5167789073982</v>
      </c>
      <c r="AI2696">
        <v>95.836386457044298</v>
      </c>
      <c r="AJ2696">
        <v>106.399098887657</v>
      </c>
      <c r="AK2696">
        <v>11.019884853818899</v>
      </c>
      <c r="AL2696">
        <v>88.151842461730695</v>
      </c>
      <c r="AM2696">
        <v>88.134750649201607</v>
      </c>
      <c r="AN2696">
        <v>0.99999997684429398</v>
      </c>
    </row>
    <row r="2697" spans="1:40" x14ac:dyDescent="0.25">
      <c r="A2697" t="str">
        <f>"20190312154848999"</f>
        <v>20190312154848999</v>
      </c>
      <c r="B2697" t="str">
        <f>"1552376928988439"</f>
        <v>1552376928988439</v>
      </c>
      <c r="C2697" t="s">
        <v>40</v>
      </c>
      <c r="D2697">
        <v>4.3956869999999997</v>
      </c>
      <c r="E2697">
        <v>0.34868769999999999</v>
      </c>
      <c r="F2697" t="s">
        <v>42</v>
      </c>
      <c r="G2697">
        <v>-492.34500000000003</v>
      </c>
      <c r="H2697" s="1">
        <v>-2.9642430000000001E-6</v>
      </c>
      <c r="I2697">
        <v>265.0444</v>
      </c>
      <c r="J2697">
        <v>-487.18549999999999</v>
      </c>
      <c r="K2697">
        <v>1.1206179999999999</v>
      </c>
      <c r="L2697">
        <v>274.85930000000002</v>
      </c>
      <c r="M2697">
        <v>-0.69591639999999999</v>
      </c>
      <c r="N2697">
        <v>0</v>
      </c>
      <c r="O2697">
        <v>-0.71796289999999996</v>
      </c>
      <c r="P2697">
        <v>-0.71931849999999997</v>
      </c>
      <c r="Q2697">
        <v>1.6456040000000002E-2</v>
      </c>
      <c r="R2697">
        <v>-0.69448549999999998</v>
      </c>
      <c r="S2697">
        <v>-1.4856259999999999</v>
      </c>
      <c r="T2697">
        <v>-0.3157778</v>
      </c>
      <c r="U2697">
        <v>-2.8015750000000001</v>
      </c>
      <c r="V2697">
        <v>3.2311010000000001E-2</v>
      </c>
      <c r="W2697">
        <v>3.244814E-2</v>
      </c>
      <c r="X2697">
        <v>0.99895100000000003</v>
      </c>
      <c r="Y2697">
        <v>-0.27963389999999999</v>
      </c>
      <c r="Z2697">
        <v>6.1378370000000002E-2</v>
      </c>
      <c r="AA2697">
        <v>0.95814279999999996</v>
      </c>
      <c r="AB2697">
        <v>28</v>
      </c>
      <c r="AC2697">
        <v>-5.1595000000000297</v>
      </c>
      <c r="AD2697">
        <v>-1.1206209642430001</v>
      </c>
      <c r="AE2697">
        <v>-9.8149000000000193</v>
      </c>
      <c r="AF2697">
        <v>-3.0947704920257899</v>
      </c>
      <c r="AG2697">
        <v>-1.1206209642430001</v>
      </c>
      <c r="AH2697">
        <v>10.530976985773099</v>
      </c>
      <c r="AI2697">
        <v>95.829393813599097</v>
      </c>
      <c r="AJ2697">
        <v>106.376641725553</v>
      </c>
      <c r="AK2697">
        <v>11.033352709793</v>
      </c>
      <c r="AL2697">
        <v>88.140532112287801</v>
      </c>
      <c r="AM2697">
        <v>88.147417332637502</v>
      </c>
      <c r="AN2697">
        <v>0.99999999177883903</v>
      </c>
    </row>
    <row r="2698" spans="1:40" x14ac:dyDescent="0.25">
      <c r="A2698" t="str">
        <f>"20190312154849009"</f>
        <v>20190312154849009</v>
      </c>
      <c r="B2698" t="str">
        <f>"1552376928998199"</f>
        <v>1552376928998199</v>
      </c>
      <c r="C2698" t="s">
        <v>40</v>
      </c>
      <c r="D2698">
        <v>4.1686759999999996</v>
      </c>
      <c r="E2698">
        <v>0.3396691</v>
      </c>
      <c r="F2698" t="s">
        <v>42</v>
      </c>
      <c r="G2698">
        <v>-491.59030000000001</v>
      </c>
      <c r="H2698" s="1">
        <v>-2.670298E-6</v>
      </c>
      <c r="I2698">
        <v>264.82729999999998</v>
      </c>
      <c r="J2698">
        <v>-487.26310000000001</v>
      </c>
      <c r="K2698">
        <v>1.1206370000000001</v>
      </c>
      <c r="L2698">
        <v>274.77069999999998</v>
      </c>
      <c r="M2698">
        <v>-0.69142369999999898</v>
      </c>
      <c r="N2698">
        <v>0</v>
      </c>
      <c r="O2698">
        <v>-0.7222906</v>
      </c>
      <c r="P2698">
        <v>-0.71453109999999997</v>
      </c>
      <c r="Q2698">
        <v>1.6837410000000001E-2</v>
      </c>
      <c r="R2698">
        <v>-0.69940139999999995</v>
      </c>
      <c r="S2698">
        <v>-1.306152</v>
      </c>
      <c r="T2698">
        <v>-0.33229989999999998</v>
      </c>
      <c r="U2698">
        <v>-2.9748230000000002</v>
      </c>
      <c r="V2698">
        <v>3.1675740000000001E-2</v>
      </c>
      <c r="W2698">
        <v>3.282417E-2</v>
      </c>
      <c r="X2698">
        <v>0.99895909999999999</v>
      </c>
      <c r="Y2698">
        <v>-0.34364299999999998</v>
      </c>
      <c r="Z2698">
        <v>6.1099519999999997E-2</v>
      </c>
      <c r="AA2698">
        <v>0.93711069999999996</v>
      </c>
      <c r="AB2698">
        <v>28</v>
      </c>
      <c r="AC2698">
        <v>-4.3272000000000004</v>
      </c>
      <c r="AD2698">
        <v>-1.1206396702979999</v>
      </c>
      <c r="AE2698">
        <v>-9.9433999999999898</v>
      </c>
      <c r="AF2698">
        <v>-3.7104126313075998</v>
      </c>
      <c r="AG2698">
        <v>-1.1206396702979999</v>
      </c>
      <c r="AH2698">
        <v>10.0676066481085</v>
      </c>
      <c r="AI2698">
        <v>95.962579537747004</v>
      </c>
      <c r="AJ2698">
        <v>110.23134529195001</v>
      </c>
      <c r="AK2698">
        <v>10.7879422869355</v>
      </c>
      <c r="AL2698">
        <v>88.118975770793796</v>
      </c>
      <c r="AM2698">
        <v>88.183831224107905</v>
      </c>
      <c r="AN2698">
        <v>1.00000003105677</v>
      </c>
    </row>
    <row r="2699" spans="1:40" x14ac:dyDescent="0.25">
      <c r="A2699" t="str">
        <f>"20190312154849019"</f>
        <v>20190312154849019</v>
      </c>
      <c r="B2699" t="str">
        <f>"1552376929007959"</f>
        <v>1552376929007959</v>
      </c>
      <c r="C2699" t="s">
        <v>40</v>
      </c>
      <c r="D2699">
        <v>4.2023149999999996</v>
      </c>
      <c r="E2699">
        <v>0.33430290000000001</v>
      </c>
      <c r="F2699" t="s">
        <v>42</v>
      </c>
      <c r="G2699">
        <v>-491.92070000000001</v>
      </c>
      <c r="H2699" s="1">
        <v>-2.1246730000000001E-6</v>
      </c>
      <c r="I2699">
        <v>263.35050000000001</v>
      </c>
      <c r="J2699">
        <v>-487.346</v>
      </c>
      <c r="K2699">
        <v>1.1206560000000001</v>
      </c>
      <c r="L2699">
        <v>274.6746</v>
      </c>
      <c r="M2699">
        <v>-0.68654159999999997</v>
      </c>
      <c r="N2699">
        <v>0</v>
      </c>
      <c r="O2699">
        <v>-0.72693249999999998</v>
      </c>
      <c r="P2699">
        <v>-0.70955000000000001</v>
      </c>
      <c r="Q2699">
        <v>1.7140289999999999E-2</v>
      </c>
      <c r="R2699">
        <v>-0.70444659999999903</v>
      </c>
      <c r="S2699">
        <v>-1.2369380000000001</v>
      </c>
      <c r="T2699">
        <v>-0.29761549999999998</v>
      </c>
      <c r="U2699">
        <v>-3.0329280000000001</v>
      </c>
      <c r="V2699">
        <v>3.1312890000000003E-2</v>
      </c>
      <c r="W2699">
        <v>3.3127740000000003E-2</v>
      </c>
      <c r="X2699">
        <v>0.99896050000000003</v>
      </c>
      <c r="Y2699">
        <v>-0.36186760000000001</v>
      </c>
      <c r="Z2699">
        <v>5.4197839999999997E-2</v>
      </c>
      <c r="AA2699">
        <v>0.9306527</v>
      </c>
      <c r="AB2699">
        <v>28</v>
      </c>
      <c r="AC2699">
        <v>-4.5747</v>
      </c>
      <c r="AD2699">
        <v>-1.1206581246730001</v>
      </c>
      <c r="AE2699">
        <v>-11.3240999999999</v>
      </c>
      <c r="AF2699">
        <v>-4.4123293559296499</v>
      </c>
      <c r="AG2699">
        <v>-1.1206581246730001</v>
      </c>
      <c r="AH2699">
        <v>11.278922390845601</v>
      </c>
      <c r="AI2699">
        <v>95.286538378375099</v>
      </c>
      <c r="AJ2699">
        <v>111.36550300502</v>
      </c>
      <c r="AK2699">
        <v>12.163001902339399</v>
      </c>
      <c r="AL2699">
        <v>88.101572991483295</v>
      </c>
      <c r="AM2699">
        <v>88.204624509403402</v>
      </c>
      <c r="AN2699">
        <v>1.0000000123989501</v>
      </c>
    </row>
    <row r="2700" spans="1:40" x14ac:dyDescent="0.25">
      <c r="A2700" t="str">
        <f>"20190312154849029"</f>
        <v>20190312154849029</v>
      </c>
      <c r="B2700" t="str">
        <f>"1552376929018695"</f>
        <v>1552376929018695</v>
      </c>
      <c r="C2700" t="s">
        <v>40</v>
      </c>
      <c r="D2700">
        <v>4.2060409999999999</v>
      </c>
      <c r="E2700">
        <v>0.33181959999999999</v>
      </c>
      <c r="F2700" t="s">
        <v>42</v>
      </c>
      <c r="G2700">
        <v>-492.1148</v>
      </c>
      <c r="H2700" s="1">
        <v>-1.737397E-6</v>
      </c>
      <c r="I2700">
        <v>262.32740000000001</v>
      </c>
      <c r="J2700">
        <v>-487.42090000000002</v>
      </c>
      <c r="K2700">
        <v>1.1206689999999999</v>
      </c>
      <c r="L2700">
        <v>274.58679999999998</v>
      </c>
      <c r="M2700">
        <v>-0.68206769999999906</v>
      </c>
      <c r="N2700">
        <v>0</v>
      </c>
      <c r="O2700">
        <v>-0.73113139999999999</v>
      </c>
      <c r="P2700">
        <v>-0.70510830000000002</v>
      </c>
      <c r="Q2700">
        <v>1.7230559999999999E-2</v>
      </c>
      <c r="R2700">
        <v>-0.70889029999999997</v>
      </c>
      <c r="S2700">
        <v>-1.186035</v>
      </c>
      <c r="T2700">
        <v>-0.27872029999999998</v>
      </c>
      <c r="U2700">
        <v>-3.0708920000000002</v>
      </c>
      <c r="V2700">
        <v>3.1162019999999999E-2</v>
      </c>
      <c r="W2700">
        <v>3.322402E-2</v>
      </c>
      <c r="X2700">
        <v>0.99896200000000002</v>
      </c>
      <c r="Y2700">
        <v>-0.37340770000000001</v>
      </c>
      <c r="Z2700">
        <v>5.05783E-2</v>
      </c>
      <c r="AA2700">
        <v>0.92628750000000004</v>
      </c>
      <c r="AB2700">
        <v>28</v>
      </c>
      <c r="AC2700">
        <v>-4.6938999999999798</v>
      </c>
      <c r="AD2700">
        <v>-1.120670737397</v>
      </c>
      <c r="AE2700">
        <v>-12.2593999999999</v>
      </c>
      <c r="AF2700">
        <v>-4.8947784447404503</v>
      </c>
      <c r="AG2700">
        <v>-1.120670737397</v>
      </c>
      <c r="AH2700">
        <v>12.0781670073555</v>
      </c>
      <c r="AI2700">
        <v>94.914873761745</v>
      </c>
      <c r="AJ2700">
        <v>112.060664535382</v>
      </c>
      <c r="AK2700">
        <v>13.080400497780101</v>
      </c>
      <c r="AL2700">
        <v>88.096053477152296</v>
      </c>
      <c r="AM2700">
        <v>88.213271946862506</v>
      </c>
      <c r="AN2700">
        <v>0.99999999221972002</v>
      </c>
    </row>
    <row r="2701" spans="1:40" x14ac:dyDescent="0.25">
      <c r="A2701" t="str">
        <f>"20190312154849040"</f>
        <v>20190312154849040</v>
      </c>
      <c r="B2701" t="str">
        <f>"1552376929028456"</f>
        <v>1552376929028456</v>
      </c>
      <c r="C2701" t="s">
        <v>40</v>
      </c>
      <c r="D2701">
        <v>4.2341100000000003</v>
      </c>
      <c r="E2701">
        <v>0.33076100000000003</v>
      </c>
      <c r="F2701" t="s">
        <v>42</v>
      </c>
      <c r="G2701">
        <v>-492.28870000000001</v>
      </c>
      <c r="H2701" s="1">
        <v>-1.4406049999999999E-6</v>
      </c>
      <c r="I2701">
        <v>261.52769999999998</v>
      </c>
      <c r="J2701">
        <v>-487.50560000000002</v>
      </c>
      <c r="K2701">
        <v>1.120681</v>
      </c>
      <c r="L2701">
        <v>274.48599999999999</v>
      </c>
      <c r="M2701">
        <v>-0.67692280000000005</v>
      </c>
      <c r="N2701">
        <v>0</v>
      </c>
      <c r="O2701">
        <v>-0.73589740000000003</v>
      </c>
      <c r="P2701">
        <v>-0.69972780000000001</v>
      </c>
      <c r="Q2701">
        <v>1.6824329999999998E-2</v>
      </c>
      <c r="R2701">
        <v>-0.7142115</v>
      </c>
      <c r="S2701">
        <v>-1.1525570000000001</v>
      </c>
      <c r="T2701">
        <v>-0.26534210000000003</v>
      </c>
      <c r="U2701">
        <v>-3.0920100000000001</v>
      </c>
      <c r="V2701">
        <v>3.0617709999999999E-2</v>
      </c>
      <c r="W2701">
        <v>3.2812729999999998E-2</v>
      </c>
      <c r="X2701">
        <v>0.9989924</v>
      </c>
      <c r="Y2701">
        <v>-0.37775180000000003</v>
      </c>
      <c r="Z2701">
        <v>4.8378669999999999E-2</v>
      </c>
      <c r="AA2701">
        <v>0.92464210000000002</v>
      </c>
      <c r="AB2701">
        <v>28</v>
      </c>
      <c r="AC2701">
        <v>-4.7830999999999904</v>
      </c>
      <c r="AD2701">
        <v>-1.120682440605</v>
      </c>
      <c r="AE2701">
        <v>-12.958299999999999</v>
      </c>
      <c r="AF2701">
        <v>-5.2181543834064703</v>
      </c>
      <c r="AG2701">
        <v>-1.120682440605</v>
      </c>
      <c r="AH2701">
        <v>12.6916971663646</v>
      </c>
      <c r="AI2701">
        <v>94.668826326998499</v>
      </c>
      <c r="AJ2701">
        <v>112.349871828945</v>
      </c>
      <c r="AK2701">
        <v>13.768233048015</v>
      </c>
      <c r="AL2701">
        <v>88.119631467900007</v>
      </c>
      <c r="AM2701">
        <v>88.244514583863904</v>
      </c>
      <c r="AN2701">
        <v>0.99999996733672802</v>
      </c>
    </row>
    <row r="2702" spans="1:40" x14ac:dyDescent="0.25">
      <c r="A2702" t="str">
        <f>"20190312154849050"</f>
        <v>20190312154849050</v>
      </c>
      <c r="B2702" t="str">
        <f>"1552376929047976"</f>
        <v>1552376929047976</v>
      </c>
      <c r="C2702" t="s">
        <v>40</v>
      </c>
      <c r="D2702">
        <v>4.2877229999999997</v>
      </c>
      <c r="E2702">
        <v>0.33086700000000002</v>
      </c>
      <c r="F2702" t="s">
        <v>42</v>
      </c>
      <c r="G2702">
        <v>-492.27960000000002</v>
      </c>
      <c r="H2702" s="1">
        <v>-1.333192E-6</v>
      </c>
      <c r="I2702">
        <v>261.28300000000002</v>
      </c>
      <c r="J2702">
        <v>-487.58440000000002</v>
      </c>
      <c r="K2702">
        <v>1.1206830000000001</v>
      </c>
      <c r="L2702">
        <v>274.39089999999999</v>
      </c>
      <c r="M2702">
        <v>-0.67206080000000001</v>
      </c>
      <c r="N2702">
        <v>0</v>
      </c>
      <c r="O2702">
        <v>-0.74034009999999995</v>
      </c>
      <c r="P2702">
        <v>-0.69490350000000001</v>
      </c>
      <c r="Q2702">
        <v>1.5882230000000001E-2</v>
      </c>
      <c r="R2702">
        <v>-0.7189276</v>
      </c>
      <c r="S2702">
        <v>-1.123138</v>
      </c>
      <c r="T2702">
        <v>-0.263654</v>
      </c>
      <c r="U2702">
        <v>-3.1061709999999998</v>
      </c>
      <c r="V2702">
        <v>3.0481459999999998E-2</v>
      </c>
      <c r="W2702">
        <v>3.1875279999999999E-2</v>
      </c>
      <c r="X2702">
        <v>0.999027</v>
      </c>
      <c r="Y2702">
        <v>-0.38074849999999999</v>
      </c>
      <c r="Z2702">
        <v>4.8365909999999998E-2</v>
      </c>
      <c r="AA2702">
        <v>0.92341289999999998</v>
      </c>
      <c r="AB2702">
        <v>28</v>
      </c>
      <c r="AC2702">
        <v>-4.6951999999999998</v>
      </c>
      <c r="AD2702">
        <v>-1.120684333192</v>
      </c>
      <c r="AE2702">
        <v>-13.1078999999999</v>
      </c>
      <c r="AF2702">
        <v>-5.2995434756380204</v>
      </c>
      <c r="AG2702">
        <v>-1.120684333192</v>
      </c>
      <c r="AH2702">
        <v>12.7784630595125</v>
      </c>
      <c r="AI2702">
        <v>94.631447984427595</v>
      </c>
      <c r="AJ2702">
        <v>112.524989674777</v>
      </c>
      <c r="AK2702">
        <v>13.879128668189701</v>
      </c>
      <c r="AL2702">
        <v>88.173371667843298</v>
      </c>
      <c r="AM2702">
        <v>88.252382197736793</v>
      </c>
      <c r="AN2702">
        <v>1.0000000498038999</v>
      </c>
    </row>
    <row r="2703" spans="1:40" x14ac:dyDescent="0.25">
      <c r="A2703" t="str">
        <f>"20190312154849060"</f>
        <v>20190312154849060</v>
      </c>
      <c r="B2703" t="str">
        <f>"1552376929058712"</f>
        <v>1552376929058712</v>
      </c>
      <c r="C2703" t="s">
        <v>40</v>
      </c>
      <c r="D2703">
        <v>4.2828119999999998</v>
      </c>
      <c r="E2703">
        <v>0.33099600000000001</v>
      </c>
      <c r="F2703" t="s">
        <v>42</v>
      </c>
      <c r="G2703">
        <v>-492.2004</v>
      </c>
      <c r="H2703" s="1">
        <v>-1.344729E-6</v>
      </c>
      <c r="I2703">
        <v>261.35890000000001</v>
      </c>
      <c r="J2703">
        <v>-487.66320000000002</v>
      </c>
      <c r="K2703">
        <v>1.120687</v>
      </c>
      <c r="L2703">
        <v>274.29450000000003</v>
      </c>
      <c r="M2703">
        <v>-0.66711730000000002</v>
      </c>
      <c r="N2703">
        <v>0</v>
      </c>
      <c r="O2703">
        <v>-0.74479779999999995</v>
      </c>
      <c r="P2703">
        <v>-0.68991269999999905</v>
      </c>
      <c r="Q2703">
        <v>1.523468E-2</v>
      </c>
      <c r="R2703">
        <v>-0.72373259999999995</v>
      </c>
      <c r="S2703">
        <v>-1.1026609999999999</v>
      </c>
      <c r="T2703">
        <v>-0.26770290000000002</v>
      </c>
      <c r="U2703">
        <v>-3.1130070000000001</v>
      </c>
      <c r="V2703">
        <v>3.0226880000000001E-2</v>
      </c>
      <c r="W2703">
        <v>3.1228539999999999E-2</v>
      </c>
      <c r="X2703">
        <v>0.99905509999999997</v>
      </c>
      <c r="Y2703">
        <v>-0.38064690000000001</v>
      </c>
      <c r="Z2703">
        <v>4.9553680000000003E-2</v>
      </c>
      <c r="AA2703">
        <v>0.92339179999999998</v>
      </c>
      <c r="AB2703">
        <v>28</v>
      </c>
      <c r="AC2703">
        <v>-4.5371999999999799</v>
      </c>
      <c r="AD2703">
        <v>-1.1206883447289999</v>
      </c>
      <c r="AE2703">
        <v>-12.935600000000001</v>
      </c>
      <c r="AF2703">
        <v>-5.2160104303763504</v>
      </c>
      <c r="AG2703">
        <v>-1.1206883447289999</v>
      </c>
      <c r="AH2703">
        <v>12.5786422759272</v>
      </c>
      <c r="AI2703">
        <v>94.704798210384993</v>
      </c>
      <c r="AJ2703">
        <v>112.522415019207</v>
      </c>
      <c r="AK2703">
        <v>13.663270058135801</v>
      </c>
      <c r="AL2703">
        <v>88.210445489544796</v>
      </c>
      <c r="AM2703">
        <v>88.267018011664007</v>
      </c>
      <c r="AN2703">
        <v>0.99999998941053703</v>
      </c>
    </row>
    <row r="2704" spans="1:40" x14ac:dyDescent="0.25">
      <c r="A2704" t="str">
        <f>"20190312154849072"</f>
        <v>20190312154849072</v>
      </c>
      <c r="B2704" t="str">
        <f>"1552376929068473"</f>
        <v>1552376929068473</v>
      </c>
      <c r="C2704" t="s">
        <v>40</v>
      </c>
      <c r="D2704">
        <v>4.2818779999999999</v>
      </c>
      <c r="E2704">
        <v>0.331459</v>
      </c>
      <c r="F2704" t="s">
        <v>42</v>
      </c>
      <c r="G2704">
        <v>-492.11520000000002</v>
      </c>
      <c r="H2704" s="1">
        <v>-1.3633299999999999E-6</v>
      </c>
      <c r="I2704">
        <v>261.45519999999999</v>
      </c>
      <c r="J2704">
        <v>-487.7475</v>
      </c>
      <c r="K2704">
        <v>1.1206879999999999</v>
      </c>
      <c r="L2704">
        <v>274.18979999999999</v>
      </c>
      <c r="M2704">
        <v>-0.661748</v>
      </c>
      <c r="N2704">
        <v>0</v>
      </c>
      <c r="O2704">
        <v>-0.74957200000000002</v>
      </c>
      <c r="P2704">
        <v>-0.6846449</v>
      </c>
      <c r="Q2704">
        <v>1.5040970000000001E-2</v>
      </c>
      <c r="R2704">
        <v>-0.72872179999999998</v>
      </c>
      <c r="S2704">
        <v>-1.0817570000000001</v>
      </c>
      <c r="T2704">
        <v>-0.27230939999999998</v>
      </c>
      <c r="U2704">
        <v>-3.1197509999999999</v>
      </c>
      <c r="V2704">
        <v>3.016112E-2</v>
      </c>
      <c r="W2704">
        <v>3.104028E-2</v>
      </c>
      <c r="X2704">
        <v>0.99906300000000003</v>
      </c>
      <c r="Y2704">
        <v>-0.38016499999999998</v>
      </c>
      <c r="Z2704">
        <v>5.0904230000000002E-2</v>
      </c>
      <c r="AA2704">
        <v>0.92351680000000003</v>
      </c>
      <c r="AB2704">
        <v>28</v>
      </c>
      <c r="AC2704">
        <v>-4.3677000000000099</v>
      </c>
      <c r="AD2704">
        <v>-1.1206893633299999</v>
      </c>
      <c r="AE2704">
        <v>-12.7346</v>
      </c>
      <c r="AF2704">
        <v>-5.1183195427087496</v>
      </c>
      <c r="AG2704">
        <v>-1.1206893633299999</v>
      </c>
      <c r="AH2704">
        <v>12.351664913999</v>
      </c>
      <c r="AI2704">
        <v>94.791347843290197</v>
      </c>
      <c r="AJ2704">
        <v>112.508284191718</v>
      </c>
      <c r="AK2704">
        <v>13.4170326726169</v>
      </c>
      <c r="AL2704">
        <v>88.221237306104499</v>
      </c>
      <c r="AM2704">
        <v>88.270799569354693</v>
      </c>
      <c r="AN2704">
        <v>1.00000003505556</v>
      </c>
    </row>
    <row r="2705" spans="1:40" x14ac:dyDescent="0.25">
      <c r="A2705" t="str">
        <f>"20190312154849083"</f>
        <v>20190312154849083</v>
      </c>
      <c r="B2705" t="str">
        <f>"1552376929078231"</f>
        <v>1552376929078231</v>
      </c>
      <c r="C2705" t="s">
        <v>40</v>
      </c>
      <c r="D2705">
        <v>4.2771610000000004</v>
      </c>
      <c r="E2705">
        <v>0.33210460000000003</v>
      </c>
      <c r="F2705" t="s">
        <v>42</v>
      </c>
      <c r="G2705">
        <v>-492.0521</v>
      </c>
      <c r="H2705" s="1">
        <v>-1.3752739999999999E-6</v>
      </c>
      <c r="I2705">
        <v>261.52210000000002</v>
      </c>
      <c r="J2705">
        <v>-487.8349</v>
      </c>
      <c r="K2705">
        <v>1.1206940000000001</v>
      </c>
      <c r="L2705">
        <v>274.08019999999999</v>
      </c>
      <c r="M2705">
        <v>-0.65610429999999997</v>
      </c>
      <c r="N2705">
        <v>0</v>
      </c>
      <c r="O2705">
        <v>-0.75451689999999905</v>
      </c>
      <c r="P2705">
        <v>-0.67890340000000005</v>
      </c>
      <c r="Q2705">
        <v>1.494009E-2</v>
      </c>
      <c r="R2705">
        <v>-0.73407599999999995</v>
      </c>
      <c r="S2705">
        <v>-1.0618590000000001</v>
      </c>
      <c r="T2705">
        <v>-0.27644940000000001</v>
      </c>
      <c r="U2705">
        <v>-3.1248469999999999</v>
      </c>
      <c r="V2705">
        <v>2.9816800000000001E-2</v>
      </c>
      <c r="W2705">
        <v>3.0937329999999999E-2</v>
      </c>
      <c r="X2705">
        <v>0.99907650000000003</v>
      </c>
      <c r="Y2705">
        <v>-0.37897449999999999</v>
      </c>
      <c r="Z2705">
        <v>5.224144E-2</v>
      </c>
      <c r="AA2705">
        <v>0.92393139999999996</v>
      </c>
      <c r="AB2705">
        <v>28</v>
      </c>
      <c r="AC2705">
        <v>-4.2171999999999903</v>
      </c>
      <c r="AD2705">
        <v>-1.1206953752740001</v>
      </c>
      <c r="AE2705">
        <v>-12.5580999999999</v>
      </c>
      <c r="AF2705">
        <v>-5.0221174980049899</v>
      </c>
      <c r="AG2705">
        <v>-1.1206953752740001</v>
      </c>
      <c r="AH2705">
        <v>12.156635310135499</v>
      </c>
      <c r="AI2705">
        <v>94.87004164372</v>
      </c>
      <c r="AJ2705">
        <v>112.446371105209</v>
      </c>
      <c r="AK2705">
        <v>13.200810745994399</v>
      </c>
      <c r="AL2705">
        <v>88.227138689856503</v>
      </c>
      <c r="AM2705">
        <v>88.290551463846896</v>
      </c>
      <c r="AN2705">
        <v>1.000000006401</v>
      </c>
    </row>
    <row r="2706" spans="1:40" x14ac:dyDescent="0.25">
      <c r="A2706" t="str">
        <f>"20190312154849093"</f>
        <v>20190312154849093</v>
      </c>
      <c r="B2706" t="str">
        <f>"1552376929087991"</f>
        <v>1552376929087991</v>
      </c>
      <c r="C2706" t="s">
        <v>40</v>
      </c>
      <c r="D2706">
        <v>4.3013009999999996</v>
      </c>
      <c r="E2706">
        <v>0.33300570000000002</v>
      </c>
      <c r="F2706" t="s">
        <v>42</v>
      </c>
      <c r="G2706">
        <v>-492.02510000000001</v>
      </c>
      <c r="H2706" s="1">
        <v>-1.3521219999999999E-6</v>
      </c>
      <c r="I2706">
        <v>261.48500000000001</v>
      </c>
      <c r="J2706">
        <v>-487.91359999999997</v>
      </c>
      <c r="K2706">
        <v>1.1206929999999999</v>
      </c>
      <c r="L2706">
        <v>273.97910000000002</v>
      </c>
      <c r="M2706">
        <v>-0.6509083</v>
      </c>
      <c r="N2706">
        <v>0</v>
      </c>
      <c r="O2706">
        <v>-0.75900409999999996</v>
      </c>
      <c r="P2706">
        <v>-0.673782199999999</v>
      </c>
      <c r="Q2706">
        <v>1.502072E-2</v>
      </c>
      <c r="R2706">
        <v>-0.73877789999999999</v>
      </c>
      <c r="S2706">
        <v>-1.0411379999999999</v>
      </c>
      <c r="T2706">
        <v>-0.27846259999999901</v>
      </c>
      <c r="U2706">
        <v>-3.129578</v>
      </c>
      <c r="V2706">
        <v>2.9727670000000001E-2</v>
      </c>
      <c r="W2706">
        <v>3.1020260000000001E-2</v>
      </c>
      <c r="X2706">
        <v>0.99907659999999998</v>
      </c>
      <c r="Y2706">
        <v>-0.37855739999999999</v>
      </c>
      <c r="Z2706">
        <v>5.3129370000000002E-2</v>
      </c>
      <c r="AA2706">
        <v>0.92405170000000003</v>
      </c>
      <c r="AB2706">
        <v>28</v>
      </c>
      <c r="AC2706">
        <v>-4.1115000000000297</v>
      </c>
      <c r="AD2706">
        <v>-1.1206943521220001</v>
      </c>
      <c r="AE2706">
        <v>-12.4941</v>
      </c>
      <c r="AF2706">
        <v>-4.9763214652275396</v>
      </c>
      <c r="AG2706">
        <v>-1.1206943521220001</v>
      </c>
      <c r="AH2706">
        <v>12.073043145067601</v>
      </c>
      <c r="AI2706">
        <v>94.905198247975207</v>
      </c>
      <c r="AJ2706">
        <v>112.400698416331</v>
      </c>
      <c r="AK2706">
        <v>13.1064145340679</v>
      </c>
      <c r="AL2706">
        <v>88.222384896604297</v>
      </c>
      <c r="AM2706">
        <v>88.295658592518095</v>
      </c>
      <c r="AN2706">
        <v>1.00000002178082</v>
      </c>
    </row>
    <row r="2707" spans="1:40" x14ac:dyDescent="0.25">
      <c r="A2707" t="str">
        <f>"20190312154849105"</f>
        <v>20190312154849105</v>
      </c>
      <c r="B2707" t="str">
        <f>"1552376929098727"</f>
        <v>1552376929098727</v>
      </c>
      <c r="C2707" t="s">
        <v>40</v>
      </c>
      <c r="D2707">
        <v>4.313917</v>
      </c>
      <c r="E2707">
        <v>0.33381650000000002</v>
      </c>
      <c r="F2707" t="s">
        <v>42</v>
      </c>
      <c r="G2707">
        <v>-491.98899999999998</v>
      </c>
      <c r="H2707" s="1">
        <v>-1.3571600000000001E-6</v>
      </c>
      <c r="I2707">
        <v>261.51900000000001</v>
      </c>
      <c r="J2707">
        <v>-487.9941</v>
      </c>
      <c r="K2707">
        <v>1.1206929999999999</v>
      </c>
      <c r="L2707">
        <v>273.87520000000001</v>
      </c>
      <c r="M2707">
        <v>-0.64554719999999999</v>
      </c>
      <c r="N2707">
        <v>0</v>
      </c>
      <c r="O2707">
        <v>-0.76356880000000005</v>
      </c>
      <c r="P2707">
        <v>-0.66853890000000005</v>
      </c>
      <c r="Q2707">
        <v>1.4907109999999999E-2</v>
      </c>
      <c r="R2707">
        <v>-0.74352790000000002</v>
      </c>
      <c r="S2707">
        <v>-1.024475</v>
      </c>
      <c r="T2707">
        <v>-0.28171790000000002</v>
      </c>
      <c r="U2707">
        <v>-3.1321720000000002</v>
      </c>
      <c r="V2707">
        <v>2.9696779999999999E-2</v>
      </c>
      <c r="W2707">
        <v>3.091064E-2</v>
      </c>
      <c r="X2707">
        <v>0.99908090000000005</v>
      </c>
      <c r="Y2707">
        <v>-0.37672299999999997</v>
      </c>
      <c r="Z2707">
        <v>5.4326329999999999E-2</v>
      </c>
      <c r="AA2707">
        <v>0.92473159999999999</v>
      </c>
      <c r="AB2707">
        <v>28</v>
      </c>
      <c r="AC2707">
        <v>-3.9949000000000199</v>
      </c>
      <c r="AD2707">
        <v>-1.1206943571600001</v>
      </c>
      <c r="AE2707">
        <v>-12.356199999999999</v>
      </c>
      <c r="AF2707">
        <v>-4.8902778936737104</v>
      </c>
      <c r="AG2707">
        <v>-1.1206943571600001</v>
      </c>
      <c r="AH2707">
        <v>11.926271883671401</v>
      </c>
      <c r="AI2707">
        <v>94.968987431096295</v>
      </c>
      <c r="AJ2707">
        <v>112.29571193995</v>
      </c>
      <c r="AK2707">
        <v>12.9385754533787</v>
      </c>
      <c r="AL2707">
        <v>88.228668644458395</v>
      </c>
      <c r="AM2707">
        <v>88.2974358530129</v>
      </c>
      <c r="AN2707">
        <v>1.00000000557619</v>
      </c>
    </row>
    <row r="2708" spans="1:40" x14ac:dyDescent="0.25">
      <c r="A2708" t="str">
        <f>"20190312154849116"</f>
        <v>20190312154849116</v>
      </c>
      <c r="B2708" t="str">
        <f>"1552376929108487"</f>
        <v>1552376929108487</v>
      </c>
      <c r="C2708" t="s">
        <v>40</v>
      </c>
      <c r="D2708">
        <v>4.276192</v>
      </c>
      <c r="E2708">
        <v>0.33466600000000002</v>
      </c>
      <c r="F2708" t="s">
        <v>42</v>
      </c>
      <c r="G2708">
        <v>-491.96350000000001</v>
      </c>
      <c r="H2708" s="1">
        <v>-1.3498030000000001E-6</v>
      </c>
      <c r="I2708">
        <v>261.51769999999999</v>
      </c>
      <c r="J2708">
        <v>-488.0752</v>
      </c>
      <c r="K2708">
        <v>1.1206879999999999</v>
      </c>
      <c r="L2708">
        <v>273.7679</v>
      </c>
      <c r="M2708">
        <v>-0.64002009999999998</v>
      </c>
      <c r="N2708">
        <v>0</v>
      </c>
      <c r="O2708">
        <v>-0.76820739999999998</v>
      </c>
      <c r="P2708">
        <v>-0.66306599999999905</v>
      </c>
      <c r="Q2708">
        <v>1.4819280000000001E-2</v>
      </c>
      <c r="R2708">
        <v>-0.74841459999999904</v>
      </c>
      <c r="S2708">
        <v>-1.0070190000000001</v>
      </c>
      <c r="T2708">
        <v>-0.28431420000000002</v>
      </c>
      <c r="U2708">
        <v>-3.13504</v>
      </c>
      <c r="V2708">
        <v>2.9578320000000002E-2</v>
      </c>
      <c r="W2708">
        <v>3.0823900000000001E-2</v>
      </c>
      <c r="X2708">
        <v>0.99908710000000001</v>
      </c>
      <c r="Y2708">
        <v>-0.37496610000000002</v>
      </c>
      <c r="Z2708">
        <v>5.541372E-2</v>
      </c>
      <c r="AA2708">
        <v>0.92538089999999995</v>
      </c>
      <c r="AB2708">
        <v>28</v>
      </c>
      <c r="AC2708">
        <v>-3.8883000000000099</v>
      </c>
      <c r="AD2708">
        <v>-1.1206893498029999</v>
      </c>
      <c r="AE2708">
        <v>-12.2502</v>
      </c>
      <c r="AF2708">
        <v>-4.8172888427079501</v>
      </c>
      <c r="AG2708">
        <v>-1.1206893498029999</v>
      </c>
      <c r="AH2708">
        <v>11.810862619521</v>
      </c>
      <c r="AI2708">
        <v>95.021074633938895</v>
      </c>
      <c r="AJ2708">
        <v>112.18904174172999</v>
      </c>
      <c r="AK2708">
        <v>12.804635575838899</v>
      </c>
      <c r="AL2708">
        <v>88.233640860295196</v>
      </c>
      <c r="AM2708">
        <v>88.304233899197399</v>
      </c>
      <c r="AN2708">
        <v>1.0000000116058201</v>
      </c>
    </row>
    <row r="2709" spans="1:40" x14ac:dyDescent="0.25">
      <c r="A2709" t="str">
        <f>"20190312154849129"</f>
        <v>20190312154849129</v>
      </c>
      <c r="B2709" t="str">
        <f>"1552376929118247"</f>
        <v>1552376929118247</v>
      </c>
      <c r="C2709" t="s">
        <v>40</v>
      </c>
      <c r="D2709">
        <v>4.5344179999999996</v>
      </c>
      <c r="E2709">
        <v>0.33566210000000002</v>
      </c>
      <c r="F2709" t="s">
        <v>42</v>
      </c>
      <c r="G2709">
        <v>-491.928</v>
      </c>
      <c r="H2709" s="1">
        <v>-1.3524019999999901E-6</v>
      </c>
      <c r="I2709">
        <v>261.54579999999999</v>
      </c>
      <c r="J2709">
        <v>-488.16849999999999</v>
      </c>
      <c r="K2709">
        <v>1.120682</v>
      </c>
      <c r="L2709">
        <v>273.6431</v>
      </c>
      <c r="M2709">
        <v>-0.63357450000000004</v>
      </c>
      <c r="N2709">
        <v>0</v>
      </c>
      <c r="O2709">
        <v>-0.773532</v>
      </c>
      <c r="P2709">
        <v>-0.65692410000000001</v>
      </c>
      <c r="Q2709">
        <v>1.468498E-2</v>
      </c>
      <c r="R2709">
        <v>-0.75381399999999998</v>
      </c>
      <c r="S2709">
        <v>-0.98916630000000005</v>
      </c>
      <c r="T2709">
        <v>-0.28772189999999997</v>
      </c>
      <c r="U2709">
        <v>-3.137848</v>
      </c>
      <c r="V2709">
        <v>2.9764639999999998E-2</v>
      </c>
      <c r="W2709">
        <v>3.0698070000000001E-2</v>
      </c>
      <c r="X2709">
        <v>0.99908540000000001</v>
      </c>
      <c r="Y2709">
        <v>-0.37225970000000003</v>
      </c>
      <c r="Z2709">
        <v>5.6776420000000001E-2</v>
      </c>
      <c r="AA2709">
        <v>0.9263903</v>
      </c>
      <c r="AB2709">
        <v>28</v>
      </c>
      <c r="AC2709">
        <v>-3.75950000000006</v>
      </c>
      <c r="AD2709">
        <v>-1.1206833524019999</v>
      </c>
      <c r="AE2709">
        <v>-12.097300000000001</v>
      </c>
      <c r="AF2709">
        <v>-4.7200581810812903</v>
      </c>
      <c r="AG2709">
        <v>-1.1206833524019999</v>
      </c>
      <c r="AH2709">
        <v>11.6497587361578</v>
      </c>
      <c r="AI2709">
        <v>95.094903143093802</v>
      </c>
      <c r="AJ2709">
        <v>112.055999712098</v>
      </c>
      <c r="AK2709">
        <v>12.619499158834699</v>
      </c>
      <c r="AL2709">
        <v>88.240853729900806</v>
      </c>
      <c r="AM2709">
        <v>88.2935553092926</v>
      </c>
      <c r="AN2709">
        <v>0.99999997089460602</v>
      </c>
    </row>
    <row r="2710" spans="1:40" x14ac:dyDescent="0.25">
      <c r="A2710" t="str">
        <f>"20190312154849139"</f>
        <v>20190312154849139</v>
      </c>
      <c r="B2710" t="str">
        <f>"1552376929128007"</f>
        <v>1552376929128007</v>
      </c>
      <c r="C2710" t="s">
        <v>40</v>
      </c>
      <c r="D2710">
        <v>4.3479469999999996</v>
      </c>
      <c r="E2710">
        <v>0.33669660000000001</v>
      </c>
      <c r="F2710" t="s">
        <v>42</v>
      </c>
      <c r="G2710">
        <v>-491.9246</v>
      </c>
      <c r="H2710" s="1">
        <v>-1.3221170000000001E-6</v>
      </c>
      <c r="I2710">
        <v>261.47730000000001</v>
      </c>
      <c r="J2710">
        <v>-488.2457</v>
      </c>
      <c r="K2710">
        <v>1.1206739999999999</v>
      </c>
      <c r="L2710">
        <v>273.53800000000001</v>
      </c>
      <c r="M2710">
        <v>-0.62814440000000005</v>
      </c>
      <c r="N2710">
        <v>0</v>
      </c>
      <c r="O2710">
        <v>-0.77794759999999996</v>
      </c>
      <c r="P2710">
        <v>-0.65162200000000003</v>
      </c>
      <c r="Q2710">
        <v>1.459208E-2</v>
      </c>
      <c r="R2710">
        <v>-0.75840350000000001</v>
      </c>
      <c r="S2710">
        <v>-0.96957400000000005</v>
      </c>
      <c r="T2710">
        <v>-0.28928739999999997</v>
      </c>
      <c r="U2710">
        <v>-3.1404109999999998</v>
      </c>
      <c r="V2710">
        <v>2.9753740000000001E-2</v>
      </c>
      <c r="W2710">
        <v>3.0607990000000002E-2</v>
      </c>
      <c r="X2710">
        <v>0.99908850000000005</v>
      </c>
      <c r="Y2710">
        <v>-0.37126169999999997</v>
      </c>
      <c r="Z2710">
        <v>5.7651260000000003E-2</v>
      </c>
      <c r="AA2710">
        <v>0.92673680000000003</v>
      </c>
      <c r="AB2710">
        <v>28</v>
      </c>
      <c r="AC2710">
        <v>-3.6788999999999898</v>
      </c>
      <c r="AD2710">
        <v>-1.1206753221170001</v>
      </c>
      <c r="AE2710">
        <v>-12.060699999999899</v>
      </c>
      <c r="AF2710">
        <v>-4.6774692619930596</v>
      </c>
      <c r="AG2710">
        <v>-1.1206753221170001</v>
      </c>
      <c r="AH2710">
        <v>11.603176114793699</v>
      </c>
      <c r="AI2710">
        <v>95.118826605037398</v>
      </c>
      <c r="AJ2710">
        <v>111.95533624741201</v>
      </c>
      <c r="AK2710">
        <v>12.5605862850988</v>
      </c>
      <c r="AL2710">
        <v>88.246017380635294</v>
      </c>
      <c r="AM2710">
        <v>88.294185140628599</v>
      </c>
      <c r="AN2710">
        <v>0.99999998246403798</v>
      </c>
    </row>
    <row r="2711" spans="1:40" x14ac:dyDescent="0.25">
      <c r="A2711" t="str">
        <f>"20190312154849152"</f>
        <v>20190312154849152</v>
      </c>
      <c r="B2711" t="str">
        <f>"1552376929148504"</f>
        <v>1552376929148504</v>
      </c>
      <c r="C2711" t="s">
        <v>40</v>
      </c>
      <c r="D2711">
        <v>4.309412</v>
      </c>
      <c r="E2711">
        <v>0.3376342</v>
      </c>
      <c r="F2711" t="s">
        <v>42</v>
      </c>
      <c r="G2711">
        <v>-491.90839999999997</v>
      </c>
      <c r="H2711" s="1">
        <v>-1.3162979999999999E-6</v>
      </c>
      <c r="I2711">
        <v>261.47379999999998</v>
      </c>
      <c r="J2711">
        <v>-488.32650000000001</v>
      </c>
      <c r="K2711">
        <v>1.120668</v>
      </c>
      <c r="L2711">
        <v>273.42630000000003</v>
      </c>
      <c r="M2711">
        <v>-0.62237240000000005</v>
      </c>
      <c r="N2711">
        <v>0</v>
      </c>
      <c r="O2711">
        <v>-0.78257290000000002</v>
      </c>
      <c r="P2711">
        <v>-0.64598769999999905</v>
      </c>
      <c r="Q2711">
        <v>1.4600899999999899E-2</v>
      </c>
      <c r="R2711">
        <v>-0.763208199999999</v>
      </c>
      <c r="S2711">
        <v>-0.95382690000000003</v>
      </c>
      <c r="T2711">
        <v>-0.29183949999999997</v>
      </c>
      <c r="U2711">
        <v>-3.1416930000000001</v>
      </c>
      <c r="V2711">
        <v>2.974591E-2</v>
      </c>
      <c r="W2711">
        <v>3.0618949999999999E-2</v>
      </c>
      <c r="X2711">
        <v>0.99908839999999999</v>
      </c>
      <c r="Y2711">
        <v>-0.36876569999999997</v>
      </c>
      <c r="Z2711">
        <v>5.8800329999999998E-2</v>
      </c>
      <c r="AA2711">
        <v>0.9276607</v>
      </c>
      <c r="AB2711">
        <v>28</v>
      </c>
      <c r="AC2711">
        <v>-3.5818999999999601</v>
      </c>
      <c r="AD2711">
        <v>-1.1206693162979999</v>
      </c>
      <c r="AE2711">
        <v>-11.952500000000001</v>
      </c>
      <c r="AF2711">
        <v>-4.5992466107451504</v>
      </c>
      <c r="AG2711">
        <v>-1.1206693162979999</v>
      </c>
      <c r="AH2711">
        <v>11.491625810284599</v>
      </c>
      <c r="AI2711">
        <v>95.173367463459101</v>
      </c>
      <c r="AJ2711">
        <v>111.812567887379</v>
      </c>
      <c r="AK2711">
        <v>12.4284525531758</v>
      </c>
      <c r="AL2711">
        <v>88.245389129108503</v>
      </c>
      <c r="AM2711">
        <v>88.294633607494006</v>
      </c>
      <c r="AN2711">
        <v>0.99999998513769495</v>
      </c>
    </row>
    <row r="2712" spans="1:40" x14ac:dyDescent="0.25">
      <c r="A2712" t="str">
        <f>"20190312154849164"</f>
        <v>20190312154849164</v>
      </c>
      <c r="B2712" t="str">
        <f>"1552376929158264"</f>
        <v>1552376929158264</v>
      </c>
      <c r="C2712" t="s">
        <v>40</v>
      </c>
      <c r="D2712">
        <v>4.2896359999999998</v>
      </c>
      <c r="E2712">
        <v>0.35559079999999998</v>
      </c>
      <c r="F2712" t="s">
        <v>42</v>
      </c>
      <c r="G2712">
        <v>-491.91019999999997</v>
      </c>
      <c r="H2712" s="1">
        <v>-1.2782169999999999E-6</v>
      </c>
      <c r="I2712">
        <v>261.38389999999998</v>
      </c>
      <c r="J2712">
        <v>-488.4117</v>
      </c>
      <c r="K2712">
        <v>1.1206609999999999</v>
      </c>
      <c r="L2712">
        <v>273.30709999999999</v>
      </c>
      <c r="M2712">
        <v>-0.6161972</v>
      </c>
      <c r="N2712">
        <v>0</v>
      </c>
      <c r="O2712">
        <v>-0.78744459999999905</v>
      </c>
      <c r="P2712">
        <v>-0.63991560000000003</v>
      </c>
      <c r="Q2712">
        <v>1.4589649999999999E-2</v>
      </c>
      <c r="R2712">
        <v>-0.76830690000000001</v>
      </c>
      <c r="S2712">
        <v>-0.93572999999999995</v>
      </c>
      <c r="T2712">
        <v>-0.29261959999999998</v>
      </c>
      <c r="U2712">
        <v>-3.144409</v>
      </c>
      <c r="V2712">
        <v>2.968349E-2</v>
      </c>
      <c r="W2712">
        <v>3.0608469999999999E-2</v>
      </c>
      <c r="X2712">
        <v>0.99909060000000005</v>
      </c>
      <c r="Y2712">
        <v>-0.36658590000000002</v>
      </c>
      <c r="Z2712">
        <v>5.960671E-2</v>
      </c>
      <c r="AA2712">
        <v>0.92847279999999999</v>
      </c>
      <c r="AB2712">
        <v>27</v>
      </c>
      <c r="AC2712">
        <v>-3.4984999999999702</v>
      </c>
      <c r="AD2712">
        <v>-1.1206622782169999</v>
      </c>
      <c r="AE2712">
        <v>-11.9232</v>
      </c>
      <c r="AF2712">
        <v>-4.5556454103997099</v>
      </c>
      <c r="AG2712">
        <v>-1.1206622782169999</v>
      </c>
      <c r="AH2712">
        <v>11.4528094369103</v>
      </c>
      <c r="AI2712">
        <v>95.195129488958003</v>
      </c>
      <c r="AJ2712">
        <v>111.69144387273499</v>
      </c>
      <c r="AK2712">
        <v>12.376454785005899</v>
      </c>
      <c r="AL2712">
        <v>88.245989909715803</v>
      </c>
      <c r="AM2712">
        <v>88.298213854729596</v>
      </c>
      <c r="AN2712">
        <v>1.00000000751134</v>
      </c>
    </row>
    <row r="2713" spans="1:40" x14ac:dyDescent="0.25">
      <c r="A2713" t="str">
        <f>"20190312154849174"</f>
        <v>20190312154849174</v>
      </c>
      <c r="B2713" t="str">
        <f>"1552376929168999"</f>
        <v>1552376929168999</v>
      </c>
      <c r="C2713" t="s">
        <v>40</v>
      </c>
      <c r="D2713">
        <v>4.3411160000000004</v>
      </c>
      <c r="E2713">
        <v>0.35606979999999999</v>
      </c>
      <c r="F2713" t="s">
        <v>42</v>
      </c>
      <c r="G2713">
        <v>-492.04599999999999</v>
      </c>
      <c r="H2713" s="1">
        <v>-1.753183E-6</v>
      </c>
      <c r="I2713">
        <v>262.40690000000001</v>
      </c>
      <c r="J2713">
        <v>-488.4864</v>
      </c>
      <c r="K2713">
        <v>1.120654</v>
      </c>
      <c r="L2713">
        <v>273.2002</v>
      </c>
      <c r="M2713">
        <v>-0.61066860000000001</v>
      </c>
      <c r="N2713">
        <v>0</v>
      </c>
      <c r="O2713">
        <v>-0.79173979999999999</v>
      </c>
      <c r="P2713">
        <v>-0.63446059999999904</v>
      </c>
      <c r="Q2713">
        <v>1.492654E-2</v>
      </c>
      <c r="R2713">
        <v>-0.77281140000000004</v>
      </c>
      <c r="S2713">
        <v>-1.0204770000000001</v>
      </c>
      <c r="T2713">
        <v>-0.31467489999999998</v>
      </c>
      <c r="U2713">
        <v>-3.06073</v>
      </c>
      <c r="V2713">
        <v>2.960175E-2</v>
      </c>
      <c r="W2713">
        <v>3.0943999999999999E-2</v>
      </c>
      <c r="X2713">
        <v>0.99908269999999999</v>
      </c>
      <c r="Y2713">
        <v>-0.32972990000000002</v>
      </c>
      <c r="Z2713">
        <v>6.6859269999999998E-2</v>
      </c>
      <c r="AA2713">
        <v>0.94170489999999996</v>
      </c>
      <c r="AB2713">
        <v>27</v>
      </c>
      <c r="AC2713">
        <v>-3.5595999999999801</v>
      </c>
      <c r="AD2713">
        <v>-1.1206557531829999</v>
      </c>
      <c r="AE2713">
        <v>-10.793299999999901</v>
      </c>
      <c r="AF2713">
        <v>-3.7369559783422899</v>
      </c>
      <c r="AG2713">
        <v>-1.1206557531829999</v>
      </c>
      <c r="AH2713">
        <v>10.6172341658273</v>
      </c>
      <c r="AI2713">
        <v>95.685830634449403</v>
      </c>
      <c r="AJ2713">
        <v>109.390577863462</v>
      </c>
      <c r="AK2713">
        <v>11.3113381451188</v>
      </c>
      <c r="AL2713">
        <v>88.226756364683695</v>
      </c>
      <c r="AM2713">
        <v>88.302883940279699</v>
      </c>
      <c r="AN2713">
        <v>1.0000000180891699</v>
      </c>
    </row>
    <row r="2714" spans="1:40" x14ac:dyDescent="0.25">
      <c r="A2714" t="str">
        <f>"20190312154849187"</f>
        <v>20190312154849187</v>
      </c>
      <c r="B2714" t="str">
        <f>"1552376929178759"</f>
        <v>1552376929178759</v>
      </c>
      <c r="C2714" t="s">
        <v>40</v>
      </c>
      <c r="D2714">
        <v>4.3621339999999904</v>
      </c>
      <c r="E2714">
        <v>0.357296</v>
      </c>
      <c r="F2714" t="s">
        <v>42</v>
      </c>
      <c r="G2714">
        <v>-492.00889999999998</v>
      </c>
      <c r="H2714" s="1">
        <v>-1.7480409999999999E-6</v>
      </c>
      <c r="I2714">
        <v>262.41789999999997</v>
      </c>
      <c r="J2714">
        <v>-488.57139999999998</v>
      </c>
      <c r="K2714">
        <v>1.120644</v>
      </c>
      <c r="L2714">
        <v>273.07749999999999</v>
      </c>
      <c r="M2714">
        <v>-0.60430450000000002</v>
      </c>
      <c r="N2714">
        <v>0</v>
      </c>
      <c r="O2714">
        <v>-0.79660769999999903</v>
      </c>
      <c r="P2714">
        <v>-0.62801619999999903</v>
      </c>
      <c r="Q2714">
        <v>1.5354670000000001E-2</v>
      </c>
      <c r="R2714">
        <v>-0.77804890000000004</v>
      </c>
      <c r="S2714">
        <v>-1.001587</v>
      </c>
      <c r="T2714">
        <v>-0.31864619999999999</v>
      </c>
      <c r="U2714">
        <v>-3.0658259999999999</v>
      </c>
      <c r="V2714">
        <v>2.9299530000000001E-2</v>
      </c>
      <c r="W2714">
        <v>3.1365799999999999E-2</v>
      </c>
      <c r="X2714">
        <v>0.99907849999999998</v>
      </c>
      <c r="Y2714">
        <v>-0.3278992</v>
      </c>
      <c r="Z2714">
        <v>6.8361980000000003E-2</v>
      </c>
      <c r="AA2714">
        <v>0.94223610000000002</v>
      </c>
      <c r="AB2714">
        <v>27</v>
      </c>
      <c r="AC2714">
        <v>-3.4375</v>
      </c>
      <c r="AD2714">
        <v>-1.1206457480409999</v>
      </c>
      <c r="AE2714">
        <v>-10.659599999999999</v>
      </c>
      <c r="AF2714">
        <v>-3.6670238706687899</v>
      </c>
      <c r="AG2714">
        <v>-1.1206457480409999</v>
      </c>
      <c r="AH2714">
        <v>10.465273103448199</v>
      </c>
      <c r="AI2714">
        <v>95.770603184934501</v>
      </c>
      <c r="AJ2714">
        <v>109.31042272162399</v>
      </c>
      <c r="AK2714">
        <v>11.1456203098084</v>
      </c>
      <c r="AL2714">
        <v>88.202577347720606</v>
      </c>
      <c r="AM2714">
        <v>88.320193664367196</v>
      </c>
      <c r="AN2714">
        <v>1.00000006251505</v>
      </c>
    </row>
    <row r="2715" spans="1:40" x14ac:dyDescent="0.25">
      <c r="A2715" t="str">
        <f>"20190312154849198"</f>
        <v>20190312154849198</v>
      </c>
      <c r="B2715" t="str">
        <f>"1552376929188520"</f>
        <v>1552376929188520</v>
      </c>
      <c r="C2715" t="s">
        <v>40</v>
      </c>
      <c r="D2715">
        <v>4.3532219999999997</v>
      </c>
      <c r="E2715">
        <v>0.3581763</v>
      </c>
      <c r="F2715" t="s">
        <v>42</v>
      </c>
      <c r="G2715">
        <v>-492.00020000000001</v>
      </c>
      <c r="H2715" s="1">
        <v>-1.72938799999999E-6</v>
      </c>
      <c r="I2715">
        <v>262.37979999999999</v>
      </c>
      <c r="J2715">
        <v>-488.64420000000001</v>
      </c>
      <c r="K2715">
        <v>1.120636</v>
      </c>
      <c r="L2715">
        <v>272.96980000000002</v>
      </c>
      <c r="M2715">
        <v>-0.59872969999999903</v>
      </c>
      <c r="N2715">
        <v>0</v>
      </c>
      <c r="O2715">
        <v>-0.80080589999999996</v>
      </c>
      <c r="P2715">
        <v>-0.62232790000000004</v>
      </c>
      <c r="Q2715">
        <v>1.5490530000000001E-2</v>
      </c>
      <c r="R2715">
        <v>-0.7826033</v>
      </c>
      <c r="S2715">
        <v>-0.98345950000000004</v>
      </c>
      <c r="T2715">
        <v>-0.3214264</v>
      </c>
      <c r="U2715">
        <v>-3.0683289999999999</v>
      </c>
      <c r="V2715">
        <v>2.898852E-2</v>
      </c>
      <c r="W2715">
        <v>3.1494010000000003E-2</v>
      </c>
      <c r="X2715">
        <v>0.99908350000000001</v>
      </c>
      <c r="Y2715">
        <v>-0.32659690000000002</v>
      </c>
      <c r="Z2715">
        <v>6.9572889999999998E-2</v>
      </c>
      <c r="AA2715">
        <v>0.94259970000000004</v>
      </c>
      <c r="AB2715">
        <v>27</v>
      </c>
      <c r="AC2715">
        <v>-3.3559999999999901</v>
      </c>
      <c r="AD2715">
        <v>-1.1206377293880001</v>
      </c>
      <c r="AE2715">
        <v>-10.59</v>
      </c>
      <c r="AF2715">
        <v>-3.6166647614804002</v>
      </c>
      <c r="AG2715">
        <v>-1.1206377293880001</v>
      </c>
      <c r="AH2715">
        <v>10.385409885136401</v>
      </c>
      <c r="AI2715">
        <v>95.818509306663998</v>
      </c>
      <c r="AJ2715">
        <v>109.200405425702</v>
      </c>
      <c r="AK2715">
        <v>11.054086637970199</v>
      </c>
      <c r="AL2715">
        <v>88.195227754814894</v>
      </c>
      <c r="AM2715">
        <v>88.338022808876602</v>
      </c>
      <c r="AN2715">
        <v>1.00000002346496</v>
      </c>
    </row>
    <row r="2716" spans="1:40" x14ac:dyDescent="0.25">
      <c r="A2716" t="str">
        <f>"20190312154849207"</f>
        <v>20190312154849207</v>
      </c>
      <c r="B2716" t="str">
        <f>"1552376929198280"</f>
        <v>1552376929198280</v>
      </c>
      <c r="C2716" t="s">
        <v>40</v>
      </c>
      <c r="D2716">
        <v>4.3913479999999998</v>
      </c>
      <c r="E2716">
        <v>0.35935539999999999</v>
      </c>
      <c r="F2716" t="s">
        <v>42</v>
      </c>
      <c r="G2716">
        <v>-492.0102</v>
      </c>
      <c r="H2716" s="1">
        <v>-1.6889630000000001E-6</v>
      </c>
      <c r="I2716">
        <v>262.27940000000001</v>
      </c>
      <c r="J2716">
        <v>-488.70510000000002</v>
      </c>
      <c r="K2716">
        <v>1.12063</v>
      </c>
      <c r="L2716">
        <v>272.87920000000003</v>
      </c>
      <c r="M2716">
        <v>-0.59402100000000002</v>
      </c>
      <c r="N2716">
        <v>0</v>
      </c>
      <c r="O2716">
        <v>-0.80430500000000005</v>
      </c>
      <c r="P2716">
        <v>-0.61732469999999995</v>
      </c>
      <c r="Q2716">
        <v>1.5441649999999999E-2</v>
      </c>
      <c r="R2716">
        <v>-0.78655730000000001</v>
      </c>
      <c r="S2716">
        <v>-0.96688839999999998</v>
      </c>
      <c r="T2716">
        <v>-0.32190740000000001</v>
      </c>
      <c r="U2716">
        <v>-3.070862</v>
      </c>
      <c r="V2716">
        <v>2.8480419999999999E-2</v>
      </c>
      <c r="W2716">
        <v>3.1433000000000003E-2</v>
      </c>
      <c r="X2716">
        <v>0.99909999999999999</v>
      </c>
      <c r="Y2716">
        <v>-0.325909</v>
      </c>
      <c r="Z2716">
        <v>7.0180279999999998E-2</v>
      </c>
      <c r="AA2716">
        <v>0.94279270000000004</v>
      </c>
      <c r="AB2716">
        <v>27</v>
      </c>
      <c r="AC2716">
        <v>-3.3050999999999799</v>
      </c>
      <c r="AD2716">
        <v>-1.1206316889629999</v>
      </c>
      <c r="AE2716">
        <v>-10.5998</v>
      </c>
      <c r="AF2716">
        <v>-3.60192650740749</v>
      </c>
      <c r="AG2716">
        <v>-1.1206316889629999</v>
      </c>
      <c r="AH2716">
        <v>10.3842093585243</v>
      </c>
      <c r="AI2716">
        <v>95.821618129231297</v>
      </c>
      <c r="AJ2716">
        <v>109.129908286504</v>
      </c>
      <c r="AK2716">
        <v>11.0481443667584</v>
      </c>
      <c r="AL2716">
        <v>88.198725039502804</v>
      </c>
      <c r="AM2716">
        <v>88.367164368160999</v>
      </c>
      <c r="AN2716">
        <v>0.99999998890618802</v>
      </c>
    </row>
    <row r="2717" spans="1:40" x14ac:dyDescent="0.25">
      <c r="A2717" t="str">
        <f>"20190312154849216"</f>
        <v>20190312154849216</v>
      </c>
      <c r="B2717" t="str">
        <f>"1552376929208040"</f>
        <v>1552376929208040</v>
      </c>
      <c r="C2717" t="s">
        <v>40</v>
      </c>
      <c r="D2717">
        <v>4.3810989999999999</v>
      </c>
      <c r="E2717">
        <v>0.36018660000000002</v>
      </c>
      <c r="F2717" t="s">
        <v>42</v>
      </c>
      <c r="G2717">
        <v>-492.0333</v>
      </c>
      <c r="H2717" s="1">
        <v>-1.6494790000000001E-6</v>
      </c>
      <c r="I2717">
        <v>262.173</v>
      </c>
      <c r="J2717">
        <v>-488.77280000000002</v>
      </c>
      <c r="K2717">
        <v>1.120617</v>
      </c>
      <c r="L2717">
        <v>272.77620000000002</v>
      </c>
      <c r="M2717">
        <v>-0.58868860000000001</v>
      </c>
      <c r="N2717">
        <v>0</v>
      </c>
      <c r="O2717">
        <v>-0.8082163</v>
      </c>
      <c r="P2717">
        <v>-0.61207309999999904</v>
      </c>
      <c r="Q2717">
        <v>1.494327E-2</v>
      </c>
      <c r="R2717">
        <v>-0.79066029999999998</v>
      </c>
      <c r="S2717">
        <v>-0.95471189999999995</v>
      </c>
      <c r="T2717">
        <v>-0.32146049999999998</v>
      </c>
      <c r="U2717">
        <v>-3.0711360000000001</v>
      </c>
      <c r="V2717">
        <v>2.8442950000000002E-2</v>
      </c>
      <c r="W2717">
        <v>3.0934E-2</v>
      </c>
      <c r="X2717">
        <v>0.99911669999999997</v>
      </c>
      <c r="Y2717">
        <v>-0.3230944</v>
      </c>
      <c r="Z2717">
        <v>7.0723350000000004E-2</v>
      </c>
      <c r="AA2717">
        <v>0.94372040000000001</v>
      </c>
      <c r="AB2717">
        <v>27</v>
      </c>
      <c r="AC2717">
        <v>-3.2604999999999702</v>
      </c>
      <c r="AD2717">
        <v>-1.120618649479</v>
      </c>
      <c r="AE2717">
        <v>-10.603199999999999</v>
      </c>
      <c r="AF2717">
        <v>-3.5707735075301201</v>
      </c>
      <c r="AG2717">
        <v>-1.120618649479</v>
      </c>
      <c r="AH2717">
        <v>10.3843460681957</v>
      </c>
      <c r="AI2717">
        <v>95.826837112690797</v>
      </c>
      <c r="AJ2717">
        <v>108.976104655623</v>
      </c>
      <c r="AK2717">
        <v>11.0381544138362</v>
      </c>
      <c r="AL2717">
        <v>88.227329648137001</v>
      </c>
      <c r="AM2717">
        <v>88.369338674401803</v>
      </c>
      <c r="AN2717">
        <v>1.0000000469897901</v>
      </c>
    </row>
    <row r="2718" spans="1:40" x14ac:dyDescent="0.25">
      <c r="A2718" t="str">
        <f>"20190312154849228"</f>
        <v>20190312154849228</v>
      </c>
      <c r="B2718" t="str">
        <f>"1552376929218775"</f>
        <v>1552376929218775</v>
      </c>
      <c r="C2718" t="s">
        <v>40</v>
      </c>
      <c r="D2718">
        <v>4.3766339999999904</v>
      </c>
      <c r="E2718">
        <v>0.36100690000000002</v>
      </c>
      <c r="F2718" t="s">
        <v>42</v>
      </c>
      <c r="G2718">
        <v>-492.02280000000002</v>
      </c>
      <c r="H2718" s="1">
        <v>-1.633512E-6</v>
      </c>
      <c r="I2718">
        <v>262.14229999999998</v>
      </c>
      <c r="J2718">
        <v>-488.84910000000002</v>
      </c>
      <c r="K2718">
        <v>1.1206050000000001</v>
      </c>
      <c r="L2718">
        <v>272.6592</v>
      </c>
      <c r="M2718">
        <v>-0.58261049999999903</v>
      </c>
      <c r="N2718">
        <v>0</v>
      </c>
      <c r="O2718">
        <v>-0.81260869999999996</v>
      </c>
      <c r="P2718">
        <v>-0.60598529999999995</v>
      </c>
      <c r="Q2718">
        <v>1.4544120000000001E-2</v>
      </c>
      <c r="R2718">
        <v>-0.79534309999999997</v>
      </c>
      <c r="S2718">
        <v>-0.93927000000000005</v>
      </c>
      <c r="T2718">
        <v>-0.32387300000000002</v>
      </c>
      <c r="U2718">
        <v>-3.073334</v>
      </c>
      <c r="V2718">
        <v>2.827286E-2</v>
      </c>
      <c r="W2718">
        <v>3.0530769999999999E-2</v>
      </c>
      <c r="X2718">
        <v>0.99913390000000002</v>
      </c>
      <c r="Y2718">
        <v>-0.32054260000000001</v>
      </c>
      <c r="Z2718">
        <v>7.1925160000000002E-2</v>
      </c>
      <c r="AA2718">
        <v>0.94449939999999999</v>
      </c>
      <c r="AB2718">
        <v>27</v>
      </c>
      <c r="AC2718">
        <v>-3.17369999999999</v>
      </c>
      <c r="AD2718">
        <v>-1.120606633512</v>
      </c>
      <c r="AE2718">
        <v>-10.5169</v>
      </c>
      <c r="AF2718">
        <v>-3.51214494890371</v>
      </c>
      <c r="AG2718">
        <v>-1.120606633512</v>
      </c>
      <c r="AH2718">
        <v>10.2892925761236</v>
      </c>
      <c r="AI2718">
        <v>95.884743699707499</v>
      </c>
      <c r="AJ2718">
        <v>108.846814902072</v>
      </c>
      <c r="AK2718">
        <v>10.9297970285935</v>
      </c>
      <c r="AL2718">
        <v>88.250443888788595</v>
      </c>
      <c r="AM2718">
        <v>88.379112766818196</v>
      </c>
      <c r="AN2718">
        <v>1.0000000163292899</v>
      </c>
    </row>
    <row r="2719" spans="1:40" x14ac:dyDescent="0.25">
      <c r="A2719" t="str">
        <f>"20190312154849239"</f>
        <v>20190312154849239</v>
      </c>
      <c r="B2719" t="str">
        <f>"1552376929228535"</f>
        <v>1552376929228535</v>
      </c>
      <c r="C2719" t="s">
        <v>40</v>
      </c>
      <c r="D2719">
        <v>4.4146799999999997</v>
      </c>
      <c r="E2719">
        <v>0.36100690000000002</v>
      </c>
      <c r="F2719" t="s">
        <v>42</v>
      </c>
      <c r="G2719">
        <v>-492.04039999999998</v>
      </c>
      <c r="H2719" s="1">
        <v>-1.578491E-6</v>
      </c>
      <c r="I2719">
        <v>262.00310000000002</v>
      </c>
      <c r="J2719">
        <v>-488.9203</v>
      </c>
      <c r="K2719">
        <v>1.1205940000000001</v>
      </c>
      <c r="L2719">
        <v>272.5478</v>
      </c>
      <c r="M2719">
        <v>-0.57682679999999997</v>
      </c>
      <c r="N2719">
        <v>0</v>
      </c>
      <c r="O2719">
        <v>-0.81672419999999901</v>
      </c>
      <c r="P2719">
        <v>-0.60041709999999904</v>
      </c>
      <c r="Q2719">
        <v>1.4019159999999999E-2</v>
      </c>
      <c r="R2719">
        <v>-0.79956439999999995</v>
      </c>
      <c r="S2719">
        <v>-0.92120360000000001</v>
      </c>
      <c r="T2719">
        <v>-0.32347859999999901</v>
      </c>
      <c r="U2719">
        <v>-3.0760190000000001</v>
      </c>
      <c r="V2719">
        <v>2.8398679999999999E-2</v>
      </c>
      <c r="W2719">
        <v>3.0008409999999999E-2</v>
      </c>
      <c r="X2719">
        <v>0.99914619999999998</v>
      </c>
      <c r="Y2719">
        <v>-0.31913920000000001</v>
      </c>
      <c r="Z2719">
        <v>7.2448509999999994E-2</v>
      </c>
      <c r="AA2719">
        <v>0.94493459999999996</v>
      </c>
      <c r="AB2719">
        <v>27</v>
      </c>
      <c r="AC2719">
        <v>-3.1200999999999701</v>
      </c>
      <c r="AD2719">
        <v>-1.120595578491</v>
      </c>
      <c r="AE2719">
        <v>-10.544699999999899</v>
      </c>
      <c r="AF2719">
        <v>-3.4982877422204099</v>
      </c>
      <c r="AG2719">
        <v>-1.120595578491</v>
      </c>
      <c r="AH2719">
        <v>10.3060575056369</v>
      </c>
      <c r="AI2719">
        <v>95.878562421584903</v>
      </c>
      <c r="AJ2719">
        <v>108.749265355243</v>
      </c>
      <c r="AK2719">
        <v>10.941141297296101</v>
      </c>
      <c r="AL2719">
        <v>88.280386706637898</v>
      </c>
      <c r="AM2719">
        <v>88.371923393261099</v>
      </c>
      <c r="AN2719">
        <v>1.0000000593354501</v>
      </c>
    </row>
    <row r="2720" spans="1:40" x14ac:dyDescent="0.25">
      <c r="A2720" t="str">
        <f>"20190312154849250"</f>
        <v>20190312154849250</v>
      </c>
      <c r="B2720" t="str">
        <f>"1552376929248055"</f>
        <v>1552376929248055</v>
      </c>
      <c r="C2720" t="s">
        <v>40</v>
      </c>
      <c r="D2720">
        <v>4.3915490000000004</v>
      </c>
      <c r="E2720">
        <v>0.37114999999999998</v>
      </c>
      <c r="F2720" t="s">
        <v>42</v>
      </c>
      <c r="G2720">
        <v>-492.02319999999997</v>
      </c>
      <c r="H2720" s="1">
        <v>-1.5333880000000001E-6</v>
      </c>
      <c r="I2720">
        <v>261.90870000000001</v>
      </c>
      <c r="J2720">
        <v>-488.99079999999998</v>
      </c>
      <c r="K2720">
        <v>1.1205830000000001</v>
      </c>
      <c r="L2720">
        <v>272.43599999999998</v>
      </c>
      <c r="M2720">
        <v>-0.57101550000000001</v>
      </c>
      <c r="N2720">
        <v>0</v>
      </c>
      <c r="O2720">
        <v>-0.82079769999999896</v>
      </c>
      <c r="P2720">
        <v>-0.59477290000000005</v>
      </c>
      <c r="Q2720">
        <v>1.3526699999999999E-2</v>
      </c>
      <c r="R2720">
        <v>-0.8037803</v>
      </c>
      <c r="S2720">
        <v>-0.89901730000000002</v>
      </c>
      <c r="T2720">
        <v>-0.32468340000000001</v>
      </c>
      <c r="U2720">
        <v>-3.082611</v>
      </c>
      <c r="V2720">
        <v>2.8464320000000001E-2</v>
      </c>
      <c r="W2720">
        <v>2.9517479999999999E-2</v>
      </c>
      <c r="X2720">
        <v>0.99915889999999996</v>
      </c>
      <c r="Y2720">
        <v>-0.31923689999999999</v>
      </c>
      <c r="Z2720">
        <v>7.3216980000000001E-2</v>
      </c>
      <c r="AA2720">
        <v>0.94484239999999997</v>
      </c>
      <c r="AB2720">
        <v>27</v>
      </c>
      <c r="AC2720">
        <v>-3.0323999999999902</v>
      </c>
      <c r="AD2720">
        <v>-1.12058453338799</v>
      </c>
      <c r="AE2720">
        <v>-10.527299999999901</v>
      </c>
      <c r="AF2720">
        <v>-3.4861994189796901</v>
      </c>
      <c r="AG2720">
        <v>-1.12058453338799</v>
      </c>
      <c r="AH2720">
        <v>10.2661268408804</v>
      </c>
      <c r="AI2720">
        <v>95.900953932358604</v>
      </c>
      <c r="AJ2720">
        <v>108.756600247157</v>
      </c>
      <c r="AK2720">
        <v>10.899663132336199</v>
      </c>
      <c r="AL2720">
        <v>88.308527294199493</v>
      </c>
      <c r="AM2720">
        <v>88.368183060523293</v>
      </c>
      <c r="AN2720">
        <v>1.00000000329391</v>
      </c>
    </row>
    <row r="2721" spans="1:40" x14ac:dyDescent="0.25">
      <c r="A2721" t="str">
        <f>"20190312154849261"</f>
        <v>20190312154849261</v>
      </c>
      <c r="B2721" t="str">
        <f>"1552376929258791"</f>
        <v>1552376929258791</v>
      </c>
      <c r="C2721" t="s">
        <v>40</v>
      </c>
      <c r="D2721">
        <v>4.4257499999999999</v>
      </c>
      <c r="E2721">
        <v>0.37208039999999998</v>
      </c>
      <c r="F2721" t="s">
        <v>42</v>
      </c>
      <c r="G2721">
        <v>-492.28789999999998</v>
      </c>
      <c r="H2721" s="1">
        <v>-1.5562269999999999E-6</v>
      </c>
      <c r="I2721">
        <v>261.79770000000002</v>
      </c>
      <c r="J2721">
        <v>-489.06180000000001</v>
      </c>
      <c r="K2721">
        <v>1.120571</v>
      </c>
      <c r="L2721">
        <v>272.32170000000002</v>
      </c>
      <c r="M2721">
        <v>-0.56506440000000002</v>
      </c>
      <c r="N2721">
        <v>0</v>
      </c>
      <c r="O2721">
        <v>-0.82490589999999997</v>
      </c>
      <c r="P2721">
        <v>-0.58933259999999998</v>
      </c>
      <c r="Q2721">
        <v>1.3295019999999999E-2</v>
      </c>
      <c r="R2721">
        <v>-0.80778149999999904</v>
      </c>
      <c r="S2721">
        <v>-0.94232179999999999</v>
      </c>
      <c r="T2721">
        <v>-0.32026459999999901</v>
      </c>
      <c r="U2721">
        <v>-3.0404360000000001</v>
      </c>
      <c r="V2721">
        <v>2.894921E-2</v>
      </c>
      <c r="W2721">
        <v>2.9296800000000001E-2</v>
      </c>
      <c r="X2721">
        <v>0.99915149999999997</v>
      </c>
      <c r="Y2721">
        <v>-0.29647800000000002</v>
      </c>
      <c r="Z2721">
        <v>7.4059669999999994E-2</v>
      </c>
      <c r="AA2721">
        <v>0.9521638</v>
      </c>
      <c r="AB2721">
        <v>27</v>
      </c>
      <c r="AC2721">
        <v>-3.22609999999997</v>
      </c>
      <c r="AD2721">
        <v>-1.1205725562269999</v>
      </c>
      <c r="AE2721">
        <v>-10.523999999999999</v>
      </c>
      <c r="AF2721">
        <v>-3.2521862963870301</v>
      </c>
      <c r="AG2721">
        <v>-1.1205725562269999</v>
      </c>
      <c r="AH2721">
        <v>10.397726846771</v>
      </c>
      <c r="AI2721">
        <v>95.872621386338693</v>
      </c>
      <c r="AJ2721">
        <v>107.36856517369399</v>
      </c>
      <c r="AK2721">
        <v>10.951946043523</v>
      </c>
      <c r="AL2721">
        <v>88.321176858478196</v>
      </c>
      <c r="AM2721">
        <v>88.340388172313894</v>
      </c>
      <c r="AN2721">
        <v>1.00000003960105</v>
      </c>
    </row>
    <row r="2722" spans="1:40" x14ac:dyDescent="0.25">
      <c r="A2722" t="str">
        <f>"20190312154849273"</f>
        <v>20190312154849273</v>
      </c>
      <c r="B2722" t="str">
        <f>"1552376929268551"</f>
        <v>1552376929268551</v>
      </c>
      <c r="C2722" t="s">
        <v>40</v>
      </c>
      <c r="D2722">
        <v>4.3962909999999997</v>
      </c>
      <c r="E2722">
        <v>0.37329770000000001</v>
      </c>
      <c r="F2722" t="s">
        <v>42</v>
      </c>
      <c r="G2722">
        <v>-492.30619999999999</v>
      </c>
      <c r="H2722" s="1">
        <v>-1.51179E-6</v>
      </c>
      <c r="I2722">
        <v>261.68270000000001</v>
      </c>
      <c r="J2722">
        <v>-489.13200000000001</v>
      </c>
      <c r="K2722">
        <v>1.120557</v>
      </c>
      <c r="L2722">
        <v>272.20609999999999</v>
      </c>
      <c r="M2722">
        <v>-0.55905780000000005</v>
      </c>
      <c r="N2722">
        <v>0</v>
      </c>
      <c r="O2722">
        <v>-0.82898859999999996</v>
      </c>
      <c r="P2722">
        <v>-0.58351549999999996</v>
      </c>
      <c r="Q2722">
        <v>1.3501310000000001E-2</v>
      </c>
      <c r="R2722">
        <v>-0.81198999999999999</v>
      </c>
      <c r="S2722">
        <v>-0.9277649</v>
      </c>
      <c r="T2722">
        <v>-0.32043490000000002</v>
      </c>
      <c r="U2722">
        <v>-3.0422669999999998</v>
      </c>
      <c r="V2722">
        <v>2.9027540000000001E-2</v>
      </c>
      <c r="W2722">
        <v>2.9504610000000001E-2</v>
      </c>
      <c r="X2722">
        <v>0.99914309999999995</v>
      </c>
      <c r="Y2722">
        <v>-0.29387780000000002</v>
      </c>
      <c r="Z2722">
        <v>7.4734869999999995E-2</v>
      </c>
      <c r="AA2722">
        <v>0.95291689999999996</v>
      </c>
      <c r="AB2722">
        <v>27</v>
      </c>
      <c r="AC2722">
        <v>-3.1742000000000399</v>
      </c>
      <c r="AD2722">
        <v>-1.1205585117899901</v>
      </c>
      <c r="AE2722">
        <v>-10.523399999999899</v>
      </c>
      <c r="AF2722">
        <v>-3.2187387423393998</v>
      </c>
      <c r="AG2722">
        <v>-1.1205585117899901</v>
      </c>
      <c r="AH2722">
        <v>10.3915603066558</v>
      </c>
      <c r="AI2722">
        <v>95.881033026080303</v>
      </c>
      <c r="AJ2722">
        <v>107.210130395072</v>
      </c>
      <c r="AK2722">
        <v>10.9361993433115</v>
      </c>
      <c r="AL2722">
        <v>88.309265052592295</v>
      </c>
      <c r="AM2722">
        <v>88.335886177863699</v>
      </c>
      <c r="AN2722">
        <v>1.00000002718365</v>
      </c>
    </row>
    <row r="2723" spans="1:40" x14ac:dyDescent="0.25">
      <c r="A2723" t="str">
        <f>"20190312154849284"</f>
        <v>20190312154849284</v>
      </c>
      <c r="B2723" t="str">
        <f>"1552376929278312"</f>
        <v>1552376929278312</v>
      </c>
      <c r="C2723" t="s">
        <v>40</v>
      </c>
      <c r="D2723">
        <v>4.4159560000000004</v>
      </c>
      <c r="E2723">
        <v>0.37407069999999998</v>
      </c>
      <c r="F2723" t="s">
        <v>42</v>
      </c>
      <c r="G2723">
        <v>-492.33390000000003</v>
      </c>
      <c r="H2723" s="1">
        <v>-1.4593459999999999E-6</v>
      </c>
      <c r="I2723">
        <v>261.54329999999999</v>
      </c>
      <c r="J2723">
        <v>-489.20240000000001</v>
      </c>
      <c r="K2723">
        <v>1.1205480000000001</v>
      </c>
      <c r="L2723">
        <v>272.08969999999999</v>
      </c>
      <c r="M2723">
        <v>-0.55298480000000005</v>
      </c>
      <c r="N2723">
        <v>0</v>
      </c>
      <c r="O2723">
        <v>-0.83305200000000001</v>
      </c>
      <c r="P2723">
        <v>-0.57790269999999899</v>
      </c>
      <c r="Q2723">
        <v>1.3846270000000001E-2</v>
      </c>
      <c r="R2723">
        <v>-0.81598870000000001</v>
      </c>
      <c r="S2723">
        <v>-0.91381840000000003</v>
      </c>
      <c r="T2723">
        <v>-0.31981019999999999</v>
      </c>
      <c r="U2723">
        <v>-3.0431819999999998</v>
      </c>
      <c r="V2723">
        <v>2.9434809999999999E-2</v>
      </c>
      <c r="W2723">
        <v>2.9858740000000002E-2</v>
      </c>
      <c r="X2723">
        <v>0.99912069999999997</v>
      </c>
      <c r="Y2723">
        <v>-0.29098109999999999</v>
      </c>
      <c r="Z2723">
        <v>7.5247339999999996E-2</v>
      </c>
      <c r="AA2723">
        <v>0.95376510000000003</v>
      </c>
      <c r="AB2723">
        <v>27</v>
      </c>
      <c r="AC2723">
        <v>-3.1315000000000102</v>
      </c>
      <c r="AD2723">
        <v>-1.1205494593459999</v>
      </c>
      <c r="AE2723">
        <v>-10.5464</v>
      </c>
      <c r="AF2723">
        <v>-3.1905708678336202</v>
      </c>
      <c r="AG2723">
        <v>-1.1205494593459999</v>
      </c>
      <c r="AH2723">
        <v>10.410590080144001</v>
      </c>
      <c r="AI2723">
        <v>95.875680427508001</v>
      </c>
      <c r="AJ2723">
        <v>107.03891863959799</v>
      </c>
      <c r="AK2723">
        <v>10.9460385240644</v>
      </c>
      <c r="AL2723">
        <v>88.288966015824499</v>
      </c>
      <c r="AM2723">
        <v>88.312513476020101</v>
      </c>
      <c r="AN2723">
        <v>1.0000000627812999</v>
      </c>
    </row>
    <row r="2724" spans="1:40" x14ac:dyDescent="0.25">
      <c r="A2724" t="str">
        <f>"20190312154849295"</f>
        <v>20190312154849295</v>
      </c>
      <c r="B2724" t="str">
        <f>"1552376929288071"</f>
        <v>1552376929288071</v>
      </c>
      <c r="C2724" t="s">
        <v>40</v>
      </c>
      <c r="D2724">
        <v>4.4159090000000001</v>
      </c>
      <c r="E2724">
        <v>0.37356299999999998</v>
      </c>
      <c r="F2724" t="s">
        <v>42</v>
      </c>
      <c r="G2724">
        <v>-492.40350000000001</v>
      </c>
      <c r="H2724" s="1">
        <v>-1.344598E-6</v>
      </c>
      <c r="I2724">
        <v>261.23270000000002</v>
      </c>
      <c r="J2724">
        <v>-489.26670000000001</v>
      </c>
      <c r="K2724">
        <v>1.1205400000000001</v>
      </c>
      <c r="L2724">
        <v>271.98</v>
      </c>
      <c r="M2724">
        <v>-0.54728030000000005</v>
      </c>
      <c r="N2724">
        <v>0</v>
      </c>
      <c r="O2724">
        <v>-0.83681039999999995</v>
      </c>
      <c r="P2724">
        <v>-0.5725884</v>
      </c>
      <c r="Q2724">
        <v>1.4618219999999999E-2</v>
      </c>
      <c r="R2724">
        <v>-0.81971280000000002</v>
      </c>
      <c r="S2724">
        <v>-0.89807130000000002</v>
      </c>
      <c r="T2724">
        <v>-0.31436789999999998</v>
      </c>
      <c r="U2724">
        <v>-3.0458980000000002</v>
      </c>
      <c r="V2724">
        <v>2.9757140000000001E-2</v>
      </c>
      <c r="W2724">
        <v>3.0637540000000001E-2</v>
      </c>
      <c r="X2724">
        <v>0.99908750000000002</v>
      </c>
      <c r="Y2724">
        <v>-0.2891879</v>
      </c>
      <c r="Z2724">
        <v>7.4526129999999996E-2</v>
      </c>
      <c r="AA2724">
        <v>0.95436690000000002</v>
      </c>
      <c r="AB2724">
        <v>27</v>
      </c>
      <c r="AC2724">
        <v>-3.1367999999999898</v>
      </c>
      <c r="AD2724">
        <v>-1.1205413445979999</v>
      </c>
      <c r="AE2724">
        <v>-10.7472999999999</v>
      </c>
      <c r="AF2724">
        <v>-3.22495215648595</v>
      </c>
      <c r="AG2724">
        <v>-1.1205413445979999</v>
      </c>
      <c r="AH2724">
        <v>10.605171627649201</v>
      </c>
      <c r="AI2724">
        <v>95.772378149760002</v>
      </c>
      <c r="AJ2724">
        <v>106.91411825976699</v>
      </c>
      <c r="AK2724">
        <v>11.1411666610132</v>
      </c>
      <c r="AL2724">
        <v>88.244323508175398</v>
      </c>
      <c r="AM2724">
        <v>88.293988623489597</v>
      </c>
      <c r="AN2724">
        <v>0.99999998944724</v>
      </c>
    </row>
    <row r="2725" spans="1:40" x14ac:dyDescent="0.25">
      <c r="A2725" t="str">
        <f>"20190312154849306"</f>
        <v>20190312154849306</v>
      </c>
      <c r="B2725" t="str">
        <f>"1552376929298807"</f>
        <v>1552376929298807</v>
      </c>
      <c r="C2725" t="s">
        <v>40</v>
      </c>
      <c r="D2725">
        <v>4.4502220000000001</v>
      </c>
      <c r="E2725">
        <v>0.372423</v>
      </c>
      <c r="F2725" t="s">
        <v>42</v>
      </c>
      <c r="G2725">
        <v>-492.40339999999998</v>
      </c>
      <c r="H2725" s="1">
        <v>-1.258896E-6</v>
      </c>
      <c r="I2725">
        <v>261.03300000000002</v>
      </c>
      <c r="J2725">
        <v>-489.334</v>
      </c>
      <c r="K2725">
        <v>1.1205320000000001</v>
      </c>
      <c r="L2725">
        <v>271.8646</v>
      </c>
      <c r="M2725">
        <v>-0.54126009999999902</v>
      </c>
      <c r="N2725">
        <v>0</v>
      </c>
      <c r="O2725">
        <v>-0.84071709999999999</v>
      </c>
      <c r="P2725">
        <v>-0.56678839999999997</v>
      </c>
      <c r="Q2725">
        <v>1.50925E-2</v>
      </c>
      <c r="R2725">
        <v>-0.82372540000000005</v>
      </c>
      <c r="S2725">
        <v>-0.87512209999999901</v>
      </c>
      <c r="T2725">
        <v>-0.31262309999999999</v>
      </c>
      <c r="U2725">
        <v>-3.054138</v>
      </c>
      <c r="V2725">
        <v>2.986946E-2</v>
      </c>
      <c r="W2725">
        <v>3.1113680000000001E-2</v>
      </c>
      <c r="X2725">
        <v>0.99906950000000005</v>
      </c>
      <c r="Y2725">
        <v>-0.28962490000000002</v>
      </c>
      <c r="Z2725">
        <v>7.4537610000000004E-2</v>
      </c>
      <c r="AA2725">
        <v>0.95423349999999996</v>
      </c>
      <c r="AB2725">
        <v>27</v>
      </c>
      <c r="AC2725">
        <v>-3.0693999999999702</v>
      </c>
      <c r="AD2725">
        <v>-1.12053325889599</v>
      </c>
      <c r="AE2725">
        <v>-10.8315999999999</v>
      </c>
      <c r="AF2725">
        <v>-3.2503970668697901</v>
      </c>
      <c r="AG2725">
        <v>-1.12053325889599</v>
      </c>
      <c r="AH2725">
        <v>10.663270276172399</v>
      </c>
      <c r="AI2725">
        <v>95.739938126457105</v>
      </c>
      <c r="AJ2725">
        <v>106.952363425887</v>
      </c>
      <c r="AK2725">
        <v>11.2038390232683</v>
      </c>
      <c r="AL2725">
        <v>88.217029800724404</v>
      </c>
      <c r="AM2725">
        <v>88.287522180069899</v>
      </c>
      <c r="AN2725">
        <v>1.0000000557770401</v>
      </c>
    </row>
    <row r="2726" spans="1:40" x14ac:dyDescent="0.25">
      <c r="A2726" t="str">
        <f>"20190312154849318"</f>
        <v>20190312154849318</v>
      </c>
      <c r="B2726" t="str">
        <f>"1552376929308568"</f>
        <v>1552376929308568</v>
      </c>
      <c r="C2726" t="s">
        <v>40</v>
      </c>
      <c r="D2726">
        <v>4.4429610000000004</v>
      </c>
      <c r="E2726">
        <v>0.372423</v>
      </c>
      <c r="F2726" t="s">
        <v>42</v>
      </c>
      <c r="G2726">
        <v>-492.36180000000002</v>
      </c>
      <c r="H2726" s="1">
        <v>-1.189377E-6</v>
      </c>
      <c r="I2726">
        <v>260.89670000000001</v>
      </c>
      <c r="J2726">
        <v>-489.4015</v>
      </c>
      <c r="K2726">
        <v>1.120522</v>
      </c>
      <c r="L2726">
        <v>271.74599999999998</v>
      </c>
      <c r="M2726">
        <v>-0.53508169999999899</v>
      </c>
      <c r="N2726">
        <v>0</v>
      </c>
      <c r="O2726">
        <v>-0.84466280000000005</v>
      </c>
      <c r="P2726">
        <v>-0.56096889999999999</v>
      </c>
      <c r="Q2726">
        <v>1.542373E-2</v>
      </c>
      <c r="R2726">
        <v>-0.82769349999999997</v>
      </c>
      <c r="S2726">
        <v>-0.84625239999999902</v>
      </c>
      <c r="T2726">
        <v>-0.31318030000000002</v>
      </c>
      <c r="U2726">
        <v>-3.0654300000000001</v>
      </c>
      <c r="V2726">
        <v>3.01487E-2</v>
      </c>
      <c r="W2726">
        <v>3.1450159999999998E-2</v>
      </c>
      <c r="X2726">
        <v>0.99905049999999995</v>
      </c>
      <c r="Y2726">
        <v>-0.29187279999999999</v>
      </c>
      <c r="Z2726">
        <v>7.5010649999999998E-2</v>
      </c>
      <c r="AA2726">
        <v>0.9535112</v>
      </c>
      <c r="AB2726">
        <v>27</v>
      </c>
      <c r="AC2726">
        <v>-2.9603000000000099</v>
      </c>
      <c r="AD2726">
        <v>-1.120523189377</v>
      </c>
      <c r="AE2726">
        <v>-10.8492999999999</v>
      </c>
      <c r="AF2726">
        <v>-3.2726999475635199</v>
      </c>
      <c r="AG2726">
        <v>-1.120523189377</v>
      </c>
      <c r="AH2726">
        <v>10.6435841413542</v>
      </c>
      <c r="AI2726">
        <v>95.746182042280196</v>
      </c>
      <c r="AJ2726">
        <v>107.091668625268</v>
      </c>
      <c r="AK2726">
        <v>11.191604913451901</v>
      </c>
      <c r="AL2726">
        <v>88.197741339918807</v>
      </c>
      <c r="AM2726">
        <v>88.2714895885033</v>
      </c>
      <c r="AN2726">
        <v>0.999999979112982</v>
      </c>
    </row>
    <row r="2727" spans="1:40" x14ac:dyDescent="0.25">
      <c r="A2727" t="str">
        <f>"20190312154849329"</f>
        <v>20190312154849329</v>
      </c>
      <c r="B2727" t="str">
        <f>"1552376929318328"</f>
        <v>1552376929318328</v>
      </c>
      <c r="C2727" t="s">
        <v>40</v>
      </c>
      <c r="D2727">
        <v>4.4653419999999997</v>
      </c>
      <c r="E2727">
        <v>0.3606645</v>
      </c>
      <c r="F2727" t="s">
        <v>42</v>
      </c>
      <c r="G2727">
        <v>-492.36189999999999</v>
      </c>
      <c r="H2727" s="1">
        <v>-1.1119479999999999E-6</v>
      </c>
      <c r="I2727">
        <v>260.71620000000001</v>
      </c>
      <c r="J2727">
        <v>-489.46780000000001</v>
      </c>
      <c r="K2727">
        <v>1.120511</v>
      </c>
      <c r="L2727">
        <v>271.62810000000002</v>
      </c>
      <c r="M2727">
        <v>-0.52892569999999905</v>
      </c>
      <c r="N2727">
        <v>0</v>
      </c>
      <c r="O2727">
        <v>-0.84853120000000004</v>
      </c>
      <c r="P2727">
        <v>-0.55513999999999997</v>
      </c>
      <c r="Q2727">
        <v>1.53762E-2</v>
      </c>
      <c r="R2727">
        <v>-0.83161459999999998</v>
      </c>
      <c r="S2727">
        <v>-0.82440190000000002</v>
      </c>
      <c r="T2727">
        <v>-0.31204179999999998</v>
      </c>
      <c r="U2727">
        <v>-3.071564</v>
      </c>
      <c r="V2727">
        <v>3.0396099999999999E-2</v>
      </c>
      <c r="W2727">
        <v>3.1407259999999999E-2</v>
      </c>
      <c r="X2727">
        <v>0.99904440000000005</v>
      </c>
      <c r="Y2727">
        <v>-0.291722599999999</v>
      </c>
      <c r="Z2727">
        <v>7.5206809999999999E-2</v>
      </c>
      <c r="AA2727">
        <v>0.95354179999999999</v>
      </c>
      <c r="AB2727">
        <v>27</v>
      </c>
      <c r="AC2727">
        <v>-2.8940999999999799</v>
      </c>
      <c r="AD2727">
        <v>-1.1205121119479999</v>
      </c>
      <c r="AE2727">
        <v>-10.911899999999999</v>
      </c>
      <c r="AF2727">
        <v>-3.2838839009561198</v>
      </c>
      <c r="AG2727">
        <v>-1.1205121119479999</v>
      </c>
      <c r="AH2727">
        <v>10.685832410599501</v>
      </c>
      <c r="AI2727">
        <v>95.723828428516796</v>
      </c>
      <c r="AJ2727">
        <v>107.082818278216</v>
      </c>
      <c r="AK2727">
        <v>11.2350547473254</v>
      </c>
      <c r="AL2727">
        <v>88.200200628225403</v>
      </c>
      <c r="AM2727">
        <v>88.257303522130996</v>
      </c>
      <c r="AN2727">
        <v>1.0000000260236299</v>
      </c>
    </row>
    <row r="2728" spans="1:40" x14ac:dyDescent="0.25">
      <c r="A2728" t="str">
        <f>"20190312154849339"</f>
        <v>20190312154849339</v>
      </c>
      <c r="B2728" t="str">
        <f>"1552376929328088"</f>
        <v>1552376929328088</v>
      </c>
      <c r="C2728" t="s">
        <v>40</v>
      </c>
      <c r="D2728">
        <v>4.4889890000000001</v>
      </c>
      <c r="E2728">
        <v>0.36152469999999998</v>
      </c>
      <c r="F2728" t="s">
        <v>42</v>
      </c>
      <c r="G2728">
        <v>-492.18189999999998</v>
      </c>
      <c r="H2728" s="1">
        <v>-7.2098699999999896E-7</v>
      </c>
      <c r="I2728">
        <v>259.91640000000001</v>
      </c>
      <c r="J2728">
        <v>-489.5292</v>
      </c>
      <c r="K2728">
        <v>1.120498</v>
      </c>
      <c r="L2728">
        <v>271.51679999999999</v>
      </c>
      <c r="M2728">
        <v>-0.52311719999999995</v>
      </c>
      <c r="N2728">
        <v>0</v>
      </c>
      <c r="O2728">
        <v>-0.85212469999999996</v>
      </c>
      <c r="P2728">
        <v>-0.54954119999999995</v>
      </c>
      <c r="Q2728">
        <v>1.5132970000000001E-2</v>
      </c>
      <c r="R2728">
        <v>-0.83532980000000001</v>
      </c>
      <c r="S2728">
        <v>-0.725128199999999</v>
      </c>
      <c r="T2728">
        <v>-0.29935929999999999</v>
      </c>
      <c r="U2728">
        <v>-3.1289060000000002</v>
      </c>
      <c r="V2728">
        <v>3.0514139999999999E-2</v>
      </c>
      <c r="W2728">
        <v>3.1165149999999999E-2</v>
      </c>
      <c r="X2728">
        <v>0.99904839999999995</v>
      </c>
      <c r="Y2728">
        <v>-0.31787140000000003</v>
      </c>
      <c r="Z2728">
        <v>7.1200150000000004E-2</v>
      </c>
      <c r="AA2728">
        <v>0.94545670000000004</v>
      </c>
      <c r="AB2728">
        <v>27</v>
      </c>
      <c r="AC2728">
        <v>-2.6526999999999799</v>
      </c>
      <c r="AD2728">
        <v>-1.1204987209870001</v>
      </c>
      <c r="AE2728">
        <v>-11.600399999999899</v>
      </c>
      <c r="AF2728">
        <v>-3.7749098086771502</v>
      </c>
      <c r="AG2728">
        <v>-1.1204987209870001</v>
      </c>
      <c r="AH2728">
        <v>11.174888071683799</v>
      </c>
      <c r="AI2728">
        <v>95.426568845376806</v>
      </c>
      <c r="AJ2728">
        <v>108.665118502927</v>
      </c>
      <c r="AK2728">
        <v>11.8483578972802</v>
      </c>
      <c r="AL2728">
        <v>88.214079332454503</v>
      </c>
      <c r="AM2728">
        <v>88.250547144523594</v>
      </c>
      <c r="AN2728">
        <v>1.00000004242851</v>
      </c>
    </row>
    <row r="2729" spans="1:40" x14ac:dyDescent="0.25">
      <c r="A2729" t="str">
        <f>"20190312154849351"</f>
        <v>20190312154849351</v>
      </c>
      <c r="B2729" t="str">
        <f>"1552376929348584"</f>
        <v>1552376929348584</v>
      </c>
      <c r="C2729" t="s">
        <v>40</v>
      </c>
      <c r="D2729">
        <v>4.4565530000000004</v>
      </c>
      <c r="E2729">
        <v>0.36305579999999998</v>
      </c>
      <c r="F2729" t="s">
        <v>42</v>
      </c>
      <c r="G2729">
        <v>-492.149</v>
      </c>
      <c r="H2729" s="1">
        <v>-7.2886669999999898E-7</v>
      </c>
      <c r="I2729">
        <v>259.95519999999999</v>
      </c>
      <c r="J2729">
        <v>-489.59210000000002</v>
      </c>
      <c r="K2729">
        <v>1.120482</v>
      </c>
      <c r="L2729">
        <v>271.4008</v>
      </c>
      <c r="M2729">
        <v>-0.51705779999999901</v>
      </c>
      <c r="N2729">
        <v>0</v>
      </c>
      <c r="O2729">
        <v>-0.85581499999999999</v>
      </c>
      <c r="P2729">
        <v>-0.54378530000000003</v>
      </c>
      <c r="Q2729">
        <v>1.468263E-2</v>
      </c>
      <c r="R2729">
        <v>-0.83909630000000002</v>
      </c>
      <c r="S2729">
        <v>-0.70932010000000001</v>
      </c>
      <c r="T2729">
        <v>-0.303371</v>
      </c>
      <c r="U2729">
        <v>-3.1302490000000001</v>
      </c>
      <c r="V2729">
        <v>3.0742829999999999E-2</v>
      </c>
      <c r="W2729">
        <v>3.071904E-2</v>
      </c>
      <c r="X2729">
        <v>0.99905509999999997</v>
      </c>
      <c r="Y2729">
        <v>-0.31579210000000002</v>
      </c>
      <c r="Z2729">
        <v>7.2690759999999993E-2</v>
      </c>
      <c r="AA2729">
        <v>0.94603990000000004</v>
      </c>
      <c r="AB2729">
        <v>27</v>
      </c>
      <c r="AC2729">
        <v>-2.5568999999999802</v>
      </c>
      <c r="AD2729">
        <v>-1.1204827288666901</v>
      </c>
      <c r="AE2729">
        <v>-11.445600000000001</v>
      </c>
      <c r="AF2729">
        <v>-3.69649379999949</v>
      </c>
      <c r="AG2729">
        <v>-1.1204827288666901</v>
      </c>
      <c r="AH2729">
        <v>11.0180957713808</v>
      </c>
      <c r="AI2729">
        <v>95.507064021402002</v>
      </c>
      <c r="AJ2729">
        <v>108.546241425955</v>
      </c>
      <c r="AK2729">
        <v>11.6755292122646</v>
      </c>
      <c r="AL2729">
        <v>88.2396516106391</v>
      </c>
      <c r="AM2729">
        <v>88.237455820471695</v>
      </c>
      <c r="AN2729">
        <v>0.99999993692546796</v>
      </c>
    </row>
    <row r="2730" spans="1:40" x14ac:dyDescent="0.25">
      <c r="A2730" t="str">
        <f>"20190312154849363"</f>
        <v>20190312154849363</v>
      </c>
      <c r="B2730" t="str">
        <f>"1552376929358343"</f>
        <v>1552376929358343</v>
      </c>
      <c r="C2730" t="s">
        <v>40</v>
      </c>
      <c r="D2730">
        <v>4.4739509999999996</v>
      </c>
      <c r="E2730">
        <v>0.36406759999999999</v>
      </c>
      <c r="F2730" t="s">
        <v>42</v>
      </c>
      <c r="G2730">
        <v>-492.16180000000003</v>
      </c>
      <c r="H2730" s="1">
        <v>-7.0163150000000001E-7</v>
      </c>
      <c r="I2730">
        <v>259.88380000000001</v>
      </c>
      <c r="J2730">
        <v>-489.66050000000001</v>
      </c>
      <c r="K2730">
        <v>1.120468</v>
      </c>
      <c r="L2730">
        <v>271.2731</v>
      </c>
      <c r="M2730">
        <v>-0.51037889999999997</v>
      </c>
      <c r="N2730">
        <v>0</v>
      </c>
      <c r="O2730">
        <v>-0.85981450000000004</v>
      </c>
      <c r="P2730">
        <v>-0.53727530000000001</v>
      </c>
      <c r="Q2730">
        <v>1.478661E-2</v>
      </c>
      <c r="R2730">
        <v>-0.84327739999999995</v>
      </c>
      <c r="S2730">
        <v>-0.69799800000000001</v>
      </c>
      <c r="T2730">
        <v>-0.30435200000000001</v>
      </c>
      <c r="U2730">
        <v>-3.1282960000000002</v>
      </c>
      <c r="V2730">
        <v>3.078885E-2</v>
      </c>
      <c r="W2730">
        <v>3.082199E-2</v>
      </c>
      <c r="X2730">
        <v>0.99905060000000001</v>
      </c>
      <c r="Y2730">
        <v>-0.31154809999999999</v>
      </c>
      <c r="Z2730">
        <v>7.3613390000000001E-2</v>
      </c>
      <c r="AA2730">
        <v>0.94737470000000001</v>
      </c>
      <c r="AB2730">
        <v>27</v>
      </c>
      <c r="AC2730">
        <v>-2.5013000000000098</v>
      </c>
      <c r="AD2730">
        <v>-1.1204687016315</v>
      </c>
      <c r="AE2730">
        <v>-11.389299999999899</v>
      </c>
      <c r="AF2730">
        <v>-3.62912195456697</v>
      </c>
      <c r="AG2730">
        <v>-1.1204687016315</v>
      </c>
      <c r="AH2730">
        <v>10.9693017867862</v>
      </c>
      <c r="AI2730">
        <v>95.539010023345796</v>
      </c>
      <c r="AJ2730">
        <v>108.306460682024</v>
      </c>
      <c r="AK2730">
        <v>11.6082538722259</v>
      </c>
      <c r="AL2730">
        <v>88.233750370665206</v>
      </c>
      <c r="AM2730">
        <v>88.234811129543004</v>
      </c>
      <c r="AN2730">
        <v>1.0000000248561201</v>
      </c>
    </row>
    <row r="2731" spans="1:40" x14ac:dyDescent="0.25">
      <c r="A2731" t="str">
        <f>"20190312154849375"</f>
        <v>20190312154849375</v>
      </c>
      <c r="B2731" t="str">
        <f>"1552376929368104"</f>
        <v>1552376929368104</v>
      </c>
      <c r="C2731" t="s">
        <v>40</v>
      </c>
      <c r="D2731">
        <v>4.4694039999999999</v>
      </c>
      <c r="E2731">
        <v>0.36508930000000001</v>
      </c>
      <c r="F2731" t="s">
        <v>42</v>
      </c>
      <c r="G2731">
        <v>-492.13920000000002</v>
      </c>
      <c r="H2731" s="1">
        <v>-6.930179E-7</v>
      </c>
      <c r="I2731">
        <v>259.87779999999998</v>
      </c>
      <c r="J2731">
        <v>-489.72480000000002</v>
      </c>
      <c r="K2731">
        <v>1.120455</v>
      </c>
      <c r="L2731">
        <v>271.14949999999999</v>
      </c>
      <c r="M2731">
        <v>-0.50391940000000002</v>
      </c>
      <c r="N2731">
        <v>0</v>
      </c>
      <c r="O2731">
        <v>-0.86361619999999995</v>
      </c>
      <c r="P2731">
        <v>-0.53113250000000001</v>
      </c>
      <c r="Q2731">
        <v>1.477911E-2</v>
      </c>
      <c r="R2731">
        <v>-0.84716009999999997</v>
      </c>
      <c r="S2731">
        <v>-0.68069460000000004</v>
      </c>
      <c r="T2731">
        <v>-0.30769740000000001</v>
      </c>
      <c r="U2731">
        <v>-3.1293329999999999</v>
      </c>
      <c r="V2731">
        <v>3.1018199999999999E-2</v>
      </c>
      <c r="W2731">
        <v>3.08177E-2</v>
      </c>
      <c r="X2731">
        <v>0.99904360000000003</v>
      </c>
      <c r="Y2731">
        <v>-0.30950830000000001</v>
      </c>
      <c r="Z2731">
        <v>7.4992920000000005E-2</v>
      </c>
      <c r="AA2731">
        <v>0.94793499999999997</v>
      </c>
      <c r="AB2731">
        <v>27</v>
      </c>
      <c r="AC2731">
        <v>-2.4144000000000001</v>
      </c>
      <c r="AD2731">
        <v>-1.1204556930178999</v>
      </c>
      <c r="AE2731">
        <v>-11.271699999999999</v>
      </c>
      <c r="AF2731">
        <v>-3.56168112535084</v>
      </c>
      <c r="AG2731">
        <v>-1.1204556930178999</v>
      </c>
      <c r="AH2731">
        <v>10.8498513153824</v>
      </c>
      <c r="AI2731">
        <v>95.603799248518101</v>
      </c>
      <c r="AJ2731">
        <v>108.17345863090399</v>
      </c>
      <c r="AK2731">
        <v>11.4743307850437</v>
      </c>
      <c r="AL2731">
        <v>88.233996219556602</v>
      </c>
      <c r="AM2731">
        <v>88.221657976225998</v>
      </c>
      <c r="AN2731">
        <v>0.99999998703274495</v>
      </c>
    </row>
    <row r="2732" spans="1:40" x14ac:dyDescent="0.25">
      <c r="A2732" t="str">
        <f>"20190312154849387"</f>
        <v>20190312154849387</v>
      </c>
      <c r="B2732" t="str">
        <f>"1552376929378839"</f>
        <v>1552376929378839</v>
      </c>
      <c r="C2732" t="s">
        <v>40</v>
      </c>
      <c r="D2732">
        <v>4.6370269999999998</v>
      </c>
      <c r="E2732">
        <v>0.36508930000000001</v>
      </c>
      <c r="F2732" t="s">
        <v>42</v>
      </c>
      <c r="G2732">
        <v>-492.13479999999998</v>
      </c>
      <c r="H2732" s="1">
        <v>-6.599802E-7</v>
      </c>
      <c r="I2732">
        <v>259.80349999999999</v>
      </c>
      <c r="J2732">
        <v>-489.78809999999999</v>
      </c>
      <c r="K2732">
        <v>1.1204499999999999</v>
      </c>
      <c r="L2732">
        <v>271.02699999999999</v>
      </c>
      <c r="M2732">
        <v>-0.49750299999999997</v>
      </c>
      <c r="N2732">
        <v>0</v>
      </c>
      <c r="O2732">
        <v>-0.86732830000000005</v>
      </c>
      <c r="P2732">
        <v>-0.52462169999999997</v>
      </c>
      <c r="Q2732">
        <v>1.515557E-2</v>
      </c>
      <c r="R2732">
        <v>-0.85120039999999997</v>
      </c>
      <c r="S2732">
        <v>-0.66479489999999997</v>
      </c>
      <c r="T2732">
        <v>-0.30908449999999998</v>
      </c>
      <c r="U2732">
        <v>-3.1298520000000001</v>
      </c>
      <c r="V2732">
        <v>3.0759749999999999E-2</v>
      </c>
      <c r="W2732">
        <v>3.118516E-2</v>
      </c>
      <c r="X2732">
        <v>0.99904020000000004</v>
      </c>
      <c r="Y2732">
        <v>-0.30710660000000001</v>
      </c>
      <c r="Z2732">
        <v>7.5910309999999995E-2</v>
      </c>
      <c r="AA2732">
        <v>0.94864280000000001</v>
      </c>
      <c r="AB2732">
        <v>27</v>
      </c>
      <c r="AC2732">
        <v>-2.34669999999999</v>
      </c>
      <c r="AD2732">
        <v>-1.1204506599802</v>
      </c>
      <c r="AE2732">
        <v>-11.2235</v>
      </c>
      <c r="AF2732">
        <v>-3.5152121418957298</v>
      </c>
      <c r="AG2732">
        <v>-1.1204506599802</v>
      </c>
      <c r="AH2732">
        <v>10.8000892417109</v>
      </c>
      <c r="AI2732">
        <v>95.634039106611596</v>
      </c>
      <c r="AJ2732">
        <v>108.02902835136599</v>
      </c>
      <c r="AK2732">
        <v>11.4128898055182</v>
      </c>
      <c r="AL2732">
        <v>88.212932208461794</v>
      </c>
      <c r="AM2732">
        <v>88.236460092479803</v>
      </c>
      <c r="AN2732">
        <v>0.99999999882016399</v>
      </c>
    </row>
    <row r="2733" spans="1:40" x14ac:dyDescent="0.25">
      <c r="A2733" t="str">
        <f>"20190312154849398"</f>
        <v>20190312154849398</v>
      </c>
      <c r="B2733" t="str">
        <f>"1552376929388600"</f>
        <v>1552376929388600</v>
      </c>
      <c r="C2733" t="s">
        <v>40</v>
      </c>
      <c r="D2733">
        <v>4.468432</v>
      </c>
      <c r="E2733">
        <v>0.37602269999999999</v>
      </c>
      <c r="F2733" t="s">
        <v>42</v>
      </c>
      <c r="G2733">
        <v>-492.11970000000002</v>
      </c>
      <c r="H2733" s="1">
        <v>-5.7976050000000001E-7</v>
      </c>
      <c r="I2733">
        <v>259.6259</v>
      </c>
      <c r="J2733">
        <v>-489.8519</v>
      </c>
      <c r="K2733">
        <v>1.1204400000000001</v>
      </c>
      <c r="L2733">
        <v>270.90010000000001</v>
      </c>
      <c r="M2733">
        <v>-0.4908631</v>
      </c>
      <c r="N2733">
        <v>0</v>
      </c>
      <c r="O2733">
        <v>-0.87110359999999998</v>
      </c>
      <c r="P2733">
        <v>-0.51819309999999996</v>
      </c>
      <c r="Q2733">
        <v>1.5278079999999999E-2</v>
      </c>
      <c r="R2733">
        <v>-0.85512749999999904</v>
      </c>
      <c r="S2733">
        <v>-0.64108279999999995</v>
      </c>
      <c r="T2733">
        <v>-0.30807570000000001</v>
      </c>
      <c r="U2733">
        <v>-3.134827</v>
      </c>
      <c r="V2733">
        <v>3.0862489999999999E-2</v>
      </c>
      <c r="W2733">
        <v>3.1307649999999999E-2</v>
      </c>
      <c r="X2733">
        <v>0.99903319999999995</v>
      </c>
      <c r="Y2733">
        <v>-0.30702059999999998</v>
      </c>
      <c r="Z2733">
        <v>7.6127139999999996E-2</v>
      </c>
      <c r="AA2733">
        <v>0.94865330000000003</v>
      </c>
      <c r="AB2733">
        <v>27</v>
      </c>
      <c r="AC2733">
        <v>-2.2678000000000198</v>
      </c>
      <c r="AD2733">
        <v>-1.1204405797604999</v>
      </c>
      <c r="AE2733">
        <v>-11.2742</v>
      </c>
      <c r="AF2733">
        <v>-3.5255465427345798</v>
      </c>
      <c r="AG2733">
        <v>-1.1204405797604999</v>
      </c>
      <c r="AH2733">
        <v>10.832615241119701</v>
      </c>
      <c r="AI2733">
        <v>95.617218720449898</v>
      </c>
      <c r="AJ2733">
        <v>108.027822383233</v>
      </c>
      <c r="AK2733">
        <v>11.446851902593099</v>
      </c>
      <c r="AL2733">
        <v>88.205910619229599</v>
      </c>
      <c r="AM2733">
        <v>88.230561077714199</v>
      </c>
      <c r="AN2733">
        <v>0.99999999846988097</v>
      </c>
    </row>
    <row r="2734" spans="1:40" x14ac:dyDescent="0.25">
      <c r="A2734" t="str">
        <f>"20190312154849409"</f>
        <v>20190312154849409</v>
      </c>
      <c r="B2734" t="str">
        <f>"1552376929398360"</f>
        <v>1552376929398360</v>
      </c>
      <c r="C2734" t="s">
        <v>40</v>
      </c>
      <c r="D2734">
        <v>4.4805330000000003</v>
      </c>
      <c r="E2734">
        <v>0.37673410000000002</v>
      </c>
      <c r="F2734" t="s">
        <v>42</v>
      </c>
      <c r="G2734">
        <v>-492.42070000000001</v>
      </c>
      <c r="H2734" s="1">
        <v>-4.6589280000000003E-6</v>
      </c>
      <c r="I2734">
        <v>259.41550000000001</v>
      </c>
      <c r="J2734">
        <v>-489.9015</v>
      </c>
      <c r="K2734">
        <v>1.120428</v>
      </c>
      <c r="L2734">
        <v>270.8005</v>
      </c>
      <c r="M2734">
        <v>-0.48563620000000002</v>
      </c>
      <c r="N2734">
        <v>0</v>
      </c>
      <c r="O2734">
        <v>-0.87402829999999998</v>
      </c>
      <c r="P2734">
        <v>-0.51307209999999903</v>
      </c>
      <c r="Q2734">
        <v>1.6041969999999999E-2</v>
      </c>
      <c r="R2734">
        <v>-0.85819579999999995</v>
      </c>
      <c r="S2734">
        <v>-0.69207759999999996</v>
      </c>
      <c r="T2734">
        <v>-0.30187120000000001</v>
      </c>
      <c r="U2734">
        <v>-3.0942080000000001</v>
      </c>
      <c r="V2734">
        <v>3.0863020000000001E-2</v>
      </c>
      <c r="W2734">
        <v>3.2069729999999998E-2</v>
      </c>
      <c r="X2734">
        <v>0.99900900000000004</v>
      </c>
      <c r="Y2734">
        <v>-0.28385630000000001</v>
      </c>
      <c r="Z2734">
        <v>7.6210440000000004E-2</v>
      </c>
      <c r="AA2734">
        <v>0.95583340000000006</v>
      </c>
      <c r="AB2734">
        <v>27</v>
      </c>
      <c r="AC2734">
        <v>-2.5192000000000099</v>
      </c>
      <c r="AD2734">
        <v>-1.120432658928</v>
      </c>
      <c r="AE2734">
        <v>-11.3849999999999</v>
      </c>
      <c r="AF2734">
        <v>-3.2970601201693102</v>
      </c>
      <c r="AG2734">
        <v>-1.120432658928</v>
      </c>
      <c r="AH2734">
        <v>11.073283118841101</v>
      </c>
      <c r="AI2734">
        <v>95.5389959008007</v>
      </c>
      <c r="AJ2734">
        <v>106.580852822408</v>
      </c>
      <c r="AK2734">
        <v>11.6079099673117</v>
      </c>
      <c r="AL2734">
        <v>88.162224691280699</v>
      </c>
      <c r="AM2734">
        <v>88.230487874160701</v>
      </c>
      <c r="AN2734">
        <v>0.99999998783339605</v>
      </c>
    </row>
    <row r="2735" spans="1:40" x14ac:dyDescent="0.25">
      <c r="A2735" t="str">
        <f>"20190312154849418"</f>
        <v>20190312154849418</v>
      </c>
      <c r="B2735" t="str">
        <f>"1552376929408120"</f>
        <v>1552376929408120</v>
      </c>
      <c r="C2735" t="s">
        <v>40</v>
      </c>
      <c r="D2735">
        <v>4.4775109999999998</v>
      </c>
      <c r="E2735">
        <v>0.37773659999999998</v>
      </c>
      <c r="F2735" t="s">
        <v>42</v>
      </c>
      <c r="G2735">
        <v>-492.38839999999999</v>
      </c>
      <c r="H2735" s="1">
        <v>-4.6634400000000004E-6</v>
      </c>
      <c r="I2735">
        <v>259.44560000000001</v>
      </c>
      <c r="J2735">
        <v>-489.95830000000001</v>
      </c>
      <c r="K2735">
        <v>1.1204190000000001</v>
      </c>
      <c r="L2735">
        <v>270.68360000000001</v>
      </c>
      <c r="M2735">
        <v>-0.47951450000000001</v>
      </c>
      <c r="N2735">
        <v>0</v>
      </c>
      <c r="O2735">
        <v>-0.87740180000000001</v>
      </c>
      <c r="P2735">
        <v>-0.50703299999999996</v>
      </c>
      <c r="Q2735">
        <v>1.6472469999999999E-2</v>
      </c>
      <c r="R2735">
        <v>-0.86176949999999997</v>
      </c>
      <c r="S2735">
        <v>-0.67807010000000001</v>
      </c>
      <c r="T2735">
        <v>-0.30549539999999997</v>
      </c>
      <c r="U2735">
        <v>-3.0960079999999999</v>
      </c>
      <c r="V2735">
        <v>3.0825060000000001E-2</v>
      </c>
      <c r="W2735">
        <v>3.249676E-2</v>
      </c>
      <c r="X2735">
        <v>0.99899640000000001</v>
      </c>
      <c r="Y2735">
        <v>-0.28141630000000001</v>
      </c>
      <c r="Z2735">
        <v>7.7616240000000003E-2</v>
      </c>
      <c r="AA2735">
        <v>0.9564416</v>
      </c>
      <c r="AB2735">
        <v>27</v>
      </c>
      <c r="AC2735">
        <v>-2.4300999999999799</v>
      </c>
      <c r="AD2735">
        <v>-1.12042366344</v>
      </c>
      <c r="AE2735">
        <v>-11.238</v>
      </c>
      <c r="AF2735">
        <v>-3.2263502073420001</v>
      </c>
      <c r="AG2735">
        <v>-1.12042366344</v>
      </c>
      <c r="AH2735">
        <v>10.923063251156201</v>
      </c>
      <c r="AI2735">
        <v>95.618261248277193</v>
      </c>
      <c r="AJ2735">
        <v>106.45558371460901</v>
      </c>
      <c r="AK2735">
        <v>11.4445618367315</v>
      </c>
      <c r="AL2735">
        <v>88.137744965728004</v>
      </c>
      <c r="AM2735">
        <v>88.232640629446195</v>
      </c>
      <c r="AN2735">
        <v>1.0000000154737301</v>
      </c>
    </row>
    <row r="2736" spans="1:40" x14ac:dyDescent="0.25">
      <c r="A2736" t="str">
        <f>"20190312154849430"</f>
        <v>20190312154849430</v>
      </c>
      <c r="B2736" t="str">
        <f>"1552376929418855"</f>
        <v>1552376929418855</v>
      </c>
      <c r="C2736" t="s">
        <v>40</v>
      </c>
      <c r="D2736">
        <v>4.4918870000000002</v>
      </c>
      <c r="E2736">
        <v>0.37879950000000001</v>
      </c>
      <c r="F2736" t="s">
        <v>42</v>
      </c>
      <c r="G2736">
        <v>-492.35950000000003</v>
      </c>
      <c r="H2736" s="1">
        <v>-4.6664400000000002E-6</v>
      </c>
      <c r="I2736">
        <v>259.46949999999998</v>
      </c>
      <c r="J2736">
        <v>-490.0147</v>
      </c>
      <c r="K2736">
        <v>1.1204080000000001</v>
      </c>
      <c r="L2736">
        <v>270.56599999999997</v>
      </c>
      <c r="M2736">
        <v>-0.47334559999999998</v>
      </c>
      <c r="N2736">
        <v>0</v>
      </c>
      <c r="O2736">
        <v>-0.88074519999999901</v>
      </c>
      <c r="P2736">
        <v>-0.50102380000000002</v>
      </c>
      <c r="Q2736">
        <v>1.6753959999999998E-2</v>
      </c>
      <c r="R2736">
        <v>-0.86527149999999997</v>
      </c>
      <c r="S2736">
        <v>-0.6631165</v>
      </c>
      <c r="T2736">
        <v>-0.30942459999999899</v>
      </c>
      <c r="U2736">
        <v>-3.0969850000000001</v>
      </c>
      <c r="V2736">
        <v>3.0879859999999999E-2</v>
      </c>
      <c r="W2736">
        <v>3.2776510000000002E-2</v>
      </c>
      <c r="X2736">
        <v>0.99898549999999997</v>
      </c>
      <c r="Y2736">
        <v>-0.27918029999999999</v>
      </c>
      <c r="Z2736">
        <v>7.9125600000000004E-2</v>
      </c>
      <c r="AA2736">
        <v>0.95697310000000002</v>
      </c>
      <c r="AB2736">
        <v>27</v>
      </c>
      <c r="AC2736">
        <v>-2.3448000000000202</v>
      </c>
      <c r="AD2736">
        <v>-1.12041266644</v>
      </c>
      <c r="AE2736">
        <v>-11.096499999999899</v>
      </c>
      <c r="AF2736">
        <v>-3.15686924598922</v>
      </c>
      <c r="AG2736">
        <v>-1.12041266644</v>
      </c>
      <c r="AH2736">
        <v>10.7791561374552</v>
      </c>
      <c r="AI2736">
        <v>95.696555272930993</v>
      </c>
      <c r="AJ2736">
        <v>106.323615958166</v>
      </c>
      <c r="AK2736">
        <v>11.287663842222999</v>
      </c>
      <c r="AL2736">
        <v>88.121707800281996</v>
      </c>
      <c r="AM2736">
        <v>88.229481355569604</v>
      </c>
      <c r="AN2736">
        <v>0.99999994728582298</v>
      </c>
    </row>
    <row r="2737" spans="1:40" x14ac:dyDescent="0.25">
      <c r="A2737" t="str">
        <f>"20190312154849440"</f>
        <v>20190312154849440</v>
      </c>
      <c r="B2737" t="str">
        <f>"1552376929438376"</f>
        <v>1552376929438376</v>
      </c>
      <c r="C2737" t="s">
        <v>40</v>
      </c>
      <c r="D2737">
        <v>4.4985790000000003</v>
      </c>
      <c r="E2737">
        <v>0.38047579999999998</v>
      </c>
      <c r="F2737" t="s">
        <v>42</v>
      </c>
      <c r="G2737">
        <v>-492.33730000000003</v>
      </c>
      <c r="H2737" s="1">
        <v>-4.6663910000000003E-6</v>
      </c>
      <c r="I2737">
        <v>259.48090000000002</v>
      </c>
      <c r="J2737">
        <v>-490.07130000000001</v>
      </c>
      <c r="K2737">
        <v>1.120398</v>
      </c>
      <c r="L2737">
        <v>270.44600000000003</v>
      </c>
      <c r="M2737">
        <v>-0.46704580000000001</v>
      </c>
      <c r="N2737">
        <v>0</v>
      </c>
      <c r="O2737">
        <v>-0.8841021</v>
      </c>
      <c r="P2737">
        <v>-0.49465209999999998</v>
      </c>
      <c r="Q2737">
        <v>1.6555879999999999E-2</v>
      </c>
      <c r="R2737">
        <v>-0.86893379999999998</v>
      </c>
      <c r="S2737">
        <v>-0.64898679999999997</v>
      </c>
      <c r="T2737">
        <v>-0.3130656</v>
      </c>
      <c r="U2737">
        <v>-3.0974119999999998</v>
      </c>
      <c r="V2737">
        <v>3.0675330000000001E-2</v>
      </c>
      <c r="W2737">
        <v>3.2571099999999999E-2</v>
      </c>
      <c r="X2737">
        <v>0.99899859999999896</v>
      </c>
      <c r="Y2737">
        <v>-0.27655239999999998</v>
      </c>
      <c r="Z2737">
        <v>8.0593620000000005E-2</v>
      </c>
      <c r="AA2737">
        <v>0.95761339999999995</v>
      </c>
      <c r="AB2737">
        <v>27</v>
      </c>
      <c r="AC2737">
        <v>-2.26600000000002</v>
      </c>
      <c r="AD2737">
        <v>-1.1204026663910001</v>
      </c>
      <c r="AE2737">
        <v>-10.9650999999999</v>
      </c>
      <c r="AF2737">
        <v>-3.0872771276563999</v>
      </c>
      <c r="AG2737">
        <v>-1.1204026663910001</v>
      </c>
      <c r="AH2737">
        <v>10.647229697081601</v>
      </c>
      <c r="AI2737">
        <v>95.771090160084299</v>
      </c>
      <c r="AJ2737">
        <v>106.170076745232</v>
      </c>
      <c r="AK2737">
        <v>11.1422655874029</v>
      </c>
      <c r="AL2737">
        <v>88.133483364242593</v>
      </c>
      <c r="AM2737">
        <v>88.241223886932104</v>
      </c>
      <c r="AN2737">
        <v>1.0000000276138801</v>
      </c>
    </row>
    <row r="2738" spans="1:40" x14ac:dyDescent="0.25">
      <c r="A2738" t="str">
        <f>"20190312154849452"</f>
        <v>20190312154849452</v>
      </c>
      <c r="B2738" t="str">
        <f>"1552376929449111"</f>
        <v>1552376929449111</v>
      </c>
      <c r="C2738" t="s">
        <v>40</v>
      </c>
      <c r="D2738">
        <v>4.5233990000000004</v>
      </c>
      <c r="E2738">
        <v>0.38128770000000001</v>
      </c>
      <c r="F2738" t="s">
        <v>42</v>
      </c>
      <c r="G2738">
        <v>-492.32589999999999</v>
      </c>
      <c r="H2738" s="1">
        <v>-4.6703409999999996E-6</v>
      </c>
      <c r="I2738">
        <v>259.4984</v>
      </c>
      <c r="J2738">
        <v>-490.12599999999998</v>
      </c>
      <c r="K2738">
        <v>1.1203909999999999</v>
      </c>
      <c r="L2738">
        <v>270.3272</v>
      </c>
      <c r="M2738">
        <v>-0.46081</v>
      </c>
      <c r="N2738">
        <v>0</v>
      </c>
      <c r="O2738">
        <v>-0.8873683</v>
      </c>
      <c r="P2738">
        <v>-0.48863380000000001</v>
      </c>
      <c r="Q2738">
        <v>1.632465E-2</v>
      </c>
      <c r="R2738">
        <v>-0.87233619999999901</v>
      </c>
      <c r="S2738">
        <v>-0.63754270000000002</v>
      </c>
      <c r="T2738">
        <v>-0.3168144</v>
      </c>
      <c r="U2738">
        <v>-3.0956419999999998</v>
      </c>
      <c r="V2738">
        <v>3.0807859999999999E-2</v>
      </c>
      <c r="W2738">
        <v>3.2340439999999998E-2</v>
      </c>
      <c r="X2738">
        <v>0.99900199999999995</v>
      </c>
      <c r="Y2738">
        <v>-0.27309420000000001</v>
      </c>
      <c r="Z2738">
        <v>8.2150760000000003E-2</v>
      </c>
      <c r="AA2738">
        <v>0.95847309999999997</v>
      </c>
      <c r="AB2738">
        <v>27</v>
      </c>
      <c r="AC2738">
        <v>-2.1999000000000102</v>
      </c>
      <c r="AD2738">
        <v>-1.1203956703409901</v>
      </c>
      <c r="AE2738">
        <v>-10.828799999999999</v>
      </c>
      <c r="AF2738">
        <v>-3.0073325431732201</v>
      </c>
      <c r="AG2738">
        <v>-1.1203956703409901</v>
      </c>
      <c r="AH2738">
        <v>10.5159896750018</v>
      </c>
      <c r="AI2738">
        <v>95.848731431041301</v>
      </c>
      <c r="AJ2738">
        <v>105.959318192342</v>
      </c>
      <c r="AK2738">
        <v>10.9947885076564</v>
      </c>
      <c r="AL2738">
        <v>88.146706145878198</v>
      </c>
      <c r="AM2738">
        <v>88.233636064381898</v>
      </c>
      <c r="AN2738">
        <v>1.0000000121505801</v>
      </c>
    </row>
    <row r="2739" spans="1:40" x14ac:dyDescent="0.25">
      <c r="A2739" t="str">
        <f>"20190312154849463"</f>
        <v>20190312154849463</v>
      </c>
      <c r="B2739" t="str">
        <f>"1552376929458872"</f>
        <v>1552376929458872</v>
      </c>
      <c r="C2739" t="s">
        <v>40</v>
      </c>
      <c r="D2739">
        <v>4.5034039999999997</v>
      </c>
      <c r="E2739">
        <v>0.38194549999999999</v>
      </c>
      <c r="F2739" t="s">
        <v>42</v>
      </c>
      <c r="G2739">
        <v>-492.33909999999997</v>
      </c>
      <c r="H2739" s="1">
        <v>-4.607148E-6</v>
      </c>
      <c r="I2739">
        <v>259.30590000000001</v>
      </c>
      <c r="J2739">
        <v>-490.18239999999997</v>
      </c>
      <c r="K2739">
        <v>1.1203799999999999</v>
      </c>
      <c r="L2739">
        <v>270.20350000000002</v>
      </c>
      <c r="M2739">
        <v>-0.45430280000000001</v>
      </c>
      <c r="N2739">
        <v>0</v>
      </c>
      <c r="O2739">
        <v>-0.89071719999999899</v>
      </c>
      <c r="P2739">
        <v>-0.48248780000000002</v>
      </c>
      <c r="Q2739">
        <v>1.6267460000000001E-2</v>
      </c>
      <c r="R2739">
        <v>-0.87575190000000003</v>
      </c>
      <c r="S2739">
        <v>-0.62179569999999995</v>
      </c>
      <c r="T2739">
        <v>-0.31479190000000001</v>
      </c>
      <c r="U2739">
        <v>-3.096619</v>
      </c>
      <c r="V2739">
        <v>3.1097090000000001E-2</v>
      </c>
      <c r="W2739">
        <v>3.2288009999999999E-2</v>
      </c>
      <c r="X2739">
        <v>0.99899470000000001</v>
      </c>
      <c r="Y2739">
        <v>-0.2707907</v>
      </c>
      <c r="Z2739">
        <v>8.2163040000000007E-2</v>
      </c>
      <c r="AA2739">
        <v>0.95912549999999996</v>
      </c>
      <c r="AB2739">
        <v>27</v>
      </c>
      <c r="AC2739">
        <v>-2.1566999999999998</v>
      </c>
      <c r="AD2739">
        <v>-1.1203846071479999</v>
      </c>
      <c r="AE2739">
        <v>-10.897600000000001</v>
      </c>
      <c r="AF2739">
        <v>-2.9996406710450501</v>
      </c>
      <c r="AG2739">
        <v>-1.1203846071479999</v>
      </c>
      <c r="AH2739">
        <v>10.5800975462354</v>
      </c>
      <c r="AI2739">
        <v>95.817220656674706</v>
      </c>
      <c r="AJ2739">
        <v>105.828950606612</v>
      </c>
      <c r="AK2739">
        <v>11.0540295779946</v>
      </c>
      <c r="AL2739">
        <v>88.149711669274396</v>
      </c>
      <c r="AM2739">
        <v>88.217050739957799</v>
      </c>
      <c r="AN2739">
        <v>0.99999997761215798</v>
      </c>
    </row>
    <row r="2740" spans="1:40" x14ac:dyDescent="0.25">
      <c r="A2740" t="str">
        <f>"20190312154849475"</f>
        <v>20190312154849475</v>
      </c>
      <c r="B2740" t="str">
        <f>"1552376929468632"</f>
        <v>1552376929468632</v>
      </c>
      <c r="C2740" t="s">
        <v>40</v>
      </c>
      <c r="D2740">
        <v>4.55185</v>
      </c>
      <c r="E2740">
        <v>0.38194549999999999</v>
      </c>
      <c r="F2740" t="s">
        <v>42</v>
      </c>
      <c r="G2740">
        <v>-492.32339999999999</v>
      </c>
      <c r="H2740" s="1">
        <v>-4.5817069999999997E-6</v>
      </c>
      <c r="I2740">
        <v>259.23930000000001</v>
      </c>
      <c r="J2740">
        <v>-490.2353</v>
      </c>
      <c r="K2740">
        <v>1.1203689999999999</v>
      </c>
      <c r="L2740">
        <v>270.08339999999998</v>
      </c>
      <c r="M2740">
        <v>-0.44799929999999899</v>
      </c>
      <c r="N2740">
        <v>0</v>
      </c>
      <c r="O2740">
        <v>-0.89390439999999904</v>
      </c>
      <c r="P2740">
        <v>-0.47645209999999999</v>
      </c>
      <c r="Q2740">
        <v>1.6071970000000001E-2</v>
      </c>
      <c r="R2740">
        <v>-0.879054</v>
      </c>
      <c r="S2740">
        <v>-0.60501099999999997</v>
      </c>
      <c r="T2740">
        <v>-0.3165944</v>
      </c>
      <c r="U2740">
        <v>-3.098236</v>
      </c>
      <c r="V2740">
        <v>3.1286349999999997E-2</v>
      </c>
      <c r="W2740">
        <v>3.2094039999999997E-2</v>
      </c>
      <c r="X2740">
        <v>0.99899510000000002</v>
      </c>
      <c r="Y2740">
        <v>-0.26910040000000002</v>
      </c>
      <c r="Z2740">
        <v>8.3116579999999995E-2</v>
      </c>
      <c r="AA2740">
        <v>0.95951900000000001</v>
      </c>
      <c r="AB2740">
        <v>27</v>
      </c>
      <c r="AC2740">
        <v>-2.0880999999999901</v>
      </c>
      <c r="AD2740">
        <v>-1.120373581707</v>
      </c>
      <c r="AE2740">
        <v>-10.8440999999999</v>
      </c>
      <c r="AF2740">
        <v>-2.96145264199474</v>
      </c>
      <c r="AG2740">
        <v>-1.120373581707</v>
      </c>
      <c r="AH2740">
        <v>10.521987680269399</v>
      </c>
      <c r="AI2740">
        <v>95.852204721400298</v>
      </c>
      <c r="AJ2740">
        <v>105.71945427554</v>
      </c>
      <c r="AK2740">
        <v>10.9880691414418</v>
      </c>
      <c r="AL2740">
        <v>88.160831202977803</v>
      </c>
      <c r="AM2740">
        <v>88.206207318050005</v>
      </c>
      <c r="AN2740">
        <v>1.0000000364619199</v>
      </c>
    </row>
    <row r="2741" spans="1:40" x14ac:dyDescent="0.25">
      <c r="A2741" t="str">
        <f>"20190312154849486"</f>
        <v>20190312154849486</v>
      </c>
      <c r="B2741" t="str">
        <f>"1552376929478391"</f>
        <v>1552376929478391</v>
      </c>
      <c r="C2741" t="s">
        <v>40</v>
      </c>
      <c r="D2741">
        <v>4.5283509999999998</v>
      </c>
      <c r="E2741">
        <v>0.3933316</v>
      </c>
      <c r="F2741" t="s">
        <v>42</v>
      </c>
      <c r="G2741">
        <v>-492.29840000000002</v>
      </c>
      <c r="H2741" s="1">
        <v>-4.5344229999999997E-6</v>
      </c>
      <c r="I2741">
        <v>259.11329999999998</v>
      </c>
      <c r="J2741">
        <v>-490.28859999999997</v>
      </c>
      <c r="K2741">
        <v>1.1203620000000001</v>
      </c>
      <c r="L2741">
        <v>269.96199999999999</v>
      </c>
      <c r="M2741">
        <v>-0.44160270000000001</v>
      </c>
      <c r="N2741">
        <v>0</v>
      </c>
      <c r="O2741">
        <v>-0.89708149999999998</v>
      </c>
      <c r="P2741">
        <v>-0.47023280000000001</v>
      </c>
      <c r="Q2741">
        <v>1.5918740000000001E-2</v>
      </c>
      <c r="R2741">
        <v>-0.88239899999999905</v>
      </c>
      <c r="S2741">
        <v>-0.58343509999999998</v>
      </c>
      <c r="T2741">
        <v>-0.31684040000000002</v>
      </c>
      <c r="U2741">
        <v>-3.102325</v>
      </c>
      <c r="V2741">
        <v>3.1371490000000002E-2</v>
      </c>
      <c r="W2741">
        <v>3.1939620000000002E-2</v>
      </c>
      <c r="X2741">
        <v>0.99899729999999998</v>
      </c>
      <c r="Y2741">
        <v>-0.2689008</v>
      </c>
      <c r="Z2741">
        <v>8.3590380000000006E-2</v>
      </c>
      <c r="AA2741">
        <v>0.95953379999999999</v>
      </c>
      <c r="AB2741">
        <v>27</v>
      </c>
      <c r="AC2741">
        <v>-2.0098000000000402</v>
      </c>
      <c r="AD2741">
        <v>-1.120366534423</v>
      </c>
      <c r="AE2741">
        <v>-10.848699999999999</v>
      </c>
      <c r="AF2741">
        <v>-2.95770964298449</v>
      </c>
      <c r="AG2741">
        <v>-1.120366534423</v>
      </c>
      <c r="AH2741">
        <v>10.5125354025745</v>
      </c>
      <c r="AI2741">
        <v>95.857549734739294</v>
      </c>
      <c r="AJ2741">
        <v>105.71398670359901</v>
      </c>
      <c r="AK2741">
        <v>10.9780083846771</v>
      </c>
      <c r="AL2741">
        <v>88.169683210703397</v>
      </c>
      <c r="AM2741">
        <v>88.201333004501905</v>
      </c>
      <c r="AN2741">
        <v>0.99999995755892601</v>
      </c>
    </row>
    <row r="2742" spans="1:40" x14ac:dyDescent="0.25">
      <c r="A2742" t="str">
        <f>"20190312154849496"</f>
        <v>20190312154849496</v>
      </c>
      <c r="B2742" t="str">
        <f>"1552376929489127"</f>
        <v>1552376929489127</v>
      </c>
      <c r="C2742" t="s">
        <v>40</v>
      </c>
      <c r="D2742">
        <v>4.5415289999999997</v>
      </c>
      <c r="E2742">
        <v>0.3933316</v>
      </c>
      <c r="F2742" t="s">
        <v>42</v>
      </c>
      <c r="G2742">
        <v>-492.51600000000002</v>
      </c>
      <c r="H2742" s="1">
        <v>-4.6425150000000002E-6</v>
      </c>
      <c r="I2742">
        <v>259.31760000000003</v>
      </c>
      <c r="J2742">
        <v>-490.33800000000002</v>
      </c>
      <c r="K2742">
        <v>1.1203510000000001</v>
      </c>
      <c r="L2742">
        <v>269.84570000000002</v>
      </c>
      <c r="M2742">
        <v>-0.4354847</v>
      </c>
      <c r="N2742">
        <v>0</v>
      </c>
      <c r="O2742">
        <v>-0.90006739999999996</v>
      </c>
      <c r="P2742">
        <v>-0.464557</v>
      </c>
      <c r="Q2742">
        <v>1.6164330000000001E-2</v>
      </c>
      <c r="R2742">
        <v>-0.88539559999999995</v>
      </c>
      <c r="S2742">
        <v>-0.64114380000000004</v>
      </c>
      <c r="T2742">
        <v>-0.32249430000000001</v>
      </c>
      <c r="U2742">
        <v>-3.063965</v>
      </c>
      <c r="V2742">
        <v>3.1755079999999998E-2</v>
      </c>
      <c r="W2742">
        <v>3.2192220000000001E-2</v>
      </c>
      <c r="X2742">
        <v>0.99897709999999995</v>
      </c>
      <c r="Y2742">
        <v>-0.2427531</v>
      </c>
      <c r="Z2742">
        <v>8.6783860000000004E-2</v>
      </c>
      <c r="AA2742">
        <v>0.96619849999999996</v>
      </c>
      <c r="AB2742">
        <v>27</v>
      </c>
      <c r="AC2742">
        <v>-2.17799999999994</v>
      </c>
      <c r="AD2742">
        <v>-1.1203556425149901</v>
      </c>
      <c r="AE2742">
        <v>-10.528099999999901</v>
      </c>
      <c r="AF2742">
        <v>-2.5965860760481201</v>
      </c>
      <c r="AG2742">
        <v>-1.1203556425149901</v>
      </c>
      <c r="AH2742">
        <v>10.3136913511896</v>
      </c>
      <c r="AI2742">
        <v>96.013408147152006</v>
      </c>
      <c r="AJ2742">
        <v>104.13117107281801</v>
      </c>
      <c r="AK2742">
        <v>10.6943763400979</v>
      </c>
      <c r="AL2742">
        <v>88.155202900772494</v>
      </c>
      <c r="AM2742">
        <v>88.179318006812693</v>
      </c>
      <c r="AN2742">
        <v>0.99999998522937195</v>
      </c>
    </row>
    <row r="2743" spans="1:40" x14ac:dyDescent="0.25">
      <c r="A2743" t="str">
        <f>"20190312154849508"</f>
        <v>20190312154849508</v>
      </c>
      <c r="B2743" t="str">
        <f>"1552376929498888"</f>
        <v>1552376929498888</v>
      </c>
      <c r="C2743" t="s">
        <v>40</v>
      </c>
      <c r="D2743">
        <v>4.5358510000000001</v>
      </c>
      <c r="E2743">
        <v>0.37522129999999998</v>
      </c>
      <c r="F2743" t="s">
        <v>42</v>
      </c>
      <c r="G2743">
        <v>-492.50450000000001</v>
      </c>
      <c r="H2743" s="1">
        <v>-4.5852279999999997E-6</v>
      </c>
      <c r="I2743">
        <v>259.15519999999998</v>
      </c>
      <c r="J2743">
        <v>-490.39069999999998</v>
      </c>
      <c r="K2743">
        <v>1.120341</v>
      </c>
      <c r="L2743">
        <v>269.72039999999998</v>
      </c>
      <c r="M2743">
        <v>-0.4288865</v>
      </c>
      <c r="N2743">
        <v>0</v>
      </c>
      <c r="O2743">
        <v>-0.90323019999999998</v>
      </c>
      <c r="P2743">
        <v>-0.45817190000000002</v>
      </c>
      <c r="Q2743">
        <v>1.6536229999999999E-2</v>
      </c>
      <c r="R2743">
        <v>-0.88870979999999999</v>
      </c>
      <c r="S2743">
        <v>-0.62173459999999903</v>
      </c>
      <c r="T2743">
        <v>-0.321521</v>
      </c>
      <c r="U2743">
        <v>-3.0679630000000002</v>
      </c>
      <c r="V2743">
        <v>3.1869439999999999E-2</v>
      </c>
      <c r="W2743">
        <v>3.2563479999999999E-2</v>
      </c>
      <c r="X2743">
        <v>0.9989614</v>
      </c>
      <c r="Y2743">
        <v>-0.2417704</v>
      </c>
      <c r="Z2743">
        <v>8.6952249999999995E-2</v>
      </c>
      <c r="AA2743">
        <v>0.96642969999999895</v>
      </c>
      <c r="AB2743">
        <v>27</v>
      </c>
      <c r="AC2743">
        <v>-2.1138000000000199</v>
      </c>
      <c r="AD2743">
        <v>-1.120345585228</v>
      </c>
      <c r="AE2743">
        <v>-10.565200000000001</v>
      </c>
      <c r="AF2743">
        <v>-2.5942781516402902</v>
      </c>
      <c r="AG2743">
        <v>-1.120345585228</v>
      </c>
      <c r="AH2743">
        <v>10.338815569473599</v>
      </c>
      <c r="AI2743">
        <v>96.000023975893896</v>
      </c>
      <c r="AJ2743">
        <v>104.086170225206</v>
      </c>
      <c r="AK2743">
        <v>10.718048364231599</v>
      </c>
      <c r="AL2743">
        <v>88.133920063686304</v>
      </c>
      <c r="AM2743">
        <v>88.172736899035499</v>
      </c>
      <c r="AN2743">
        <v>0.99999996006279102</v>
      </c>
    </row>
    <row r="2744" spans="1:40" x14ac:dyDescent="0.25">
      <c r="A2744" t="str">
        <f>"20190312154849519"</f>
        <v>20190312154849519</v>
      </c>
      <c r="B2744" t="str">
        <f>"1552376929508648"</f>
        <v>1552376929508648</v>
      </c>
      <c r="C2744" t="s">
        <v>40</v>
      </c>
      <c r="D2744">
        <v>4.5123179999999996</v>
      </c>
      <c r="E2744">
        <v>0.36876979999999998</v>
      </c>
      <c r="F2744" t="s">
        <v>42</v>
      </c>
      <c r="G2744">
        <v>-492.12560000000002</v>
      </c>
      <c r="H2744" s="1">
        <v>-4.185415E-6</v>
      </c>
      <c r="I2744">
        <v>258.17779999999999</v>
      </c>
      <c r="J2744">
        <v>-490.44099999999997</v>
      </c>
      <c r="K2744">
        <v>1.120333</v>
      </c>
      <c r="L2744">
        <v>269.59769999999997</v>
      </c>
      <c r="M2744">
        <v>-0.42241970000000001</v>
      </c>
      <c r="N2744">
        <v>0</v>
      </c>
      <c r="O2744">
        <v>-0.90627250000000004</v>
      </c>
      <c r="P2744">
        <v>-0.45203409999999999</v>
      </c>
      <c r="Q2744">
        <v>1.663359E-2</v>
      </c>
      <c r="R2744">
        <v>-0.89184569999999996</v>
      </c>
      <c r="S2744">
        <v>-0.47167969999999998</v>
      </c>
      <c r="T2744">
        <v>-0.30460169999999998</v>
      </c>
      <c r="U2744">
        <v>-3.1382140000000001</v>
      </c>
      <c r="V2744">
        <v>3.2121730000000001E-2</v>
      </c>
      <c r="W2744">
        <v>3.2664510000000001E-2</v>
      </c>
      <c r="X2744">
        <v>0.99895009999999995</v>
      </c>
      <c r="Y2744">
        <v>-0.28355229999999998</v>
      </c>
      <c r="Z2744">
        <v>8.0781339999999993E-2</v>
      </c>
      <c r="AA2744">
        <v>0.95554819999999996</v>
      </c>
      <c r="AB2744">
        <v>27</v>
      </c>
      <c r="AC2744">
        <v>-1.6846000000000401</v>
      </c>
      <c r="AD2744">
        <v>-1.1203371854149999</v>
      </c>
      <c r="AE2744">
        <v>-11.419899999999901</v>
      </c>
      <c r="AF2744">
        <v>-3.26689400214318</v>
      </c>
      <c r="AG2744">
        <v>-1.1203371854149999</v>
      </c>
      <c r="AH2744">
        <v>10.959202258288901</v>
      </c>
      <c r="AI2744">
        <v>95.595288889184999</v>
      </c>
      <c r="AJ2744">
        <v>106.59910652319699</v>
      </c>
      <c r="AK2744">
        <v>11.4905119976591</v>
      </c>
      <c r="AL2744">
        <v>88.128128537658</v>
      </c>
      <c r="AM2744">
        <v>88.158260728208106</v>
      </c>
      <c r="AN2744">
        <v>1.0000000390208701</v>
      </c>
    </row>
    <row r="2745" spans="1:40" x14ac:dyDescent="0.25">
      <c r="A2745" t="str">
        <f>"20190312154849531"</f>
        <v>20190312154849531</v>
      </c>
      <c r="B2745" t="str">
        <f>"1552376929528168"</f>
        <v>1552376929528168</v>
      </c>
      <c r="C2745" t="s">
        <v>40</v>
      </c>
      <c r="D2745">
        <v>4.528632</v>
      </c>
      <c r="E2745">
        <v>0.36085089999999997</v>
      </c>
      <c r="F2745" t="s">
        <v>42</v>
      </c>
      <c r="G2745">
        <v>-492.00889999999998</v>
      </c>
      <c r="H2745" s="1">
        <v>-3.8581740000000003E-6</v>
      </c>
      <c r="I2745">
        <v>257.33659999999998</v>
      </c>
      <c r="J2745">
        <v>-490.48950000000002</v>
      </c>
      <c r="K2745">
        <v>1.120323</v>
      </c>
      <c r="L2745">
        <v>269.47719999999998</v>
      </c>
      <c r="M2745">
        <v>-0.41607169999999999</v>
      </c>
      <c r="N2745">
        <v>0</v>
      </c>
      <c r="O2745">
        <v>-0.90920449999999997</v>
      </c>
      <c r="P2745">
        <v>-0.44597890000000001</v>
      </c>
      <c r="Q2745">
        <v>1.718314E-2</v>
      </c>
      <c r="R2745">
        <v>-0.89487870000000003</v>
      </c>
      <c r="S2745">
        <v>-0.40460210000000002</v>
      </c>
      <c r="T2745">
        <v>-0.2891185</v>
      </c>
      <c r="U2745">
        <v>-3.1641240000000002</v>
      </c>
      <c r="V2745">
        <v>3.2328139999999998E-2</v>
      </c>
      <c r="W2745">
        <v>3.3215920000000003E-2</v>
      </c>
      <c r="X2745">
        <v>0.99892519999999996</v>
      </c>
      <c r="Y2745">
        <v>-0.29778929999999998</v>
      </c>
      <c r="Z2745">
        <v>7.6376540000000007E-2</v>
      </c>
      <c r="AA2745">
        <v>0.95157139999999996</v>
      </c>
      <c r="AB2745">
        <v>27</v>
      </c>
      <c r="AC2745">
        <v>-1.5193999999999599</v>
      </c>
      <c r="AD2745">
        <v>-1.120326858174</v>
      </c>
      <c r="AE2745">
        <v>-12.140599999999999</v>
      </c>
      <c r="AF2745">
        <v>-3.6398227935500298</v>
      </c>
      <c r="AG2745">
        <v>-1.120326858174</v>
      </c>
      <c r="AH2745">
        <v>11.5747738925202</v>
      </c>
      <c r="AI2745">
        <v>95.275320877778498</v>
      </c>
      <c r="AJ2745">
        <v>107.456363487833</v>
      </c>
      <c r="AK2745">
        <v>12.185189079393</v>
      </c>
      <c r="AL2745">
        <v>88.096517807110004</v>
      </c>
      <c r="AM2745">
        <v>88.146388012635299</v>
      </c>
      <c r="AN2745">
        <v>0.99999998058617201</v>
      </c>
    </row>
    <row r="2746" spans="1:40" x14ac:dyDescent="0.25">
      <c r="A2746" t="str">
        <f>"20190312154849541"</f>
        <v>20190312154849541</v>
      </c>
      <c r="B2746" t="str">
        <f>"1552376929538904"</f>
        <v>1552376929538904</v>
      </c>
      <c r="C2746" t="s">
        <v>40</v>
      </c>
      <c r="D2746">
        <v>4.4808000000000003</v>
      </c>
      <c r="E2746">
        <v>0.35923139999999998</v>
      </c>
      <c r="F2746" t="s">
        <v>42</v>
      </c>
      <c r="G2746">
        <v>-491.77030000000002</v>
      </c>
      <c r="H2746" s="1">
        <v>-3.6328690000000002E-6</v>
      </c>
      <c r="I2746">
        <v>256.95940000000002</v>
      </c>
      <c r="J2746">
        <v>-490.53769999999997</v>
      </c>
      <c r="K2746">
        <v>1.120314</v>
      </c>
      <c r="L2746">
        <v>269.3553</v>
      </c>
      <c r="M2746">
        <v>-0.40964139999999999</v>
      </c>
      <c r="N2746">
        <v>0</v>
      </c>
      <c r="O2746">
        <v>-0.91211980000000004</v>
      </c>
      <c r="P2746">
        <v>-0.4395521</v>
      </c>
      <c r="Q2746">
        <v>1.7571489999999999E-2</v>
      </c>
      <c r="R2746">
        <v>-0.89804539999999999</v>
      </c>
      <c r="S2746">
        <v>-0.32690429999999998</v>
      </c>
      <c r="T2746">
        <v>-0.28594599999999998</v>
      </c>
      <c r="U2746">
        <v>-3.1949770000000002</v>
      </c>
      <c r="V2746">
        <v>3.2214659999999999E-2</v>
      </c>
      <c r="W2746">
        <v>3.3598129999999997E-2</v>
      </c>
      <c r="X2746">
        <v>0.99891609999999997</v>
      </c>
      <c r="Y2746">
        <v>-0.31497930000000002</v>
      </c>
      <c r="Z2746">
        <v>7.5044669999999994E-2</v>
      </c>
      <c r="AA2746">
        <v>0.94612700000000005</v>
      </c>
      <c r="AB2746">
        <v>27</v>
      </c>
      <c r="AC2746">
        <v>-1.2326000000000401</v>
      </c>
      <c r="AD2746">
        <v>-1.1203176328689901</v>
      </c>
      <c r="AE2746">
        <v>-12.3958999999999</v>
      </c>
      <c r="AF2746">
        <v>-3.9223277948877899</v>
      </c>
      <c r="AG2746">
        <v>-1.1203176328689901</v>
      </c>
      <c r="AH2746">
        <v>11.7180583191082</v>
      </c>
      <c r="AI2746">
        <v>95.180385559199905</v>
      </c>
      <c r="AJ2746">
        <v>108.50668498420799</v>
      </c>
      <c r="AK2746">
        <v>12.407766023708099</v>
      </c>
      <c r="AL2746">
        <v>88.074606587581599</v>
      </c>
      <c r="AM2746">
        <v>88.152873332009705</v>
      </c>
      <c r="AN2746">
        <v>0.99999999674881102</v>
      </c>
    </row>
    <row r="2747" spans="1:40" x14ac:dyDescent="0.25">
      <c r="A2747" t="str">
        <f>"20190312154849552"</f>
        <v>20190312154849552</v>
      </c>
      <c r="B2747" t="str">
        <f>"1552376929548664"</f>
        <v>1552376929548664</v>
      </c>
      <c r="C2747" t="s">
        <v>40</v>
      </c>
      <c r="D2747">
        <v>4.5420449999999999</v>
      </c>
      <c r="E2747">
        <v>0.35840339999999998</v>
      </c>
      <c r="F2747" t="s">
        <v>42</v>
      </c>
      <c r="G2747">
        <v>-491.71370000000002</v>
      </c>
      <c r="H2747" s="1">
        <v>-3.411136E-6</v>
      </c>
      <c r="I2747">
        <v>256.4776</v>
      </c>
      <c r="J2747">
        <v>-490.58440000000002</v>
      </c>
      <c r="K2747">
        <v>1.120306</v>
      </c>
      <c r="L2747">
        <v>269.23379999999997</v>
      </c>
      <c r="M2747">
        <v>-0.4032307</v>
      </c>
      <c r="N2747">
        <v>0</v>
      </c>
      <c r="O2747">
        <v>-0.91497209999999995</v>
      </c>
      <c r="P2747">
        <v>-0.43321870000000001</v>
      </c>
      <c r="Q2747">
        <v>1.774773E-2</v>
      </c>
      <c r="R2747">
        <v>-0.90111430000000003</v>
      </c>
      <c r="S2747">
        <v>-0.29251100000000002</v>
      </c>
      <c r="T2747">
        <v>-0.27863690000000002</v>
      </c>
      <c r="U2747">
        <v>-3.2028500000000002</v>
      </c>
      <c r="V2747">
        <v>3.2189710000000003E-2</v>
      </c>
      <c r="W2747">
        <v>3.3770639999999998E-2</v>
      </c>
      <c r="X2747">
        <v>0.99891110000000005</v>
      </c>
      <c r="Y2747">
        <v>-0.31860549999999999</v>
      </c>
      <c r="Z2747">
        <v>7.3304649999999999E-2</v>
      </c>
      <c r="AA2747">
        <v>0.94504860000000002</v>
      </c>
      <c r="AB2747">
        <v>27</v>
      </c>
      <c r="AC2747">
        <v>-1.1293</v>
      </c>
      <c r="AD2747">
        <v>-1.1203094111359999</v>
      </c>
      <c r="AE2747">
        <v>-12.7561999999999</v>
      </c>
      <c r="AF2747">
        <v>-4.0796659363125096</v>
      </c>
      <c r="AG2747">
        <v>-1.1203094111359999</v>
      </c>
      <c r="AH2747">
        <v>12.036221233573601</v>
      </c>
      <c r="AI2747">
        <v>95.037719311942396</v>
      </c>
      <c r="AJ2747">
        <v>108.72404128991199</v>
      </c>
      <c r="AK2747">
        <v>12.758110710921001</v>
      </c>
      <c r="AL2747">
        <v>88.064716905340504</v>
      </c>
      <c r="AM2747">
        <v>88.1542936950203</v>
      </c>
      <c r="AN2747">
        <v>1.00000000962955</v>
      </c>
    </row>
    <row r="2748" spans="1:40" x14ac:dyDescent="0.25">
      <c r="A2748" t="str">
        <f>"20190312154849566"</f>
        <v>20190312154849566</v>
      </c>
      <c r="B2748" t="str">
        <f>"1552376929558426"</f>
        <v>1552376929558426</v>
      </c>
      <c r="C2748" t="s">
        <v>40</v>
      </c>
      <c r="D2748">
        <v>4.5311959999999996</v>
      </c>
      <c r="E2748">
        <v>0.3583615</v>
      </c>
      <c r="F2748" t="s">
        <v>42</v>
      </c>
      <c r="G2748">
        <v>-491.65370000000001</v>
      </c>
      <c r="H2748" s="1">
        <v>-3.29642E-6</v>
      </c>
      <c r="I2748">
        <v>256.2475</v>
      </c>
      <c r="J2748">
        <v>-490.63740000000001</v>
      </c>
      <c r="K2748">
        <v>1.120293</v>
      </c>
      <c r="L2748">
        <v>269.09440000000001</v>
      </c>
      <c r="M2748">
        <v>-0.3958604</v>
      </c>
      <c r="N2748">
        <v>0</v>
      </c>
      <c r="O2748">
        <v>-0.91818480000000002</v>
      </c>
      <c r="P2748">
        <v>-0.42610559999999997</v>
      </c>
      <c r="Q2748">
        <v>1.7711129999999999E-2</v>
      </c>
      <c r="R2748">
        <v>-0.90450030000000003</v>
      </c>
      <c r="S2748">
        <v>-0.26412960000000002</v>
      </c>
      <c r="T2748">
        <v>-0.27672039999999998</v>
      </c>
      <c r="U2748">
        <v>-3.2076720000000001</v>
      </c>
      <c r="V2748">
        <v>3.23535E-2</v>
      </c>
      <c r="W2748">
        <v>3.3734899999999998E-2</v>
      </c>
      <c r="X2748">
        <v>0.99890699999999999</v>
      </c>
      <c r="Y2748">
        <v>-0.31940980000000002</v>
      </c>
      <c r="Z2748">
        <v>7.3114280000000004E-2</v>
      </c>
      <c r="AA2748">
        <v>0.94479190000000002</v>
      </c>
      <c r="AB2748">
        <v>27</v>
      </c>
      <c r="AC2748">
        <v>-1.0163</v>
      </c>
      <c r="AD2748">
        <v>-1.1202962964200001</v>
      </c>
      <c r="AE2748">
        <v>-12.8469</v>
      </c>
      <c r="AF2748">
        <v>-4.1217590294621802</v>
      </c>
      <c r="AG2748">
        <v>-1.1202962964200001</v>
      </c>
      <c r="AH2748">
        <v>12.1080489929753</v>
      </c>
      <c r="AI2748">
        <v>95.005704921213905</v>
      </c>
      <c r="AJ2748">
        <v>108.799333923768</v>
      </c>
      <c r="AK2748">
        <v>12.8393462335516</v>
      </c>
      <c r="AL2748">
        <v>88.066765792820206</v>
      </c>
      <c r="AM2748">
        <v>88.144901175840005</v>
      </c>
      <c r="AN2748">
        <v>0.99999999354462998</v>
      </c>
    </row>
    <row r="2749" spans="1:40" x14ac:dyDescent="0.25">
      <c r="A2749" t="str">
        <f>"20190312154849577"</f>
        <v>20190312154849577</v>
      </c>
      <c r="B2749" t="str">
        <f>"1552376929569160"</f>
        <v>1552376929569160</v>
      </c>
      <c r="C2749" t="s">
        <v>40</v>
      </c>
      <c r="D2749">
        <v>4.6503690000000004</v>
      </c>
      <c r="E2749">
        <v>0.35876629999999998</v>
      </c>
      <c r="F2749" t="s">
        <v>42</v>
      </c>
      <c r="G2749">
        <v>-491.61200000000002</v>
      </c>
      <c r="H2749" s="1">
        <v>-3.1746040000000002E-6</v>
      </c>
      <c r="I2749">
        <v>255.98939999999999</v>
      </c>
      <c r="J2749">
        <v>-490.6859</v>
      </c>
      <c r="K2749">
        <v>1.1202810000000001</v>
      </c>
      <c r="L2749">
        <v>268.96190000000001</v>
      </c>
      <c r="M2749">
        <v>-0.3888643</v>
      </c>
      <c r="N2749">
        <v>0</v>
      </c>
      <c r="O2749">
        <v>-0.92116960000000003</v>
      </c>
      <c r="P2749">
        <v>-0.41919309999999999</v>
      </c>
      <c r="Q2749">
        <v>1.7611519999999999E-2</v>
      </c>
      <c r="R2749">
        <v>-0.90772660000000005</v>
      </c>
      <c r="S2749">
        <v>-0.23870849999999999</v>
      </c>
      <c r="T2749">
        <v>-0.27438390000000001</v>
      </c>
      <c r="U2749">
        <v>-3.209686</v>
      </c>
      <c r="V2749">
        <v>3.2334769999999999E-2</v>
      </c>
      <c r="W2749">
        <v>3.3631010000000003E-2</v>
      </c>
      <c r="X2749">
        <v>0.99891110000000005</v>
      </c>
      <c r="Y2749">
        <v>-0.31968530000000001</v>
      </c>
      <c r="Z2749">
        <v>7.2846170000000002E-2</v>
      </c>
      <c r="AA2749">
        <v>0.94471939999999999</v>
      </c>
      <c r="AB2749">
        <v>27</v>
      </c>
      <c r="AC2749">
        <v>-0.92609999999996195</v>
      </c>
      <c r="AD2749">
        <v>-1.12028417460399</v>
      </c>
      <c r="AE2749">
        <v>-12.9725</v>
      </c>
      <c r="AF2749">
        <v>-4.1610565670371003</v>
      </c>
      <c r="AG2749">
        <v>-1.12028417460399</v>
      </c>
      <c r="AH2749">
        <v>12.220745294091399</v>
      </c>
      <c r="AI2749">
        <v>94.959606555319795</v>
      </c>
      <c r="AJ2749">
        <v>108.80325825996</v>
      </c>
      <c r="AK2749">
        <v>12.9582423163409</v>
      </c>
      <c r="AL2749">
        <v>88.072721612416203</v>
      </c>
      <c r="AM2749">
        <v>88.145981979328994</v>
      </c>
      <c r="AN2749">
        <v>0.999999983943891</v>
      </c>
    </row>
    <row r="2750" spans="1:40" x14ac:dyDescent="0.25">
      <c r="A2750" t="str">
        <f>"20190312154849590"</f>
        <v>20190312154849590</v>
      </c>
      <c r="B2750" t="str">
        <f>"1552376929578920"</f>
        <v>1552376929578920</v>
      </c>
      <c r="C2750" t="s">
        <v>40</v>
      </c>
      <c r="D2750">
        <v>4.5406329999999997</v>
      </c>
      <c r="E2750">
        <v>0.35909419999999997</v>
      </c>
      <c r="F2750" t="s">
        <v>42</v>
      </c>
      <c r="G2750">
        <v>-491.59359999999998</v>
      </c>
      <c r="H2750" s="1">
        <v>-2.981777E-6</v>
      </c>
      <c r="I2750">
        <v>255.5513</v>
      </c>
      <c r="J2750">
        <v>-490.7355</v>
      </c>
      <c r="K2750">
        <v>1.120269</v>
      </c>
      <c r="L2750">
        <v>268.82420000000002</v>
      </c>
      <c r="M2750">
        <v>-0.3815866</v>
      </c>
      <c r="N2750">
        <v>0</v>
      </c>
      <c r="O2750">
        <v>-0.92420800000000003</v>
      </c>
      <c r="P2750">
        <v>-0.41212759999999998</v>
      </c>
      <c r="Q2750">
        <v>1.7292990000000001E-2</v>
      </c>
      <c r="R2750">
        <v>-0.91096220000000006</v>
      </c>
      <c r="S2750">
        <v>-0.21725459999999999</v>
      </c>
      <c r="T2750">
        <v>-0.26814470000000001</v>
      </c>
      <c r="U2750">
        <v>-3.2098689999999999</v>
      </c>
      <c r="V2750">
        <v>3.2458889999999997E-2</v>
      </c>
      <c r="W2750">
        <v>3.3312179999999997E-2</v>
      </c>
      <c r="X2750">
        <v>0.99891779999999997</v>
      </c>
      <c r="Y2750">
        <v>-0.31849309999999997</v>
      </c>
      <c r="Z2750">
        <v>7.1601650000000003E-2</v>
      </c>
      <c r="AA2750">
        <v>0.94521710000000003</v>
      </c>
      <c r="AB2750">
        <v>27</v>
      </c>
      <c r="AC2750">
        <v>-0.85809999999997899</v>
      </c>
      <c r="AD2750">
        <v>-1.1202719817769999</v>
      </c>
      <c r="AE2750">
        <v>-13.2729</v>
      </c>
      <c r="AF2750">
        <v>-4.2420975573814896</v>
      </c>
      <c r="AG2750">
        <v>-1.1202719817769999</v>
      </c>
      <c r="AH2750">
        <v>12.5070883570056</v>
      </c>
      <c r="AI2750">
        <v>94.848487542849995</v>
      </c>
      <c r="AJ2750">
        <v>108.73567572769799</v>
      </c>
      <c r="AK2750">
        <v>13.2543449543703</v>
      </c>
      <c r="AL2750">
        <v>88.090999548162003</v>
      </c>
      <c r="AM2750">
        <v>88.138882629804201</v>
      </c>
      <c r="AN2750">
        <v>1.00000002601661</v>
      </c>
    </row>
    <row r="2751" spans="1:40" x14ac:dyDescent="0.25">
      <c r="A2751" t="str">
        <f>"20190312154849602"</f>
        <v>20190312154849602</v>
      </c>
      <c r="B2751" t="str">
        <f>"1552376929598440"</f>
        <v>1552376929598440</v>
      </c>
      <c r="C2751" t="s">
        <v>40</v>
      </c>
      <c r="D2751">
        <v>4.561312</v>
      </c>
      <c r="E2751">
        <v>0.36021570000000003</v>
      </c>
      <c r="F2751" t="s">
        <v>42</v>
      </c>
      <c r="G2751">
        <v>-491.55239999999998</v>
      </c>
      <c r="H2751" s="1">
        <v>-2.868002E-6</v>
      </c>
      <c r="I2751">
        <v>255.3117</v>
      </c>
      <c r="J2751">
        <v>-490.78410000000002</v>
      </c>
      <c r="K2751">
        <v>1.1202570000000001</v>
      </c>
      <c r="L2751">
        <v>268.6859</v>
      </c>
      <c r="M2751">
        <v>-0.37426930000000003</v>
      </c>
      <c r="N2751">
        <v>0</v>
      </c>
      <c r="O2751">
        <v>-0.9271954</v>
      </c>
      <c r="P2751">
        <v>-0.40515800000000002</v>
      </c>
      <c r="Q2751">
        <v>1.7059080000000001E-2</v>
      </c>
      <c r="R2751">
        <v>-0.9140876</v>
      </c>
      <c r="S2751">
        <v>-0.19409180000000001</v>
      </c>
      <c r="T2751">
        <v>-0.26616790000000001</v>
      </c>
      <c r="U2751">
        <v>-3.21048</v>
      </c>
      <c r="V2751">
        <v>3.273094E-2</v>
      </c>
      <c r="W2751">
        <v>3.3081050000000001E-2</v>
      </c>
      <c r="X2751">
        <v>0.99891660000000004</v>
      </c>
      <c r="Y2751">
        <v>-0.31780350000000002</v>
      </c>
      <c r="Z2751">
        <v>7.1452440000000006E-2</v>
      </c>
      <c r="AA2751">
        <v>0.94546039999999998</v>
      </c>
      <c r="AB2751">
        <v>27</v>
      </c>
      <c r="AC2751">
        <v>-0.76829999999995302</v>
      </c>
      <c r="AD2751">
        <v>-1.1202598680019999</v>
      </c>
      <c r="AE2751">
        <v>-13.3742</v>
      </c>
      <c r="AF2751">
        <v>-4.2638668455543201</v>
      </c>
      <c r="AG2751">
        <v>-1.1202598680019999</v>
      </c>
      <c r="AH2751">
        <v>12.6013916323981</v>
      </c>
      <c r="AI2751">
        <v>94.813503028677701</v>
      </c>
      <c r="AJ2751">
        <v>108.694007545975</v>
      </c>
      <c r="AK2751">
        <v>13.3503038812435</v>
      </c>
      <c r="AL2751">
        <v>88.104249616708699</v>
      </c>
      <c r="AM2751">
        <v>88.123292769957999</v>
      </c>
      <c r="AN2751">
        <v>1.00000002202897</v>
      </c>
    </row>
    <row r="2752" spans="1:40" x14ac:dyDescent="0.25">
      <c r="A2752" t="str">
        <f>"20190312154849614"</f>
        <v>20190312154849614</v>
      </c>
      <c r="B2752" t="str">
        <f>"1552376929609176"</f>
        <v>1552376929609176</v>
      </c>
      <c r="C2752" t="s">
        <v>40</v>
      </c>
      <c r="D2752">
        <v>4.5804970000000003</v>
      </c>
      <c r="E2752">
        <v>0.36089329999999997</v>
      </c>
      <c r="F2752" t="s">
        <v>42</v>
      </c>
      <c r="G2752">
        <v>-491.54610000000002</v>
      </c>
      <c r="H2752" s="1">
        <v>-2.7145789999999999E-6</v>
      </c>
      <c r="I2752">
        <v>254.9579</v>
      </c>
      <c r="J2752">
        <v>-490.82679999999999</v>
      </c>
      <c r="K2752">
        <v>1.120247</v>
      </c>
      <c r="L2752">
        <v>268.56060000000002</v>
      </c>
      <c r="M2752">
        <v>-0.36763849999999998</v>
      </c>
      <c r="N2752">
        <v>0</v>
      </c>
      <c r="O2752">
        <v>-0.92984469999999997</v>
      </c>
      <c r="P2752">
        <v>-0.39892359999999999</v>
      </c>
      <c r="Q2752">
        <v>1.6757080000000001E-2</v>
      </c>
      <c r="R2752">
        <v>-0.91683130000000002</v>
      </c>
      <c r="S2752">
        <v>-0.17807010000000001</v>
      </c>
      <c r="T2752">
        <v>-0.26178089999999998</v>
      </c>
      <c r="U2752">
        <v>-3.2079469999999999</v>
      </c>
      <c r="V2752">
        <v>3.3068100000000003E-2</v>
      </c>
      <c r="W2752">
        <v>3.2784130000000002E-2</v>
      </c>
      <c r="X2752">
        <v>0.99891529999999995</v>
      </c>
      <c r="Y2752">
        <v>-0.315691</v>
      </c>
      <c r="Z2752">
        <v>7.0694049999999994E-2</v>
      </c>
      <c r="AA2752">
        <v>0.94622490000000004</v>
      </c>
      <c r="AB2752">
        <v>27</v>
      </c>
      <c r="AC2752">
        <v>-0.71930000000003202</v>
      </c>
      <c r="AD2752">
        <v>-1.120249714579</v>
      </c>
      <c r="AE2752">
        <v>-13.6027</v>
      </c>
      <c r="AF2752">
        <v>-4.3034329128276303</v>
      </c>
      <c r="AG2752">
        <v>-1.120249714579</v>
      </c>
      <c r="AH2752">
        <v>12.8275727194937</v>
      </c>
      <c r="AI2752">
        <v>94.733081499979093</v>
      </c>
      <c r="AJ2752">
        <v>108.54572872994601</v>
      </c>
      <c r="AK2752">
        <v>13.576491304167</v>
      </c>
      <c r="AL2752">
        <v>88.121271141199898</v>
      </c>
      <c r="AM2752">
        <v>88.103972462354506</v>
      </c>
      <c r="AN2752">
        <v>1.00000003749577</v>
      </c>
    </row>
    <row r="2753" spans="1:40" x14ac:dyDescent="0.25">
      <c r="A2753" t="str">
        <f>"20190312154849623"</f>
        <v>20190312154849623</v>
      </c>
      <c r="B2753" t="str">
        <f>"1552376929618936"</f>
        <v>1552376929618936</v>
      </c>
      <c r="C2753" t="s">
        <v>40</v>
      </c>
      <c r="D2753">
        <v>4.5844569999999996</v>
      </c>
      <c r="E2753">
        <v>0.36148859999999999</v>
      </c>
      <c r="F2753" t="s">
        <v>42</v>
      </c>
      <c r="G2753">
        <v>-491.5086</v>
      </c>
      <c r="H2753" s="1">
        <v>-2.7055390000000002E-6</v>
      </c>
      <c r="I2753">
        <v>254.96010000000001</v>
      </c>
      <c r="J2753">
        <v>-490.8673</v>
      </c>
      <c r="K2753">
        <v>1.1202350000000001</v>
      </c>
      <c r="L2753">
        <v>268.44029999999998</v>
      </c>
      <c r="M2753">
        <v>-0.36126350000000002</v>
      </c>
      <c r="N2753">
        <v>0</v>
      </c>
      <c r="O2753">
        <v>-0.93233999999999995</v>
      </c>
      <c r="P2753">
        <v>-0.39300489999999999</v>
      </c>
      <c r="Q2753">
        <v>1.6481289999999999E-2</v>
      </c>
      <c r="R2753">
        <v>-0.91938869999999895</v>
      </c>
      <c r="S2753">
        <v>-0.16076660000000001</v>
      </c>
      <c r="T2753">
        <v>-0.264156</v>
      </c>
      <c r="U2753">
        <v>-3.207001</v>
      </c>
      <c r="V2753">
        <v>3.3473959999999997E-2</v>
      </c>
      <c r="W2753">
        <v>3.2515339999999997E-2</v>
      </c>
      <c r="X2753">
        <v>0.99891050000000003</v>
      </c>
      <c r="Y2753">
        <v>-0.31427319999999997</v>
      </c>
      <c r="Z2753">
        <v>7.1683919999999998E-2</v>
      </c>
      <c r="AA2753">
        <v>0.94662230000000003</v>
      </c>
      <c r="AB2753">
        <v>27</v>
      </c>
      <c r="AC2753">
        <v>-0.64130000000000098</v>
      </c>
      <c r="AD2753">
        <v>-1.120237705539</v>
      </c>
      <c r="AE2753">
        <v>-13.4801999999999</v>
      </c>
      <c r="AF2753">
        <v>-4.2432498934418099</v>
      </c>
      <c r="AG2753">
        <v>-1.120237705539</v>
      </c>
      <c r="AH2753">
        <v>12.7136826999931</v>
      </c>
      <c r="AI2753">
        <v>94.777707487675599</v>
      </c>
      <c r="AJ2753">
        <v>108.456668425747</v>
      </c>
      <c r="AK2753">
        <v>13.449826391861301</v>
      </c>
      <c r="AL2753">
        <v>88.136679762845503</v>
      </c>
      <c r="AM2753">
        <v>88.080709727508093</v>
      </c>
      <c r="AN2753">
        <v>0.99999997017182296</v>
      </c>
    </row>
    <row r="2754" spans="1:40" x14ac:dyDescent="0.25">
      <c r="A2754" t="str">
        <f>"20190312154849636"</f>
        <v>20190312154849636</v>
      </c>
      <c r="B2754" t="str">
        <f>"1552376929628696"</f>
        <v>1552376929628696</v>
      </c>
      <c r="C2754" t="s">
        <v>40</v>
      </c>
      <c r="D2754">
        <v>4.5982310000000002</v>
      </c>
      <c r="E2754">
        <v>0.36228359999999998</v>
      </c>
      <c r="F2754" t="s">
        <v>42</v>
      </c>
      <c r="G2754">
        <v>-491.48110000000003</v>
      </c>
      <c r="H2754" s="1">
        <v>-2.6225610000000001E-6</v>
      </c>
      <c r="I2754">
        <v>254.78370000000001</v>
      </c>
      <c r="J2754">
        <v>-490.90780000000001</v>
      </c>
      <c r="K2754">
        <v>1.1202240000000001</v>
      </c>
      <c r="L2754">
        <v>268.3152</v>
      </c>
      <c r="M2754">
        <v>-0.354641599999999</v>
      </c>
      <c r="N2754">
        <v>0</v>
      </c>
      <c r="O2754">
        <v>-0.9348786</v>
      </c>
      <c r="P2754">
        <v>-0.38698490000000002</v>
      </c>
      <c r="Q2754">
        <v>1.6595390000000002E-2</v>
      </c>
      <c r="R2754">
        <v>-0.9219368</v>
      </c>
      <c r="S2754">
        <v>-0.14410400000000001</v>
      </c>
      <c r="T2754">
        <v>-0.2629977</v>
      </c>
      <c r="U2754">
        <v>-3.2061459999999999</v>
      </c>
      <c r="V2754">
        <v>3.4026250000000001E-2</v>
      </c>
      <c r="W2754">
        <v>3.2639250000000002E-2</v>
      </c>
      <c r="X2754">
        <v>0.99888779999999999</v>
      </c>
      <c r="Y2754">
        <v>-0.31243599999999999</v>
      </c>
      <c r="Z2754">
        <v>7.1730870000000002E-2</v>
      </c>
      <c r="AA2754">
        <v>0.94722669999999998</v>
      </c>
      <c r="AB2754">
        <v>27</v>
      </c>
      <c r="AC2754">
        <v>-0.57330000000001702</v>
      </c>
      <c r="AD2754">
        <v>-1.12022662256099</v>
      </c>
      <c r="AE2754">
        <v>-13.5314999999999</v>
      </c>
      <c r="AF2754">
        <v>-4.23439117828603</v>
      </c>
      <c r="AG2754">
        <v>-1.12022662256099</v>
      </c>
      <c r="AH2754">
        <v>12.767764248815499</v>
      </c>
      <c r="AI2754">
        <v>94.760506948557193</v>
      </c>
      <c r="AJ2754">
        <v>108.34794896491699</v>
      </c>
      <c r="AK2754">
        <v>13.498176923198599</v>
      </c>
      <c r="AL2754">
        <v>88.129576475081393</v>
      </c>
      <c r="AM2754">
        <v>88.049023148831594</v>
      </c>
      <c r="AN2754">
        <v>0.99999997165923205</v>
      </c>
    </row>
    <row r="2755" spans="1:40" x14ac:dyDescent="0.25">
      <c r="A2755" t="str">
        <f>"20190312154849649"</f>
        <v>20190312154849649</v>
      </c>
      <c r="B2755" t="str">
        <f>"1552376929638456"</f>
        <v>1552376929638456</v>
      </c>
      <c r="C2755" t="s">
        <v>40</v>
      </c>
      <c r="D2755">
        <v>4.5737819999999996</v>
      </c>
      <c r="E2755">
        <v>0.36306060000000001</v>
      </c>
      <c r="F2755" t="s">
        <v>42</v>
      </c>
      <c r="G2755">
        <v>-491.45830000000001</v>
      </c>
      <c r="H2755" s="1">
        <v>-2.5525320000000002E-6</v>
      </c>
      <c r="I2755">
        <v>254.63470000000001</v>
      </c>
      <c r="J2755">
        <v>-490.9529</v>
      </c>
      <c r="K2755">
        <v>1.120214</v>
      </c>
      <c r="L2755">
        <v>268.17430000000002</v>
      </c>
      <c r="M2755">
        <v>-0.34717009999999998</v>
      </c>
      <c r="N2755">
        <v>0</v>
      </c>
      <c r="O2755">
        <v>-0.93767909999999999</v>
      </c>
      <c r="P2755">
        <v>-0.38004710000000003</v>
      </c>
      <c r="Q2755">
        <v>1.6708560000000001E-2</v>
      </c>
      <c r="R2755">
        <v>-0.92481650000000004</v>
      </c>
      <c r="S2755">
        <v>-0.12893679999999999</v>
      </c>
      <c r="T2755">
        <v>-0.2624147</v>
      </c>
      <c r="U2755">
        <v>-3.2046809999999999</v>
      </c>
      <c r="V2755">
        <v>3.4491170000000002E-2</v>
      </c>
      <c r="W2755">
        <v>3.2760310000000001E-2</v>
      </c>
      <c r="X2755">
        <v>0.99886790000000003</v>
      </c>
      <c r="Y2755">
        <v>-0.3093109</v>
      </c>
      <c r="Z2755">
        <v>7.1992909999999993E-2</v>
      </c>
      <c r="AA2755">
        <v>0.94823190000000002</v>
      </c>
      <c r="AB2755">
        <v>27</v>
      </c>
      <c r="AC2755">
        <v>-0.50540000000000795</v>
      </c>
      <c r="AD2755">
        <v>-1.120216552532</v>
      </c>
      <c r="AE2755">
        <v>-13.5396</v>
      </c>
      <c r="AF2755">
        <v>-4.1984296548840199</v>
      </c>
      <c r="AG2755">
        <v>-1.120216552532</v>
      </c>
      <c r="AH2755">
        <v>12.785347757001199</v>
      </c>
      <c r="AI2755">
        <v>94.758553052422698</v>
      </c>
      <c r="AJ2755">
        <v>108.179053413883</v>
      </c>
      <c r="AK2755">
        <v>13.503585226118</v>
      </c>
      <c r="AL2755">
        <v>88.1226365524779</v>
      </c>
      <c r="AM2755">
        <v>88.022347499531904</v>
      </c>
      <c r="AN2755">
        <v>0.99999998018483705</v>
      </c>
    </row>
    <row r="2756" spans="1:40" x14ac:dyDescent="0.25">
      <c r="A2756" t="str">
        <f>"20190312154849660"</f>
        <v>20190312154849660</v>
      </c>
      <c r="B2756" t="str">
        <f>"1552376929648216"</f>
        <v>1552376929648216</v>
      </c>
      <c r="C2756" t="s">
        <v>40</v>
      </c>
      <c r="D2756">
        <v>4.6033749999999998</v>
      </c>
      <c r="E2756">
        <v>0.36383460000000001</v>
      </c>
      <c r="F2756" t="s">
        <v>42</v>
      </c>
      <c r="G2756">
        <v>-491.42660000000001</v>
      </c>
      <c r="H2756" s="1">
        <v>-2.441683E-6</v>
      </c>
      <c r="I2756">
        <v>254.39590000000001</v>
      </c>
      <c r="J2756">
        <v>-490.9957</v>
      </c>
      <c r="K2756">
        <v>1.1202019999999999</v>
      </c>
      <c r="L2756">
        <v>268.03590000000003</v>
      </c>
      <c r="M2756">
        <v>-0.33982839999999997</v>
      </c>
      <c r="N2756">
        <v>0</v>
      </c>
      <c r="O2756">
        <v>-0.9403648</v>
      </c>
      <c r="P2756">
        <v>-0.37293189999999998</v>
      </c>
      <c r="Q2756">
        <v>1.711089E-2</v>
      </c>
      <c r="R2756">
        <v>-0.92770090000000005</v>
      </c>
      <c r="S2756">
        <v>-0.1101379</v>
      </c>
      <c r="T2756">
        <v>-0.26043830000000001</v>
      </c>
      <c r="U2756">
        <v>-3.2033390000000002</v>
      </c>
      <c r="V2756">
        <v>3.4621529999999998E-2</v>
      </c>
      <c r="W2756">
        <v>3.3161580000000003E-2</v>
      </c>
      <c r="X2756">
        <v>0.99885020000000002</v>
      </c>
      <c r="Y2756">
        <v>-0.30741679999999999</v>
      </c>
      <c r="Z2756">
        <v>7.1838830000000006E-2</v>
      </c>
      <c r="AA2756">
        <v>0.94885940000000002</v>
      </c>
      <c r="AB2756">
        <v>27</v>
      </c>
      <c r="AC2756">
        <v>-0.430900000000008</v>
      </c>
      <c r="AD2756">
        <v>-1.1202044416829999</v>
      </c>
      <c r="AE2756">
        <v>-13.64</v>
      </c>
      <c r="AF2756">
        <v>-4.20222947972192</v>
      </c>
      <c r="AG2756">
        <v>-1.1202044416829999</v>
      </c>
      <c r="AH2756">
        <v>12.8876672070196</v>
      </c>
      <c r="AI2756">
        <v>94.724106920202701</v>
      </c>
      <c r="AJ2756">
        <v>108.059384139174</v>
      </c>
      <c r="AK2756">
        <v>13.601674772993899</v>
      </c>
      <c r="AL2756">
        <v>88.099633072540499</v>
      </c>
      <c r="AM2756">
        <v>88.014843746250406</v>
      </c>
      <c r="AN2756">
        <v>1.00000003138383</v>
      </c>
    </row>
    <row r="2757" spans="1:40" x14ac:dyDescent="0.25">
      <c r="A2757" t="str">
        <f>"20190312154849677"</f>
        <v>20190312154849677</v>
      </c>
      <c r="B2757" t="str">
        <f>"1552376929668712"</f>
        <v>1552376929668712</v>
      </c>
      <c r="C2757" t="s">
        <v>40</v>
      </c>
      <c r="D2757">
        <v>4.584695</v>
      </c>
      <c r="E2757">
        <v>0.36542019999999997</v>
      </c>
      <c r="F2757" t="s">
        <v>42</v>
      </c>
      <c r="G2757">
        <v>-491.39299999999997</v>
      </c>
      <c r="H2757" s="1">
        <v>-2.3021349999999999E-6</v>
      </c>
      <c r="I2757">
        <v>254.0915</v>
      </c>
      <c r="J2757">
        <v>-491.0498</v>
      </c>
      <c r="K2757">
        <v>1.12019</v>
      </c>
      <c r="L2757">
        <v>267.85500000000002</v>
      </c>
      <c r="M2757">
        <v>-0.3302348</v>
      </c>
      <c r="N2757">
        <v>0</v>
      </c>
      <c r="O2757">
        <v>-0.94377670000000002</v>
      </c>
      <c r="P2757">
        <v>-0.36350159999999998</v>
      </c>
      <c r="Q2757">
        <v>1.8408130000000002E-2</v>
      </c>
      <c r="R2757">
        <v>-0.93141200000000002</v>
      </c>
      <c r="S2757">
        <v>-9.1217039999999999E-2</v>
      </c>
      <c r="T2757">
        <v>-0.25721529999999998</v>
      </c>
      <c r="U2757">
        <v>-3.2018430000000002</v>
      </c>
      <c r="V2757">
        <v>3.4637500000000002E-2</v>
      </c>
      <c r="W2757">
        <v>3.4454510000000001E-2</v>
      </c>
      <c r="X2757">
        <v>0.99880590000000002</v>
      </c>
      <c r="Y2757">
        <v>-0.30331079999999999</v>
      </c>
      <c r="Z2757">
        <v>7.1453260000000005E-2</v>
      </c>
      <c r="AA2757">
        <v>0.95020890000000002</v>
      </c>
      <c r="AB2757">
        <v>27</v>
      </c>
      <c r="AC2757">
        <v>-0.34320000000002399</v>
      </c>
      <c r="AD2757">
        <v>-1.120192302135</v>
      </c>
      <c r="AE2757">
        <v>-13.763500000000001</v>
      </c>
      <c r="AF2757">
        <v>-4.1940048529308296</v>
      </c>
      <c r="AG2757">
        <v>-1.120192302135</v>
      </c>
      <c r="AH2757">
        <v>13.0183364122231</v>
      </c>
      <c r="AI2757">
        <v>94.682185797905902</v>
      </c>
      <c r="AJ2757">
        <v>107.856934430122</v>
      </c>
      <c r="AK2757">
        <v>13.7230313867594</v>
      </c>
      <c r="AL2757">
        <v>88.025511297718694</v>
      </c>
      <c r="AM2757">
        <v>88.0138407615256</v>
      </c>
      <c r="AN2757">
        <v>1.00000004777019</v>
      </c>
    </row>
    <row r="2758" spans="1:40" x14ac:dyDescent="0.25">
      <c r="A2758" t="str">
        <f>"20190312154849690"</f>
        <v>20190312154849690</v>
      </c>
      <c r="B2758" t="str">
        <f>"1552376929678472"</f>
        <v>1552376929678472</v>
      </c>
      <c r="C2758" t="s">
        <v>40</v>
      </c>
      <c r="D2758">
        <v>4.6006499999999999</v>
      </c>
      <c r="E2758">
        <v>0.3663169</v>
      </c>
      <c r="F2758" t="s">
        <v>42</v>
      </c>
      <c r="G2758">
        <v>-491.36219999999997</v>
      </c>
      <c r="H2758" s="1">
        <v>-2.078459E-6</v>
      </c>
      <c r="I2758">
        <v>253.58920000000001</v>
      </c>
      <c r="J2758">
        <v>-491.0924</v>
      </c>
      <c r="K2758">
        <v>1.120179</v>
      </c>
      <c r="L2758">
        <v>267.7081</v>
      </c>
      <c r="M2758">
        <v>-0.32242729999999997</v>
      </c>
      <c r="N2758">
        <v>0</v>
      </c>
      <c r="O2758">
        <v>-0.94647250000000005</v>
      </c>
      <c r="P2758">
        <v>-0.35565580000000002</v>
      </c>
      <c r="Q2758">
        <v>1.9085459999999999E-2</v>
      </c>
      <c r="R2758">
        <v>-0.93442239999999999</v>
      </c>
      <c r="S2758">
        <v>-7.0037840000000004E-2</v>
      </c>
      <c r="T2758">
        <v>-0.25115860000000001</v>
      </c>
      <c r="U2758">
        <v>-3.198547</v>
      </c>
      <c r="V2758">
        <v>3.4477300000000002E-2</v>
      </c>
      <c r="W2758">
        <v>3.5123580000000001E-2</v>
      </c>
      <c r="X2758">
        <v>0.99878809999999996</v>
      </c>
      <c r="Y2758">
        <v>-0.30169839999999998</v>
      </c>
      <c r="Z2758">
        <v>7.0191190000000001E-2</v>
      </c>
      <c r="AA2758">
        <v>0.95081610000000005</v>
      </c>
      <c r="AB2758">
        <v>27</v>
      </c>
      <c r="AC2758">
        <v>-0.269799999999975</v>
      </c>
      <c r="AD2758">
        <v>-1.1201810784590001</v>
      </c>
      <c r="AE2758">
        <v>-14.118899999999901</v>
      </c>
      <c r="AF2758">
        <v>-4.2705835022084404</v>
      </c>
      <c r="AG2758">
        <v>-1.1201810784590001</v>
      </c>
      <c r="AH2758">
        <v>13.3675773621144</v>
      </c>
      <c r="AI2758">
        <v>94.563888598005093</v>
      </c>
      <c r="AJ2758">
        <v>107.717290764854</v>
      </c>
      <c r="AK2758">
        <v>14.077812814140801</v>
      </c>
      <c r="AL2758">
        <v>87.987153115352399</v>
      </c>
      <c r="AM2758">
        <v>88.022984326241996</v>
      </c>
      <c r="AN2758">
        <v>1.0000000093944501</v>
      </c>
    </row>
    <row r="2759" spans="1:40" x14ac:dyDescent="0.25">
      <c r="A2759" t="str">
        <f>"20190312154849710"</f>
        <v>20190312154849710</v>
      </c>
      <c r="B2759" t="str">
        <f>"1552376929698968"</f>
        <v>1552376929698968</v>
      </c>
      <c r="C2759" t="s">
        <v>40</v>
      </c>
      <c r="D2759">
        <v>4.6664709999999996</v>
      </c>
      <c r="E2759">
        <v>0.38735639999999999</v>
      </c>
      <c r="F2759" t="s">
        <v>42</v>
      </c>
      <c r="G2759">
        <v>-491.3218</v>
      </c>
      <c r="H2759" s="1">
        <v>-1.9348300000000001E-6</v>
      </c>
      <c r="I2759">
        <v>253.27940000000001</v>
      </c>
      <c r="J2759">
        <v>-491.1558</v>
      </c>
      <c r="K2759">
        <v>1.1201589999999999</v>
      </c>
      <c r="L2759">
        <v>267.48009999999999</v>
      </c>
      <c r="M2759">
        <v>-0.31031930000000002</v>
      </c>
      <c r="N2759">
        <v>0</v>
      </c>
      <c r="O2759">
        <v>-0.9505112</v>
      </c>
      <c r="P2759">
        <v>-0.34356750000000003</v>
      </c>
      <c r="Q2759">
        <v>1.9695730000000002E-2</v>
      </c>
      <c r="R2759">
        <v>-0.93892149999999996</v>
      </c>
      <c r="S2759">
        <v>-5.0811769999999999E-2</v>
      </c>
      <c r="T2759">
        <v>-0.2481419</v>
      </c>
      <c r="U2759">
        <v>-3.1962280000000001</v>
      </c>
      <c r="V2759">
        <v>3.4328530000000003E-2</v>
      </c>
      <c r="W2759">
        <v>3.5723539999999998E-2</v>
      </c>
      <c r="X2759">
        <v>0.99877199999999999</v>
      </c>
      <c r="Y2759">
        <v>-0.29522490000000001</v>
      </c>
      <c r="Z2759">
        <v>6.9951050000000001E-2</v>
      </c>
      <c r="AA2759">
        <v>0.95286360000000003</v>
      </c>
      <c r="AB2759">
        <v>27</v>
      </c>
      <c r="AC2759">
        <v>-0.16599999999999601</v>
      </c>
      <c r="AD2759">
        <v>-1.1201609348299999</v>
      </c>
      <c r="AE2759">
        <v>-14.2006999999999</v>
      </c>
      <c r="AF2759">
        <v>-4.2231822347392001</v>
      </c>
      <c r="AG2759">
        <v>-1.1201609348299999</v>
      </c>
      <c r="AH2759">
        <v>13.467214755553</v>
      </c>
      <c r="AI2759">
        <v>94.537825121187296</v>
      </c>
      <c r="AJ2759">
        <v>107.410896749008</v>
      </c>
      <c r="AK2759">
        <v>14.158245017653799</v>
      </c>
      <c r="AL2759">
        <v>87.952756462571898</v>
      </c>
      <c r="AM2759">
        <v>88.031476741956396</v>
      </c>
      <c r="AN2759">
        <v>1.0000000636330399</v>
      </c>
    </row>
    <row r="2760" spans="1:40" x14ac:dyDescent="0.25">
      <c r="A2760" t="str">
        <f>"20190312154849721"</f>
        <v>20190312154849721</v>
      </c>
      <c r="B2760" t="str">
        <f>"1552376929718488"</f>
        <v>1552376929718488</v>
      </c>
      <c r="C2760" t="s">
        <v>40</v>
      </c>
      <c r="D2760">
        <v>4.6380710000000001</v>
      </c>
      <c r="E2760">
        <v>0.38892529999999997</v>
      </c>
      <c r="F2760" t="s">
        <v>42</v>
      </c>
      <c r="G2760">
        <v>-491.81049999999999</v>
      </c>
      <c r="H2760" s="1">
        <v>-2.8103200000000001E-6</v>
      </c>
      <c r="I2760">
        <v>255.0171</v>
      </c>
      <c r="J2760">
        <v>-491.18889999999999</v>
      </c>
      <c r="K2760">
        <v>1.120147</v>
      </c>
      <c r="L2760">
        <v>267.35669999999999</v>
      </c>
      <c r="M2760">
        <v>-0.30376009999999998</v>
      </c>
      <c r="N2760">
        <v>0</v>
      </c>
      <c r="O2760">
        <v>-0.95262769999999997</v>
      </c>
      <c r="P2760">
        <v>-0.33675440000000001</v>
      </c>
      <c r="Q2760">
        <v>1.9902550000000001E-2</v>
      </c>
      <c r="R2760">
        <v>-0.94138230000000001</v>
      </c>
      <c r="S2760">
        <v>-0.16497800000000001</v>
      </c>
      <c r="T2760">
        <v>-0.28227950000000002</v>
      </c>
      <c r="U2760">
        <v>-3.1406559999999999</v>
      </c>
      <c r="V2760">
        <v>3.3972620000000002E-2</v>
      </c>
      <c r="W2760">
        <v>3.5917490000000003E-2</v>
      </c>
      <c r="X2760">
        <v>0.99877720000000003</v>
      </c>
      <c r="Y2760">
        <v>-0.25356210000000001</v>
      </c>
      <c r="Z2760">
        <v>8.168011E-2</v>
      </c>
      <c r="AA2760">
        <v>0.96386439999999995</v>
      </c>
      <c r="AB2760">
        <v>27</v>
      </c>
      <c r="AC2760">
        <v>-0.62160000000000004</v>
      </c>
      <c r="AD2760">
        <v>-1.1201498103200001</v>
      </c>
      <c r="AE2760">
        <v>-12.3395999999999</v>
      </c>
      <c r="AF2760">
        <v>-3.1307547147790999</v>
      </c>
      <c r="AG2760">
        <v>-1.1201498103200001</v>
      </c>
      <c r="AH2760">
        <v>11.847853096071301</v>
      </c>
      <c r="AI2760">
        <v>95.222726277918994</v>
      </c>
      <c r="AJ2760">
        <v>104.801884537896</v>
      </c>
      <c r="AK2760">
        <v>12.305607813828599</v>
      </c>
      <c r="AL2760">
        <v>87.941636782842195</v>
      </c>
      <c r="AM2760">
        <v>88.051880247298797</v>
      </c>
      <c r="AN2760">
        <v>1.0000000501187001</v>
      </c>
    </row>
    <row r="2761" spans="1:40" x14ac:dyDescent="0.25">
      <c r="A2761" t="str">
        <f>"20190312154849733"</f>
        <v>20190312154849733</v>
      </c>
      <c r="B2761" t="str">
        <f>"1552376929728248"</f>
        <v>1552376929728248</v>
      </c>
      <c r="C2761" t="s">
        <v>40</v>
      </c>
      <c r="D2761">
        <v>4.6538320000000004</v>
      </c>
      <c r="E2761">
        <v>0.39014979999999999</v>
      </c>
      <c r="F2761" t="s">
        <v>42</v>
      </c>
      <c r="G2761">
        <v>-491.82549999999998</v>
      </c>
      <c r="H2761" s="1">
        <v>-2.5681660000000002E-6</v>
      </c>
      <c r="I2761">
        <v>254.44329999999999</v>
      </c>
      <c r="J2761">
        <v>-491.22210000000001</v>
      </c>
      <c r="K2761">
        <v>1.120131</v>
      </c>
      <c r="L2761">
        <v>267.22859999999997</v>
      </c>
      <c r="M2761">
        <v>-0.296958099999999</v>
      </c>
      <c r="N2761">
        <v>0</v>
      </c>
      <c r="O2761">
        <v>-0.95476989999999995</v>
      </c>
      <c r="P2761">
        <v>-0.33009529999999998</v>
      </c>
      <c r="Q2761">
        <v>1.9684900000000002E-2</v>
      </c>
      <c r="R2761">
        <v>-0.94374259999999999</v>
      </c>
      <c r="S2761">
        <v>-0.1546631</v>
      </c>
      <c r="T2761">
        <v>-0.27213549999999997</v>
      </c>
      <c r="U2761">
        <v>-3.137238</v>
      </c>
      <c r="V2761">
        <v>3.4045449999999998E-2</v>
      </c>
      <c r="W2761">
        <v>3.5696859999999997E-2</v>
      </c>
      <c r="X2761">
        <v>0.99878259999999996</v>
      </c>
      <c r="Y2761">
        <v>-0.24975829999999999</v>
      </c>
      <c r="Z2761">
        <v>7.9175869999999995E-2</v>
      </c>
      <c r="AA2761">
        <v>0.96506579999999997</v>
      </c>
      <c r="AB2761">
        <v>27</v>
      </c>
      <c r="AC2761">
        <v>-0.60339999999996496</v>
      </c>
      <c r="AD2761">
        <v>-1.1201335681659901</v>
      </c>
      <c r="AE2761">
        <v>-12.7852999999999</v>
      </c>
      <c r="AF2761">
        <v>-3.1964805071357101</v>
      </c>
      <c r="AG2761">
        <v>-1.1201335681659901</v>
      </c>
      <c r="AH2761">
        <v>12.2934794860097</v>
      </c>
      <c r="AI2761">
        <v>95.039527916523696</v>
      </c>
      <c r="AJ2761">
        <v>104.574983837546</v>
      </c>
      <c r="AK2761">
        <v>12.7515420524724</v>
      </c>
      <c r="AL2761">
        <v>87.954286000743494</v>
      </c>
      <c r="AM2761">
        <v>88.0477176724511</v>
      </c>
      <c r="AN2761">
        <v>1.0000000202711601</v>
      </c>
    </row>
    <row r="2762" spans="1:40" x14ac:dyDescent="0.25">
      <c r="A2762" t="str">
        <f>"20190312154849742"</f>
        <v>20190312154849742</v>
      </c>
      <c r="B2762" t="str">
        <f>"1552376929738984"</f>
        <v>1552376929738984</v>
      </c>
      <c r="C2762" t="s">
        <v>40</v>
      </c>
      <c r="D2762">
        <v>4.8456650000000003</v>
      </c>
      <c r="E2762">
        <v>0.39145289999999999</v>
      </c>
      <c r="F2762" t="s">
        <v>42</v>
      </c>
      <c r="G2762">
        <v>-491.81270000000001</v>
      </c>
      <c r="H2762" s="1">
        <v>-2.446908E-6</v>
      </c>
      <c r="I2762">
        <v>254.1687</v>
      </c>
      <c r="J2762">
        <v>-491.25349999999997</v>
      </c>
      <c r="K2762">
        <v>1.1201129999999999</v>
      </c>
      <c r="L2762">
        <v>267.1053</v>
      </c>
      <c r="M2762">
        <v>-0.2904042</v>
      </c>
      <c r="N2762">
        <v>0</v>
      </c>
      <c r="O2762">
        <v>-0.95678399999999997</v>
      </c>
      <c r="P2762">
        <v>-0.32344509999999899</v>
      </c>
      <c r="Q2762">
        <v>1.9282130000000001E-2</v>
      </c>
      <c r="R2762">
        <v>-0.94605070000000002</v>
      </c>
      <c r="S2762">
        <v>-0.1417542</v>
      </c>
      <c r="T2762">
        <v>-0.26887800000000001</v>
      </c>
      <c r="U2762">
        <v>-3.1349179999999999</v>
      </c>
      <c r="V2762">
        <v>3.38737E-2</v>
      </c>
      <c r="W2762">
        <v>3.5285129999999998E-2</v>
      </c>
      <c r="X2762">
        <v>0.99880310000000005</v>
      </c>
      <c r="Y2762">
        <v>-0.24704570000000001</v>
      </c>
      <c r="Z2762">
        <v>7.858511E-2</v>
      </c>
      <c r="AA2762">
        <v>0.965812</v>
      </c>
      <c r="AB2762">
        <v>27</v>
      </c>
      <c r="AC2762">
        <v>-0.559200000000032</v>
      </c>
      <c r="AD2762">
        <v>-1.1201154469079999</v>
      </c>
      <c r="AE2762">
        <v>-12.9366</v>
      </c>
      <c r="AF2762">
        <v>-3.19824715755774</v>
      </c>
      <c r="AG2762">
        <v>-1.1201154469079999</v>
      </c>
      <c r="AH2762">
        <v>12.448217118562001</v>
      </c>
      <c r="AI2762">
        <v>94.980829572917003</v>
      </c>
      <c r="AJ2762">
        <v>104.40901678196001</v>
      </c>
      <c r="AK2762">
        <v>12.9012229236645</v>
      </c>
      <c r="AL2762">
        <v>87.977891323802794</v>
      </c>
      <c r="AM2762">
        <v>88.057598677230402</v>
      </c>
      <c r="AN2762">
        <v>1.0000000502602</v>
      </c>
    </row>
    <row r="2763" spans="1:40" x14ac:dyDescent="0.25">
      <c r="A2763" t="str">
        <f>"20190312154849756"</f>
        <v>20190312154849756</v>
      </c>
      <c r="B2763" t="str">
        <f>"1552376929748744"</f>
        <v>1552376929748744</v>
      </c>
      <c r="C2763" t="s">
        <v>40</v>
      </c>
      <c r="D2763">
        <v>4.6483470000000002</v>
      </c>
      <c r="E2763">
        <v>0.39229890000000001</v>
      </c>
      <c r="F2763" t="s">
        <v>42</v>
      </c>
      <c r="G2763">
        <v>-491.8091</v>
      </c>
      <c r="H2763" s="1">
        <v>-2.2521870000000001E-6</v>
      </c>
      <c r="I2763">
        <v>253.71690000000001</v>
      </c>
      <c r="J2763">
        <v>-491.28800000000001</v>
      </c>
      <c r="K2763">
        <v>1.1200920000000001</v>
      </c>
      <c r="L2763">
        <v>266.96370000000002</v>
      </c>
      <c r="M2763">
        <v>-0.28290369999999998</v>
      </c>
      <c r="N2763">
        <v>0</v>
      </c>
      <c r="O2763">
        <v>-0.95902849999999995</v>
      </c>
      <c r="P2763">
        <v>-0.31600409999999901</v>
      </c>
      <c r="Q2763">
        <v>1.902059E-2</v>
      </c>
      <c r="R2763">
        <v>-0.9485673</v>
      </c>
      <c r="S2763">
        <v>-0.12997439999999999</v>
      </c>
      <c r="T2763">
        <v>-0.2620381</v>
      </c>
      <c r="U2763">
        <v>-3.13205</v>
      </c>
      <c r="V2763">
        <v>3.3856209999999998E-2</v>
      </c>
      <c r="W2763">
        <v>3.5016360000000003E-2</v>
      </c>
      <c r="X2763">
        <v>0.99881310000000001</v>
      </c>
      <c r="Y2763">
        <v>-0.2430378</v>
      </c>
      <c r="Z2763">
        <v>7.6996090000000003E-2</v>
      </c>
      <c r="AA2763">
        <v>0.96695609999999999</v>
      </c>
      <c r="AB2763">
        <v>27</v>
      </c>
      <c r="AC2763">
        <v>-0.52109999999998902</v>
      </c>
      <c r="AD2763">
        <v>-1.1200942521870001</v>
      </c>
      <c r="AE2763">
        <v>-13.2468</v>
      </c>
      <c r="AF2763">
        <v>-3.2251689450411298</v>
      </c>
      <c r="AG2763">
        <v>-1.1200942521870001</v>
      </c>
      <c r="AH2763">
        <v>12.7618546317424</v>
      </c>
      <c r="AI2763">
        <v>94.863789342553005</v>
      </c>
      <c r="AJ2763">
        <v>104.18279716908501</v>
      </c>
      <c r="AK2763">
        <v>13.210649473041199</v>
      </c>
      <c r="AL2763">
        <v>87.993300128352104</v>
      </c>
      <c r="AM2763">
        <v>88.058620251397301</v>
      </c>
      <c r="AN2763">
        <v>0.99999999857741195</v>
      </c>
    </row>
    <row r="2764" spans="1:40" x14ac:dyDescent="0.25">
      <c r="A2764" t="str">
        <f>"20190312154849768"</f>
        <v>20190312154849768</v>
      </c>
      <c r="B2764" t="str">
        <f>"1552376929758504"</f>
        <v>1552376929758504</v>
      </c>
      <c r="C2764" t="s">
        <v>40</v>
      </c>
      <c r="D2764">
        <v>4.6803400000000002</v>
      </c>
      <c r="E2764">
        <v>0.39343640000000002</v>
      </c>
      <c r="F2764" t="s">
        <v>42</v>
      </c>
      <c r="G2764">
        <v>-491.76870000000002</v>
      </c>
      <c r="H2764" s="1">
        <v>-2.1360789999999998E-6</v>
      </c>
      <c r="I2764">
        <v>253.47139999999999</v>
      </c>
      <c r="J2764">
        <v>-491.31990000000002</v>
      </c>
      <c r="K2764">
        <v>1.1200650000000001</v>
      </c>
      <c r="L2764">
        <v>266.82929999999999</v>
      </c>
      <c r="M2764">
        <v>-0.27578780000000003</v>
      </c>
      <c r="N2764">
        <v>0</v>
      </c>
      <c r="O2764">
        <v>-0.96109920000000004</v>
      </c>
      <c r="P2764">
        <v>-0.30892750000000002</v>
      </c>
      <c r="Q2764">
        <v>1.888681E-2</v>
      </c>
      <c r="R2764">
        <v>-0.95089849999999998</v>
      </c>
      <c r="S2764">
        <v>-0.11154169999999999</v>
      </c>
      <c r="T2764">
        <v>-0.25990469999999999</v>
      </c>
      <c r="U2764">
        <v>-3.1307369999999999</v>
      </c>
      <c r="V2764">
        <v>3.3821999999999998E-2</v>
      </c>
      <c r="W2764">
        <v>3.4873870000000001E-2</v>
      </c>
      <c r="X2764">
        <v>0.99881920000000002</v>
      </c>
      <c r="Y2764">
        <v>-0.24151510000000001</v>
      </c>
      <c r="Z2764">
        <v>7.6683950000000001E-2</v>
      </c>
      <c r="AA2764">
        <v>0.96736239999999996</v>
      </c>
      <c r="AB2764">
        <v>27</v>
      </c>
      <c r="AC2764">
        <v>-0.44880000000000497</v>
      </c>
      <c r="AD2764">
        <v>-1.12006713607899</v>
      </c>
      <c r="AE2764">
        <v>-13.357900000000001</v>
      </c>
      <c r="AF2764">
        <v>-3.2302914091111101</v>
      </c>
      <c r="AG2764">
        <v>-1.12006713607899</v>
      </c>
      <c r="AH2764">
        <v>12.873119948016299</v>
      </c>
      <c r="AI2764">
        <v>94.823863993833896</v>
      </c>
      <c r="AJ2764">
        <v>104.08654820218899</v>
      </c>
      <c r="AK2764">
        <v>13.319405023240201</v>
      </c>
      <c r="AL2764">
        <v>88.001469105044904</v>
      </c>
      <c r="AM2764">
        <v>88.060592254711494</v>
      </c>
      <c r="AN2764">
        <v>0.99999995439070699</v>
      </c>
    </row>
    <row r="2765" spans="1:40" x14ac:dyDescent="0.25">
      <c r="A2765" t="str">
        <f>"20190312154849780"</f>
        <v>20190312154849780</v>
      </c>
      <c r="B2765" t="str">
        <f>"1552376929768264"</f>
        <v>1552376929768264</v>
      </c>
      <c r="C2765" t="s">
        <v>40</v>
      </c>
      <c r="D2765">
        <v>4.6691580000000004</v>
      </c>
      <c r="E2765">
        <v>0.39451019999999998</v>
      </c>
      <c r="F2765" t="s">
        <v>42</v>
      </c>
      <c r="G2765">
        <v>-491.73379999999997</v>
      </c>
      <c r="H2765" s="1">
        <v>-2.1158250000000002E-6</v>
      </c>
      <c r="I2765">
        <v>253.44579999999999</v>
      </c>
      <c r="J2765">
        <v>-491.3546</v>
      </c>
      <c r="K2765">
        <v>1.1200270000000001</v>
      </c>
      <c r="L2765">
        <v>266.67750000000001</v>
      </c>
      <c r="M2765">
        <v>-0.26776749999999999</v>
      </c>
      <c r="N2765">
        <v>0</v>
      </c>
      <c r="O2765">
        <v>-0.96336449999999996</v>
      </c>
      <c r="P2765">
        <v>-0.30088110000000001</v>
      </c>
      <c r="Q2765">
        <v>1.8902840000000001E-2</v>
      </c>
      <c r="R2765">
        <v>-0.95347479999999996</v>
      </c>
      <c r="S2765">
        <v>-9.6740720000000002E-2</v>
      </c>
      <c r="T2765">
        <v>-0.2618376</v>
      </c>
      <c r="U2765">
        <v>-3.1286619999999998</v>
      </c>
      <c r="V2765">
        <v>3.3709839999999998E-2</v>
      </c>
      <c r="W2765">
        <v>3.4876730000000002E-2</v>
      </c>
      <c r="X2765">
        <v>0.99882289999999996</v>
      </c>
      <c r="Y2765">
        <v>-0.2379762</v>
      </c>
      <c r="Z2765">
        <v>7.7624990000000005E-2</v>
      </c>
      <c r="AA2765">
        <v>0.96816409999999997</v>
      </c>
      <c r="AB2765">
        <v>27</v>
      </c>
      <c r="AC2765">
        <v>-0.37919999999996801</v>
      </c>
      <c r="AD2765">
        <v>-1.120029115825</v>
      </c>
      <c r="AE2765">
        <v>-13.2317</v>
      </c>
      <c r="AF2765">
        <v>-3.1554848922860099</v>
      </c>
      <c r="AG2765">
        <v>-1.120029115825</v>
      </c>
      <c r="AH2765">
        <v>12.7586186777884</v>
      </c>
      <c r="AI2765">
        <v>94.8708884329847</v>
      </c>
      <c r="AJ2765">
        <v>103.8917310984</v>
      </c>
      <c r="AK2765">
        <v>13.190674762534</v>
      </c>
      <c r="AL2765">
        <v>88.001305155750401</v>
      </c>
      <c r="AM2765">
        <v>88.067025957020306</v>
      </c>
      <c r="AN2765">
        <v>0.99999996258636303</v>
      </c>
    </row>
    <row r="2766" spans="1:40" x14ac:dyDescent="0.25">
      <c r="A2766" t="str">
        <f>"20190312154849794"</f>
        <v>20190312154849794</v>
      </c>
      <c r="B2766" t="str">
        <f>"1552376929788760"</f>
        <v>1552376929788760</v>
      </c>
      <c r="C2766" t="s">
        <v>40</v>
      </c>
      <c r="D2766">
        <v>4.6565539999999999</v>
      </c>
      <c r="E2766">
        <v>0.39548050000000001</v>
      </c>
      <c r="F2766" t="s">
        <v>42</v>
      </c>
      <c r="G2766">
        <v>-491.69869999999997</v>
      </c>
      <c r="H2766" s="1">
        <v>-1.9777620000000002E-6</v>
      </c>
      <c r="I2766">
        <v>253.14570000000001</v>
      </c>
      <c r="J2766">
        <v>-491.38679999999999</v>
      </c>
      <c r="K2766">
        <v>1.1199859999999999</v>
      </c>
      <c r="L2766">
        <v>266.53050000000002</v>
      </c>
      <c r="M2766">
        <v>-0.26003599999999999</v>
      </c>
      <c r="N2766">
        <v>0</v>
      </c>
      <c r="O2766">
        <v>-0.96548020000000001</v>
      </c>
      <c r="P2766">
        <v>-0.29291539999999999</v>
      </c>
      <c r="Q2766">
        <v>1.8721959999999999E-2</v>
      </c>
      <c r="R2766">
        <v>-0.95595509999999995</v>
      </c>
      <c r="S2766">
        <v>-7.9498289999999999E-2</v>
      </c>
      <c r="T2766">
        <v>-0.25877939999999999</v>
      </c>
      <c r="U2766">
        <v>-3.126465</v>
      </c>
      <c r="V2766">
        <v>3.3390879999999998E-2</v>
      </c>
      <c r="W2766">
        <v>3.4675619999999997E-2</v>
      </c>
      <c r="X2766">
        <v>0.99884059999999997</v>
      </c>
      <c r="Y2766">
        <v>-0.23550270000000001</v>
      </c>
      <c r="Z2766">
        <v>7.7068520000000001E-2</v>
      </c>
      <c r="AA2766">
        <v>0.96881320000000004</v>
      </c>
      <c r="AB2766">
        <v>27</v>
      </c>
      <c r="AC2766">
        <v>-0.31189999999998003</v>
      </c>
      <c r="AD2766">
        <v>-1.1199879777619901</v>
      </c>
      <c r="AE2766">
        <v>-13.3848</v>
      </c>
      <c r="AF2766">
        <v>-3.1576641087280399</v>
      </c>
      <c r="AG2766">
        <v>-1.1199879777619901</v>
      </c>
      <c r="AH2766">
        <v>12.91497790192</v>
      </c>
      <c r="AI2766">
        <v>94.8151592610281</v>
      </c>
      <c r="AJ2766">
        <v>103.739071004642</v>
      </c>
      <c r="AK2766">
        <v>13.342483648143</v>
      </c>
      <c r="AL2766">
        <v>88.0128348531684</v>
      </c>
      <c r="AM2766">
        <v>88.085335839420793</v>
      </c>
      <c r="AN2766">
        <v>0.99999994684895699</v>
      </c>
    </row>
    <row r="2767" spans="1:40" x14ac:dyDescent="0.25">
      <c r="A2767" t="str">
        <f>"20190312154849809"</f>
        <v>20190312154849809</v>
      </c>
      <c r="B2767" t="str">
        <f>"1552376929798520"</f>
        <v>1552376929798520</v>
      </c>
      <c r="C2767" t="s">
        <v>40</v>
      </c>
      <c r="D2767">
        <v>4.6126740000000002</v>
      </c>
      <c r="E2767">
        <v>0.40724349999999998</v>
      </c>
      <c r="F2767" t="s">
        <v>42</v>
      </c>
      <c r="G2767">
        <v>-491.65039999999999</v>
      </c>
      <c r="H2767" s="1">
        <v>-1.8552320000000001E-6</v>
      </c>
      <c r="I2767">
        <v>252.89009999999999</v>
      </c>
      <c r="J2767">
        <v>-491.41930000000002</v>
      </c>
      <c r="K2767">
        <v>1.119934</v>
      </c>
      <c r="L2767">
        <v>266.3784</v>
      </c>
      <c r="M2767">
        <v>-0.25204460000000001</v>
      </c>
      <c r="N2767">
        <v>0</v>
      </c>
      <c r="O2767">
        <v>-0.96759740000000005</v>
      </c>
      <c r="P2767">
        <v>-0.28501480000000001</v>
      </c>
      <c r="Q2767">
        <v>1.85863E-2</v>
      </c>
      <c r="R2767">
        <v>-0.9583431</v>
      </c>
      <c r="S2767">
        <v>-6.0363769999999997E-2</v>
      </c>
      <c r="T2767">
        <v>-0.25656709999999999</v>
      </c>
      <c r="U2767">
        <v>-3.1247560000000001</v>
      </c>
      <c r="V2767">
        <v>3.3411530000000002E-2</v>
      </c>
      <c r="W2767">
        <v>3.4526460000000002E-2</v>
      </c>
      <c r="X2767">
        <v>0.99884510000000004</v>
      </c>
      <c r="Y2767">
        <v>-0.2333827</v>
      </c>
      <c r="Z2767">
        <v>7.6739639999999998E-2</v>
      </c>
      <c r="AA2767">
        <v>0.96935210000000005</v>
      </c>
      <c r="AB2767">
        <v>27</v>
      </c>
      <c r="AC2767">
        <v>-0.231099999999969</v>
      </c>
      <c r="AD2767">
        <v>-1.119935855232</v>
      </c>
      <c r="AE2767">
        <v>-13.488300000000001</v>
      </c>
      <c r="AF2767">
        <v>-3.1546629133804198</v>
      </c>
      <c r="AG2767">
        <v>-1.119935855232</v>
      </c>
      <c r="AH2767">
        <v>13.021249173749499</v>
      </c>
      <c r="AI2767">
        <v>94.778254162836504</v>
      </c>
      <c r="AJ2767">
        <v>103.61866793428401</v>
      </c>
      <c r="AK2767">
        <v>13.444667510272</v>
      </c>
      <c r="AL2767">
        <v>88.021386259007201</v>
      </c>
      <c r="AM2767">
        <v>88.084161256178703</v>
      </c>
      <c r="AN2767">
        <v>0.99999997028554</v>
      </c>
    </row>
    <row r="2768" spans="1:40" x14ac:dyDescent="0.25">
      <c r="A2768" t="str">
        <f>"20190312154849821"</f>
        <v>20190312154849821</v>
      </c>
      <c r="B2768" t="str">
        <f>"1552376929819017"</f>
        <v>1552376929819017</v>
      </c>
      <c r="C2768" t="s">
        <v>40</v>
      </c>
      <c r="D2768">
        <v>4.745025</v>
      </c>
      <c r="E2768">
        <v>0.39708749999999998</v>
      </c>
      <c r="F2768" t="s">
        <v>42</v>
      </c>
      <c r="G2768">
        <v>-492.0009</v>
      </c>
      <c r="H2768" s="1">
        <v>-1.6007239999999901E-6</v>
      </c>
      <c r="I2768">
        <v>252.07939999999999</v>
      </c>
      <c r="J2768">
        <v>-491.45229999999998</v>
      </c>
      <c r="K2768">
        <v>1.1198699999999999</v>
      </c>
      <c r="L2768">
        <v>266.21570000000003</v>
      </c>
      <c r="M2768">
        <v>-0.24354729999999999</v>
      </c>
      <c r="N2768">
        <v>0</v>
      </c>
      <c r="O2768">
        <v>-0.9697713</v>
      </c>
      <c r="P2768">
        <v>-0.27628599999999998</v>
      </c>
      <c r="Q2768">
        <v>1.809504E-2</v>
      </c>
      <c r="R2768">
        <v>-0.96090520000000001</v>
      </c>
      <c r="S2768">
        <v>-0.12600710000000001</v>
      </c>
      <c r="T2768">
        <v>-0.24261530000000001</v>
      </c>
      <c r="U2768">
        <v>-3.097626</v>
      </c>
      <c r="V2768">
        <v>3.3102899999999998E-2</v>
      </c>
      <c r="W2768">
        <v>3.4010350000000002E-2</v>
      </c>
      <c r="X2768">
        <v>0.99887309999999996</v>
      </c>
      <c r="Y2768">
        <v>-0.20405899999999999</v>
      </c>
      <c r="Z2768">
        <v>7.3714459999999996E-2</v>
      </c>
      <c r="AA2768">
        <v>0.97617940000000003</v>
      </c>
      <c r="AB2768">
        <v>27</v>
      </c>
      <c r="AC2768">
        <v>-0.54860000000002096</v>
      </c>
      <c r="AD2768">
        <v>-1.1198716007239999</v>
      </c>
      <c r="AE2768">
        <v>-14.1363</v>
      </c>
      <c r="AF2768">
        <v>-2.8930448519791501</v>
      </c>
      <c r="AG2768">
        <v>-1.1198716007239999</v>
      </c>
      <c r="AH2768">
        <v>13.7579572185396</v>
      </c>
      <c r="AI2768">
        <v>94.554337617144</v>
      </c>
      <c r="AJ2768">
        <v>101.875229645107</v>
      </c>
      <c r="AK2768">
        <v>14.1033757570604</v>
      </c>
      <c r="AL2768">
        <v>88.050974597549697</v>
      </c>
      <c r="AM2768">
        <v>88.101898463225794</v>
      </c>
      <c r="AN2768">
        <v>0.99999998789957101</v>
      </c>
    </row>
    <row r="2769" spans="1:40" x14ac:dyDescent="0.25">
      <c r="A2769" t="str">
        <f>"20190312154849833"</f>
        <v>20190312154849833</v>
      </c>
      <c r="B2769" t="str">
        <f>"1552376929828776"</f>
        <v>1552376929828776</v>
      </c>
      <c r="C2769" t="s">
        <v>40</v>
      </c>
      <c r="D2769">
        <v>4.7249720000000002</v>
      </c>
      <c r="E2769">
        <v>0.3955381</v>
      </c>
      <c r="F2769" t="s">
        <v>42</v>
      </c>
      <c r="G2769">
        <v>-491.56799999999998</v>
      </c>
      <c r="H2769" s="1">
        <v>-4.8394799999999999E-7</v>
      </c>
      <c r="I2769">
        <v>249.74469999999999</v>
      </c>
      <c r="J2769">
        <v>-491.47859999999997</v>
      </c>
      <c r="K2769">
        <v>1.1198159999999999</v>
      </c>
      <c r="L2769">
        <v>266.07979999999998</v>
      </c>
      <c r="M2769">
        <v>-0.23649310000000001</v>
      </c>
      <c r="N2769">
        <v>0</v>
      </c>
      <c r="O2769">
        <v>-0.97151569999999998</v>
      </c>
      <c r="P2769">
        <v>-0.26919009999999999</v>
      </c>
      <c r="Q2769">
        <v>1.7798810000000002E-2</v>
      </c>
      <c r="R2769">
        <v>-0.96292259999999996</v>
      </c>
      <c r="S2769">
        <v>-2.191162E-2</v>
      </c>
      <c r="T2769">
        <v>-0.21211369999999999</v>
      </c>
      <c r="U2769">
        <v>-3.1197509999999999</v>
      </c>
      <c r="V2769">
        <v>3.3004319999999997E-2</v>
      </c>
      <c r="W2769">
        <v>3.3695349999999999E-2</v>
      </c>
      <c r="X2769">
        <v>0.99888710000000003</v>
      </c>
      <c r="Y2769">
        <v>-0.2296976</v>
      </c>
      <c r="Z2769">
        <v>6.4042360000000007E-2</v>
      </c>
      <c r="AA2769">
        <v>0.97115269999999998</v>
      </c>
      <c r="AB2769">
        <v>27</v>
      </c>
      <c r="AC2769">
        <v>-8.9400000000068702E-2</v>
      </c>
      <c r="AD2769">
        <v>-1.11981648394799</v>
      </c>
      <c r="AE2769">
        <v>-16.335099999999901</v>
      </c>
      <c r="AF2769">
        <v>-3.7590509240261398</v>
      </c>
      <c r="AG2769">
        <v>-1.11981648394799</v>
      </c>
      <c r="AH2769">
        <v>15.818426320337601</v>
      </c>
      <c r="AI2769">
        <v>93.939961736939495</v>
      </c>
      <c r="AJ2769">
        <v>103.367674496639</v>
      </c>
      <c r="AK2769">
        <v>16.297455754168901</v>
      </c>
      <c r="AL2769">
        <v>88.069033239274503</v>
      </c>
      <c r="AM2769">
        <v>88.1075733728524</v>
      </c>
      <c r="AN2769">
        <v>1.0000000501483399</v>
      </c>
    </row>
    <row r="2770" spans="1:40" x14ac:dyDescent="0.25">
      <c r="A2770" t="str">
        <f>"20190312154849845"</f>
        <v>20190312154849845</v>
      </c>
      <c r="B2770" t="str">
        <f>"1552376929838536"</f>
        <v>1552376929838536</v>
      </c>
      <c r="C2770" t="s">
        <v>40</v>
      </c>
      <c r="D2770">
        <v>4.721387</v>
      </c>
      <c r="E2770">
        <v>0.39527970000000001</v>
      </c>
      <c r="F2770" t="s">
        <v>42</v>
      </c>
      <c r="G2770">
        <v>-491.41269999999997</v>
      </c>
      <c r="H2770" s="1">
        <v>-5.4338479999999998E-7</v>
      </c>
      <c r="I2770">
        <v>249.9796</v>
      </c>
      <c r="J2770">
        <v>-491.50310000000002</v>
      </c>
      <c r="K2770">
        <v>1.1197619999999999</v>
      </c>
      <c r="L2770">
        <v>265.95139999999998</v>
      </c>
      <c r="M2770">
        <v>-0.2298338</v>
      </c>
      <c r="N2770">
        <v>0</v>
      </c>
      <c r="O2770">
        <v>-0.97311300000000001</v>
      </c>
      <c r="P2770">
        <v>-0.26270739999999998</v>
      </c>
      <c r="Q2770">
        <v>1.763118E-2</v>
      </c>
      <c r="R2770">
        <v>-0.96471490000000004</v>
      </c>
      <c r="S2770">
        <v>1.2786870000000001E-2</v>
      </c>
      <c r="T2770">
        <v>-0.2172191</v>
      </c>
      <c r="U2770">
        <v>-3.1230769999999999</v>
      </c>
      <c r="V2770">
        <v>3.3135150000000002E-2</v>
      </c>
      <c r="W2770">
        <v>3.3515679999999999E-2</v>
      </c>
      <c r="X2770">
        <v>0.99888880000000002</v>
      </c>
      <c r="Y2770">
        <v>-0.2338258</v>
      </c>
      <c r="Z2770">
        <v>6.5638189999999999E-2</v>
      </c>
      <c r="AA2770">
        <v>0.97006029999999999</v>
      </c>
      <c r="AB2770">
        <v>26</v>
      </c>
      <c r="AC2770">
        <v>9.0400000000045097E-2</v>
      </c>
      <c r="AD2770">
        <v>-1.1197625433848</v>
      </c>
      <c r="AE2770">
        <v>-15.971799999999901</v>
      </c>
      <c r="AF2770">
        <v>-3.7408699076726601</v>
      </c>
      <c r="AG2770">
        <v>-1.1197625433848</v>
      </c>
      <c r="AH2770">
        <v>15.4474299342882</v>
      </c>
      <c r="AI2770">
        <v>94.029954191740998</v>
      </c>
      <c r="AJ2770">
        <v>103.613115796432</v>
      </c>
      <c r="AK2770">
        <v>15.9333319614712</v>
      </c>
      <c r="AL2770">
        <v>88.079333363741299</v>
      </c>
      <c r="AM2770">
        <v>88.100080461634604</v>
      </c>
      <c r="AN2770">
        <v>1.0000000368684101</v>
      </c>
    </row>
    <row r="2771" spans="1:40" x14ac:dyDescent="0.25">
      <c r="A2771" t="str">
        <f>"20190312154849856"</f>
        <v>20190312154849856</v>
      </c>
      <c r="B2771" t="str">
        <f>"1552376929848296"</f>
        <v>1552376929848296</v>
      </c>
      <c r="C2771" t="s">
        <v>40</v>
      </c>
      <c r="D2771">
        <v>4.6966769999999904</v>
      </c>
      <c r="E2771">
        <v>0.3954667</v>
      </c>
      <c r="F2771" t="s">
        <v>42</v>
      </c>
      <c r="G2771">
        <v>-491.31569999999999</v>
      </c>
      <c r="H2771" s="1">
        <v>-3.9785150000000002E-7</v>
      </c>
      <c r="I2771">
        <v>249.70050000000001</v>
      </c>
      <c r="J2771">
        <v>-491.52640000000002</v>
      </c>
      <c r="K2771">
        <v>1.1196999999999999</v>
      </c>
      <c r="L2771">
        <v>265.82100000000003</v>
      </c>
      <c r="M2771">
        <v>-0.2231523</v>
      </c>
      <c r="N2771">
        <v>0</v>
      </c>
      <c r="O2771">
        <v>-0.97466699999999995</v>
      </c>
      <c r="P2771">
        <v>-0.2559187</v>
      </c>
      <c r="Q2771">
        <v>1.7837570000000001E-2</v>
      </c>
      <c r="R2771">
        <v>-0.96653370000000005</v>
      </c>
      <c r="S2771">
        <v>3.6010739999999999E-2</v>
      </c>
      <c r="T2771">
        <v>-0.21522189999999999</v>
      </c>
      <c r="U2771">
        <v>-3.1234739999999999</v>
      </c>
      <c r="V2771">
        <v>3.2967370000000003E-2</v>
      </c>
      <c r="W2771">
        <v>3.3698680000000002E-2</v>
      </c>
      <c r="X2771">
        <v>0.99888809999999995</v>
      </c>
      <c r="Y2771">
        <v>-0.23436779999999999</v>
      </c>
      <c r="Z2771">
        <v>6.5182279999999995E-2</v>
      </c>
      <c r="AA2771">
        <v>0.9699603</v>
      </c>
      <c r="AB2771">
        <v>26</v>
      </c>
      <c r="AC2771">
        <v>0.210700000000031</v>
      </c>
      <c r="AD2771">
        <v>-1.1197003978515001</v>
      </c>
      <c r="AE2771">
        <v>-16.1204999999999</v>
      </c>
      <c r="AF2771">
        <v>-3.7848644976674199</v>
      </c>
      <c r="AG2771">
        <v>-1.1197003978515001</v>
      </c>
      <c r="AH2771">
        <v>15.5916735483762</v>
      </c>
      <c r="AI2771">
        <v>93.992042330242001</v>
      </c>
      <c r="AJ2771">
        <v>103.644572586626</v>
      </c>
      <c r="AK2771">
        <v>16.083507462173401</v>
      </c>
      <c r="AL2771">
        <v>88.068842127804004</v>
      </c>
      <c r="AM2771">
        <v>88.109692392956205</v>
      </c>
      <c r="AN2771">
        <v>0.99999994242003298</v>
      </c>
    </row>
    <row r="2772" spans="1:40" x14ac:dyDescent="0.25">
      <c r="A2772" t="str">
        <f>"20190312154849868"</f>
        <v>20190312154849868</v>
      </c>
      <c r="B2772" t="str">
        <f>"1552376929859032"</f>
        <v>1552376929859032</v>
      </c>
      <c r="C2772" t="s">
        <v>40</v>
      </c>
      <c r="D2772">
        <v>4.708704</v>
      </c>
      <c r="E2772">
        <v>0.39606740000000001</v>
      </c>
      <c r="F2772" t="s">
        <v>42</v>
      </c>
      <c r="G2772">
        <v>-491.23439999999999</v>
      </c>
      <c r="H2772" s="1">
        <v>-4.4733479999999996E-6</v>
      </c>
      <c r="I2772">
        <v>249.48849999999999</v>
      </c>
      <c r="J2772">
        <v>-491.54919999999998</v>
      </c>
      <c r="K2772">
        <v>1.1196349999999999</v>
      </c>
      <c r="L2772">
        <v>265.6909</v>
      </c>
      <c r="M2772">
        <v>-0.21649080000000001</v>
      </c>
      <c r="N2772">
        <v>0</v>
      </c>
      <c r="O2772">
        <v>-0.9761687</v>
      </c>
      <c r="P2772">
        <v>-0.24947530000000001</v>
      </c>
      <c r="Q2772">
        <v>1.7907340000000001E-2</v>
      </c>
      <c r="R2772">
        <v>-0.96821590000000002</v>
      </c>
      <c r="S2772">
        <v>5.5816650000000002E-2</v>
      </c>
      <c r="T2772">
        <v>-0.21407390000000001</v>
      </c>
      <c r="U2772">
        <v>-3.1225890000000001</v>
      </c>
      <c r="V2772">
        <v>3.3140290000000003E-2</v>
      </c>
      <c r="W2772">
        <v>3.3753480000000002E-2</v>
      </c>
      <c r="X2772">
        <v>0.99888060000000001</v>
      </c>
      <c r="Y2772">
        <v>-0.23388320000000001</v>
      </c>
      <c r="Z2772">
        <v>6.5008860000000002E-2</v>
      </c>
      <c r="AA2772">
        <v>0.97008890000000003</v>
      </c>
      <c r="AB2772">
        <v>26</v>
      </c>
      <c r="AC2772">
        <v>0.31479999999999098</v>
      </c>
      <c r="AD2772">
        <v>-1.119639473348</v>
      </c>
      <c r="AE2772">
        <v>-16.202400000000001</v>
      </c>
      <c r="AF2772">
        <v>-3.7972742199419902</v>
      </c>
      <c r="AG2772">
        <v>-1.119639473348</v>
      </c>
      <c r="AH2772">
        <v>15.6750829841833</v>
      </c>
      <c r="AI2772">
        <v>93.971106137491702</v>
      </c>
      <c r="AJ2772">
        <v>103.617514756289</v>
      </c>
      <c r="AK2772">
        <v>16.167285196122101</v>
      </c>
      <c r="AL2772">
        <v>88.065700671452703</v>
      </c>
      <c r="AM2772">
        <v>88.099770370051402</v>
      </c>
      <c r="AN2772">
        <v>1.00000001464487</v>
      </c>
    </row>
    <row r="2773" spans="1:40" x14ac:dyDescent="0.25">
      <c r="A2773" t="str">
        <f>"20190312154849878"</f>
        <v>20190312154849878</v>
      </c>
      <c r="B2773" t="str">
        <f>"1552376929868792"</f>
        <v>1552376929868792</v>
      </c>
      <c r="C2773" t="s">
        <v>40</v>
      </c>
      <c r="D2773">
        <v>4.7033139999999998</v>
      </c>
      <c r="E2773">
        <v>0.39641140000000002</v>
      </c>
      <c r="F2773" t="s">
        <v>42</v>
      </c>
      <c r="G2773">
        <v>-491.17919999999998</v>
      </c>
      <c r="H2773" s="1">
        <v>-3.4293410000000001E-7</v>
      </c>
      <c r="I2773">
        <v>249.65710000000001</v>
      </c>
      <c r="J2773">
        <v>-491.57</v>
      </c>
      <c r="K2773">
        <v>1.1195660000000001</v>
      </c>
      <c r="L2773">
        <v>265.56610000000001</v>
      </c>
      <c r="M2773">
        <v>-0.21016560000000001</v>
      </c>
      <c r="N2773">
        <v>0</v>
      </c>
      <c r="O2773">
        <v>-0.97755000000000003</v>
      </c>
      <c r="P2773">
        <v>-0.24331449999999999</v>
      </c>
      <c r="Q2773">
        <v>1.8381600000000001E-2</v>
      </c>
      <c r="R2773">
        <v>-0.96977360000000001</v>
      </c>
      <c r="S2773">
        <v>7.2021479999999999E-2</v>
      </c>
      <c r="T2773">
        <v>-0.21794340000000001</v>
      </c>
      <c r="U2773">
        <v>-3.1210629999999999</v>
      </c>
      <c r="V2773">
        <v>3.3254110000000003E-2</v>
      </c>
      <c r="W2773">
        <v>3.4209549999999998E-2</v>
      </c>
      <c r="X2773">
        <v>0.99886129999999995</v>
      </c>
      <c r="Y2773">
        <v>-0.2326288</v>
      </c>
      <c r="Z2773">
        <v>6.6361429999999999E-2</v>
      </c>
      <c r="AA2773">
        <v>0.97029889999999996</v>
      </c>
      <c r="AB2773">
        <v>26</v>
      </c>
      <c r="AC2773">
        <v>0.39080000000001203</v>
      </c>
      <c r="AD2773">
        <v>-1.1195663429341001</v>
      </c>
      <c r="AE2773">
        <v>-15.908999999999899</v>
      </c>
      <c r="AF2773">
        <v>-3.7076224284666002</v>
      </c>
      <c r="AG2773">
        <v>-1.1195663429341001</v>
      </c>
      <c r="AH2773">
        <v>15.395264630614699</v>
      </c>
      <c r="AI2773">
        <v>94.044089315826994</v>
      </c>
      <c r="AJ2773">
        <v>103.54062291741</v>
      </c>
      <c r="AK2773">
        <v>15.8749508948833</v>
      </c>
      <c r="AL2773">
        <v>88.039554681692294</v>
      </c>
      <c r="AM2773">
        <v>88.0932120443142</v>
      </c>
      <c r="AN2773">
        <v>1.0000000128903901</v>
      </c>
    </row>
    <row r="2774" spans="1:40" x14ac:dyDescent="0.25">
      <c r="A2774" t="str">
        <f>"20190312154849890"</f>
        <v>20190312154849890</v>
      </c>
      <c r="B2774" t="str">
        <f>"1552376929878553"</f>
        <v>1552376929878553</v>
      </c>
      <c r="C2774" t="s">
        <v>40</v>
      </c>
      <c r="D2774">
        <v>4.6870250000000002</v>
      </c>
      <c r="E2774">
        <v>0.39735290000000001</v>
      </c>
      <c r="F2774" t="s">
        <v>42</v>
      </c>
      <c r="G2774">
        <v>-491.11430000000001</v>
      </c>
      <c r="H2774" s="1">
        <v>-4.4417640000000003E-6</v>
      </c>
      <c r="I2774">
        <v>249.45830000000001</v>
      </c>
      <c r="J2774">
        <v>-491.59050000000002</v>
      </c>
      <c r="K2774">
        <v>1.11948799999999</v>
      </c>
      <c r="L2774">
        <v>265.4393</v>
      </c>
      <c r="M2774">
        <v>-0.20377329999999999</v>
      </c>
      <c r="N2774">
        <v>0</v>
      </c>
      <c r="O2774">
        <v>-0.97890270000000001</v>
      </c>
      <c r="P2774">
        <v>-0.23715900000000001</v>
      </c>
      <c r="Q2774">
        <v>1.8718559999999999E-2</v>
      </c>
      <c r="R2774">
        <v>-0.97129049999999995</v>
      </c>
      <c r="S2774">
        <v>8.8256840000000003E-2</v>
      </c>
      <c r="T2774">
        <v>-0.2168417</v>
      </c>
      <c r="U2774">
        <v>-3.119812</v>
      </c>
      <c r="V2774">
        <v>3.3446209999999997E-2</v>
      </c>
      <c r="W2774">
        <v>3.452885E-2</v>
      </c>
      <c r="X2774">
        <v>0.99884390000000001</v>
      </c>
      <c r="Y2774">
        <v>-0.23132920000000001</v>
      </c>
      <c r="Z2774">
        <v>6.6200549999999997E-2</v>
      </c>
      <c r="AA2774">
        <v>0.97062059999999994</v>
      </c>
      <c r="AB2774">
        <v>26</v>
      </c>
      <c r="AC2774">
        <v>0.47620000000000501</v>
      </c>
      <c r="AD2774">
        <v>-1.11949244176399</v>
      </c>
      <c r="AE2774">
        <v>-15.9809999999999</v>
      </c>
      <c r="AF2774">
        <v>-3.7049105674886298</v>
      </c>
      <c r="AG2774">
        <v>-1.11949244176399</v>
      </c>
      <c r="AH2774">
        <v>15.472703461432101</v>
      </c>
      <c r="AI2774">
        <v>94.024908385041996</v>
      </c>
      <c r="AJ2774">
        <v>103.46583412832901</v>
      </c>
      <c r="AK2774">
        <v>15.949425633723299</v>
      </c>
      <c r="AL2774">
        <v>88.021249325949199</v>
      </c>
      <c r="AM2774">
        <v>88.082171864440497</v>
      </c>
      <c r="AN2774">
        <v>1.00000001350644</v>
      </c>
    </row>
    <row r="2775" spans="1:40" x14ac:dyDescent="0.25">
      <c r="A2775" t="str">
        <f>"20190312154849901"</f>
        <v>20190312154849901</v>
      </c>
      <c r="B2775" t="str">
        <f>"1552376929899048"</f>
        <v>1552376929899048</v>
      </c>
      <c r="C2775" t="s">
        <v>40</v>
      </c>
      <c r="D2775">
        <v>4.7308599999999998</v>
      </c>
      <c r="E2775">
        <v>0.39876430000000002</v>
      </c>
      <c r="F2775" t="s">
        <v>42</v>
      </c>
      <c r="G2775">
        <v>-491.07080000000002</v>
      </c>
      <c r="H2775" s="1">
        <v>-4.416146E-6</v>
      </c>
      <c r="I2775">
        <v>249.4057</v>
      </c>
      <c r="J2775">
        <v>-491.6121</v>
      </c>
      <c r="K2775">
        <v>1.119405</v>
      </c>
      <c r="L2775">
        <v>265.30009999999999</v>
      </c>
      <c r="M2775">
        <v>-0.19680900000000001</v>
      </c>
      <c r="N2775">
        <v>0</v>
      </c>
      <c r="O2775">
        <v>-0.9803269</v>
      </c>
      <c r="P2775">
        <v>-0.23051949999999999</v>
      </c>
      <c r="Q2775">
        <v>1.8951949999999999E-2</v>
      </c>
      <c r="R2775">
        <v>-0.97288350000000001</v>
      </c>
      <c r="S2775">
        <v>0.1010437</v>
      </c>
      <c r="T2775">
        <v>-0.21766630000000001</v>
      </c>
      <c r="U2775">
        <v>-3.1174620000000002</v>
      </c>
      <c r="V2775">
        <v>3.3728250000000001E-2</v>
      </c>
      <c r="W2775">
        <v>3.474377E-2</v>
      </c>
      <c r="X2775">
        <v>0.99882689999999996</v>
      </c>
      <c r="Y2775">
        <v>-0.22840949999999999</v>
      </c>
      <c r="Z2775">
        <v>6.6669350000000002E-2</v>
      </c>
      <c r="AA2775">
        <v>0.97127969999999997</v>
      </c>
      <c r="AB2775">
        <v>26</v>
      </c>
      <c r="AC2775">
        <v>0.54129999999997802</v>
      </c>
      <c r="AD2775">
        <v>-1.119409416146</v>
      </c>
      <c r="AE2775">
        <v>-15.8943999999999</v>
      </c>
      <c r="AF2775">
        <v>-3.6411846299050099</v>
      </c>
      <c r="AG2775">
        <v>-1.119409416146</v>
      </c>
      <c r="AH2775">
        <v>15.400619432986099</v>
      </c>
      <c r="AI2775">
        <v>94.046125081965997</v>
      </c>
      <c r="AJ2775">
        <v>103.302228443416</v>
      </c>
      <c r="AK2775">
        <v>15.864752814641699</v>
      </c>
      <c r="AL2775">
        <v>88.008927798174795</v>
      </c>
      <c r="AM2775">
        <v>88.065978840125297</v>
      </c>
      <c r="AN2775">
        <v>0.99999995028274102</v>
      </c>
    </row>
    <row r="2776" spans="1:40" x14ac:dyDescent="0.25">
      <c r="A2776" t="str">
        <f>"20190312154849914"</f>
        <v>20190312154849914</v>
      </c>
      <c r="B2776" t="str">
        <f>"1552376929908809"</f>
        <v>1552376929908809</v>
      </c>
      <c r="C2776" t="s">
        <v>40</v>
      </c>
      <c r="D2776">
        <v>4.6710370000000001</v>
      </c>
      <c r="E2776">
        <v>0.3995011</v>
      </c>
      <c r="F2776" t="s">
        <v>42</v>
      </c>
      <c r="G2776">
        <v>-491.04050000000001</v>
      </c>
      <c r="H2776" s="1">
        <v>-4.361519E-6</v>
      </c>
      <c r="I2776">
        <v>249.261</v>
      </c>
      <c r="J2776">
        <v>-491.63209999999998</v>
      </c>
      <c r="K2776">
        <v>1.1193139999999999</v>
      </c>
      <c r="L2776">
        <v>265.16410000000002</v>
      </c>
      <c r="M2776">
        <v>-0.19008849999999999</v>
      </c>
      <c r="N2776">
        <v>0</v>
      </c>
      <c r="O2776">
        <v>-0.98165239999999998</v>
      </c>
      <c r="P2776">
        <v>-0.2241011</v>
      </c>
      <c r="Q2776">
        <v>1.89017E-2</v>
      </c>
      <c r="R2776">
        <v>-0.97438290000000005</v>
      </c>
      <c r="S2776">
        <v>0.1109924</v>
      </c>
      <c r="T2776">
        <v>-0.21734700000000001</v>
      </c>
      <c r="U2776">
        <v>-3.1141969999999999</v>
      </c>
      <c r="V2776">
        <v>3.3995829999999998E-2</v>
      </c>
      <c r="W2776">
        <v>3.4671340000000002E-2</v>
      </c>
      <c r="X2776">
        <v>0.99882040000000005</v>
      </c>
      <c r="Y2776">
        <v>-0.22487080000000001</v>
      </c>
      <c r="Z2776">
        <v>6.6804790000000003E-2</v>
      </c>
      <c r="AA2776">
        <v>0.97209579999999995</v>
      </c>
      <c r="AB2776">
        <v>26</v>
      </c>
      <c r="AC2776">
        <v>0.59159999999997104</v>
      </c>
      <c r="AD2776">
        <v>-1.1193183615190001</v>
      </c>
      <c r="AE2776">
        <v>-15.9031</v>
      </c>
      <c r="AF2776">
        <v>-3.58640534796693</v>
      </c>
      <c r="AG2776">
        <v>-1.1193183615190001</v>
      </c>
      <c r="AH2776">
        <v>15.424299067269899</v>
      </c>
      <c r="AI2776">
        <v>94.043110814939496</v>
      </c>
      <c r="AJ2776">
        <v>103.08963431418699</v>
      </c>
      <c r="AK2776">
        <v>15.8752694034131</v>
      </c>
      <c r="AL2776">
        <v>88.0130803419827</v>
      </c>
      <c r="AM2776">
        <v>88.050634574503505</v>
      </c>
      <c r="AN2776">
        <v>1.00000000486547</v>
      </c>
    </row>
    <row r="2777" spans="1:40" x14ac:dyDescent="0.25">
      <c r="A2777" t="str">
        <f>"20190312154849926"</f>
        <v>20190312154849926</v>
      </c>
      <c r="B2777" t="str">
        <f>"1552376929918568"</f>
        <v>1552376929918568</v>
      </c>
      <c r="C2777" t="s">
        <v>40</v>
      </c>
      <c r="D2777">
        <v>4.7073939999999999</v>
      </c>
      <c r="E2777">
        <v>0.3995011</v>
      </c>
      <c r="F2777" t="s">
        <v>42</v>
      </c>
      <c r="G2777">
        <v>-490.98809999999997</v>
      </c>
      <c r="H2777" s="1">
        <v>-4.3156400000000001E-6</v>
      </c>
      <c r="I2777">
        <v>249.15350000000001</v>
      </c>
      <c r="J2777">
        <v>-491.65120000000002</v>
      </c>
      <c r="K2777">
        <v>1.1192219999999999</v>
      </c>
      <c r="L2777">
        <v>265.03140000000002</v>
      </c>
      <c r="M2777">
        <v>-0.18356510000000001</v>
      </c>
      <c r="N2777">
        <v>0</v>
      </c>
      <c r="O2777">
        <v>-0.98289340000000003</v>
      </c>
      <c r="P2777">
        <v>-0.2180984</v>
      </c>
      <c r="Q2777">
        <v>1.8759290000000001E-2</v>
      </c>
      <c r="R2777">
        <v>-0.97574649999999996</v>
      </c>
      <c r="S2777">
        <v>0.12518309999999999</v>
      </c>
      <c r="T2777">
        <v>-0.21755669999999999</v>
      </c>
      <c r="U2777">
        <v>-3.1119080000000001</v>
      </c>
      <c r="V2777">
        <v>3.4491140000000003E-2</v>
      </c>
      <c r="W2777">
        <v>3.4512649999999999E-2</v>
      </c>
      <c r="X2777">
        <v>0.9988089</v>
      </c>
      <c r="Y2777">
        <v>-0.2228511</v>
      </c>
      <c r="Z2777">
        <v>6.7057850000000002E-2</v>
      </c>
      <c r="AA2777">
        <v>0.97254339999999995</v>
      </c>
      <c r="AB2777">
        <v>26</v>
      </c>
      <c r="AC2777">
        <v>0.66310000000004199</v>
      </c>
      <c r="AD2777">
        <v>-1.11922631564</v>
      </c>
      <c r="AE2777">
        <v>-15.8779</v>
      </c>
      <c r="AF2777">
        <v>-3.54918077136906</v>
      </c>
      <c r="AG2777">
        <v>-1.11922631564</v>
      </c>
      <c r="AH2777">
        <v>15.4098639980669</v>
      </c>
      <c r="AI2777">
        <v>94.048501398687506</v>
      </c>
      <c r="AJ2777">
        <v>102.970109317008</v>
      </c>
      <c r="AK2777">
        <v>15.852862837115399</v>
      </c>
      <c r="AL2777">
        <v>88.022178025066907</v>
      </c>
      <c r="AM2777">
        <v>88.022232490534904</v>
      </c>
      <c r="AN2777">
        <v>0.99999999023386599</v>
      </c>
    </row>
    <row r="2778" spans="1:40" x14ac:dyDescent="0.25">
      <c r="A2778" t="str">
        <f>"20190312154849937"</f>
        <v>20190312154849937</v>
      </c>
      <c r="B2778" t="str">
        <f>"1552376929928330"</f>
        <v>1552376929928330</v>
      </c>
      <c r="C2778" t="s">
        <v>40</v>
      </c>
      <c r="D2778">
        <v>4.7325379999999999</v>
      </c>
      <c r="E2778">
        <v>0.40945860000000001</v>
      </c>
      <c r="F2778" t="s">
        <v>42</v>
      </c>
      <c r="G2778">
        <v>-490.91199999999998</v>
      </c>
      <c r="H2778" s="1">
        <v>-4.2825339999999997E-6</v>
      </c>
      <c r="I2778">
        <v>249.0959</v>
      </c>
      <c r="J2778">
        <v>-491.66919999999999</v>
      </c>
      <c r="K2778">
        <v>1.119116</v>
      </c>
      <c r="L2778">
        <v>264.89609999999999</v>
      </c>
      <c r="M2778">
        <v>-0.17703969999999999</v>
      </c>
      <c r="N2778">
        <v>0</v>
      </c>
      <c r="O2778">
        <v>-0.98409029999999997</v>
      </c>
      <c r="P2778">
        <v>-0.21195339999999999</v>
      </c>
      <c r="Q2778">
        <v>1.8607189999999999E-2</v>
      </c>
      <c r="R2778">
        <v>-0.97710280000000005</v>
      </c>
      <c r="S2778">
        <v>0.14431759999999999</v>
      </c>
      <c r="T2778">
        <v>-0.2185009</v>
      </c>
      <c r="U2778">
        <v>-3.1110229999999999</v>
      </c>
      <c r="V2778">
        <v>3.484487E-2</v>
      </c>
      <c r="W2778">
        <v>3.4335839999999999E-2</v>
      </c>
      <c r="X2778">
        <v>0.99880270000000004</v>
      </c>
      <c r="Y2778">
        <v>-0.22236359999999999</v>
      </c>
      <c r="Z2778">
        <v>6.7486930000000001E-2</v>
      </c>
      <c r="AA2778">
        <v>0.97262530000000003</v>
      </c>
      <c r="AB2778">
        <v>26</v>
      </c>
      <c r="AC2778">
        <v>0.75720000000001098</v>
      </c>
      <c r="AD2778">
        <v>-1.1191202825340001</v>
      </c>
      <c r="AE2778">
        <v>-15.800199999999901</v>
      </c>
      <c r="AF2778">
        <v>-3.52516669218002</v>
      </c>
      <c r="AG2778">
        <v>-1.1191202825340001</v>
      </c>
      <c r="AH2778">
        <v>15.339709677227599</v>
      </c>
      <c r="AI2778">
        <v>94.067024305435098</v>
      </c>
      <c r="AJ2778">
        <v>102.942240388858</v>
      </c>
      <c r="AK2778">
        <v>15.7792877974915</v>
      </c>
      <c r="AL2778">
        <v>88.0323144681808</v>
      </c>
      <c r="AM2778">
        <v>88.001953109382299</v>
      </c>
      <c r="AN2778">
        <v>0.99999997420055597</v>
      </c>
    </row>
    <row r="2779" spans="1:40" x14ac:dyDescent="0.25">
      <c r="A2779" t="str">
        <f>"20190312154849948"</f>
        <v>20190312154849948</v>
      </c>
      <c r="B2779" t="str">
        <f>"1552376929939064"</f>
        <v>1552376929939064</v>
      </c>
      <c r="C2779" t="s">
        <v>40</v>
      </c>
      <c r="D2779">
        <v>4.7041839999999997</v>
      </c>
      <c r="E2779">
        <v>0.41033170000000002</v>
      </c>
      <c r="F2779" t="s">
        <v>42</v>
      </c>
      <c r="G2779">
        <v>-491.19729999999998</v>
      </c>
      <c r="H2779" s="1">
        <v>-3.8264210000000003E-6</v>
      </c>
      <c r="I2779">
        <v>247.76599999999999</v>
      </c>
      <c r="J2779">
        <v>-491.68540000000002</v>
      </c>
      <c r="K2779">
        <v>1.1190150000000001</v>
      </c>
      <c r="L2779">
        <v>264.77249999999998</v>
      </c>
      <c r="M2779">
        <v>-0.17110810000000001</v>
      </c>
      <c r="N2779">
        <v>0</v>
      </c>
      <c r="O2779">
        <v>-0.98513919999999999</v>
      </c>
      <c r="P2779">
        <v>-0.20629749999999999</v>
      </c>
      <c r="Q2779">
        <v>1.8614249999999999E-2</v>
      </c>
      <c r="R2779">
        <v>-0.97831239999999997</v>
      </c>
      <c r="S2779">
        <v>8.5205080000000002E-2</v>
      </c>
      <c r="T2779">
        <v>-0.20204420000000001</v>
      </c>
      <c r="U2779">
        <v>-3.092651</v>
      </c>
      <c r="V2779">
        <v>3.509288E-2</v>
      </c>
      <c r="W2779">
        <v>3.4317739999999999E-2</v>
      </c>
      <c r="X2779">
        <v>0.99879470000000004</v>
      </c>
      <c r="Y2779">
        <v>-0.19813700000000001</v>
      </c>
      <c r="Z2779">
        <v>6.3090560000000004E-2</v>
      </c>
      <c r="AA2779">
        <v>0.97814179999999995</v>
      </c>
      <c r="AB2779">
        <v>26</v>
      </c>
      <c r="AC2779">
        <v>0.48810000000003101</v>
      </c>
      <c r="AD2779">
        <v>-1.1190188264209999</v>
      </c>
      <c r="AE2779">
        <v>-17.0064999999999</v>
      </c>
      <c r="AF2779">
        <v>-3.3765670456289198</v>
      </c>
      <c r="AG2779">
        <v>-1.1190188264209999</v>
      </c>
      <c r="AH2779">
        <v>16.600296095792402</v>
      </c>
      <c r="AI2779">
        <v>93.779292455982201</v>
      </c>
      <c r="AJ2779">
        <v>101.497344004629</v>
      </c>
      <c r="AK2779">
        <v>16.9771387051969</v>
      </c>
      <c r="AL2779">
        <v>88.033352253219704</v>
      </c>
      <c r="AM2779">
        <v>87.987727462438201</v>
      </c>
      <c r="AN2779">
        <v>1.00000003512674</v>
      </c>
    </row>
    <row r="2780" spans="1:40" x14ac:dyDescent="0.25">
      <c r="A2780" t="str">
        <f>"20190312154849959"</f>
        <v>20190312154849959</v>
      </c>
      <c r="B2780" t="str">
        <f>"1552376929948825"</f>
        <v>1552376929948825</v>
      </c>
      <c r="C2780" t="s">
        <v>40</v>
      </c>
      <c r="D2780">
        <v>4.5769190000000002</v>
      </c>
      <c r="E2780">
        <v>0.41033170000000002</v>
      </c>
      <c r="F2780" t="s">
        <v>42</v>
      </c>
      <c r="G2780">
        <v>-491.15839999999997</v>
      </c>
      <c r="H2780" s="1">
        <v>-3.7888360000000002E-6</v>
      </c>
      <c r="I2780">
        <v>247.70249999999999</v>
      </c>
      <c r="J2780">
        <v>-491.70119999999997</v>
      </c>
      <c r="K2780">
        <v>1.1189100000000001</v>
      </c>
      <c r="L2780">
        <v>264.64319999999998</v>
      </c>
      <c r="M2780">
        <v>-0.16499510000000001</v>
      </c>
      <c r="N2780">
        <v>0</v>
      </c>
      <c r="O2780">
        <v>-0.9861818</v>
      </c>
      <c r="P2780">
        <v>-0.2004118</v>
      </c>
      <c r="Q2780">
        <v>1.849787E-2</v>
      </c>
      <c r="R2780">
        <v>-0.97953730000000006</v>
      </c>
      <c r="S2780">
        <v>9.5397949999999995E-2</v>
      </c>
      <c r="T2780">
        <v>-0.20259369999999999</v>
      </c>
      <c r="U2780">
        <v>-3.0904539999999998</v>
      </c>
      <c r="V2780">
        <v>3.5294150000000003E-2</v>
      </c>
      <c r="W2780">
        <v>3.417191E-2</v>
      </c>
      <c r="X2780">
        <v>0.99879260000000003</v>
      </c>
      <c r="Y2780">
        <v>-0.19529940000000001</v>
      </c>
      <c r="Z2780">
        <v>6.342391E-2</v>
      </c>
      <c r="AA2780">
        <v>0.97869070000000002</v>
      </c>
      <c r="AB2780">
        <v>26</v>
      </c>
      <c r="AC2780">
        <v>0.54279999999999895</v>
      </c>
      <c r="AD2780">
        <v>-1.1189137888359999</v>
      </c>
      <c r="AE2780">
        <v>-16.9406999999999</v>
      </c>
      <c r="AF2780">
        <v>-3.3163492617749402</v>
      </c>
      <c r="AG2780">
        <v>-1.1189137888359999</v>
      </c>
      <c r="AH2780">
        <v>16.546785588738999</v>
      </c>
      <c r="AI2780">
        <v>93.793310902652905</v>
      </c>
      <c r="AJ2780">
        <v>101.333210744205</v>
      </c>
      <c r="AK2780">
        <v>16.912901992639298</v>
      </c>
      <c r="AL2780">
        <v>88.041712584366394</v>
      </c>
      <c r="AM2780">
        <v>87.976191690391701</v>
      </c>
      <c r="AN2780">
        <v>1.0000000271360101</v>
      </c>
    </row>
    <row r="2781" spans="1:40" x14ac:dyDescent="0.25">
      <c r="A2781" t="str">
        <f>"20190312154849973"</f>
        <v>20190312154849973</v>
      </c>
      <c r="B2781" t="str">
        <f>"1552376929968344"</f>
        <v>1552376929968344</v>
      </c>
      <c r="C2781" t="s">
        <v>40</v>
      </c>
      <c r="D2781">
        <v>4.5906699999999896</v>
      </c>
      <c r="E2781">
        <v>0.40274929999999998</v>
      </c>
      <c r="F2781" t="s">
        <v>42</v>
      </c>
      <c r="G2781">
        <v>-491.07069999999999</v>
      </c>
      <c r="H2781" s="1">
        <v>-3.7397060000000001E-6</v>
      </c>
      <c r="I2781">
        <v>247.64230000000001</v>
      </c>
      <c r="J2781">
        <v>-491.71839999999997</v>
      </c>
      <c r="K2781">
        <v>1.118779</v>
      </c>
      <c r="L2781">
        <v>264.49689999999998</v>
      </c>
      <c r="M2781">
        <v>-0.158168899999999</v>
      </c>
      <c r="N2781">
        <v>0</v>
      </c>
      <c r="O2781">
        <v>-0.98729990000000001</v>
      </c>
      <c r="P2781">
        <v>-0.19360359999999999</v>
      </c>
      <c r="Q2781">
        <v>1.8770370000000001E-2</v>
      </c>
      <c r="R2781">
        <v>-0.98090040000000001</v>
      </c>
      <c r="S2781">
        <v>0.1145935</v>
      </c>
      <c r="T2781">
        <v>-0.2033683</v>
      </c>
      <c r="U2781">
        <v>-3.0899960000000002</v>
      </c>
      <c r="V2781">
        <v>3.5272980000000002E-2</v>
      </c>
      <c r="W2781">
        <v>3.4403990000000002E-2</v>
      </c>
      <c r="X2781">
        <v>0.99878540000000005</v>
      </c>
      <c r="Y2781">
        <v>-0.19459129999999999</v>
      </c>
      <c r="Z2781">
        <v>6.3782619999999998E-2</v>
      </c>
      <c r="AA2781">
        <v>0.97880849999999997</v>
      </c>
      <c r="AB2781">
        <v>26</v>
      </c>
      <c r="AC2781">
        <v>0.64769999999998595</v>
      </c>
      <c r="AD2781">
        <v>-1.118782739706</v>
      </c>
      <c r="AE2781">
        <v>-16.854599999999898</v>
      </c>
      <c r="AF2781">
        <v>-3.29123369612876</v>
      </c>
      <c r="AG2781">
        <v>-1.118782739706</v>
      </c>
      <c r="AH2781">
        <v>16.467480433092799</v>
      </c>
      <c r="AI2781">
        <v>93.811489629481599</v>
      </c>
      <c r="AJ2781">
        <v>101.302363427484</v>
      </c>
      <c r="AK2781">
        <v>16.830383414393498</v>
      </c>
      <c r="AL2781">
        <v>88.028407594863907</v>
      </c>
      <c r="AM2781">
        <v>87.977390026412195</v>
      </c>
      <c r="AN2781">
        <v>1.00000004644957</v>
      </c>
    </row>
    <row r="2782" spans="1:40" x14ac:dyDescent="0.25">
      <c r="A2782" t="str">
        <f>"20190312154849994"</f>
        <v>20190312154849994</v>
      </c>
      <c r="B2782" t="str">
        <f>"1552376929988474"</f>
        <v>1552376929988474</v>
      </c>
      <c r="C2782" t="s">
        <v>40</v>
      </c>
      <c r="D2782">
        <v>4.6708100000000004</v>
      </c>
      <c r="E2782">
        <v>0.40621639999999998</v>
      </c>
      <c r="F2782" t="s">
        <v>42</v>
      </c>
      <c r="G2782">
        <v>-490.07170000000002</v>
      </c>
      <c r="H2782" s="1">
        <v>-3.5641790000000002E-6</v>
      </c>
      <c r="I2782">
        <v>237.8528</v>
      </c>
      <c r="J2782">
        <v>-491.74310000000003</v>
      </c>
      <c r="K2782">
        <v>1.1185700000000001</v>
      </c>
      <c r="L2782">
        <v>264.27109999999999</v>
      </c>
      <c r="M2782">
        <v>-0.1478295</v>
      </c>
      <c r="N2782">
        <v>0</v>
      </c>
      <c r="O2782">
        <v>-0.98890160000000005</v>
      </c>
      <c r="P2782">
        <v>-0.1831941</v>
      </c>
      <c r="Q2782">
        <v>1.9265520000000001E-2</v>
      </c>
      <c r="R2782">
        <v>-0.98288819999999999</v>
      </c>
      <c r="S2782">
        <v>0.1914978</v>
      </c>
      <c r="T2782">
        <v>-0.13011229999999999</v>
      </c>
      <c r="U2782">
        <v>-3.0986630000000002</v>
      </c>
      <c r="V2782">
        <v>3.5145490000000001E-2</v>
      </c>
      <c r="W2782">
        <v>3.4832410000000001E-2</v>
      </c>
      <c r="X2782">
        <v>0.99877499999999997</v>
      </c>
      <c r="Y2782">
        <v>-0.2085156</v>
      </c>
      <c r="Z2782">
        <v>4.0760440000000002E-2</v>
      </c>
      <c r="AA2782">
        <v>0.97716930000000002</v>
      </c>
      <c r="AB2782">
        <v>26</v>
      </c>
      <c r="AC2782">
        <v>1.6714</v>
      </c>
      <c r="AD2782">
        <v>-1.118573564179</v>
      </c>
      <c r="AE2782">
        <v>-26.418299999999899</v>
      </c>
      <c r="AF2782">
        <v>-5.5489576760597004</v>
      </c>
      <c r="AG2782">
        <v>-1.118573564179</v>
      </c>
      <c r="AH2782">
        <v>25.834734263587901</v>
      </c>
      <c r="AI2782">
        <v>92.423987912619594</v>
      </c>
      <c r="AJ2782">
        <v>102.122199192998</v>
      </c>
      <c r="AK2782">
        <v>26.447601641347099</v>
      </c>
      <c r="AL2782">
        <v>88.0038461262412</v>
      </c>
      <c r="AM2782">
        <v>87.984673503470603</v>
      </c>
      <c r="AN2782">
        <v>1.00000000143937</v>
      </c>
    </row>
    <row r="2783" spans="1:40" x14ac:dyDescent="0.25">
      <c r="A2783" t="str">
        <f>"20190312154850007"</f>
        <v>20190312154850007</v>
      </c>
      <c r="B2783" t="str">
        <f>"1552376929998234"</f>
        <v>1552376929998234</v>
      </c>
      <c r="C2783" t="s">
        <v>40</v>
      </c>
      <c r="D2783">
        <v>4.662471</v>
      </c>
      <c r="E2783">
        <v>0.40621639999999998</v>
      </c>
      <c r="F2783" t="s">
        <v>42</v>
      </c>
      <c r="G2783">
        <v>-490.0514</v>
      </c>
      <c r="H2783" s="1">
        <v>-3.483361E-6</v>
      </c>
      <c r="I2783">
        <v>237.67699999999999</v>
      </c>
      <c r="J2783">
        <v>-491.76170000000002</v>
      </c>
      <c r="K2783">
        <v>1.1183920000000001</v>
      </c>
      <c r="L2783">
        <v>264.08760000000001</v>
      </c>
      <c r="M2783">
        <v>-0.1396068</v>
      </c>
      <c r="N2783">
        <v>0</v>
      </c>
      <c r="O2783">
        <v>-0.99009630000000004</v>
      </c>
      <c r="P2783">
        <v>-0.1749608</v>
      </c>
      <c r="Q2783">
        <v>1.9382690000000001E-2</v>
      </c>
      <c r="R2783">
        <v>-0.9843845</v>
      </c>
      <c r="S2783">
        <v>0.19665530000000001</v>
      </c>
      <c r="T2783">
        <v>-0.1300298</v>
      </c>
      <c r="U2783">
        <v>-3.0914609999999998</v>
      </c>
      <c r="V2783">
        <v>3.5099569999999997E-2</v>
      </c>
      <c r="W2783">
        <v>3.4894359999999999E-2</v>
      </c>
      <c r="X2783">
        <v>0.99877450000000001</v>
      </c>
      <c r="Y2783">
        <v>-0.20214779999999999</v>
      </c>
      <c r="Z2783">
        <v>4.093045E-2</v>
      </c>
      <c r="AA2783">
        <v>0.97849940000000002</v>
      </c>
      <c r="AB2783">
        <v>26</v>
      </c>
      <c r="AC2783">
        <v>1.7103000000000099</v>
      </c>
      <c r="AD2783">
        <v>-1.1183954833609999</v>
      </c>
      <c r="AE2783">
        <v>-26.410599999999899</v>
      </c>
      <c r="AF2783">
        <v>-5.3714590077342903</v>
      </c>
      <c r="AG2783">
        <v>-1.1183954833609999</v>
      </c>
      <c r="AH2783">
        <v>25.866917376819199</v>
      </c>
      <c r="AI2783">
        <v>92.424078339937594</v>
      </c>
      <c r="AJ2783">
        <v>101.731171456909</v>
      </c>
      <c r="AK2783">
        <v>26.442405240601001</v>
      </c>
      <c r="AL2783">
        <v>88.000294588792897</v>
      </c>
      <c r="AM2783">
        <v>87.987303492324997</v>
      </c>
      <c r="AN2783">
        <v>1.0000000490121199</v>
      </c>
    </row>
    <row r="2784" spans="1:40" x14ac:dyDescent="0.25">
      <c r="A2784" t="str">
        <f>"20190312154850023"</f>
        <v>20190312154850023</v>
      </c>
      <c r="B2784" t="str">
        <f>"1552376930018730"</f>
        <v>1552376930018730</v>
      </c>
      <c r="C2784" t="s">
        <v>40</v>
      </c>
      <c r="D2784">
        <v>4.6720829999999998</v>
      </c>
      <c r="E2784">
        <v>0.42001169999999999</v>
      </c>
      <c r="F2784" t="s">
        <v>42</v>
      </c>
      <c r="G2784">
        <v>-489.84969999999998</v>
      </c>
      <c r="H2784" s="1">
        <v>-3.4067100000000002E-6</v>
      </c>
      <c r="I2784">
        <v>237.51169999999999</v>
      </c>
      <c r="J2784">
        <v>-491.77859999999998</v>
      </c>
      <c r="K2784">
        <v>1.118207</v>
      </c>
      <c r="L2784">
        <v>263.90800000000002</v>
      </c>
      <c r="M2784">
        <v>-0.1317382</v>
      </c>
      <c r="N2784">
        <v>0</v>
      </c>
      <c r="O2784">
        <v>-0.99117480000000002</v>
      </c>
      <c r="P2784">
        <v>-0.16762659999999999</v>
      </c>
      <c r="Q2784">
        <v>2.0380559999999999E-2</v>
      </c>
      <c r="R2784">
        <v>-0.98564019999999997</v>
      </c>
      <c r="S2784">
        <v>0.22228999999999999</v>
      </c>
      <c r="T2784">
        <v>-0.1300212</v>
      </c>
      <c r="U2784">
        <v>-3.0896300000000001</v>
      </c>
      <c r="V2784">
        <v>3.5595469999999997E-2</v>
      </c>
      <c r="W2784">
        <v>3.5846490000000002E-2</v>
      </c>
      <c r="X2784">
        <v>0.99872320000000003</v>
      </c>
      <c r="Y2784">
        <v>-0.20248679999999999</v>
      </c>
      <c r="Z2784">
        <v>4.1006899999999999E-2</v>
      </c>
      <c r="AA2784">
        <v>0.97842600000000002</v>
      </c>
      <c r="AB2784">
        <v>26</v>
      </c>
      <c r="AC2784">
        <v>1.9288999999999901</v>
      </c>
      <c r="AD2784">
        <v>-1.11821040671</v>
      </c>
      <c r="AE2784">
        <v>-26.3963</v>
      </c>
      <c r="AF2784">
        <v>-5.3802604866306902</v>
      </c>
      <c r="AG2784">
        <v>-1.11821040671</v>
      </c>
      <c r="AH2784">
        <v>25.865884811486598</v>
      </c>
      <c r="AI2784">
        <v>92.423606202089999</v>
      </c>
      <c r="AJ2784">
        <v>101.75031574496199</v>
      </c>
      <c r="AK2784">
        <v>26.443176709668801</v>
      </c>
      <c r="AL2784">
        <v>87.945707340934902</v>
      </c>
      <c r="AM2784">
        <v>87.958786485739495</v>
      </c>
      <c r="AN2784">
        <v>1.0000000192740399</v>
      </c>
    </row>
    <row r="2785" spans="1:40" x14ac:dyDescent="0.25">
      <c r="A2785" t="str">
        <f>"20190312154850036"</f>
        <v>20190312154850036</v>
      </c>
      <c r="B2785" t="str">
        <f>"1552376930028490"</f>
        <v>1552376930028490</v>
      </c>
      <c r="C2785" t="s">
        <v>40</v>
      </c>
      <c r="D2785">
        <v>4.6993879999999999</v>
      </c>
      <c r="E2785">
        <v>0.42132619999999998</v>
      </c>
      <c r="F2785" t="s">
        <v>42</v>
      </c>
      <c r="G2785">
        <v>-490.6936</v>
      </c>
      <c r="H2785" s="1">
        <v>-2.236496E-7</v>
      </c>
      <c r="I2785">
        <v>239.68029999999999</v>
      </c>
      <c r="J2785">
        <v>-491.79050000000001</v>
      </c>
      <c r="K2785">
        <v>1.1180639999999999</v>
      </c>
      <c r="L2785">
        <v>263.76979999999998</v>
      </c>
      <c r="M2785">
        <v>-0.12583939999999999</v>
      </c>
      <c r="N2785">
        <v>0</v>
      </c>
      <c r="O2785">
        <v>-0.99194130000000003</v>
      </c>
      <c r="P2785">
        <v>-0.1624235</v>
      </c>
      <c r="Q2785">
        <v>2.07624E-2</v>
      </c>
      <c r="R2785">
        <v>-0.98650289999999996</v>
      </c>
      <c r="S2785">
        <v>0.13748170000000001</v>
      </c>
      <c r="T2785">
        <v>-0.1416943</v>
      </c>
      <c r="U2785">
        <v>-3.0700379999999998</v>
      </c>
      <c r="V2785">
        <v>3.6274029999999999E-2</v>
      </c>
      <c r="W2785">
        <v>3.6196260000000001E-2</v>
      </c>
      <c r="X2785">
        <v>0.99868610000000002</v>
      </c>
      <c r="Y2785">
        <v>-0.17006109999999999</v>
      </c>
      <c r="Z2785">
        <v>4.5196189999999997E-2</v>
      </c>
      <c r="AA2785">
        <v>0.98439650000000001</v>
      </c>
      <c r="AB2785">
        <v>26</v>
      </c>
      <c r="AC2785">
        <v>1.0969</v>
      </c>
      <c r="AD2785">
        <v>-1.1180642236495999</v>
      </c>
      <c r="AE2785">
        <v>-24.089499999999902</v>
      </c>
      <c r="AF2785">
        <v>-4.1110778777351902</v>
      </c>
      <c r="AG2785">
        <v>-1.1180642236495999</v>
      </c>
      <c r="AH2785">
        <v>23.7089464570352</v>
      </c>
      <c r="AI2785">
        <v>92.660309641600605</v>
      </c>
      <c r="AJ2785">
        <v>99.837146857076604</v>
      </c>
      <c r="AK2785">
        <v>24.0886938422898</v>
      </c>
      <c r="AL2785">
        <v>87.925653839277004</v>
      </c>
      <c r="AM2785">
        <v>87.919831286194693</v>
      </c>
      <c r="AN2785">
        <v>0.99999995041181799</v>
      </c>
    </row>
    <row r="2786" spans="1:40" x14ac:dyDescent="0.25">
      <c r="A2786" t="str">
        <f>"20190312154850048"</f>
        <v>20190312154850048</v>
      </c>
      <c r="B2786" t="str">
        <f>"1552376930038250"</f>
        <v>1552376930038250</v>
      </c>
      <c r="C2786" t="s">
        <v>40</v>
      </c>
      <c r="D2786">
        <v>4.7277570000000004</v>
      </c>
      <c r="E2786">
        <v>0.42186200000000001</v>
      </c>
      <c r="F2786" t="s">
        <v>42</v>
      </c>
      <c r="G2786">
        <v>-490.66390000000001</v>
      </c>
      <c r="H2786" s="1">
        <v>-2.0082490000000001E-7</v>
      </c>
      <c r="I2786">
        <v>239.6454</v>
      </c>
      <c r="J2786">
        <v>-491.80220000000003</v>
      </c>
      <c r="K2786">
        <v>1.1179140000000001</v>
      </c>
      <c r="L2786">
        <v>263.62779999999998</v>
      </c>
      <c r="M2786">
        <v>-0.11984740000000001</v>
      </c>
      <c r="N2786">
        <v>0</v>
      </c>
      <c r="O2786">
        <v>-0.9926836</v>
      </c>
      <c r="P2786">
        <v>-0.15735839999999901</v>
      </c>
      <c r="Q2786">
        <v>2.101631E-2</v>
      </c>
      <c r="R2786">
        <v>-0.98731809999999998</v>
      </c>
      <c r="S2786">
        <v>0.1432495</v>
      </c>
      <c r="T2786">
        <v>-0.1421731</v>
      </c>
      <c r="U2786">
        <v>-3.0676570000000001</v>
      </c>
      <c r="V2786">
        <v>3.7189020000000003E-2</v>
      </c>
      <c r="W2786">
        <v>3.6421179999999997E-2</v>
      </c>
      <c r="X2786">
        <v>0.99864430000000004</v>
      </c>
      <c r="Y2786">
        <v>-0.16599</v>
      </c>
      <c r="Z2786">
        <v>4.5449280000000002E-2</v>
      </c>
      <c r="AA2786">
        <v>0.9850795</v>
      </c>
      <c r="AB2786">
        <v>26</v>
      </c>
      <c r="AC2786">
        <v>1.1383000000000101</v>
      </c>
      <c r="AD2786">
        <v>-1.1179142008248999</v>
      </c>
      <c r="AE2786">
        <v>-23.982399999999899</v>
      </c>
      <c r="AF2786">
        <v>-3.9959691297783002</v>
      </c>
      <c r="AG2786">
        <v>-1.1179142008248999</v>
      </c>
      <c r="AH2786">
        <v>23.6218565692269</v>
      </c>
      <c r="AI2786">
        <v>92.671624556007899</v>
      </c>
      <c r="AJ2786">
        <v>99.601488296241499</v>
      </c>
      <c r="AK2786">
        <v>23.983527872764601</v>
      </c>
      <c r="AL2786">
        <v>87.912758434302006</v>
      </c>
      <c r="AM2786">
        <v>87.867318987460905</v>
      </c>
      <c r="AN2786">
        <v>0.99999998174182103</v>
      </c>
    </row>
    <row r="2787" spans="1:40" x14ac:dyDescent="0.25">
      <c r="A2787" t="str">
        <f>"20190312154850059"</f>
        <v>20190312154850059</v>
      </c>
      <c r="B2787" t="str">
        <f>"1552376930048985"</f>
        <v>1552376930048985</v>
      </c>
      <c r="C2787" t="s">
        <v>40</v>
      </c>
      <c r="D2787">
        <v>4.7141699999999904</v>
      </c>
      <c r="E2787">
        <v>0.42289139999999997</v>
      </c>
      <c r="F2787" t="s">
        <v>42</v>
      </c>
      <c r="G2787">
        <v>-490.5147</v>
      </c>
      <c r="H2787" s="1">
        <v>-3.7489720000000001E-6</v>
      </c>
      <c r="I2787">
        <v>238.00880000000001</v>
      </c>
      <c r="J2787">
        <v>-491.81270000000001</v>
      </c>
      <c r="K2787">
        <v>1.1177649999999999</v>
      </c>
      <c r="L2787">
        <v>263.4914</v>
      </c>
      <c r="M2787">
        <v>-0.1142465</v>
      </c>
      <c r="N2787">
        <v>0</v>
      </c>
      <c r="O2787">
        <v>-0.99334440000000002</v>
      </c>
      <c r="P2787">
        <v>-0.152910299999999</v>
      </c>
      <c r="Q2787">
        <v>2.087373E-2</v>
      </c>
      <c r="R2787">
        <v>-0.98802009999999996</v>
      </c>
      <c r="S2787">
        <v>0.15408329999999901</v>
      </c>
      <c r="T2787">
        <v>-0.13378789999999999</v>
      </c>
      <c r="U2787">
        <v>-3.065979</v>
      </c>
      <c r="V2787">
        <v>3.834133E-2</v>
      </c>
      <c r="W2787">
        <v>3.6252489999999998E-2</v>
      </c>
      <c r="X2787">
        <v>0.99860689999999996</v>
      </c>
      <c r="Y2787">
        <v>-0.163931299999999</v>
      </c>
      <c r="Z2787">
        <v>4.284433E-2</v>
      </c>
      <c r="AA2787">
        <v>0.98554090000000005</v>
      </c>
      <c r="AB2787">
        <v>26</v>
      </c>
      <c r="AC2787">
        <v>1.298</v>
      </c>
      <c r="AD2787">
        <v>-1.1177687489719901</v>
      </c>
      <c r="AE2787">
        <v>-25.482599999999898</v>
      </c>
      <c r="AF2787">
        <v>-4.1930629929777599</v>
      </c>
      <c r="AG2787">
        <v>-1.1177687489719901</v>
      </c>
      <c r="AH2787">
        <v>25.119201625179599</v>
      </c>
      <c r="AI2787">
        <v>92.513171832454304</v>
      </c>
      <c r="AJ2787">
        <v>99.476812321640196</v>
      </c>
      <c r="AK2787">
        <v>25.4912823240747</v>
      </c>
      <c r="AL2787">
        <v>87.922430127594097</v>
      </c>
      <c r="AM2787">
        <v>87.8012190124428</v>
      </c>
      <c r="AN2787">
        <v>1.00000002067248</v>
      </c>
    </row>
    <row r="2788" spans="1:40" x14ac:dyDescent="0.25">
      <c r="A2788" t="str">
        <f>"20190312154850072"</f>
        <v>20190312154850072</v>
      </c>
      <c r="B2788" t="str">
        <f>"1552376930068506"</f>
        <v>1552376930068506</v>
      </c>
      <c r="C2788" t="s">
        <v>40</v>
      </c>
      <c r="D2788">
        <v>4.6925270000000001</v>
      </c>
      <c r="E2788">
        <v>0.42441780000000001</v>
      </c>
      <c r="F2788" t="s">
        <v>42</v>
      </c>
      <c r="G2788">
        <v>-490.47570000000002</v>
      </c>
      <c r="H2788" s="1">
        <v>-3.68729E-6</v>
      </c>
      <c r="I2788">
        <v>237.88919999999999</v>
      </c>
      <c r="J2788">
        <v>-491.82249999999999</v>
      </c>
      <c r="K2788">
        <v>1.1176090000000001</v>
      </c>
      <c r="L2788">
        <v>263.35410000000002</v>
      </c>
      <c r="M2788">
        <v>-0.1087172</v>
      </c>
      <c r="N2788">
        <v>0</v>
      </c>
      <c r="O2788">
        <v>-0.99396519999999999</v>
      </c>
      <c r="P2788">
        <v>-0.14877799999999999</v>
      </c>
      <c r="Q2788">
        <v>2.0456720000000001E-2</v>
      </c>
      <c r="R2788">
        <v>-0.98865939999999997</v>
      </c>
      <c r="S2788">
        <v>0.1600037</v>
      </c>
      <c r="T2788">
        <v>-0.13377120000000001</v>
      </c>
      <c r="U2788">
        <v>-3.0639949999999998</v>
      </c>
      <c r="V2788">
        <v>3.9744839999999997E-2</v>
      </c>
      <c r="W2788">
        <v>3.5811229999999999E-2</v>
      </c>
      <c r="X2788">
        <v>0.99856789999999995</v>
      </c>
      <c r="Y2788">
        <v>-0.1603723</v>
      </c>
      <c r="Z2788">
        <v>4.2917869999999997E-2</v>
      </c>
      <c r="AA2788">
        <v>0.98612310000000003</v>
      </c>
      <c r="AB2788">
        <v>26</v>
      </c>
      <c r="AC2788">
        <v>1.34679999999997</v>
      </c>
      <c r="AD2788">
        <v>-1.1176126872900001</v>
      </c>
      <c r="AE2788">
        <v>-25.4649</v>
      </c>
      <c r="AF2788">
        <v>-4.09970919864372</v>
      </c>
      <c r="AG2788">
        <v>-1.1176126872900001</v>
      </c>
      <c r="AH2788">
        <v>25.1192446092412</v>
      </c>
      <c r="AI2788">
        <v>92.514316367983298</v>
      </c>
      <c r="AJ2788">
        <v>99.269509186005095</v>
      </c>
      <c r="AK2788">
        <v>25.476128500443899</v>
      </c>
      <c r="AL2788">
        <v>87.947728794476703</v>
      </c>
      <c r="AM2788">
        <v>87.720725629317499</v>
      </c>
      <c r="AN2788">
        <v>0.99999997370557303</v>
      </c>
    </row>
    <row r="2789" spans="1:40" x14ac:dyDescent="0.25">
      <c r="A2789" t="str">
        <f>"20190312154850084"</f>
        <v>20190312154850084</v>
      </c>
      <c r="B2789" t="str">
        <f>"1552376930078266"</f>
        <v>1552376930078266</v>
      </c>
      <c r="C2789" t="s">
        <v>40</v>
      </c>
      <c r="D2789">
        <v>4.7180160000000004</v>
      </c>
      <c r="E2789">
        <v>0.42552889999999999</v>
      </c>
      <c r="F2789" t="s">
        <v>42</v>
      </c>
      <c r="G2789">
        <v>-490.40280000000001</v>
      </c>
      <c r="H2789" s="1">
        <v>-2.9749699999999999E-6</v>
      </c>
      <c r="I2789">
        <v>236.274</v>
      </c>
      <c r="J2789">
        <v>-491.83280000000002</v>
      </c>
      <c r="K2789">
        <v>1.117434</v>
      </c>
      <c r="L2789">
        <v>263.20359999999999</v>
      </c>
      <c r="M2789">
        <v>-0.1027549</v>
      </c>
      <c r="N2789">
        <v>0</v>
      </c>
      <c r="O2789">
        <v>-0.99459980000000003</v>
      </c>
      <c r="P2789">
        <v>-0.14393059999999999</v>
      </c>
      <c r="Q2789">
        <v>2.0506380000000001E-2</v>
      </c>
      <c r="R2789">
        <v>-0.98937569999999997</v>
      </c>
      <c r="S2789">
        <v>0.16049189999999999</v>
      </c>
      <c r="T2789">
        <v>-0.12633739999999999</v>
      </c>
      <c r="U2789">
        <v>-3.061188</v>
      </c>
      <c r="V2789">
        <v>4.085457E-2</v>
      </c>
      <c r="W2789">
        <v>3.582552E-2</v>
      </c>
      <c r="X2789">
        <v>0.99852260000000004</v>
      </c>
      <c r="Y2789">
        <v>-0.15465979999999999</v>
      </c>
      <c r="Z2789">
        <v>4.0631960000000002E-2</v>
      </c>
      <c r="AA2789">
        <v>0.98713189999999995</v>
      </c>
      <c r="AB2789">
        <v>26</v>
      </c>
      <c r="AC2789">
        <v>1.43</v>
      </c>
      <c r="AD2789">
        <v>-1.1174369749699999</v>
      </c>
      <c r="AE2789">
        <v>-26.929599999999901</v>
      </c>
      <c r="AF2789">
        <v>-4.1826900547200596</v>
      </c>
      <c r="AG2789">
        <v>-1.1174369749699999</v>
      </c>
      <c r="AH2789">
        <v>26.5944062983273</v>
      </c>
      <c r="AI2789">
        <v>92.376841012569599</v>
      </c>
      <c r="AJ2789">
        <v>98.938093942857506</v>
      </c>
      <c r="AK2789">
        <v>26.944498656449198</v>
      </c>
      <c r="AL2789">
        <v>87.946909511093295</v>
      </c>
      <c r="AM2789">
        <v>87.657048972405207</v>
      </c>
      <c r="AN2789">
        <v>0.999999973241957</v>
      </c>
    </row>
    <row r="2790" spans="1:40" x14ac:dyDescent="0.25">
      <c r="A2790" t="str">
        <f>"20190312154850102"</f>
        <v>20190312154850102</v>
      </c>
      <c r="B2790" t="str">
        <f>"1552376930098762"</f>
        <v>1552376930098762</v>
      </c>
      <c r="C2790" t="s">
        <v>40</v>
      </c>
      <c r="D2790">
        <v>4.6805399999999997</v>
      </c>
      <c r="E2790">
        <v>0.42771619999999999</v>
      </c>
      <c r="F2790" t="s">
        <v>42</v>
      </c>
      <c r="G2790">
        <v>-490.34739999999999</v>
      </c>
      <c r="H2790" s="1">
        <v>-2.8293280000000001E-6</v>
      </c>
      <c r="I2790">
        <v>235.96889999999999</v>
      </c>
      <c r="J2790">
        <v>-491.8451</v>
      </c>
      <c r="K2790">
        <v>1.1171789999999999</v>
      </c>
      <c r="L2790">
        <v>263.00060000000002</v>
      </c>
      <c r="M2790">
        <v>-9.5023159999999995E-2</v>
      </c>
      <c r="N2790">
        <v>0</v>
      </c>
      <c r="O2790">
        <v>-0.9953689</v>
      </c>
      <c r="P2790">
        <v>-0.13836889999999999</v>
      </c>
      <c r="Q2790">
        <v>2.2585529999999999E-2</v>
      </c>
      <c r="R2790">
        <v>-0.99012330000000004</v>
      </c>
      <c r="S2790">
        <v>0.1668396</v>
      </c>
      <c r="T2790">
        <v>-0.1255134</v>
      </c>
      <c r="U2790">
        <v>-3.0590820000000001</v>
      </c>
      <c r="V2790">
        <v>4.299497E-2</v>
      </c>
      <c r="W2790">
        <v>3.7861190000000003E-2</v>
      </c>
      <c r="X2790">
        <v>0.99835770000000001</v>
      </c>
      <c r="Y2790">
        <v>-0.14905869999999999</v>
      </c>
      <c r="Z2790">
        <v>4.0457760000000002E-2</v>
      </c>
      <c r="AA2790">
        <v>0.98800030000000005</v>
      </c>
      <c r="AB2790">
        <v>26</v>
      </c>
      <c r="AC2790">
        <v>1.4977</v>
      </c>
      <c r="AD2790">
        <v>-1.117181829328</v>
      </c>
      <c r="AE2790">
        <v>-27.031700000000001</v>
      </c>
      <c r="AF2790">
        <v>-4.0529291781126098</v>
      </c>
      <c r="AG2790">
        <v>-1.117181829328</v>
      </c>
      <c r="AH2790">
        <v>26.721524024532599</v>
      </c>
      <c r="AI2790">
        <v>92.367005691525193</v>
      </c>
      <c r="AJ2790">
        <v>98.624479560174606</v>
      </c>
      <c r="AK2790">
        <v>27.050215828274801</v>
      </c>
      <c r="AL2790">
        <v>87.830195149109699</v>
      </c>
      <c r="AM2790">
        <v>87.534041079065005</v>
      </c>
      <c r="AN2790">
        <v>1.0000000671514</v>
      </c>
    </row>
    <row r="2791" spans="1:40" x14ac:dyDescent="0.25">
      <c r="A2791" t="str">
        <f>"20190312154850115"</f>
        <v>20190312154850115</v>
      </c>
      <c r="B2791" t="str">
        <f>"1552376930108525"</f>
        <v>1552376930108525</v>
      </c>
      <c r="C2791" t="s">
        <v>40</v>
      </c>
      <c r="D2791">
        <v>4.7019409999999997</v>
      </c>
      <c r="E2791">
        <v>0.42876730000000002</v>
      </c>
      <c r="F2791" t="s">
        <v>42</v>
      </c>
      <c r="G2791">
        <v>-490.36160000000001</v>
      </c>
      <c r="H2791" s="1">
        <v>-2.7845709999999998E-6</v>
      </c>
      <c r="I2791">
        <v>235.85570000000001</v>
      </c>
      <c r="J2791">
        <v>-491.85309999999998</v>
      </c>
      <c r="K2791">
        <v>1.1169910000000001</v>
      </c>
      <c r="L2791">
        <v>262.85500000000002</v>
      </c>
      <c r="M2791">
        <v>-8.967762E-2</v>
      </c>
      <c r="N2791">
        <v>0</v>
      </c>
      <c r="O2791">
        <v>-0.99586549999999996</v>
      </c>
      <c r="P2791">
        <v>-0.13386199999999901</v>
      </c>
      <c r="Q2791">
        <v>2.381045E-2</v>
      </c>
      <c r="R2791">
        <v>-0.99071430000000005</v>
      </c>
      <c r="S2791">
        <v>0.1670227</v>
      </c>
      <c r="T2791">
        <v>-0.12577839999999901</v>
      </c>
      <c r="U2791">
        <v>-3.0561219999999998</v>
      </c>
      <c r="V2791">
        <v>4.3813079999999997E-2</v>
      </c>
      <c r="W2791">
        <v>3.9039539999999998E-2</v>
      </c>
      <c r="X2791">
        <v>0.99827670000000002</v>
      </c>
      <c r="Y2791">
        <v>-0.14385829999999999</v>
      </c>
      <c r="Z2791">
        <v>4.0628530000000003E-2</v>
      </c>
      <c r="AA2791">
        <v>0.98876390000000003</v>
      </c>
      <c r="AB2791">
        <v>26</v>
      </c>
      <c r="AC2791">
        <v>1.4914999999999701</v>
      </c>
      <c r="AD2791">
        <v>-1.1169937845710001</v>
      </c>
      <c r="AE2791">
        <v>-26.999300000000002</v>
      </c>
      <c r="AF2791">
        <v>-3.9003208913346898</v>
      </c>
      <c r="AG2791">
        <v>-1.1169937845710001</v>
      </c>
      <c r="AH2791">
        <v>26.7111454629046</v>
      </c>
      <c r="AI2791">
        <v>92.369474170644395</v>
      </c>
      <c r="AJ2791">
        <v>98.307531975821504</v>
      </c>
      <c r="AK2791">
        <v>27.017503032489898</v>
      </c>
      <c r="AL2791">
        <v>87.762630600834797</v>
      </c>
      <c r="AM2791">
        <v>87.486974670658995</v>
      </c>
      <c r="AN2791">
        <v>1.00000002071269</v>
      </c>
    </row>
    <row r="2792" spans="1:40" x14ac:dyDescent="0.25">
      <c r="A2792" t="str">
        <f>"20190312154850127"</f>
        <v>20190312154850127</v>
      </c>
      <c r="B2792" t="str">
        <f>"1552376930118282"</f>
        <v>1552376930118282</v>
      </c>
      <c r="C2792" t="s">
        <v>40</v>
      </c>
      <c r="D2792">
        <v>4.6850120000000004</v>
      </c>
      <c r="E2792">
        <v>0.42968650000000003</v>
      </c>
      <c r="F2792" t="s">
        <v>42</v>
      </c>
      <c r="G2792">
        <v>-490.3152</v>
      </c>
      <c r="H2792" s="1">
        <v>-2.6532919999999999E-6</v>
      </c>
      <c r="I2792">
        <v>235.57849999999999</v>
      </c>
      <c r="J2792">
        <v>-491.86020000000002</v>
      </c>
      <c r="K2792">
        <v>1.1168180000000001</v>
      </c>
      <c r="L2792">
        <v>262.7208</v>
      </c>
      <c r="M2792">
        <v>-8.4833530000000004E-2</v>
      </c>
      <c r="N2792">
        <v>0</v>
      </c>
      <c r="O2792">
        <v>-0.99629040000000002</v>
      </c>
      <c r="P2792">
        <v>-0.1299517</v>
      </c>
      <c r="Q2792">
        <v>2.5198870000000002E-2</v>
      </c>
      <c r="R2792">
        <v>-0.99120030000000003</v>
      </c>
      <c r="S2792">
        <v>0.17221069999999999</v>
      </c>
      <c r="T2792">
        <v>-0.12507939999999901</v>
      </c>
      <c r="U2792">
        <v>-3.0543819999999999</v>
      </c>
      <c r="V2792">
        <v>4.4727379999999997E-2</v>
      </c>
      <c r="W2792">
        <v>4.0386489999999997E-2</v>
      </c>
      <c r="X2792">
        <v>0.99818249999999997</v>
      </c>
      <c r="Y2792">
        <v>-0.1407504</v>
      </c>
      <c r="Z2792">
        <v>4.0459330000000002E-2</v>
      </c>
      <c r="AA2792">
        <v>0.98921809999999999</v>
      </c>
      <c r="AB2792">
        <v>26</v>
      </c>
      <c r="AC2792">
        <v>1.5450000000000099</v>
      </c>
      <c r="AD2792">
        <v>-1.116820653292</v>
      </c>
      <c r="AE2792">
        <v>-27.142299999999999</v>
      </c>
      <c r="AF2792">
        <v>-3.8357735309787402</v>
      </c>
      <c r="AG2792">
        <v>-1.116820653292</v>
      </c>
      <c r="AH2792">
        <v>26.868011455001799</v>
      </c>
      <c r="AI2792">
        <v>92.356374524762202</v>
      </c>
      <c r="AJ2792">
        <v>98.124848802554595</v>
      </c>
      <c r="AK2792">
        <v>27.163403441002799</v>
      </c>
      <c r="AL2792">
        <v>87.685394965651099</v>
      </c>
      <c r="AM2792">
        <v>87.434359932211393</v>
      </c>
      <c r="AN2792">
        <v>0.99999995520121598</v>
      </c>
    </row>
    <row r="2793" spans="1:40" x14ac:dyDescent="0.25">
      <c r="A2793" t="str">
        <f>"20190312154850138"</f>
        <v>20190312154850138</v>
      </c>
      <c r="B2793" t="str">
        <f>"1552376930129018"</f>
        <v>1552376930129018</v>
      </c>
      <c r="C2793" t="s">
        <v>40</v>
      </c>
      <c r="D2793">
        <v>4.7001189999999999</v>
      </c>
      <c r="E2793">
        <v>0.42968650000000003</v>
      </c>
      <c r="F2793" t="s">
        <v>42</v>
      </c>
      <c r="G2793">
        <v>-490.2577</v>
      </c>
      <c r="H2793" s="1">
        <v>-2.410691E-6</v>
      </c>
      <c r="I2793">
        <v>235.04859999999999</v>
      </c>
      <c r="J2793">
        <v>-491.86689999999999</v>
      </c>
      <c r="K2793">
        <v>1.116614</v>
      </c>
      <c r="L2793">
        <v>262.57470000000001</v>
      </c>
      <c r="M2793">
        <v>-7.9783069999999998E-2</v>
      </c>
      <c r="N2793">
        <v>0</v>
      </c>
      <c r="O2793">
        <v>-0.99670809999999999</v>
      </c>
      <c r="P2793">
        <v>-0.1258254</v>
      </c>
      <c r="Q2793">
        <v>2.6068049999999999E-2</v>
      </c>
      <c r="R2793">
        <v>-0.99170999999999998</v>
      </c>
      <c r="S2793">
        <v>0.17678829999999901</v>
      </c>
      <c r="T2793">
        <v>-0.1232128</v>
      </c>
      <c r="U2793">
        <v>-3.0529169999999999</v>
      </c>
      <c r="V2793">
        <v>4.5641760000000003E-2</v>
      </c>
      <c r="W2793">
        <v>4.1205489999999997E-2</v>
      </c>
      <c r="X2793">
        <v>0.99810770000000004</v>
      </c>
      <c r="Y2793">
        <v>-0.1372382</v>
      </c>
      <c r="Z2793">
        <v>3.9909060000000003E-2</v>
      </c>
      <c r="AA2793">
        <v>0.9897338</v>
      </c>
      <c r="AB2793">
        <v>26</v>
      </c>
      <c r="AC2793">
        <v>1.60919999999998</v>
      </c>
      <c r="AD2793">
        <v>-1.1166164106909999</v>
      </c>
      <c r="AE2793">
        <v>-27.5261</v>
      </c>
      <c r="AF2793">
        <v>-3.79419161417196</v>
      </c>
      <c r="AG2793">
        <v>-1.1166164106909999</v>
      </c>
      <c r="AH2793">
        <v>27.265220929931399</v>
      </c>
      <c r="AI2793">
        <v>92.322815471928095</v>
      </c>
      <c r="AJ2793">
        <v>97.922326381727402</v>
      </c>
      <c r="AK2793">
        <v>27.550589731830499</v>
      </c>
      <c r="AL2793">
        <v>87.638430778052197</v>
      </c>
      <c r="AM2793">
        <v>87.381785829979407</v>
      </c>
      <c r="AN2793">
        <v>1.0000000217306599</v>
      </c>
    </row>
    <row r="2794" spans="1:40" x14ac:dyDescent="0.25">
      <c r="A2794" t="str">
        <f>"20190312154850158"</f>
        <v>20190312154850158</v>
      </c>
      <c r="B2794" t="str">
        <f>"1552376930148538"</f>
        <v>1552376930148538</v>
      </c>
      <c r="C2794" t="s">
        <v>40</v>
      </c>
      <c r="D2794">
        <v>4.6928539999999996</v>
      </c>
      <c r="E2794">
        <v>0.44521500000000003</v>
      </c>
      <c r="F2794" t="s">
        <v>42</v>
      </c>
      <c r="G2794">
        <v>-490.12549999999999</v>
      </c>
      <c r="H2794" s="1">
        <v>-2.111585E-6</v>
      </c>
      <c r="I2794">
        <v>234.43340000000001</v>
      </c>
      <c r="J2794">
        <v>-491.87599999999998</v>
      </c>
      <c r="K2794">
        <v>1.116312</v>
      </c>
      <c r="L2794">
        <v>262.36250000000001</v>
      </c>
      <c r="M2794">
        <v>-7.2695129999999997E-2</v>
      </c>
      <c r="N2794">
        <v>0</v>
      </c>
      <c r="O2794">
        <v>-0.99725090000000005</v>
      </c>
      <c r="P2794">
        <v>-0.1205623</v>
      </c>
      <c r="Q2794">
        <v>2.733207E-2</v>
      </c>
      <c r="R2794">
        <v>-0.99232940000000003</v>
      </c>
      <c r="S2794">
        <v>0.18887329999999999</v>
      </c>
      <c r="T2794">
        <v>-0.12110839999999901</v>
      </c>
      <c r="U2794">
        <v>-3.052216</v>
      </c>
      <c r="V2794">
        <v>4.7458069999999998E-2</v>
      </c>
      <c r="W2794">
        <v>4.2402259999999997E-2</v>
      </c>
      <c r="X2794">
        <v>0.99797279999999999</v>
      </c>
      <c r="Y2794">
        <v>-0.13411489999999901</v>
      </c>
      <c r="Z2794">
        <v>3.9273570000000001E-2</v>
      </c>
      <c r="AA2794">
        <v>0.99018720000000005</v>
      </c>
      <c r="AB2794">
        <v>26</v>
      </c>
      <c r="AC2794">
        <v>1.75049999999998</v>
      </c>
      <c r="AD2794">
        <v>-1.1163141115849999</v>
      </c>
      <c r="AE2794">
        <v>-27.929099999999998</v>
      </c>
      <c r="AF2794">
        <v>-3.7703864842926098</v>
      </c>
      <c r="AG2794">
        <v>-1.1163141115849999</v>
      </c>
      <c r="AH2794">
        <v>27.6838704829559</v>
      </c>
      <c r="AI2794">
        <v>92.288022844046694</v>
      </c>
      <c r="AJ2794">
        <v>97.755642944989702</v>
      </c>
      <c r="AK2794">
        <v>27.9617355747767</v>
      </c>
      <c r="AL2794">
        <v>87.569800773178699</v>
      </c>
      <c r="AM2794">
        <v>87.2773805326256</v>
      </c>
      <c r="AN2794">
        <v>0.99999996480053499</v>
      </c>
    </row>
    <row r="2795" spans="1:40" x14ac:dyDescent="0.25">
      <c r="A2795" t="str">
        <f>"20190312154850170"</f>
        <v>20190312154850170</v>
      </c>
      <c r="B2795" t="str">
        <f>"1552376930159275"</f>
        <v>1552376930159275</v>
      </c>
      <c r="C2795" t="s">
        <v>40</v>
      </c>
      <c r="D2795">
        <v>4.752586</v>
      </c>
      <c r="E2795">
        <v>0.44577679999999997</v>
      </c>
      <c r="F2795" t="s">
        <v>42</v>
      </c>
      <c r="G2795">
        <v>-491.2097</v>
      </c>
      <c r="H2795" s="1">
        <v>-3.9645540000000001E-6</v>
      </c>
      <c r="I2795">
        <v>238.08029999999999</v>
      </c>
      <c r="J2795">
        <v>-491.88150000000002</v>
      </c>
      <c r="K2795">
        <v>1.1161099999999999</v>
      </c>
      <c r="L2795">
        <v>262.21940000000001</v>
      </c>
      <c r="M2795">
        <v>-6.8098450000000005E-2</v>
      </c>
      <c r="N2795">
        <v>0</v>
      </c>
      <c r="O2795">
        <v>-0.99757580000000001</v>
      </c>
      <c r="P2795">
        <v>-0.1166271</v>
      </c>
      <c r="Q2795">
        <v>2.7818510000000001E-2</v>
      </c>
      <c r="R2795">
        <v>-0.99278619999999995</v>
      </c>
      <c r="S2795">
        <v>8.3343509999999996E-2</v>
      </c>
      <c r="T2795">
        <v>-0.13962649999999999</v>
      </c>
      <c r="U2795">
        <v>-3.0371700000000001</v>
      </c>
      <c r="V2795">
        <v>4.8116810000000003E-2</v>
      </c>
      <c r="W2795">
        <v>4.28353E-2</v>
      </c>
      <c r="X2795">
        <v>0.9979228</v>
      </c>
      <c r="Y2795">
        <v>-9.5418130000000004E-2</v>
      </c>
      <c r="Z2795">
        <v>4.5650759999999999E-2</v>
      </c>
      <c r="AA2795">
        <v>0.99439</v>
      </c>
      <c r="AB2795">
        <v>26</v>
      </c>
      <c r="AC2795">
        <v>0.67180000000001805</v>
      </c>
      <c r="AD2795">
        <v>-1.1161139645539999</v>
      </c>
      <c r="AE2795">
        <v>-24.139099999999999</v>
      </c>
      <c r="AF2795">
        <v>-2.3093109693905198</v>
      </c>
      <c r="AG2795">
        <v>-1.1161139645539999</v>
      </c>
      <c r="AH2795">
        <v>23.986060257069099</v>
      </c>
      <c r="AI2795">
        <v>92.651907939786298</v>
      </c>
      <c r="AJ2795">
        <v>95.499327972608498</v>
      </c>
      <c r="AK2795">
        <v>24.1228048574574</v>
      </c>
      <c r="AL2795">
        <v>87.544966936535701</v>
      </c>
      <c r="AM2795">
        <v>87.239509272498594</v>
      </c>
      <c r="AN2795">
        <v>1.00000000254525</v>
      </c>
    </row>
    <row r="2796" spans="1:40" x14ac:dyDescent="0.25">
      <c r="A2796" t="str">
        <f>"20190312154850194"</f>
        <v>20190312154850194</v>
      </c>
      <c r="B2796" t="str">
        <f>"1552376930189060"</f>
        <v>1552376930189060</v>
      </c>
      <c r="C2796" t="s">
        <v>40</v>
      </c>
      <c r="D2796">
        <v>4.7219350000000002</v>
      </c>
      <c r="E2796">
        <v>0.44785570000000002</v>
      </c>
      <c r="F2796" t="s">
        <v>42</v>
      </c>
      <c r="G2796">
        <v>-491.17320000000001</v>
      </c>
      <c r="H2796" s="1">
        <v>-4.1495440000000002E-6</v>
      </c>
      <c r="I2796">
        <v>238.56890000000001</v>
      </c>
      <c r="J2796">
        <v>-491.8904</v>
      </c>
      <c r="K2796">
        <v>1.115715</v>
      </c>
      <c r="L2796">
        <v>261.94810000000001</v>
      </c>
      <c r="M2796">
        <v>-5.9865689999999999E-2</v>
      </c>
      <c r="N2796">
        <v>0</v>
      </c>
      <c r="O2796">
        <v>-0.99810480000000001</v>
      </c>
      <c r="P2796">
        <v>-0.1088488</v>
      </c>
      <c r="Q2796">
        <v>2.9933580000000001E-2</v>
      </c>
      <c r="R2796">
        <v>-0.99360769999999998</v>
      </c>
      <c r="S2796">
        <v>9.0942380000000003E-2</v>
      </c>
      <c r="T2796">
        <v>-0.1432985</v>
      </c>
      <c r="U2796">
        <v>-3.0364990000000001</v>
      </c>
      <c r="V2796">
        <v>4.8552999999999999E-2</v>
      </c>
      <c r="W2796">
        <v>4.4833709999999999E-2</v>
      </c>
      <c r="X2796">
        <v>0.99781390000000003</v>
      </c>
      <c r="Y2796">
        <v>-8.9694399999999994E-2</v>
      </c>
      <c r="Z2796">
        <v>4.6907190000000001E-2</v>
      </c>
      <c r="AA2796">
        <v>0.99486410000000003</v>
      </c>
      <c r="AB2796">
        <v>26</v>
      </c>
      <c r="AC2796">
        <v>0.71719999999999096</v>
      </c>
      <c r="AD2796">
        <v>-1.115719149544</v>
      </c>
      <c r="AE2796">
        <v>-23.379200000000001</v>
      </c>
      <c r="AF2796">
        <v>-2.11086446886423</v>
      </c>
      <c r="AG2796">
        <v>-1.115719149544</v>
      </c>
      <c r="AH2796">
        <v>23.241437835729599</v>
      </c>
      <c r="AI2796">
        <v>92.737159434405797</v>
      </c>
      <c r="AJ2796">
        <v>95.189554652046496</v>
      </c>
      <c r="AK2796">
        <v>23.363754208145899</v>
      </c>
      <c r="AL2796">
        <v>87.430356333522397</v>
      </c>
      <c r="AM2796">
        <v>87.214220497026204</v>
      </c>
      <c r="AN2796">
        <v>1.00000001719728</v>
      </c>
    </row>
    <row r="2797" spans="1:40" x14ac:dyDescent="0.25">
      <c r="A2797" t="str">
        <f>"20190312154850214"</f>
        <v>20190312154850214</v>
      </c>
      <c r="B2797" t="str">
        <f>"1552376930208581"</f>
        <v>1552376930208581</v>
      </c>
      <c r="C2797" t="s">
        <v>40</v>
      </c>
      <c r="D2797">
        <v>4.7224830000000004</v>
      </c>
      <c r="E2797">
        <v>0.4488316</v>
      </c>
      <c r="F2797" t="s">
        <v>42</v>
      </c>
      <c r="G2797">
        <v>-491.1078</v>
      </c>
      <c r="H2797" s="1">
        <v>-3.7676550000000002E-6</v>
      </c>
      <c r="I2797">
        <v>237.68450000000001</v>
      </c>
      <c r="J2797">
        <v>-491.89699999999999</v>
      </c>
      <c r="K2797">
        <v>1.115364</v>
      </c>
      <c r="L2797">
        <v>261.70960000000002</v>
      </c>
      <c r="M2797">
        <v>-5.3115179999999998E-2</v>
      </c>
      <c r="N2797">
        <v>0</v>
      </c>
      <c r="O2797">
        <v>-0.99848780000000004</v>
      </c>
      <c r="P2797">
        <v>-0.1022493</v>
      </c>
      <c r="Q2797">
        <v>3.1079470000000001E-2</v>
      </c>
      <c r="R2797">
        <v>-0.99427370000000004</v>
      </c>
      <c r="S2797">
        <v>9.7869869999999998E-2</v>
      </c>
      <c r="T2797">
        <v>-0.139522799999999</v>
      </c>
      <c r="U2797">
        <v>-3.0342099999999999</v>
      </c>
      <c r="V2797">
        <v>4.8702210000000003E-2</v>
      </c>
      <c r="W2797">
        <v>4.5874060000000001E-2</v>
      </c>
      <c r="X2797">
        <v>0.99775930000000002</v>
      </c>
      <c r="Y2797">
        <v>-8.52522E-2</v>
      </c>
      <c r="Z2797">
        <v>4.5741919999999998E-2</v>
      </c>
      <c r="AA2797">
        <v>0.99530890000000005</v>
      </c>
      <c r="AB2797">
        <v>26</v>
      </c>
      <c r="AC2797">
        <v>0.78919999999999302</v>
      </c>
      <c r="AD2797">
        <v>-1.115367767655</v>
      </c>
      <c r="AE2797">
        <v>-24.025099999999998</v>
      </c>
      <c r="AF2797">
        <v>-2.05987659731134</v>
      </c>
      <c r="AG2797">
        <v>-1.115367767655</v>
      </c>
      <c r="AH2797">
        <v>23.897805269546701</v>
      </c>
      <c r="AI2797">
        <v>92.662334517501705</v>
      </c>
      <c r="AJ2797">
        <v>94.926445899774507</v>
      </c>
      <c r="AK2797">
        <v>24.012335029197999</v>
      </c>
      <c r="AL2797">
        <v>87.370687163191405</v>
      </c>
      <c r="AM2797">
        <v>87.205520293661905</v>
      </c>
      <c r="AN2797">
        <v>0.99999997768812798</v>
      </c>
    </row>
    <row r="2798" spans="1:40" x14ac:dyDescent="0.25">
      <c r="A2798" t="str">
        <f>"20190312154850230"</f>
        <v>20190312154850230</v>
      </c>
      <c r="B2798" t="str">
        <f>"1552376930218340"</f>
        <v>1552376930218340</v>
      </c>
      <c r="C2798" t="s">
        <v>40</v>
      </c>
      <c r="D2798">
        <v>4.6983290000000002</v>
      </c>
      <c r="E2798">
        <v>0.4488316</v>
      </c>
      <c r="F2798" t="s">
        <v>42</v>
      </c>
      <c r="G2798">
        <v>-491.02859999999998</v>
      </c>
      <c r="H2798" s="1">
        <v>-3.7020209999999998E-6</v>
      </c>
      <c r="I2798">
        <v>237.58070000000001</v>
      </c>
      <c r="J2798">
        <v>-491.90109999999999</v>
      </c>
      <c r="K2798">
        <v>1.115111</v>
      </c>
      <c r="L2798">
        <v>261.53750000000002</v>
      </c>
      <c r="M2798">
        <v>-4.8513540000000001E-2</v>
      </c>
      <c r="N2798">
        <v>0</v>
      </c>
      <c r="O2798">
        <v>-0.99872249999999996</v>
      </c>
      <c r="P2798">
        <v>-9.7803290000000001E-2</v>
      </c>
      <c r="Q2798">
        <v>3.0637040000000001E-2</v>
      </c>
      <c r="R2798">
        <v>-0.99473429999999996</v>
      </c>
      <c r="S2798">
        <v>0.10916140000000001</v>
      </c>
      <c r="T2798">
        <v>-0.1401955</v>
      </c>
      <c r="U2798">
        <v>-3.032867</v>
      </c>
      <c r="V2798">
        <v>4.8873699999999999E-2</v>
      </c>
      <c r="W2798">
        <v>4.5356750000000001E-2</v>
      </c>
      <c r="X2798">
        <v>0.99777459999999996</v>
      </c>
      <c r="Y2798">
        <v>-8.4375930000000002E-2</v>
      </c>
      <c r="Z2798">
        <v>4.5997299999999998E-2</v>
      </c>
      <c r="AA2798">
        <v>0.99537180000000003</v>
      </c>
      <c r="AB2798">
        <v>26</v>
      </c>
      <c r="AC2798">
        <v>0.87250000000000205</v>
      </c>
      <c r="AD2798">
        <v>-1.1151147020209999</v>
      </c>
      <c r="AE2798">
        <v>-23.956800000000001</v>
      </c>
      <c r="AF2798">
        <v>-2.0294265904948001</v>
      </c>
      <c r="AG2798">
        <v>-1.1151147020209999</v>
      </c>
      <c r="AH2798">
        <v>23.834681392950099</v>
      </c>
      <c r="AI2798">
        <v>92.669008310905696</v>
      </c>
      <c r="AJ2798">
        <v>94.866765152194404</v>
      </c>
      <c r="AK2798">
        <v>23.946901473641901</v>
      </c>
      <c r="AL2798">
        <v>87.4003578202081</v>
      </c>
      <c r="AM2798">
        <v>87.195738996991594</v>
      </c>
      <c r="AN2798">
        <v>1.0000000128637001</v>
      </c>
    </row>
    <row r="2799" spans="1:40" x14ac:dyDescent="0.25">
      <c r="A2799" t="str">
        <f>"20190312154850241"</f>
        <v>20190312154850241</v>
      </c>
      <c r="B2799" t="str">
        <f>"1552376930238836"</f>
        <v>1552376930238836</v>
      </c>
      <c r="C2799" t="s">
        <v>40</v>
      </c>
      <c r="D2799">
        <v>4.8160600000000002</v>
      </c>
      <c r="E2799">
        <v>0.45188929999999999</v>
      </c>
      <c r="F2799" t="s">
        <v>42</v>
      </c>
      <c r="G2799">
        <v>-490.93400000000003</v>
      </c>
      <c r="H2799" s="1">
        <v>-3.7180159999999998E-6</v>
      </c>
      <c r="I2799">
        <v>237.67660000000001</v>
      </c>
      <c r="J2799">
        <v>-491.904</v>
      </c>
      <c r="K2799">
        <v>1.114895</v>
      </c>
      <c r="L2799">
        <v>261.3974</v>
      </c>
      <c r="M2799">
        <v>-4.4956120000000002E-2</v>
      </c>
      <c r="N2799">
        <v>0</v>
      </c>
      <c r="O2799">
        <v>-0.99888949999999999</v>
      </c>
      <c r="P2799">
        <v>-9.4552239999999996E-2</v>
      </c>
      <c r="Q2799">
        <v>2.9570180000000001E-2</v>
      </c>
      <c r="R2799">
        <v>-0.99508079999999999</v>
      </c>
      <c r="S2799">
        <v>0.1228943</v>
      </c>
      <c r="T2799">
        <v>-0.1417108</v>
      </c>
      <c r="U2799">
        <v>-3.0322879999999999</v>
      </c>
      <c r="V2799">
        <v>4.9202179999999998E-2</v>
      </c>
      <c r="W2799">
        <v>4.4232069999999998E-2</v>
      </c>
      <c r="X2799">
        <v>0.9978089</v>
      </c>
      <c r="Y2799">
        <v>-8.5334140000000003E-2</v>
      </c>
      <c r="Z2799">
        <v>4.6507979999999997E-2</v>
      </c>
      <c r="AA2799">
        <v>0.99526630000000005</v>
      </c>
      <c r="AB2799">
        <v>26</v>
      </c>
      <c r="AC2799">
        <v>0.96999999999997</v>
      </c>
      <c r="AD2799">
        <v>-1.1148987180159999</v>
      </c>
      <c r="AE2799">
        <v>-23.720800000000001</v>
      </c>
      <c r="AF2799">
        <v>-2.0310409503017302</v>
      </c>
      <c r="AG2799">
        <v>-1.1148987180159999</v>
      </c>
      <c r="AH2799">
        <v>23.6011509633468</v>
      </c>
      <c r="AI2799">
        <v>92.694649477080105</v>
      </c>
      <c r="AJ2799">
        <v>94.918576805891405</v>
      </c>
      <c r="AK2799">
        <v>23.714604219508299</v>
      </c>
      <c r="AL2799">
        <v>87.464861868090907</v>
      </c>
      <c r="AM2799">
        <v>87.177018841922205</v>
      </c>
      <c r="AN2799">
        <v>0.99999996572622296</v>
      </c>
    </row>
    <row r="2800" spans="1:40" x14ac:dyDescent="0.25">
      <c r="A2800" t="str">
        <f>"20190312154850259"</f>
        <v>20190312154850259</v>
      </c>
      <c r="B2800" t="str">
        <f>"1552376930248596"</f>
        <v>1552376930248596</v>
      </c>
      <c r="C2800" t="s">
        <v>40</v>
      </c>
      <c r="D2800">
        <v>4.8054329999999998</v>
      </c>
      <c r="E2800">
        <v>0.47994720000000002</v>
      </c>
      <c r="F2800" t="s">
        <v>42</v>
      </c>
      <c r="G2800">
        <v>-491.13350000000003</v>
      </c>
      <c r="H2800" s="1">
        <v>-5.0103269999999998E-7</v>
      </c>
      <c r="I2800">
        <v>240.054</v>
      </c>
      <c r="J2800">
        <v>-491.9074</v>
      </c>
      <c r="K2800">
        <v>1.114581</v>
      </c>
      <c r="L2800">
        <v>261.20049999999998</v>
      </c>
      <c r="M2800">
        <v>-4.0271889999999998E-2</v>
      </c>
      <c r="N2800">
        <v>0</v>
      </c>
      <c r="O2800">
        <v>-0.99909000000000003</v>
      </c>
      <c r="P2800">
        <v>-9.1172859999999994E-2</v>
      </c>
      <c r="Q2800">
        <v>2.722772E-2</v>
      </c>
      <c r="R2800">
        <v>-0.99546299999999999</v>
      </c>
      <c r="S2800">
        <v>0.109375</v>
      </c>
      <c r="T2800">
        <v>-0.15827049999999901</v>
      </c>
      <c r="U2800">
        <v>-3.0299070000000001</v>
      </c>
      <c r="V2800">
        <v>5.0550070000000003E-2</v>
      </c>
      <c r="W2800">
        <v>4.1815789999999999E-2</v>
      </c>
      <c r="X2800">
        <v>0.9978458</v>
      </c>
      <c r="Y2800">
        <v>-7.6246419999999995E-2</v>
      </c>
      <c r="Z2800">
        <v>5.2008649999999997E-2</v>
      </c>
      <c r="AA2800">
        <v>0.9957317</v>
      </c>
      <c r="AB2800">
        <v>26</v>
      </c>
      <c r="AC2800">
        <v>0.77389999999996895</v>
      </c>
      <c r="AD2800">
        <v>-1.1145815010327</v>
      </c>
      <c r="AE2800">
        <v>-21.1464999999999</v>
      </c>
      <c r="AF2800">
        <v>-1.6204698283572101</v>
      </c>
      <c r="AG2800">
        <v>-1.1145815010327</v>
      </c>
      <c r="AH2800">
        <v>21.0397998752482</v>
      </c>
      <c r="AI2800">
        <v>93.023466614485201</v>
      </c>
      <c r="AJ2800">
        <v>94.404183812994305</v>
      </c>
      <c r="AK2800">
        <v>21.131526049425599</v>
      </c>
      <c r="AL2800">
        <v>87.603433078426505</v>
      </c>
      <c r="AM2800">
        <v>87.099920825288393</v>
      </c>
      <c r="AN2800">
        <v>1.0000000552239801</v>
      </c>
    </row>
    <row r="2801" spans="1:40" x14ac:dyDescent="0.25">
      <c r="A2801" t="str">
        <f>"20190312154850271"</f>
        <v>20190312154850271</v>
      </c>
      <c r="B2801" t="str">
        <f>"1552376930258356"</f>
        <v>1552376930258356</v>
      </c>
      <c r="C2801" t="s">
        <v>40</v>
      </c>
      <c r="D2801">
        <v>4.8288779999999996</v>
      </c>
      <c r="E2801">
        <v>0.48015049999999998</v>
      </c>
      <c r="F2801" t="s">
        <v>42</v>
      </c>
      <c r="G2801">
        <v>-492.87240000000003</v>
      </c>
      <c r="H2801" s="1">
        <v>-2.4804910000000002E-6</v>
      </c>
      <c r="I2801">
        <v>233.58959999999999</v>
      </c>
      <c r="J2801">
        <v>-491.90949999999998</v>
      </c>
      <c r="K2801">
        <v>1.1143590000000001</v>
      </c>
      <c r="L2801">
        <v>261.06439999999998</v>
      </c>
      <c r="M2801">
        <v>-3.722615E-2</v>
      </c>
      <c r="N2801">
        <v>0</v>
      </c>
      <c r="O2801">
        <v>-0.99920850000000005</v>
      </c>
      <c r="P2801">
        <v>-8.8700879999999996E-2</v>
      </c>
      <c r="Q2801">
        <v>2.619523E-2</v>
      </c>
      <c r="R2801">
        <v>-0.99571410000000005</v>
      </c>
      <c r="S2801">
        <v>-0.1051025</v>
      </c>
      <c r="T2801">
        <v>-0.1213996</v>
      </c>
      <c r="U2801">
        <v>-3.007355</v>
      </c>
      <c r="V2801">
        <v>5.1147089999999999E-2</v>
      </c>
      <c r="W2801">
        <v>4.0727140000000002E-2</v>
      </c>
      <c r="X2801">
        <v>0.99786039999999998</v>
      </c>
      <c r="Y2801">
        <v>-2.3324980000000001E-3</v>
      </c>
      <c r="Z2801">
        <v>4.028048E-2</v>
      </c>
      <c r="AA2801">
        <v>0.99918569999999995</v>
      </c>
      <c r="AB2801">
        <v>26</v>
      </c>
      <c r="AC2801">
        <v>-0.96290000000004705</v>
      </c>
      <c r="AD2801">
        <v>-1.114361480491</v>
      </c>
      <c r="AE2801">
        <v>-27.474799999999899</v>
      </c>
      <c r="AF2801">
        <v>-6.0549637183164598E-2</v>
      </c>
      <c r="AG2801">
        <v>-1.114361480491</v>
      </c>
      <c r="AH2801">
        <v>27.446505238480999</v>
      </c>
      <c r="AI2801">
        <v>92.324995658378</v>
      </c>
      <c r="AJ2801">
        <v>90.126399809499006</v>
      </c>
      <c r="AK2801">
        <v>27.469184872757499</v>
      </c>
      <c r="AL2801">
        <v>87.665861310049294</v>
      </c>
      <c r="AM2801">
        <v>87.065771897640005</v>
      </c>
      <c r="AN2801">
        <v>1.0000000513181</v>
      </c>
    </row>
    <row r="2802" spans="1:40" x14ac:dyDescent="0.25">
      <c r="A2802" t="str">
        <f>"20190312154850282"</f>
        <v>20190312154850282</v>
      </c>
      <c r="B2802" t="str">
        <f>"1552376930269092"</f>
        <v>1552376930269092</v>
      </c>
      <c r="C2802" t="s">
        <v>40</v>
      </c>
      <c r="D2802">
        <v>4.811617</v>
      </c>
      <c r="E2802">
        <v>0.48051080000000002</v>
      </c>
      <c r="F2802" t="s">
        <v>42</v>
      </c>
      <c r="G2802">
        <v>-492.77679999999998</v>
      </c>
      <c r="H2802" s="1">
        <v>-2.9147280000000002E-6</v>
      </c>
      <c r="I2802">
        <v>234.66120000000001</v>
      </c>
      <c r="J2802">
        <v>-491.91129999999998</v>
      </c>
      <c r="K2802">
        <v>1.114128</v>
      </c>
      <c r="L2802">
        <v>260.93209999999999</v>
      </c>
      <c r="M2802">
        <v>-3.4415309999999998E-2</v>
      </c>
      <c r="N2802">
        <v>0</v>
      </c>
      <c r="O2802">
        <v>-0.99930969999999997</v>
      </c>
      <c r="P2802">
        <v>-8.6624740000000006E-2</v>
      </c>
      <c r="Q2802">
        <v>2.588031E-2</v>
      </c>
      <c r="R2802">
        <v>-0.99590469999999998</v>
      </c>
      <c r="S2802">
        <v>-9.8785399999999995E-2</v>
      </c>
      <c r="T2802">
        <v>-0.12693070000000001</v>
      </c>
      <c r="U2802">
        <v>-3.0074459999999998</v>
      </c>
      <c r="V2802">
        <v>5.1899180000000003E-2</v>
      </c>
      <c r="W2802">
        <v>4.035789E-2</v>
      </c>
      <c r="X2802">
        <v>0.99783650000000002</v>
      </c>
      <c r="Y2802">
        <v>-1.619496E-3</v>
      </c>
      <c r="Z2802">
        <v>4.2119120000000003E-2</v>
      </c>
      <c r="AA2802">
        <v>0.99911130000000004</v>
      </c>
      <c r="AB2802">
        <v>26</v>
      </c>
      <c r="AC2802">
        <v>-0.86549999999999705</v>
      </c>
      <c r="AD2802">
        <v>-1.1141309147280001</v>
      </c>
      <c r="AE2802">
        <v>-26.270899999999902</v>
      </c>
      <c r="AF2802">
        <v>-3.91521197258895E-2</v>
      </c>
      <c r="AG2802">
        <v>-1.1141309147280001</v>
      </c>
      <c r="AH2802">
        <v>26.2379847374688</v>
      </c>
      <c r="AI2802">
        <v>92.431459739052499</v>
      </c>
      <c r="AJ2802">
        <v>90.085496259593199</v>
      </c>
      <c r="AK2802">
        <v>26.261657671732699</v>
      </c>
      <c r="AL2802">
        <v>87.687035025152397</v>
      </c>
      <c r="AM2802">
        <v>87.022631560663797</v>
      </c>
      <c r="AN2802">
        <v>0.99999998245108701</v>
      </c>
    </row>
    <row r="2803" spans="1:40" x14ac:dyDescent="0.25">
      <c r="A2803" t="str">
        <f>"20190312154850293"</f>
        <v>20190312154850293</v>
      </c>
      <c r="B2803" t="str">
        <f>"1552376930289119"</f>
        <v>1552376930289119</v>
      </c>
      <c r="C2803" t="s">
        <v>40</v>
      </c>
      <c r="D2803">
        <v>4.8015559999999997</v>
      </c>
      <c r="E2803">
        <v>0.48165960000000002</v>
      </c>
      <c r="F2803" t="s">
        <v>42</v>
      </c>
      <c r="G2803">
        <v>-492.73250000000002</v>
      </c>
      <c r="H2803" s="1">
        <v>-3.0913689999999999E-6</v>
      </c>
      <c r="I2803">
        <v>235.10040000000001</v>
      </c>
      <c r="J2803">
        <v>-491.9128</v>
      </c>
      <c r="K2803">
        <v>1.113899</v>
      </c>
      <c r="L2803">
        <v>260.79680000000002</v>
      </c>
      <c r="M2803">
        <v>-3.1748690000000003E-2</v>
      </c>
      <c r="N2803">
        <v>0</v>
      </c>
      <c r="O2803">
        <v>-0.99939849999999997</v>
      </c>
      <c r="P2803">
        <v>-8.4473950000000006E-2</v>
      </c>
      <c r="Q2803">
        <v>2.5950730000000002E-2</v>
      </c>
      <c r="R2803">
        <v>-0.99608799999999997</v>
      </c>
      <c r="S2803">
        <v>-9.5611570000000007E-2</v>
      </c>
      <c r="T2803">
        <v>-0.1297082</v>
      </c>
      <c r="U2803">
        <v>-3.007355</v>
      </c>
      <c r="V2803">
        <v>5.2429650000000001E-2</v>
      </c>
      <c r="W2803">
        <v>4.0368859999999999E-2</v>
      </c>
      <c r="X2803">
        <v>0.99780829999999998</v>
      </c>
      <c r="Y2803" s="1">
        <v>-4.7147879999999998E-6</v>
      </c>
      <c r="Z2803">
        <v>4.3046840000000003E-2</v>
      </c>
      <c r="AA2803">
        <v>0.99907299999999999</v>
      </c>
      <c r="AB2803">
        <v>26</v>
      </c>
      <c r="AC2803">
        <v>-0.81970000000001098</v>
      </c>
      <c r="AD2803">
        <v>-1.1139020913690001</v>
      </c>
      <c r="AE2803">
        <v>-25.696400000000001</v>
      </c>
      <c r="AF2803">
        <v>3.3739082869131899E-3</v>
      </c>
      <c r="AG2803">
        <v>-1.1139020913690001</v>
      </c>
      <c r="AH2803">
        <v>25.6612993435673</v>
      </c>
      <c r="AI2803">
        <v>92.485526830810599</v>
      </c>
      <c r="AJ2803">
        <v>89.992466838814195</v>
      </c>
      <c r="AK2803">
        <v>25.6854642405502</v>
      </c>
      <c r="AL2803">
        <v>87.686405921909</v>
      </c>
      <c r="AM2803">
        <v>86.992170138576995</v>
      </c>
      <c r="AN2803">
        <v>0.99999995830285504</v>
      </c>
    </row>
    <row r="2804" spans="1:40" x14ac:dyDescent="0.25">
      <c r="A2804" t="str">
        <f>"20190312154850305"</f>
        <v>20190312154850305</v>
      </c>
      <c r="B2804" t="str">
        <f>"1552376930298879"</f>
        <v>1552376930298879</v>
      </c>
      <c r="C2804" t="s">
        <v>40</v>
      </c>
      <c r="D2804">
        <v>4.7935089999999896</v>
      </c>
      <c r="E2804">
        <v>0.482265</v>
      </c>
      <c r="F2804" t="s">
        <v>42</v>
      </c>
      <c r="G2804">
        <v>-492.75970000000001</v>
      </c>
      <c r="H2804" s="1">
        <v>-3.02961E-6</v>
      </c>
      <c r="I2804">
        <v>234.93950000000001</v>
      </c>
      <c r="J2804">
        <v>-491.9144</v>
      </c>
      <c r="K2804">
        <v>1.113659</v>
      </c>
      <c r="L2804">
        <v>260.65440000000001</v>
      </c>
      <c r="M2804">
        <v>-2.904327E-2</v>
      </c>
      <c r="N2804">
        <v>0</v>
      </c>
      <c r="O2804">
        <v>-0.99948130000000002</v>
      </c>
      <c r="P2804">
        <v>-8.2063319999999995E-2</v>
      </c>
      <c r="Q2804">
        <v>2.6510120000000002E-2</v>
      </c>
      <c r="R2804">
        <v>-0.99627469999999996</v>
      </c>
      <c r="S2804">
        <v>-9.8480219999999993E-2</v>
      </c>
      <c r="T2804">
        <v>-0.12953000000000001</v>
      </c>
      <c r="U2804">
        <v>-3.0068049999999999</v>
      </c>
      <c r="V2804">
        <v>5.2736150000000002E-2</v>
      </c>
      <c r="W2804">
        <v>4.0864360000000002E-2</v>
      </c>
      <c r="X2804">
        <v>0.99777199999999999</v>
      </c>
      <c r="Y2804">
        <v>3.6602710000000001E-3</v>
      </c>
      <c r="Z2804">
        <v>4.3000139999999999E-2</v>
      </c>
      <c r="AA2804">
        <v>0.99906839999999997</v>
      </c>
      <c r="AB2804">
        <v>26</v>
      </c>
      <c r="AC2804">
        <v>-0.84530000000000804</v>
      </c>
      <c r="AD2804">
        <v>-1.1136620296099999</v>
      </c>
      <c r="AE2804">
        <v>-25.7149</v>
      </c>
      <c r="AF2804">
        <v>9.7842934695693898E-2</v>
      </c>
      <c r="AG2804">
        <v>-1.1136620296099999</v>
      </c>
      <c r="AH2804">
        <v>25.680488863572901</v>
      </c>
      <c r="AI2804">
        <v>92.483119294112697</v>
      </c>
      <c r="AJ2804">
        <v>89.781703529188405</v>
      </c>
      <c r="AK2804">
        <v>25.7048113128293</v>
      </c>
      <c r="AL2804">
        <v>87.657992467504798</v>
      </c>
      <c r="AM2804">
        <v>86.974509288119506</v>
      </c>
      <c r="AN2804">
        <v>0.99999998070951501</v>
      </c>
    </row>
    <row r="2805" spans="1:40" x14ac:dyDescent="0.25">
      <c r="A2805" t="str">
        <f>"20190312154850326"</f>
        <v>20190312154850326</v>
      </c>
      <c r="B2805" t="str">
        <f>"1552376930318399"</f>
        <v>1552376930318399</v>
      </c>
      <c r="C2805" t="s">
        <v>40</v>
      </c>
      <c r="D2805">
        <v>4.8200209999999997</v>
      </c>
      <c r="E2805">
        <v>0.48264020000000002</v>
      </c>
      <c r="F2805" t="s">
        <v>42</v>
      </c>
      <c r="G2805">
        <v>-492.75959999999998</v>
      </c>
      <c r="H2805" s="1">
        <v>-2.7037239999999999E-6</v>
      </c>
      <c r="I2805">
        <v>234.18</v>
      </c>
      <c r="J2805">
        <v>-491.91640000000001</v>
      </c>
      <c r="K2805">
        <v>1.1132820000000001</v>
      </c>
      <c r="L2805">
        <v>260.42649999999998</v>
      </c>
      <c r="M2805">
        <v>-2.5149390000000001E-2</v>
      </c>
      <c r="N2805">
        <v>0</v>
      </c>
      <c r="O2805">
        <v>-0.99958749999999996</v>
      </c>
      <c r="P2805">
        <v>-7.8870029999999994E-2</v>
      </c>
      <c r="Q2805">
        <v>2.81099E-2</v>
      </c>
      <c r="R2805">
        <v>-0.99648859999999995</v>
      </c>
      <c r="S2805">
        <v>-9.5977779999999999E-2</v>
      </c>
      <c r="T2805">
        <v>-0.12647529999999901</v>
      </c>
      <c r="U2805">
        <v>-3.0066220000000001</v>
      </c>
      <c r="V2805">
        <v>5.3453300000000002E-2</v>
      </c>
      <c r="W2805">
        <v>4.2366050000000002E-2</v>
      </c>
      <c r="X2805">
        <v>0.99767119999999998</v>
      </c>
      <c r="Y2805">
        <v>6.7286239999999999E-3</v>
      </c>
      <c r="Z2805">
        <v>4.1997340000000001E-2</v>
      </c>
      <c r="AA2805">
        <v>0.99909510000000001</v>
      </c>
      <c r="AB2805">
        <v>26</v>
      </c>
      <c r="AC2805">
        <v>-0.84319999999996698</v>
      </c>
      <c r="AD2805">
        <v>-1.1132847037239999</v>
      </c>
      <c r="AE2805">
        <v>-26.246499999999902</v>
      </c>
      <c r="AF2805">
        <v>0.18245836133455301</v>
      </c>
      <c r="AG2805">
        <v>-1.1132847037239999</v>
      </c>
      <c r="AH2805">
        <v>26.212293271437499</v>
      </c>
      <c r="AI2805">
        <v>92.431937537698602</v>
      </c>
      <c r="AJ2805">
        <v>89.601182350008202</v>
      </c>
      <c r="AK2805">
        <v>26.236558700275801</v>
      </c>
      <c r="AL2805">
        <v>87.571877357317007</v>
      </c>
      <c r="AM2805">
        <v>86.933134912698193</v>
      </c>
      <c r="AN2805">
        <v>0.99999998039146598</v>
      </c>
    </row>
    <row r="2806" spans="1:40" x14ac:dyDescent="0.25">
      <c r="A2806" t="str">
        <f>"20190312154850336"</f>
        <v>20190312154850336</v>
      </c>
      <c r="B2806" t="str">
        <f>"1552376930329135"</f>
        <v>1552376930329135</v>
      </c>
      <c r="C2806" t="s">
        <v>40</v>
      </c>
      <c r="D2806">
        <v>4.7979799999999999</v>
      </c>
      <c r="E2806">
        <v>0.48930449999999998</v>
      </c>
      <c r="F2806" t="s">
        <v>42</v>
      </c>
      <c r="G2806">
        <v>-492.74299999999999</v>
      </c>
      <c r="H2806" s="1">
        <v>-2.0752539999999999E-6</v>
      </c>
      <c r="I2806">
        <v>232.7253</v>
      </c>
      <c r="J2806">
        <v>-491.91730000000001</v>
      </c>
      <c r="K2806">
        <v>1.113089</v>
      </c>
      <c r="L2806">
        <v>260.29730000000001</v>
      </c>
      <c r="M2806">
        <v>-2.316493E-2</v>
      </c>
      <c r="N2806">
        <v>0</v>
      </c>
      <c r="O2806">
        <v>-0.99963610000000003</v>
      </c>
      <c r="P2806">
        <v>-7.7174779999999998E-2</v>
      </c>
      <c r="Q2806">
        <v>2.8933819999999999E-2</v>
      </c>
      <c r="R2806">
        <v>-0.99659790000000004</v>
      </c>
      <c r="S2806">
        <v>-8.9721679999999998E-2</v>
      </c>
      <c r="T2806">
        <v>-0.1208432</v>
      </c>
      <c r="U2806">
        <v>-3.006866</v>
      </c>
      <c r="V2806">
        <v>5.3752399999999999E-2</v>
      </c>
      <c r="W2806">
        <v>4.3137340000000003E-2</v>
      </c>
      <c r="X2806">
        <v>0.99762209999999996</v>
      </c>
      <c r="Y2806">
        <v>6.6367860000000004E-3</v>
      </c>
      <c r="Z2806">
        <v>4.0131149999999997E-2</v>
      </c>
      <c r="AA2806">
        <v>0.99917239999999996</v>
      </c>
      <c r="AB2806">
        <v>26</v>
      </c>
      <c r="AC2806">
        <v>-0.82570000000003996</v>
      </c>
      <c r="AD2806">
        <v>-1.113091075254</v>
      </c>
      <c r="AE2806">
        <v>-27.571999999999999</v>
      </c>
      <c r="AF2806">
        <v>0.18641038203177801</v>
      </c>
      <c r="AG2806">
        <v>-1.113091075254</v>
      </c>
      <c r="AH2806">
        <v>27.538887256593899</v>
      </c>
      <c r="AI2806">
        <v>92.314518590561605</v>
      </c>
      <c r="AJ2806">
        <v>89.6121715112006</v>
      </c>
      <c r="AK2806">
        <v>27.562003408746101</v>
      </c>
      <c r="AL2806">
        <v>87.527645308120199</v>
      </c>
      <c r="AM2806">
        <v>86.915855693547698</v>
      </c>
      <c r="AN2806">
        <v>1.0000000025082201</v>
      </c>
    </row>
    <row r="2807" spans="1:40" x14ac:dyDescent="0.25">
      <c r="A2807" t="str">
        <f>"20190312154850349"</f>
        <v>20190312154850349</v>
      </c>
      <c r="B2807" t="str">
        <f>"1552376930338895"</f>
        <v>1552376930338895</v>
      </c>
      <c r="C2807" t="s">
        <v>40</v>
      </c>
      <c r="D2807">
        <v>4.8181500000000002</v>
      </c>
      <c r="E2807">
        <v>0.48992570000000002</v>
      </c>
      <c r="F2807" t="s">
        <v>49</v>
      </c>
      <c r="G2807">
        <v>-493.4606</v>
      </c>
      <c r="H2807" s="1">
        <v>4.9752390000000003E-6</v>
      </c>
      <c r="I2807">
        <v>226.77260000000001</v>
      </c>
      <c r="J2807">
        <v>-491.91820000000001</v>
      </c>
      <c r="K2807">
        <v>1.112889</v>
      </c>
      <c r="L2807">
        <v>260.15839999999997</v>
      </c>
      <c r="M2807">
        <v>-2.110631E-2</v>
      </c>
      <c r="N2807">
        <v>0</v>
      </c>
      <c r="O2807">
        <v>-0.99968190000000001</v>
      </c>
      <c r="P2807">
        <v>-7.5243740000000003E-2</v>
      </c>
      <c r="Q2807">
        <v>2.95242E-2</v>
      </c>
      <c r="R2807">
        <v>-0.99672810000000001</v>
      </c>
      <c r="S2807">
        <v>-0.13821410000000001</v>
      </c>
      <c r="T2807">
        <v>-9.9686029999999995E-2</v>
      </c>
      <c r="U2807">
        <v>-3.0024109999999999</v>
      </c>
      <c r="V2807">
        <v>5.389207E-2</v>
      </c>
      <c r="W2807">
        <v>4.3672320000000001E-2</v>
      </c>
      <c r="X2807">
        <v>0.99759129999999996</v>
      </c>
      <c r="Y2807">
        <v>2.486416E-2</v>
      </c>
      <c r="Z2807">
        <v>3.3149959999999999E-2</v>
      </c>
      <c r="AA2807">
        <v>0.99914099999999995</v>
      </c>
      <c r="AB2807">
        <v>26</v>
      </c>
      <c r="AC2807">
        <v>-1.54239999999998</v>
      </c>
      <c r="AD2807">
        <v>-1.1128840247609999</v>
      </c>
      <c r="AE2807">
        <v>-33.385799999999897</v>
      </c>
      <c r="AF2807">
        <v>0.83641072376131698</v>
      </c>
      <c r="AG2807">
        <v>-1.1128840247609999</v>
      </c>
      <c r="AH2807">
        <v>33.373914191603703</v>
      </c>
      <c r="AI2807">
        <v>91.909273991826893</v>
      </c>
      <c r="AJ2807">
        <v>88.564364534299898</v>
      </c>
      <c r="AK2807">
        <v>33.402937628596597</v>
      </c>
      <c r="AL2807">
        <v>87.496964326392799</v>
      </c>
      <c r="AM2807">
        <v>86.907762115167102</v>
      </c>
      <c r="AN2807">
        <v>1.0000000142893699</v>
      </c>
    </row>
    <row r="2808" spans="1:40" x14ac:dyDescent="0.25">
      <c r="A2808" t="str">
        <f>"20190312154850362"</f>
        <v>20190312154850362</v>
      </c>
      <c r="B2808" t="str">
        <f>"1552376930348656"</f>
        <v>1552376930348656</v>
      </c>
      <c r="C2808" t="s">
        <v>40</v>
      </c>
      <c r="D2808">
        <v>4.8568509999999998</v>
      </c>
      <c r="E2808">
        <v>0.49028379999999999</v>
      </c>
      <c r="F2808" t="s">
        <v>49</v>
      </c>
      <c r="G2808">
        <v>-493.44819999999999</v>
      </c>
      <c r="H2808" s="1">
        <v>4.9758330000000001E-6</v>
      </c>
      <c r="I2808">
        <v>226.76570000000001</v>
      </c>
      <c r="J2808">
        <v>-491.91890000000001</v>
      </c>
      <c r="K2808">
        <v>1.1126929999999999</v>
      </c>
      <c r="L2808">
        <v>260.00450000000001</v>
      </c>
      <c r="M2808">
        <v>-1.8980279999999999E-2</v>
      </c>
      <c r="N2808">
        <v>0</v>
      </c>
      <c r="O2808">
        <v>-0.99972499999999997</v>
      </c>
      <c r="P2808">
        <v>-7.3512789999999995E-2</v>
      </c>
      <c r="Q2808">
        <v>2.9870339999999999E-2</v>
      </c>
      <c r="R2808">
        <v>-0.99684720000000004</v>
      </c>
      <c r="S2808">
        <v>-0.13757320000000001</v>
      </c>
      <c r="T2808">
        <v>-0.100064</v>
      </c>
      <c r="U2808">
        <v>-3.002472</v>
      </c>
      <c r="V2808">
        <v>5.4301290000000002E-2</v>
      </c>
      <c r="W2808">
        <v>4.3963389999999998E-2</v>
      </c>
      <c r="X2808">
        <v>0.99755629999999995</v>
      </c>
      <c r="Y2808">
        <v>2.6776189999999998E-2</v>
      </c>
      <c r="Z2808">
        <v>3.3276319999999998E-2</v>
      </c>
      <c r="AA2808">
        <v>0.99908750000000002</v>
      </c>
      <c r="AB2808">
        <v>26</v>
      </c>
      <c r="AC2808">
        <v>-1.5292999999999699</v>
      </c>
      <c r="AD2808">
        <v>-1.1126880241670001</v>
      </c>
      <c r="AE2808">
        <v>-33.238799999999998</v>
      </c>
      <c r="AF2808">
        <v>0.897079730061632</v>
      </c>
      <c r="AG2808">
        <v>-1.1126880241670001</v>
      </c>
      <c r="AH2808">
        <v>33.2246870541424</v>
      </c>
      <c r="AI2808">
        <v>91.917408876295994</v>
      </c>
      <c r="AJ2808">
        <v>88.453366994829196</v>
      </c>
      <c r="AK2808">
        <v>33.255415446614201</v>
      </c>
      <c r="AL2808">
        <v>87.480271151457103</v>
      </c>
      <c r="AM2808">
        <v>86.884218735025797</v>
      </c>
      <c r="AN2808">
        <v>0.99999999071282297</v>
      </c>
    </row>
    <row r="2809" spans="1:40" x14ac:dyDescent="0.25">
      <c r="A2809" t="str">
        <f>"20190312154850376"</f>
        <v>20190312154850376</v>
      </c>
      <c r="B2809" t="str">
        <f>"1552376930369151"</f>
        <v>1552376930369151</v>
      </c>
      <c r="C2809" t="s">
        <v>40</v>
      </c>
      <c r="D2809">
        <v>4.822978</v>
      </c>
      <c r="E2809">
        <v>0.49130849999999998</v>
      </c>
      <c r="F2809" t="s">
        <v>49</v>
      </c>
      <c r="G2809">
        <v>-493.40289999999999</v>
      </c>
      <c r="H2809" s="1">
        <v>5.0569800000000003E-6</v>
      </c>
      <c r="I2809">
        <v>226.99520000000001</v>
      </c>
      <c r="J2809">
        <v>-491.9196</v>
      </c>
      <c r="K2809">
        <v>1.1125080000000001</v>
      </c>
      <c r="L2809">
        <v>259.84739999999999</v>
      </c>
      <c r="M2809">
        <v>-1.701389E-2</v>
      </c>
      <c r="N2809">
        <v>0</v>
      </c>
      <c r="O2809">
        <v>-0.99976069999999995</v>
      </c>
      <c r="P2809">
        <v>-7.1491689999999997E-2</v>
      </c>
      <c r="Q2809">
        <v>2.9888120000000001E-2</v>
      </c>
      <c r="R2809">
        <v>-0.99699340000000003</v>
      </c>
      <c r="S2809">
        <v>-0.13497919999999999</v>
      </c>
      <c r="T2809">
        <v>-0.1012125</v>
      </c>
      <c r="U2809">
        <v>-3.0025940000000002</v>
      </c>
      <c r="V2809">
        <v>5.4261230000000001E-2</v>
      </c>
      <c r="W2809">
        <v>4.3925279999999997E-2</v>
      </c>
      <c r="X2809">
        <v>0.99756009999999995</v>
      </c>
      <c r="Y2809">
        <v>2.787858E-2</v>
      </c>
      <c r="Z2809">
        <v>3.3658390000000003E-2</v>
      </c>
      <c r="AA2809">
        <v>0.9990445</v>
      </c>
      <c r="AB2809">
        <v>26</v>
      </c>
      <c r="AC2809">
        <v>-1.4832999999999801</v>
      </c>
      <c r="AD2809">
        <v>-1.11250294302</v>
      </c>
      <c r="AE2809">
        <v>-32.852199999999897</v>
      </c>
      <c r="AF2809">
        <v>0.92303234695658298</v>
      </c>
      <c r="AG2809">
        <v>-1.11250294302</v>
      </c>
      <c r="AH2809">
        <v>32.835105484802298</v>
      </c>
      <c r="AI2809">
        <v>91.939759489649703</v>
      </c>
      <c r="AJ2809">
        <v>88.389774210270303</v>
      </c>
      <c r="AK2809">
        <v>32.866910467974499</v>
      </c>
      <c r="AL2809">
        <v>87.482456657634401</v>
      </c>
      <c r="AM2809">
        <v>86.886524670878899</v>
      </c>
      <c r="AN2809">
        <v>0.99999993220809802</v>
      </c>
    </row>
    <row r="2810" spans="1:40" x14ac:dyDescent="0.25">
      <c r="A2810" t="str">
        <f>"20190312154850395"</f>
        <v>20190312154850395</v>
      </c>
      <c r="B2810" t="str">
        <f>"1552376930388671"</f>
        <v>1552376930388671</v>
      </c>
      <c r="C2810" t="s">
        <v>40</v>
      </c>
      <c r="D2810">
        <v>4.8257820000000002</v>
      </c>
      <c r="E2810">
        <v>0.49190529999999999</v>
      </c>
      <c r="F2810" t="s">
        <v>49</v>
      </c>
      <c r="G2810">
        <v>-493.41070000000002</v>
      </c>
      <c r="H2810" s="1">
        <v>5.0702569999999901E-6</v>
      </c>
      <c r="I2810">
        <v>227.0437</v>
      </c>
      <c r="J2810">
        <v>-491.92020000000002</v>
      </c>
      <c r="K2810">
        <v>1.11226</v>
      </c>
      <c r="L2810">
        <v>259.63499999999999</v>
      </c>
      <c r="M2810">
        <v>-1.4586679999999999E-2</v>
      </c>
      <c r="N2810">
        <v>0</v>
      </c>
      <c r="O2810">
        <v>-0.99979969999999996</v>
      </c>
      <c r="P2810">
        <v>-6.9008020000000003E-2</v>
      </c>
      <c r="Q2810">
        <v>2.9693899999999999E-2</v>
      </c>
      <c r="R2810">
        <v>-0.99717449999999996</v>
      </c>
      <c r="S2810">
        <v>-0.1364746</v>
      </c>
      <c r="T2810">
        <v>-0.1018217</v>
      </c>
      <c r="U2810">
        <v>-3.0023499999999999</v>
      </c>
      <c r="V2810">
        <v>5.4225330000000002E-2</v>
      </c>
      <c r="W2810">
        <v>4.3660890000000001E-2</v>
      </c>
      <c r="X2810">
        <v>0.99757370000000001</v>
      </c>
      <c r="Y2810">
        <v>3.080517E-2</v>
      </c>
      <c r="Z2810">
        <v>3.3863589999999999E-2</v>
      </c>
      <c r="AA2810">
        <v>0.99895160000000005</v>
      </c>
      <c r="AB2810">
        <v>26</v>
      </c>
      <c r="AC2810">
        <v>-1.4904999999999899</v>
      </c>
      <c r="AD2810">
        <v>-1.112254929743</v>
      </c>
      <c r="AE2810">
        <v>-32.591299999999897</v>
      </c>
      <c r="AF2810">
        <v>1.01371969529145</v>
      </c>
      <c r="AG2810">
        <v>-1.112254929743</v>
      </c>
      <c r="AH2810">
        <v>32.571719068355499</v>
      </c>
      <c r="AI2810">
        <v>91.954823273684895</v>
      </c>
      <c r="AJ2810">
        <v>88.217376313697699</v>
      </c>
      <c r="AK2810">
        <v>32.606465949520398</v>
      </c>
      <c r="AL2810">
        <v>87.497619739841298</v>
      </c>
      <c r="AM2810">
        <v>86.888622876510993</v>
      </c>
      <c r="AN2810">
        <v>0.99999997333044499</v>
      </c>
    </row>
    <row r="2811" spans="1:40" x14ac:dyDescent="0.25">
      <c r="A2811" t="str">
        <f>"20190312154850416"</f>
        <v>20190312154850416</v>
      </c>
      <c r="B2811" t="str">
        <f>"1552376930409167"</f>
        <v>1552376930409167</v>
      </c>
      <c r="C2811" t="s">
        <v>40</v>
      </c>
      <c r="D2811">
        <v>4.9447809999999999</v>
      </c>
      <c r="E2811">
        <v>0.49218190000000001</v>
      </c>
      <c r="F2811" t="s">
        <v>49</v>
      </c>
      <c r="G2811">
        <v>-493.35890000000001</v>
      </c>
      <c r="H2811" s="1">
        <v>5.1784939999999897E-6</v>
      </c>
      <c r="I2811">
        <v>227.35599999999999</v>
      </c>
      <c r="J2811">
        <v>-491.92070000000001</v>
      </c>
      <c r="K2811">
        <v>1.111993</v>
      </c>
      <c r="L2811">
        <v>259.38490000000002</v>
      </c>
      <c r="M2811">
        <v>-1.2077050000000001E-2</v>
      </c>
      <c r="N2811">
        <v>0</v>
      </c>
      <c r="O2811">
        <v>-0.99983379999999999</v>
      </c>
      <c r="P2811">
        <v>-6.6130499999999995E-2</v>
      </c>
      <c r="Q2811">
        <v>2.9349670000000001E-2</v>
      </c>
      <c r="R2811">
        <v>-0.99737940000000003</v>
      </c>
      <c r="S2811">
        <v>-0.13381960000000001</v>
      </c>
      <c r="T2811">
        <v>-0.10345360000000001</v>
      </c>
      <c r="U2811">
        <v>-3.0023499999999999</v>
      </c>
      <c r="V2811">
        <v>5.3881459999999999E-2</v>
      </c>
      <c r="W2811">
        <v>4.3236910000000003E-2</v>
      </c>
      <c r="X2811">
        <v>0.99761080000000002</v>
      </c>
      <c r="Y2811">
        <v>3.2431599999999998E-2</v>
      </c>
      <c r="Z2811">
        <v>3.4407239999999999E-2</v>
      </c>
      <c r="AA2811">
        <v>0.99888149999999998</v>
      </c>
      <c r="AB2811">
        <v>26</v>
      </c>
      <c r="AC2811">
        <v>-1.4381999999999899</v>
      </c>
      <c r="AD2811">
        <v>-1.111987821506</v>
      </c>
      <c r="AE2811">
        <v>-32.0289</v>
      </c>
      <c r="AF2811">
        <v>1.0499813300057801</v>
      </c>
      <c r="AG2811">
        <v>-1.111987821506</v>
      </c>
      <c r="AH2811">
        <v>32.005434148261401</v>
      </c>
      <c r="AI2811">
        <v>91.9887989856677</v>
      </c>
      <c r="AJ2811">
        <v>88.121008761266594</v>
      </c>
      <c r="AK2811">
        <v>32.0419536346839</v>
      </c>
      <c r="AL2811">
        <v>87.521934971970296</v>
      </c>
      <c r="AM2811">
        <v>86.908430032257399</v>
      </c>
      <c r="AN2811">
        <v>0.99999997519735895</v>
      </c>
    </row>
    <row r="2812" spans="1:40" x14ac:dyDescent="0.25">
      <c r="A2812" t="str">
        <f>"20190312154850428"</f>
        <v>20190312154850428</v>
      </c>
      <c r="B2812" t="str">
        <f>"1552376930418927"</f>
        <v>1552376930418927</v>
      </c>
      <c r="C2812" t="s">
        <v>40</v>
      </c>
      <c r="D2812">
        <v>4.8018519999999896</v>
      </c>
      <c r="E2812">
        <v>0.4637136</v>
      </c>
      <c r="F2812" t="s">
        <v>49</v>
      </c>
      <c r="G2812">
        <v>-493.24270000000001</v>
      </c>
      <c r="H2812" s="1">
        <v>5.4535299999999999E-6</v>
      </c>
      <c r="I2812">
        <v>228.23560000000001</v>
      </c>
      <c r="J2812">
        <v>-491.92079999999999</v>
      </c>
      <c r="K2812">
        <v>1.111842</v>
      </c>
      <c r="L2812">
        <v>259.23860000000002</v>
      </c>
      <c r="M2812">
        <v>-1.0745370000000001E-2</v>
      </c>
      <c r="N2812">
        <v>0</v>
      </c>
      <c r="O2812">
        <v>-0.9998494</v>
      </c>
      <c r="P2812">
        <v>-6.4534369999999994E-2</v>
      </c>
      <c r="Q2812">
        <v>2.8989870000000001E-2</v>
      </c>
      <c r="R2812">
        <v>-0.99749500000000002</v>
      </c>
      <c r="S2812">
        <v>-0.12744140000000001</v>
      </c>
      <c r="T2812">
        <v>-0.1071887</v>
      </c>
      <c r="U2812">
        <v>-3.0025940000000002</v>
      </c>
      <c r="V2812">
        <v>5.3631150000000002E-2</v>
      </c>
      <c r="W2812">
        <v>4.2833400000000001E-2</v>
      </c>
      <c r="X2812">
        <v>0.99764169999999996</v>
      </c>
      <c r="Y2812">
        <v>3.1639489999999999E-2</v>
      </c>
      <c r="Z2812">
        <v>3.5647930000000001E-2</v>
      </c>
      <c r="AA2812">
        <v>0.99886350000000002</v>
      </c>
      <c r="AB2812">
        <v>26</v>
      </c>
      <c r="AC2812">
        <v>-1.3219000000000201</v>
      </c>
      <c r="AD2812">
        <v>-1.11183654647</v>
      </c>
      <c r="AE2812">
        <v>-31.003</v>
      </c>
      <c r="AF2812">
        <v>0.987386451181539</v>
      </c>
      <c r="AG2812">
        <v>-1.11183654647</v>
      </c>
      <c r="AH2812">
        <v>30.975649926266801</v>
      </c>
      <c r="AI2812">
        <v>92.0546431417972</v>
      </c>
      <c r="AJ2812">
        <v>88.174245672344895</v>
      </c>
      <c r="AK2812">
        <v>31.011320527586001</v>
      </c>
      <c r="AL2812">
        <v>87.545075845580001</v>
      </c>
      <c r="AM2812">
        <v>86.922859592766201</v>
      </c>
      <c r="AN2812">
        <v>0.99999998099238596</v>
      </c>
    </row>
    <row r="2813" spans="1:40" x14ac:dyDescent="0.25">
      <c r="A2813" t="str">
        <f>"20190312154850441"</f>
        <v>20190312154850441</v>
      </c>
      <c r="B2813" t="str">
        <f>"1552376930428687"</f>
        <v>1552376930428687</v>
      </c>
      <c r="C2813" t="s">
        <v>40</v>
      </c>
      <c r="D2813">
        <v>4.7683339999999896</v>
      </c>
      <c r="E2813">
        <v>0.45507720000000002</v>
      </c>
      <c r="F2813" t="s">
        <v>49</v>
      </c>
      <c r="G2813">
        <v>-490.61090000000002</v>
      </c>
      <c r="H2813" s="1">
        <v>3.8570669999999996E-6</v>
      </c>
      <c r="I2813">
        <v>221.03</v>
      </c>
      <c r="J2813">
        <v>-491.92079999999999</v>
      </c>
      <c r="K2813">
        <v>1.111704</v>
      </c>
      <c r="L2813">
        <v>259.09629999999999</v>
      </c>
      <c r="M2813">
        <v>-9.5509129999999994E-3</v>
      </c>
      <c r="N2813">
        <v>0</v>
      </c>
      <c r="O2813">
        <v>-0.99986160000000002</v>
      </c>
      <c r="P2813">
        <v>-6.2765299999999996E-2</v>
      </c>
      <c r="Q2813">
        <v>2.887122E-2</v>
      </c>
      <c r="R2813">
        <v>-0.99761109999999997</v>
      </c>
      <c r="S2813">
        <v>0.1034241</v>
      </c>
      <c r="T2813">
        <v>-8.7786909999999996E-2</v>
      </c>
      <c r="U2813">
        <v>-3.0168149999999998</v>
      </c>
      <c r="V2813">
        <v>5.3068560000000001E-2</v>
      </c>
      <c r="W2813">
        <v>4.267381E-2</v>
      </c>
      <c r="X2813">
        <v>0.99767859999999997</v>
      </c>
      <c r="Y2813">
        <v>-4.3792560000000001E-2</v>
      </c>
      <c r="Z2813">
        <v>2.9062419999999999E-2</v>
      </c>
      <c r="AA2813">
        <v>0.9986178</v>
      </c>
      <c r="AB2813">
        <v>26</v>
      </c>
      <c r="AC2813">
        <v>1.3098999999999701</v>
      </c>
      <c r="AD2813">
        <v>-1.111700142933</v>
      </c>
      <c r="AE2813">
        <v>-38.066299999999899</v>
      </c>
      <c r="AF2813">
        <v>-1.6720175356706</v>
      </c>
      <c r="AG2813">
        <v>-1.111700142933</v>
      </c>
      <c r="AH2813">
        <v>38.019663222207598</v>
      </c>
      <c r="AI2813">
        <v>91.673242840969294</v>
      </c>
      <c r="AJ2813">
        <v>92.518114352276797</v>
      </c>
      <c r="AK2813">
        <v>38.072645184928703</v>
      </c>
      <c r="AL2813">
        <v>87.554227990093807</v>
      </c>
      <c r="AM2813">
        <v>86.9551900954731</v>
      </c>
      <c r="AN2813">
        <v>0.99999995750917303</v>
      </c>
    </row>
    <row r="2814" spans="1:40" x14ac:dyDescent="0.25">
      <c r="A2814" t="str">
        <f>"20190312154850454"</f>
        <v>20190312154850454</v>
      </c>
      <c r="B2814" t="str">
        <f>"1552376930448378"</f>
        <v>1552376930448378</v>
      </c>
      <c r="C2814" t="s">
        <v>40</v>
      </c>
      <c r="D2814">
        <v>4.8267569999999997</v>
      </c>
      <c r="E2814">
        <v>0.4454359</v>
      </c>
      <c r="F2814" t="s">
        <v>49</v>
      </c>
      <c r="G2814">
        <v>-489.28050000000002</v>
      </c>
      <c r="H2814" s="1">
        <v>3.1744550000000001E-6</v>
      </c>
      <c r="I2814">
        <v>214.11689999999999</v>
      </c>
      <c r="J2814">
        <v>-491.92079999999999</v>
      </c>
      <c r="K2814">
        <v>1.1115729999999999</v>
      </c>
      <c r="L2814">
        <v>258.95319999999998</v>
      </c>
      <c r="M2814">
        <v>-8.4420729999999996E-3</v>
      </c>
      <c r="N2814">
        <v>0</v>
      </c>
      <c r="O2814">
        <v>-0.99987179999999998</v>
      </c>
      <c r="P2814">
        <v>-6.136979E-2</v>
      </c>
      <c r="Q2814">
        <v>2.8651220000000002E-2</v>
      </c>
      <c r="R2814">
        <v>-0.99770389999999998</v>
      </c>
      <c r="S2814">
        <v>0.1773071</v>
      </c>
      <c r="T2814">
        <v>-7.4654100000000001E-2</v>
      </c>
      <c r="U2814">
        <v>-3.020508</v>
      </c>
      <c r="V2814">
        <v>5.2793699999999999E-2</v>
      </c>
      <c r="W2814">
        <v>4.241702E-2</v>
      </c>
      <c r="X2814">
        <v>0.99770409999999998</v>
      </c>
      <c r="Y2814">
        <v>-6.7008659999999998E-2</v>
      </c>
      <c r="Z2814">
        <v>2.46579E-2</v>
      </c>
      <c r="AA2814">
        <v>0.99744770000000005</v>
      </c>
      <c r="AB2814">
        <v>26</v>
      </c>
      <c r="AC2814">
        <v>2.6402999999999599</v>
      </c>
      <c r="AD2814">
        <v>-1.1115698255449999</v>
      </c>
      <c r="AE2814">
        <v>-44.836300000000001</v>
      </c>
      <c r="AF2814">
        <v>-3.0169043793459198</v>
      </c>
      <c r="AG2814">
        <v>-1.1115698255449999</v>
      </c>
      <c r="AH2814">
        <v>44.784979215740002</v>
      </c>
      <c r="AI2814">
        <v>91.418584070734596</v>
      </c>
      <c r="AJ2814">
        <v>93.8538619675343</v>
      </c>
      <c r="AK2814">
        <v>44.900241233933698</v>
      </c>
      <c r="AL2814">
        <v>87.568954228479598</v>
      </c>
      <c r="AM2814">
        <v>86.971008025254406</v>
      </c>
      <c r="AN2814">
        <v>0.99999992475108701</v>
      </c>
    </row>
    <row r="2815" spans="1:40" x14ac:dyDescent="0.25">
      <c r="A2815" t="str">
        <f>"20190312154850471"</f>
        <v>20190312154850471</v>
      </c>
      <c r="B2815" t="str">
        <f>"1552376930468874"</f>
        <v>1552376930468874</v>
      </c>
      <c r="C2815" t="s">
        <v>40</v>
      </c>
      <c r="D2815">
        <v>4.7681800000000001</v>
      </c>
      <c r="E2815">
        <v>0.4425173</v>
      </c>
      <c r="F2815" t="s">
        <v>49</v>
      </c>
      <c r="G2815">
        <v>-488.1694</v>
      </c>
      <c r="H2815" s="1">
        <v>3.018148E-6</v>
      </c>
      <c r="I2815">
        <v>215.04990000000001</v>
      </c>
      <c r="J2815">
        <v>-491.92079999999999</v>
      </c>
      <c r="K2815">
        <v>1.1114040000000001</v>
      </c>
      <c r="L2815">
        <v>258.74599999999998</v>
      </c>
      <c r="M2815">
        <v>-6.9623159999999996E-3</v>
      </c>
      <c r="N2815">
        <v>0</v>
      </c>
      <c r="O2815">
        <v>-0.99988370000000004</v>
      </c>
      <c r="P2815">
        <v>-5.9330019999999997E-2</v>
      </c>
      <c r="Q2815">
        <v>2.8341129999999999E-2</v>
      </c>
      <c r="R2815">
        <v>-0.99783619999999995</v>
      </c>
      <c r="S2815">
        <v>0.25848389999999999</v>
      </c>
      <c r="T2815">
        <v>-7.6589939999999995E-2</v>
      </c>
      <c r="U2815">
        <v>-3.0250400000000002</v>
      </c>
      <c r="V2815">
        <v>5.2249240000000002E-2</v>
      </c>
      <c r="W2815">
        <v>4.2056379999999997E-2</v>
      </c>
      <c r="X2815">
        <v>0.99774810000000003</v>
      </c>
      <c r="Y2815">
        <v>-9.20464E-2</v>
      </c>
      <c r="Z2815">
        <v>2.521E-2</v>
      </c>
      <c r="AA2815">
        <v>0.99543550000000003</v>
      </c>
      <c r="AB2815">
        <v>26</v>
      </c>
      <c r="AC2815">
        <v>3.7513999999999799</v>
      </c>
      <c r="AD2815">
        <v>-1.1114009818520001</v>
      </c>
      <c r="AE2815">
        <v>-43.696099999999902</v>
      </c>
      <c r="AF2815">
        <v>-4.05296033476235</v>
      </c>
      <c r="AG2815">
        <v>-1.1114009818520001</v>
      </c>
      <c r="AH2815">
        <v>43.6408939312104</v>
      </c>
      <c r="AI2815">
        <v>91.452585995139103</v>
      </c>
      <c r="AJ2815">
        <v>95.305879688652198</v>
      </c>
      <c r="AK2815">
        <v>43.842779596334601</v>
      </c>
      <c r="AL2815">
        <v>87.589636008993196</v>
      </c>
      <c r="AM2815">
        <v>87.002320622641093</v>
      </c>
      <c r="AN2815">
        <v>0.99999999661644601</v>
      </c>
    </row>
    <row r="2816" spans="1:40" x14ac:dyDescent="0.25">
      <c r="A2816" t="str">
        <f>"20190312154850493"</f>
        <v>20190312154850493</v>
      </c>
      <c r="B2816" t="str">
        <f>"1552376930488901"</f>
        <v>1552376930488901</v>
      </c>
      <c r="C2816" t="s">
        <v>40</v>
      </c>
      <c r="D2816">
        <v>4.7631100000000002</v>
      </c>
      <c r="E2816">
        <v>0.4416311</v>
      </c>
      <c r="F2816" t="s">
        <v>49</v>
      </c>
      <c r="G2816">
        <v>-488.02969999999999</v>
      </c>
      <c r="H2816" s="1">
        <v>3.116501E-6</v>
      </c>
      <c r="I2816">
        <v>217.86680000000001</v>
      </c>
      <c r="J2816">
        <v>-491.9205</v>
      </c>
      <c r="K2816">
        <v>1.1112280000000001</v>
      </c>
      <c r="L2816">
        <v>258.49979999999999</v>
      </c>
      <c r="M2816">
        <v>-5.4072269999999997E-3</v>
      </c>
      <c r="N2816">
        <v>0</v>
      </c>
      <c r="O2816">
        <v>-0.99989380000000005</v>
      </c>
      <c r="P2816">
        <v>-5.7073150000000003E-2</v>
      </c>
      <c r="Q2816">
        <v>2.7829349999999999E-2</v>
      </c>
      <c r="R2816">
        <v>-0.99798229999999999</v>
      </c>
      <c r="S2816">
        <v>0.28802489999999997</v>
      </c>
      <c r="T2816">
        <v>-8.2268359999999999E-2</v>
      </c>
      <c r="U2816">
        <v>-3.02597</v>
      </c>
      <c r="V2816">
        <v>5.1563520000000002E-2</v>
      </c>
      <c r="W2816">
        <v>4.149278E-2</v>
      </c>
      <c r="X2816">
        <v>0.99780740000000001</v>
      </c>
      <c r="Y2816">
        <v>-0.1001034</v>
      </c>
      <c r="Z2816">
        <v>2.7047459999999999E-2</v>
      </c>
      <c r="AA2816">
        <v>0.99460939999999998</v>
      </c>
      <c r="AB2816">
        <v>26</v>
      </c>
      <c r="AC2816">
        <v>3.8908000000000098</v>
      </c>
      <c r="AD2816">
        <v>-1.1112248834989999</v>
      </c>
      <c r="AE2816">
        <v>-40.632999999999903</v>
      </c>
      <c r="AF2816">
        <v>-4.1074310317080496</v>
      </c>
      <c r="AG2816">
        <v>-1.1112248834989999</v>
      </c>
      <c r="AH2816">
        <v>40.581290334060903</v>
      </c>
      <c r="AI2816">
        <v>91.560551443396406</v>
      </c>
      <c r="AJ2816">
        <v>95.779503967857195</v>
      </c>
      <c r="AK2816">
        <v>40.803761292303598</v>
      </c>
      <c r="AL2816">
        <v>87.621956197692498</v>
      </c>
      <c r="AM2816">
        <v>87.041767378525904</v>
      </c>
      <c r="AN2816">
        <v>1.0000000274408301</v>
      </c>
    </row>
    <row r="2817" spans="1:40" x14ac:dyDescent="0.25">
      <c r="A2817" t="str">
        <f>"20190312154850505"</f>
        <v>20190312154850505</v>
      </c>
      <c r="B2817" t="str">
        <f>"1552376930498662"</f>
        <v>1552376930498662</v>
      </c>
      <c r="C2817" t="s">
        <v>40</v>
      </c>
      <c r="D2817">
        <v>4.7474280000000002</v>
      </c>
      <c r="E2817">
        <v>0.44151430000000003</v>
      </c>
      <c r="F2817" t="s">
        <v>49</v>
      </c>
      <c r="G2817">
        <v>-488.21660000000003</v>
      </c>
      <c r="H2817" s="1">
        <v>3.7028759999999999E-6</v>
      </c>
      <c r="I2817">
        <v>221.40450000000001</v>
      </c>
      <c r="J2817">
        <v>-491.92020000000002</v>
      </c>
      <c r="K2817">
        <v>1.1111390000000001</v>
      </c>
      <c r="L2817">
        <v>258.36340000000001</v>
      </c>
      <c r="M2817">
        <v>-4.6082570000000002E-3</v>
      </c>
      <c r="N2817">
        <v>0</v>
      </c>
      <c r="O2817">
        <v>-0.99989799999999995</v>
      </c>
      <c r="P2817">
        <v>-5.6302199999999997E-2</v>
      </c>
      <c r="Q2817">
        <v>2.7483879999999999E-2</v>
      </c>
      <c r="R2817">
        <v>-0.99803569999999997</v>
      </c>
      <c r="S2817">
        <v>0.302124</v>
      </c>
      <c r="T2817">
        <v>-9.0643050000000003E-2</v>
      </c>
      <c r="U2817">
        <v>-3.0258790000000002</v>
      </c>
      <c r="V2817">
        <v>5.1599560000000003E-2</v>
      </c>
      <c r="W2817">
        <v>4.1122110000000003E-2</v>
      </c>
      <c r="X2817">
        <v>0.99782090000000001</v>
      </c>
      <c r="Y2817">
        <v>-0.1038934</v>
      </c>
      <c r="Z2817">
        <v>2.9787020000000001E-2</v>
      </c>
      <c r="AA2817">
        <v>0.99414230000000003</v>
      </c>
      <c r="AB2817">
        <v>26</v>
      </c>
      <c r="AC2817">
        <v>3.70359999999999</v>
      </c>
      <c r="AD2817">
        <v>-1.1111352971239901</v>
      </c>
      <c r="AE2817">
        <v>-36.9589</v>
      </c>
      <c r="AF2817">
        <v>-3.8704288394223498</v>
      </c>
      <c r="AG2817">
        <v>-1.1111352971239901</v>
      </c>
      <c r="AH2817">
        <v>36.908410829685899</v>
      </c>
      <c r="AI2817">
        <v>91.714982162093506</v>
      </c>
      <c r="AJ2817">
        <v>95.986485771738401</v>
      </c>
      <c r="AK2817">
        <v>37.127424244383299</v>
      </c>
      <c r="AL2817">
        <v>87.6432122087339</v>
      </c>
      <c r="AM2817">
        <v>87.039743396789703</v>
      </c>
      <c r="AN2817">
        <v>1.0000000454999201</v>
      </c>
    </row>
    <row r="2818" spans="1:40" x14ac:dyDescent="0.25">
      <c r="A2818" t="str">
        <f>"20190312154850518"</f>
        <v>20190312154850518</v>
      </c>
      <c r="B2818" t="str">
        <f>"1552376930508421"</f>
        <v>1552376930508421</v>
      </c>
      <c r="C2818" t="s">
        <v>40</v>
      </c>
      <c r="D2818">
        <v>4.7061510000000002</v>
      </c>
      <c r="E2818">
        <v>0.4413649</v>
      </c>
      <c r="F2818" t="s">
        <v>49</v>
      </c>
      <c r="G2818">
        <v>-488.23910000000001</v>
      </c>
      <c r="H2818" s="1">
        <v>3.8655940000000001E-6</v>
      </c>
      <c r="I2818">
        <v>221.91370000000001</v>
      </c>
      <c r="J2818">
        <v>-491.92</v>
      </c>
      <c r="K2818">
        <v>1.1110660000000001</v>
      </c>
      <c r="L2818">
        <v>258.21789999999999</v>
      </c>
      <c r="M2818">
        <v>-3.8425019999999998E-3</v>
      </c>
      <c r="N2818">
        <v>0</v>
      </c>
      <c r="O2818">
        <v>-0.99990140000000005</v>
      </c>
      <c r="P2818">
        <v>-5.5641469999999998E-2</v>
      </c>
      <c r="Q2818">
        <v>2.666462E-2</v>
      </c>
      <c r="R2818">
        <v>-0.99809490000000001</v>
      </c>
      <c r="S2818">
        <v>0.30557250000000002</v>
      </c>
      <c r="T2818">
        <v>-9.2236040000000005E-2</v>
      </c>
      <c r="U2818">
        <v>-3.0257109999999998</v>
      </c>
      <c r="V2818">
        <v>5.1712349999999997E-2</v>
      </c>
      <c r="W2818">
        <v>4.028023E-2</v>
      </c>
      <c r="X2818">
        <v>0.99784930000000005</v>
      </c>
      <c r="Y2818">
        <v>-0.1042573</v>
      </c>
      <c r="Z2818">
        <v>3.0309550000000001E-2</v>
      </c>
      <c r="AA2818">
        <v>0.99408839999999998</v>
      </c>
      <c r="AB2818">
        <v>26</v>
      </c>
      <c r="AC2818">
        <v>3.6808999999999998</v>
      </c>
      <c r="AD2818">
        <v>-1.1110621344060001</v>
      </c>
      <c r="AE2818">
        <v>-36.304199999999902</v>
      </c>
      <c r="AF2818">
        <v>-3.8168459540468902</v>
      </c>
      <c r="AG2818">
        <v>-1.1110621344060001</v>
      </c>
      <c r="AH2818">
        <v>36.256174100410298</v>
      </c>
      <c r="AI2818">
        <v>91.745626244256698</v>
      </c>
      <c r="AJ2818">
        <v>96.009641427739297</v>
      </c>
      <c r="AK2818">
        <v>36.473455176370301</v>
      </c>
      <c r="AL2818">
        <v>87.691488149584401</v>
      </c>
      <c r="AM2818">
        <v>87.033368489039304</v>
      </c>
      <c r="AN2818">
        <v>0.99999994479093102</v>
      </c>
    </row>
    <row r="2819" spans="1:40" x14ac:dyDescent="0.25">
      <c r="A2819" t="str">
        <f>"20190312154850529"</f>
        <v>20190312154850529</v>
      </c>
      <c r="B2819" t="str">
        <f>"1552376930518182"</f>
        <v>1552376930518182</v>
      </c>
      <c r="C2819" t="s">
        <v>40</v>
      </c>
      <c r="D2819">
        <v>4.7392599999999998</v>
      </c>
      <c r="E2819">
        <v>0.44129459999999998</v>
      </c>
      <c r="F2819" t="s">
        <v>49</v>
      </c>
      <c r="G2819">
        <v>-488.61989999999997</v>
      </c>
      <c r="H2819" s="1">
        <v>5.1292760000000004E-6</v>
      </c>
      <c r="I2819">
        <v>225.9119</v>
      </c>
      <c r="J2819">
        <v>-491.9196</v>
      </c>
      <c r="K2819">
        <v>1.110997</v>
      </c>
      <c r="L2819">
        <v>258.08440000000002</v>
      </c>
      <c r="M2819">
        <v>-3.1644669999999998E-3</v>
      </c>
      <c r="N2819">
        <v>0</v>
      </c>
      <c r="O2819">
        <v>-0.99990389999999996</v>
      </c>
      <c r="P2819">
        <v>-5.5125649999999998E-2</v>
      </c>
      <c r="Q2819">
        <v>2.5893960000000001E-2</v>
      </c>
      <c r="R2819">
        <v>-0.99814369999999997</v>
      </c>
      <c r="S2819">
        <v>0.30908200000000002</v>
      </c>
      <c r="T2819">
        <v>-0.1040605</v>
      </c>
      <c r="U2819">
        <v>-3.0257420000000002</v>
      </c>
      <c r="V2819">
        <v>5.188102E-2</v>
      </c>
      <c r="W2819">
        <v>3.9489789999999997E-2</v>
      </c>
      <c r="X2819">
        <v>0.99787219999999999</v>
      </c>
      <c r="Y2819">
        <v>-0.1047105</v>
      </c>
      <c r="Z2819">
        <v>3.4187839999999997E-2</v>
      </c>
      <c r="AA2819">
        <v>0.99391499999999999</v>
      </c>
      <c r="AB2819">
        <v>26</v>
      </c>
      <c r="AC2819">
        <v>3.2997000000000298</v>
      </c>
      <c r="AD2819">
        <v>-1.1109918707240001</v>
      </c>
      <c r="AE2819">
        <v>-32.172499999999999</v>
      </c>
      <c r="AF2819">
        <v>-3.3974922877862799</v>
      </c>
      <c r="AG2819">
        <v>-1.1109918707240001</v>
      </c>
      <c r="AH2819">
        <v>32.123987601876699</v>
      </c>
      <c r="AI2819">
        <v>91.969778914710801</v>
      </c>
      <c r="AJ2819">
        <v>96.037264188611104</v>
      </c>
      <c r="AK2819">
        <v>32.322249863335799</v>
      </c>
      <c r="AL2819">
        <v>87.736813233150897</v>
      </c>
      <c r="AM2819">
        <v>87.023777785792007</v>
      </c>
      <c r="AN2819">
        <v>1.00000000564166</v>
      </c>
    </row>
    <row r="2820" spans="1:40" x14ac:dyDescent="0.25">
      <c r="A2820" t="str">
        <f>"20190312154850541"</f>
        <v>20190312154850541</v>
      </c>
      <c r="B2820" t="str">
        <f>"1552376930528917"</f>
        <v>1552376930528917</v>
      </c>
      <c r="C2820" t="s">
        <v>40</v>
      </c>
      <c r="D2820">
        <v>4.7247750000000002</v>
      </c>
      <c r="E2820">
        <v>0.44142330000000002</v>
      </c>
      <c r="F2820" t="s">
        <v>49</v>
      </c>
      <c r="G2820">
        <v>-488.66140000000001</v>
      </c>
      <c r="H2820" s="1">
        <v>5.3022569999999999E-6</v>
      </c>
      <c r="I2820">
        <v>226.43459999999999</v>
      </c>
      <c r="J2820">
        <v>-491.91930000000002</v>
      </c>
      <c r="K2820">
        <v>1.1109439999999999</v>
      </c>
      <c r="L2820">
        <v>257.9479</v>
      </c>
      <c r="M2820">
        <v>-2.5115419999999999E-3</v>
      </c>
      <c r="N2820">
        <v>0</v>
      </c>
      <c r="O2820">
        <v>-0.99990599999999996</v>
      </c>
      <c r="P2820">
        <v>-5.466099E-2</v>
      </c>
      <c r="Q2820">
        <v>2.5271689999999999E-2</v>
      </c>
      <c r="R2820">
        <v>-0.99818549999999995</v>
      </c>
      <c r="S2820">
        <v>0.31146239999999997</v>
      </c>
      <c r="T2820">
        <v>-0.1062038</v>
      </c>
      <c r="U2820">
        <v>-3.025528</v>
      </c>
      <c r="V2820">
        <v>5.2074540000000002E-2</v>
      </c>
      <c r="W2820">
        <v>3.8848939999999998E-2</v>
      </c>
      <c r="X2820">
        <v>0.99788730000000003</v>
      </c>
      <c r="Y2820">
        <v>-0.1048395</v>
      </c>
      <c r="Z2820">
        <v>3.4892039999999999E-2</v>
      </c>
      <c r="AA2820">
        <v>0.99387689999999995</v>
      </c>
      <c r="AB2820">
        <v>26</v>
      </c>
      <c r="AC2820">
        <v>3.2578999999999998</v>
      </c>
      <c r="AD2820">
        <v>-1.110938697743</v>
      </c>
      <c r="AE2820">
        <v>-31.513300000000001</v>
      </c>
      <c r="AF2820">
        <v>-3.3329455913900299</v>
      </c>
      <c r="AG2820">
        <v>-1.110938697743</v>
      </c>
      <c r="AH2820">
        <v>31.466325472377701</v>
      </c>
      <c r="AI2820">
        <v>92.010785196237507</v>
      </c>
      <c r="AJ2820">
        <v>96.046283593606603</v>
      </c>
      <c r="AK2820">
        <v>31.661843752992599</v>
      </c>
      <c r="AL2820">
        <v>87.773559489197197</v>
      </c>
      <c r="AM2820">
        <v>87.012741451859199</v>
      </c>
      <c r="AN2820">
        <v>1.0000000306783099</v>
      </c>
    </row>
    <row r="2821" spans="1:40" x14ac:dyDescent="0.25">
      <c r="A2821" t="str">
        <f>"20190312154850553"</f>
        <v>20190312154850553</v>
      </c>
      <c r="B2821" t="str">
        <f>"1552376930548438"</f>
        <v>1552376930548438</v>
      </c>
      <c r="C2821" t="s">
        <v>40</v>
      </c>
      <c r="D2821">
        <v>4.7173280000000002</v>
      </c>
      <c r="E2821">
        <v>0.4417973</v>
      </c>
      <c r="F2821" t="s">
        <v>49</v>
      </c>
      <c r="G2821">
        <v>-488.74250000000001</v>
      </c>
      <c r="H2821" s="1">
        <v>5.5374770000000003E-6</v>
      </c>
      <c r="I2821">
        <v>227.1242</v>
      </c>
      <c r="J2821">
        <v>-491.91890000000001</v>
      </c>
      <c r="K2821">
        <v>1.1109</v>
      </c>
      <c r="L2821">
        <v>257.80970000000002</v>
      </c>
      <c r="M2821">
        <v>-1.886549E-3</v>
      </c>
      <c r="N2821">
        <v>0</v>
      </c>
      <c r="O2821">
        <v>-0.99990730000000005</v>
      </c>
      <c r="P2821">
        <v>-5.4465060000000003E-2</v>
      </c>
      <c r="Q2821">
        <v>2.4989029999999999E-2</v>
      </c>
      <c r="R2821">
        <v>-0.99820299999999995</v>
      </c>
      <c r="S2821">
        <v>0.31179810000000002</v>
      </c>
      <c r="T2821">
        <v>-0.1090363</v>
      </c>
      <c r="U2821">
        <v>-3.0252840000000001</v>
      </c>
      <c r="V2821">
        <v>5.2507529999999997E-2</v>
      </c>
      <c r="W2821">
        <v>3.8549710000000001E-2</v>
      </c>
      <c r="X2821">
        <v>0.99787619999999999</v>
      </c>
      <c r="Y2821">
        <v>-0.1043318</v>
      </c>
      <c r="Z2821">
        <v>3.5825160000000002E-2</v>
      </c>
      <c r="AA2821">
        <v>0.99389709999999998</v>
      </c>
      <c r="AB2821">
        <v>26</v>
      </c>
      <c r="AC2821">
        <v>3.1764000000000001</v>
      </c>
      <c r="AD2821">
        <v>-1.1108944625229999</v>
      </c>
      <c r="AE2821">
        <v>-30.685500000000001</v>
      </c>
      <c r="AF2821">
        <v>-3.2301007333750298</v>
      </c>
      <c r="AG2821">
        <v>-1.1108944625229999</v>
      </c>
      <c r="AH2821">
        <v>30.639720886477701</v>
      </c>
      <c r="AI2821">
        <v>92.0650116614366</v>
      </c>
      <c r="AJ2821">
        <v>96.018007198423206</v>
      </c>
      <c r="AK2821">
        <v>30.8295334582908</v>
      </c>
      <c r="AL2821">
        <v>87.790716924352395</v>
      </c>
      <c r="AM2821">
        <v>86.987915065559307</v>
      </c>
      <c r="AN2821">
        <v>1.0000000156871101</v>
      </c>
    </row>
    <row r="2822" spans="1:40" x14ac:dyDescent="0.25">
      <c r="A2822" t="str">
        <f>"20190312154850566"</f>
        <v>20190312154850566</v>
      </c>
      <c r="B2822" t="str">
        <f>"1552376930559174"</f>
        <v>1552376930559174</v>
      </c>
      <c r="C2822" t="s">
        <v>40</v>
      </c>
      <c r="D2822">
        <v>4.7171029999999998</v>
      </c>
      <c r="E2822">
        <v>0.4419244</v>
      </c>
      <c r="F2822" t="s">
        <v>49</v>
      </c>
      <c r="G2822">
        <v>-488.80970000000002</v>
      </c>
      <c r="H2822" s="1">
        <v>5.6610130000000002E-6</v>
      </c>
      <c r="I2822">
        <v>227.46530000000001</v>
      </c>
      <c r="J2822">
        <v>-491.91840000000002</v>
      </c>
      <c r="K2822">
        <v>1.110857</v>
      </c>
      <c r="L2822">
        <v>257.66969999999998</v>
      </c>
      <c r="M2822">
        <v>-1.2717760000000001E-3</v>
      </c>
      <c r="N2822">
        <v>0</v>
      </c>
      <c r="O2822">
        <v>-0.99990869999999998</v>
      </c>
      <c r="P2822">
        <v>-5.4187010000000001E-2</v>
      </c>
      <c r="Q2822">
        <v>2.4727280000000001E-2</v>
      </c>
      <c r="R2822">
        <v>-0.99822480000000002</v>
      </c>
      <c r="S2822">
        <v>0.30996699999999999</v>
      </c>
      <c r="T2822">
        <v>-0.11074829999999999</v>
      </c>
      <c r="U2822">
        <v>-3.0251160000000001</v>
      </c>
      <c r="V2822">
        <v>5.2847730000000002E-2</v>
      </c>
      <c r="W2822">
        <v>3.8272390000000003E-2</v>
      </c>
      <c r="X2822">
        <v>0.99786889999999995</v>
      </c>
      <c r="Y2822">
        <v>-0.1031285</v>
      </c>
      <c r="Z2822">
        <v>3.639237E-2</v>
      </c>
      <c r="AA2822">
        <v>0.99400200000000005</v>
      </c>
      <c r="AB2822">
        <v>26</v>
      </c>
      <c r="AC2822">
        <v>3.10869999999999</v>
      </c>
      <c r="AD2822">
        <v>-1.1108513389870001</v>
      </c>
      <c r="AE2822">
        <v>-30.2043999999999</v>
      </c>
      <c r="AF2822">
        <v>-3.1429076355910102</v>
      </c>
      <c r="AG2822">
        <v>-1.1108513389870001</v>
      </c>
      <c r="AH2822">
        <v>30.160054563066598</v>
      </c>
      <c r="AI2822">
        <v>92.098007076079398</v>
      </c>
      <c r="AJ2822">
        <v>95.949184555244699</v>
      </c>
      <c r="AK2822">
        <v>30.343710227168</v>
      </c>
      <c r="AL2822">
        <v>87.806617889859794</v>
      </c>
      <c r="AM2822">
        <v>86.968413703846693</v>
      </c>
      <c r="AN2822">
        <v>0.99999999999483702</v>
      </c>
    </row>
    <row r="2823" spans="1:40" x14ac:dyDescent="0.25">
      <c r="A2823" t="str">
        <f>"20190312154850584"</f>
        <v>20190312154850584</v>
      </c>
      <c r="B2823" t="str">
        <f>"1552376930578694"</f>
        <v>1552376930578694</v>
      </c>
      <c r="C2823" t="s">
        <v>40</v>
      </c>
      <c r="D2823">
        <v>4.7236200000000004</v>
      </c>
      <c r="E2823">
        <v>0.44216949999999999</v>
      </c>
      <c r="F2823" t="s">
        <v>49</v>
      </c>
      <c r="G2823">
        <v>-488.84829999999999</v>
      </c>
      <c r="H2823" s="1">
        <v>5.7385799999999999E-6</v>
      </c>
      <c r="I2823">
        <v>227.6825</v>
      </c>
      <c r="J2823">
        <v>-491.91759999999999</v>
      </c>
      <c r="K2823">
        <v>1.110803</v>
      </c>
      <c r="L2823">
        <v>257.45139999999998</v>
      </c>
      <c r="M2823">
        <v>-3.716352E-4</v>
      </c>
      <c r="N2823">
        <v>0</v>
      </c>
      <c r="O2823">
        <v>-0.99990959999999995</v>
      </c>
      <c r="P2823">
        <v>-5.4025009999999998E-2</v>
      </c>
      <c r="Q2823">
        <v>2.4154950000000001E-2</v>
      </c>
      <c r="R2823">
        <v>-0.99824760000000001</v>
      </c>
      <c r="S2823">
        <v>0.30969239999999998</v>
      </c>
      <c r="T2823">
        <v>-0.1120558</v>
      </c>
      <c r="U2823">
        <v>-3.024918</v>
      </c>
      <c r="V2823">
        <v>5.3590329999999999E-2</v>
      </c>
      <c r="W2823">
        <v>3.7679160000000003E-2</v>
      </c>
      <c r="X2823">
        <v>0.99785179999999996</v>
      </c>
      <c r="Y2823">
        <v>-0.1021487</v>
      </c>
      <c r="Z2823">
        <v>3.6825910000000003E-2</v>
      </c>
      <c r="AA2823">
        <v>0.99408730000000001</v>
      </c>
      <c r="AB2823">
        <v>26</v>
      </c>
      <c r="AC2823">
        <v>3.0692999999999899</v>
      </c>
      <c r="AD2823">
        <v>-1.1107972614199999</v>
      </c>
      <c r="AE2823">
        <v>-29.768899999999899</v>
      </c>
      <c r="AF2823">
        <v>-3.0761260092809399</v>
      </c>
      <c r="AG2823">
        <v>-1.1107972614199999</v>
      </c>
      <c r="AH2823">
        <v>29.726802850059901</v>
      </c>
      <c r="AI2823">
        <v>92.128611913275904</v>
      </c>
      <c r="AJ2823">
        <v>95.907932752200693</v>
      </c>
      <c r="AK2823">
        <v>29.906173768425798</v>
      </c>
      <c r="AL2823">
        <v>87.840631847278701</v>
      </c>
      <c r="AM2823">
        <v>86.925843349773302</v>
      </c>
      <c r="AN2823">
        <v>0.99999992866552401</v>
      </c>
    </row>
    <row r="2824" spans="1:40" x14ac:dyDescent="0.25">
      <c r="A2824" t="str">
        <f>"20190312154850597"</f>
        <v>20190312154850597</v>
      </c>
      <c r="B2824" t="str">
        <f>"1552376930588959"</f>
        <v>1552376930588959</v>
      </c>
      <c r="C2824" t="s">
        <v>40</v>
      </c>
      <c r="D2824">
        <v>4.7185649999999999</v>
      </c>
      <c r="E2824">
        <v>0.44231359999999997</v>
      </c>
      <c r="F2824" t="s">
        <v>49</v>
      </c>
      <c r="G2824">
        <v>-488.89260000000002</v>
      </c>
      <c r="H2824" s="1">
        <v>5.782772E-6</v>
      </c>
      <c r="I2824">
        <v>227.78710000000001</v>
      </c>
      <c r="J2824">
        <v>-491.9169</v>
      </c>
      <c r="K2824">
        <v>1.1107739999999999</v>
      </c>
      <c r="L2824">
        <v>257.30279999999999</v>
      </c>
      <c r="M2824">
        <v>2.143441E-4</v>
      </c>
      <c r="N2824">
        <v>0</v>
      </c>
      <c r="O2824">
        <v>-0.99990979999999996</v>
      </c>
      <c r="P2824">
        <v>-5.3994390000000003E-2</v>
      </c>
      <c r="Q2824">
        <v>2.3882529999999999E-2</v>
      </c>
      <c r="R2824">
        <v>-0.99825600000000003</v>
      </c>
      <c r="S2824">
        <v>0.30844120000000003</v>
      </c>
      <c r="T2824">
        <v>-0.113261899999999</v>
      </c>
      <c r="U2824">
        <v>-3.0247039999999998</v>
      </c>
      <c r="V2824">
        <v>5.4147679999999997E-2</v>
      </c>
      <c r="W2824">
        <v>3.7394209999999997E-2</v>
      </c>
      <c r="X2824">
        <v>0.99783250000000001</v>
      </c>
      <c r="Y2824">
        <v>-0.1011643</v>
      </c>
      <c r="Z2824">
        <v>3.722702E-2</v>
      </c>
      <c r="AA2824">
        <v>0.99417299999999997</v>
      </c>
      <c r="AB2824">
        <v>26</v>
      </c>
      <c r="AC2824">
        <v>3.0242999999999798</v>
      </c>
      <c r="AD2824">
        <v>-1.110768217228</v>
      </c>
      <c r="AE2824">
        <v>-29.515699999999899</v>
      </c>
      <c r="AF2824">
        <v>-3.0137489601687002</v>
      </c>
      <c r="AG2824">
        <v>-1.110768217228</v>
      </c>
      <c r="AH2824">
        <v>29.4750372369734</v>
      </c>
      <c r="AI2824">
        <v>92.146989811915802</v>
      </c>
      <c r="AJ2824">
        <v>95.838062027425394</v>
      </c>
      <c r="AK2824">
        <v>29.649524599026702</v>
      </c>
      <c r="AL2824">
        <v>87.856969943956699</v>
      </c>
      <c r="AM2824">
        <v>86.893873836833194</v>
      </c>
      <c r="AN2824">
        <v>0.99999999812357798</v>
      </c>
    </row>
    <row r="2825" spans="1:40" x14ac:dyDescent="0.25">
      <c r="A2825" t="str">
        <f>"20190312154850618"</f>
        <v>20190312154850618</v>
      </c>
      <c r="B2825" t="str">
        <f>"1552376930608480"</f>
        <v>1552376930608480</v>
      </c>
      <c r="C2825" t="s">
        <v>40</v>
      </c>
      <c r="D2825">
        <v>4.695182</v>
      </c>
      <c r="E2825">
        <v>0.44239650000000003</v>
      </c>
      <c r="F2825" t="s">
        <v>49</v>
      </c>
      <c r="G2825">
        <v>-488.92129999999997</v>
      </c>
      <c r="H2825" s="1">
        <v>5.8042210000000002E-6</v>
      </c>
      <c r="I2825">
        <v>227.83170000000001</v>
      </c>
      <c r="J2825">
        <v>-491.91579999999999</v>
      </c>
      <c r="K2825">
        <v>1.1107419999999999</v>
      </c>
      <c r="L2825">
        <v>257.07330000000002</v>
      </c>
      <c r="M2825">
        <v>1.0995099999999999E-3</v>
      </c>
      <c r="N2825">
        <v>0</v>
      </c>
      <c r="O2825">
        <v>-0.99990939999999995</v>
      </c>
      <c r="P2825">
        <v>-5.4136690000000001E-2</v>
      </c>
      <c r="Q2825">
        <v>2.256377E-2</v>
      </c>
      <c r="R2825">
        <v>-0.99827889999999997</v>
      </c>
      <c r="S2825">
        <v>0.30743409999999999</v>
      </c>
      <c r="T2825">
        <v>-0.1139975</v>
      </c>
      <c r="U2825">
        <v>-3.024597</v>
      </c>
      <c r="V2825">
        <v>5.51788E-2</v>
      </c>
      <c r="W2825">
        <v>3.6059010000000002E-2</v>
      </c>
      <c r="X2825">
        <v>0.99782510000000002</v>
      </c>
      <c r="Y2825">
        <v>-9.9958549999999993E-2</v>
      </c>
      <c r="Z2825">
        <v>3.7472640000000002E-2</v>
      </c>
      <c r="AA2825">
        <v>0.99428570000000005</v>
      </c>
      <c r="AB2825">
        <v>26</v>
      </c>
      <c r="AC2825">
        <v>2.9945000000000102</v>
      </c>
      <c r="AD2825">
        <v>-1.1107361957790001</v>
      </c>
      <c r="AE2825">
        <v>-29.241599999999998</v>
      </c>
      <c r="AF2825">
        <v>-2.9581200510807499</v>
      </c>
      <c r="AG2825">
        <v>-1.1107361957790001</v>
      </c>
      <c r="AH2825">
        <v>29.203176737791299</v>
      </c>
      <c r="AI2825">
        <v>92.167103190003104</v>
      </c>
      <c r="AJ2825">
        <v>95.784016518490901</v>
      </c>
      <c r="AK2825">
        <v>29.373623213895399</v>
      </c>
      <c r="AL2825">
        <v>87.933522803326696</v>
      </c>
      <c r="AM2825">
        <v>86.834820413740502</v>
      </c>
      <c r="AN2825">
        <v>0.99999994118081303</v>
      </c>
    </row>
    <row r="2826" spans="1:40" x14ac:dyDescent="0.25">
      <c r="A2826" t="str">
        <f>"20190312154850629"</f>
        <v>20190312154850629</v>
      </c>
      <c r="B2826" t="str">
        <f>"1552376930618239"</f>
        <v>1552376930618239</v>
      </c>
      <c r="C2826" t="s">
        <v>40</v>
      </c>
      <c r="D2826">
        <v>4.7208699999999997</v>
      </c>
      <c r="E2826">
        <v>0.4424747</v>
      </c>
      <c r="F2826" t="s">
        <v>49</v>
      </c>
      <c r="G2826">
        <v>-489.0154</v>
      </c>
      <c r="H2826" s="1">
        <v>6.0090990000000004E-6</v>
      </c>
      <c r="I2826">
        <v>228.41220000000001</v>
      </c>
      <c r="J2826">
        <v>-491.91500000000002</v>
      </c>
      <c r="K2826">
        <v>1.110717</v>
      </c>
      <c r="L2826">
        <v>256.93450000000001</v>
      </c>
      <c r="M2826">
        <v>1.6243500000000001E-3</v>
      </c>
      <c r="N2826">
        <v>0</v>
      </c>
      <c r="O2826">
        <v>-0.99990840000000003</v>
      </c>
      <c r="P2826">
        <v>-5.385678E-2</v>
      </c>
      <c r="Q2826">
        <v>2.236322E-2</v>
      </c>
      <c r="R2826">
        <v>-0.99829789999999996</v>
      </c>
      <c r="S2826">
        <v>0.30606080000000002</v>
      </c>
      <c r="T2826">
        <v>-0.11721040000000001</v>
      </c>
      <c r="U2826">
        <v>-3.0244599999999999</v>
      </c>
      <c r="V2826">
        <v>5.5424519999999998E-2</v>
      </c>
      <c r="W2826">
        <v>3.5849819999999998E-2</v>
      </c>
      <c r="X2826">
        <v>0.99781909999999896</v>
      </c>
      <c r="Y2826">
        <v>-9.8989850000000004E-2</v>
      </c>
      <c r="Z2826">
        <v>3.8531660000000002E-2</v>
      </c>
      <c r="AA2826">
        <v>0.99434210000000001</v>
      </c>
      <c r="AB2826">
        <v>26</v>
      </c>
      <c r="AC2826">
        <v>2.8996000000000199</v>
      </c>
      <c r="AD2826">
        <v>-1.110710990901</v>
      </c>
      <c r="AE2826">
        <v>-28.522300000000001</v>
      </c>
      <c r="AF2826">
        <v>-2.84898559355549</v>
      </c>
      <c r="AG2826">
        <v>-1.110710990901</v>
      </c>
      <c r="AH2826">
        <v>28.484219222587701</v>
      </c>
      <c r="AI2826">
        <v>92.221979501639595</v>
      </c>
      <c r="AJ2826">
        <v>95.711715729668597</v>
      </c>
      <c r="AK2826">
        <v>28.647881990437501</v>
      </c>
      <c r="AL2826">
        <v>87.945516428200605</v>
      </c>
      <c r="AM2826">
        <v>86.820735136391605</v>
      </c>
      <c r="AN2826">
        <v>1.00000002166803</v>
      </c>
    </row>
    <row r="2827" spans="1:40" x14ac:dyDescent="0.25">
      <c r="A2827" t="str">
        <f>"20190312154850642"</f>
        <v>20190312154850642</v>
      </c>
      <c r="B2827" t="str">
        <f>"1552376930638735"</f>
        <v>1552376930638735</v>
      </c>
      <c r="C2827" t="s">
        <v>40</v>
      </c>
      <c r="D2827">
        <v>4.727754</v>
      </c>
      <c r="E2827">
        <v>0.44274659999999899</v>
      </c>
      <c r="F2827" t="s">
        <v>49</v>
      </c>
      <c r="G2827">
        <v>-489.03320000000002</v>
      </c>
      <c r="H2827" s="1">
        <v>6.03168199999999E-6</v>
      </c>
      <c r="I2827">
        <v>228.46979999999999</v>
      </c>
      <c r="J2827">
        <v>-491.91419999999999</v>
      </c>
      <c r="K2827">
        <v>1.110706</v>
      </c>
      <c r="L2827">
        <v>256.7867</v>
      </c>
      <c r="M2827">
        <v>2.1768970000000001E-3</v>
      </c>
      <c r="N2827">
        <v>0</v>
      </c>
      <c r="O2827">
        <v>-0.99990789999999996</v>
      </c>
      <c r="P2827">
        <v>-5.3560150000000001E-2</v>
      </c>
      <c r="Q2827">
        <v>2.2042519999999999E-2</v>
      </c>
      <c r="R2827">
        <v>-0.99832169999999998</v>
      </c>
      <c r="S2827">
        <v>0.30618289999999998</v>
      </c>
      <c r="T2827">
        <v>-0.1180093</v>
      </c>
      <c r="U2827">
        <v>-3.0242770000000001</v>
      </c>
      <c r="V2827">
        <v>5.568095E-2</v>
      </c>
      <c r="W2827">
        <v>3.5520059999999999E-2</v>
      </c>
      <c r="X2827">
        <v>0.99781660000000005</v>
      </c>
      <c r="Y2827">
        <v>-9.8484699999999994E-2</v>
      </c>
      <c r="Z2827">
        <v>3.8797089999999999E-2</v>
      </c>
      <c r="AA2827">
        <v>0.99438199999999999</v>
      </c>
      <c r="AB2827">
        <v>26</v>
      </c>
      <c r="AC2827">
        <v>2.88099999999997</v>
      </c>
      <c r="AD2827">
        <v>-1.1106999683180001</v>
      </c>
      <c r="AE2827">
        <v>-28.3169</v>
      </c>
      <c r="AF2827">
        <v>-2.8150580256426698</v>
      </c>
      <c r="AG2827">
        <v>-1.1106999683180001</v>
      </c>
      <c r="AH2827">
        <v>28.280041554396899</v>
      </c>
      <c r="AI2827">
        <v>92.238088909393895</v>
      </c>
      <c r="AJ2827">
        <v>95.684622606620195</v>
      </c>
      <c r="AK2827">
        <v>28.441500600808201</v>
      </c>
      <c r="AL2827">
        <v>87.964422291638897</v>
      </c>
      <c r="AM2827">
        <v>86.806048180476495</v>
      </c>
      <c r="AN2827">
        <v>1.0000000050454301</v>
      </c>
    </row>
    <row r="2828" spans="1:40" x14ac:dyDescent="0.25">
      <c r="A2828" t="str">
        <f>"20190312154850662"</f>
        <v>20190312154850662</v>
      </c>
      <c r="B2828" t="str">
        <f>"1552376930658257"</f>
        <v>1552376930658257</v>
      </c>
      <c r="C2828" t="s">
        <v>40</v>
      </c>
      <c r="D2828">
        <v>4.7067829999999997</v>
      </c>
      <c r="E2828">
        <v>0.44297219999999998</v>
      </c>
      <c r="F2828" t="s">
        <v>49</v>
      </c>
      <c r="G2828">
        <v>-489.05500000000001</v>
      </c>
      <c r="H2828" s="1">
        <v>6.0412709999999999E-6</v>
      </c>
      <c r="I2828">
        <v>228.4821</v>
      </c>
      <c r="J2828">
        <v>-491.91269999999997</v>
      </c>
      <c r="K2828">
        <v>1.1107020000000001</v>
      </c>
      <c r="L2828">
        <v>256.56459999999998</v>
      </c>
      <c r="M2828">
        <v>3.0011529999999999E-3</v>
      </c>
      <c r="N2828">
        <v>0</v>
      </c>
      <c r="O2828">
        <v>-0.99990559999999995</v>
      </c>
      <c r="P2828">
        <v>-5.2951770000000002E-2</v>
      </c>
      <c r="Q2828">
        <v>2.2013080000000001E-2</v>
      </c>
      <c r="R2828">
        <v>-0.99835459999999998</v>
      </c>
      <c r="S2828">
        <v>0.305481</v>
      </c>
      <c r="T2828">
        <v>-0.11866740000000001</v>
      </c>
      <c r="U2828">
        <v>-3.0240629999999999</v>
      </c>
      <c r="V2828">
        <v>5.5896210000000002E-2</v>
      </c>
      <c r="W2828">
        <v>3.5480499999999998E-2</v>
      </c>
      <c r="X2828">
        <v>0.99780599999999997</v>
      </c>
      <c r="Y2828">
        <v>-9.7442039999999994E-2</v>
      </c>
      <c r="Z2828">
        <v>3.9018169999999998E-2</v>
      </c>
      <c r="AA2828">
        <v>0.99447609999999997</v>
      </c>
      <c r="AB2828">
        <v>26</v>
      </c>
      <c r="AC2828">
        <v>2.8576999999999599</v>
      </c>
      <c r="AD2828">
        <v>-1.110695958729</v>
      </c>
      <c r="AE2828">
        <v>-28.0824999999999</v>
      </c>
      <c r="AF2828">
        <v>-2.7691123576877001</v>
      </c>
      <c r="AG2828">
        <v>-1.110695958729</v>
      </c>
      <c r="AH2828">
        <v>28.0475257283452</v>
      </c>
      <c r="AI2828">
        <v>92.256795483894606</v>
      </c>
      <c r="AJ2828">
        <v>95.638498753638203</v>
      </c>
      <c r="AK2828">
        <v>28.205767641466899</v>
      </c>
      <c r="AL2828">
        <v>87.966690398963195</v>
      </c>
      <c r="AM2828">
        <v>86.793692231453093</v>
      </c>
      <c r="AN2828">
        <v>1.0000000329043</v>
      </c>
    </row>
    <row r="2829" spans="1:40" x14ac:dyDescent="0.25">
      <c r="A2829" t="str">
        <f>"20190312154850675"</f>
        <v>20190312154850675</v>
      </c>
      <c r="B2829" t="str">
        <f>"1552376930668992"</f>
        <v>1552376930668992</v>
      </c>
      <c r="C2829" t="s">
        <v>40</v>
      </c>
      <c r="D2829">
        <v>4.7184470000000003</v>
      </c>
      <c r="E2829">
        <v>0.44308920000000002</v>
      </c>
      <c r="F2829" t="s">
        <v>49</v>
      </c>
      <c r="G2829">
        <v>-489.06200000000001</v>
      </c>
      <c r="H2829" s="1">
        <v>5.9797450000000003E-6</v>
      </c>
      <c r="I2829">
        <v>228.2774</v>
      </c>
      <c r="J2829">
        <v>-491.91160000000002</v>
      </c>
      <c r="K2829">
        <v>1.1107020000000001</v>
      </c>
      <c r="L2829">
        <v>256.40890000000002</v>
      </c>
      <c r="M2829">
        <v>3.5783799999999999E-3</v>
      </c>
      <c r="N2829">
        <v>0</v>
      </c>
      <c r="O2829">
        <v>-0.99990369999999995</v>
      </c>
      <c r="P2829">
        <v>-5.2390470000000001E-2</v>
      </c>
      <c r="Q2829">
        <v>2.1679589999999999E-2</v>
      </c>
      <c r="R2829">
        <v>-0.99839129999999998</v>
      </c>
      <c r="S2829">
        <v>0.30471799999999999</v>
      </c>
      <c r="T2829">
        <v>-0.1187255</v>
      </c>
      <c r="U2829">
        <v>-3.0236969999999999</v>
      </c>
      <c r="V2829">
        <v>5.591173E-2</v>
      </c>
      <c r="W2829">
        <v>3.5140730000000002E-2</v>
      </c>
      <c r="X2829">
        <v>0.99781710000000001</v>
      </c>
      <c r="Y2829">
        <v>-9.6631010000000003E-2</v>
      </c>
      <c r="Z2829">
        <v>3.9043880000000003E-2</v>
      </c>
      <c r="AA2829">
        <v>0.99455420000000005</v>
      </c>
      <c r="AB2829">
        <v>26</v>
      </c>
      <c r="AC2829">
        <v>2.8496000000000601</v>
      </c>
      <c r="AD2829">
        <v>-1.110696020255</v>
      </c>
      <c r="AE2829">
        <v>-28.131499999999999</v>
      </c>
      <c r="AF2829">
        <v>-2.7446724246805401</v>
      </c>
      <c r="AG2829">
        <v>-1.110696020255</v>
      </c>
      <c r="AH2829">
        <v>28.098161742016298</v>
      </c>
      <c r="AI2829">
        <v>92.252962155999299</v>
      </c>
      <c r="AJ2829">
        <v>95.579041868403706</v>
      </c>
      <c r="AK2829">
        <v>28.253735428235402</v>
      </c>
      <c r="AL2829">
        <v>87.986169824041895</v>
      </c>
      <c r="AM2829">
        <v>86.792839437662806</v>
      </c>
      <c r="AN2829">
        <v>0.999999978754467</v>
      </c>
    </row>
    <row r="2830" spans="1:40" x14ac:dyDescent="0.25">
      <c r="A2830" t="str">
        <f>"20190312154850689"</f>
        <v>20190312154850689</v>
      </c>
      <c r="B2830" t="str">
        <f>"1552376930678752"</f>
        <v>1552376930678752</v>
      </c>
      <c r="C2830" t="s">
        <v>40</v>
      </c>
      <c r="D2830">
        <v>4.7442330000000004</v>
      </c>
      <c r="E2830">
        <v>0.44321939999999999</v>
      </c>
      <c r="F2830" t="s">
        <v>49</v>
      </c>
      <c r="G2830">
        <v>-489.07679999999999</v>
      </c>
      <c r="H2830" s="1">
        <v>6.0198519999999899E-6</v>
      </c>
      <c r="I2830">
        <v>228.39420000000001</v>
      </c>
      <c r="J2830">
        <v>-491.91039999999998</v>
      </c>
      <c r="K2830">
        <v>1.1107049999999901</v>
      </c>
      <c r="L2830">
        <v>256.25959999999998</v>
      </c>
      <c r="M2830">
        <v>4.133482E-3</v>
      </c>
      <c r="N2830">
        <v>0</v>
      </c>
      <c r="O2830">
        <v>-0.99990179999999995</v>
      </c>
      <c r="P2830">
        <v>-5.1882900000000003E-2</v>
      </c>
      <c r="Q2830">
        <v>2.169314E-2</v>
      </c>
      <c r="R2830">
        <v>-0.99841769999999996</v>
      </c>
      <c r="S2830">
        <v>0.30593870000000001</v>
      </c>
      <c r="T2830">
        <v>-0.1198722</v>
      </c>
      <c r="U2830">
        <v>-3.0234990000000002</v>
      </c>
      <c r="V2830">
        <v>5.5958210000000001E-2</v>
      </c>
      <c r="W2830">
        <v>3.5149310000000003E-2</v>
      </c>
      <c r="X2830">
        <v>0.99781419999999998</v>
      </c>
      <c r="Y2830">
        <v>-9.6480960000000004E-2</v>
      </c>
      <c r="Z2830">
        <v>3.9422329999999998E-2</v>
      </c>
      <c r="AA2830">
        <v>0.99455380000000004</v>
      </c>
      <c r="AB2830">
        <v>26</v>
      </c>
      <c r="AC2830">
        <v>2.8335999999999899</v>
      </c>
      <c r="AD2830">
        <v>-1.1106989801479901</v>
      </c>
      <c r="AE2830">
        <v>-27.865399999999902</v>
      </c>
      <c r="AF2830">
        <v>-2.71411634713344</v>
      </c>
      <c r="AG2830">
        <v>-1.1106989801479901</v>
      </c>
      <c r="AH2830">
        <v>27.833107655290998</v>
      </c>
      <c r="AI2830">
        <v>92.274437512355803</v>
      </c>
      <c r="AJ2830">
        <v>95.569528987335502</v>
      </c>
      <c r="AK2830">
        <v>27.987174947130701</v>
      </c>
      <c r="AL2830">
        <v>87.9856779379475</v>
      </c>
      <c r="AM2830">
        <v>86.790169555102196</v>
      </c>
      <c r="AN2830">
        <v>0.99999998649076005</v>
      </c>
    </row>
    <row r="2831" spans="1:40" x14ac:dyDescent="0.25">
      <c r="A2831" t="str">
        <f>"20190312154850708"</f>
        <v>20190312154850708</v>
      </c>
      <c r="B2831" t="str">
        <f>"1552376930698271"</f>
        <v>1552376930698271</v>
      </c>
      <c r="C2831" t="s">
        <v>40</v>
      </c>
      <c r="D2831">
        <v>4.7157809999999998</v>
      </c>
      <c r="E2831">
        <v>0.44349569999999999</v>
      </c>
      <c r="F2831" t="s">
        <v>49</v>
      </c>
      <c r="G2831">
        <v>-489.06389999999999</v>
      </c>
      <c r="H2831" s="1">
        <v>5.9459190000000004E-6</v>
      </c>
      <c r="I2831">
        <v>228.16669999999999</v>
      </c>
      <c r="J2831">
        <v>-491.90859999999998</v>
      </c>
      <c r="K2831">
        <v>1.1107100000000001</v>
      </c>
      <c r="L2831">
        <v>256.04790000000003</v>
      </c>
      <c r="M2831">
        <v>4.9242820000000003E-3</v>
      </c>
      <c r="N2831">
        <v>0</v>
      </c>
      <c r="O2831">
        <v>-0.99989830000000002</v>
      </c>
      <c r="P2831">
        <v>-5.082913E-2</v>
      </c>
      <c r="Q2831">
        <v>2.137495E-2</v>
      </c>
      <c r="R2831">
        <v>-0.99847870000000005</v>
      </c>
      <c r="S2831">
        <v>0.30633539999999998</v>
      </c>
      <c r="T2831">
        <v>-0.11953</v>
      </c>
      <c r="U2831">
        <v>-3.0232700000000001</v>
      </c>
      <c r="V2831">
        <v>5.5694090000000002E-2</v>
      </c>
      <c r="W2831">
        <v>3.4824309999999997E-2</v>
      </c>
      <c r="X2831">
        <v>0.99784039999999996</v>
      </c>
      <c r="Y2831">
        <v>-9.5830910000000005E-2</v>
      </c>
      <c r="Z2831">
        <v>3.9313670000000002E-2</v>
      </c>
      <c r="AA2831">
        <v>0.99462099999999998</v>
      </c>
      <c r="AB2831">
        <v>26</v>
      </c>
      <c r="AC2831">
        <v>2.84469999999998</v>
      </c>
      <c r="AD2831">
        <v>-1.110704054081</v>
      </c>
      <c r="AE2831">
        <v>-27.8812</v>
      </c>
      <c r="AF2831">
        <v>-2.7031127010231999</v>
      </c>
      <c r="AG2831">
        <v>-1.110704054081</v>
      </c>
      <c r="AH2831">
        <v>27.851127212946299</v>
      </c>
      <c r="AI2831">
        <v>92.273078140217805</v>
      </c>
      <c r="AJ2831">
        <v>95.543523385053902</v>
      </c>
      <c r="AK2831">
        <v>28.004031295545701</v>
      </c>
      <c r="AL2831">
        <v>88.004310528965604</v>
      </c>
      <c r="AM2831">
        <v>86.805372049989899</v>
      </c>
      <c r="AN2831">
        <v>1.00000001405003</v>
      </c>
    </row>
    <row r="2832" spans="1:40" x14ac:dyDescent="0.25">
      <c r="A2832" t="str">
        <f>"20190312154850719"</f>
        <v>20190312154850719</v>
      </c>
      <c r="B2832" t="str">
        <f>"1552376930709007"</f>
        <v>1552376930709007</v>
      </c>
      <c r="C2832" t="s">
        <v>40</v>
      </c>
      <c r="D2832">
        <v>4.6932689999999999</v>
      </c>
      <c r="E2832">
        <v>0.44364150000000002</v>
      </c>
      <c r="F2832" t="s">
        <v>49</v>
      </c>
      <c r="G2832">
        <v>-489.084</v>
      </c>
      <c r="H2832" s="1">
        <v>5.9634509999999999E-6</v>
      </c>
      <c r="I2832">
        <v>228.20599999999999</v>
      </c>
      <c r="J2832">
        <v>-491.90730000000002</v>
      </c>
      <c r="K2832">
        <v>1.1107100000000001</v>
      </c>
      <c r="L2832">
        <v>255.90719999999999</v>
      </c>
      <c r="M2832">
        <v>5.4536489999999996E-3</v>
      </c>
      <c r="N2832">
        <v>0</v>
      </c>
      <c r="O2832">
        <v>-0.99989570000000005</v>
      </c>
      <c r="P2832">
        <v>-5.0230039999999997E-2</v>
      </c>
      <c r="Q2832">
        <v>2.1228690000000001E-2</v>
      </c>
      <c r="R2832">
        <v>-0.99851210000000001</v>
      </c>
      <c r="S2832">
        <v>0.30667109999999997</v>
      </c>
      <c r="T2832">
        <v>-0.12058820000000001</v>
      </c>
      <c r="U2832">
        <v>-3.0227659999999998</v>
      </c>
      <c r="V2832">
        <v>5.5623390000000002E-2</v>
      </c>
      <c r="W2832">
        <v>3.4674199999999898E-2</v>
      </c>
      <c r="X2832">
        <v>0.9978496</v>
      </c>
      <c r="Y2832">
        <v>-9.5428479999999996E-2</v>
      </c>
      <c r="Z2832">
        <v>3.9668120000000001E-2</v>
      </c>
      <c r="AA2832">
        <v>0.99464560000000002</v>
      </c>
      <c r="AB2832">
        <v>26</v>
      </c>
      <c r="AC2832">
        <v>2.8233000000000099</v>
      </c>
      <c r="AD2832">
        <v>-1.110704036549</v>
      </c>
      <c r="AE2832">
        <v>-27.7012</v>
      </c>
      <c r="AF2832">
        <v>-2.6679267980521399</v>
      </c>
      <c r="AG2832">
        <v>-1.110704036549</v>
      </c>
      <c r="AH2832">
        <v>27.672156048709301</v>
      </c>
      <c r="AI2832">
        <v>92.287904801376499</v>
      </c>
      <c r="AJ2832">
        <v>95.506977543714896</v>
      </c>
      <c r="AK2832">
        <v>27.8226475598691</v>
      </c>
      <c r="AL2832">
        <v>88.012916453153807</v>
      </c>
      <c r="AM2832">
        <v>86.809448393024695</v>
      </c>
      <c r="AN2832">
        <v>1.0000000429404401</v>
      </c>
    </row>
    <row r="2833" spans="1:40" x14ac:dyDescent="0.25">
      <c r="A2833" t="str">
        <f>"20190312154850733"</f>
        <v>20190312154850733</v>
      </c>
      <c r="B2833" t="str">
        <f>"1552376930728527"</f>
        <v>1552376930728527</v>
      </c>
      <c r="C2833" t="s">
        <v>40</v>
      </c>
      <c r="D2833">
        <v>4.7141599999999997</v>
      </c>
      <c r="E2833">
        <v>0.44381350000000003</v>
      </c>
      <c r="F2833" t="s">
        <v>49</v>
      </c>
      <c r="G2833">
        <v>-489.08240000000001</v>
      </c>
      <c r="H2833" s="1">
        <v>5.933907E-6</v>
      </c>
      <c r="I2833">
        <v>228.11199999999999</v>
      </c>
      <c r="J2833">
        <v>-491.90609999999998</v>
      </c>
      <c r="K2833">
        <v>1.110716</v>
      </c>
      <c r="L2833">
        <v>255.77369999999999</v>
      </c>
      <c r="M2833">
        <v>5.9587520000000003E-3</v>
      </c>
      <c r="N2833">
        <v>0</v>
      </c>
      <c r="O2833">
        <v>-0.99989260000000002</v>
      </c>
      <c r="P2833">
        <v>-4.9349499999999998E-2</v>
      </c>
      <c r="Q2833">
        <v>2.1351709999999999E-2</v>
      </c>
      <c r="R2833">
        <v>-0.99855329999999998</v>
      </c>
      <c r="S2833">
        <v>0.30718990000000002</v>
      </c>
      <c r="T2833">
        <v>-0.1207801</v>
      </c>
      <c r="U2833">
        <v>-3.0225070000000001</v>
      </c>
      <c r="V2833">
        <v>5.5246709999999997E-2</v>
      </c>
      <c r="W2833">
        <v>3.4794289999999999E-2</v>
      </c>
      <c r="X2833">
        <v>0.99786629999999998</v>
      </c>
      <c r="Y2833">
        <v>-9.5102909999999999E-2</v>
      </c>
      <c r="Z2833">
        <v>3.9734659999999998E-2</v>
      </c>
      <c r="AA2833">
        <v>0.99467410000000001</v>
      </c>
      <c r="AB2833">
        <v>26</v>
      </c>
      <c r="AC2833">
        <v>2.8236999999999699</v>
      </c>
      <c r="AD2833">
        <v>-1.110710066093</v>
      </c>
      <c r="AE2833">
        <v>-27.6617</v>
      </c>
      <c r="AF2833">
        <v>-2.6545700691204002</v>
      </c>
      <c r="AG2833">
        <v>-1.110710066093</v>
      </c>
      <c r="AH2833">
        <v>27.633941551839602</v>
      </c>
      <c r="AI2833">
        <v>92.291154145827207</v>
      </c>
      <c r="AJ2833">
        <v>95.487106985776506</v>
      </c>
      <c r="AK2833">
        <v>27.783360934078502</v>
      </c>
      <c r="AL2833">
        <v>88.006031557499696</v>
      </c>
      <c r="AM2833">
        <v>86.831063457204394</v>
      </c>
      <c r="AN2833">
        <v>0.99999999712905896</v>
      </c>
    </row>
    <row r="2834" spans="1:40" x14ac:dyDescent="0.25">
      <c r="A2834" t="str">
        <f>"20190312154850744"</f>
        <v>20190312154850744</v>
      </c>
      <c r="B2834" t="str">
        <f>"1552376930738288"</f>
        <v>1552376930738288</v>
      </c>
      <c r="C2834" t="s">
        <v>40</v>
      </c>
      <c r="D2834">
        <v>4.7128059999999996</v>
      </c>
      <c r="E2834">
        <v>0.4439131</v>
      </c>
      <c r="F2834" t="s">
        <v>49</v>
      </c>
      <c r="G2834">
        <v>-489.05470000000003</v>
      </c>
      <c r="H2834" s="1">
        <v>5.8495730000000002E-6</v>
      </c>
      <c r="I2834">
        <v>227.86349999999999</v>
      </c>
      <c r="J2834">
        <v>-491.90460000000002</v>
      </c>
      <c r="K2834">
        <v>1.110724</v>
      </c>
      <c r="L2834">
        <v>255.6249</v>
      </c>
      <c r="M2834">
        <v>6.5245310000000001E-3</v>
      </c>
      <c r="N2834">
        <v>0</v>
      </c>
      <c r="O2834">
        <v>-0.99988929999999998</v>
      </c>
      <c r="P2834">
        <v>-4.8343070000000002E-2</v>
      </c>
      <c r="Q2834">
        <v>2.1557699999999999E-2</v>
      </c>
      <c r="R2834">
        <v>-0.99859819999999999</v>
      </c>
      <c r="S2834">
        <v>0.30874629999999997</v>
      </c>
      <c r="T2834">
        <v>-0.12026920000000001</v>
      </c>
      <c r="U2834">
        <v>-3.0221559999999998</v>
      </c>
      <c r="V2834">
        <v>5.4804609999999997E-2</v>
      </c>
      <c r="W2834">
        <v>3.4996340000000001E-2</v>
      </c>
      <c r="X2834">
        <v>0.99788359999999998</v>
      </c>
      <c r="Y2834">
        <v>-9.5058900000000002E-2</v>
      </c>
      <c r="Z2834">
        <v>3.9570229999999998E-2</v>
      </c>
      <c r="AA2834">
        <v>0.99468489999999998</v>
      </c>
      <c r="AB2834">
        <v>26</v>
      </c>
      <c r="AC2834">
        <v>2.8498999999999901</v>
      </c>
      <c r="AD2834">
        <v>-1.1107181504269901</v>
      </c>
      <c r="AE2834">
        <v>-27.761399999999998</v>
      </c>
      <c r="AF2834">
        <v>-2.6644723280220299</v>
      </c>
      <c r="AG2834">
        <v>-1.1107181504269901</v>
      </c>
      <c r="AH2834">
        <v>27.735470213299301</v>
      </c>
      <c r="AI2834">
        <v>92.282791449427904</v>
      </c>
      <c r="AJ2834">
        <v>95.487412422018807</v>
      </c>
      <c r="AK2834">
        <v>27.885290307782299</v>
      </c>
      <c r="AL2834">
        <v>87.994447864329103</v>
      </c>
      <c r="AM2834">
        <v>86.856425519708097</v>
      </c>
      <c r="AN2834">
        <v>0.99999998411980295</v>
      </c>
    </row>
    <row r="2835" spans="1:40" x14ac:dyDescent="0.25">
      <c r="A2835" t="str">
        <f>"20190312154850762"</f>
        <v>20190312154850762</v>
      </c>
      <c r="B2835" t="str">
        <f>"1552376930758784"</f>
        <v>1552376930758784</v>
      </c>
      <c r="C2835" t="s">
        <v>40</v>
      </c>
      <c r="D2835">
        <v>4.7207420000000004</v>
      </c>
      <c r="E2835">
        <v>0.44387890000000002</v>
      </c>
      <c r="F2835" t="s">
        <v>49</v>
      </c>
      <c r="G2835">
        <v>-489.02510000000001</v>
      </c>
      <c r="H2835" s="1">
        <v>5.7625089999999999E-6</v>
      </c>
      <c r="I2835">
        <v>227.6079</v>
      </c>
      <c r="J2835">
        <v>-491.90230000000003</v>
      </c>
      <c r="K2835">
        <v>1.110733</v>
      </c>
      <c r="L2835">
        <v>255.41980000000001</v>
      </c>
      <c r="M2835">
        <v>7.3111740000000001E-3</v>
      </c>
      <c r="N2835">
        <v>0</v>
      </c>
      <c r="O2835">
        <v>-0.99988379999999999</v>
      </c>
      <c r="P2835">
        <v>-4.637442E-2</v>
      </c>
      <c r="Q2835">
        <v>2.171296E-2</v>
      </c>
      <c r="R2835">
        <v>-0.99868800000000002</v>
      </c>
      <c r="S2835">
        <v>0.3105774</v>
      </c>
      <c r="T2835">
        <v>-0.11979960000000001</v>
      </c>
      <c r="U2835">
        <v>-3.0218509999999998</v>
      </c>
      <c r="V2835">
        <v>5.3621179999999997E-2</v>
      </c>
      <c r="W2835">
        <v>3.5146450000000003E-2</v>
      </c>
      <c r="X2835">
        <v>0.99794260000000001</v>
      </c>
      <c r="Y2835">
        <v>-9.4882960000000002E-2</v>
      </c>
      <c r="Z2835">
        <v>3.9418729999999999E-2</v>
      </c>
      <c r="AA2835">
        <v>0.99470769999999997</v>
      </c>
      <c r="AB2835">
        <v>26</v>
      </c>
      <c r="AC2835">
        <v>2.87720000000001</v>
      </c>
      <c r="AD2835">
        <v>-1.110727237491</v>
      </c>
      <c r="AE2835">
        <v>-27.811900000000001</v>
      </c>
      <c r="AF2835">
        <v>-2.6695544702725602</v>
      </c>
      <c r="AG2835">
        <v>-1.110727237491</v>
      </c>
      <c r="AH2835">
        <v>27.788341779282799</v>
      </c>
      <c r="AI2835">
        <v>92.2784712700429</v>
      </c>
      <c r="AJ2835">
        <v>95.487418372352906</v>
      </c>
      <c r="AK2835">
        <v>27.938363855245498</v>
      </c>
      <c r="AL2835">
        <v>87.985841868725004</v>
      </c>
      <c r="AM2835">
        <v>86.924356399374801</v>
      </c>
      <c r="AN2835">
        <v>0.99999996839347705</v>
      </c>
    </row>
    <row r="2836" spans="1:40" x14ac:dyDescent="0.25">
      <c r="A2836" t="str">
        <f>"20190312154850775"</f>
        <v>20190312154850775</v>
      </c>
      <c r="B2836" t="str">
        <f>"1552376930768543"</f>
        <v>1552376930768543</v>
      </c>
      <c r="C2836" t="s">
        <v>40</v>
      </c>
      <c r="D2836">
        <v>4.736199</v>
      </c>
      <c r="E2836">
        <v>0.44387890000000002</v>
      </c>
      <c r="F2836" t="s">
        <v>49</v>
      </c>
      <c r="G2836">
        <v>-488.9588</v>
      </c>
      <c r="H2836" s="1">
        <v>5.6732420000000001E-6</v>
      </c>
      <c r="I2836">
        <v>227.3767</v>
      </c>
      <c r="J2836">
        <v>-491.90069999999997</v>
      </c>
      <c r="K2836">
        <v>1.1107359999999999</v>
      </c>
      <c r="L2836">
        <v>255.2809</v>
      </c>
      <c r="M2836">
        <v>7.8469890000000004E-3</v>
      </c>
      <c r="N2836">
        <v>0</v>
      </c>
      <c r="O2836">
        <v>-0.99987999999999999</v>
      </c>
      <c r="P2836">
        <v>-4.5068549999999999E-2</v>
      </c>
      <c r="Q2836">
        <v>2.18525E-2</v>
      </c>
      <c r="R2836">
        <v>-0.99874499999999999</v>
      </c>
      <c r="S2836">
        <v>0.3171387</v>
      </c>
      <c r="T2836">
        <v>-0.1196682</v>
      </c>
      <c r="U2836">
        <v>-3.0213169999999998</v>
      </c>
      <c r="V2836">
        <v>5.2850189999999998E-2</v>
      </c>
      <c r="W2836">
        <v>3.5282269999999998E-2</v>
      </c>
      <c r="X2836">
        <v>0.99797899999999995</v>
      </c>
      <c r="Y2836">
        <v>-9.6504560000000003E-2</v>
      </c>
      <c r="Z2836">
        <v>3.9374779999999998E-2</v>
      </c>
      <c r="AA2836">
        <v>0.99455340000000003</v>
      </c>
      <c r="AB2836">
        <v>26</v>
      </c>
      <c r="AC2836">
        <v>2.9418999999999702</v>
      </c>
      <c r="AD2836">
        <v>-1.110730326758</v>
      </c>
      <c r="AE2836">
        <v>-27.904199999999999</v>
      </c>
      <c r="AF2836">
        <v>-2.71856584671198</v>
      </c>
      <c r="AG2836">
        <v>-1.110730326758</v>
      </c>
      <c r="AH2836">
        <v>27.882734747776698</v>
      </c>
      <c r="AI2836">
        <v>92.270460666063499</v>
      </c>
      <c r="AJ2836">
        <v>95.568735467470106</v>
      </c>
      <c r="AK2836">
        <v>28.036961660218498</v>
      </c>
      <c r="AL2836">
        <v>87.978055256502998</v>
      </c>
      <c r="AM2836">
        <v>86.968606695566706</v>
      </c>
      <c r="AN2836">
        <v>1.0000000328001899</v>
      </c>
    </row>
    <row r="2837" spans="1:40" x14ac:dyDescent="0.25">
      <c r="A2837" t="str">
        <f>"20190312154850790"</f>
        <v>20190312154850790</v>
      </c>
      <c r="B2837" t="str">
        <f>"1552376930778304"</f>
        <v>1552376930778304</v>
      </c>
      <c r="C2837" t="s">
        <v>40</v>
      </c>
      <c r="D2837">
        <v>4.7991710000000003</v>
      </c>
      <c r="E2837">
        <v>0.4270197</v>
      </c>
      <c r="F2837" t="s">
        <v>49</v>
      </c>
      <c r="G2837">
        <v>-488.91969999999998</v>
      </c>
      <c r="H2837" s="1">
        <v>5.6020989999999999E-6</v>
      </c>
      <c r="I2837">
        <v>227.1806</v>
      </c>
      <c r="J2837">
        <v>-491.89870000000002</v>
      </c>
      <c r="K2837">
        <v>1.1107450000000001</v>
      </c>
      <c r="L2837">
        <v>255.1131</v>
      </c>
      <c r="M2837">
        <v>8.4954479999999992E-3</v>
      </c>
      <c r="N2837">
        <v>0</v>
      </c>
      <c r="O2837">
        <v>-0.9998745</v>
      </c>
      <c r="P2837">
        <v>-4.3919180000000002E-2</v>
      </c>
      <c r="Q2837">
        <v>2.1951809999999999E-2</v>
      </c>
      <c r="R2837">
        <v>-0.99879379999999995</v>
      </c>
      <c r="S2837">
        <v>0.3204651</v>
      </c>
      <c r="T2837">
        <v>-0.1194062</v>
      </c>
      <c r="U2837">
        <v>-3.0208439999999999</v>
      </c>
      <c r="V2837">
        <v>5.2348220000000001E-2</v>
      </c>
      <c r="W2837">
        <v>3.5378060000000003E-2</v>
      </c>
      <c r="X2837">
        <v>0.9980021</v>
      </c>
      <c r="Y2837">
        <v>-9.6958639999999999E-2</v>
      </c>
      <c r="Z2837">
        <v>3.9291359999999997E-2</v>
      </c>
      <c r="AA2837">
        <v>0.99451259999999997</v>
      </c>
      <c r="AB2837">
        <v>25</v>
      </c>
      <c r="AC2837">
        <v>2.9790000000000401</v>
      </c>
      <c r="AD2837">
        <v>-1.1107393979009901</v>
      </c>
      <c r="AE2837">
        <v>-27.932500000000001</v>
      </c>
      <c r="AF2837">
        <v>-2.73729245043031</v>
      </c>
      <c r="AG2837">
        <v>-1.1107393979009901</v>
      </c>
      <c r="AH2837">
        <v>27.913160301742899</v>
      </c>
      <c r="AI2837">
        <v>92.267883039838097</v>
      </c>
      <c r="AJ2837">
        <v>95.600778987263794</v>
      </c>
      <c r="AK2837">
        <v>28.0690404182264</v>
      </c>
      <c r="AL2837">
        <v>87.972563535658196</v>
      </c>
      <c r="AM2837">
        <v>86.997415239259894</v>
      </c>
      <c r="AN2837">
        <v>1.0000000674354601</v>
      </c>
    </row>
    <row r="2838" spans="1:40" x14ac:dyDescent="0.25">
      <c r="A2838" t="str">
        <f>"20190312154850808"</f>
        <v>20190312154850808</v>
      </c>
      <c r="B2838" t="str">
        <f>"1552376930798799"</f>
        <v>1552376930798799</v>
      </c>
      <c r="C2838" t="s">
        <v>40</v>
      </c>
      <c r="D2838">
        <v>4.6814200000000001</v>
      </c>
      <c r="E2838">
        <v>0.42623939999999999</v>
      </c>
      <c r="F2838" t="s">
        <v>49</v>
      </c>
      <c r="G2838">
        <v>-487.36009999999999</v>
      </c>
      <c r="H2838" s="1">
        <v>4.6222319999999996E-6</v>
      </c>
      <c r="I2838">
        <v>225.13329999999999</v>
      </c>
      <c r="J2838">
        <v>-491.89609999999999</v>
      </c>
      <c r="K2838">
        <v>1.110752</v>
      </c>
      <c r="L2838">
        <v>254.9084</v>
      </c>
      <c r="M2838">
        <v>9.2888669999999993E-3</v>
      </c>
      <c r="N2838">
        <v>0</v>
      </c>
      <c r="O2838">
        <v>-0.99986759999999997</v>
      </c>
      <c r="P2838">
        <v>-4.1434150000000003E-2</v>
      </c>
      <c r="Q2838">
        <v>2.231849E-2</v>
      </c>
      <c r="R2838">
        <v>-0.99889190000000005</v>
      </c>
      <c r="S2838">
        <v>0.45812989999999998</v>
      </c>
      <c r="T2838">
        <v>-0.11212</v>
      </c>
      <c r="U2838">
        <v>-3.0262150000000001</v>
      </c>
      <c r="V2838">
        <v>5.0655510000000001E-2</v>
      </c>
      <c r="W2838">
        <v>3.5739739999999999E-2</v>
      </c>
      <c r="X2838">
        <v>0.99807650000000003</v>
      </c>
      <c r="Y2838">
        <v>-0.14038970000000001</v>
      </c>
      <c r="Z2838">
        <v>3.6630070000000001E-2</v>
      </c>
      <c r="AA2838">
        <v>0.98941849999999998</v>
      </c>
      <c r="AB2838">
        <v>25</v>
      </c>
      <c r="AC2838">
        <v>4.5359999999999996</v>
      </c>
      <c r="AD2838">
        <v>-1.1107473777679999</v>
      </c>
      <c r="AE2838">
        <v>-29.775099999999998</v>
      </c>
      <c r="AF2838">
        <v>-4.25341770812972</v>
      </c>
      <c r="AG2838">
        <v>-1.1107473777679999</v>
      </c>
      <c r="AH2838">
        <v>29.775456658271398</v>
      </c>
      <c r="AI2838">
        <v>92.114928423690699</v>
      </c>
      <c r="AJ2838">
        <v>98.129689449074107</v>
      </c>
      <c r="AK2838">
        <v>30.098224883631399</v>
      </c>
      <c r="AL2838">
        <v>87.951827557308903</v>
      </c>
      <c r="AM2838">
        <v>87.0945526284914</v>
      </c>
      <c r="AN2838">
        <v>1.0000000047804301</v>
      </c>
    </row>
    <row r="2839" spans="1:40" x14ac:dyDescent="0.25">
      <c r="A2839" t="str">
        <f>"20190312154850829"</f>
        <v>20190312154850829</v>
      </c>
      <c r="B2839" t="str">
        <f>"1552376930818319"</f>
        <v>1552376930818319</v>
      </c>
      <c r="C2839" t="s">
        <v>40</v>
      </c>
      <c r="D2839">
        <v>4.699891</v>
      </c>
      <c r="E2839">
        <v>0.4259404</v>
      </c>
      <c r="F2839" t="s">
        <v>49</v>
      </c>
      <c r="G2839">
        <v>-487.34339999999997</v>
      </c>
      <c r="H2839" s="1">
        <v>4.7532590000000002E-6</v>
      </c>
      <c r="I2839">
        <v>225.74260000000001</v>
      </c>
      <c r="J2839">
        <v>-491.89280000000002</v>
      </c>
      <c r="K2839">
        <v>1.1107579999999999</v>
      </c>
      <c r="L2839">
        <v>254.6713</v>
      </c>
      <c r="M2839">
        <v>1.0209289999999999E-2</v>
      </c>
      <c r="N2839">
        <v>0</v>
      </c>
      <c r="O2839">
        <v>-0.99985880000000005</v>
      </c>
      <c r="P2839">
        <v>-3.9241489999999997E-2</v>
      </c>
      <c r="Q2839">
        <v>2.268773E-2</v>
      </c>
      <c r="R2839">
        <v>-0.99897239999999998</v>
      </c>
      <c r="S2839">
        <v>0.4722595</v>
      </c>
      <c r="T2839">
        <v>-0.11522159999999999</v>
      </c>
      <c r="U2839">
        <v>-3.0254669999999999</v>
      </c>
      <c r="V2839">
        <v>4.9382000000000002E-2</v>
      </c>
      <c r="W2839">
        <v>3.610381E-2</v>
      </c>
      <c r="X2839">
        <v>0.99812719999999999</v>
      </c>
      <c r="Y2839">
        <v>-0.14402190000000001</v>
      </c>
      <c r="Z2839">
        <v>3.762749E-2</v>
      </c>
      <c r="AA2839">
        <v>0.98885889999999999</v>
      </c>
      <c r="AB2839">
        <v>25</v>
      </c>
      <c r="AC2839">
        <v>4.5494000000000403</v>
      </c>
      <c r="AD2839">
        <v>-1.110753246741</v>
      </c>
      <c r="AE2839">
        <v>-28.9286999999999</v>
      </c>
      <c r="AF2839">
        <v>-4.2476839607909902</v>
      </c>
      <c r="AG2839">
        <v>-1.110753246741</v>
      </c>
      <c r="AH2839">
        <v>28.932018151567</v>
      </c>
      <c r="AI2839">
        <v>92.175313667552899</v>
      </c>
      <c r="AJ2839">
        <v>98.352268916767301</v>
      </c>
      <c r="AK2839">
        <v>29.263257954788799</v>
      </c>
      <c r="AL2839">
        <v>87.930954375026701</v>
      </c>
      <c r="AM2839">
        <v>87.167620481753801</v>
      </c>
      <c r="AN2839">
        <v>0.99999998720017802</v>
      </c>
    </row>
    <row r="2840" spans="1:40" x14ac:dyDescent="0.25">
      <c r="A2840" t="str">
        <f>"20190312154850840"</f>
        <v>20190312154850840</v>
      </c>
      <c r="B2840" t="str">
        <f>"1552376930829056"</f>
        <v>1552376930829056</v>
      </c>
      <c r="C2840" t="s">
        <v>40</v>
      </c>
      <c r="D2840">
        <v>4.676863</v>
      </c>
      <c r="E2840">
        <v>0.42616219999999999</v>
      </c>
      <c r="F2840" t="s">
        <v>49</v>
      </c>
      <c r="G2840">
        <v>-487.33699999999999</v>
      </c>
      <c r="H2840" s="1">
        <v>4.8321730000000004E-6</v>
      </c>
      <c r="I2840">
        <v>226.0547</v>
      </c>
      <c r="J2840">
        <v>-491.89069999999998</v>
      </c>
      <c r="K2840">
        <v>1.1107610000000001</v>
      </c>
      <c r="L2840">
        <v>254.5301</v>
      </c>
      <c r="M2840">
        <v>1.075714E-2</v>
      </c>
      <c r="N2840">
        <v>0</v>
      </c>
      <c r="O2840">
        <v>-0.99985310000000005</v>
      </c>
      <c r="P2840">
        <v>-3.8500430000000002E-2</v>
      </c>
      <c r="Q2840">
        <v>2.263766E-2</v>
      </c>
      <c r="R2840">
        <v>-0.99900230000000001</v>
      </c>
      <c r="S2840">
        <v>0.48153689999999999</v>
      </c>
      <c r="T2840">
        <v>-0.1174027</v>
      </c>
      <c r="U2840">
        <v>-3.0246729999999999</v>
      </c>
      <c r="V2840">
        <v>4.9188379999999997E-2</v>
      </c>
      <c r="W2840">
        <v>3.605092E-2</v>
      </c>
      <c r="X2840">
        <v>0.99813870000000005</v>
      </c>
      <c r="Y2840">
        <v>-0.14647399999999999</v>
      </c>
      <c r="Z2840">
        <v>3.8332270000000002E-2</v>
      </c>
      <c r="AA2840">
        <v>0.98847160000000001</v>
      </c>
      <c r="AB2840">
        <v>25</v>
      </c>
      <c r="AC2840">
        <v>4.5536999999999903</v>
      </c>
      <c r="AD2840">
        <v>-1.1107561678269999</v>
      </c>
      <c r="AE2840">
        <v>-28.4754</v>
      </c>
      <c r="AF2840">
        <v>-4.2408034759541398</v>
      </c>
      <c r="AG2840">
        <v>-1.1107561678269999</v>
      </c>
      <c r="AH2840">
        <v>28.4804862465671</v>
      </c>
      <c r="AI2840">
        <v>92.209106906758194</v>
      </c>
      <c r="AJ2840">
        <v>98.469233458546697</v>
      </c>
      <c r="AK2840">
        <v>28.8159034254858</v>
      </c>
      <c r="AL2840">
        <v>87.933986780360101</v>
      </c>
      <c r="AM2840">
        <v>87.1787403257227</v>
      </c>
      <c r="AN2840">
        <v>1.00000001499878</v>
      </c>
    </row>
    <row r="2841" spans="1:40" x14ac:dyDescent="0.25">
      <c r="A2841" t="str">
        <f>"20190312154850852"</f>
        <v>20190312154850852</v>
      </c>
      <c r="B2841" t="str">
        <f>"1552376930838815"</f>
        <v>1552376930838815</v>
      </c>
      <c r="C2841" t="s">
        <v>40</v>
      </c>
      <c r="D2841">
        <v>4.6677580000000001</v>
      </c>
      <c r="E2841">
        <v>0.42637039999999998</v>
      </c>
      <c r="F2841" t="s">
        <v>49</v>
      </c>
      <c r="G2841">
        <v>-487.5317</v>
      </c>
      <c r="H2841" s="1">
        <v>5.22961199999999E-6</v>
      </c>
      <c r="I2841">
        <v>227.1703</v>
      </c>
      <c r="J2841">
        <v>-491.8888</v>
      </c>
      <c r="K2841">
        <v>1.110762</v>
      </c>
      <c r="L2841">
        <v>254.4006</v>
      </c>
      <c r="M2841">
        <v>1.125962E-2</v>
      </c>
      <c r="N2841">
        <v>0</v>
      </c>
      <c r="O2841">
        <v>-0.99984759999999995</v>
      </c>
      <c r="P2841">
        <v>-3.760177E-2</v>
      </c>
      <c r="Q2841">
        <v>2.278351E-2</v>
      </c>
      <c r="R2841">
        <v>-0.99903310000000001</v>
      </c>
      <c r="S2841">
        <v>0.48184199999999999</v>
      </c>
      <c r="T2841">
        <v>-0.1227825</v>
      </c>
      <c r="U2841">
        <v>-3.0243380000000002</v>
      </c>
      <c r="V2841">
        <v>4.8791620000000001E-2</v>
      </c>
      <c r="W2841">
        <v>3.6194829999999997E-2</v>
      </c>
      <c r="X2841">
        <v>0.99815299999999996</v>
      </c>
      <c r="Y2841">
        <v>-0.1460804</v>
      </c>
      <c r="Z2841">
        <v>4.0090899999999999E-2</v>
      </c>
      <c r="AA2841">
        <v>0.98846009999999995</v>
      </c>
      <c r="AB2841">
        <v>25</v>
      </c>
      <c r="AC2841">
        <v>4.3571</v>
      </c>
      <c r="AD2841">
        <v>-1.1107567703879999</v>
      </c>
      <c r="AE2841">
        <v>-27.2303</v>
      </c>
      <c r="AF2841">
        <v>-4.0436332976959397</v>
      </c>
      <c r="AG2841">
        <v>-1.1107567703879999</v>
      </c>
      <c r="AH2841">
        <v>27.233454042487001</v>
      </c>
      <c r="AI2841">
        <v>92.310298537362399</v>
      </c>
      <c r="AJ2841">
        <v>98.445594158489897</v>
      </c>
      <c r="AK2841">
        <v>27.554414708598799</v>
      </c>
      <c r="AL2841">
        <v>87.925736031916003</v>
      </c>
      <c r="AM2841">
        <v>87.201500686752098</v>
      </c>
      <c r="AN2841">
        <v>1.0000000496549699</v>
      </c>
    </row>
    <row r="2842" spans="1:40" x14ac:dyDescent="0.25">
      <c r="A2842" t="str">
        <f>"20190312154850865"</f>
        <v>20190312154850865</v>
      </c>
      <c r="B2842" t="str">
        <f>"1552376930858336"</f>
        <v>1552376930858336</v>
      </c>
      <c r="C2842" t="s">
        <v>40</v>
      </c>
      <c r="D2842">
        <v>4.704631</v>
      </c>
      <c r="E2842">
        <v>0.42662280000000002</v>
      </c>
      <c r="F2842" t="s">
        <v>49</v>
      </c>
      <c r="G2842">
        <v>-487.67579999999998</v>
      </c>
      <c r="H2842" s="1">
        <v>5.5334640000000003E-6</v>
      </c>
      <c r="I2842">
        <v>228.0274</v>
      </c>
      <c r="J2842">
        <v>-491.88659999999999</v>
      </c>
      <c r="K2842">
        <v>1.1107629999999999</v>
      </c>
      <c r="L2842">
        <v>254.2595</v>
      </c>
      <c r="M2842">
        <v>1.180674E-2</v>
      </c>
      <c r="N2842">
        <v>0</v>
      </c>
      <c r="O2842">
        <v>-0.99984119999999999</v>
      </c>
      <c r="P2842">
        <v>-3.6883260000000001E-2</v>
      </c>
      <c r="Q2842">
        <v>2.3032939999999998E-2</v>
      </c>
      <c r="R2842">
        <v>-0.99905429999999995</v>
      </c>
      <c r="S2842">
        <v>0.48306270000000001</v>
      </c>
      <c r="T2842">
        <v>-0.12736030000000001</v>
      </c>
      <c r="U2842">
        <v>-3.0239720000000001</v>
      </c>
      <c r="V2842">
        <v>4.8619349999999999E-2</v>
      </c>
      <c r="W2842">
        <v>3.6441670000000002E-2</v>
      </c>
      <c r="X2842">
        <v>0.99815240000000005</v>
      </c>
      <c r="Y2842">
        <v>-0.14593709999999999</v>
      </c>
      <c r="Z2842">
        <v>4.1586810000000002E-2</v>
      </c>
      <c r="AA2842">
        <v>0.98841939999999995</v>
      </c>
      <c r="AB2842">
        <v>25</v>
      </c>
      <c r="AC2842">
        <v>4.2107999999999999</v>
      </c>
      <c r="AD2842">
        <v>-1.110757466536</v>
      </c>
      <c r="AE2842">
        <v>-26.232099999999999</v>
      </c>
      <c r="AF2842">
        <v>-3.8939569084526502</v>
      </c>
      <c r="AG2842">
        <v>-1.110757466536</v>
      </c>
      <c r="AH2842">
        <v>26.234136101458901</v>
      </c>
      <c r="AI2842">
        <v>92.398220903520098</v>
      </c>
      <c r="AJ2842">
        <v>98.442821946724806</v>
      </c>
      <c r="AK2842">
        <v>26.5448032493033</v>
      </c>
      <c r="AL2842">
        <v>87.911583754412902</v>
      </c>
      <c r="AM2842">
        <v>87.211364132328896</v>
      </c>
      <c r="AN2842">
        <v>1.0000000250662799</v>
      </c>
    </row>
    <row r="2843" spans="1:40" x14ac:dyDescent="0.25">
      <c r="A2843" t="str">
        <f>"20190312154850875"</f>
        <v>20190312154850875</v>
      </c>
      <c r="B2843" t="str">
        <f>"1552376930868096"</f>
        <v>1552376930868096</v>
      </c>
      <c r="C2843" t="s">
        <v>40</v>
      </c>
      <c r="D2843">
        <v>4.7097680000000004</v>
      </c>
      <c r="E2843">
        <v>0.426842</v>
      </c>
      <c r="F2843" t="s">
        <v>49</v>
      </c>
      <c r="G2843">
        <v>-487.79599999999999</v>
      </c>
      <c r="H2843" s="1">
        <v>5.7642060000000004E-6</v>
      </c>
      <c r="I2843">
        <v>228.66909999999999</v>
      </c>
      <c r="J2843">
        <v>-491.88459999999998</v>
      </c>
      <c r="K2843">
        <v>1.110765</v>
      </c>
      <c r="L2843">
        <v>254.13319999999999</v>
      </c>
      <c r="M2843">
        <v>1.2296130000000001E-2</v>
      </c>
      <c r="N2843">
        <v>0</v>
      </c>
      <c r="O2843">
        <v>-0.99983520000000004</v>
      </c>
      <c r="P2843">
        <v>-3.6498740000000002E-2</v>
      </c>
      <c r="Q2843">
        <v>2.307878E-2</v>
      </c>
      <c r="R2843">
        <v>-0.99906709999999999</v>
      </c>
      <c r="S2843">
        <v>0.48333739999999997</v>
      </c>
      <c r="T2843">
        <v>-0.13124469999999999</v>
      </c>
      <c r="U2843">
        <v>-3.0237120000000002</v>
      </c>
      <c r="V2843">
        <v>4.8723710000000003E-2</v>
      </c>
      <c r="W2843">
        <v>3.6485980000000001E-2</v>
      </c>
      <c r="X2843">
        <v>0.99814559999999997</v>
      </c>
      <c r="Y2843">
        <v>-0.14554510000000001</v>
      </c>
      <c r="Z2843">
        <v>4.2857010000000001E-2</v>
      </c>
      <c r="AA2843">
        <v>0.98842289999999999</v>
      </c>
      <c r="AB2843">
        <v>25</v>
      </c>
      <c r="AC2843">
        <v>4.08859999999998</v>
      </c>
      <c r="AD2843">
        <v>-1.1107592357939999</v>
      </c>
      <c r="AE2843">
        <v>-25.464099999999998</v>
      </c>
      <c r="AF2843">
        <v>-3.7681633333217199</v>
      </c>
      <c r="AG2843">
        <v>-1.1107592357939999</v>
      </c>
      <c r="AH2843">
        <v>25.465216679652698</v>
      </c>
      <c r="AI2843">
        <v>92.470714316251502</v>
      </c>
      <c r="AJ2843">
        <v>98.417146458929096</v>
      </c>
      <c r="AK2843">
        <v>25.766453025749499</v>
      </c>
      <c r="AL2843">
        <v>87.909043095844396</v>
      </c>
      <c r="AM2843">
        <v>87.205368878027002</v>
      </c>
      <c r="AN2843">
        <v>0.99999993272603904</v>
      </c>
    </row>
    <row r="2844" spans="1:40" x14ac:dyDescent="0.25">
      <c r="A2844" t="str">
        <f>"20190312154850888"</f>
        <v>20190312154850888</v>
      </c>
      <c r="B2844" t="str">
        <f>"1552376930878832"</f>
        <v>1552376930878832</v>
      </c>
      <c r="C2844" t="s">
        <v>40</v>
      </c>
      <c r="D2844">
        <v>4.6985549999999998</v>
      </c>
      <c r="E2844">
        <v>0.42709829999999999</v>
      </c>
      <c r="F2844" t="s">
        <v>49</v>
      </c>
      <c r="G2844">
        <v>-487.846</v>
      </c>
      <c r="H2844" s="1">
        <v>5.8309749999999997E-6</v>
      </c>
      <c r="I2844">
        <v>228.8416</v>
      </c>
      <c r="J2844">
        <v>-491.88240000000002</v>
      </c>
      <c r="K2844">
        <v>1.1107610000000001</v>
      </c>
      <c r="L2844">
        <v>253.99979999999999</v>
      </c>
      <c r="M2844">
        <v>1.2813039999999999E-2</v>
      </c>
      <c r="N2844">
        <v>0</v>
      </c>
      <c r="O2844">
        <v>-0.99982899999999997</v>
      </c>
      <c r="P2844">
        <v>-3.5905909999999999E-2</v>
      </c>
      <c r="Q2844">
        <v>2.3370660000000001E-2</v>
      </c>
      <c r="R2844">
        <v>-0.99908200000000003</v>
      </c>
      <c r="S2844">
        <v>0.4827881</v>
      </c>
      <c r="T2844">
        <v>-0.13278509999999999</v>
      </c>
      <c r="U2844">
        <v>-3.0234679999999998</v>
      </c>
      <c r="V2844">
        <v>4.864686E-2</v>
      </c>
      <c r="W2844">
        <v>3.6775700000000001E-2</v>
      </c>
      <c r="X2844">
        <v>0.99813879999999999</v>
      </c>
      <c r="Y2844">
        <v>-0.14486749999999901</v>
      </c>
      <c r="Z2844">
        <v>4.3364880000000001E-2</v>
      </c>
      <c r="AA2844">
        <v>0.98850039999999995</v>
      </c>
      <c r="AB2844">
        <v>25</v>
      </c>
      <c r="AC2844">
        <v>4.0364000000000102</v>
      </c>
      <c r="AD2844">
        <v>-1.1107551690249999</v>
      </c>
      <c r="AE2844">
        <v>-25.158199999999901</v>
      </c>
      <c r="AF2844">
        <v>-3.70664288956897</v>
      </c>
      <c r="AG2844">
        <v>-1.1107551690249999</v>
      </c>
      <c r="AH2844">
        <v>25.160043973368001</v>
      </c>
      <c r="AI2844">
        <v>92.500870005713594</v>
      </c>
      <c r="AJ2844">
        <v>98.380678458817698</v>
      </c>
      <c r="AK2844">
        <v>25.455859665273898</v>
      </c>
      <c r="AL2844">
        <v>87.892432390103707</v>
      </c>
      <c r="AM2844">
        <v>87.209750790165501</v>
      </c>
      <c r="AN2844">
        <v>1.0000000165818901</v>
      </c>
    </row>
    <row r="2845" spans="1:40" x14ac:dyDescent="0.25">
      <c r="A2845" t="str">
        <f>"20190312154850900"</f>
        <v>20190312154850900</v>
      </c>
      <c r="B2845" t="str">
        <f>"1552376930888592"</f>
        <v>1552376930888592</v>
      </c>
      <c r="C2845" t="s">
        <v>40</v>
      </c>
      <c r="D2845">
        <v>4.6831230000000001</v>
      </c>
      <c r="E2845">
        <v>0.42732609999999899</v>
      </c>
      <c r="F2845" t="s">
        <v>49</v>
      </c>
      <c r="G2845">
        <v>-487.84789999999998</v>
      </c>
      <c r="H2845" s="1">
        <v>5.79867899999999E-6</v>
      </c>
      <c r="I2845">
        <v>228.73580000000001</v>
      </c>
      <c r="J2845">
        <v>-491.88</v>
      </c>
      <c r="K2845">
        <v>1.110762</v>
      </c>
      <c r="L2845">
        <v>253.86009999999999</v>
      </c>
      <c r="M2845">
        <v>1.335329E-2</v>
      </c>
      <c r="N2845">
        <v>0</v>
      </c>
      <c r="O2845">
        <v>-0.99982179999999998</v>
      </c>
      <c r="P2845">
        <v>-3.5332019999999999E-2</v>
      </c>
      <c r="Q2845">
        <v>2.3233110000000001E-2</v>
      </c>
      <c r="R2845">
        <v>-0.99910580000000004</v>
      </c>
      <c r="S2845">
        <v>0.4827881</v>
      </c>
      <c r="T2845">
        <v>-0.1329176</v>
      </c>
      <c r="U2845">
        <v>-3.023193</v>
      </c>
      <c r="V2845">
        <v>4.8613099999999999E-2</v>
      </c>
      <c r="W2845">
        <v>3.6636559999999999E-2</v>
      </c>
      <c r="X2845">
        <v>0.99814550000000002</v>
      </c>
      <c r="Y2845">
        <v>-0.14434649999999999</v>
      </c>
      <c r="Z2845">
        <v>4.3413189999999997E-2</v>
      </c>
      <c r="AA2845">
        <v>0.98857439999999996</v>
      </c>
      <c r="AB2845">
        <v>25</v>
      </c>
      <c r="AC2845">
        <v>4.0321000000000096</v>
      </c>
      <c r="AD2845">
        <v>-1.1107562013209999</v>
      </c>
      <c r="AE2845">
        <v>-25.124299999999899</v>
      </c>
      <c r="AF2845">
        <v>-3.6891888062344198</v>
      </c>
      <c r="AG2845">
        <v>-1.1107562013209999</v>
      </c>
      <c r="AH2845">
        <v>25.1280250545685</v>
      </c>
      <c r="AI2845">
        <v>92.504237454845295</v>
      </c>
      <c r="AJ2845">
        <v>98.352251058265296</v>
      </c>
      <c r="AK2845">
        <v>25.421674542205899</v>
      </c>
      <c r="AL2845">
        <v>87.900409771605595</v>
      </c>
      <c r="AM2845">
        <v>87.211702800279198</v>
      </c>
      <c r="AN2845">
        <v>0.99999995509524497</v>
      </c>
    </row>
    <row r="2846" spans="1:40" x14ac:dyDescent="0.25">
      <c r="A2846" t="str">
        <f>"20190312154850917"</f>
        <v>20190312154850917</v>
      </c>
      <c r="B2846" t="str">
        <f>"1552376930908111"</f>
        <v>1552376930908111</v>
      </c>
      <c r="C2846" t="s">
        <v>40</v>
      </c>
      <c r="D2846">
        <v>4.6715269999999904</v>
      </c>
      <c r="E2846">
        <v>0.42733690000000002</v>
      </c>
      <c r="F2846" t="s">
        <v>49</v>
      </c>
      <c r="G2846">
        <v>-487.92009999999999</v>
      </c>
      <c r="H2846" s="1">
        <v>5.9142519999999998E-6</v>
      </c>
      <c r="I2846">
        <v>229.04689999999999</v>
      </c>
      <c r="J2846">
        <v>-491.87650000000002</v>
      </c>
      <c r="K2846">
        <v>1.1107640000000001</v>
      </c>
      <c r="L2846">
        <v>253.66290000000001</v>
      </c>
      <c r="M2846">
        <v>1.411606E-2</v>
      </c>
      <c r="N2846">
        <v>0</v>
      </c>
      <c r="O2846">
        <v>-0.99981160000000002</v>
      </c>
      <c r="P2846">
        <v>-3.478142E-2</v>
      </c>
      <c r="Q2846">
        <v>2.3114369999999999E-2</v>
      </c>
      <c r="R2846">
        <v>-0.99912820000000002</v>
      </c>
      <c r="S2846">
        <v>0.48242190000000001</v>
      </c>
      <c r="T2846">
        <v>-0.13531840000000001</v>
      </c>
      <c r="U2846">
        <v>-3.022888</v>
      </c>
      <c r="V2846">
        <v>4.8824890000000003E-2</v>
      </c>
      <c r="W2846">
        <v>3.651505E-2</v>
      </c>
      <c r="X2846">
        <v>0.99813969999999996</v>
      </c>
      <c r="Y2846">
        <v>-0.1434849</v>
      </c>
      <c r="Z2846">
        <v>4.4202680000000001E-2</v>
      </c>
      <c r="AA2846">
        <v>0.98866489999999996</v>
      </c>
      <c r="AB2846">
        <v>25</v>
      </c>
      <c r="AC2846">
        <v>3.9564000000000301</v>
      </c>
      <c r="AD2846">
        <v>-1.1107580857479999</v>
      </c>
      <c r="AE2846">
        <v>-24.616</v>
      </c>
      <c r="AF2846">
        <v>-3.60134582249322</v>
      </c>
      <c r="AG2846">
        <v>-1.1107580857479999</v>
      </c>
      <c r="AH2846">
        <v>24.620532597933298</v>
      </c>
      <c r="AI2846">
        <v>92.555991138265796</v>
      </c>
      <c r="AJ2846">
        <v>98.321870611062195</v>
      </c>
      <c r="AK2846">
        <v>24.907310185247599</v>
      </c>
      <c r="AL2846">
        <v>87.907376620825801</v>
      </c>
      <c r="AM2846">
        <v>87.199558228921106</v>
      </c>
      <c r="AN2846">
        <v>1.00000003973805</v>
      </c>
    </row>
    <row r="2847" spans="1:40" x14ac:dyDescent="0.25">
      <c r="A2847" t="str">
        <f>"20190312154850930"</f>
        <v>20190312154850930</v>
      </c>
      <c r="B2847" t="str">
        <f>"1552376930918847"</f>
        <v>1552376930918847</v>
      </c>
      <c r="C2847" t="s">
        <v>40</v>
      </c>
      <c r="D2847">
        <v>4.8038639999999999</v>
      </c>
      <c r="E2847">
        <v>0.42733690000000002</v>
      </c>
      <c r="F2847" t="s">
        <v>49</v>
      </c>
      <c r="G2847">
        <v>-487.91989999999998</v>
      </c>
      <c r="H2847" s="1">
        <v>5.8825750000000002E-6</v>
      </c>
      <c r="I2847">
        <v>228.94479999999999</v>
      </c>
      <c r="J2847">
        <v>-491.87389999999999</v>
      </c>
      <c r="K2847">
        <v>1.1107629999999999</v>
      </c>
      <c r="L2847">
        <v>253.52260000000001</v>
      </c>
      <c r="M2847">
        <v>1.46588E-2</v>
      </c>
      <c r="N2847">
        <v>0</v>
      </c>
      <c r="O2847">
        <v>-0.99980369999999996</v>
      </c>
      <c r="P2847">
        <v>-3.4319130000000003E-2</v>
      </c>
      <c r="Q2847">
        <v>2.3142490000000002E-2</v>
      </c>
      <c r="R2847">
        <v>-0.999143</v>
      </c>
      <c r="S2847">
        <v>0.48382570000000003</v>
      </c>
      <c r="T2847">
        <v>-0.13582710000000001</v>
      </c>
      <c r="U2847">
        <v>-3.0226139999999999</v>
      </c>
      <c r="V2847">
        <v>4.8904929999999999E-2</v>
      </c>
      <c r="W2847">
        <v>3.6541740000000003E-2</v>
      </c>
      <c r="X2847">
        <v>0.99813479999999999</v>
      </c>
      <c r="Y2847">
        <v>-0.14340820000000001</v>
      </c>
      <c r="Z2847">
        <v>4.4370600000000003E-2</v>
      </c>
      <c r="AA2847">
        <v>0.9886684</v>
      </c>
      <c r="AB2847">
        <v>25</v>
      </c>
      <c r="AC2847">
        <v>3.9540000000000002</v>
      </c>
      <c r="AD2847">
        <v>-1.1107571174249999</v>
      </c>
      <c r="AE2847">
        <v>-24.5778</v>
      </c>
      <c r="AF2847">
        <v>-3.5861223135377398</v>
      </c>
      <c r="AG2847">
        <v>-1.1107571174249999</v>
      </c>
      <c r="AH2847">
        <v>24.584179515136501</v>
      </c>
      <c r="AI2847">
        <v>92.559910802611697</v>
      </c>
      <c r="AJ2847">
        <v>98.299266061137999</v>
      </c>
      <c r="AK2847">
        <v>24.869176445029801</v>
      </c>
      <c r="AL2847">
        <v>87.90584636525</v>
      </c>
      <c r="AM2847">
        <v>87.194960964523901</v>
      </c>
      <c r="AN2847">
        <v>1.00000003495578</v>
      </c>
    </row>
    <row r="2848" spans="1:40" x14ac:dyDescent="0.25">
      <c r="A2848" t="str">
        <f>"20190312154850942"</f>
        <v>20190312154850942</v>
      </c>
      <c r="B2848" t="str">
        <f>"1552376930938367"</f>
        <v>1552376930938367</v>
      </c>
      <c r="C2848" t="s">
        <v>40</v>
      </c>
      <c r="D2848">
        <v>4.8126290000000003</v>
      </c>
      <c r="E2848">
        <v>0.39506790000000003</v>
      </c>
      <c r="F2848" t="s">
        <v>49</v>
      </c>
      <c r="G2848">
        <v>-487.9067</v>
      </c>
      <c r="H2848" s="1">
        <v>5.8384730000000004E-6</v>
      </c>
      <c r="I2848">
        <v>228.81370000000001</v>
      </c>
      <c r="J2848">
        <v>-491.87130000000002</v>
      </c>
      <c r="K2848">
        <v>1.1107629999999999</v>
      </c>
      <c r="L2848">
        <v>253.38650000000001</v>
      </c>
      <c r="M2848">
        <v>1.5184639999999999E-2</v>
      </c>
      <c r="N2848">
        <v>0</v>
      </c>
      <c r="O2848">
        <v>-0.99979589999999996</v>
      </c>
      <c r="P2848">
        <v>-3.3763099999999997E-2</v>
      </c>
      <c r="Q2848">
        <v>2.2976159999999999E-2</v>
      </c>
      <c r="R2848">
        <v>-0.999166</v>
      </c>
      <c r="S2848">
        <v>0.48526000000000002</v>
      </c>
      <c r="T2848">
        <v>-0.13586770000000001</v>
      </c>
      <c r="U2848">
        <v>-3.0223849999999999</v>
      </c>
      <c r="V2848">
        <v>4.8874790000000001E-2</v>
      </c>
      <c r="W2848">
        <v>3.6373519999999999E-2</v>
      </c>
      <c r="X2848">
        <v>0.99814239999999999</v>
      </c>
      <c r="Y2848">
        <v>-0.1433567</v>
      </c>
      <c r="Z2848">
        <v>4.4385149999999998E-2</v>
      </c>
      <c r="AA2848">
        <v>0.98867530000000003</v>
      </c>
      <c r="AB2848">
        <v>25</v>
      </c>
      <c r="AC2848">
        <v>3.9646000000000101</v>
      </c>
      <c r="AD2848">
        <v>-1.110757161527</v>
      </c>
      <c r="AE2848">
        <v>-24.572800000000001</v>
      </c>
      <c r="AF2848">
        <v>-3.5838435393455601</v>
      </c>
      <c r="AG2848">
        <v>-1.110757161527</v>
      </c>
      <c r="AH2848">
        <v>24.5812206174826</v>
      </c>
      <c r="AI2848">
        <v>92.560246072360798</v>
      </c>
      <c r="AJ2848">
        <v>98.295050228335199</v>
      </c>
      <c r="AK2848">
        <v>24.865922927406999</v>
      </c>
      <c r="AL2848">
        <v>87.915491029820899</v>
      </c>
      <c r="AM2848">
        <v>87.196708256219097</v>
      </c>
      <c r="AN2848">
        <v>1.00000001436624</v>
      </c>
    </row>
    <row r="2849" spans="1:40" x14ac:dyDescent="0.25">
      <c r="A2849" t="str">
        <f>"20190312154850954"</f>
        <v>20190312154850954</v>
      </c>
      <c r="B2849" t="str">
        <f>"1552376930948127"</f>
        <v>1552376930948127</v>
      </c>
      <c r="C2849" t="s">
        <v>40</v>
      </c>
      <c r="D2849">
        <v>4.7943790000000002</v>
      </c>
      <c r="E2849">
        <v>0.38960640000000002</v>
      </c>
      <c r="F2849" t="s">
        <v>42</v>
      </c>
      <c r="G2849">
        <v>-487.71109999999999</v>
      </c>
      <c r="H2849" s="1">
        <v>-3.353356E-6</v>
      </c>
      <c r="I2849">
        <v>236.50309999999999</v>
      </c>
      <c r="J2849">
        <v>-491.86869999999999</v>
      </c>
      <c r="K2849">
        <v>1.110765</v>
      </c>
      <c r="L2849">
        <v>253.2517</v>
      </c>
      <c r="M2849">
        <v>1.570566E-2</v>
      </c>
      <c r="N2849">
        <v>0</v>
      </c>
      <c r="O2849">
        <v>-0.99978789999999995</v>
      </c>
      <c r="P2849">
        <v>-3.3180319999999999E-2</v>
      </c>
      <c r="Q2849">
        <v>2.289391E-2</v>
      </c>
      <c r="R2849">
        <v>-0.99918770000000001</v>
      </c>
      <c r="S2849">
        <v>0.74719239999999998</v>
      </c>
      <c r="T2849">
        <v>-0.19949819999999999</v>
      </c>
      <c r="U2849">
        <v>-3.0323329999999999</v>
      </c>
      <c r="V2849">
        <v>4.8812979999999999E-2</v>
      </c>
      <c r="W2849">
        <v>3.6290129999999997E-2</v>
      </c>
      <c r="X2849">
        <v>0.99814840000000005</v>
      </c>
      <c r="Y2849">
        <v>-0.22348380000000001</v>
      </c>
      <c r="Z2849">
        <v>6.3855259999999997E-2</v>
      </c>
      <c r="AA2849">
        <v>0.97261379999999997</v>
      </c>
      <c r="AB2849">
        <v>25</v>
      </c>
      <c r="AC2849">
        <v>4.1576000000000004</v>
      </c>
      <c r="AD2849">
        <v>-1.110768353356</v>
      </c>
      <c r="AE2849">
        <v>-16.7486</v>
      </c>
      <c r="AF2849">
        <v>-3.8779493903505902</v>
      </c>
      <c r="AG2849">
        <v>-1.110768353356</v>
      </c>
      <c r="AH2849">
        <v>16.742472531722701</v>
      </c>
      <c r="AI2849">
        <v>93.6980673058832</v>
      </c>
      <c r="AJ2849">
        <v>103.041077047041</v>
      </c>
      <c r="AK2849">
        <v>17.221576126604301</v>
      </c>
      <c r="AL2849">
        <v>87.920271956759905</v>
      </c>
      <c r="AM2849">
        <v>87.200264626197495</v>
      </c>
      <c r="AN2849">
        <v>0.99999995448722701</v>
      </c>
    </row>
    <row r="2850" spans="1:40" x14ac:dyDescent="0.25">
      <c r="A2850" t="str">
        <f>"20190312154850966"</f>
        <v>20190312154850966</v>
      </c>
      <c r="B2850" t="str">
        <f>"1552376930958864"</f>
        <v>1552376930958864</v>
      </c>
      <c r="C2850" t="s">
        <v>40</v>
      </c>
      <c r="D2850">
        <v>4.9121370000000004</v>
      </c>
      <c r="E2850">
        <v>0.38669100000000001</v>
      </c>
      <c r="F2850" t="s">
        <v>42</v>
      </c>
      <c r="G2850">
        <v>-487.90370000000001</v>
      </c>
      <c r="H2850" s="1">
        <v>-3.9998560000000001E-6</v>
      </c>
      <c r="I2850">
        <v>238.08969999999999</v>
      </c>
      <c r="J2850">
        <v>-491.86599999999999</v>
      </c>
      <c r="K2850">
        <v>1.110765</v>
      </c>
      <c r="L2850">
        <v>253.1156</v>
      </c>
      <c r="M2850">
        <v>1.6231590000000001E-2</v>
      </c>
      <c r="N2850">
        <v>0</v>
      </c>
      <c r="O2850">
        <v>-0.99977959999999999</v>
      </c>
      <c r="P2850">
        <v>-3.2581369999999998E-2</v>
      </c>
      <c r="Q2850">
        <v>2.275957E-2</v>
      </c>
      <c r="R2850">
        <v>-0.9992103</v>
      </c>
      <c r="S2850">
        <v>0.79339599999999999</v>
      </c>
      <c r="T2850">
        <v>-0.22226099999999999</v>
      </c>
      <c r="U2850">
        <v>-3.0338590000000001</v>
      </c>
      <c r="V2850">
        <v>4.8740029999999997E-2</v>
      </c>
      <c r="W2850">
        <v>3.6154319999999997E-2</v>
      </c>
      <c r="X2850">
        <v>0.99815699999999996</v>
      </c>
      <c r="Y2850">
        <v>-0.23663229999999999</v>
      </c>
      <c r="Z2850">
        <v>7.0827890000000004E-2</v>
      </c>
      <c r="AA2850">
        <v>0.96901420000000005</v>
      </c>
      <c r="AB2850">
        <v>25</v>
      </c>
      <c r="AC2850">
        <v>3.9622999999999702</v>
      </c>
      <c r="AD2850">
        <v>-1.110768999856</v>
      </c>
      <c r="AE2850">
        <v>-15.0259</v>
      </c>
      <c r="AF2850">
        <v>-3.6989625196020199</v>
      </c>
      <c r="AG2850">
        <v>-1.110768999856</v>
      </c>
      <c r="AH2850">
        <v>15.011540124452599</v>
      </c>
      <c r="AI2850">
        <v>94.109375424747697</v>
      </c>
      <c r="AJ2850">
        <v>103.842376367604</v>
      </c>
      <c r="AK2850">
        <v>15.5004022012499</v>
      </c>
      <c r="AL2850">
        <v>87.928058627530604</v>
      </c>
      <c r="AM2850">
        <v>87.204466179022504</v>
      </c>
      <c r="AN2850">
        <v>1.0000000610140201</v>
      </c>
    </row>
    <row r="2851" spans="1:40" x14ac:dyDescent="0.25">
      <c r="A2851" t="str">
        <f>"20190312154850979"</f>
        <v>20190312154850979</v>
      </c>
      <c r="B2851" t="str">
        <f>"1552376930968624"</f>
        <v>1552376930968624</v>
      </c>
      <c r="C2851" t="s">
        <v>40</v>
      </c>
      <c r="D2851">
        <v>4.828875</v>
      </c>
      <c r="E2851">
        <v>0.38451550000000001</v>
      </c>
      <c r="F2851" t="s">
        <v>42</v>
      </c>
      <c r="G2851">
        <v>-487.99450000000002</v>
      </c>
      <c r="H2851" s="1">
        <v>-4.2751059999999997E-6</v>
      </c>
      <c r="I2851">
        <v>238.7689</v>
      </c>
      <c r="J2851">
        <v>-491.863</v>
      </c>
      <c r="K2851">
        <v>1.1107640000000001</v>
      </c>
      <c r="L2851">
        <v>252.97030000000001</v>
      </c>
      <c r="M2851">
        <v>1.679305E-2</v>
      </c>
      <c r="N2851">
        <v>0</v>
      </c>
      <c r="O2851">
        <v>-0.9997703</v>
      </c>
      <c r="P2851">
        <v>-3.208109E-2</v>
      </c>
      <c r="Q2851">
        <v>2.2960060000000001E-2</v>
      </c>
      <c r="R2851">
        <v>-0.99922169999999999</v>
      </c>
      <c r="S2851">
        <v>0.81884769999999996</v>
      </c>
      <c r="T2851">
        <v>-0.2349378</v>
      </c>
      <c r="U2851">
        <v>-3.0344540000000002</v>
      </c>
      <c r="V2851">
        <v>4.8800540000000003E-2</v>
      </c>
      <c r="W2851">
        <v>3.6352549999999997E-2</v>
      </c>
      <c r="X2851">
        <v>0.9981468</v>
      </c>
      <c r="Y2851">
        <v>-0.24355260000000001</v>
      </c>
      <c r="Z2851">
        <v>7.4686180000000005E-2</v>
      </c>
      <c r="AA2851">
        <v>0.96700779999999997</v>
      </c>
      <c r="AB2851">
        <v>25</v>
      </c>
      <c r="AC2851">
        <v>3.86850000000004</v>
      </c>
      <c r="AD2851">
        <v>-1.110768275106</v>
      </c>
      <c r="AE2851">
        <v>-14.2014</v>
      </c>
      <c r="AF2851">
        <v>-3.6088955543337899</v>
      </c>
      <c r="AG2851">
        <v>-1.110768275106</v>
      </c>
      <c r="AH2851">
        <v>14.183590364337199</v>
      </c>
      <c r="AI2851">
        <v>94.340164985220795</v>
      </c>
      <c r="AJ2851">
        <v>104.27550774428499</v>
      </c>
      <c r="AK2851">
        <v>14.6776077378567</v>
      </c>
      <c r="AL2851">
        <v>87.916693323912696</v>
      </c>
      <c r="AM2851">
        <v>87.200972525013498</v>
      </c>
      <c r="AN2851">
        <v>1.0000000174730099</v>
      </c>
    </row>
    <row r="2852" spans="1:40" x14ac:dyDescent="0.25">
      <c r="A2852" t="str">
        <f>"20190312154850997"</f>
        <v>20190312154850997</v>
      </c>
      <c r="B2852" t="str">
        <f>"1552376930988143"</f>
        <v>1552376930988143</v>
      </c>
      <c r="C2852" t="s">
        <v>40</v>
      </c>
      <c r="D2852">
        <v>4.8301360000000004</v>
      </c>
      <c r="E2852">
        <v>0.38255909999999999</v>
      </c>
      <c r="F2852" t="s">
        <v>42</v>
      </c>
      <c r="G2852">
        <v>-488.0532</v>
      </c>
      <c r="H2852" s="1">
        <v>-4.4381860000000002E-6</v>
      </c>
      <c r="I2852">
        <v>239.17330000000001</v>
      </c>
      <c r="J2852">
        <v>-491.85860000000002</v>
      </c>
      <c r="K2852">
        <v>1.110762</v>
      </c>
      <c r="L2852">
        <v>252.76349999999999</v>
      </c>
      <c r="M2852">
        <v>1.759231E-2</v>
      </c>
      <c r="N2852">
        <v>0</v>
      </c>
      <c r="O2852">
        <v>-0.99975650000000005</v>
      </c>
      <c r="P2852">
        <v>-3.0959230000000001E-2</v>
      </c>
      <c r="Q2852">
        <v>2.328649E-2</v>
      </c>
      <c r="R2852">
        <v>-0.99924950000000001</v>
      </c>
      <c r="S2852">
        <v>0.83801270000000005</v>
      </c>
      <c r="T2852">
        <v>-0.24432789999999999</v>
      </c>
      <c r="U2852">
        <v>-3.034821</v>
      </c>
      <c r="V2852">
        <v>4.8477199999999998E-2</v>
      </c>
      <c r="W2852">
        <v>3.6677059999999997E-2</v>
      </c>
      <c r="X2852">
        <v>0.9981506</v>
      </c>
      <c r="Y2852">
        <v>-0.24837039999999999</v>
      </c>
      <c r="Z2852">
        <v>7.7531370000000002E-2</v>
      </c>
      <c r="AA2852">
        <v>0.96555740000000001</v>
      </c>
      <c r="AB2852">
        <v>25</v>
      </c>
      <c r="AC2852">
        <v>3.8054000000000201</v>
      </c>
      <c r="AD2852">
        <v>-1.1107664381860001</v>
      </c>
      <c r="AE2852">
        <v>-13.5901999999999</v>
      </c>
      <c r="AF2852">
        <v>-3.5437547023112401</v>
      </c>
      <c r="AG2852">
        <v>-1.1107664381860001</v>
      </c>
      <c r="AH2852">
        <v>13.570981702402101</v>
      </c>
      <c r="AI2852">
        <v>94.527984457000201</v>
      </c>
      <c r="AJ2852">
        <v>104.634702845398</v>
      </c>
      <c r="AK2852">
        <v>14.0699518065019</v>
      </c>
      <c r="AL2852">
        <v>87.898087685282505</v>
      </c>
      <c r="AM2852">
        <v>87.219499539364904</v>
      </c>
      <c r="AN2852">
        <v>0.99999993296521905</v>
      </c>
    </row>
    <row r="2853" spans="1:40" x14ac:dyDescent="0.25">
      <c r="A2853" t="str">
        <f>"20190312154851020"</f>
        <v>20190312154851020</v>
      </c>
      <c r="B2853" t="str">
        <f>"1552376931008639"</f>
        <v>1552376931008639</v>
      </c>
      <c r="C2853" t="s">
        <v>40</v>
      </c>
      <c r="D2853">
        <v>4.795153</v>
      </c>
      <c r="E2853">
        <v>0.3809131</v>
      </c>
      <c r="F2853" t="s">
        <v>42</v>
      </c>
      <c r="G2853">
        <v>-488.0976</v>
      </c>
      <c r="H2853" s="1">
        <v>-4.5549409999999999E-6</v>
      </c>
      <c r="I2853">
        <v>239.4639</v>
      </c>
      <c r="J2853">
        <v>-491.85309999999998</v>
      </c>
      <c r="K2853">
        <v>1.11076</v>
      </c>
      <c r="L2853">
        <v>252.51599999999999</v>
      </c>
      <c r="M2853">
        <v>1.8548450000000001E-2</v>
      </c>
      <c r="N2853">
        <v>0</v>
      </c>
      <c r="O2853">
        <v>-0.9997393</v>
      </c>
      <c r="P2853">
        <v>-3.0036340000000002E-2</v>
      </c>
      <c r="Q2853">
        <v>2.3652070000000001E-2</v>
      </c>
      <c r="R2853">
        <v>-0.99926930000000003</v>
      </c>
      <c r="S2853">
        <v>0.85818479999999997</v>
      </c>
      <c r="T2853">
        <v>-0.25345800000000002</v>
      </c>
      <c r="U2853">
        <v>-3.0347439999999999</v>
      </c>
      <c r="V2853">
        <v>4.8509320000000002E-2</v>
      </c>
      <c r="W2853">
        <v>3.703969E-2</v>
      </c>
      <c r="X2853">
        <v>0.99813569999999996</v>
      </c>
      <c r="Y2853">
        <v>-0.25334089999999998</v>
      </c>
      <c r="Z2853">
        <v>8.0286780000000002E-2</v>
      </c>
      <c r="AA2853">
        <v>0.9640396</v>
      </c>
      <c r="AB2853">
        <v>25</v>
      </c>
      <c r="AC2853">
        <v>3.7554999999999801</v>
      </c>
      <c r="AD2853">
        <v>-1.1107645549409999</v>
      </c>
      <c r="AE2853">
        <v>-13.0520999999999</v>
      </c>
      <c r="AF2853">
        <v>-3.4893967171100302</v>
      </c>
      <c r="AG2853">
        <v>-1.1107645549409999</v>
      </c>
      <c r="AH2853">
        <v>13.032350050097399</v>
      </c>
      <c r="AI2853">
        <v>94.706618773053293</v>
      </c>
      <c r="AJ2853">
        <v>104.989289531487</v>
      </c>
      <c r="AK2853">
        <v>13.5370541542156</v>
      </c>
      <c r="AL2853">
        <v>87.877296496327006</v>
      </c>
      <c r="AM2853">
        <v>87.217618661656601</v>
      </c>
      <c r="AN2853">
        <v>0.99999998418832403</v>
      </c>
    </row>
    <row r="2854" spans="1:40" x14ac:dyDescent="0.25">
      <c r="A2854" t="str">
        <f>"20190312154851033"</f>
        <v>20190312154851033</v>
      </c>
      <c r="B2854" t="str">
        <f>"1552376931028159"</f>
        <v>1552376931028159</v>
      </c>
      <c r="C2854" t="s">
        <v>40</v>
      </c>
      <c r="D2854">
        <v>4.7771980000000003</v>
      </c>
      <c r="E2854">
        <v>0.3800579</v>
      </c>
      <c r="F2854" t="s">
        <v>42</v>
      </c>
      <c r="G2854">
        <v>-488.08629999999999</v>
      </c>
      <c r="H2854" s="1">
        <v>-4.5449759999999999E-6</v>
      </c>
      <c r="I2854">
        <v>239.4359</v>
      </c>
      <c r="J2854">
        <v>-491.84980000000002</v>
      </c>
      <c r="K2854">
        <v>1.11076</v>
      </c>
      <c r="L2854">
        <v>252.36859999999999</v>
      </c>
      <c r="M2854">
        <v>1.9118260000000002E-2</v>
      </c>
      <c r="N2854">
        <v>0</v>
      </c>
      <c r="O2854">
        <v>-0.99972859999999997</v>
      </c>
      <c r="P2854">
        <v>-2.9358639999999998E-2</v>
      </c>
      <c r="Q2854">
        <v>2.360077E-2</v>
      </c>
      <c r="R2854">
        <v>-0.99929060000000003</v>
      </c>
      <c r="S2854">
        <v>0.87390140000000005</v>
      </c>
      <c r="T2854">
        <v>-0.2576967</v>
      </c>
      <c r="U2854">
        <v>-3.0345759999999999</v>
      </c>
      <c r="V2854">
        <v>4.8401430000000002E-2</v>
      </c>
      <c r="W2854">
        <v>3.6987279999999997E-2</v>
      </c>
      <c r="X2854">
        <v>0.99814290000000006</v>
      </c>
      <c r="Y2854">
        <v>-0.25739050000000002</v>
      </c>
      <c r="Z2854">
        <v>8.152247E-2</v>
      </c>
      <c r="AA2854">
        <v>0.96286249999999995</v>
      </c>
      <c r="AB2854">
        <v>25</v>
      </c>
      <c r="AC2854">
        <v>3.7635000000000201</v>
      </c>
      <c r="AD2854">
        <v>-1.110764544976</v>
      </c>
      <c r="AE2854">
        <v>-12.932699999999899</v>
      </c>
      <c r="AF2854">
        <v>-3.4917922946086599</v>
      </c>
      <c r="AG2854">
        <v>-1.110764544976</v>
      </c>
      <c r="AH2854">
        <v>12.914464703776799</v>
      </c>
      <c r="AI2854">
        <v>94.746267795780398</v>
      </c>
      <c r="AJ2854">
        <v>105.129780750468</v>
      </c>
      <c r="AK2854">
        <v>13.424224740675299</v>
      </c>
      <c r="AL2854">
        <v>87.880301467288803</v>
      </c>
      <c r="AM2854">
        <v>87.223817282598802</v>
      </c>
      <c r="AN2854">
        <v>1.0000000030641201</v>
      </c>
    </row>
    <row r="2855" spans="1:40" x14ac:dyDescent="0.25">
      <c r="A2855" t="str">
        <f>"20190312154851044"</f>
        <v>20190312154851044</v>
      </c>
      <c r="B2855" t="str">
        <f>"1552376931038896"</f>
        <v>1552376931038896</v>
      </c>
      <c r="C2855" t="s">
        <v>40</v>
      </c>
      <c r="D2855">
        <v>4.7634349999999896</v>
      </c>
      <c r="E2855">
        <v>0.37966149999999999</v>
      </c>
      <c r="F2855" t="s">
        <v>42</v>
      </c>
      <c r="G2855">
        <v>-488.10640000000001</v>
      </c>
      <c r="H2855" s="1">
        <v>-4.5732739999999996E-6</v>
      </c>
      <c r="I2855">
        <v>239.5102</v>
      </c>
      <c r="J2855">
        <v>-491.84660000000002</v>
      </c>
      <c r="K2855">
        <v>1.1107590000000001</v>
      </c>
      <c r="L2855">
        <v>252.23089999999999</v>
      </c>
      <c r="M2855">
        <v>1.9650620000000001E-2</v>
      </c>
      <c r="N2855">
        <v>0</v>
      </c>
      <c r="O2855">
        <v>-0.999718</v>
      </c>
      <c r="P2855">
        <v>-2.8984880000000001E-2</v>
      </c>
      <c r="Q2855">
        <v>2.3612589999999999E-2</v>
      </c>
      <c r="R2855">
        <v>-0.9993012</v>
      </c>
      <c r="S2855">
        <v>0.88333130000000004</v>
      </c>
      <c r="T2855">
        <v>-0.26211420000000002</v>
      </c>
      <c r="U2855">
        <v>-3.0342709999999999</v>
      </c>
      <c r="V2855">
        <v>4.8559720000000001E-2</v>
      </c>
      <c r="W2855">
        <v>3.6997759999999998E-2</v>
      </c>
      <c r="X2855">
        <v>0.99813479999999999</v>
      </c>
      <c r="Y2855">
        <v>-0.25963140000000001</v>
      </c>
      <c r="Z2855">
        <v>8.2856609999999997E-2</v>
      </c>
      <c r="AA2855">
        <v>0.96214670000000002</v>
      </c>
      <c r="AB2855">
        <v>25</v>
      </c>
      <c r="AC2855">
        <v>3.74020000000001</v>
      </c>
      <c r="AD2855">
        <v>-1.110763573274</v>
      </c>
      <c r="AE2855">
        <v>-12.7206999999999</v>
      </c>
      <c r="AF2855">
        <v>-3.4651673766631599</v>
      </c>
      <c r="AG2855">
        <v>-1.110763573274</v>
      </c>
      <c r="AH2855">
        <v>12.702600655315001</v>
      </c>
      <c r="AI2855">
        <v>94.822124197535899</v>
      </c>
      <c r="AJ2855">
        <v>105.258568560073</v>
      </c>
      <c r="AK2855">
        <v>13.2135250433944</v>
      </c>
      <c r="AL2855">
        <v>87.879700546925093</v>
      </c>
      <c r="AM2855">
        <v>87.214729877624805</v>
      </c>
      <c r="AN2855">
        <v>0.99999997981126698</v>
      </c>
    </row>
    <row r="2856" spans="1:40" x14ac:dyDescent="0.25">
      <c r="A2856" t="str">
        <f>"20190312154851056"</f>
        <v>20190312154851056</v>
      </c>
      <c r="B2856" t="str">
        <f>"1552376931048656"</f>
        <v>1552376931048656</v>
      </c>
      <c r="C2856" t="s">
        <v>40</v>
      </c>
      <c r="D2856">
        <v>4.7812029999999996</v>
      </c>
      <c r="E2856">
        <v>0.3794035</v>
      </c>
      <c r="F2856" t="s">
        <v>42</v>
      </c>
      <c r="G2856">
        <v>-488.11700000000002</v>
      </c>
      <c r="H2856" s="1">
        <v>-4.5574590000000003E-6</v>
      </c>
      <c r="I2856">
        <v>239.4777</v>
      </c>
      <c r="J2856">
        <v>-491.84350000000001</v>
      </c>
      <c r="K2856">
        <v>1.1107530000000001</v>
      </c>
      <c r="L2856">
        <v>252.10390000000001</v>
      </c>
      <c r="M2856">
        <v>2.0141579999999999E-2</v>
      </c>
      <c r="N2856">
        <v>0</v>
      </c>
      <c r="O2856">
        <v>-0.99970820000000005</v>
      </c>
      <c r="P2856">
        <v>-2.837081E-2</v>
      </c>
      <c r="Q2856">
        <v>2.3628570000000002E-2</v>
      </c>
      <c r="R2856">
        <v>-0.99931840000000005</v>
      </c>
      <c r="S2856">
        <v>0.88729859999999905</v>
      </c>
      <c r="T2856">
        <v>-0.26425910000000002</v>
      </c>
      <c r="U2856">
        <v>-3.0340729999999998</v>
      </c>
      <c r="V2856">
        <v>4.8436529999999998E-2</v>
      </c>
      <c r="W2856">
        <v>3.7012530000000002E-2</v>
      </c>
      <c r="X2856">
        <v>0.99814029999999998</v>
      </c>
      <c r="Y2856">
        <v>-0.2603181</v>
      </c>
      <c r="Z2856">
        <v>8.3511000000000002E-2</v>
      </c>
      <c r="AA2856">
        <v>0.9619046</v>
      </c>
      <c r="AB2856">
        <v>25</v>
      </c>
      <c r="AC2856">
        <v>3.7265000000000401</v>
      </c>
      <c r="AD2856">
        <v>-1.1107575574590001</v>
      </c>
      <c r="AE2856">
        <v>-12.626200000000001</v>
      </c>
      <c r="AF2856">
        <v>-3.4468712979361702</v>
      </c>
      <c r="AG2856">
        <v>-1.1107575574590001</v>
      </c>
      <c r="AH2856">
        <v>12.608939064131199</v>
      </c>
      <c r="AI2856">
        <v>94.857040118478494</v>
      </c>
      <c r="AJ2856">
        <v>105.289243869275</v>
      </c>
      <c r="AK2856">
        <v>13.118690804305199</v>
      </c>
      <c r="AL2856">
        <v>87.878853839452006</v>
      </c>
      <c r="AM2856">
        <v>87.221799963598002</v>
      </c>
      <c r="AN2856">
        <v>1.0000000416497601</v>
      </c>
    </row>
    <row r="2857" spans="1:40" x14ac:dyDescent="0.25">
      <c r="A2857" t="str">
        <f>"20190312154851074"</f>
        <v>20190312154851074</v>
      </c>
      <c r="B2857" t="str">
        <f>"1552376931068176"</f>
        <v>1552376931068176</v>
      </c>
      <c r="C2857" t="s">
        <v>40</v>
      </c>
      <c r="D2857">
        <v>4.8857609999999996</v>
      </c>
      <c r="E2857">
        <v>0.3792817</v>
      </c>
      <c r="F2857" t="s">
        <v>42</v>
      </c>
      <c r="G2857">
        <v>-488.11500000000001</v>
      </c>
      <c r="H2857" s="1">
        <v>-4.5299170000000003E-6</v>
      </c>
      <c r="I2857">
        <v>239.4127</v>
      </c>
      <c r="J2857">
        <v>-491.83859999999999</v>
      </c>
      <c r="K2857">
        <v>1.1107549999999999</v>
      </c>
      <c r="L2857">
        <v>251.90430000000001</v>
      </c>
      <c r="M2857">
        <v>2.0913190000000002E-2</v>
      </c>
      <c r="N2857">
        <v>0</v>
      </c>
      <c r="O2857">
        <v>-0.99969249999999998</v>
      </c>
      <c r="P2857">
        <v>-2.7482949999999999E-2</v>
      </c>
      <c r="Q2857">
        <v>2.3569819999999998E-2</v>
      </c>
      <c r="R2857">
        <v>-0.99934429999999996</v>
      </c>
      <c r="S2857">
        <v>0.89123539999999901</v>
      </c>
      <c r="T2857">
        <v>-0.26550869999999999</v>
      </c>
      <c r="U2857">
        <v>-3.0336150000000002</v>
      </c>
      <c r="V2857">
        <v>4.832028E-2</v>
      </c>
      <c r="W2857">
        <v>3.695201E-2</v>
      </c>
      <c r="X2857">
        <v>0.99814809999999998</v>
      </c>
      <c r="Y2857">
        <v>-0.2607527</v>
      </c>
      <c r="Z2857">
        <v>8.3893170000000003E-2</v>
      </c>
      <c r="AA2857">
        <v>0.96175359999999999</v>
      </c>
      <c r="AB2857">
        <v>25</v>
      </c>
      <c r="AC2857">
        <v>3.72359999999997</v>
      </c>
      <c r="AD2857">
        <v>-1.1107595299170001</v>
      </c>
      <c r="AE2857">
        <v>-12.4916</v>
      </c>
      <c r="AF2857">
        <v>-3.4365680526163098</v>
      </c>
      <c r="AG2857">
        <v>-1.1107595299170001</v>
      </c>
      <c r="AH2857">
        <v>12.476149808099899</v>
      </c>
      <c r="AI2857">
        <v>94.905896522329698</v>
      </c>
      <c r="AJ2857">
        <v>105.400272566007</v>
      </c>
      <c r="AK2857">
        <v>12.988383299999899</v>
      </c>
      <c r="AL2857">
        <v>87.882323591221194</v>
      </c>
      <c r="AM2857">
        <v>87.228478992619401</v>
      </c>
      <c r="AN2857">
        <v>0.99999996501796296</v>
      </c>
    </row>
    <row r="2858" spans="1:40" x14ac:dyDescent="0.25">
      <c r="A2858" t="str">
        <f>"20190312154851085"</f>
        <v>20190312154851085</v>
      </c>
      <c r="B2858" t="str">
        <f>"1552376931078911"</f>
        <v>1552376931078911</v>
      </c>
      <c r="C2858" t="s">
        <v>40</v>
      </c>
      <c r="D2858">
        <v>4.7526630000000001</v>
      </c>
      <c r="E2858">
        <v>0.37905739999999999</v>
      </c>
      <c r="F2858" t="s">
        <v>42</v>
      </c>
      <c r="G2858">
        <v>-488.09339999999997</v>
      </c>
      <c r="H2858" s="1">
        <v>-4.4488259999999999E-6</v>
      </c>
      <c r="I2858">
        <v>239.21469999999999</v>
      </c>
      <c r="J2858">
        <v>-491.83530000000002</v>
      </c>
      <c r="K2858">
        <v>1.1107610000000001</v>
      </c>
      <c r="L2858">
        <v>251.77359999999999</v>
      </c>
      <c r="M2858">
        <v>2.1418670000000001E-2</v>
      </c>
      <c r="N2858">
        <v>0</v>
      </c>
      <c r="O2858">
        <v>-0.99968199999999996</v>
      </c>
      <c r="P2858">
        <v>-2.7009410000000001E-2</v>
      </c>
      <c r="Q2858">
        <v>2.346229E-2</v>
      </c>
      <c r="R2858">
        <v>-0.99936000000000003</v>
      </c>
      <c r="S2858">
        <v>0.89511109999999905</v>
      </c>
      <c r="T2858">
        <v>-0.26547459999999901</v>
      </c>
      <c r="U2858">
        <v>-3.0328369999999998</v>
      </c>
      <c r="V2858">
        <v>4.8352300000000001E-2</v>
      </c>
      <c r="W2858">
        <v>3.684337E-2</v>
      </c>
      <c r="X2858">
        <v>0.9981506</v>
      </c>
      <c r="Y2858">
        <v>-0.26146269999999999</v>
      </c>
      <c r="Z2858">
        <v>8.3878699999999903E-2</v>
      </c>
      <c r="AA2858">
        <v>0.96156209999999998</v>
      </c>
      <c r="AB2858">
        <v>25</v>
      </c>
      <c r="AC2858">
        <v>3.7419000000000402</v>
      </c>
      <c r="AD2858">
        <v>-1.1107654488259999</v>
      </c>
      <c r="AE2858">
        <v>-12.5588999999999</v>
      </c>
      <c r="AF2858">
        <v>-3.4472554303690899</v>
      </c>
      <c r="AG2858">
        <v>-1.1107654488259999</v>
      </c>
      <c r="AH2858">
        <v>12.5460334665479</v>
      </c>
      <c r="AI2858">
        <v>94.879575431576299</v>
      </c>
      <c r="AJ2858">
        <v>105.36392180039699</v>
      </c>
      <c r="AK2858">
        <v>13.058343142537399</v>
      </c>
      <c r="AL2858">
        <v>87.888552519432295</v>
      </c>
      <c r="AM2858">
        <v>87.226652213525796</v>
      </c>
      <c r="AN2858">
        <v>0.99999999955430297</v>
      </c>
    </row>
    <row r="2859" spans="1:40" x14ac:dyDescent="0.25">
      <c r="A2859" t="str">
        <f>"20190312154851097"</f>
        <v>20190312154851097</v>
      </c>
      <c r="B2859" t="str">
        <f>"1552376931088672"</f>
        <v>1552376931088672</v>
      </c>
      <c r="C2859" t="s">
        <v>40</v>
      </c>
      <c r="D2859">
        <v>4.7757620000000003</v>
      </c>
      <c r="E2859">
        <v>0.37883899999999998</v>
      </c>
      <c r="F2859" t="s">
        <v>42</v>
      </c>
      <c r="G2859">
        <v>-488.0822</v>
      </c>
      <c r="H2859" s="1">
        <v>-4.402968E-6</v>
      </c>
      <c r="I2859">
        <v>239.10319999999999</v>
      </c>
      <c r="J2859">
        <v>-491.83190000000002</v>
      </c>
      <c r="K2859">
        <v>1.11076</v>
      </c>
      <c r="L2859">
        <v>251.642</v>
      </c>
      <c r="M2859">
        <v>2.19274E-2</v>
      </c>
      <c r="N2859">
        <v>0</v>
      </c>
      <c r="O2859">
        <v>-0.99967099999999998</v>
      </c>
      <c r="P2859">
        <v>-2.6373150000000001E-2</v>
      </c>
      <c r="Q2859">
        <v>2.3571689999999999E-2</v>
      </c>
      <c r="R2859">
        <v>-0.9993744</v>
      </c>
      <c r="S2859">
        <v>0.89825440000000001</v>
      </c>
      <c r="T2859">
        <v>-0.26584649999999999</v>
      </c>
      <c r="U2859">
        <v>-3.0324710000000001</v>
      </c>
      <c r="V2859">
        <v>4.8224540000000003E-2</v>
      </c>
      <c r="W2859">
        <v>3.6951539999999998E-2</v>
      </c>
      <c r="X2859">
        <v>0.99815279999999995</v>
      </c>
      <c r="Y2859">
        <v>-0.26191720000000002</v>
      </c>
      <c r="Z2859">
        <v>8.3986359999999996E-2</v>
      </c>
      <c r="AA2859">
        <v>0.96142899999999998</v>
      </c>
      <c r="AB2859">
        <v>25</v>
      </c>
      <c r="AC2859">
        <v>3.74970000000001</v>
      </c>
      <c r="AD2859">
        <v>-1.1107644029679999</v>
      </c>
      <c r="AE2859">
        <v>-12.5388</v>
      </c>
      <c r="AF2859">
        <v>-3.4489864949982598</v>
      </c>
      <c r="AG2859">
        <v>-1.1107644029679999</v>
      </c>
      <c r="AH2859">
        <v>12.527771593572799</v>
      </c>
      <c r="AI2859">
        <v>94.885979633738501</v>
      </c>
      <c r="AJ2859">
        <v>105.39261701395</v>
      </c>
      <c r="AK2859">
        <v>13.041256323771499</v>
      </c>
      <c r="AL2859">
        <v>87.882350649528902</v>
      </c>
      <c r="AM2859">
        <v>87.233974848464399</v>
      </c>
      <c r="AN2859">
        <v>1.0000000173572099</v>
      </c>
    </row>
    <row r="2860" spans="1:40" x14ac:dyDescent="0.25">
      <c r="A2860" t="str">
        <f>"20190312154851108"</f>
        <v>20190312154851108</v>
      </c>
      <c r="B2860" t="str">
        <f>"1552376931098432"</f>
        <v>1552376931098432</v>
      </c>
      <c r="C2860" t="s">
        <v>40</v>
      </c>
      <c r="D2860">
        <v>4.7384659999999998</v>
      </c>
      <c r="E2860">
        <v>0.37862390000000001</v>
      </c>
      <c r="F2860" t="s">
        <v>42</v>
      </c>
      <c r="G2860">
        <v>-488.08769999999998</v>
      </c>
      <c r="H2860" s="1">
        <v>-4.3800719999999999E-6</v>
      </c>
      <c r="I2860">
        <v>239.0521</v>
      </c>
      <c r="J2860">
        <v>-491.82889999999998</v>
      </c>
      <c r="K2860">
        <v>1.1107579999999999</v>
      </c>
      <c r="L2860">
        <v>251.52449999999999</v>
      </c>
      <c r="M2860">
        <v>2.2381939999999999E-2</v>
      </c>
      <c r="N2860">
        <v>0</v>
      </c>
      <c r="O2860">
        <v>-0.99966060000000001</v>
      </c>
      <c r="P2860">
        <v>-2.5863239999999999E-2</v>
      </c>
      <c r="Q2860">
        <v>2.3654129999999999E-2</v>
      </c>
      <c r="R2860">
        <v>-0.99938550000000004</v>
      </c>
      <c r="S2860">
        <v>0.90170289999999997</v>
      </c>
      <c r="T2860">
        <v>-0.26750109999999999</v>
      </c>
      <c r="U2860">
        <v>-3.0319820000000002</v>
      </c>
      <c r="V2860">
        <v>4.8168969999999998E-2</v>
      </c>
      <c r="W2860">
        <v>3.7033030000000002E-2</v>
      </c>
      <c r="X2860">
        <v>0.99815240000000005</v>
      </c>
      <c r="Y2860">
        <v>-0.2625133</v>
      </c>
      <c r="Z2860">
        <v>8.4496650000000006E-2</v>
      </c>
      <c r="AA2860">
        <v>0.96122169999999896</v>
      </c>
      <c r="AB2860">
        <v>25</v>
      </c>
      <c r="AC2860">
        <v>3.7411999999999899</v>
      </c>
      <c r="AD2860">
        <v>-1.1107623800719999</v>
      </c>
      <c r="AE2860">
        <v>-12.472399999999899</v>
      </c>
      <c r="AF2860">
        <v>-3.4360785077051599</v>
      </c>
      <c r="AG2860">
        <v>-1.1107623800719999</v>
      </c>
      <c r="AH2860">
        <v>12.462334929319599</v>
      </c>
      <c r="AI2860">
        <v>94.910987767826896</v>
      </c>
      <c r="AJ2860">
        <v>105.414440870262</v>
      </c>
      <c r="AK2860">
        <v>12.974984411036299</v>
      </c>
      <c r="AL2860">
        <v>87.877678284752506</v>
      </c>
      <c r="AM2860">
        <v>87.237156141829601</v>
      </c>
      <c r="AN2860">
        <v>0.99999995430379895</v>
      </c>
    </row>
    <row r="2861" spans="1:40" x14ac:dyDescent="0.25">
      <c r="A2861" t="str">
        <f>"20190312154851119"</f>
        <v>20190312154851119</v>
      </c>
      <c r="B2861" t="str">
        <f>"1552376931108192"</f>
        <v>1552376931108192</v>
      </c>
      <c r="C2861" t="s">
        <v>40</v>
      </c>
      <c r="D2861">
        <v>4.7498620000000003</v>
      </c>
      <c r="E2861">
        <v>0.37843139999999997</v>
      </c>
      <c r="F2861" t="s">
        <v>42</v>
      </c>
      <c r="G2861">
        <v>-488.084</v>
      </c>
      <c r="H2861" s="1">
        <v>-4.3503959999999998E-6</v>
      </c>
      <c r="I2861">
        <v>238.98140000000001</v>
      </c>
      <c r="J2861">
        <v>-491.82510000000002</v>
      </c>
      <c r="K2861">
        <v>1.110757</v>
      </c>
      <c r="L2861">
        <v>251.3844</v>
      </c>
      <c r="M2861">
        <v>2.2924070000000001E-2</v>
      </c>
      <c r="N2861">
        <v>0</v>
      </c>
      <c r="O2861">
        <v>-0.9996486</v>
      </c>
      <c r="P2861">
        <v>-2.5617460000000002E-2</v>
      </c>
      <c r="Q2861">
        <v>2.3390129999999999E-2</v>
      </c>
      <c r="R2861">
        <v>-0.99939840000000002</v>
      </c>
      <c r="S2861">
        <v>0.90512079999999995</v>
      </c>
      <c r="T2861">
        <v>-0.26846989999999998</v>
      </c>
      <c r="U2861">
        <v>-3.031647</v>
      </c>
      <c r="V2861">
        <v>4.8465540000000001E-2</v>
      </c>
      <c r="W2861">
        <v>3.6768559999999999E-2</v>
      </c>
      <c r="X2861">
        <v>0.99814780000000003</v>
      </c>
      <c r="Y2861">
        <v>-0.2630074</v>
      </c>
      <c r="Z2861">
        <v>8.478869E-2</v>
      </c>
      <c r="AA2861">
        <v>0.9610609</v>
      </c>
      <c r="AB2861">
        <v>25</v>
      </c>
      <c r="AC2861">
        <v>3.7411000000000101</v>
      </c>
      <c r="AD2861">
        <v>-1.1107613503960001</v>
      </c>
      <c r="AE2861">
        <v>-12.402999999999899</v>
      </c>
      <c r="AF2861">
        <v>-3.43054488796554</v>
      </c>
      <c r="AG2861">
        <v>-1.1107613503960001</v>
      </c>
      <c r="AH2861">
        <v>12.3943924615229</v>
      </c>
      <c r="AI2861">
        <v>94.936428300483996</v>
      </c>
      <c r="AJ2861">
        <v>105.471131155821</v>
      </c>
      <c r="AK2861">
        <v>12.9082684158696</v>
      </c>
      <c r="AL2861">
        <v>87.892841582857102</v>
      </c>
      <c r="AM2861">
        <v>87.220159485588496</v>
      </c>
      <c r="AN2861">
        <v>0.99999993310839996</v>
      </c>
    </row>
    <row r="2862" spans="1:40" x14ac:dyDescent="0.25">
      <c r="A2862" t="str">
        <f>"20190312154851131"</f>
        <v>20190312154851131</v>
      </c>
      <c r="B2862" t="str">
        <f>"1552376931128688"</f>
        <v>1552376931128688</v>
      </c>
      <c r="C2862" t="s">
        <v>40</v>
      </c>
      <c r="D2862">
        <v>4.7460040000000001</v>
      </c>
      <c r="E2862">
        <v>0.37815880000000002</v>
      </c>
      <c r="F2862" t="s">
        <v>42</v>
      </c>
      <c r="G2862">
        <v>-488.10090000000002</v>
      </c>
      <c r="H2862" s="1">
        <v>-4.3330319999999999E-6</v>
      </c>
      <c r="I2862">
        <v>238.9479</v>
      </c>
      <c r="J2862">
        <v>-491.82170000000002</v>
      </c>
      <c r="K2862">
        <v>1.1107560000000001</v>
      </c>
      <c r="L2862">
        <v>251.25970000000001</v>
      </c>
      <c r="M2862">
        <v>2.34065E-2</v>
      </c>
      <c r="N2862">
        <v>0</v>
      </c>
      <c r="O2862">
        <v>-0.99963769999999996</v>
      </c>
      <c r="P2862">
        <v>-2.510722E-2</v>
      </c>
      <c r="Q2862">
        <v>2.3522399999999999E-2</v>
      </c>
      <c r="R2862">
        <v>-0.99940830000000003</v>
      </c>
      <c r="S2862">
        <v>0.90777589999999997</v>
      </c>
      <c r="T2862">
        <v>-0.27074979999999998</v>
      </c>
      <c r="U2862">
        <v>-3.0314030000000001</v>
      </c>
      <c r="V2862">
        <v>4.8437399999999999E-2</v>
      </c>
      <c r="W2862">
        <v>3.690007E-2</v>
      </c>
      <c r="X2862">
        <v>0.99814440000000004</v>
      </c>
      <c r="Y2862">
        <v>-0.26331860000000001</v>
      </c>
      <c r="Z2862">
        <v>8.5494290000000001E-2</v>
      </c>
      <c r="AA2862">
        <v>0.96091309999999996</v>
      </c>
      <c r="AB2862">
        <v>25</v>
      </c>
      <c r="AC2862">
        <v>3.7207999999999899</v>
      </c>
      <c r="AD2862">
        <v>-1.1107603330319999</v>
      </c>
      <c r="AE2862">
        <v>-12.3118</v>
      </c>
      <c r="AF2862">
        <v>-3.40617454596745</v>
      </c>
      <c r="AG2862">
        <v>-1.1107603330319999</v>
      </c>
      <c r="AH2862">
        <v>12.303759739829999</v>
      </c>
      <c r="AI2862">
        <v>94.972531193319099</v>
      </c>
      <c r="AJ2862">
        <v>105.474224490407</v>
      </c>
      <c r="AK2862">
        <v>12.8147694981414</v>
      </c>
      <c r="AL2862">
        <v>87.885301681555404</v>
      </c>
      <c r="AM2862">
        <v>87.221761534844305</v>
      </c>
      <c r="AN2862">
        <v>1.0000000200680601</v>
      </c>
    </row>
    <row r="2863" spans="1:40" x14ac:dyDescent="0.25">
      <c r="A2863" t="str">
        <f>"20190312154851143"</f>
        <v>20190312154851143</v>
      </c>
      <c r="B2863" t="str">
        <f>"1552376931138448"</f>
        <v>1552376931138448</v>
      </c>
      <c r="C2863" t="s">
        <v>40</v>
      </c>
      <c r="D2863">
        <v>4.6686870000000003</v>
      </c>
      <c r="E2863">
        <v>0.37806220000000001</v>
      </c>
      <c r="F2863" t="s">
        <v>42</v>
      </c>
      <c r="G2863">
        <v>-488.12349999999998</v>
      </c>
      <c r="H2863" s="1">
        <v>-4.3365139999999999E-6</v>
      </c>
      <c r="I2863">
        <v>238.96539999999999</v>
      </c>
      <c r="J2863">
        <v>-491.81819999999999</v>
      </c>
      <c r="K2863">
        <v>1.1107590000000001</v>
      </c>
      <c r="L2863">
        <v>251.13319999999999</v>
      </c>
      <c r="M2863">
        <v>2.3895820000000002E-2</v>
      </c>
      <c r="N2863">
        <v>0</v>
      </c>
      <c r="O2863">
        <v>-0.99962569999999995</v>
      </c>
      <c r="P2863">
        <v>-2.4863840000000002E-2</v>
      </c>
      <c r="Q2863">
        <v>2.339463E-2</v>
      </c>
      <c r="R2863">
        <v>-0.99941709999999995</v>
      </c>
      <c r="S2863">
        <v>0.91180419999999995</v>
      </c>
      <c r="T2863">
        <v>-0.27385799999999999</v>
      </c>
      <c r="U2863">
        <v>-3.031158</v>
      </c>
      <c r="V2863">
        <v>4.8683360000000002E-2</v>
      </c>
      <c r="W2863">
        <v>3.6770940000000002E-2</v>
      </c>
      <c r="X2863">
        <v>0.99813719999999995</v>
      </c>
      <c r="Y2863">
        <v>-0.26401550000000001</v>
      </c>
      <c r="Z2863">
        <v>8.6448880000000006E-2</v>
      </c>
      <c r="AA2863">
        <v>0.96063639999999995</v>
      </c>
      <c r="AB2863">
        <v>25</v>
      </c>
      <c r="AC2863">
        <v>3.6947000000000099</v>
      </c>
      <c r="AD2863">
        <v>-1.1107633365139999</v>
      </c>
      <c r="AE2863">
        <v>-12.1678</v>
      </c>
      <c r="AF2863">
        <v>-3.3770927065826801</v>
      </c>
      <c r="AG2863">
        <v>-1.1107633365139999</v>
      </c>
      <c r="AH2863">
        <v>12.159842756610001</v>
      </c>
      <c r="AI2863">
        <v>95.029956171455197</v>
      </c>
      <c r="AJ2863">
        <v>105.521305278713</v>
      </c>
      <c r="AK2863">
        <v>12.668872333561399</v>
      </c>
      <c r="AL2863">
        <v>87.892705311484306</v>
      </c>
      <c r="AM2863">
        <v>87.207656094386394</v>
      </c>
      <c r="AN2863">
        <v>1.0000000207966</v>
      </c>
    </row>
    <row r="2864" spans="1:40" x14ac:dyDescent="0.25">
      <c r="A2864" t="str">
        <f>"20190312154851154"</f>
        <v>20190312154851154</v>
      </c>
      <c r="B2864" t="str">
        <f>"1552376931148208"</f>
        <v>1552376931148208</v>
      </c>
      <c r="C2864" t="s">
        <v>40</v>
      </c>
      <c r="D2864">
        <v>4.7264949999999999</v>
      </c>
      <c r="E2864">
        <v>0.37802669999999999</v>
      </c>
      <c r="F2864" t="s">
        <v>42</v>
      </c>
      <c r="G2864">
        <v>-488.13560000000001</v>
      </c>
      <c r="H2864" s="1">
        <v>-4.3124270000000001E-6</v>
      </c>
      <c r="I2864">
        <v>238.91419999999999</v>
      </c>
      <c r="J2864">
        <v>-491.81459999999998</v>
      </c>
      <c r="K2864">
        <v>1.1107560000000001</v>
      </c>
      <c r="L2864">
        <v>251.0067</v>
      </c>
      <c r="M2864">
        <v>2.43851E-2</v>
      </c>
      <c r="N2864">
        <v>0</v>
      </c>
      <c r="O2864">
        <v>-0.99961420000000001</v>
      </c>
      <c r="P2864">
        <v>-2.4451460000000001E-2</v>
      </c>
      <c r="Q2864">
        <v>2.3374849999999999E-2</v>
      </c>
      <c r="R2864">
        <v>-0.99942810000000004</v>
      </c>
      <c r="S2864">
        <v>0.91348269999999998</v>
      </c>
      <c r="T2864">
        <v>-0.2755262</v>
      </c>
      <c r="U2864">
        <v>-3.0309300000000001</v>
      </c>
      <c r="V2864">
        <v>4.8760199999999997E-2</v>
      </c>
      <c r="W2864">
        <v>3.6750449999999997E-2</v>
      </c>
      <c r="X2864">
        <v>0.99813419999999997</v>
      </c>
      <c r="Y2864">
        <v>-0.2640383</v>
      </c>
      <c r="Z2864">
        <v>8.6969030000000003E-2</v>
      </c>
      <c r="AA2864">
        <v>0.96058330000000003</v>
      </c>
      <c r="AB2864">
        <v>25</v>
      </c>
      <c r="AC2864">
        <v>3.6789999999999701</v>
      </c>
      <c r="AD2864">
        <v>-1.11076031242699</v>
      </c>
      <c r="AE2864">
        <v>-12.092499999999999</v>
      </c>
      <c r="AF2864">
        <v>-3.3570775934473498</v>
      </c>
      <c r="AG2864">
        <v>-1.11076031242699</v>
      </c>
      <c r="AH2864">
        <v>12.085294491641701</v>
      </c>
      <c r="AI2864">
        <v>95.060735171893</v>
      </c>
      <c r="AJ2864">
        <v>105.52433698672399</v>
      </c>
      <c r="AK2864">
        <v>12.591985601556001</v>
      </c>
      <c r="AL2864">
        <v>87.893880087905501</v>
      </c>
      <c r="AM2864">
        <v>87.203247362240205</v>
      </c>
      <c r="AN2864">
        <v>1.0000000169444401</v>
      </c>
    </row>
    <row r="2865" spans="1:40" x14ac:dyDescent="0.25">
      <c r="A2865" t="str">
        <f>"20190312154851165"</f>
        <v>20190312154851165</v>
      </c>
      <c r="B2865" t="str">
        <f>"1552376931158945"</f>
        <v>1552376931158945</v>
      </c>
      <c r="C2865" t="s">
        <v>40</v>
      </c>
      <c r="D2865">
        <v>4.6733599999999997</v>
      </c>
      <c r="E2865">
        <v>0.37792429999999999</v>
      </c>
      <c r="F2865" t="s">
        <v>42</v>
      </c>
      <c r="G2865">
        <v>-488.1481</v>
      </c>
      <c r="H2865" s="1">
        <v>-4.2895610000000004E-6</v>
      </c>
      <c r="I2865">
        <v>238.86609999999999</v>
      </c>
      <c r="J2865">
        <v>-491.81099999999998</v>
      </c>
      <c r="K2865">
        <v>1.1107560000000001</v>
      </c>
      <c r="L2865">
        <v>250.87950000000001</v>
      </c>
      <c r="M2865">
        <v>2.487719E-2</v>
      </c>
      <c r="N2865">
        <v>0</v>
      </c>
      <c r="O2865">
        <v>-0.99960210000000005</v>
      </c>
      <c r="P2865">
        <v>-2.436402E-2</v>
      </c>
      <c r="Q2865">
        <v>2.354647E-2</v>
      </c>
      <c r="R2865">
        <v>-0.99942629999999999</v>
      </c>
      <c r="S2865">
        <v>0.91525270000000003</v>
      </c>
      <c r="T2865">
        <v>-0.27727309999999999</v>
      </c>
      <c r="U2865">
        <v>-3.0305939999999998</v>
      </c>
      <c r="V2865">
        <v>4.9164119999999999E-2</v>
      </c>
      <c r="W2865">
        <v>3.6921519999999999E-2</v>
      </c>
      <c r="X2865">
        <v>0.998108</v>
      </c>
      <c r="Y2865">
        <v>-0.26409339999999998</v>
      </c>
      <c r="Z2865">
        <v>8.7515850000000006E-2</v>
      </c>
      <c r="AA2865">
        <v>0.96051839999999999</v>
      </c>
      <c r="AB2865">
        <v>25</v>
      </c>
      <c r="AC2865">
        <v>3.6628999999999698</v>
      </c>
      <c r="AD2865">
        <v>-1.11076028956099</v>
      </c>
      <c r="AE2865">
        <v>-12.013400000000001</v>
      </c>
      <c r="AF2865">
        <v>-3.33678074548143</v>
      </c>
      <c r="AG2865">
        <v>-1.11076028956099</v>
      </c>
      <c r="AH2865">
        <v>12.0068974114419</v>
      </c>
      <c r="AI2865">
        <v>95.093443910657498</v>
      </c>
      <c r="AJ2865">
        <v>105.530895281542</v>
      </c>
      <c r="AK2865">
        <v>12.5113340461028</v>
      </c>
      <c r="AL2865">
        <v>87.884071689086994</v>
      </c>
      <c r="AM2865">
        <v>87.180042947144599</v>
      </c>
      <c r="AN2865">
        <v>0.99999994449924001</v>
      </c>
    </row>
    <row r="2866" spans="1:40" x14ac:dyDescent="0.25">
      <c r="A2866" t="str">
        <f>"20190312154851177"</f>
        <v>20190312154851177</v>
      </c>
      <c r="B2866" t="str">
        <f>"1552376931168703"</f>
        <v>1552376931168703</v>
      </c>
      <c r="C2866" t="s">
        <v>40</v>
      </c>
      <c r="D2866">
        <v>4.6464410000000003</v>
      </c>
      <c r="E2866">
        <v>0.37780659999999999</v>
      </c>
      <c r="F2866" t="s">
        <v>42</v>
      </c>
      <c r="G2866">
        <v>-488.15539999999999</v>
      </c>
      <c r="H2866" s="1">
        <v>-4.2560350000000003E-6</v>
      </c>
      <c r="I2866">
        <v>238.791</v>
      </c>
      <c r="J2866">
        <v>-491.80709999999999</v>
      </c>
      <c r="K2866">
        <v>1.1107560000000001</v>
      </c>
      <c r="L2866">
        <v>250.74449999999999</v>
      </c>
      <c r="M2866">
        <v>2.5398179999999999E-2</v>
      </c>
      <c r="N2866">
        <v>0</v>
      </c>
      <c r="O2866">
        <v>-0.99958899999999995</v>
      </c>
      <c r="P2866">
        <v>-2.3994700000000001E-2</v>
      </c>
      <c r="Q2866">
        <v>2.3441770000000001E-2</v>
      </c>
      <c r="R2866">
        <v>-0.99943749999999998</v>
      </c>
      <c r="S2866">
        <v>0.91647339999999999</v>
      </c>
      <c r="T2866">
        <v>-0.27846870000000001</v>
      </c>
      <c r="U2866">
        <v>-3.0306090000000001</v>
      </c>
      <c r="V2866">
        <v>4.9315890000000001E-2</v>
      </c>
      <c r="W2866">
        <v>3.6815729999999998E-2</v>
      </c>
      <c r="X2866">
        <v>0.99810449999999995</v>
      </c>
      <c r="Y2866">
        <v>-0.26393470000000002</v>
      </c>
      <c r="Z2866">
        <v>8.7885039999999998E-2</v>
      </c>
      <c r="AA2866">
        <v>0.9605283</v>
      </c>
      <c r="AB2866">
        <v>25</v>
      </c>
      <c r="AC2866">
        <v>3.6516999999999999</v>
      </c>
      <c r="AD2866">
        <v>-1.1107602560349901</v>
      </c>
      <c r="AE2866">
        <v>-11.953499999999901</v>
      </c>
      <c r="AF2866">
        <v>-3.3206721275373199</v>
      </c>
      <c r="AG2866">
        <v>-1.1107602560349901</v>
      </c>
      <c r="AH2866">
        <v>11.948035928677299</v>
      </c>
      <c r="AI2866">
        <v>95.118376019655003</v>
      </c>
      <c r="AJ2866">
        <v>105.53200506928</v>
      </c>
      <c r="AK2866">
        <v>12.450550762032799</v>
      </c>
      <c r="AL2866">
        <v>87.890137301417397</v>
      </c>
      <c r="AM2866">
        <v>87.171341932383896</v>
      </c>
      <c r="AN2866">
        <v>1.00000002395108</v>
      </c>
    </row>
    <row r="2867" spans="1:40" x14ac:dyDescent="0.25">
      <c r="A2867" t="str">
        <f>"20190312154851191"</f>
        <v>20190312154851191</v>
      </c>
      <c r="B2867" t="str">
        <f>"1552376931178464"</f>
        <v>1552376931178464</v>
      </c>
      <c r="C2867" t="s">
        <v>40</v>
      </c>
      <c r="D2867">
        <v>4.6665809999999999</v>
      </c>
      <c r="E2867">
        <v>0.37769459999999999</v>
      </c>
      <c r="F2867" t="s">
        <v>42</v>
      </c>
      <c r="G2867">
        <v>-488.16660000000002</v>
      </c>
      <c r="H2867" s="1">
        <v>-4.2264480000000004E-6</v>
      </c>
      <c r="I2867">
        <v>238.72669999999999</v>
      </c>
      <c r="J2867">
        <v>-491.80279999999999</v>
      </c>
      <c r="K2867">
        <v>1.110752</v>
      </c>
      <c r="L2867">
        <v>250.6027</v>
      </c>
      <c r="M2867">
        <v>2.5944120000000001E-2</v>
      </c>
      <c r="N2867">
        <v>0</v>
      </c>
      <c r="O2867">
        <v>-0.99957490000000004</v>
      </c>
      <c r="P2867">
        <v>-2.369564E-2</v>
      </c>
      <c r="Q2867">
        <v>2.3424400000000001E-2</v>
      </c>
      <c r="R2867">
        <v>-0.99944520000000003</v>
      </c>
      <c r="S2867">
        <v>0.91793820000000004</v>
      </c>
      <c r="T2867">
        <v>-0.28007910000000003</v>
      </c>
      <c r="U2867">
        <v>-3.0303040000000001</v>
      </c>
      <c r="V2867">
        <v>4.9562660000000001E-2</v>
      </c>
      <c r="W2867">
        <v>3.6797620000000003E-2</v>
      </c>
      <c r="X2867">
        <v>0.99809289999999995</v>
      </c>
      <c r="Y2867">
        <v>-0.2638472</v>
      </c>
      <c r="Z2867">
        <v>8.8390830000000004E-2</v>
      </c>
      <c r="AA2867">
        <v>0.96050599999999997</v>
      </c>
      <c r="AB2867">
        <v>25</v>
      </c>
      <c r="AC2867">
        <v>3.6361999999999699</v>
      </c>
      <c r="AD2867">
        <v>-1.110756226448</v>
      </c>
      <c r="AE2867">
        <v>-11.875999999999999</v>
      </c>
      <c r="AF2867">
        <v>-3.3004393342623199</v>
      </c>
      <c r="AG2867">
        <v>-1.110756226448</v>
      </c>
      <c r="AH2867">
        <v>11.8714008662688</v>
      </c>
      <c r="AI2867">
        <v>95.151102857909606</v>
      </c>
      <c r="AJ2867">
        <v>105.536781395441</v>
      </c>
      <c r="AK2867">
        <v>12.37161419223</v>
      </c>
      <c r="AL2867">
        <v>87.891175537886795</v>
      </c>
      <c r="AM2867">
        <v>87.157177887677804</v>
      </c>
      <c r="AN2867">
        <v>0.99999997956717401</v>
      </c>
    </row>
    <row r="2868" spans="1:40" x14ac:dyDescent="0.25">
      <c r="A2868" t="str">
        <f>"20190312154851209"</f>
        <v>20190312154851209</v>
      </c>
      <c r="B2868" t="str">
        <f>"1552376931198960"</f>
        <v>1552376931198960</v>
      </c>
      <c r="C2868" t="s">
        <v>40</v>
      </c>
      <c r="D2868">
        <v>4.6565370000000001</v>
      </c>
      <c r="E2868">
        <v>0.37751059999999997</v>
      </c>
      <c r="F2868" t="s">
        <v>42</v>
      </c>
      <c r="G2868">
        <v>-488.16340000000002</v>
      </c>
      <c r="H2868" s="1">
        <v>-4.1795800000000001E-6</v>
      </c>
      <c r="I2868">
        <v>238.61600000000001</v>
      </c>
      <c r="J2868">
        <v>-491.79640000000001</v>
      </c>
      <c r="K2868">
        <v>1.110751</v>
      </c>
      <c r="L2868">
        <v>250.3921</v>
      </c>
      <c r="M2868">
        <v>2.6751560000000001E-2</v>
      </c>
      <c r="N2868">
        <v>0</v>
      </c>
      <c r="O2868">
        <v>-0.99955340000000004</v>
      </c>
      <c r="P2868">
        <v>-2.3289839999999999E-2</v>
      </c>
      <c r="Q2868">
        <v>2.3260409999999999E-2</v>
      </c>
      <c r="R2868">
        <v>-0.99945810000000002</v>
      </c>
      <c r="S2868">
        <v>0.92001339999999998</v>
      </c>
      <c r="T2868">
        <v>-0.28078509999999901</v>
      </c>
      <c r="U2868">
        <v>-3.0300750000000001</v>
      </c>
      <c r="V2868">
        <v>4.996453E-2</v>
      </c>
      <c r="W2868">
        <v>3.6632270000000001E-2</v>
      </c>
      <c r="X2868">
        <v>0.99807889999999999</v>
      </c>
      <c r="Y2868">
        <v>-0.26368530000000001</v>
      </c>
      <c r="Z2868">
        <v>8.8608779999999998E-2</v>
      </c>
      <c r="AA2868">
        <v>0.96053029999999995</v>
      </c>
      <c r="AB2868">
        <v>25</v>
      </c>
      <c r="AC2868">
        <v>3.63299999999998</v>
      </c>
      <c r="AD2868">
        <v>-1.1107551795799999</v>
      </c>
      <c r="AE2868">
        <v>-11.7761</v>
      </c>
      <c r="AF2868">
        <v>-3.2899165379555799</v>
      </c>
      <c r="AG2868">
        <v>-1.1107551795799999</v>
      </c>
      <c r="AH2868">
        <v>11.773438794887101</v>
      </c>
      <c r="AI2868">
        <v>95.191828830705902</v>
      </c>
      <c r="AJ2868">
        <v>105.612248989618</v>
      </c>
      <c r="AK2868">
        <v>12.2748193042762</v>
      </c>
      <c r="AL2868">
        <v>87.900655691405007</v>
      </c>
      <c r="AM2868">
        <v>87.134125511294002</v>
      </c>
      <c r="AN2868">
        <v>0.99999993404433896</v>
      </c>
    </row>
    <row r="2869" spans="1:40" x14ac:dyDescent="0.25">
      <c r="A2869" t="str">
        <f>"20190312154851224"</f>
        <v>20190312154851224</v>
      </c>
      <c r="B2869" t="str">
        <f>"1552376931218480"</f>
        <v>1552376931218480</v>
      </c>
      <c r="C2869" t="s">
        <v>40</v>
      </c>
      <c r="D2869">
        <v>4.6383460000000003</v>
      </c>
      <c r="E2869">
        <v>0.37728610000000001</v>
      </c>
      <c r="F2869" t="s">
        <v>42</v>
      </c>
      <c r="G2869">
        <v>-488.1814</v>
      </c>
      <c r="H2869" s="1">
        <v>-4.1355959999999997E-6</v>
      </c>
      <c r="I2869">
        <v>238.52099999999999</v>
      </c>
      <c r="J2869">
        <v>-491.79140000000001</v>
      </c>
      <c r="K2869">
        <v>1.110749</v>
      </c>
      <c r="L2869">
        <v>250.22839999999999</v>
      </c>
      <c r="M2869">
        <v>2.7374720000000002E-2</v>
      </c>
      <c r="N2869">
        <v>0</v>
      </c>
      <c r="O2869">
        <v>-0.99953669999999994</v>
      </c>
      <c r="P2869">
        <v>-2.2602580000000001E-2</v>
      </c>
      <c r="Q2869">
        <v>2.3195250000000001E-2</v>
      </c>
      <c r="R2869">
        <v>-0.99947540000000001</v>
      </c>
      <c r="S2869">
        <v>0.92263790000000001</v>
      </c>
      <c r="T2869">
        <v>-0.28348610000000002</v>
      </c>
      <c r="U2869">
        <v>-3.0297390000000002</v>
      </c>
      <c r="V2869">
        <v>4.9900970000000003E-2</v>
      </c>
      <c r="W2869">
        <v>3.6565559999999997E-2</v>
      </c>
      <c r="X2869">
        <v>0.99808459999999999</v>
      </c>
      <c r="Y2869">
        <v>-0.26385340000000002</v>
      </c>
      <c r="Z2869">
        <v>8.9448230000000004E-2</v>
      </c>
      <c r="AA2869">
        <v>0.96040639999999999</v>
      </c>
      <c r="AB2869">
        <v>25</v>
      </c>
      <c r="AC2869">
        <v>3.6100000000000101</v>
      </c>
      <c r="AD2869">
        <v>-1.1107531355959901</v>
      </c>
      <c r="AE2869">
        <v>-11.7074</v>
      </c>
      <c r="AF2869">
        <v>-3.26132387501492</v>
      </c>
      <c r="AG2869">
        <v>-1.1107531355959901</v>
      </c>
      <c r="AH2869">
        <v>11.7056238957417</v>
      </c>
      <c r="AI2869">
        <v>95.222839104740103</v>
      </c>
      <c r="AJ2869">
        <v>105.568459485095</v>
      </c>
      <c r="AK2869">
        <v>12.202116076096701</v>
      </c>
      <c r="AL2869">
        <v>87.904480610340997</v>
      </c>
      <c r="AM2869">
        <v>87.137781449922898</v>
      </c>
      <c r="AN2869">
        <v>1.0000000078711</v>
      </c>
    </row>
    <row r="2870" spans="1:40" x14ac:dyDescent="0.25">
      <c r="A2870" t="str">
        <f>"20190312154851242"</f>
        <v>20190312154851242</v>
      </c>
      <c r="B2870" t="str">
        <f>"1552376931238976"</f>
        <v>1552376931238976</v>
      </c>
      <c r="C2870" t="s">
        <v>40</v>
      </c>
      <c r="D2870">
        <v>4.6717490000000002</v>
      </c>
      <c r="E2870">
        <v>0.37717349999999999</v>
      </c>
      <c r="F2870" t="s">
        <v>42</v>
      </c>
      <c r="G2870">
        <v>-488.18</v>
      </c>
      <c r="H2870" s="1">
        <v>-4.0907620000000001E-6</v>
      </c>
      <c r="I2870">
        <v>238.41589999999999</v>
      </c>
      <c r="J2870">
        <v>-491.78500000000003</v>
      </c>
      <c r="K2870">
        <v>1.110741</v>
      </c>
      <c r="L2870">
        <v>250.02610000000001</v>
      </c>
      <c r="M2870">
        <v>2.8136910000000001E-2</v>
      </c>
      <c r="N2870">
        <v>0</v>
      </c>
      <c r="O2870">
        <v>-0.99951570000000001</v>
      </c>
      <c r="P2870">
        <v>-2.1703429999999999E-2</v>
      </c>
      <c r="Q2870">
        <v>2.360199E-2</v>
      </c>
      <c r="R2870">
        <v>-0.99948599999999999</v>
      </c>
      <c r="S2870">
        <v>0.92608639999999998</v>
      </c>
      <c r="T2870">
        <v>-0.28483239999999999</v>
      </c>
      <c r="U2870">
        <v>-3.0291139999999999</v>
      </c>
      <c r="V2870">
        <v>4.97639E-2</v>
      </c>
      <c r="W2870">
        <v>3.696965E-2</v>
      </c>
      <c r="X2870">
        <v>0.99807659999999998</v>
      </c>
      <c r="Y2870">
        <v>-0.26416279999999998</v>
      </c>
      <c r="Z2870">
        <v>8.9865840000000002E-2</v>
      </c>
      <c r="AA2870">
        <v>0.96028230000000003</v>
      </c>
      <c r="AB2870">
        <v>25</v>
      </c>
      <c r="AC2870">
        <v>3.6050000000000102</v>
      </c>
      <c r="AD2870">
        <v>-1.110745090762</v>
      </c>
      <c r="AE2870">
        <v>-11.610200000000001</v>
      </c>
      <c r="AF2870">
        <v>-3.2497400332757702</v>
      </c>
      <c r="AG2870">
        <v>-1.110745090762</v>
      </c>
      <c r="AH2870">
        <v>11.610125182610901</v>
      </c>
      <c r="AI2870">
        <v>95.263766115870794</v>
      </c>
      <c r="AJ2870">
        <v>105.63723530394201</v>
      </c>
      <c r="AK2870">
        <v>12.107418044175301</v>
      </c>
      <c r="AL2870">
        <v>87.881312382946803</v>
      </c>
      <c r="AM2870">
        <v>87.145607646632698</v>
      </c>
      <c r="AN2870">
        <v>1.0000000501159401</v>
      </c>
    </row>
    <row r="2871" spans="1:40" x14ac:dyDescent="0.25">
      <c r="A2871" t="str">
        <f>"20190312154851254"</f>
        <v>20190312154851254</v>
      </c>
      <c r="B2871" t="str">
        <f>"1552376931248736"</f>
        <v>1552376931248736</v>
      </c>
      <c r="C2871" t="s">
        <v>40</v>
      </c>
      <c r="D2871">
        <v>4.872026</v>
      </c>
      <c r="E2871">
        <v>0.37717349999999999</v>
      </c>
      <c r="F2871" t="s">
        <v>42</v>
      </c>
      <c r="G2871">
        <v>-488.16149999999999</v>
      </c>
      <c r="H2871" s="1">
        <v>-4.012089E-6</v>
      </c>
      <c r="I2871">
        <v>238.22489999999999</v>
      </c>
      <c r="J2871">
        <v>-491.78039999999999</v>
      </c>
      <c r="K2871">
        <v>1.110735</v>
      </c>
      <c r="L2871">
        <v>249.88560000000001</v>
      </c>
      <c r="M2871">
        <v>2.8657700000000001E-2</v>
      </c>
      <c r="N2871">
        <v>0</v>
      </c>
      <c r="O2871">
        <v>-0.99950090000000003</v>
      </c>
      <c r="P2871">
        <v>-2.1046329999999999E-2</v>
      </c>
      <c r="Q2871">
        <v>2.354763E-2</v>
      </c>
      <c r="R2871">
        <v>-0.99950139999999998</v>
      </c>
      <c r="S2871">
        <v>0.92987059999999999</v>
      </c>
      <c r="T2871">
        <v>-0.28504380000000001</v>
      </c>
      <c r="U2871">
        <v>-3.0284879999999998</v>
      </c>
      <c r="V2871">
        <v>4.9628510000000001E-2</v>
      </c>
      <c r="W2871">
        <v>3.6913889999999998E-2</v>
      </c>
      <c r="X2871">
        <v>0.99808540000000001</v>
      </c>
      <c r="Y2871">
        <v>-0.26481110000000002</v>
      </c>
      <c r="Z2871">
        <v>8.9923489999999995E-2</v>
      </c>
      <c r="AA2871">
        <v>0.96009829999999996</v>
      </c>
      <c r="AB2871">
        <v>25</v>
      </c>
      <c r="AC2871">
        <v>3.6188999999999898</v>
      </c>
      <c r="AD2871">
        <v>-1.1107390120889999</v>
      </c>
      <c r="AE2871">
        <v>-11.6607</v>
      </c>
      <c r="AF2871">
        <v>-3.2562650561462299</v>
      </c>
      <c r="AG2871">
        <v>-1.1107390120889999</v>
      </c>
      <c r="AH2871">
        <v>11.6631005872197</v>
      </c>
      <c r="AI2871">
        <v>95.240924188367998</v>
      </c>
      <c r="AJ2871">
        <v>105.599402358688</v>
      </c>
      <c r="AK2871">
        <v>12.1599719809077</v>
      </c>
      <c r="AL2871">
        <v>87.884509366801296</v>
      </c>
      <c r="AM2871">
        <v>87.153385706943197</v>
      </c>
      <c r="AN2871">
        <v>1.0000000449864499</v>
      </c>
    </row>
    <row r="2872" spans="1:40" x14ac:dyDescent="0.25">
      <c r="A2872" t="str">
        <f>"20190312154851267"</f>
        <v>20190312154851267</v>
      </c>
      <c r="B2872" t="str">
        <f>"1552376931258496"</f>
        <v>1552376931258496</v>
      </c>
      <c r="C2872" t="s">
        <v>40</v>
      </c>
      <c r="D2872">
        <v>4.7276020000000001</v>
      </c>
      <c r="E2872">
        <v>0.4003679</v>
      </c>
      <c r="F2872" t="s">
        <v>42</v>
      </c>
      <c r="G2872">
        <v>-488.15170000000001</v>
      </c>
      <c r="H2872" s="1">
        <v>-3.9583150000000001E-6</v>
      </c>
      <c r="I2872">
        <v>238.09549999999999</v>
      </c>
      <c r="J2872">
        <v>-491.77589999999998</v>
      </c>
      <c r="K2872">
        <v>1.1107279999999999</v>
      </c>
      <c r="L2872">
        <v>249.74930000000001</v>
      </c>
      <c r="M2872">
        <v>2.9158130000000001E-2</v>
      </c>
      <c r="N2872">
        <v>0</v>
      </c>
      <c r="O2872">
        <v>-0.99948610000000004</v>
      </c>
      <c r="P2872">
        <v>-2.0185080000000001E-2</v>
      </c>
      <c r="Q2872">
        <v>2.3199000000000001E-2</v>
      </c>
      <c r="R2872">
        <v>-0.9995269</v>
      </c>
      <c r="S2872">
        <v>0.93188479999999996</v>
      </c>
      <c r="T2872">
        <v>-0.2852498</v>
      </c>
      <c r="U2872">
        <v>-3.0278320000000001</v>
      </c>
      <c r="V2872">
        <v>4.9269569999999999E-2</v>
      </c>
      <c r="W2872">
        <v>3.6563169999999999E-2</v>
      </c>
      <c r="X2872">
        <v>0.99811609999999995</v>
      </c>
      <c r="Y2872">
        <v>-0.264968599999999</v>
      </c>
      <c r="Z2872">
        <v>8.9993950000000003E-2</v>
      </c>
      <c r="AA2872">
        <v>0.96004829999999997</v>
      </c>
      <c r="AB2872">
        <v>25</v>
      </c>
      <c r="AC2872">
        <v>3.6241999999999699</v>
      </c>
      <c r="AD2872">
        <v>-1.1107319583149999</v>
      </c>
      <c r="AE2872">
        <v>-11.6538</v>
      </c>
      <c r="AF2872">
        <v>-3.2558571953456101</v>
      </c>
      <c r="AG2872">
        <v>-1.1107319583149999</v>
      </c>
      <c r="AH2872">
        <v>11.6579648713961</v>
      </c>
      <c r="AI2872">
        <v>95.243068145483406</v>
      </c>
      <c r="AJ2872">
        <v>105.604080126702</v>
      </c>
      <c r="AK2872">
        <v>12.1549363018657</v>
      </c>
      <c r="AL2872">
        <v>87.904617732448202</v>
      </c>
      <c r="AM2872">
        <v>87.174027233783207</v>
      </c>
      <c r="AN2872">
        <v>1.00000005250382</v>
      </c>
    </row>
    <row r="2873" spans="1:40" x14ac:dyDescent="0.25">
      <c r="A2873" t="str">
        <f>"20190312154851279"</f>
        <v>20190312154851279</v>
      </c>
      <c r="B2873" t="str">
        <f>"1552376931268256"</f>
        <v>1552376931268256</v>
      </c>
      <c r="C2873" t="s">
        <v>40</v>
      </c>
      <c r="D2873">
        <v>4.7164510000000002</v>
      </c>
      <c r="E2873">
        <v>0.40964450000000002</v>
      </c>
      <c r="F2873" t="s">
        <v>42</v>
      </c>
      <c r="G2873">
        <v>-488.85680000000002</v>
      </c>
      <c r="H2873" s="1">
        <v>-3.780537E-6</v>
      </c>
      <c r="I2873">
        <v>237.9726</v>
      </c>
      <c r="J2873">
        <v>-491.77100000000002</v>
      </c>
      <c r="K2873">
        <v>1.1107149999999999</v>
      </c>
      <c r="L2873">
        <v>249.60230000000001</v>
      </c>
      <c r="M2873">
        <v>2.9685320000000001E-2</v>
      </c>
      <c r="N2873">
        <v>0</v>
      </c>
      <c r="O2873">
        <v>-0.99947079999999999</v>
      </c>
      <c r="P2873">
        <v>-1.9139380000000001E-2</v>
      </c>
      <c r="Q2873">
        <v>2.3324069999999999E-2</v>
      </c>
      <c r="R2873">
        <v>-0.99954480000000001</v>
      </c>
      <c r="S2873">
        <v>0.74935909999999994</v>
      </c>
      <c r="T2873">
        <v>-0.28513149999999998</v>
      </c>
      <c r="U2873">
        <v>-3.0231479999999999</v>
      </c>
      <c r="V2873">
        <v>4.875235E-2</v>
      </c>
      <c r="W2873">
        <v>3.6685160000000001E-2</v>
      </c>
      <c r="X2873">
        <v>0.99813700000000005</v>
      </c>
      <c r="Y2873">
        <v>-0.2106645</v>
      </c>
      <c r="Z2873">
        <v>9.141341E-2</v>
      </c>
      <c r="AA2873">
        <v>0.97327490000000005</v>
      </c>
      <c r="AB2873">
        <v>25</v>
      </c>
      <c r="AC2873">
        <v>2.91419999999993</v>
      </c>
      <c r="AD2873">
        <v>-1.11071878053699</v>
      </c>
      <c r="AE2873">
        <v>-11.6297</v>
      </c>
      <c r="AF2873">
        <v>-2.5458037334747101</v>
      </c>
      <c r="AG2873">
        <v>-1.11071878053699</v>
      </c>
      <c r="AH2873">
        <v>11.6114331710132</v>
      </c>
      <c r="AI2873">
        <v>95.338098080212006</v>
      </c>
      <c r="AJ2873">
        <v>102.36640999405201</v>
      </c>
      <c r="AK2873">
        <v>11.9390197731522</v>
      </c>
      <c r="AL2873">
        <v>87.897623484533298</v>
      </c>
      <c r="AM2873">
        <v>87.203704734040898</v>
      </c>
      <c r="AN2873">
        <v>1.00000003168187</v>
      </c>
    </row>
    <row r="2874" spans="1:40" x14ac:dyDescent="0.25">
      <c r="A2874" t="str">
        <f>"20190312154851291"</f>
        <v>20190312154851291</v>
      </c>
      <c r="B2874" t="str">
        <f>"1552376931278992"</f>
        <v>1552376931278992</v>
      </c>
      <c r="C2874" t="s">
        <v>40</v>
      </c>
      <c r="D2874">
        <v>4.5699420000000002</v>
      </c>
      <c r="E2874">
        <v>0.41873719999999998</v>
      </c>
      <c r="F2874" t="s">
        <v>42</v>
      </c>
      <c r="G2874">
        <v>-488.76620000000003</v>
      </c>
      <c r="H2874" s="1">
        <v>-3.0314470000000001E-6</v>
      </c>
      <c r="I2874">
        <v>236.18899999999999</v>
      </c>
      <c r="J2874">
        <v>-491.76679999999999</v>
      </c>
      <c r="K2874">
        <v>1.1106990000000001</v>
      </c>
      <c r="L2874">
        <v>249.47739999999999</v>
      </c>
      <c r="M2874">
        <v>3.0125880000000001E-2</v>
      </c>
      <c r="N2874">
        <v>0</v>
      </c>
      <c r="O2874">
        <v>-0.99945779999999995</v>
      </c>
      <c r="P2874">
        <v>-1.8423149999999999E-2</v>
      </c>
      <c r="Q2874">
        <v>2.343054E-2</v>
      </c>
      <c r="R2874">
        <v>-0.99955640000000001</v>
      </c>
      <c r="S2874">
        <v>0.67657469999999997</v>
      </c>
      <c r="T2874">
        <v>-0.25009189999999998</v>
      </c>
      <c r="U2874">
        <v>-3.0201720000000001</v>
      </c>
      <c r="V2874">
        <v>4.847771E-2</v>
      </c>
      <c r="W2874">
        <v>3.6789049999999997E-2</v>
      </c>
      <c r="X2874">
        <v>0.99814650000000005</v>
      </c>
      <c r="Y2874">
        <v>-0.18838840000000001</v>
      </c>
      <c r="Z2874">
        <v>8.0736520000000006E-2</v>
      </c>
      <c r="AA2874">
        <v>0.97877040000000004</v>
      </c>
      <c r="AB2874">
        <v>25</v>
      </c>
      <c r="AC2874">
        <v>3.00059999999996</v>
      </c>
      <c r="AD2874">
        <v>-1.110702031447</v>
      </c>
      <c r="AE2874">
        <v>-13.2883999999999</v>
      </c>
      <c r="AF2874">
        <v>-2.5817160397926502</v>
      </c>
      <c r="AG2874">
        <v>-1.110702031447</v>
      </c>
      <c r="AH2874">
        <v>13.2844640399023</v>
      </c>
      <c r="AI2874">
        <v>94.691952679523098</v>
      </c>
      <c r="AJ2874">
        <v>100.99782979374299</v>
      </c>
      <c r="AK2874">
        <v>13.5785088113622</v>
      </c>
      <c r="AL2874">
        <v>87.891666894261704</v>
      </c>
      <c r="AM2874">
        <v>87.219458929849793</v>
      </c>
      <c r="AN2874">
        <v>0.999999979014498</v>
      </c>
    </row>
    <row r="2875" spans="1:40" x14ac:dyDescent="0.25">
      <c r="A2875" t="str">
        <f>"20190312154851309"</f>
        <v>20190312154851309</v>
      </c>
      <c r="B2875" t="str">
        <f>"1552376931298512"</f>
        <v>1552376931298512</v>
      </c>
      <c r="C2875" t="s">
        <v>40</v>
      </c>
      <c r="D2875">
        <v>4.6314469999999996</v>
      </c>
      <c r="E2875">
        <v>0.42924590000000001</v>
      </c>
      <c r="F2875" t="s">
        <v>42</v>
      </c>
      <c r="G2875">
        <v>-488.90910000000002</v>
      </c>
      <c r="H2875" s="1">
        <v>-2.5974779999999999E-6</v>
      </c>
      <c r="I2875">
        <v>235.23650000000001</v>
      </c>
      <c r="J2875">
        <v>-491.76029999999997</v>
      </c>
      <c r="K2875">
        <v>1.1106799999999999</v>
      </c>
      <c r="L2875">
        <v>249.28550000000001</v>
      </c>
      <c r="M2875">
        <v>3.078993E-2</v>
      </c>
      <c r="N2875">
        <v>0</v>
      </c>
      <c r="O2875">
        <v>-0.99943729999999997</v>
      </c>
      <c r="P2875">
        <v>-1.6784219999999999E-2</v>
      </c>
      <c r="Q2875">
        <v>2.3360479999999999E-2</v>
      </c>
      <c r="R2875">
        <v>-0.99958659999999999</v>
      </c>
      <c r="S2875">
        <v>0.60562130000000003</v>
      </c>
      <c r="T2875">
        <v>-0.23538719999999999</v>
      </c>
      <c r="U2875">
        <v>-3.0180359999999999</v>
      </c>
      <c r="V2875">
        <v>4.7505600000000002E-2</v>
      </c>
      <c r="W2875">
        <v>3.671518E-2</v>
      </c>
      <c r="X2875">
        <v>0.99819599999999997</v>
      </c>
      <c r="Y2875">
        <v>-0.16588639999999999</v>
      </c>
      <c r="Z2875">
        <v>7.6406840000000004E-2</v>
      </c>
      <c r="AA2875">
        <v>0.98318039999999995</v>
      </c>
      <c r="AB2875">
        <v>25</v>
      </c>
      <c r="AC2875">
        <v>2.85119999999994</v>
      </c>
      <c r="AD2875">
        <v>-1.1106825974779999</v>
      </c>
      <c r="AE2875">
        <v>-14.048999999999999</v>
      </c>
      <c r="AF2875">
        <v>-2.40281806903308</v>
      </c>
      <c r="AG2875">
        <v>-1.1106825974779999</v>
      </c>
      <c r="AH2875">
        <v>14.045818430634601</v>
      </c>
      <c r="AI2875">
        <v>94.456816923771797</v>
      </c>
      <c r="AJ2875">
        <v>99.7076188984814</v>
      </c>
      <c r="AK2875">
        <v>14.2930810496396</v>
      </c>
      <c r="AL2875">
        <v>87.895902282111905</v>
      </c>
      <c r="AM2875">
        <v>87.275266372858894</v>
      </c>
      <c r="AN2875">
        <v>1.00000002044489</v>
      </c>
    </row>
    <row r="2876" spans="1:40" x14ac:dyDescent="0.25">
      <c r="A2876" t="str">
        <f>"20190312154851320"</f>
        <v>20190312154851320</v>
      </c>
      <c r="B2876" t="str">
        <f>"1552376931308272"</f>
        <v>1552376931308272</v>
      </c>
      <c r="C2876" t="s">
        <v>40</v>
      </c>
      <c r="D2876">
        <v>4.5882579999999997</v>
      </c>
      <c r="E2876">
        <v>0.43218669999999998</v>
      </c>
      <c r="F2876" t="s">
        <v>42</v>
      </c>
      <c r="G2876">
        <v>-489.05900000000003</v>
      </c>
      <c r="H2876" s="1">
        <v>-1.9624859999999999E-6</v>
      </c>
      <c r="I2876">
        <v>233.81829999999999</v>
      </c>
      <c r="J2876">
        <v>-491.75560000000002</v>
      </c>
      <c r="K2876">
        <v>1.1106689999999999</v>
      </c>
      <c r="L2876">
        <v>249.15020000000001</v>
      </c>
      <c r="M2876">
        <v>3.124497E-2</v>
      </c>
      <c r="N2876">
        <v>0</v>
      </c>
      <c r="O2876">
        <v>-0.99942319999999996</v>
      </c>
      <c r="P2876">
        <v>-1.574064E-2</v>
      </c>
      <c r="Q2876">
        <v>2.3327609999999999E-2</v>
      </c>
      <c r="R2876">
        <v>-0.99960420000000005</v>
      </c>
      <c r="S2876">
        <v>0.52658079999999996</v>
      </c>
      <c r="T2876">
        <v>-0.2165135</v>
      </c>
      <c r="U2876">
        <v>-3.0151370000000002</v>
      </c>
      <c r="V2876">
        <v>4.6918969999999997E-2</v>
      </c>
      <c r="W2876">
        <v>3.6679450000000002E-2</v>
      </c>
      <c r="X2876">
        <v>0.99822500000000003</v>
      </c>
      <c r="Y2876">
        <v>-0.14074579999999901</v>
      </c>
      <c r="Z2876">
        <v>7.0683609999999994E-2</v>
      </c>
      <c r="AA2876">
        <v>0.98751929999999999</v>
      </c>
      <c r="AB2876">
        <v>25</v>
      </c>
      <c r="AC2876">
        <v>2.6965999999999801</v>
      </c>
      <c r="AD2876">
        <v>-1.1106709624860001</v>
      </c>
      <c r="AE2876">
        <v>-15.331899999999999</v>
      </c>
      <c r="AF2876">
        <v>-2.2049719242633201</v>
      </c>
      <c r="AG2876">
        <v>-1.1106709624860001</v>
      </c>
      <c r="AH2876">
        <v>15.3306372726114</v>
      </c>
      <c r="AI2876">
        <v>94.101652829094903</v>
      </c>
      <c r="AJ2876">
        <v>98.184597538391799</v>
      </c>
      <c r="AK2876">
        <v>15.528165711315699</v>
      </c>
      <c r="AL2876">
        <v>87.897950715558906</v>
      </c>
      <c r="AM2876">
        <v>87.308941447778395</v>
      </c>
      <c r="AN2876">
        <v>0.99999996121158097</v>
      </c>
    </row>
    <row r="2877" spans="1:40" x14ac:dyDescent="0.25">
      <c r="A2877" t="str">
        <f>"20190312154851333"</f>
        <v>20190312154851333</v>
      </c>
      <c r="B2877" t="str">
        <f>"1552376931328767"</f>
        <v>1552376931328767</v>
      </c>
      <c r="C2877" t="s">
        <v>40</v>
      </c>
      <c r="D2877">
        <v>4.5209530000000004</v>
      </c>
      <c r="E2877">
        <v>0.4358091</v>
      </c>
      <c r="F2877" t="s">
        <v>42</v>
      </c>
      <c r="G2877">
        <v>-489.10890000000001</v>
      </c>
      <c r="H2877" s="1">
        <v>-1.759921E-6</v>
      </c>
      <c r="I2877">
        <v>233.36670000000001</v>
      </c>
      <c r="J2877">
        <v>-491.75080000000003</v>
      </c>
      <c r="K2877">
        <v>1.1106560000000001</v>
      </c>
      <c r="L2877">
        <v>249.01169999999999</v>
      </c>
      <c r="M2877">
        <v>3.1699060000000001E-2</v>
      </c>
      <c r="N2877">
        <v>0</v>
      </c>
      <c r="O2877">
        <v>-0.99940879999999999</v>
      </c>
      <c r="P2877">
        <v>-1.4936140000000001E-2</v>
      </c>
      <c r="Q2877">
        <v>2.30409E-2</v>
      </c>
      <c r="R2877">
        <v>-0.99962329999999999</v>
      </c>
      <c r="S2877">
        <v>0.50543209999999905</v>
      </c>
      <c r="T2877">
        <v>-0.21209939999999999</v>
      </c>
      <c r="U2877">
        <v>-3.0140989999999999</v>
      </c>
      <c r="V2877">
        <v>4.6570800000000002E-2</v>
      </c>
      <c r="W2877">
        <v>3.6390680000000002E-2</v>
      </c>
      <c r="X2877">
        <v>0.99825189999999997</v>
      </c>
      <c r="Y2877">
        <v>-0.1336338</v>
      </c>
      <c r="Z2877">
        <v>6.9346350000000001E-2</v>
      </c>
      <c r="AA2877">
        <v>0.98860159999999997</v>
      </c>
      <c r="AB2877">
        <v>25</v>
      </c>
      <c r="AC2877">
        <v>2.6419000000000201</v>
      </c>
      <c r="AD2877">
        <v>-1.1106577599209999</v>
      </c>
      <c r="AE2877">
        <v>-15.6449999999999</v>
      </c>
      <c r="AF2877">
        <v>-2.1341390163404199</v>
      </c>
      <c r="AG2877">
        <v>-1.1106577599209999</v>
      </c>
      <c r="AH2877">
        <v>15.6442323442845</v>
      </c>
      <c r="AI2877">
        <v>94.023740460803296</v>
      </c>
      <c r="AJ2877">
        <v>97.768166873977506</v>
      </c>
      <c r="AK2877">
        <v>15.828143152078701</v>
      </c>
      <c r="AL2877">
        <v>87.914507128788102</v>
      </c>
      <c r="AM2877">
        <v>87.328953739064005</v>
      </c>
      <c r="AN2877">
        <v>0.99999998842855597</v>
      </c>
    </row>
    <row r="2878" spans="1:40" x14ac:dyDescent="0.25">
      <c r="A2878" t="str">
        <f>"20190312154851345"</f>
        <v>20190312154851345</v>
      </c>
      <c r="B2878" t="str">
        <f>"1552376931338528"</f>
        <v>1552376931338528</v>
      </c>
      <c r="C2878" t="s">
        <v>40</v>
      </c>
      <c r="D2878">
        <v>4.5405759999999997</v>
      </c>
      <c r="E2878">
        <v>0.43695640000000002</v>
      </c>
      <c r="F2878" t="s">
        <v>42</v>
      </c>
      <c r="G2878">
        <v>-489.25119999999998</v>
      </c>
      <c r="H2878" s="1">
        <v>-1.7052709999999901E-6</v>
      </c>
      <c r="I2878">
        <v>233.29820000000001</v>
      </c>
      <c r="J2878">
        <v>-491.74619999999999</v>
      </c>
      <c r="K2878">
        <v>1.110643</v>
      </c>
      <c r="L2878">
        <v>248.88409999999999</v>
      </c>
      <c r="M2878">
        <v>3.2112620000000001E-2</v>
      </c>
      <c r="N2878">
        <v>0</v>
      </c>
      <c r="O2878">
        <v>-0.9993957</v>
      </c>
      <c r="P2878">
        <v>-1.3953180000000001E-2</v>
      </c>
      <c r="Q2878">
        <v>2.2887770000000002E-2</v>
      </c>
      <c r="R2878">
        <v>-0.9996408</v>
      </c>
      <c r="S2878">
        <v>0.47930909999999899</v>
      </c>
      <c r="T2878">
        <v>-0.2129761</v>
      </c>
      <c r="U2878">
        <v>-3.0131839999999999</v>
      </c>
      <c r="V2878">
        <v>4.6003460000000003E-2</v>
      </c>
      <c r="W2878">
        <v>3.6234849999999999E-2</v>
      </c>
      <c r="X2878">
        <v>0.9982839</v>
      </c>
      <c r="Y2878">
        <v>-0.1249154</v>
      </c>
      <c r="Z2878">
        <v>6.9738919999999996E-2</v>
      </c>
      <c r="AA2878">
        <v>0.98971339999999997</v>
      </c>
      <c r="AB2878">
        <v>25</v>
      </c>
      <c r="AC2878">
        <v>2.4950000000000001</v>
      </c>
      <c r="AD2878">
        <v>-1.110644705271</v>
      </c>
      <c r="AE2878">
        <v>-15.585899999999899</v>
      </c>
      <c r="AF2878">
        <v>-1.98334495826257</v>
      </c>
      <c r="AG2878">
        <v>-1.110644705271</v>
      </c>
      <c r="AH2878">
        <v>15.580846732473001</v>
      </c>
      <c r="AI2878">
        <v>94.044772042008702</v>
      </c>
      <c r="AJ2878">
        <v>97.254381911539198</v>
      </c>
      <c r="AK2878">
        <v>15.745792256524499</v>
      </c>
      <c r="AL2878">
        <v>87.923441475418102</v>
      </c>
      <c r="AM2878">
        <v>87.361531447870505</v>
      </c>
      <c r="AN2878">
        <v>1.00000001384285</v>
      </c>
    </row>
    <row r="2879" spans="1:40" x14ac:dyDescent="0.25">
      <c r="A2879" t="str">
        <f>"20190312154851356"</f>
        <v>20190312154851356</v>
      </c>
      <c r="B2879" t="str">
        <f>"1552376931348288"</f>
        <v>1552376931348288</v>
      </c>
      <c r="C2879" t="s">
        <v>40</v>
      </c>
      <c r="D2879">
        <v>4.5721800000000004</v>
      </c>
      <c r="E2879">
        <v>0.43823590000000001</v>
      </c>
      <c r="F2879" t="s">
        <v>42</v>
      </c>
      <c r="G2879">
        <v>-489.33280000000002</v>
      </c>
      <c r="H2879" s="1">
        <v>-1.7809519999999999E-6</v>
      </c>
      <c r="I2879">
        <v>233.50829999999999</v>
      </c>
      <c r="J2879">
        <v>-491.74160000000001</v>
      </c>
      <c r="K2879">
        <v>1.1106320000000001</v>
      </c>
      <c r="L2879">
        <v>248.75380000000001</v>
      </c>
      <c r="M2879">
        <v>3.2516509999999998E-2</v>
      </c>
      <c r="N2879">
        <v>0</v>
      </c>
      <c r="O2879">
        <v>-0.99938260000000001</v>
      </c>
      <c r="P2879">
        <v>-1.312638E-2</v>
      </c>
      <c r="Q2879">
        <v>2.2726670000000001E-2</v>
      </c>
      <c r="R2879">
        <v>-0.99965579999999998</v>
      </c>
      <c r="S2879">
        <v>0.47286990000000001</v>
      </c>
      <c r="T2879">
        <v>-0.217616</v>
      </c>
      <c r="U2879">
        <v>-3.0126650000000001</v>
      </c>
      <c r="V2879">
        <v>4.5582629999999999E-2</v>
      </c>
      <c r="W2879">
        <v>3.6070930000000001E-2</v>
      </c>
      <c r="X2879">
        <v>0.99830909999999995</v>
      </c>
      <c r="Y2879">
        <v>-0.12245979999999999</v>
      </c>
      <c r="Z2879">
        <v>7.1283940000000004E-2</v>
      </c>
      <c r="AA2879">
        <v>0.98991019999999996</v>
      </c>
      <c r="AB2879">
        <v>25</v>
      </c>
      <c r="AC2879">
        <v>2.4087999999999798</v>
      </c>
      <c r="AD2879">
        <v>-1.1106337809519999</v>
      </c>
      <c r="AE2879">
        <v>-15.2455</v>
      </c>
      <c r="AF2879">
        <v>-1.90190386402127</v>
      </c>
      <c r="AG2879">
        <v>-1.1106337809519999</v>
      </c>
      <c r="AH2879">
        <v>15.236875136305599</v>
      </c>
      <c r="AI2879">
        <v>94.136992693986201</v>
      </c>
      <c r="AJ2879">
        <v>97.114998952411796</v>
      </c>
      <c r="AK2879">
        <v>15.3952300932055</v>
      </c>
      <c r="AL2879">
        <v>87.932839460139803</v>
      </c>
      <c r="AM2879">
        <v>87.385699864857898</v>
      </c>
      <c r="AN2879">
        <v>0.99999997364579496</v>
      </c>
    </row>
    <row r="2880" spans="1:40" x14ac:dyDescent="0.25">
      <c r="A2880" t="str">
        <f>"20190312154851368"</f>
        <v>20190312154851368</v>
      </c>
      <c r="B2880" t="str">
        <f>"1552376931358048"</f>
        <v>1552376931358048</v>
      </c>
      <c r="C2880" t="s">
        <v>40</v>
      </c>
      <c r="D2880">
        <v>4.5873850000000003</v>
      </c>
      <c r="E2880">
        <v>0.43930940000000002</v>
      </c>
      <c r="F2880" t="s">
        <v>42</v>
      </c>
      <c r="G2880">
        <v>-489.34500000000003</v>
      </c>
      <c r="H2880" s="1">
        <v>-1.6549579999999999E-6</v>
      </c>
      <c r="I2880">
        <v>233.21969999999999</v>
      </c>
      <c r="J2880">
        <v>-491.73680000000002</v>
      </c>
      <c r="K2880">
        <v>1.1106180000000001</v>
      </c>
      <c r="L2880">
        <v>248.62209999999999</v>
      </c>
      <c r="M2880">
        <v>3.291972E-2</v>
      </c>
      <c r="N2880">
        <v>0</v>
      </c>
      <c r="O2880">
        <v>-0.99936939999999996</v>
      </c>
      <c r="P2880">
        <v>-1.222151E-2</v>
      </c>
      <c r="Q2880">
        <v>2.274143E-2</v>
      </c>
      <c r="R2880">
        <v>-0.99966690000000002</v>
      </c>
      <c r="S2880">
        <v>0.46469120000000003</v>
      </c>
      <c r="T2880">
        <v>-0.21534990000000001</v>
      </c>
      <c r="U2880">
        <v>-3.0120390000000001</v>
      </c>
      <c r="V2880">
        <v>4.5082749999999998E-2</v>
      </c>
      <c r="W2880">
        <v>3.6083320000000002E-2</v>
      </c>
      <c r="X2880">
        <v>0.99833139999999998</v>
      </c>
      <c r="Y2880">
        <v>-0.1194735</v>
      </c>
      <c r="Z2880">
        <v>7.0585850000000006E-2</v>
      </c>
      <c r="AA2880">
        <v>0.99032500000000001</v>
      </c>
      <c r="AB2880">
        <v>25</v>
      </c>
      <c r="AC2880">
        <v>2.3917999999999799</v>
      </c>
      <c r="AD2880">
        <v>-1.1106196549580001</v>
      </c>
      <c r="AE2880">
        <v>-15.4024</v>
      </c>
      <c r="AF2880">
        <v>-1.8739020493428</v>
      </c>
      <c r="AG2880">
        <v>-1.1106196549580001</v>
      </c>
      <c r="AH2880">
        <v>15.394636491422901</v>
      </c>
      <c r="AI2880">
        <v>94.096226059753107</v>
      </c>
      <c r="AJ2880">
        <v>96.940148677588496</v>
      </c>
      <c r="AK2880">
        <v>15.547984358480701</v>
      </c>
      <c r="AL2880">
        <v>87.932129203585006</v>
      </c>
      <c r="AM2880">
        <v>87.414388031423698</v>
      </c>
      <c r="AN2880">
        <v>1.00000002227787</v>
      </c>
    </row>
    <row r="2881" spans="1:40" x14ac:dyDescent="0.25">
      <c r="A2881" t="str">
        <f>"20190312154851387"</f>
        <v>20190312154851387</v>
      </c>
      <c r="B2881" t="str">
        <f>"1552376931378547"</f>
        <v>1552376931378547</v>
      </c>
      <c r="C2881" t="s">
        <v>40</v>
      </c>
      <c r="D2881">
        <v>4.5869929999999997</v>
      </c>
      <c r="E2881">
        <v>0.44083519999999998</v>
      </c>
      <c r="F2881" t="s">
        <v>42</v>
      </c>
      <c r="G2881">
        <v>-489.35419999999999</v>
      </c>
      <c r="H2881" s="1">
        <v>-1.5581219999999999E-6</v>
      </c>
      <c r="I2881">
        <v>232.99780000000001</v>
      </c>
      <c r="J2881">
        <v>-491.72949999999997</v>
      </c>
      <c r="K2881">
        <v>1.1105969999999901</v>
      </c>
      <c r="L2881">
        <v>248.42230000000001</v>
      </c>
      <c r="M2881">
        <v>3.3510529999999997E-2</v>
      </c>
      <c r="N2881">
        <v>0</v>
      </c>
      <c r="O2881">
        <v>-0.99934999999999996</v>
      </c>
      <c r="P2881">
        <v>-1.1018740000000001E-2</v>
      </c>
      <c r="Q2881">
        <v>2.267684E-2</v>
      </c>
      <c r="R2881">
        <v>-0.99968239999999997</v>
      </c>
      <c r="S2881">
        <v>0.45922849999999998</v>
      </c>
      <c r="T2881">
        <v>-0.21406510000000001</v>
      </c>
      <c r="U2881">
        <v>-3.0114899999999998</v>
      </c>
      <c r="V2881">
        <v>4.4473539999999999E-2</v>
      </c>
      <c r="W2881">
        <v>3.6014699999999997E-2</v>
      </c>
      <c r="X2881">
        <v>0.99836119999999995</v>
      </c>
      <c r="Y2881">
        <v>-0.1171625</v>
      </c>
      <c r="Z2881">
        <v>7.0196590000000003E-2</v>
      </c>
      <c r="AA2881">
        <v>0.99062879999999998</v>
      </c>
      <c r="AB2881">
        <v>25</v>
      </c>
      <c r="AC2881">
        <v>2.3752999999999802</v>
      </c>
      <c r="AD2881">
        <v>-1.1105985581219999</v>
      </c>
      <c r="AE2881">
        <v>-15.424499999999901</v>
      </c>
      <c r="AF2881">
        <v>-1.8476798192497501</v>
      </c>
      <c r="AG2881">
        <v>-1.1105985581219999</v>
      </c>
      <c r="AH2881">
        <v>15.4173630906865</v>
      </c>
      <c r="AI2881">
        <v>94.091043453010201</v>
      </c>
      <c r="AJ2881">
        <v>96.833966962293303</v>
      </c>
      <c r="AK2881">
        <v>15.5673515583682</v>
      </c>
      <c r="AL2881">
        <v>87.9360633923623</v>
      </c>
      <c r="AM2881">
        <v>87.4493573699107</v>
      </c>
      <c r="AN2881">
        <v>1.0000000200208301</v>
      </c>
    </row>
    <row r="2882" spans="1:40" x14ac:dyDescent="0.25">
      <c r="A2882" t="str">
        <f>"20190312154851398"</f>
        <v>20190312154851398</v>
      </c>
      <c r="B2882" t="str">
        <f>"1552376931388304"</f>
        <v>1552376931388304</v>
      </c>
      <c r="C2882" t="s">
        <v>40</v>
      </c>
      <c r="D2882">
        <v>4.6049759999999997</v>
      </c>
      <c r="E2882">
        <v>0.44155149999999999</v>
      </c>
      <c r="F2882" t="s">
        <v>42</v>
      </c>
      <c r="G2882">
        <v>-489.43110000000001</v>
      </c>
      <c r="H2882" s="1">
        <v>-1.57204E-6</v>
      </c>
      <c r="I2882">
        <v>233.06200000000001</v>
      </c>
      <c r="J2882">
        <v>-491.72489999999999</v>
      </c>
      <c r="K2882">
        <v>1.1105860000000001</v>
      </c>
      <c r="L2882">
        <v>248.29650000000001</v>
      </c>
      <c r="M2882">
        <v>3.3869419999999997E-2</v>
      </c>
      <c r="N2882">
        <v>0</v>
      </c>
      <c r="O2882">
        <v>-0.99933810000000001</v>
      </c>
      <c r="P2882">
        <v>-1.047381E-2</v>
      </c>
      <c r="Q2882">
        <v>2.2335509999999999E-2</v>
      </c>
      <c r="R2882">
        <v>-0.99969629999999998</v>
      </c>
      <c r="S2882">
        <v>0.45053100000000001</v>
      </c>
      <c r="T2882">
        <v>-0.217696</v>
      </c>
      <c r="U2882">
        <v>-3.0108799999999998</v>
      </c>
      <c r="V2882">
        <v>4.4289490000000001E-2</v>
      </c>
      <c r="W2882">
        <v>3.5671609999999999E-2</v>
      </c>
      <c r="X2882">
        <v>0.99838170000000004</v>
      </c>
      <c r="Y2882">
        <v>-0.1140245</v>
      </c>
      <c r="Z2882">
        <v>7.1422429999999995E-2</v>
      </c>
      <c r="AA2882">
        <v>0.99090730000000005</v>
      </c>
      <c r="AB2882">
        <v>25</v>
      </c>
      <c r="AC2882">
        <v>2.2937999999999699</v>
      </c>
      <c r="AD2882">
        <v>-1.11058757204</v>
      </c>
      <c r="AE2882">
        <v>-15.234499999999899</v>
      </c>
      <c r="AF2882">
        <v>-1.76727090873448</v>
      </c>
      <c r="AG2882">
        <v>-1.11058757204</v>
      </c>
      <c r="AH2882">
        <v>15.224340663233599</v>
      </c>
      <c r="AI2882">
        <v>94.144498960879503</v>
      </c>
      <c r="AJ2882">
        <v>96.621369999245601</v>
      </c>
      <c r="AK2882">
        <v>15.3667563216906</v>
      </c>
      <c r="AL2882">
        <v>87.955733642187894</v>
      </c>
      <c r="AM2882">
        <v>87.4599512237086</v>
      </c>
      <c r="AN2882">
        <v>1.00000002078967</v>
      </c>
    </row>
    <row r="2883" spans="1:40" x14ac:dyDescent="0.25">
      <c r="A2883" t="str">
        <f>"20190312154851411"</f>
        <v>20190312154851411</v>
      </c>
      <c r="B2883" t="str">
        <f>"1552376931399039"</f>
        <v>1552376931399039</v>
      </c>
      <c r="C2883" t="s">
        <v>40</v>
      </c>
      <c r="D2883">
        <v>4.5937340000000004</v>
      </c>
      <c r="E2883">
        <v>0.44209670000000001</v>
      </c>
      <c r="F2883" t="s">
        <v>42</v>
      </c>
      <c r="G2883">
        <v>-489.43490000000003</v>
      </c>
      <c r="H2883" s="1">
        <v>-1.474874E-6</v>
      </c>
      <c r="I2883">
        <v>232.83709999999999</v>
      </c>
      <c r="J2883">
        <v>-491.71969999999999</v>
      </c>
      <c r="K2883">
        <v>1.110573</v>
      </c>
      <c r="L2883">
        <v>248.1566</v>
      </c>
      <c r="M2883">
        <v>3.4263380000000003E-2</v>
      </c>
      <c r="N2883">
        <v>0</v>
      </c>
      <c r="O2883">
        <v>-0.9993244</v>
      </c>
      <c r="P2883">
        <v>-9.7559780000000002E-3</v>
      </c>
      <c r="Q2883">
        <v>2.2209179999999999E-2</v>
      </c>
      <c r="R2883">
        <v>-0.99970599999999998</v>
      </c>
      <c r="S2883">
        <v>0.44592290000000001</v>
      </c>
      <c r="T2883">
        <v>-0.21626590000000001</v>
      </c>
      <c r="U2883">
        <v>-3.010437</v>
      </c>
      <c r="V2883">
        <v>4.3967409999999998E-2</v>
      </c>
      <c r="W2883">
        <v>3.5542459999999998E-2</v>
      </c>
      <c r="X2883">
        <v>0.99840050000000002</v>
      </c>
      <c r="Y2883">
        <v>-0.1121747</v>
      </c>
      <c r="Z2883">
        <v>7.0979890000000004E-2</v>
      </c>
      <c r="AA2883">
        <v>0.99115019999999998</v>
      </c>
      <c r="AB2883">
        <v>25</v>
      </c>
      <c r="AC2883">
        <v>2.2847999999999602</v>
      </c>
      <c r="AD2883">
        <v>-1.1105744748739901</v>
      </c>
      <c r="AE2883">
        <v>-15.3195</v>
      </c>
      <c r="AF2883">
        <v>-1.7495196013021099</v>
      </c>
      <c r="AG2883">
        <v>-1.1105744748739901</v>
      </c>
      <c r="AH2883">
        <v>15.310085372033299</v>
      </c>
      <c r="AI2883">
        <v>94.122164199864699</v>
      </c>
      <c r="AJ2883">
        <v>96.519046523041695</v>
      </c>
      <c r="AK2883">
        <v>15.4496895955398</v>
      </c>
      <c r="AL2883">
        <v>87.963138002205</v>
      </c>
      <c r="AM2883">
        <v>87.478446341084606</v>
      </c>
      <c r="AN2883">
        <v>0.99999997900260396</v>
      </c>
    </row>
    <row r="2884" spans="1:40" x14ac:dyDescent="0.25">
      <c r="A2884" t="str">
        <f>"20190312154851424"</f>
        <v>20190312154851424</v>
      </c>
      <c r="B2884" t="str">
        <f>"1552376931418560"</f>
        <v>1552376931418560</v>
      </c>
      <c r="C2884" t="s">
        <v>40</v>
      </c>
      <c r="D2884">
        <v>4.6085140000000004</v>
      </c>
      <c r="E2884">
        <v>0.443191</v>
      </c>
      <c r="F2884" t="s">
        <v>42</v>
      </c>
      <c r="G2884">
        <v>-489.42439999999999</v>
      </c>
      <c r="H2884" s="1">
        <v>-1.3657579999999901E-6</v>
      </c>
      <c r="I2884">
        <v>232.57839999999999</v>
      </c>
      <c r="J2884">
        <v>-491.71390000000002</v>
      </c>
      <c r="K2884">
        <v>1.1105590000000001</v>
      </c>
      <c r="L2884">
        <v>248.00229999999999</v>
      </c>
      <c r="M2884">
        <v>3.4690560000000002E-2</v>
      </c>
      <c r="N2884">
        <v>0</v>
      </c>
      <c r="O2884">
        <v>-0.99930949999999996</v>
      </c>
      <c r="P2884">
        <v>-9.0291179999999992E-3</v>
      </c>
      <c r="Q2884">
        <v>2.195246E-2</v>
      </c>
      <c r="R2884">
        <v>-0.99971849999999995</v>
      </c>
      <c r="S2884">
        <v>0.44348140000000003</v>
      </c>
      <c r="T2884">
        <v>-0.2145813</v>
      </c>
      <c r="U2884">
        <v>-3.0099640000000001</v>
      </c>
      <c r="V2884">
        <v>4.366975E-2</v>
      </c>
      <c r="W2884">
        <v>3.5283219999999997E-2</v>
      </c>
      <c r="X2884">
        <v>0.99842280000000005</v>
      </c>
      <c r="Y2884">
        <v>-0.1109912</v>
      </c>
      <c r="Z2884">
        <v>7.0447910000000002E-2</v>
      </c>
      <c r="AA2884">
        <v>0.99132140000000002</v>
      </c>
      <c r="AB2884">
        <v>25</v>
      </c>
      <c r="AC2884">
        <v>2.2895000000000301</v>
      </c>
      <c r="AD2884">
        <v>-1.1105603657580001</v>
      </c>
      <c r="AE2884">
        <v>-15.4239</v>
      </c>
      <c r="AF2884">
        <v>-1.7441631557717501</v>
      </c>
      <c r="AG2884">
        <v>-1.1105603657580001</v>
      </c>
      <c r="AH2884">
        <v>15.415847376604599</v>
      </c>
      <c r="AI2884">
        <v>94.094446560846507</v>
      </c>
      <c r="AJ2884">
        <v>96.4550472039423</v>
      </c>
      <c r="AK2884">
        <v>15.553899825404301</v>
      </c>
      <c r="AL2884">
        <v>87.978000765951293</v>
      </c>
      <c r="AM2884">
        <v>87.495551352286995</v>
      </c>
      <c r="AN2884">
        <v>1.0000000201192301</v>
      </c>
    </row>
    <row r="2885" spans="1:40" x14ac:dyDescent="0.25">
      <c r="A2885" t="str">
        <f>"20190312154851443"</f>
        <v>20190312154851443</v>
      </c>
      <c r="B2885" t="str">
        <f>"1552376931438080"</f>
        <v>1552376931438080</v>
      </c>
      <c r="C2885" t="s">
        <v>40</v>
      </c>
      <c r="D2885">
        <v>4.6246729999999996</v>
      </c>
      <c r="E2885">
        <v>0.44401970000000002</v>
      </c>
      <c r="F2885" t="s">
        <v>42</v>
      </c>
      <c r="G2885">
        <v>-489.41579999999999</v>
      </c>
      <c r="H2885" s="1">
        <v>-1.19305E-6</v>
      </c>
      <c r="I2885">
        <v>232.1722</v>
      </c>
      <c r="J2885">
        <v>-491.70580000000001</v>
      </c>
      <c r="K2885">
        <v>1.110547</v>
      </c>
      <c r="L2885">
        <v>247.78919999999999</v>
      </c>
      <c r="M2885">
        <v>3.5267689999999997E-2</v>
      </c>
      <c r="N2885">
        <v>0</v>
      </c>
      <c r="O2885">
        <v>-0.99928950000000005</v>
      </c>
      <c r="P2885">
        <v>-8.0710929999999997E-3</v>
      </c>
      <c r="Q2885">
        <v>2.1696900000000002E-2</v>
      </c>
      <c r="R2885">
        <v>-0.99973230000000002</v>
      </c>
      <c r="S2885">
        <v>0.43688959999999999</v>
      </c>
      <c r="T2885">
        <v>-0.2111268</v>
      </c>
      <c r="U2885">
        <v>-3.00943</v>
      </c>
      <c r="V2885">
        <v>4.3290910000000002E-2</v>
      </c>
      <c r="W2885">
        <v>3.5024930000000003E-2</v>
      </c>
      <c r="X2885">
        <v>0.99844840000000001</v>
      </c>
      <c r="Y2885">
        <v>-0.1083274</v>
      </c>
      <c r="Z2885">
        <v>6.9350449999999994E-2</v>
      </c>
      <c r="AA2885">
        <v>0.99169339999999995</v>
      </c>
      <c r="AB2885">
        <v>25</v>
      </c>
      <c r="AC2885">
        <v>2.29000000000002</v>
      </c>
      <c r="AD2885">
        <v>-1.1105481930500001</v>
      </c>
      <c r="AE2885">
        <v>-15.6169999999999</v>
      </c>
      <c r="AF2885">
        <v>-1.7291907755206399</v>
      </c>
      <c r="AG2885">
        <v>-1.1105481930500001</v>
      </c>
      <c r="AH2885">
        <v>15.610773516338901</v>
      </c>
      <c r="AI2885">
        <v>94.044504178527802</v>
      </c>
      <c r="AJ2885">
        <v>96.320832179637705</v>
      </c>
      <c r="AK2885">
        <v>15.745464991725701</v>
      </c>
      <c r="AL2885">
        <v>87.992808861290101</v>
      </c>
      <c r="AM2885">
        <v>87.517313998677196</v>
      </c>
      <c r="AN2885">
        <v>1.0000000280363399</v>
      </c>
    </row>
    <row r="2886" spans="1:40" x14ac:dyDescent="0.25">
      <c r="A2886" t="str">
        <f>"20190312154851456"</f>
        <v>20190312154851456</v>
      </c>
      <c r="B2886" t="str">
        <f>"1552376931448815"</f>
        <v>1552376931448815</v>
      </c>
      <c r="C2886" t="s">
        <v>40</v>
      </c>
      <c r="D2886">
        <v>4.6165250000000002</v>
      </c>
      <c r="E2886">
        <v>0.44440600000000002</v>
      </c>
      <c r="F2886" t="s">
        <v>42</v>
      </c>
      <c r="G2886">
        <v>-489.40469999999999</v>
      </c>
      <c r="H2886" s="1">
        <v>-1.033164E-6</v>
      </c>
      <c r="I2886">
        <v>231.79490000000001</v>
      </c>
      <c r="J2886">
        <v>-491.70049999999998</v>
      </c>
      <c r="K2886">
        <v>1.110541</v>
      </c>
      <c r="L2886">
        <v>247.6515</v>
      </c>
      <c r="M2886">
        <v>3.563653E-2</v>
      </c>
      <c r="N2886">
        <v>0</v>
      </c>
      <c r="O2886">
        <v>-0.99927630000000001</v>
      </c>
      <c r="P2886">
        <v>-7.23959199999999E-3</v>
      </c>
      <c r="Q2886">
        <v>2.1734699999999999E-2</v>
      </c>
      <c r="R2886">
        <v>-0.9997376</v>
      </c>
      <c r="S2886">
        <v>0.43289179999999999</v>
      </c>
      <c r="T2886">
        <v>-0.20891609999999999</v>
      </c>
      <c r="U2886">
        <v>-3.0088349999999999</v>
      </c>
      <c r="V2886">
        <v>4.2829180000000001E-2</v>
      </c>
      <c r="W2886">
        <v>3.5061149999999999E-2</v>
      </c>
      <c r="X2886">
        <v>0.99846699999999999</v>
      </c>
      <c r="Y2886">
        <v>-0.1067044</v>
      </c>
      <c r="Z2886">
        <v>6.8652249999999998E-2</v>
      </c>
      <c r="AA2886">
        <v>0.99191779999999996</v>
      </c>
      <c r="AB2886">
        <v>25</v>
      </c>
      <c r="AC2886">
        <v>2.2957999999999799</v>
      </c>
      <c r="AD2886">
        <v>-1.1105420331639999</v>
      </c>
      <c r="AE2886">
        <v>-15.856599999999901</v>
      </c>
      <c r="AF2886">
        <v>-1.7209491525249601</v>
      </c>
      <c r="AG2886">
        <v>-1.1105420331639999</v>
      </c>
      <c r="AH2886">
        <v>15.852187568095699</v>
      </c>
      <c r="AI2886">
        <v>93.984037450345397</v>
      </c>
      <c r="AJ2886">
        <v>96.195893671750596</v>
      </c>
      <c r="AK2886">
        <v>15.9839550889974</v>
      </c>
      <c r="AL2886">
        <v>87.990732249314703</v>
      </c>
      <c r="AM2886">
        <v>87.543806800397107</v>
      </c>
      <c r="AN2886">
        <v>0.99999998649389699</v>
      </c>
    </row>
    <row r="2887" spans="1:40" x14ac:dyDescent="0.25">
      <c r="A2887" t="str">
        <f>"20190312154851468"</f>
        <v>20190312154851468</v>
      </c>
      <c r="B2887" t="str">
        <f>"1552376931458575"</f>
        <v>1552376931458575</v>
      </c>
      <c r="C2887" t="s">
        <v>40</v>
      </c>
      <c r="D2887">
        <v>4.617432</v>
      </c>
      <c r="E2887">
        <v>0.44479730000000001</v>
      </c>
      <c r="F2887" t="s">
        <v>42</v>
      </c>
      <c r="G2887">
        <v>-489.3854</v>
      </c>
      <c r="H2887" s="1">
        <v>-9.2772650000000002E-7</v>
      </c>
      <c r="I2887">
        <v>231.5412</v>
      </c>
      <c r="J2887">
        <v>-491.69540000000001</v>
      </c>
      <c r="K2887">
        <v>1.110538</v>
      </c>
      <c r="L2887">
        <v>247.5197</v>
      </c>
      <c r="M2887">
        <v>3.5988829999999999E-2</v>
      </c>
      <c r="N2887">
        <v>0</v>
      </c>
      <c r="O2887">
        <v>-0.99926369999999998</v>
      </c>
      <c r="P2887">
        <v>-6.6031359999999999E-3</v>
      </c>
      <c r="Q2887">
        <v>2.1890360000000001E-2</v>
      </c>
      <c r="R2887">
        <v>-0.99973860000000003</v>
      </c>
      <c r="S2887">
        <v>0.43231199999999997</v>
      </c>
      <c r="T2887">
        <v>-0.20738139999999999</v>
      </c>
      <c r="U2887">
        <v>-3.0084230000000001</v>
      </c>
      <c r="V2887">
        <v>4.2545449999999999E-2</v>
      </c>
      <c r="W2887">
        <v>3.5215549999999998E-2</v>
      </c>
      <c r="X2887">
        <v>0.99847370000000002</v>
      </c>
      <c r="Y2887">
        <v>-0.10619049999999999</v>
      </c>
      <c r="Z2887">
        <v>6.8161029999999997E-2</v>
      </c>
      <c r="AA2887">
        <v>0.99200690000000002</v>
      </c>
      <c r="AB2887">
        <v>25</v>
      </c>
      <c r="AC2887">
        <v>2.31</v>
      </c>
      <c r="AD2887">
        <v>-1.1105389277265001</v>
      </c>
      <c r="AE2887">
        <v>-15.978499999999899</v>
      </c>
      <c r="AF2887">
        <v>-1.7252416875169101</v>
      </c>
      <c r="AG2887">
        <v>-1.1105389277265001</v>
      </c>
      <c r="AH2887">
        <v>15.975697378292599</v>
      </c>
      <c r="AI2887">
        <v>93.953564124007997</v>
      </c>
      <c r="AJ2887">
        <v>96.163578715195897</v>
      </c>
      <c r="AK2887">
        <v>16.106913494308198</v>
      </c>
      <c r="AL2887">
        <v>87.981880321330095</v>
      </c>
      <c r="AM2887">
        <v>87.560074939023906</v>
      </c>
      <c r="AN2887">
        <v>0.99999998993459704</v>
      </c>
    </row>
    <row r="2888" spans="1:40" x14ac:dyDescent="0.25">
      <c r="A2888" t="str">
        <f>"20190312154851482"</f>
        <v>20190312154851482</v>
      </c>
      <c r="B2888" t="str">
        <f>"1552376931478096"</f>
        <v>1552376931478096</v>
      </c>
      <c r="C2888" t="s">
        <v>40</v>
      </c>
      <c r="D2888">
        <v>4.6411699999999998</v>
      </c>
      <c r="E2888">
        <v>0.44539509999999999</v>
      </c>
      <c r="F2888" t="s">
        <v>42</v>
      </c>
      <c r="G2888">
        <v>-489.36810000000003</v>
      </c>
      <c r="H2888" s="1">
        <v>-8.0641979999999995E-7</v>
      </c>
      <c r="I2888">
        <v>231.25129999999999</v>
      </c>
      <c r="J2888">
        <v>-491.68959999999998</v>
      </c>
      <c r="K2888">
        <v>1.1105389999999999</v>
      </c>
      <c r="L2888">
        <v>247.3723</v>
      </c>
      <c r="M2888">
        <v>3.6381379999999998E-2</v>
      </c>
      <c r="N2888">
        <v>0</v>
      </c>
      <c r="O2888">
        <v>-0.99924959999999996</v>
      </c>
      <c r="P2888">
        <v>-6.1315809999999997E-3</v>
      </c>
      <c r="Q2888">
        <v>2.20553E-2</v>
      </c>
      <c r="R2888">
        <v>-0.99973820000000002</v>
      </c>
      <c r="S2888">
        <v>0.4303284</v>
      </c>
      <c r="T2888">
        <v>-0.205345</v>
      </c>
      <c r="U2888">
        <v>-3.0081329999999999</v>
      </c>
      <c r="V2888">
        <v>4.2466570000000002E-2</v>
      </c>
      <c r="W2888">
        <v>3.5379000000000001E-2</v>
      </c>
      <c r="X2888">
        <v>0.99847129999999995</v>
      </c>
      <c r="Y2888">
        <v>-0.1051786</v>
      </c>
      <c r="Z2888">
        <v>6.7506540000000004E-2</v>
      </c>
      <c r="AA2888">
        <v>0.99215940000000002</v>
      </c>
      <c r="AB2888">
        <v>25</v>
      </c>
      <c r="AC2888">
        <v>2.3214999999999502</v>
      </c>
      <c r="AD2888">
        <v>-1.1105398064198</v>
      </c>
      <c r="AE2888">
        <v>-16.120999999999999</v>
      </c>
      <c r="AF2888">
        <v>-1.72538529903677</v>
      </c>
      <c r="AG2888">
        <v>-1.1105398064198</v>
      </c>
      <c r="AH2888">
        <v>16.119849463550601</v>
      </c>
      <c r="AI2888">
        <v>93.9187202595012</v>
      </c>
      <c r="AJ2888">
        <v>96.109384075055999</v>
      </c>
      <c r="AK2888">
        <v>16.249916917304802</v>
      </c>
      <c r="AL2888">
        <v>87.972509527527606</v>
      </c>
      <c r="AM2888">
        <v>87.564587303572395</v>
      </c>
      <c r="AN2888">
        <v>1.0000000100661199</v>
      </c>
    </row>
    <row r="2889" spans="1:40" x14ac:dyDescent="0.25">
      <c r="A2889" t="str">
        <f>"20190312154851498"</f>
        <v>20190312154851498</v>
      </c>
      <c r="B2889" t="str">
        <f>"1552376931488833"</f>
        <v>1552376931488833</v>
      </c>
      <c r="C2889" t="s">
        <v>40</v>
      </c>
      <c r="D2889">
        <v>4.6310560000000001</v>
      </c>
      <c r="E2889">
        <v>0.44568370000000002</v>
      </c>
      <c r="F2889" t="s">
        <v>42</v>
      </c>
      <c r="G2889">
        <v>-489.34789999999998</v>
      </c>
      <c r="H2889" s="1">
        <v>-6.6194019999999999E-7</v>
      </c>
      <c r="I2889">
        <v>230.90610000000001</v>
      </c>
      <c r="J2889">
        <v>-491.68239999999997</v>
      </c>
      <c r="K2889">
        <v>1.1105339999999999</v>
      </c>
      <c r="L2889">
        <v>247.19</v>
      </c>
      <c r="M2889">
        <v>3.6867419999999998E-2</v>
      </c>
      <c r="N2889">
        <v>0</v>
      </c>
      <c r="O2889">
        <v>-0.9992318</v>
      </c>
      <c r="P2889">
        <v>-5.3539360000000001E-3</v>
      </c>
      <c r="Q2889">
        <v>2.280095E-2</v>
      </c>
      <c r="R2889">
        <v>-0.99972570000000005</v>
      </c>
      <c r="S2889">
        <v>0.4277649</v>
      </c>
      <c r="T2889">
        <v>-0.20286360000000001</v>
      </c>
      <c r="U2889">
        <v>-3.007889</v>
      </c>
      <c r="V2889">
        <v>4.2174139999999999E-2</v>
      </c>
      <c r="W2889">
        <v>3.6123349999999999E-2</v>
      </c>
      <c r="X2889">
        <v>0.99845700000000004</v>
      </c>
      <c r="Y2889">
        <v>-0.1038849</v>
      </c>
      <c r="Z2889">
        <v>6.670653E-2</v>
      </c>
      <c r="AA2889">
        <v>0.99234979999999995</v>
      </c>
      <c r="AB2889">
        <v>25</v>
      </c>
      <c r="AC2889">
        <v>2.33449999999999</v>
      </c>
      <c r="AD2889">
        <v>-1.1105346619401999</v>
      </c>
      <c r="AE2889">
        <v>-16.2838999999999</v>
      </c>
      <c r="AF2889">
        <v>-1.72465440199731</v>
      </c>
      <c r="AG2889">
        <v>-1.1105346619401999</v>
      </c>
      <c r="AH2889">
        <v>16.2846873427508</v>
      </c>
      <c r="AI2889">
        <v>93.879617161879906</v>
      </c>
      <c r="AJ2889">
        <v>96.045460907930504</v>
      </c>
      <c r="AK2889">
        <v>16.413371435900899</v>
      </c>
      <c r="AL2889">
        <v>87.929834044267196</v>
      </c>
      <c r="AM2889">
        <v>87.581303269263302</v>
      </c>
      <c r="AN2889">
        <v>0.99999996767447996</v>
      </c>
    </row>
    <row r="2890" spans="1:40" x14ac:dyDescent="0.25">
      <c r="A2890" t="str">
        <f>"20190312154851510"</f>
        <v>20190312154851510</v>
      </c>
      <c r="B2890" t="str">
        <f>"1552376931498592"</f>
        <v>1552376931498592</v>
      </c>
      <c r="C2890" t="s">
        <v>40</v>
      </c>
      <c r="D2890">
        <v>4.6405649999999996</v>
      </c>
      <c r="E2890">
        <v>0.44596619999999998</v>
      </c>
      <c r="F2890" t="s">
        <v>42</v>
      </c>
      <c r="G2890">
        <v>-489.30529999999999</v>
      </c>
      <c r="H2890" s="1">
        <v>-4.7835429999999997E-7</v>
      </c>
      <c r="I2890">
        <v>230.4606</v>
      </c>
      <c r="J2890">
        <v>-491.67759999999998</v>
      </c>
      <c r="K2890">
        <v>1.1105339999999999</v>
      </c>
      <c r="L2890">
        <v>247.0667</v>
      </c>
      <c r="M2890">
        <v>3.7197439999999998E-2</v>
      </c>
      <c r="N2890">
        <v>0</v>
      </c>
      <c r="O2890">
        <v>-0.99921979999999999</v>
      </c>
      <c r="P2890">
        <v>-5.0244859999999999E-3</v>
      </c>
      <c r="Q2890">
        <v>2.3019149999999999E-2</v>
      </c>
      <c r="R2890">
        <v>-0.99972269999999996</v>
      </c>
      <c r="S2890">
        <v>0.42736819999999998</v>
      </c>
      <c r="T2890">
        <v>-0.19965430000000001</v>
      </c>
      <c r="U2890">
        <v>-3.00766</v>
      </c>
      <c r="V2890">
        <v>4.2174429999999999E-2</v>
      </c>
      <c r="W2890">
        <v>3.6341119999999998E-2</v>
      </c>
      <c r="X2890">
        <v>0.99844909999999998</v>
      </c>
      <c r="Y2890">
        <v>-0.1034484</v>
      </c>
      <c r="Z2890">
        <v>6.566168E-2</v>
      </c>
      <c r="AA2890">
        <v>0.99246509999999999</v>
      </c>
      <c r="AB2890">
        <v>25</v>
      </c>
      <c r="AC2890">
        <v>2.3722999999999899</v>
      </c>
      <c r="AD2890">
        <v>-1.1105344783543001</v>
      </c>
      <c r="AE2890">
        <v>-16.606099999999898</v>
      </c>
      <c r="AF2890">
        <v>-1.7452499710593501</v>
      </c>
      <c r="AG2890">
        <v>-1.1105344783543001</v>
      </c>
      <c r="AH2890">
        <v>16.6100576460917</v>
      </c>
      <c r="AI2890">
        <v>93.804175269120407</v>
      </c>
      <c r="AJ2890">
        <v>95.998166385462994</v>
      </c>
      <c r="AK2890">
        <v>16.7383750494362</v>
      </c>
      <c r="AL2890">
        <v>87.917348574639902</v>
      </c>
      <c r="AM2890">
        <v>87.581267542660399</v>
      </c>
      <c r="AN2890">
        <v>0.99999998241974397</v>
      </c>
    </row>
    <row r="2891" spans="1:40" x14ac:dyDescent="0.25">
      <c r="A2891" t="str">
        <f>"20190312154851521"</f>
        <v>20190312154851521</v>
      </c>
      <c r="B2891" t="str">
        <f>"1552376931508352"</f>
        <v>1552376931508352</v>
      </c>
      <c r="C2891" t="s">
        <v>40</v>
      </c>
      <c r="D2891">
        <v>4.6145339999999999</v>
      </c>
      <c r="E2891">
        <v>0.44621670000000002</v>
      </c>
      <c r="F2891" t="s">
        <v>42</v>
      </c>
      <c r="G2891">
        <v>-489.29739999999998</v>
      </c>
      <c r="H2891" s="1">
        <v>-3.981933E-7</v>
      </c>
      <c r="I2891">
        <v>230.2689</v>
      </c>
      <c r="J2891">
        <v>-491.67239999999998</v>
      </c>
      <c r="K2891">
        <v>1.1105389999999999</v>
      </c>
      <c r="L2891">
        <v>246.9409</v>
      </c>
      <c r="M2891">
        <v>3.7535369999999998E-2</v>
      </c>
      <c r="N2891">
        <v>0</v>
      </c>
      <c r="O2891">
        <v>-0.99920719999999996</v>
      </c>
      <c r="P2891">
        <v>-4.4337600000000001E-3</v>
      </c>
      <c r="Q2891">
        <v>2.28503E-2</v>
      </c>
      <c r="R2891">
        <v>-0.99972950000000005</v>
      </c>
      <c r="S2891">
        <v>0.42614750000000001</v>
      </c>
      <c r="T2891">
        <v>-0.1988354</v>
      </c>
      <c r="U2891">
        <v>-3.007568</v>
      </c>
      <c r="V2891">
        <v>4.1922269999999998E-2</v>
      </c>
      <c r="W2891">
        <v>3.617099E-2</v>
      </c>
      <c r="X2891">
        <v>0.99846590000000002</v>
      </c>
      <c r="Y2891">
        <v>-0.1027238</v>
      </c>
      <c r="Z2891">
        <v>6.5398540000000005E-2</v>
      </c>
      <c r="AA2891">
        <v>0.99255769999999999</v>
      </c>
      <c r="AB2891">
        <v>25</v>
      </c>
      <c r="AC2891">
        <v>2.375</v>
      </c>
      <c r="AD2891">
        <v>-1.1105393981933001</v>
      </c>
      <c r="AE2891">
        <v>-16.671999999999901</v>
      </c>
      <c r="AF2891">
        <v>-1.7399147475449399</v>
      </c>
      <c r="AG2891">
        <v>-1.1105393981933001</v>
      </c>
      <c r="AH2891">
        <v>16.676879426163701</v>
      </c>
      <c r="AI2891">
        <v>93.789283641458695</v>
      </c>
      <c r="AJ2891">
        <v>95.956174850877602</v>
      </c>
      <c r="AK2891">
        <v>16.8041336723577</v>
      </c>
      <c r="AL2891">
        <v>87.927102724897907</v>
      </c>
      <c r="AM2891">
        <v>87.595752476475198</v>
      </c>
      <c r="AN2891">
        <v>0.99999998535117096</v>
      </c>
    </row>
    <row r="2892" spans="1:40" x14ac:dyDescent="0.25">
      <c r="A2892" t="str">
        <f>"20190312154851532"</f>
        <v>20190312154851532</v>
      </c>
      <c r="B2892" t="str">
        <f>"1552376931528848"</f>
        <v>1552376931528848</v>
      </c>
      <c r="C2892" t="s">
        <v>40</v>
      </c>
      <c r="D2892">
        <v>4.6286930000000002</v>
      </c>
      <c r="E2892">
        <v>0.44668150000000001</v>
      </c>
      <c r="F2892" t="s">
        <v>42</v>
      </c>
      <c r="G2892">
        <v>-489.30130000000003</v>
      </c>
      <c r="H2892" s="1">
        <v>-3.68853E-7</v>
      </c>
      <c r="I2892">
        <v>230.1857</v>
      </c>
      <c r="J2892">
        <v>-491.66750000000002</v>
      </c>
      <c r="K2892">
        <v>1.110538</v>
      </c>
      <c r="L2892">
        <v>246.8202</v>
      </c>
      <c r="M2892">
        <v>3.7861430000000001E-2</v>
      </c>
      <c r="N2892">
        <v>0</v>
      </c>
      <c r="O2892">
        <v>-0.99919480000000005</v>
      </c>
      <c r="P2892">
        <v>-4.0988370000000001E-3</v>
      </c>
      <c r="Q2892">
        <v>2.3007960000000001E-2</v>
      </c>
      <c r="R2892">
        <v>-0.99972720000000004</v>
      </c>
      <c r="S2892">
        <v>0.42556759999999899</v>
      </c>
      <c r="T2892">
        <v>-0.19932230000000001</v>
      </c>
      <c r="U2892">
        <v>-3.007263</v>
      </c>
      <c r="V2892">
        <v>4.1913220000000001E-2</v>
      </c>
      <c r="W2892">
        <v>3.6328249999999999E-2</v>
      </c>
      <c r="X2892">
        <v>0.99846060000000003</v>
      </c>
      <c r="Y2892">
        <v>-0.102224</v>
      </c>
      <c r="Z2892">
        <v>6.556592E-2</v>
      </c>
      <c r="AA2892">
        <v>0.99259830000000004</v>
      </c>
      <c r="AB2892">
        <v>25</v>
      </c>
      <c r="AC2892">
        <v>2.3661999999999899</v>
      </c>
      <c r="AD2892">
        <v>-1.1105383688529999</v>
      </c>
      <c r="AE2892">
        <v>-16.634499999999999</v>
      </c>
      <c r="AF2892">
        <v>-1.72709657230803</v>
      </c>
      <c r="AG2892">
        <v>-1.1105383688529999</v>
      </c>
      <c r="AH2892">
        <v>16.639474422976601</v>
      </c>
      <c r="AI2892">
        <v>93.797982301429599</v>
      </c>
      <c r="AJ2892">
        <v>95.925803820209694</v>
      </c>
      <c r="AK2892">
        <v>16.765687194733999</v>
      </c>
      <c r="AL2892">
        <v>87.918086525926796</v>
      </c>
      <c r="AM2892">
        <v>87.596258141836401</v>
      </c>
      <c r="AN2892">
        <v>1.0000000147555901</v>
      </c>
    </row>
    <row r="2893" spans="1:40" x14ac:dyDescent="0.25">
      <c r="A2893" t="str">
        <f>"20190312154851543"</f>
        <v>20190312154851543</v>
      </c>
      <c r="B2893" t="str">
        <f>"1552376931538607"</f>
        <v>1552376931538607</v>
      </c>
      <c r="C2893" t="s">
        <v>40</v>
      </c>
      <c r="D2893">
        <v>4.6546459999999996</v>
      </c>
      <c r="E2893">
        <v>0.44684560000000001</v>
      </c>
      <c r="F2893" t="s">
        <v>42</v>
      </c>
      <c r="G2893">
        <v>-489.2978</v>
      </c>
      <c r="H2893" s="1">
        <v>-2.9564940000000002E-7</v>
      </c>
      <c r="I2893">
        <v>229.96780000000001</v>
      </c>
      <c r="J2893">
        <v>-491.66230000000002</v>
      </c>
      <c r="K2893">
        <v>1.1105389999999999</v>
      </c>
      <c r="L2893">
        <v>246.69200000000001</v>
      </c>
      <c r="M2893">
        <v>3.8208859999999997E-2</v>
      </c>
      <c r="N2893">
        <v>0</v>
      </c>
      <c r="O2893">
        <v>-0.9991814</v>
      </c>
      <c r="P2893">
        <v>-3.7045350000000001E-3</v>
      </c>
      <c r="Q2893">
        <v>2.2909909999999999E-2</v>
      </c>
      <c r="R2893">
        <v>-0.99973080000000003</v>
      </c>
      <c r="S2893">
        <v>0.42285159999999999</v>
      </c>
      <c r="T2893">
        <v>-0.19816349999999999</v>
      </c>
      <c r="U2893">
        <v>-3.007126</v>
      </c>
      <c r="V2893">
        <v>4.1866689999999998E-2</v>
      </c>
      <c r="W2893">
        <v>3.622914E-2</v>
      </c>
      <c r="X2893">
        <v>0.99846610000000002</v>
      </c>
      <c r="Y2893">
        <v>-0.10100870000000001</v>
      </c>
      <c r="Z2893">
        <v>6.5196160000000003E-2</v>
      </c>
      <c r="AA2893">
        <v>0.99274709999999999</v>
      </c>
      <c r="AB2893">
        <v>25</v>
      </c>
      <c r="AC2893">
        <v>2.36450000000002</v>
      </c>
      <c r="AD2893">
        <v>-1.1105392956494</v>
      </c>
      <c r="AE2893">
        <v>-16.7241999999999</v>
      </c>
      <c r="AF2893">
        <v>-1.71628458644113</v>
      </c>
      <c r="AG2893">
        <v>-1.1105392956494</v>
      </c>
      <c r="AH2893">
        <v>16.730014969045399</v>
      </c>
      <c r="AI2893">
        <v>93.777955552997</v>
      </c>
      <c r="AJ2893">
        <v>95.857320462811501</v>
      </c>
      <c r="AK2893">
        <v>16.854445442473601</v>
      </c>
      <c r="AL2893">
        <v>87.923768740715204</v>
      </c>
      <c r="AM2893">
        <v>87.598936743933507</v>
      </c>
      <c r="AN2893">
        <v>0.99999996158295201</v>
      </c>
    </row>
    <row r="2894" spans="1:40" x14ac:dyDescent="0.25">
      <c r="A2894" t="str">
        <f>"20190312154851555"</f>
        <v>20190312154851555</v>
      </c>
      <c r="B2894" t="str">
        <f>"1552376931548368"</f>
        <v>1552376931548368</v>
      </c>
      <c r="C2894" t="s">
        <v>40</v>
      </c>
      <c r="D2894">
        <v>4.6273169999999997</v>
      </c>
      <c r="E2894">
        <v>0.44700980000000001</v>
      </c>
      <c r="F2894" t="s">
        <v>42</v>
      </c>
      <c r="G2894">
        <v>-489.29919999999998</v>
      </c>
      <c r="H2894" s="1">
        <v>-2.6509889999999999E-7</v>
      </c>
      <c r="I2894">
        <v>229.87909999999999</v>
      </c>
      <c r="J2894">
        <v>-491.65699999999998</v>
      </c>
      <c r="K2894">
        <v>1.110538</v>
      </c>
      <c r="L2894">
        <v>246.56469999999999</v>
      </c>
      <c r="M2894">
        <v>3.8556170000000001E-2</v>
      </c>
      <c r="N2894">
        <v>0</v>
      </c>
      <c r="O2894">
        <v>-0.9991681</v>
      </c>
      <c r="P2894">
        <v>-3.2566299999999999E-3</v>
      </c>
      <c r="Q2894">
        <v>2.2798659999999998E-2</v>
      </c>
      <c r="R2894">
        <v>-0.99973509999999999</v>
      </c>
      <c r="S2894">
        <v>0.42263790000000001</v>
      </c>
      <c r="T2894">
        <v>-0.1986154</v>
      </c>
      <c r="U2894">
        <v>-3.0069270000000001</v>
      </c>
      <c r="V2894">
        <v>4.1766480000000002E-2</v>
      </c>
      <c r="W2894">
        <v>3.6117629999999998E-2</v>
      </c>
      <c r="X2894">
        <v>0.99847439999999998</v>
      </c>
      <c r="Y2894">
        <v>-0.1006013</v>
      </c>
      <c r="Z2894">
        <v>6.5348809999999993E-2</v>
      </c>
      <c r="AA2894">
        <v>0.99277839999999995</v>
      </c>
      <c r="AB2894">
        <v>25</v>
      </c>
      <c r="AC2894">
        <v>2.3577999999999899</v>
      </c>
      <c r="AD2894">
        <v>-1.1105382650989</v>
      </c>
      <c r="AE2894">
        <v>-16.685599999999901</v>
      </c>
      <c r="AF2894">
        <v>-1.7052508644095701</v>
      </c>
      <c r="AG2894">
        <v>-1.1105382650989</v>
      </c>
      <c r="AH2894">
        <v>16.691613868380099</v>
      </c>
      <c r="AI2894">
        <v>93.786781021425298</v>
      </c>
      <c r="AJ2894">
        <v>95.833221209650901</v>
      </c>
      <c r="AK2894">
        <v>16.815205894663201</v>
      </c>
      <c r="AL2894">
        <v>87.930162108332695</v>
      </c>
      <c r="AM2894">
        <v>87.604696994328805</v>
      </c>
      <c r="AN2894">
        <v>1.0000000247518801</v>
      </c>
    </row>
    <row r="2895" spans="1:40" x14ac:dyDescent="0.25">
      <c r="A2895" t="str">
        <f>"20190312154851567"</f>
        <v>20190312154851567</v>
      </c>
      <c r="B2895" t="str">
        <f>"1552376931558128"</f>
        <v>1552376931558128</v>
      </c>
      <c r="C2895" t="s">
        <v>40</v>
      </c>
      <c r="D2895">
        <v>4.630096</v>
      </c>
      <c r="E2895">
        <v>0.447127</v>
      </c>
      <c r="F2895" t="s">
        <v>42</v>
      </c>
      <c r="G2895">
        <v>-489.30180000000001</v>
      </c>
      <c r="H2895" s="1">
        <v>-2.401891E-7</v>
      </c>
      <c r="I2895">
        <v>229.80799999999999</v>
      </c>
      <c r="J2895">
        <v>-491.65159999999997</v>
      </c>
      <c r="K2895">
        <v>1.110541</v>
      </c>
      <c r="L2895">
        <v>246.4341</v>
      </c>
      <c r="M2895">
        <v>3.8912849999999999E-2</v>
      </c>
      <c r="N2895">
        <v>0</v>
      </c>
      <c r="O2895">
        <v>-0.99915449999999995</v>
      </c>
      <c r="P2895">
        <v>-2.747635E-3</v>
      </c>
      <c r="Q2895">
        <v>2.28252E-2</v>
      </c>
      <c r="R2895">
        <v>-0.99973630000000002</v>
      </c>
      <c r="S2895">
        <v>0.42260740000000002</v>
      </c>
      <c r="T2895">
        <v>-0.19926759999999999</v>
      </c>
      <c r="U2895">
        <v>-3.0067140000000001</v>
      </c>
      <c r="V2895">
        <v>4.1614350000000001E-2</v>
      </c>
      <c r="W2895">
        <v>3.6143359999999999E-2</v>
      </c>
      <c r="X2895">
        <v>0.99847980000000003</v>
      </c>
      <c r="Y2895">
        <v>-0.100244</v>
      </c>
      <c r="Z2895">
        <v>6.5566940000000004E-2</v>
      </c>
      <c r="AA2895">
        <v>0.99280009999999996</v>
      </c>
      <c r="AB2895">
        <v>25</v>
      </c>
      <c r="AC2895">
        <v>2.3497999999999601</v>
      </c>
      <c r="AD2895">
        <v>-1.1105412401890999</v>
      </c>
      <c r="AE2895">
        <v>-16.626100000000001</v>
      </c>
      <c r="AF2895">
        <v>-1.69358597354785</v>
      </c>
      <c r="AG2895">
        <v>-1.1105412401890999</v>
      </c>
      <c r="AH2895">
        <v>16.632198122268001</v>
      </c>
      <c r="AI2895">
        <v>93.800407911573899</v>
      </c>
      <c r="AJ2895">
        <v>95.814146100974696</v>
      </c>
      <c r="AK2895">
        <v>16.755045499023002</v>
      </c>
      <c r="AL2895">
        <v>87.928686881375597</v>
      </c>
      <c r="AM2895">
        <v>87.613424418624206</v>
      </c>
      <c r="AN2895">
        <v>1.0000000038030199</v>
      </c>
    </row>
    <row r="2896" spans="1:40" x14ac:dyDescent="0.25">
      <c r="A2896" t="str">
        <f>"20190312154851579"</f>
        <v>20190312154851579</v>
      </c>
      <c r="B2896" t="str">
        <f>"1552376931568864"</f>
        <v>1552376931568864</v>
      </c>
      <c r="C2896" t="s">
        <v>40</v>
      </c>
      <c r="D2896">
        <v>4.6465690000000004</v>
      </c>
      <c r="E2896">
        <v>0.44726189999999999</v>
      </c>
      <c r="F2896" t="s">
        <v>42</v>
      </c>
      <c r="G2896">
        <v>-489.29950000000002</v>
      </c>
      <c r="H2896" s="1">
        <v>-2.072065E-7</v>
      </c>
      <c r="I2896">
        <v>229.70930000000001</v>
      </c>
      <c r="J2896">
        <v>-491.64569999999998</v>
      </c>
      <c r="K2896">
        <v>1.1105430000000001</v>
      </c>
      <c r="L2896">
        <v>246.29300000000001</v>
      </c>
      <c r="M2896">
        <v>3.9300130000000003E-2</v>
      </c>
      <c r="N2896">
        <v>0</v>
      </c>
      <c r="O2896">
        <v>-0.99913920000000001</v>
      </c>
      <c r="P2896">
        <v>-2.1640940000000001E-3</v>
      </c>
      <c r="Q2896">
        <v>2.278676E-2</v>
      </c>
      <c r="R2896">
        <v>-0.99973849999999997</v>
      </c>
      <c r="S2896">
        <v>0.422821</v>
      </c>
      <c r="T2896">
        <v>-0.19963420000000001</v>
      </c>
      <c r="U2896">
        <v>-3.006516</v>
      </c>
      <c r="V2896">
        <v>4.1418459999999997E-2</v>
      </c>
      <c r="W2896">
        <v>3.6104289999999997E-2</v>
      </c>
      <c r="X2896">
        <v>0.99848939999999997</v>
      </c>
      <c r="Y2896">
        <v>-9.9935430000000006E-2</v>
      </c>
      <c r="Z2896">
        <v>6.5690520000000002E-2</v>
      </c>
      <c r="AA2896">
        <v>0.99282309999999996</v>
      </c>
      <c r="AB2896">
        <v>25</v>
      </c>
      <c r="AC2896">
        <v>2.3461999999999499</v>
      </c>
      <c r="AD2896">
        <v>-1.1105432072065</v>
      </c>
      <c r="AE2896">
        <v>-16.583699999999901</v>
      </c>
      <c r="AF2896">
        <v>-1.6851792914888899</v>
      </c>
      <c r="AG2896">
        <v>-1.1105432072065</v>
      </c>
      <c r="AH2896">
        <v>16.590162449433802</v>
      </c>
      <c r="AI2896">
        <v>93.810110787748698</v>
      </c>
      <c r="AJ2896">
        <v>95.800041166495305</v>
      </c>
      <c r="AK2896">
        <v>16.7124691640146</v>
      </c>
      <c r="AL2896">
        <v>87.930926975269202</v>
      </c>
      <c r="AM2896">
        <v>87.624668588572902</v>
      </c>
      <c r="AN2896">
        <v>1.0000000452487601</v>
      </c>
    </row>
    <row r="2897" spans="1:40" x14ac:dyDescent="0.25">
      <c r="A2897" t="str">
        <f>"20190312154851599"</f>
        <v>20190312154851599</v>
      </c>
      <c r="B2897" t="str">
        <f>"1552376931588385"</f>
        <v>1552376931588385</v>
      </c>
      <c r="C2897" t="s">
        <v>40</v>
      </c>
      <c r="D2897">
        <v>4.6460359999999996</v>
      </c>
      <c r="E2897">
        <v>0.44744070000000002</v>
      </c>
      <c r="F2897" t="s">
        <v>49</v>
      </c>
      <c r="G2897">
        <v>-489.29539999999997</v>
      </c>
      <c r="H2897" s="1">
        <v>6.4554219999999901E-6</v>
      </c>
      <c r="I2897">
        <v>229.61250000000001</v>
      </c>
      <c r="J2897">
        <v>-491.63679999999999</v>
      </c>
      <c r="K2897">
        <v>1.110552</v>
      </c>
      <c r="L2897">
        <v>246.0847</v>
      </c>
      <c r="M2897">
        <v>3.9873239999999997E-2</v>
      </c>
      <c r="N2897">
        <v>0</v>
      </c>
      <c r="O2897">
        <v>-0.99911640000000002</v>
      </c>
      <c r="P2897">
        <v>-9.7860070000000006E-4</v>
      </c>
      <c r="Q2897">
        <v>2.319017E-2</v>
      </c>
      <c r="R2897">
        <v>-0.99973089999999998</v>
      </c>
      <c r="S2897">
        <v>0.42358400000000002</v>
      </c>
      <c r="T2897">
        <v>-0.20014699999999999</v>
      </c>
      <c r="U2897">
        <v>-3.006256</v>
      </c>
      <c r="V2897">
        <v>4.080603E-2</v>
      </c>
      <c r="W2897">
        <v>3.6505999999999997E-2</v>
      </c>
      <c r="X2897">
        <v>0.99850000000000005</v>
      </c>
      <c r="Y2897">
        <v>-9.9621989999999994E-2</v>
      </c>
      <c r="Z2897">
        <v>6.586177E-2</v>
      </c>
      <c r="AA2897">
        <v>0.99284320000000004</v>
      </c>
      <c r="AB2897">
        <v>25</v>
      </c>
      <c r="AC2897">
        <v>2.3414000000000201</v>
      </c>
      <c r="AD2897">
        <v>-1.1105455445779999</v>
      </c>
      <c r="AE2897">
        <v>-16.472199999999901</v>
      </c>
      <c r="AF2897">
        <v>-1.6752160132460101</v>
      </c>
      <c r="AG2897">
        <v>-1.1105455445779999</v>
      </c>
      <c r="AH2897">
        <v>16.479045555868101</v>
      </c>
      <c r="AI2897">
        <v>93.835702778152495</v>
      </c>
      <c r="AJ2897">
        <v>95.804596293668993</v>
      </c>
      <c r="AK2897">
        <v>16.601162686089001</v>
      </c>
      <c r="AL2897">
        <v>87.907895483767604</v>
      </c>
      <c r="AM2897">
        <v>87.659776666752606</v>
      </c>
      <c r="AN2897">
        <v>1.0000000350601701</v>
      </c>
    </row>
    <row r="2898" spans="1:40" x14ac:dyDescent="0.25">
      <c r="A2898" t="str">
        <f>"20190312154851613"</f>
        <v>20190312154851613</v>
      </c>
      <c r="B2898" t="str">
        <f>"1552376931608880"</f>
        <v>1552376931608880</v>
      </c>
      <c r="C2898" t="s">
        <v>40</v>
      </c>
      <c r="D2898">
        <v>4.6331439999999997</v>
      </c>
      <c r="E2898">
        <v>0.44766410000000001</v>
      </c>
      <c r="F2898" t="s">
        <v>49</v>
      </c>
      <c r="G2898">
        <v>-489.2953</v>
      </c>
      <c r="H2898" s="1">
        <v>6.4329819999999898E-6</v>
      </c>
      <c r="I2898">
        <v>229.5401</v>
      </c>
      <c r="J2898">
        <v>-491.63010000000003</v>
      </c>
      <c r="K2898">
        <v>1.110554</v>
      </c>
      <c r="L2898">
        <v>245.92920000000001</v>
      </c>
      <c r="M2898">
        <v>4.0301480000000001E-2</v>
      </c>
      <c r="N2898">
        <v>0</v>
      </c>
      <c r="O2898">
        <v>-0.99909939999999997</v>
      </c>
      <c r="P2898">
        <v>-4.385169E-4</v>
      </c>
      <c r="Q2898">
        <v>2.3405160000000001E-2</v>
      </c>
      <c r="R2898">
        <v>-0.99972620000000001</v>
      </c>
      <c r="S2898">
        <v>0.42541499999999999</v>
      </c>
      <c r="T2898">
        <v>-0.2017709</v>
      </c>
      <c r="U2898">
        <v>-3.0059200000000001</v>
      </c>
      <c r="V2898">
        <v>4.0694000000000001E-2</v>
      </c>
      <c r="W2898">
        <v>3.6719960000000003E-2</v>
      </c>
      <c r="X2898">
        <v>0.99849670000000001</v>
      </c>
      <c r="Y2898">
        <v>-9.9798860000000003E-2</v>
      </c>
      <c r="Z2898">
        <v>6.6395979999999993E-2</v>
      </c>
      <c r="AA2898">
        <v>0.9927899</v>
      </c>
      <c r="AB2898">
        <v>25</v>
      </c>
      <c r="AC2898">
        <v>2.33480000000002</v>
      </c>
      <c r="AD2898">
        <v>-1.1105475670180001</v>
      </c>
      <c r="AE2898">
        <v>-16.389099999999999</v>
      </c>
      <c r="AF2898">
        <v>-1.66484735685993</v>
      </c>
      <c r="AG2898">
        <v>-1.1105475670180001</v>
      </c>
      <c r="AH2898">
        <v>16.396099924530301</v>
      </c>
      <c r="AI2898">
        <v>93.855101362369595</v>
      </c>
      <c r="AJ2898">
        <v>95.797897949948506</v>
      </c>
      <c r="AK2898">
        <v>16.517782095530698</v>
      </c>
      <c r="AL2898">
        <v>87.895628198350906</v>
      </c>
      <c r="AM2898">
        <v>87.666186761824505</v>
      </c>
      <c r="AN2898">
        <v>1.0000000085046401</v>
      </c>
    </row>
    <row r="2899" spans="1:40" x14ac:dyDescent="0.25">
      <c r="A2899" t="str">
        <f>"20190312154851628"</f>
        <v>20190312154851628</v>
      </c>
      <c r="B2899" t="str">
        <f>"1552376931618640"</f>
        <v>1552376931618640</v>
      </c>
      <c r="C2899" t="s">
        <v>40</v>
      </c>
      <c r="D2899">
        <v>4.6318799999999998</v>
      </c>
      <c r="E2899">
        <v>0.44778279999999898</v>
      </c>
      <c r="F2899" t="s">
        <v>49</v>
      </c>
      <c r="G2899">
        <v>-489.28449999999998</v>
      </c>
      <c r="H2899" s="1">
        <v>6.366794E-6</v>
      </c>
      <c r="I2899">
        <v>229.33580000000001</v>
      </c>
      <c r="J2899">
        <v>-491.6234</v>
      </c>
      <c r="K2899">
        <v>1.1105590000000001</v>
      </c>
      <c r="L2899">
        <v>245.77330000000001</v>
      </c>
      <c r="M2899">
        <v>4.0730860000000001E-2</v>
      </c>
      <c r="N2899">
        <v>0</v>
      </c>
      <c r="O2899">
        <v>-0.99908180000000002</v>
      </c>
      <c r="P2899">
        <v>5.5751439999999998E-4</v>
      </c>
      <c r="Q2899">
        <v>2.3502619999999998E-2</v>
      </c>
      <c r="R2899">
        <v>-0.99972360000000005</v>
      </c>
      <c r="S2899">
        <v>0.4248962</v>
      </c>
      <c r="T2899">
        <v>-0.2011648</v>
      </c>
      <c r="U2899">
        <v>-3.005722</v>
      </c>
      <c r="V2899">
        <v>4.012781E-2</v>
      </c>
      <c r="W2899">
        <v>3.6816210000000002E-2</v>
      </c>
      <c r="X2899">
        <v>0.99851610000000002</v>
      </c>
      <c r="Y2899">
        <v>-9.9214090000000005E-2</v>
      </c>
      <c r="Z2899">
        <v>6.6202730000000001E-2</v>
      </c>
      <c r="AA2899">
        <v>0.99286140000000001</v>
      </c>
      <c r="AB2899">
        <v>25</v>
      </c>
      <c r="AC2899">
        <v>2.3389000000000202</v>
      </c>
      <c r="AD2899">
        <v>-1.1105526332060001</v>
      </c>
      <c r="AE2899">
        <v>-16.4375</v>
      </c>
      <c r="AF2899">
        <v>-1.65995935461996</v>
      </c>
      <c r="AG2899">
        <v>-1.1105526332060001</v>
      </c>
      <c r="AH2899">
        <v>16.445552463470399</v>
      </c>
      <c r="AI2899">
        <v>93.843792569697001</v>
      </c>
      <c r="AJ2899">
        <v>95.763724255503902</v>
      </c>
      <c r="AK2899">
        <v>16.566381259613301</v>
      </c>
      <c r="AL2899">
        <v>87.890109810877902</v>
      </c>
      <c r="AM2899">
        <v>87.6986674353209</v>
      </c>
      <c r="AN2899">
        <v>1.00000003820668</v>
      </c>
    </row>
    <row r="2900" spans="1:40" x14ac:dyDescent="0.25">
      <c r="A2900" t="str">
        <f>"20190312154851646"</f>
        <v>20190312154851646</v>
      </c>
      <c r="B2900" t="str">
        <f>"1552376931638160"</f>
        <v>1552376931638160</v>
      </c>
      <c r="C2900" t="s">
        <v>40</v>
      </c>
      <c r="D2900">
        <v>4.6477760000000004</v>
      </c>
      <c r="E2900">
        <v>0.44799640000000002</v>
      </c>
      <c r="F2900" t="s">
        <v>49</v>
      </c>
      <c r="G2900">
        <v>-489.2629</v>
      </c>
      <c r="H2900" s="1">
        <v>6.3077760000000002E-6</v>
      </c>
      <c r="I2900">
        <v>229.16380000000001</v>
      </c>
      <c r="J2900">
        <v>-491.61439999999999</v>
      </c>
      <c r="K2900">
        <v>1.11056</v>
      </c>
      <c r="L2900">
        <v>245.56989999999999</v>
      </c>
      <c r="M2900">
        <v>4.1291349999999997E-2</v>
      </c>
      <c r="N2900">
        <v>0</v>
      </c>
      <c r="O2900">
        <v>-0.99905869999999997</v>
      </c>
      <c r="P2900">
        <v>2.05061E-3</v>
      </c>
      <c r="Q2900">
        <v>2.3898679999999999E-2</v>
      </c>
      <c r="R2900">
        <v>-0.99971239999999995</v>
      </c>
      <c r="S2900">
        <v>0.42709350000000001</v>
      </c>
      <c r="T2900">
        <v>-0.2009417</v>
      </c>
      <c r="U2900">
        <v>-3.0052949999999998</v>
      </c>
      <c r="V2900">
        <v>3.919541E-2</v>
      </c>
      <c r="W2900">
        <v>3.7210750000000001E-2</v>
      </c>
      <c r="X2900">
        <v>0.9985385</v>
      </c>
      <c r="Y2900">
        <v>-9.9387669999999997E-2</v>
      </c>
      <c r="Z2900">
        <v>6.6132670000000005E-2</v>
      </c>
      <c r="AA2900">
        <v>0.99284870000000003</v>
      </c>
      <c r="AB2900">
        <v>25</v>
      </c>
      <c r="AC2900">
        <v>2.3514999999999802</v>
      </c>
      <c r="AD2900">
        <v>-1.110553692224</v>
      </c>
      <c r="AE2900">
        <v>-16.406099999999899</v>
      </c>
      <c r="AF2900">
        <v>-1.6645306974605301</v>
      </c>
      <c r="AG2900">
        <v>-1.110553692224</v>
      </c>
      <c r="AH2900">
        <v>16.4155067450613</v>
      </c>
      <c r="AI2900">
        <v>93.850632380982503</v>
      </c>
      <c r="AJ2900">
        <v>95.7899961453586</v>
      </c>
      <c r="AK2900">
        <v>16.537014653293799</v>
      </c>
      <c r="AL2900">
        <v>87.867488812383499</v>
      </c>
      <c r="AM2900">
        <v>87.752135504845299</v>
      </c>
      <c r="AN2900">
        <v>1.0000000280314301</v>
      </c>
    </row>
    <row r="2901" spans="1:40" x14ac:dyDescent="0.25">
      <c r="A2901" t="str">
        <f>"20190312154851667"</f>
        <v>20190312154851667</v>
      </c>
      <c r="B2901" t="str">
        <f>"1552376931658657"</f>
        <v>1552376931658657</v>
      </c>
      <c r="C2901" t="s">
        <v>40</v>
      </c>
      <c r="D2901">
        <v>4.5905449999999997</v>
      </c>
      <c r="E2901">
        <v>0.44816859999999997</v>
      </c>
      <c r="F2901" t="s">
        <v>49</v>
      </c>
      <c r="G2901">
        <v>-489.23169999999999</v>
      </c>
      <c r="H2901" s="1">
        <v>6.2209979999999998E-6</v>
      </c>
      <c r="I2901">
        <v>228.91050000000001</v>
      </c>
      <c r="J2901">
        <v>-491.60419999999999</v>
      </c>
      <c r="K2901">
        <v>1.110562</v>
      </c>
      <c r="L2901">
        <v>245.34049999999999</v>
      </c>
      <c r="M2901">
        <v>4.1923839999999997E-2</v>
      </c>
      <c r="N2901">
        <v>0</v>
      </c>
      <c r="O2901">
        <v>-0.9990327</v>
      </c>
      <c r="P2901">
        <v>3.5324060000000001E-3</v>
      </c>
      <c r="Q2901">
        <v>2.417648E-2</v>
      </c>
      <c r="R2901">
        <v>-0.99970179999999997</v>
      </c>
      <c r="S2901">
        <v>0.42974849999999998</v>
      </c>
      <c r="T2901">
        <v>-0.20030529999999999</v>
      </c>
      <c r="U2901">
        <v>-3.004791</v>
      </c>
      <c r="V2901">
        <v>3.8346560000000002E-2</v>
      </c>
      <c r="W2901">
        <v>3.7486650000000003E-2</v>
      </c>
      <c r="X2901">
        <v>0.99856109999999998</v>
      </c>
      <c r="Y2901">
        <v>-9.9642659999999994E-2</v>
      </c>
      <c r="Z2901">
        <v>6.5927540000000007E-2</v>
      </c>
      <c r="AA2901">
        <v>0.99283679999999996</v>
      </c>
      <c r="AB2901">
        <v>25</v>
      </c>
      <c r="AC2901">
        <v>2.3725000000000001</v>
      </c>
      <c r="AD2901">
        <v>-1.110555779002</v>
      </c>
      <c r="AE2901">
        <v>-16.4299999999999</v>
      </c>
      <c r="AF2901">
        <v>-1.6740521727781299</v>
      </c>
      <c r="AG2901">
        <v>-1.110555779002</v>
      </c>
      <c r="AH2901">
        <v>16.4414414954393</v>
      </c>
      <c r="AI2901">
        <v>93.844422238166203</v>
      </c>
      <c r="AJ2901">
        <v>95.813767167722901</v>
      </c>
      <c r="AK2901">
        <v>16.563718883856101</v>
      </c>
      <c r="AL2901">
        <v>87.851669786372298</v>
      </c>
      <c r="AM2901">
        <v>87.800818615258294</v>
      </c>
      <c r="AN2901">
        <v>0.99999998901263198</v>
      </c>
    </row>
    <row r="2902" spans="1:40" x14ac:dyDescent="0.25">
      <c r="A2902" t="str">
        <f>"20190312154851682"</f>
        <v>20190312154851682</v>
      </c>
      <c r="B2902" t="str">
        <f>"1552376931668416"</f>
        <v>1552376931668416</v>
      </c>
      <c r="C2902" t="s">
        <v>40</v>
      </c>
      <c r="D2902">
        <v>4.6422869999999996</v>
      </c>
      <c r="E2902">
        <v>0.44827899999999998</v>
      </c>
      <c r="F2902" t="s">
        <v>49</v>
      </c>
      <c r="G2902">
        <v>-489.21109999999999</v>
      </c>
      <c r="H2902" s="1">
        <v>6.1603430000000003E-6</v>
      </c>
      <c r="I2902">
        <v>228.73240000000001</v>
      </c>
      <c r="J2902">
        <v>-491.59699999999998</v>
      </c>
      <c r="K2902">
        <v>1.110562</v>
      </c>
      <c r="L2902">
        <v>245.1832</v>
      </c>
      <c r="M2902">
        <v>4.2357390000000002E-2</v>
      </c>
      <c r="N2902">
        <v>0</v>
      </c>
      <c r="O2902">
        <v>-0.99901430000000002</v>
      </c>
      <c r="P2902">
        <v>4.5294439999999997E-3</v>
      </c>
      <c r="Q2902">
        <v>2.4414310000000002E-2</v>
      </c>
      <c r="R2902">
        <v>-0.99969180000000002</v>
      </c>
      <c r="S2902">
        <v>0.43289179999999999</v>
      </c>
      <c r="T2902">
        <v>-0.20088900000000001</v>
      </c>
      <c r="U2902">
        <v>-3.0042420000000001</v>
      </c>
      <c r="V2902">
        <v>3.7783299999999999E-2</v>
      </c>
      <c r="W2902">
        <v>3.7723E-2</v>
      </c>
      <c r="X2902">
        <v>0.99857370000000001</v>
      </c>
      <c r="Y2902">
        <v>-0.1002523</v>
      </c>
      <c r="Z2902">
        <v>6.6122E-2</v>
      </c>
      <c r="AA2902">
        <v>0.99276249999999999</v>
      </c>
      <c r="AB2902">
        <v>24</v>
      </c>
      <c r="AC2902">
        <v>2.3858999999999901</v>
      </c>
      <c r="AD2902">
        <v>-1.1105558396570001</v>
      </c>
      <c r="AE2902">
        <v>-16.450799999999902</v>
      </c>
      <c r="AF2902">
        <v>-1.679388164488</v>
      </c>
      <c r="AG2902">
        <v>-1.1105558396570001</v>
      </c>
      <c r="AH2902">
        <v>16.463618775184099</v>
      </c>
      <c r="AI2902">
        <v>93.839187145330399</v>
      </c>
      <c r="AJ2902">
        <v>95.824368672875806</v>
      </c>
      <c r="AK2902">
        <v>16.5862720963637</v>
      </c>
      <c r="AL2902">
        <v>87.838118407194699</v>
      </c>
      <c r="AM2902">
        <v>87.833117959813293</v>
      </c>
      <c r="AN2902">
        <v>1.0000000184097799</v>
      </c>
    </row>
    <row r="2903" spans="1:40" x14ac:dyDescent="0.25">
      <c r="A2903" t="str">
        <f>"20190312154851700"</f>
        <v>20190312154851700</v>
      </c>
      <c r="B2903" t="str">
        <f>"1552376931688912"</f>
        <v>1552376931688912</v>
      </c>
      <c r="C2903" t="s">
        <v>40</v>
      </c>
      <c r="D2903">
        <v>4.6283580000000004</v>
      </c>
      <c r="E2903">
        <v>0.44851999999999997</v>
      </c>
      <c r="F2903" t="s">
        <v>49</v>
      </c>
      <c r="G2903">
        <v>-489.18639999999999</v>
      </c>
      <c r="H2903" s="1">
        <v>6.0931210000000001E-6</v>
      </c>
      <c r="I2903">
        <v>228.53659999999999</v>
      </c>
      <c r="J2903">
        <v>-491.58760000000001</v>
      </c>
      <c r="K2903">
        <v>1.110563</v>
      </c>
      <c r="L2903">
        <v>244.97710000000001</v>
      </c>
      <c r="M2903">
        <v>4.2925379999999999E-2</v>
      </c>
      <c r="N2903">
        <v>0</v>
      </c>
      <c r="O2903">
        <v>-0.99899020000000005</v>
      </c>
      <c r="P2903">
        <v>5.8222439999999999E-3</v>
      </c>
      <c r="Q2903">
        <v>2.4919699999999999E-2</v>
      </c>
      <c r="R2903">
        <v>-0.99967289999999998</v>
      </c>
      <c r="S2903">
        <v>0.43499759999999998</v>
      </c>
      <c r="T2903">
        <v>-0.2003983</v>
      </c>
      <c r="U2903">
        <v>-3.00386</v>
      </c>
      <c r="V2903">
        <v>3.705833E-2</v>
      </c>
      <c r="W2903">
        <v>3.8226179999999998E-2</v>
      </c>
      <c r="X2903">
        <v>0.99858170000000002</v>
      </c>
      <c r="Y2903">
        <v>-0.10038759999999999</v>
      </c>
      <c r="Z2903">
        <v>6.5963339999999995E-2</v>
      </c>
      <c r="AA2903">
        <v>0.99275930000000001</v>
      </c>
      <c r="AB2903">
        <v>24</v>
      </c>
      <c r="AC2903">
        <v>2.40120000000001</v>
      </c>
      <c r="AD2903">
        <v>-1.110556906879</v>
      </c>
      <c r="AE2903">
        <v>-16.4405</v>
      </c>
      <c r="AF2903">
        <v>-1.6856784419900499</v>
      </c>
      <c r="AG2903">
        <v>-1.110556906879</v>
      </c>
      <c r="AH2903">
        <v>16.454909578352702</v>
      </c>
      <c r="AI2903">
        <v>93.841047713099499</v>
      </c>
      <c r="AJ2903">
        <v>95.8491061987026</v>
      </c>
      <c r="AK2903">
        <v>16.578265822605498</v>
      </c>
      <c r="AL2903">
        <v>87.809267436299905</v>
      </c>
      <c r="AM2903">
        <v>87.874673686757802</v>
      </c>
      <c r="AN2903">
        <v>0.99999998611733498</v>
      </c>
    </row>
    <row r="2904" spans="1:40" x14ac:dyDescent="0.25">
      <c r="A2904" t="str">
        <f>"20190312154851723"</f>
        <v>20190312154851723</v>
      </c>
      <c r="B2904" t="str">
        <f>"1552376931708433"</f>
        <v>1552376931708433</v>
      </c>
      <c r="C2904" t="s">
        <v>40</v>
      </c>
      <c r="D2904">
        <v>4.6339090000000001</v>
      </c>
      <c r="E2904">
        <v>0.44877289999999997</v>
      </c>
      <c r="F2904" t="s">
        <v>49</v>
      </c>
      <c r="G2904">
        <v>-489.16669999999999</v>
      </c>
      <c r="H2904" s="1">
        <v>6.0240670000000002E-6</v>
      </c>
      <c r="I2904">
        <v>228.3306</v>
      </c>
      <c r="J2904">
        <v>-491.57639999999998</v>
      </c>
      <c r="K2904">
        <v>1.110565</v>
      </c>
      <c r="L2904">
        <v>244.7345</v>
      </c>
      <c r="M2904">
        <v>4.3594109999999998E-2</v>
      </c>
      <c r="N2904">
        <v>0</v>
      </c>
      <c r="O2904">
        <v>-0.9989614</v>
      </c>
      <c r="P2904">
        <v>7.223686E-3</v>
      </c>
      <c r="Q2904">
        <v>2.530315E-2</v>
      </c>
      <c r="R2904">
        <v>-0.9996543</v>
      </c>
      <c r="S2904">
        <v>0.43679810000000002</v>
      </c>
      <c r="T2904">
        <v>-0.20037260000000001</v>
      </c>
      <c r="U2904">
        <v>-3.0034480000000001</v>
      </c>
      <c r="V2904">
        <v>3.6325789999999997E-2</v>
      </c>
      <c r="W2904">
        <v>3.8607839999999997E-2</v>
      </c>
      <c r="X2904">
        <v>0.99859390000000003</v>
      </c>
      <c r="Y2904">
        <v>-0.1003238</v>
      </c>
      <c r="Z2904">
        <v>6.5958340000000004E-2</v>
      </c>
      <c r="AA2904">
        <v>0.99276609999999998</v>
      </c>
      <c r="AB2904">
        <v>24</v>
      </c>
      <c r="AC2904">
        <v>2.40969999999998</v>
      </c>
      <c r="AD2904">
        <v>-1.1105589759329999</v>
      </c>
      <c r="AE2904">
        <v>-16.403899999999901</v>
      </c>
      <c r="AF2904">
        <v>-1.68467405887971</v>
      </c>
      <c r="AG2904">
        <v>-1.1105589759329999</v>
      </c>
      <c r="AH2904">
        <v>16.419691894189398</v>
      </c>
      <c r="AI2904">
        <v>93.849206839233304</v>
      </c>
      <c r="AJ2904">
        <v>95.858096144614606</v>
      </c>
      <c r="AK2904">
        <v>16.5432085710057</v>
      </c>
      <c r="AL2904">
        <v>87.787383700081094</v>
      </c>
      <c r="AM2904">
        <v>87.916673507055293</v>
      </c>
      <c r="AN2904">
        <v>0.99999995272289799</v>
      </c>
    </row>
    <row r="2905" spans="1:40" x14ac:dyDescent="0.25">
      <c r="A2905" t="str">
        <f>"20190312154851735"</f>
        <v>20190312154851735</v>
      </c>
      <c r="B2905" t="str">
        <f>"1552376931728928"</f>
        <v>1552376931728928</v>
      </c>
      <c r="C2905" t="s">
        <v>40</v>
      </c>
      <c r="D2905">
        <v>4.6498119999999998</v>
      </c>
      <c r="E2905">
        <v>0.44899739999999999</v>
      </c>
      <c r="F2905" t="s">
        <v>49</v>
      </c>
      <c r="G2905">
        <v>-489.13990000000001</v>
      </c>
      <c r="H2905" s="1">
        <v>5.9348250000000004E-6</v>
      </c>
      <c r="I2905">
        <v>228.06549999999999</v>
      </c>
      <c r="J2905">
        <v>-491.57010000000002</v>
      </c>
      <c r="K2905">
        <v>1.110568</v>
      </c>
      <c r="L2905">
        <v>244.5992</v>
      </c>
      <c r="M2905">
        <v>4.3968849999999997E-2</v>
      </c>
      <c r="N2905">
        <v>0</v>
      </c>
      <c r="O2905">
        <v>-0.99894470000000002</v>
      </c>
      <c r="P2905">
        <v>8.0656519999999995E-3</v>
      </c>
      <c r="Q2905">
        <v>2.535463E-2</v>
      </c>
      <c r="R2905">
        <v>-0.99964620000000004</v>
      </c>
      <c r="S2905">
        <v>0.4389343</v>
      </c>
      <c r="T2905">
        <v>-0.2000672</v>
      </c>
      <c r="U2905">
        <v>-3.0029140000000001</v>
      </c>
      <c r="V2905">
        <v>3.5858960000000002E-2</v>
      </c>
      <c r="W2905">
        <v>3.8658339999999999E-2</v>
      </c>
      <c r="X2905">
        <v>0.99860890000000002</v>
      </c>
      <c r="Y2905">
        <v>-0.1006682</v>
      </c>
      <c r="Z2905">
        <v>6.5863660000000004E-2</v>
      </c>
      <c r="AA2905">
        <v>0.9927376</v>
      </c>
      <c r="AB2905">
        <v>24</v>
      </c>
      <c r="AC2905">
        <v>2.4302000000000099</v>
      </c>
      <c r="AD2905">
        <v>-1.1105620651749999</v>
      </c>
      <c r="AE2905">
        <v>-16.5337</v>
      </c>
      <c r="AF2905">
        <v>-1.6933391398750399</v>
      </c>
      <c r="AG2905">
        <v>-1.1105620651749999</v>
      </c>
      <c r="AH2905">
        <v>16.551473017743302</v>
      </c>
      <c r="AI2905">
        <v>93.818774730658404</v>
      </c>
      <c r="AJ2905">
        <v>95.841461661882306</v>
      </c>
      <c r="AK2905">
        <v>16.674891441935198</v>
      </c>
      <c r="AL2905">
        <v>87.784488280928997</v>
      </c>
      <c r="AM2905">
        <v>87.943454478391601</v>
      </c>
      <c r="AN2905">
        <v>1.00000003371152</v>
      </c>
    </row>
    <row r="2906" spans="1:40" x14ac:dyDescent="0.25">
      <c r="A2906" t="str">
        <f>"20190312154851748"</f>
        <v>20190312154851748</v>
      </c>
      <c r="B2906" t="str">
        <f>"1552376931738687"</f>
        <v>1552376931738687</v>
      </c>
      <c r="C2906" t="s">
        <v>40</v>
      </c>
      <c r="D2906">
        <v>4.6669010000000002</v>
      </c>
      <c r="E2906">
        <v>0.44907930000000001</v>
      </c>
      <c r="F2906" t="s">
        <v>49</v>
      </c>
      <c r="G2906">
        <v>-489.1284</v>
      </c>
      <c r="H2906" s="1">
        <v>5.8811619999999999E-6</v>
      </c>
      <c r="I2906">
        <v>227.90219999999999</v>
      </c>
      <c r="J2906">
        <v>-491.56349999999998</v>
      </c>
      <c r="K2906">
        <v>1.1105700000000001</v>
      </c>
      <c r="L2906">
        <v>244.4598</v>
      </c>
      <c r="M2906">
        <v>4.4356439999999997E-2</v>
      </c>
      <c r="N2906">
        <v>0</v>
      </c>
      <c r="O2906">
        <v>-0.99892780000000003</v>
      </c>
      <c r="P2906">
        <v>8.6810240000000007E-3</v>
      </c>
      <c r="Q2906">
        <v>2.534759E-2</v>
      </c>
      <c r="R2906">
        <v>-0.99964140000000001</v>
      </c>
      <c r="S2906">
        <v>0.4390869</v>
      </c>
      <c r="T2906">
        <v>-0.19971230000000001</v>
      </c>
      <c r="U2906">
        <v>-3.0026090000000001</v>
      </c>
      <c r="V2906">
        <v>3.5631490000000002E-2</v>
      </c>
      <c r="W2906">
        <v>3.8650249999999997E-2</v>
      </c>
      <c r="X2906">
        <v>0.99861739999999999</v>
      </c>
      <c r="Y2906">
        <v>-0.10034700000000001</v>
      </c>
      <c r="Z2906">
        <v>6.5753060000000002E-2</v>
      </c>
      <c r="AA2906">
        <v>0.99277740000000003</v>
      </c>
      <c r="AB2906">
        <v>24</v>
      </c>
      <c r="AC2906">
        <v>2.4350999999999701</v>
      </c>
      <c r="AD2906">
        <v>-1.110564118838</v>
      </c>
      <c r="AE2906">
        <v>-16.557600000000001</v>
      </c>
      <c r="AF2906">
        <v>-1.69075686742521</v>
      </c>
      <c r="AG2906">
        <v>-1.110564118838</v>
      </c>
      <c r="AH2906">
        <v>16.5763284165517</v>
      </c>
      <c r="AI2906">
        <v>93.813191438001795</v>
      </c>
      <c r="AJ2906">
        <v>95.823929572382795</v>
      </c>
      <c r="AK2906">
        <v>16.6993016386966</v>
      </c>
      <c r="AL2906">
        <v>87.784952249135699</v>
      </c>
      <c r="AM2906">
        <v>87.956506383086605</v>
      </c>
      <c r="AN2906">
        <v>1.00000007824371</v>
      </c>
    </row>
    <row r="2907" spans="1:40" x14ac:dyDescent="0.25">
      <c r="A2907" t="str">
        <f>"20190312154851767"</f>
        <v>20190312154851767</v>
      </c>
      <c r="B2907" t="str">
        <f>"1552376931758208"</f>
        <v>1552376931758208</v>
      </c>
      <c r="C2907" t="s">
        <v>40</v>
      </c>
      <c r="D2907">
        <v>4.6703929999999998</v>
      </c>
      <c r="E2907">
        <v>0.4492834</v>
      </c>
      <c r="F2907" t="s">
        <v>49</v>
      </c>
      <c r="G2907">
        <v>-489.12169999999998</v>
      </c>
      <c r="H2907" s="1">
        <v>5.8579199999999898E-6</v>
      </c>
      <c r="I2907">
        <v>227.8329</v>
      </c>
      <c r="J2907">
        <v>-491.55349999999999</v>
      </c>
      <c r="K2907">
        <v>1.1105700000000001</v>
      </c>
      <c r="L2907">
        <v>244.2491</v>
      </c>
      <c r="M2907">
        <v>4.4950740000000003E-2</v>
      </c>
      <c r="N2907">
        <v>0</v>
      </c>
      <c r="O2907">
        <v>-0.99890109999999999</v>
      </c>
      <c r="P2907">
        <v>1.0092449999999999E-2</v>
      </c>
      <c r="Q2907">
        <v>2.5286469999999998E-2</v>
      </c>
      <c r="R2907">
        <v>-0.99962960000000001</v>
      </c>
      <c r="S2907">
        <v>0.44091799999999998</v>
      </c>
      <c r="T2907">
        <v>-0.20053589999999999</v>
      </c>
      <c r="U2907">
        <v>-3.002335</v>
      </c>
      <c r="V2907">
        <v>3.4814919999999999E-2</v>
      </c>
      <c r="W2907">
        <v>3.8588310000000001E-2</v>
      </c>
      <c r="X2907">
        <v>0.99864850000000005</v>
      </c>
      <c r="Y2907">
        <v>-0.10035819999999999</v>
      </c>
      <c r="Z2907">
        <v>6.6023429999999994E-2</v>
      </c>
      <c r="AA2907">
        <v>0.99275829999999998</v>
      </c>
      <c r="AB2907">
        <v>24</v>
      </c>
      <c r="AC2907">
        <v>2.4318</v>
      </c>
      <c r="AD2907">
        <v>-1.1105641420799901</v>
      </c>
      <c r="AE2907">
        <v>-16.4162</v>
      </c>
      <c r="AF2907">
        <v>-1.68381555919381</v>
      </c>
      <c r="AG2907">
        <v>-1.1105641420799901</v>
      </c>
      <c r="AH2907">
        <v>16.435321872911</v>
      </c>
      <c r="AI2907">
        <v>93.845633346184002</v>
      </c>
      <c r="AJ2907">
        <v>95.849602044508799</v>
      </c>
      <c r="AK2907">
        <v>16.558634986533299</v>
      </c>
      <c r="AL2907">
        <v>87.788503584714306</v>
      </c>
      <c r="AM2907">
        <v>88.003361086981499</v>
      </c>
      <c r="AN2907">
        <v>0.99999998143775604</v>
      </c>
    </row>
    <row r="2908" spans="1:40" x14ac:dyDescent="0.25">
      <c r="A2908" t="str">
        <f>"20190312154851779"</f>
        <v>20190312154851779</v>
      </c>
      <c r="B2908" t="str">
        <f>"1552376931768944"</f>
        <v>1552376931768944</v>
      </c>
      <c r="C2908" t="s">
        <v>40</v>
      </c>
      <c r="D2908">
        <v>4.6751250000000004</v>
      </c>
      <c r="E2908">
        <v>0.4493607</v>
      </c>
      <c r="F2908" t="s">
        <v>49</v>
      </c>
      <c r="G2908">
        <v>-489.11239999999998</v>
      </c>
      <c r="H2908" s="1">
        <v>5.8173869999999998E-6</v>
      </c>
      <c r="I2908">
        <v>227.71010000000001</v>
      </c>
      <c r="J2908">
        <v>-491.54660000000001</v>
      </c>
      <c r="K2908">
        <v>1.110576</v>
      </c>
      <c r="L2908">
        <v>244.107</v>
      </c>
      <c r="M2908">
        <v>4.5359280000000002E-2</v>
      </c>
      <c r="N2908">
        <v>0</v>
      </c>
      <c r="O2908">
        <v>-0.99888250000000001</v>
      </c>
      <c r="P2908">
        <v>1.0678959999999999E-2</v>
      </c>
      <c r="Q2908">
        <v>2.5113340000000001E-2</v>
      </c>
      <c r="R2908">
        <v>-0.99962759999999995</v>
      </c>
      <c r="S2908">
        <v>0.44305420000000001</v>
      </c>
      <c r="T2908">
        <v>-0.20155999999999999</v>
      </c>
      <c r="U2908">
        <v>-3.0017239999999998</v>
      </c>
      <c r="V2908">
        <v>3.4637210000000002E-2</v>
      </c>
      <c r="W2908">
        <v>3.8414869999999997E-2</v>
      </c>
      <c r="X2908">
        <v>0.99866140000000003</v>
      </c>
      <c r="Y2908">
        <v>-0.10066849999999999</v>
      </c>
      <c r="Z2908">
        <v>6.6366110000000006E-2</v>
      </c>
      <c r="AA2908">
        <v>0.99270409999999998</v>
      </c>
      <c r="AB2908">
        <v>24</v>
      </c>
      <c r="AC2908">
        <v>2.4342000000000299</v>
      </c>
      <c r="AD2908">
        <v>-1.1105701826129999</v>
      </c>
      <c r="AE2908">
        <v>-16.396899999999899</v>
      </c>
      <c r="AF2908">
        <v>-1.6803348043480499</v>
      </c>
      <c r="AG2908">
        <v>-1.1105701826129999</v>
      </c>
      <c r="AH2908">
        <v>16.4167570178634</v>
      </c>
      <c r="AI2908">
        <v>93.850027387147094</v>
      </c>
      <c r="AJ2908">
        <v>95.844149205332499</v>
      </c>
      <c r="AK2908">
        <v>16.539854962144599</v>
      </c>
      <c r="AL2908">
        <v>87.798448412928394</v>
      </c>
      <c r="AM2908">
        <v>88.013570225100295</v>
      </c>
      <c r="AN2908">
        <v>1.00000001520183</v>
      </c>
    </row>
    <row r="2909" spans="1:40" x14ac:dyDescent="0.25">
      <c r="A2909" t="str">
        <f>"20190312154851792"</f>
        <v>20190312154851792</v>
      </c>
      <c r="B2909" t="str">
        <f>"1552376931778703"</f>
        <v>1552376931778703</v>
      </c>
      <c r="C2909" t="s">
        <v>40</v>
      </c>
      <c r="D2909">
        <v>4.7048699999999997</v>
      </c>
      <c r="E2909">
        <v>0.44948729999999998</v>
      </c>
      <c r="F2909" t="s">
        <v>49</v>
      </c>
      <c r="G2909">
        <v>-489.11040000000003</v>
      </c>
      <c r="H2909" s="1">
        <v>5.7982120000000001E-6</v>
      </c>
      <c r="I2909">
        <v>227.6499</v>
      </c>
      <c r="J2909">
        <v>-491.54059999999998</v>
      </c>
      <c r="K2909">
        <v>1.1105830000000001</v>
      </c>
      <c r="L2909">
        <v>243.9819</v>
      </c>
      <c r="M2909">
        <v>4.5725380000000003E-2</v>
      </c>
      <c r="N2909">
        <v>0</v>
      </c>
      <c r="O2909">
        <v>-0.99886580000000003</v>
      </c>
      <c r="P2909">
        <v>1.1590100000000001E-2</v>
      </c>
      <c r="Q2909">
        <v>2.4886849999999999E-2</v>
      </c>
      <c r="R2909">
        <v>-0.99962309999999999</v>
      </c>
      <c r="S2909">
        <v>0.44433590000000001</v>
      </c>
      <c r="T2909">
        <v>-0.2025498</v>
      </c>
      <c r="U2909">
        <v>-3.0014949999999998</v>
      </c>
      <c r="V2909">
        <v>3.4092610000000002E-2</v>
      </c>
      <c r="W2909">
        <v>3.8188060000000003E-2</v>
      </c>
      <c r="X2909">
        <v>0.99868880000000004</v>
      </c>
      <c r="Y2909">
        <v>-0.1007265</v>
      </c>
      <c r="Z2909">
        <v>6.6691650000000005E-2</v>
      </c>
      <c r="AA2909">
        <v>0.99267640000000001</v>
      </c>
      <c r="AB2909">
        <v>24</v>
      </c>
      <c r="AC2909">
        <v>2.43019999999995</v>
      </c>
      <c r="AD2909">
        <v>-1.110577201788</v>
      </c>
      <c r="AE2909">
        <v>-16.331999999999901</v>
      </c>
      <c r="AF2909">
        <v>-1.6732354741130899</v>
      </c>
      <c r="AG2909">
        <v>-1.110577201788</v>
      </c>
      <c r="AH2909">
        <v>16.352071860592101</v>
      </c>
      <c r="AI2909">
        <v>93.865246940220004</v>
      </c>
      <c r="AJ2909">
        <v>95.842490008112705</v>
      </c>
      <c r="AK2909">
        <v>16.474931041037099</v>
      </c>
      <c r="AL2909">
        <v>87.811453126553104</v>
      </c>
      <c r="AM2909">
        <v>88.044831978286695</v>
      </c>
      <c r="AN2909">
        <v>0.99999997661430695</v>
      </c>
    </row>
    <row r="2910" spans="1:40" x14ac:dyDescent="0.25">
      <c r="A2910" t="str">
        <f>"20190312154851805"</f>
        <v>20190312154851805</v>
      </c>
      <c r="B2910" t="str">
        <f>"1552376931799200"</f>
        <v>1552376931799200</v>
      </c>
      <c r="C2910" t="s">
        <v>40</v>
      </c>
      <c r="D2910">
        <v>4.6957800000000001</v>
      </c>
      <c r="E2910">
        <v>0.4497176</v>
      </c>
      <c r="F2910" t="s">
        <v>49</v>
      </c>
      <c r="G2910">
        <v>-489.10289999999998</v>
      </c>
      <c r="H2910" s="1">
        <v>5.7762379999999996E-6</v>
      </c>
      <c r="I2910">
        <v>227.58539999999999</v>
      </c>
      <c r="J2910">
        <v>-491.53359999999998</v>
      </c>
      <c r="K2910">
        <v>1.11059</v>
      </c>
      <c r="L2910">
        <v>243.84</v>
      </c>
      <c r="M2910">
        <v>4.6145600000000002E-2</v>
      </c>
      <c r="N2910">
        <v>0</v>
      </c>
      <c r="O2910">
        <v>-0.99884669999999998</v>
      </c>
      <c r="P2910">
        <v>1.223658E-2</v>
      </c>
      <c r="Q2910">
        <v>2.4966849999999999E-2</v>
      </c>
      <c r="R2910">
        <v>-0.99961369999999905</v>
      </c>
      <c r="S2910">
        <v>0.44616699999999998</v>
      </c>
      <c r="T2910">
        <v>-0.2032677</v>
      </c>
      <c r="U2910">
        <v>-3.0010219999999999</v>
      </c>
      <c r="V2910">
        <v>3.3865770000000003E-2</v>
      </c>
      <c r="W2910">
        <v>3.8267629999999997E-2</v>
      </c>
      <c r="X2910">
        <v>0.99869350000000001</v>
      </c>
      <c r="Y2910">
        <v>-0.10092089999999999</v>
      </c>
      <c r="Z2910">
        <v>6.6931770000000002E-2</v>
      </c>
      <c r="AA2910">
        <v>0.99264050000000004</v>
      </c>
      <c r="AB2910">
        <v>24</v>
      </c>
      <c r="AC2910">
        <v>2.4306999999999999</v>
      </c>
      <c r="AD2910">
        <v>-1.1105842237620001</v>
      </c>
      <c r="AE2910">
        <v>-16.2546</v>
      </c>
      <c r="AF2910">
        <v>-1.6703390079485601</v>
      </c>
      <c r="AG2910">
        <v>-1.1105842237620001</v>
      </c>
      <c r="AH2910">
        <v>16.275143310991901</v>
      </c>
      <c r="AI2910">
        <v>93.883365680722605</v>
      </c>
      <c r="AJ2910">
        <v>95.859823234130502</v>
      </c>
      <c r="AK2910">
        <v>16.398284041718199</v>
      </c>
      <c r="AL2910">
        <v>87.806890827401702</v>
      </c>
      <c r="AM2910">
        <v>88.057840102119499</v>
      </c>
      <c r="AN2910">
        <v>1.0000000044128701</v>
      </c>
    </row>
    <row r="2911" spans="1:40" x14ac:dyDescent="0.25">
      <c r="A2911" t="str">
        <f>"20190312154851824"</f>
        <v>20190312154851824</v>
      </c>
      <c r="B2911" t="str">
        <f>"1552376931818720"</f>
        <v>1552376931818720</v>
      </c>
      <c r="C2911" t="s">
        <v>40</v>
      </c>
      <c r="D2911">
        <v>4.7052170000000002</v>
      </c>
      <c r="E2911">
        <v>0.4499862</v>
      </c>
      <c r="F2911" t="s">
        <v>49</v>
      </c>
      <c r="G2911">
        <v>-489.09140000000002</v>
      </c>
      <c r="H2911" s="1">
        <v>5.72347099999999E-6</v>
      </c>
      <c r="I2911">
        <v>227.42490000000001</v>
      </c>
      <c r="J2911">
        <v>-491.52319999999997</v>
      </c>
      <c r="K2911">
        <v>1.110617</v>
      </c>
      <c r="L2911">
        <v>243.63149999999999</v>
      </c>
      <c r="M2911">
        <v>4.6800389999999997E-2</v>
      </c>
      <c r="N2911">
        <v>0</v>
      </c>
      <c r="O2911">
        <v>-0.99881600000000004</v>
      </c>
      <c r="P2911">
        <v>1.356663E-2</v>
      </c>
      <c r="Q2911">
        <v>2.5562649999999999E-2</v>
      </c>
      <c r="R2911">
        <v>-0.99958119999999995</v>
      </c>
      <c r="S2911">
        <v>0.4464417</v>
      </c>
      <c r="T2911">
        <v>-0.20301910000000001</v>
      </c>
      <c r="U2911">
        <v>-3.0007320000000002</v>
      </c>
      <c r="V2911">
        <v>3.3187750000000002E-2</v>
      </c>
      <c r="W2911">
        <v>3.8863710000000003E-2</v>
      </c>
      <c r="X2911">
        <v>0.99869319999999895</v>
      </c>
      <c r="Y2911">
        <v>-0.1003723</v>
      </c>
      <c r="Z2911">
        <v>6.6855020000000001E-2</v>
      </c>
      <c r="AA2911">
        <v>0.99270130000000001</v>
      </c>
      <c r="AB2911">
        <v>24</v>
      </c>
      <c r="AC2911">
        <v>2.4317999999999498</v>
      </c>
      <c r="AD2911">
        <v>-1.1106112765289999</v>
      </c>
      <c r="AE2911">
        <v>-16.206599999999899</v>
      </c>
      <c r="AF2911">
        <v>-1.6629553354415501</v>
      </c>
      <c r="AG2911">
        <v>-1.1106112765289999</v>
      </c>
      <c r="AH2911">
        <v>16.228126535783002</v>
      </c>
      <c r="AI2911">
        <v>93.894738842884394</v>
      </c>
      <c r="AJ2911">
        <v>95.850884856407404</v>
      </c>
      <c r="AK2911">
        <v>16.350870579776799</v>
      </c>
      <c r="AL2911">
        <v>87.772712436197594</v>
      </c>
      <c r="AM2911">
        <v>88.096694245897893</v>
      </c>
      <c r="AN2911">
        <v>0.99999996121563195</v>
      </c>
    </row>
    <row r="2912" spans="1:40" x14ac:dyDescent="0.25">
      <c r="A2912" t="str">
        <f>"20190312154851838"</f>
        <v>20190312154851838</v>
      </c>
      <c r="B2912" t="str">
        <f>"1552376931828481"</f>
        <v>1552376931828481</v>
      </c>
      <c r="C2912" t="s">
        <v>40</v>
      </c>
      <c r="D2912">
        <v>4.724342</v>
      </c>
      <c r="E2912">
        <v>0.45009569999999999</v>
      </c>
      <c r="F2912" t="s">
        <v>49</v>
      </c>
      <c r="G2912">
        <v>-489.0446</v>
      </c>
      <c r="H2912" s="1">
        <v>5.5937719999999998E-6</v>
      </c>
      <c r="I2912">
        <v>227.04650000000001</v>
      </c>
      <c r="J2912">
        <v>-491.51560000000001</v>
      </c>
      <c r="K2912">
        <v>1.110643</v>
      </c>
      <c r="L2912">
        <v>243.4811</v>
      </c>
      <c r="M2912">
        <v>4.7305680000000003E-2</v>
      </c>
      <c r="N2912">
        <v>0</v>
      </c>
      <c r="O2912">
        <v>-0.99879260000000003</v>
      </c>
      <c r="P2912">
        <v>1.4334360000000001E-2</v>
      </c>
      <c r="Q2912">
        <v>2.614006E-2</v>
      </c>
      <c r="R2912">
        <v>-0.99955609999999995</v>
      </c>
      <c r="S2912">
        <v>0.44839479999999998</v>
      </c>
      <c r="T2912">
        <v>-0.2009145</v>
      </c>
      <c r="U2912">
        <v>-3.0002900000000001</v>
      </c>
      <c r="V2912">
        <v>3.2922119999999999E-2</v>
      </c>
      <c r="W2912">
        <v>3.9442619999999998E-2</v>
      </c>
      <c r="X2912">
        <v>0.99867930000000005</v>
      </c>
      <c r="Y2912">
        <v>-0.1005292</v>
      </c>
      <c r="Z2912">
        <v>6.6168589999999999E-2</v>
      </c>
      <c r="AA2912">
        <v>0.99273140000000004</v>
      </c>
      <c r="AB2912">
        <v>24</v>
      </c>
      <c r="AC2912">
        <v>2.4710000000000001</v>
      </c>
      <c r="AD2912">
        <v>-1.110637406228</v>
      </c>
      <c r="AE2912">
        <v>-16.4345999999999</v>
      </c>
      <c r="AF2912">
        <v>-1.6831978180267499</v>
      </c>
      <c r="AG2912">
        <v>-1.110637406228</v>
      </c>
      <c r="AH2912">
        <v>16.4595917663306</v>
      </c>
      <c r="AI2912">
        <v>93.840305595446793</v>
      </c>
      <c r="AJ2912">
        <v>95.838908314872199</v>
      </c>
      <c r="AK2912">
        <v>16.5826665966901</v>
      </c>
      <c r="AL2912">
        <v>87.739517890964805</v>
      </c>
      <c r="AM2912">
        <v>88.111890702184994</v>
      </c>
      <c r="AN2912">
        <v>0.99999996525312296</v>
      </c>
    </row>
    <row r="2913" spans="1:40" x14ac:dyDescent="0.25">
      <c r="A2913" t="str">
        <f>"20190312154851857"</f>
        <v>20190312154851857</v>
      </c>
      <c r="B2913" t="str">
        <f>"1552376931848977"</f>
        <v>1552376931848977</v>
      </c>
      <c r="C2913" t="s">
        <v>40</v>
      </c>
      <c r="D2913">
        <v>4.7007159999999999</v>
      </c>
      <c r="E2913">
        <v>0.45035550000000002</v>
      </c>
      <c r="F2913" t="s">
        <v>49</v>
      </c>
      <c r="G2913">
        <v>-489.00830000000002</v>
      </c>
      <c r="H2913" s="1">
        <v>5.4916920000000001E-6</v>
      </c>
      <c r="I2913">
        <v>226.7482</v>
      </c>
      <c r="J2913">
        <v>-491.50490000000002</v>
      </c>
      <c r="K2913">
        <v>1.110698</v>
      </c>
      <c r="L2913">
        <v>243.2731</v>
      </c>
      <c r="M2913">
        <v>4.8056269999999998E-2</v>
      </c>
      <c r="N2913">
        <v>0</v>
      </c>
      <c r="O2913">
        <v>-0.99875670000000005</v>
      </c>
      <c r="P2913">
        <v>1.5233719999999999E-2</v>
      </c>
      <c r="Q2913">
        <v>2.6987919999999999E-2</v>
      </c>
      <c r="R2913">
        <v>-0.99951999999999996</v>
      </c>
      <c r="S2913">
        <v>0.44955440000000002</v>
      </c>
      <c r="T2913">
        <v>-0.19913020000000001</v>
      </c>
      <c r="U2913">
        <v>-3.0001069999999999</v>
      </c>
      <c r="V2913">
        <v>3.2767400000000002E-2</v>
      </c>
      <c r="W2913">
        <v>4.0293099999999998E-2</v>
      </c>
      <c r="X2913">
        <v>0.9986505</v>
      </c>
      <c r="Y2913">
        <v>-0.10017139999999999</v>
      </c>
      <c r="Z2913">
        <v>6.5583240000000001E-2</v>
      </c>
      <c r="AA2913">
        <v>0.99280639999999998</v>
      </c>
      <c r="AB2913">
        <v>24</v>
      </c>
      <c r="AC2913">
        <v>2.4965999999999999</v>
      </c>
      <c r="AD2913">
        <v>-1.1106925083079999</v>
      </c>
      <c r="AE2913">
        <v>-16.524899999999999</v>
      </c>
      <c r="AF2913">
        <v>-1.69204674273347</v>
      </c>
      <c r="AG2913">
        <v>-1.1106925083079999</v>
      </c>
      <c r="AH2913">
        <v>16.552682084216201</v>
      </c>
      <c r="AI2913">
        <v>93.818976768323594</v>
      </c>
      <c r="AJ2913">
        <v>95.836610699109897</v>
      </c>
      <c r="AK2913">
        <v>16.675969063557801</v>
      </c>
      <c r="AL2913">
        <v>87.690750347786405</v>
      </c>
      <c r="AM2913">
        <v>88.120703481172797</v>
      </c>
      <c r="AN2913">
        <v>1.0000000287802999</v>
      </c>
    </row>
    <row r="2914" spans="1:40" x14ac:dyDescent="0.25">
      <c r="A2914" t="str">
        <f>"20190312154851870"</f>
        <v>20190312154851870</v>
      </c>
      <c r="B2914" t="str">
        <f>"1552376931858736"</f>
        <v>1552376931858736</v>
      </c>
      <c r="C2914" t="s">
        <v>40</v>
      </c>
      <c r="D2914">
        <v>4.728281</v>
      </c>
      <c r="E2914">
        <v>0.4502274</v>
      </c>
      <c r="F2914" t="s">
        <v>49</v>
      </c>
      <c r="G2914">
        <v>-488.94839999999999</v>
      </c>
      <c r="H2914" s="1">
        <v>5.32415899999999E-6</v>
      </c>
      <c r="I2914">
        <v>226.25880000000001</v>
      </c>
      <c r="J2914">
        <v>-491.49759999999998</v>
      </c>
      <c r="K2914">
        <v>1.110738</v>
      </c>
      <c r="L2914">
        <v>243.1335</v>
      </c>
      <c r="M2914">
        <v>4.8603069999999998E-2</v>
      </c>
      <c r="N2914">
        <v>0</v>
      </c>
      <c r="O2914">
        <v>-0.99873009999999995</v>
      </c>
      <c r="P2914">
        <v>1.5891889999999999E-2</v>
      </c>
      <c r="Q2914">
        <v>2.7197280000000001E-2</v>
      </c>
      <c r="R2914">
        <v>-0.9995039</v>
      </c>
      <c r="S2914">
        <v>0.4507446</v>
      </c>
      <c r="T2914">
        <v>-0.19583049999999999</v>
      </c>
      <c r="U2914">
        <v>-2.9998629999999999</v>
      </c>
      <c r="V2914">
        <v>3.2652059999999997E-2</v>
      </c>
      <c r="W2914">
        <v>4.0504640000000001E-2</v>
      </c>
      <c r="X2914">
        <v>0.99864569999999997</v>
      </c>
      <c r="Y2914">
        <v>-0.1000342</v>
      </c>
      <c r="Z2914">
        <v>6.4502279999999995E-2</v>
      </c>
      <c r="AA2914">
        <v>0.99289099999999997</v>
      </c>
      <c r="AB2914">
        <v>24</v>
      </c>
      <c r="AC2914">
        <v>2.5491999999999799</v>
      </c>
      <c r="AD2914">
        <v>-1.1107326758409899</v>
      </c>
      <c r="AE2914">
        <v>-16.874699999999901</v>
      </c>
      <c r="AF2914">
        <v>-1.71867222397087</v>
      </c>
      <c r="AG2914">
        <v>-1.1107326758409899</v>
      </c>
      <c r="AH2914">
        <v>16.9070465242647</v>
      </c>
      <c r="AI2914">
        <v>93.739510561845094</v>
      </c>
      <c r="AJ2914">
        <v>95.804417745092294</v>
      </c>
      <c r="AK2914">
        <v>17.030436972206001</v>
      </c>
      <c r="AL2914">
        <v>87.678620049080806</v>
      </c>
      <c r="AM2914">
        <v>88.127304820217006</v>
      </c>
      <c r="AN2914">
        <v>1.00000000850613</v>
      </c>
    </row>
    <row r="2915" spans="1:40" x14ac:dyDescent="0.25">
      <c r="A2915" t="str">
        <f>"20190312154851883"</f>
        <v>20190312154851883</v>
      </c>
      <c r="B2915" t="str">
        <f>"1552376931879233"</f>
        <v>1552376931879233</v>
      </c>
      <c r="C2915" t="s">
        <v>40</v>
      </c>
      <c r="D2915">
        <v>4.7554610000000004</v>
      </c>
      <c r="E2915">
        <v>0.4141898</v>
      </c>
      <c r="F2915" t="s">
        <v>49</v>
      </c>
      <c r="G2915">
        <v>-488.904</v>
      </c>
      <c r="H2915" s="1">
        <v>5.2297010000000003E-6</v>
      </c>
      <c r="I2915">
        <v>225.99199999999999</v>
      </c>
      <c r="J2915">
        <v>-491.49040000000002</v>
      </c>
      <c r="K2915">
        <v>1.1107819999999999</v>
      </c>
      <c r="L2915">
        <v>242.99619999999999</v>
      </c>
      <c r="M2915">
        <v>4.9175389999999999E-2</v>
      </c>
      <c r="N2915">
        <v>0</v>
      </c>
      <c r="O2915">
        <v>-0.99870179999999997</v>
      </c>
      <c r="P2915">
        <v>1.6638699999999999E-2</v>
      </c>
      <c r="Q2915">
        <v>2.7288090000000001E-2</v>
      </c>
      <c r="R2915">
        <v>-0.99948910000000002</v>
      </c>
      <c r="S2915">
        <v>0.45385740000000002</v>
      </c>
      <c r="T2915">
        <v>-0.1943666</v>
      </c>
      <c r="U2915">
        <v>-2.9995729999999998</v>
      </c>
      <c r="V2915">
        <v>3.2473399999999999E-2</v>
      </c>
      <c r="W2915">
        <v>4.059898E-2</v>
      </c>
      <c r="X2915">
        <v>0.99864770000000003</v>
      </c>
      <c r="Y2915">
        <v>-0.1004902</v>
      </c>
      <c r="Z2915">
        <v>6.4019110000000004E-2</v>
      </c>
      <c r="AA2915">
        <v>0.99287619999999999</v>
      </c>
      <c r="AB2915">
        <v>24</v>
      </c>
      <c r="AC2915">
        <v>2.5864000000000198</v>
      </c>
      <c r="AD2915">
        <v>-1.1107767702989999</v>
      </c>
      <c r="AE2915">
        <v>-17.004199999999901</v>
      </c>
      <c r="AF2915">
        <v>-1.7397523758651601</v>
      </c>
      <c r="AG2915">
        <v>-1.1107767702989999</v>
      </c>
      <c r="AH2915">
        <v>17.0397548840957</v>
      </c>
      <c r="AI2915">
        <v>93.710449035852406</v>
      </c>
      <c r="AJ2915">
        <v>95.829676084032798</v>
      </c>
      <c r="AK2915">
        <v>17.1643179262337</v>
      </c>
      <c r="AL2915">
        <v>87.673210327763499</v>
      </c>
      <c r="AM2915">
        <v>88.137548006841996</v>
      </c>
      <c r="AN2915">
        <v>1.0000000137999401</v>
      </c>
    </row>
    <row r="2916" spans="1:40" x14ac:dyDescent="0.25">
      <c r="A2916" t="str">
        <f>"20190312154851901"</f>
        <v>20190312154851901</v>
      </c>
      <c r="B2916" t="str">
        <f>"1552376931898753"</f>
        <v>1552376931898753</v>
      </c>
      <c r="C2916" t="s">
        <v>40</v>
      </c>
      <c r="D2916">
        <v>4.7071990000000001</v>
      </c>
      <c r="E2916">
        <v>0.39583449999999998</v>
      </c>
      <c r="F2916" t="s">
        <v>49</v>
      </c>
      <c r="G2916">
        <v>-487.81760000000003</v>
      </c>
      <c r="H2916" s="1">
        <v>5.6314979999999997E-6</v>
      </c>
      <c r="I2916">
        <v>228.22210000000001</v>
      </c>
      <c r="J2916">
        <v>-491.47980000000001</v>
      </c>
      <c r="K2916">
        <v>1.110849</v>
      </c>
      <c r="L2916">
        <v>242.80199999999999</v>
      </c>
      <c r="M2916">
        <v>5.0072140000000001E-2</v>
      </c>
      <c r="N2916">
        <v>0</v>
      </c>
      <c r="O2916">
        <v>-0.99865749999999998</v>
      </c>
      <c r="P2916">
        <v>1.7829910000000001E-2</v>
      </c>
      <c r="Q2916">
        <v>2.69153E-2</v>
      </c>
      <c r="R2916">
        <v>-0.99947909999999995</v>
      </c>
      <c r="S2916">
        <v>0.74459839999999999</v>
      </c>
      <c r="T2916">
        <v>-0.2251959</v>
      </c>
      <c r="U2916">
        <v>-2.9952700000000001</v>
      </c>
      <c r="V2916">
        <v>3.2173640000000003E-2</v>
      </c>
      <c r="W2916">
        <v>4.0232110000000001E-2</v>
      </c>
      <c r="X2916">
        <v>0.99867220000000001</v>
      </c>
      <c r="Y2916">
        <v>-0.19170499999999999</v>
      </c>
      <c r="Z2916">
        <v>7.3031719999999994E-2</v>
      </c>
      <c r="AA2916">
        <v>0.97873160000000003</v>
      </c>
      <c r="AB2916">
        <v>24</v>
      </c>
      <c r="AC2916">
        <v>3.6621999999999799</v>
      </c>
      <c r="AD2916">
        <v>-1.1108433685020001</v>
      </c>
      <c r="AE2916">
        <v>-14.5799</v>
      </c>
      <c r="AF2916">
        <v>-2.9115957799128398</v>
      </c>
      <c r="AG2916">
        <v>-1.1108433685020001</v>
      </c>
      <c r="AH2916">
        <v>14.6649215725544</v>
      </c>
      <c r="AI2916">
        <v>94.249161298028596</v>
      </c>
      <c r="AJ2916">
        <v>101.22955911464101</v>
      </c>
      <c r="AK2916">
        <v>14.9923743184368</v>
      </c>
      <c r="AL2916">
        <v>87.694247504649098</v>
      </c>
      <c r="AM2916">
        <v>88.154773485998106</v>
      </c>
      <c r="AN2916">
        <v>0.99999996441937</v>
      </c>
    </row>
    <row r="2917" spans="1:40" x14ac:dyDescent="0.25">
      <c r="A2917" t="str">
        <f>"20190312154851913"</f>
        <v>20190312154851913</v>
      </c>
      <c r="B2917" t="str">
        <f>"1552376931908512"</f>
        <v>1552376931908512</v>
      </c>
      <c r="C2917" t="s">
        <v>40</v>
      </c>
      <c r="D2917">
        <v>4.7163899999999996</v>
      </c>
      <c r="E2917">
        <v>0.38996989999999998</v>
      </c>
      <c r="F2917" t="s">
        <v>42</v>
      </c>
      <c r="G2917">
        <v>-487.67959999999999</v>
      </c>
      <c r="H2917" s="1">
        <v>-7.7371779999999998E-7</v>
      </c>
      <c r="I2917">
        <v>230.10740000000001</v>
      </c>
      <c r="J2917">
        <v>-491.47280000000001</v>
      </c>
      <c r="K2917">
        <v>1.1109039999999999</v>
      </c>
      <c r="L2917">
        <v>242.67500000000001</v>
      </c>
      <c r="M2917">
        <v>5.0718310000000003E-2</v>
      </c>
      <c r="N2917">
        <v>0</v>
      </c>
      <c r="O2917">
        <v>-0.99862499999999998</v>
      </c>
      <c r="P2917">
        <v>1.867512E-2</v>
      </c>
      <c r="Q2917">
        <v>2.689886E-2</v>
      </c>
      <c r="R2917">
        <v>-0.99946409999999997</v>
      </c>
      <c r="S2917">
        <v>0.89584349999999902</v>
      </c>
      <c r="T2917">
        <v>-0.26186999999999999</v>
      </c>
      <c r="U2917">
        <v>-2.9925989999999998</v>
      </c>
      <c r="V2917">
        <v>3.1969940000000002E-2</v>
      </c>
      <c r="W2917">
        <v>4.0220199999999998E-2</v>
      </c>
      <c r="X2917">
        <v>0.99867930000000005</v>
      </c>
      <c r="Y2917">
        <v>-0.23680689999999999</v>
      </c>
      <c r="Z2917">
        <v>8.3940070000000006E-2</v>
      </c>
      <c r="AA2917">
        <v>0.9679238</v>
      </c>
      <c r="AB2917">
        <v>24</v>
      </c>
      <c r="AC2917">
        <v>3.7932000000000099</v>
      </c>
      <c r="AD2917">
        <v>-1.1109047737177999</v>
      </c>
      <c r="AE2917">
        <v>-12.567600000000001</v>
      </c>
      <c r="AF2917">
        <v>-3.12845039315672</v>
      </c>
      <c r="AG2917">
        <v>-1.1109047737177999</v>
      </c>
      <c r="AH2917">
        <v>12.6532121410019</v>
      </c>
      <c r="AI2917">
        <v>94.871537063645903</v>
      </c>
      <c r="AJ2917">
        <v>103.887612537428</v>
      </c>
      <c r="AK2917">
        <v>13.081478844683801</v>
      </c>
      <c r="AL2917">
        <v>87.694930631184207</v>
      </c>
      <c r="AM2917">
        <v>88.166461139866897</v>
      </c>
      <c r="AN2917">
        <v>1.0000000429000599</v>
      </c>
    </row>
    <row r="2918" spans="1:40" x14ac:dyDescent="0.25">
      <c r="A2918" t="str">
        <f>"20190312154851924"</f>
        <v>20190312154851924</v>
      </c>
      <c r="B2918" t="str">
        <f>"1552376931919249"</f>
        <v>1552376931919249</v>
      </c>
      <c r="C2918" t="s">
        <v>40</v>
      </c>
      <c r="D2918">
        <v>4.7388079999999997</v>
      </c>
      <c r="E2918">
        <v>0.38613340000000002</v>
      </c>
      <c r="F2918" t="s">
        <v>42</v>
      </c>
      <c r="G2918">
        <v>-487.56810000000002</v>
      </c>
      <c r="H2918" s="1">
        <v>-8.7710940000000004E-7</v>
      </c>
      <c r="I2918">
        <v>230.32400000000001</v>
      </c>
      <c r="J2918">
        <v>-491.46559999999999</v>
      </c>
      <c r="K2918">
        <v>1.110965</v>
      </c>
      <c r="L2918">
        <v>242.54759999999999</v>
      </c>
      <c r="M2918">
        <v>5.139407E-2</v>
      </c>
      <c r="N2918">
        <v>0</v>
      </c>
      <c r="O2918">
        <v>-0.99859019999999998</v>
      </c>
      <c r="P2918">
        <v>1.964666E-2</v>
      </c>
      <c r="Q2918">
        <v>2.6752080000000001E-2</v>
      </c>
      <c r="R2918">
        <v>-0.99944920000000004</v>
      </c>
      <c r="S2918">
        <v>0.94564820000000005</v>
      </c>
      <c r="T2918">
        <v>-0.26903959999999999</v>
      </c>
      <c r="U2918">
        <v>-2.9911650000000001</v>
      </c>
      <c r="V2918">
        <v>3.1669719999999998E-2</v>
      </c>
      <c r="W2918">
        <v>4.0077740000000001E-2</v>
      </c>
      <c r="X2918">
        <v>0.99869450000000004</v>
      </c>
      <c r="Y2918">
        <v>-0.2509226</v>
      </c>
      <c r="Z2918">
        <v>8.5895840000000001E-2</v>
      </c>
      <c r="AA2918">
        <v>0.96418859999999995</v>
      </c>
      <c r="AB2918">
        <v>24</v>
      </c>
      <c r="AC2918">
        <v>3.89749999999998</v>
      </c>
      <c r="AD2918">
        <v>-1.1109658771094</v>
      </c>
      <c r="AE2918">
        <v>-12.2235999999999</v>
      </c>
      <c r="AF2918">
        <v>-3.2397801126595298</v>
      </c>
      <c r="AG2918">
        <v>-1.1109658771094</v>
      </c>
      <c r="AH2918">
        <v>12.3154263548772</v>
      </c>
      <c r="AI2918">
        <v>94.985921005741801</v>
      </c>
      <c r="AJ2918">
        <v>104.73868277606201</v>
      </c>
      <c r="AK2918">
        <v>12.782806681667701</v>
      </c>
      <c r="AL2918">
        <v>87.703099361519506</v>
      </c>
      <c r="AM2918">
        <v>88.183695384499899</v>
      </c>
      <c r="AN2918">
        <v>0.99999995036931599</v>
      </c>
    </row>
    <row r="2919" spans="1:40" x14ac:dyDescent="0.25">
      <c r="A2919" t="str">
        <f>"20190312154851935"</f>
        <v>20190312154851935</v>
      </c>
      <c r="B2919" t="str">
        <f>"1552376931929009"</f>
        <v>1552376931929009</v>
      </c>
      <c r="C2919" t="s">
        <v>40</v>
      </c>
      <c r="D2919">
        <v>4.7286279999999996</v>
      </c>
      <c r="E2919">
        <v>0.3833877</v>
      </c>
      <c r="F2919" t="s">
        <v>42</v>
      </c>
      <c r="G2919">
        <v>-487.53120000000001</v>
      </c>
      <c r="H2919" s="1">
        <v>-9.5856410000000003E-7</v>
      </c>
      <c r="I2919">
        <v>230.53460000000001</v>
      </c>
      <c r="J2919">
        <v>-491.45859999999999</v>
      </c>
      <c r="K2919">
        <v>1.1110279999999999</v>
      </c>
      <c r="L2919">
        <v>242.42670000000001</v>
      </c>
      <c r="M2919">
        <v>5.2117259999999999E-2</v>
      </c>
      <c r="N2919">
        <v>0</v>
      </c>
      <c r="O2919">
        <v>-0.99855269999999996</v>
      </c>
      <c r="P2919">
        <v>2.0625029999999999E-2</v>
      </c>
      <c r="Q2919">
        <v>2.6519669999999999E-2</v>
      </c>
      <c r="R2919">
        <v>-0.99943570000000004</v>
      </c>
      <c r="S2919">
        <v>0.97918700000000003</v>
      </c>
      <c r="T2919">
        <v>-0.27649879999999999</v>
      </c>
      <c r="U2919">
        <v>-2.9898220000000002</v>
      </c>
      <c r="V2919">
        <v>3.1410109999999998E-2</v>
      </c>
      <c r="W2919">
        <v>3.9850469999999999E-2</v>
      </c>
      <c r="X2919">
        <v>0.99871180000000004</v>
      </c>
      <c r="Y2919">
        <v>-0.26007710000000001</v>
      </c>
      <c r="Z2919">
        <v>8.803569E-2</v>
      </c>
      <c r="AA2919">
        <v>0.96156620000000004</v>
      </c>
      <c r="AB2919">
        <v>24</v>
      </c>
      <c r="AC2919">
        <v>3.9273999999999698</v>
      </c>
      <c r="AD2919">
        <v>-1.1110289585641</v>
      </c>
      <c r="AE2919">
        <v>-11.892099999999999</v>
      </c>
      <c r="AF2919">
        <v>-3.2764376712641101</v>
      </c>
      <c r="AG2919">
        <v>-1.1110289585641</v>
      </c>
      <c r="AH2919">
        <v>11.9863063427043</v>
      </c>
      <c r="AI2919">
        <v>95.109304527839498</v>
      </c>
      <c r="AJ2919">
        <v>105.288237713157</v>
      </c>
      <c r="AK2919">
        <v>12.475614970878199</v>
      </c>
      <c r="AL2919">
        <v>87.716131400720897</v>
      </c>
      <c r="AM2919">
        <v>88.198605730143896</v>
      </c>
      <c r="AN2919">
        <v>0.99999995721433499</v>
      </c>
    </row>
    <row r="2920" spans="1:40" x14ac:dyDescent="0.25">
      <c r="A2920" t="str">
        <f>"20190312154851948"</f>
        <v>20190312154851948</v>
      </c>
      <c r="B2920" t="str">
        <f>"1552376931938768"</f>
        <v>1552376931938768</v>
      </c>
      <c r="C2920" t="s">
        <v>40</v>
      </c>
      <c r="D2920">
        <v>4.7190770000000004</v>
      </c>
      <c r="E2920">
        <v>0.38143749999999998</v>
      </c>
      <c r="F2920" t="s">
        <v>42</v>
      </c>
      <c r="G2920">
        <v>-487.48669999999998</v>
      </c>
      <c r="H2920" s="1">
        <v>-9.962713999999999E-7</v>
      </c>
      <c r="I2920">
        <v>230.61060000000001</v>
      </c>
      <c r="J2920">
        <v>-491.45100000000002</v>
      </c>
      <c r="K2920">
        <v>1.111097</v>
      </c>
      <c r="L2920">
        <v>242.2962</v>
      </c>
      <c r="M2920">
        <v>5.2925090000000001E-2</v>
      </c>
      <c r="N2920">
        <v>0</v>
      </c>
      <c r="O2920">
        <v>-0.99851009999999996</v>
      </c>
      <c r="P2920">
        <v>2.1608369999999998E-2</v>
      </c>
      <c r="Q2920">
        <v>2.660736E-2</v>
      </c>
      <c r="R2920">
        <v>-0.99941239999999998</v>
      </c>
      <c r="S2920">
        <v>1.0045470000000001</v>
      </c>
      <c r="T2920">
        <v>-0.28099390000000002</v>
      </c>
      <c r="U2920">
        <v>-2.9884490000000001</v>
      </c>
      <c r="V2920">
        <v>3.1228510000000001E-2</v>
      </c>
      <c r="W2920">
        <v>3.9943859999999998E-2</v>
      </c>
      <c r="X2920">
        <v>0.99871379999999998</v>
      </c>
      <c r="Y2920">
        <v>-0.26673550000000001</v>
      </c>
      <c r="Z2920">
        <v>8.9289899999999894E-2</v>
      </c>
      <c r="AA2920">
        <v>0.95962460000000005</v>
      </c>
      <c r="AB2920">
        <v>24</v>
      </c>
      <c r="AC2920">
        <v>3.96429999999997</v>
      </c>
      <c r="AD2920">
        <v>-1.1110979962713901</v>
      </c>
      <c r="AE2920">
        <v>-11.6855999999999</v>
      </c>
      <c r="AF2920">
        <v>-3.3133634745453202</v>
      </c>
      <c r="AG2920">
        <v>-1.1110979962713901</v>
      </c>
      <c r="AH2920">
        <v>11.783512761261701</v>
      </c>
      <c r="AI2920">
        <v>95.186658912714293</v>
      </c>
      <c r="AJ2920">
        <v>105.705260617036</v>
      </c>
      <c r="AK2920">
        <v>12.2908132060734</v>
      </c>
      <c r="AL2920">
        <v>87.7107763659277</v>
      </c>
      <c r="AM2920">
        <v>88.209017413173299</v>
      </c>
      <c r="AN2920">
        <v>0.99999999304947895</v>
      </c>
    </row>
    <row r="2921" spans="1:40" x14ac:dyDescent="0.25">
      <c r="A2921" t="str">
        <f>"20190312154851959"</f>
        <v>20190312154851959</v>
      </c>
      <c r="B2921" t="str">
        <f>"1552376931948529"</f>
        <v>1552376931948529</v>
      </c>
      <c r="C2921" t="s">
        <v>40</v>
      </c>
      <c r="D2921">
        <v>4.7032280000000002</v>
      </c>
      <c r="E2921">
        <v>0.37992520000000002</v>
      </c>
      <c r="F2921" t="s">
        <v>42</v>
      </c>
      <c r="G2921">
        <v>-487.46379999999999</v>
      </c>
      <c r="H2921" s="1">
        <v>-1.0168759999999999E-6</v>
      </c>
      <c r="I2921">
        <v>230.6532</v>
      </c>
      <c r="J2921">
        <v>-491.44319999999999</v>
      </c>
      <c r="K2921">
        <v>1.111175</v>
      </c>
      <c r="L2921">
        <v>242.16810000000001</v>
      </c>
      <c r="M2921">
        <v>5.3795620000000002E-2</v>
      </c>
      <c r="N2921">
        <v>0</v>
      </c>
      <c r="O2921">
        <v>-0.99846369999999895</v>
      </c>
      <c r="P2921">
        <v>2.2779279999999999E-2</v>
      </c>
      <c r="Q2921">
        <v>2.6495979999999999E-2</v>
      </c>
      <c r="R2921">
        <v>-0.99938950000000004</v>
      </c>
      <c r="S2921">
        <v>1.02298</v>
      </c>
      <c r="T2921">
        <v>-0.28506900000000002</v>
      </c>
      <c r="U2921">
        <v>-2.9871979999999998</v>
      </c>
      <c r="V2921">
        <v>3.0922450000000001E-2</v>
      </c>
      <c r="W2921">
        <v>3.9838560000000002E-2</v>
      </c>
      <c r="X2921">
        <v>0.99872760000000005</v>
      </c>
      <c r="Y2921">
        <v>-0.27128970000000002</v>
      </c>
      <c r="Z2921">
        <v>9.0457800000000005E-2</v>
      </c>
      <c r="AA2921">
        <v>0.95823760000000002</v>
      </c>
      <c r="AB2921">
        <v>24</v>
      </c>
      <c r="AC2921">
        <v>3.9793999999999898</v>
      </c>
      <c r="AD2921">
        <v>-1.1111760168760001</v>
      </c>
      <c r="AE2921">
        <v>-11.514900000000001</v>
      </c>
      <c r="AF2921">
        <v>-3.3264595326176498</v>
      </c>
      <c r="AG2921">
        <v>-1.1111760168760001</v>
      </c>
      <c r="AH2921">
        <v>11.6156904192125</v>
      </c>
      <c r="AI2921">
        <v>95.254418344059005</v>
      </c>
      <c r="AJ2921">
        <v>105.980462662958</v>
      </c>
      <c r="AK2921">
        <v>12.1336024773193</v>
      </c>
      <c r="AL2921">
        <v>87.716814579496102</v>
      </c>
      <c r="AM2921">
        <v>88.2265834488378</v>
      </c>
      <c r="AN2921">
        <v>1.0000000638893101</v>
      </c>
    </row>
    <row r="2922" spans="1:40" x14ac:dyDescent="0.25">
      <c r="A2922" t="str">
        <f>"20190312154851972"</f>
        <v>20190312154851972</v>
      </c>
      <c r="B2922" t="str">
        <f>"1552376931969025"</f>
        <v>1552376931969025</v>
      </c>
      <c r="C2922" t="s">
        <v>40</v>
      </c>
      <c r="D2922">
        <v>4.7036259999999999</v>
      </c>
      <c r="E2922">
        <v>0.37783529999999999</v>
      </c>
      <c r="F2922" t="s">
        <v>42</v>
      </c>
      <c r="G2922">
        <v>-487.43290000000002</v>
      </c>
      <c r="H2922" s="1">
        <v>-1.0222600000000001E-6</v>
      </c>
      <c r="I2922">
        <v>230.64490000000001</v>
      </c>
      <c r="J2922">
        <v>-491.43509999999998</v>
      </c>
      <c r="K2922">
        <v>1.111253</v>
      </c>
      <c r="L2922">
        <v>242.0351</v>
      </c>
      <c r="M2922">
        <v>5.4756609999999997E-2</v>
      </c>
      <c r="N2922">
        <v>0</v>
      </c>
      <c r="O2922">
        <v>-0.99841150000000001</v>
      </c>
      <c r="P2922">
        <v>2.4181810000000001E-2</v>
      </c>
      <c r="Q2922">
        <v>2.6700060000000001E-2</v>
      </c>
      <c r="R2922">
        <v>-0.99935130000000005</v>
      </c>
      <c r="S2922">
        <v>1.0391239999999999</v>
      </c>
      <c r="T2922">
        <v>-0.28791709999999998</v>
      </c>
      <c r="U2922">
        <v>-2.985779</v>
      </c>
      <c r="V2922">
        <v>3.0473750000000001E-2</v>
      </c>
      <c r="W2922">
        <v>4.0048680000000003E-2</v>
      </c>
      <c r="X2922">
        <v>0.99873290000000003</v>
      </c>
      <c r="Y2922">
        <v>-0.27510630000000003</v>
      </c>
      <c r="Z2922">
        <v>9.1259049999999994E-2</v>
      </c>
      <c r="AA2922">
        <v>0.95707279999999995</v>
      </c>
      <c r="AB2922">
        <v>24</v>
      </c>
      <c r="AC2922">
        <v>4.0021999999999496</v>
      </c>
      <c r="AD2922">
        <v>-1.11125402226</v>
      </c>
      <c r="AE2922">
        <v>-11.390199999999901</v>
      </c>
      <c r="AF2922">
        <v>-3.3441182349344598</v>
      </c>
      <c r="AG2922">
        <v>-1.11125402226</v>
      </c>
      <c r="AH2922">
        <v>11.4948857982919</v>
      </c>
      <c r="AI2922">
        <v>95.303305144271604</v>
      </c>
      <c r="AJ2922">
        <v>106.220889721904</v>
      </c>
      <c r="AK2922">
        <v>12.022911951228</v>
      </c>
      <c r="AL2922">
        <v>87.704765773365395</v>
      </c>
      <c r="AM2922">
        <v>88.252309789925505</v>
      </c>
      <c r="AN2922">
        <v>0.99999997587560696</v>
      </c>
    </row>
    <row r="2923" spans="1:40" x14ac:dyDescent="0.25">
      <c r="A2923" t="str">
        <f>"20190312154851986"</f>
        <v>20190312154851986</v>
      </c>
      <c r="B2923" t="str">
        <f>"1552376931978784"</f>
        <v>1552376931978784</v>
      </c>
      <c r="C2923" t="s">
        <v>40</v>
      </c>
      <c r="D2923">
        <v>4.7066470000000002</v>
      </c>
      <c r="E2923">
        <v>0.37699070000000001</v>
      </c>
      <c r="F2923" t="s">
        <v>42</v>
      </c>
      <c r="G2923">
        <v>-487.45519999999999</v>
      </c>
      <c r="H2923" s="1">
        <v>-1.079685E-6</v>
      </c>
      <c r="I2923">
        <v>230.83099999999999</v>
      </c>
      <c r="J2923">
        <v>-491.42610000000002</v>
      </c>
      <c r="K2923">
        <v>1.1113390000000001</v>
      </c>
      <c r="L2923">
        <v>241.89080000000001</v>
      </c>
      <c r="M2923">
        <v>5.5850860000000002E-2</v>
      </c>
      <c r="N2923">
        <v>0</v>
      </c>
      <c r="O2923">
        <v>-0.99835099999999999</v>
      </c>
      <c r="P2923">
        <v>2.5775909999999999E-2</v>
      </c>
      <c r="Q2923">
        <v>2.6993650000000001E-2</v>
      </c>
      <c r="R2923">
        <v>-0.99930350000000001</v>
      </c>
      <c r="S2923">
        <v>1.0600590000000001</v>
      </c>
      <c r="T2923">
        <v>-0.295983</v>
      </c>
      <c r="U2923">
        <v>-2.9842070000000001</v>
      </c>
      <c r="V2923">
        <v>2.996565E-2</v>
      </c>
      <c r="W2923">
        <v>4.0348849999999999E-2</v>
      </c>
      <c r="X2923">
        <v>0.99873619999999996</v>
      </c>
      <c r="Y2923">
        <v>-0.28010639999999998</v>
      </c>
      <c r="Z2923">
        <v>9.3656009999999998E-2</v>
      </c>
      <c r="AA2923">
        <v>0.95538940000000006</v>
      </c>
      <c r="AB2923">
        <v>24</v>
      </c>
      <c r="AC2923">
        <v>3.9709000000000199</v>
      </c>
      <c r="AD2923">
        <v>-1.1113400796849999</v>
      </c>
      <c r="AE2923">
        <v>-11.059799999999999</v>
      </c>
      <c r="AF2923">
        <v>-3.3172768095871001</v>
      </c>
      <c r="AG2923">
        <v>-1.1113400796849999</v>
      </c>
      <c r="AH2923">
        <v>11.1644746078771</v>
      </c>
      <c r="AI2923">
        <v>95.450635046781002</v>
      </c>
      <c r="AJ2923">
        <v>106.54815299591399</v>
      </c>
      <c r="AK2923">
        <v>11.6997818558327</v>
      </c>
      <c r="AL2923">
        <v>87.687553403744701</v>
      </c>
      <c r="AM2923">
        <v>88.281437721659998</v>
      </c>
      <c r="AN2923">
        <v>0.99999998353334196</v>
      </c>
    </row>
    <row r="2924" spans="1:40" x14ac:dyDescent="0.25">
      <c r="A2924" t="str">
        <f>"20190312154852001"</f>
        <v>20190312154852001</v>
      </c>
      <c r="B2924" t="str">
        <f>"1552376931998305"</f>
        <v>1552376931998305</v>
      </c>
      <c r="C2924" t="s">
        <v>40</v>
      </c>
      <c r="D2924">
        <v>4.7131559999999997</v>
      </c>
      <c r="E2924">
        <v>0.37594949999999999</v>
      </c>
      <c r="F2924" t="s">
        <v>42</v>
      </c>
      <c r="G2924">
        <v>-487.39819999999997</v>
      </c>
      <c r="H2924" s="1">
        <v>-1.0449829999999999E-6</v>
      </c>
      <c r="I2924">
        <v>230.68450000000001</v>
      </c>
      <c r="J2924">
        <v>-491.41469999999998</v>
      </c>
      <c r="K2924">
        <v>1.111443</v>
      </c>
      <c r="L2924">
        <v>241.7157</v>
      </c>
      <c r="M2924">
        <v>5.7308150000000002E-2</v>
      </c>
      <c r="N2924">
        <v>0</v>
      </c>
      <c r="O2924">
        <v>-0.99826820000000005</v>
      </c>
      <c r="P2924">
        <v>2.9044299999999999E-2</v>
      </c>
      <c r="Q2924">
        <v>2.807639E-2</v>
      </c>
      <c r="R2924">
        <v>-0.99918370000000001</v>
      </c>
      <c r="S2924">
        <v>1.0719909999999999</v>
      </c>
      <c r="T2924">
        <v>-0.29577140000000002</v>
      </c>
      <c r="U2924">
        <v>-2.982437</v>
      </c>
      <c r="V2924">
        <v>2.8140970000000001E-2</v>
      </c>
      <c r="W2924">
        <v>4.1435600000000003E-2</v>
      </c>
      <c r="X2924">
        <v>0.99874479999999999</v>
      </c>
      <c r="Y2924">
        <v>-0.2822769</v>
      </c>
      <c r="Z2924">
        <v>9.353881E-2</v>
      </c>
      <c r="AA2924">
        <v>0.95476190000000005</v>
      </c>
      <c r="AB2924">
        <v>24</v>
      </c>
      <c r="AC2924">
        <v>4.0164999999999997</v>
      </c>
      <c r="AD2924">
        <v>-1.1114440449830001</v>
      </c>
      <c r="AE2924">
        <v>-11.031199999999901</v>
      </c>
      <c r="AF2924">
        <v>-3.3476586426314801</v>
      </c>
      <c r="AG2924">
        <v>-1.1114440449830001</v>
      </c>
      <c r="AH2924">
        <v>11.1433853028364</v>
      </c>
      <c r="AI2924">
        <v>95.456501468239196</v>
      </c>
      <c r="AJ2924">
        <v>106.72114365797501</v>
      </c>
      <c r="AK2924">
        <v>11.6883344519304</v>
      </c>
      <c r="AL2924">
        <v>87.625235123452995</v>
      </c>
      <c r="AM2924">
        <v>88.386041831259902</v>
      </c>
      <c r="AN2924">
        <v>0.99999999933346995</v>
      </c>
    </row>
    <row r="2925" spans="1:40" x14ac:dyDescent="0.25">
      <c r="A2925" t="str">
        <f>"20190312154852013"</f>
        <v>20190312154852013</v>
      </c>
      <c r="B2925" t="str">
        <f>"1552376932009040"</f>
        <v>1552376932009040</v>
      </c>
      <c r="C2925" t="s">
        <v>40</v>
      </c>
      <c r="D2925">
        <v>4.7234369999999997</v>
      </c>
      <c r="E2925">
        <v>0.37545139999999999</v>
      </c>
      <c r="F2925" t="s">
        <v>42</v>
      </c>
      <c r="G2925">
        <v>-487.34129999999999</v>
      </c>
      <c r="H2925" s="1">
        <v>-1.0242409999999999E-6</v>
      </c>
      <c r="I2925">
        <v>230.57910000000001</v>
      </c>
      <c r="J2925">
        <v>-491.40620000000001</v>
      </c>
      <c r="K2925">
        <v>1.1115159999999999</v>
      </c>
      <c r="L2925">
        <v>241.58770000000001</v>
      </c>
      <c r="M2925">
        <v>5.8444330000000003E-2</v>
      </c>
      <c r="N2925">
        <v>0</v>
      </c>
      <c r="O2925">
        <v>-0.99820240000000005</v>
      </c>
      <c r="P2925">
        <v>3.1005930000000001E-2</v>
      </c>
      <c r="Q2925">
        <v>2.8591910000000002E-2</v>
      </c>
      <c r="R2925">
        <v>-0.99911019999999995</v>
      </c>
      <c r="S2925">
        <v>1.089661</v>
      </c>
      <c r="T2925">
        <v>-0.29732059999999999</v>
      </c>
      <c r="U2925">
        <v>-2.9791409999999998</v>
      </c>
      <c r="V2925">
        <v>2.730666E-2</v>
      </c>
      <c r="W2925">
        <v>4.1955369999999999E-2</v>
      </c>
      <c r="X2925">
        <v>0.99874629999999998</v>
      </c>
      <c r="Y2925">
        <v>-0.28650959999999998</v>
      </c>
      <c r="Z2925">
        <v>9.3960100000000005E-2</v>
      </c>
      <c r="AA2925">
        <v>0.95345880000000005</v>
      </c>
      <c r="AB2925">
        <v>24</v>
      </c>
      <c r="AC2925">
        <v>4.0649000000000202</v>
      </c>
      <c r="AD2925">
        <v>-1.111517024241</v>
      </c>
      <c r="AE2925">
        <v>-11.008599999999999</v>
      </c>
      <c r="AF2925">
        <v>-3.3841431976930898</v>
      </c>
      <c r="AG2925">
        <v>-1.111517024241</v>
      </c>
      <c r="AH2925">
        <v>11.1275414536479</v>
      </c>
      <c r="AI2925">
        <v>95.459007290713501</v>
      </c>
      <c r="AJ2925">
        <v>106.91573177105001</v>
      </c>
      <c r="AK2925">
        <v>11.683752568431199</v>
      </c>
      <c r="AL2925">
        <v>87.595428671021907</v>
      </c>
      <c r="AM2925">
        <v>88.4338698465682</v>
      </c>
      <c r="AN2925">
        <v>1.00000003925794</v>
      </c>
    </row>
    <row r="2926" spans="1:40" x14ac:dyDescent="0.25">
      <c r="A2926" t="str">
        <f>"20190312154852027"</f>
        <v>20190312154852027</v>
      </c>
      <c r="B2926" t="str">
        <f>"1552376932018801"</f>
        <v>1552376932018801</v>
      </c>
      <c r="C2926" t="s">
        <v>40</v>
      </c>
      <c r="D2926">
        <v>4.7453250000000002</v>
      </c>
      <c r="E2926">
        <v>0.37508849999999999</v>
      </c>
      <c r="F2926" t="s">
        <v>42</v>
      </c>
      <c r="G2926">
        <v>-487.29860000000002</v>
      </c>
      <c r="H2926" s="1">
        <v>-9.9806540000000009E-7</v>
      </c>
      <c r="I2926">
        <v>230.46879999999999</v>
      </c>
      <c r="J2926">
        <v>-491.39620000000002</v>
      </c>
      <c r="K2926">
        <v>1.1115999999999999</v>
      </c>
      <c r="L2926">
        <v>241.44149999999999</v>
      </c>
      <c r="M2926">
        <v>5.978953E-2</v>
      </c>
      <c r="N2926">
        <v>0</v>
      </c>
      <c r="O2926">
        <v>-0.99812250000000002</v>
      </c>
      <c r="P2926">
        <v>3.3355410000000002E-2</v>
      </c>
      <c r="Q2926">
        <v>2.865098E-2</v>
      </c>
      <c r="R2926">
        <v>-0.99903280000000005</v>
      </c>
      <c r="S2926">
        <v>1.0997920000000001</v>
      </c>
      <c r="T2926">
        <v>-0.29760789999999998</v>
      </c>
      <c r="U2926">
        <v>-2.9770660000000002</v>
      </c>
      <c r="V2926">
        <v>2.629482E-2</v>
      </c>
      <c r="W2926">
        <v>4.2018750000000001E-2</v>
      </c>
      <c r="X2926">
        <v>0.99877079999999996</v>
      </c>
      <c r="Y2926">
        <v>-0.28828939999999997</v>
      </c>
      <c r="Z2926">
        <v>9.4020960000000001E-2</v>
      </c>
      <c r="AA2926">
        <v>0.95291619999999999</v>
      </c>
      <c r="AB2926">
        <v>24</v>
      </c>
      <c r="AC2926">
        <v>4.0975999999999999</v>
      </c>
      <c r="AD2926">
        <v>-1.1116009980654</v>
      </c>
      <c r="AE2926">
        <v>-10.9727</v>
      </c>
      <c r="AF2926">
        <v>-3.4035026721090702</v>
      </c>
      <c r="AG2926">
        <v>-1.1116009980654</v>
      </c>
      <c r="AH2926">
        <v>11.098122307665999</v>
      </c>
      <c r="AI2926">
        <v>95.469926415817199</v>
      </c>
      <c r="AJ2926">
        <v>107.04940139221701</v>
      </c>
      <c r="AK2926">
        <v>11.6613809634137</v>
      </c>
      <c r="AL2926">
        <v>87.591794090007397</v>
      </c>
      <c r="AM2926">
        <v>88.491911985464796</v>
      </c>
      <c r="AN2926">
        <v>1.00000005192151</v>
      </c>
    </row>
    <row r="2927" spans="1:40" x14ac:dyDescent="0.25">
      <c r="A2927" t="str">
        <f>"20190312154852041"</f>
        <v>20190312154852041</v>
      </c>
      <c r="B2927" t="str">
        <f>"1552376932028561"</f>
        <v>1552376932028561</v>
      </c>
      <c r="C2927" t="s">
        <v>40</v>
      </c>
      <c r="D2927">
        <v>4.7324400000000004</v>
      </c>
      <c r="E2927">
        <v>0.37464190000000003</v>
      </c>
      <c r="F2927" t="s">
        <v>42</v>
      </c>
      <c r="G2927">
        <v>-487.29989999999998</v>
      </c>
      <c r="H2927" s="1">
        <v>-9.9625620000000003E-7</v>
      </c>
      <c r="I2927">
        <v>230.46449999999999</v>
      </c>
      <c r="J2927">
        <v>-491.38600000000002</v>
      </c>
      <c r="K2927">
        <v>1.1116809999999999</v>
      </c>
      <c r="L2927">
        <v>241.29560000000001</v>
      </c>
      <c r="M2927">
        <v>6.1226500000000003E-2</v>
      </c>
      <c r="N2927">
        <v>0</v>
      </c>
      <c r="O2927">
        <v>-0.99803560000000002</v>
      </c>
      <c r="P2927">
        <v>3.5942179999999997E-2</v>
      </c>
      <c r="Q2927">
        <v>2.88945E-2</v>
      </c>
      <c r="R2927">
        <v>-0.99893620000000005</v>
      </c>
      <c r="S2927">
        <v>1.109985</v>
      </c>
      <c r="T2927">
        <v>-0.30121120000000001</v>
      </c>
      <c r="U2927">
        <v>-2.9744570000000001</v>
      </c>
      <c r="V2927">
        <v>2.513638E-2</v>
      </c>
      <c r="W2927">
        <v>4.2265999999999998E-2</v>
      </c>
      <c r="X2927">
        <v>0.99879010000000001</v>
      </c>
      <c r="Y2927">
        <v>-0.29001539999999998</v>
      </c>
      <c r="Z2927">
        <v>9.5133770000000006E-2</v>
      </c>
      <c r="AA2927">
        <v>0.95228179999999996</v>
      </c>
      <c r="AB2927">
        <v>24</v>
      </c>
      <c r="AC2927">
        <v>4.0860999999999796</v>
      </c>
      <c r="AD2927">
        <v>-1.1116819962561999</v>
      </c>
      <c r="AE2927">
        <v>-10.831099999999999</v>
      </c>
      <c r="AF2927">
        <v>-3.3840163518247999</v>
      </c>
      <c r="AG2927">
        <v>-1.1116819962561999</v>
      </c>
      <c r="AH2927">
        <v>10.9599030675229</v>
      </c>
      <c r="AI2927">
        <v>95.535652067916601</v>
      </c>
      <c r="AJ2927">
        <v>107.158770769355</v>
      </c>
      <c r="AK2927">
        <v>11.524186686257501</v>
      </c>
      <c r="AL2927">
        <v>87.577614885448796</v>
      </c>
      <c r="AM2927">
        <v>88.558351208672605</v>
      </c>
      <c r="AN2927">
        <v>0.99999995810675602</v>
      </c>
    </row>
    <row r="2928" spans="1:40" x14ac:dyDescent="0.25">
      <c r="A2928" t="str">
        <f>"20190312154852059"</f>
        <v>20190312154852059</v>
      </c>
      <c r="B2928" t="str">
        <f>"1552376932049057"</f>
        <v>1552376932049057</v>
      </c>
      <c r="C2928" t="s">
        <v>40</v>
      </c>
      <c r="D2928">
        <v>4.7385580000000003</v>
      </c>
      <c r="E2928">
        <v>0.37411559999999999</v>
      </c>
      <c r="F2928" t="s">
        <v>42</v>
      </c>
      <c r="G2928">
        <v>-487.27019999999999</v>
      </c>
      <c r="H2928" s="1">
        <v>-9.765863999999999E-7</v>
      </c>
      <c r="I2928">
        <v>230.38339999999999</v>
      </c>
      <c r="J2928">
        <v>-491.37240000000003</v>
      </c>
      <c r="K2928">
        <v>1.1117809999999999</v>
      </c>
      <c r="L2928">
        <v>241.1087</v>
      </c>
      <c r="M2928">
        <v>6.3173289999999993E-2</v>
      </c>
      <c r="N2928">
        <v>0</v>
      </c>
      <c r="O2928">
        <v>-0.99791390000000002</v>
      </c>
      <c r="P2928">
        <v>4.0457729999999997E-2</v>
      </c>
      <c r="Q2928">
        <v>2.8682050000000001E-2</v>
      </c>
      <c r="R2928">
        <v>-0.99876920000000002</v>
      </c>
      <c r="S2928">
        <v>1.120819</v>
      </c>
      <c r="T2928">
        <v>-0.30273410000000001</v>
      </c>
      <c r="U2928">
        <v>-2.971619</v>
      </c>
      <c r="V2928">
        <v>2.2558990000000001E-2</v>
      </c>
      <c r="W2928">
        <v>4.2054469999999997E-2</v>
      </c>
      <c r="X2928">
        <v>0.99886059999999999</v>
      </c>
      <c r="Y2928">
        <v>-0.29147440000000002</v>
      </c>
      <c r="Z2928">
        <v>9.5596879999999995E-2</v>
      </c>
      <c r="AA2928">
        <v>0.95178989999999997</v>
      </c>
      <c r="AB2928">
        <v>24</v>
      </c>
      <c r="AC2928">
        <v>4.10220000000003</v>
      </c>
      <c r="AD2928">
        <v>-1.1117819765864001</v>
      </c>
      <c r="AE2928">
        <v>-10.725300000000001</v>
      </c>
      <c r="AF2928">
        <v>-3.3846643407257599</v>
      </c>
      <c r="AG2928">
        <v>-1.1117819765864001</v>
      </c>
      <c r="AH2928">
        <v>10.8612322046783</v>
      </c>
      <c r="AI2928">
        <v>95.5816265372722</v>
      </c>
      <c r="AJ2928">
        <v>107.30849773833501</v>
      </c>
      <c r="AK2928">
        <v>11.4305895240265</v>
      </c>
      <c r="AL2928">
        <v>87.589745530559298</v>
      </c>
      <c r="AM2928">
        <v>88.706210633057907</v>
      </c>
      <c r="AN2928">
        <v>0.99999999235458004</v>
      </c>
    </row>
    <row r="2929" spans="1:40" x14ac:dyDescent="0.25">
      <c r="A2929" t="str">
        <f>"20190312154852072"</f>
        <v>20190312154852072</v>
      </c>
      <c r="B2929" t="str">
        <f>"1552376932068576"</f>
        <v>1552376932068576</v>
      </c>
      <c r="C2929" t="s">
        <v>40</v>
      </c>
      <c r="D2929">
        <v>4.7524550000000003</v>
      </c>
      <c r="E2929">
        <v>0.37371969999999999</v>
      </c>
      <c r="F2929" t="s">
        <v>42</v>
      </c>
      <c r="G2929">
        <v>-487.27330000000001</v>
      </c>
      <c r="H2929" s="1">
        <v>-9.9128529999999998E-7</v>
      </c>
      <c r="I2929">
        <v>230.42910000000001</v>
      </c>
      <c r="J2929">
        <v>-491.36160000000001</v>
      </c>
      <c r="K2929">
        <v>1.111861</v>
      </c>
      <c r="L2929">
        <v>240.9641</v>
      </c>
      <c r="M2929">
        <v>6.4757170000000003E-2</v>
      </c>
      <c r="N2929">
        <v>0</v>
      </c>
      <c r="O2929">
        <v>-0.99781249999999999</v>
      </c>
      <c r="P2929">
        <v>4.3615389999999997E-2</v>
      </c>
      <c r="Q2929">
        <v>2.8422840000000001E-2</v>
      </c>
      <c r="R2929">
        <v>-0.99864419999999998</v>
      </c>
      <c r="S2929">
        <v>1.1385799999999999</v>
      </c>
      <c r="T2929">
        <v>-0.30881789999999998</v>
      </c>
      <c r="U2929">
        <v>-2.9664459999999999</v>
      </c>
      <c r="V2929">
        <v>2.0979169999999998E-2</v>
      </c>
      <c r="W2929">
        <v>4.1796260000000002E-2</v>
      </c>
      <c r="X2929">
        <v>0.99890590000000001</v>
      </c>
      <c r="Y2929">
        <v>-0.29541390000000001</v>
      </c>
      <c r="Z2929">
        <v>9.7481590000000007E-2</v>
      </c>
      <c r="AA2929">
        <v>0.95038310000000004</v>
      </c>
      <c r="AB2929">
        <v>24</v>
      </c>
      <c r="AC2929">
        <v>4.0883000000000003</v>
      </c>
      <c r="AD2929">
        <v>-1.1118619912853001</v>
      </c>
      <c r="AE2929">
        <v>-10.534999999999901</v>
      </c>
      <c r="AF2929">
        <v>-3.3648658181652902</v>
      </c>
      <c r="AG2929">
        <v>-1.1118619912853001</v>
      </c>
      <c r="AH2929">
        <v>10.674318292044401</v>
      </c>
      <c r="AI2929">
        <v>95.673339925368893</v>
      </c>
      <c r="AJ2929">
        <v>107.496417266389</v>
      </c>
      <c r="AK2929">
        <v>11.247205433430899</v>
      </c>
      <c r="AL2929">
        <v>87.604552971605301</v>
      </c>
      <c r="AM2929">
        <v>88.796842412625395</v>
      </c>
      <c r="AN2929">
        <v>1.0000000249893399</v>
      </c>
    </row>
    <row r="2930" spans="1:40" x14ac:dyDescent="0.25">
      <c r="A2930" t="str">
        <f>"20190312154852084"</f>
        <v>20190312154852084</v>
      </c>
      <c r="B2930" t="str">
        <f>"1552376932079313"</f>
        <v>1552376932079313</v>
      </c>
      <c r="C2930" t="s">
        <v>40</v>
      </c>
      <c r="D2930">
        <v>4.7401540000000004</v>
      </c>
      <c r="E2930">
        <v>0.3735618</v>
      </c>
      <c r="F2930" t="s">
        <v>42</v>
      </c>
      <c r="G2930">
        <v>-487.27629999999999</v>
      </c>
      <c r="H2930" s="1">
        <v>-9.9705579999999991E-7</v>
      </c>
      <c r="I2930">
        <v>230.44839999999999</v>
      </c>
      <c r="J2930">
        <v>-491.35140000000001</v>
      </c>
      <c r="K2930">
        <v>1.1119330000000001</v>
      </c>
      <c r="L2930">
        <v>240.8304</v>
      </c>
      <c r="M2930">
        <v>6.6266779999999997E-2</v>
      </c>
      <c r="N2930">
        <v>0</v>
      </c>
      <c r="O2930">
        <v>-0.99771330000000003</v>
      </c>
      <c r="P2930">
        <v>4.6714560000000002E-2</v>
      </c>
      <c r="Q2930">
        <v>2.8252240000000001E-2</v>
      </c>
      <c r="R2930">
        <v>-0.99850850000000002</v>
      </c>
      <c r="S2930">
        <v>1.1510009999999999</v>
      </c>
      <c r="T2930">
        <v>-0.31325979999999998</v>
      </c>
      <c r="U2930">
        <v>-2.9627379999999999</v>
      </c>
      <c r="V2930">
        <v>1.938337E-2</v>
      </c>
      <c r="W2930">
        <v>4.162569E-2</v>
      </c>
      <c r="X2930">
        <v>0.99894519999999998</v>
      </c>
      <c r="Y2930">
        <v>-0.29778369999999998</v>
      </c>
      <c r="Z2930">
        <v>9.8860199999999995E-2</v>
      </c>
      <c r="AA2930">
        <v>0.94950069999999998</v>
      </c>
      <c r="AB2930">
        <v>24</v>
      </c>
      <c r="AC2930">
        <v>4.0751000000000204</v>
      </c>
      <c r="AD2930">
        <v>-1.1119339970558</v>
      </c>
      <c r="AE2930">
        <v>-10.382</v>
      </c>
      <c r="AF2930">
        <v>-3.3448523974489199</v>
      </c>
      <c r="AG2930">
        <v>-1.1119339970558</v>
      </c>
      <c r="AH2930">
        <v>10.5246338139649</v>
      </c>
      <c r="AI2930">
        <v>95.749616911723905</v>
      </c>
      <c r="AJ2930">
        <v>107.63086862106501</v>
      </c>
      <c r="AK2930">
        <v>11.099205002728</v>
      </c>
      <c r="AL2930">
        <v>87.614334276776106</v>
      </c>
      <c r="AM2930">
        <v>88.888381521357502</v>
      </c>
      <c r="AN2930">
        <v>0.99999996285178505</v>
      </c>
    </row>
    <row r="2931" spans="1:40" x14ac:dyDescent="0.25">
      <c r="A2931" t="str">
        <f>"20190312154852101"</f>
        <v>20190312154852101</v>
      </c>
      <c r="B2931" t="str">
        <f>"1552376932098992"</f>
        <v>1552376932098992</v>
      </c>
      <c r="C2931" t="s">
        <v>40</v>
      </c>
      <c r="D2931">
        <v>4.6893060000000002</v>
      </c>
      <c r="E2931">
        <v>0.37331700000000001</v>
      </c>
      <c r="F2931" t="s">
        <v>42</v>
      </c>
      <c r="G2931">
        <v>-487.262</v>
      </c>
      <c r="H2931" s="1">
        <v>-9.883734E-7</v>
      </c>
      <c r="I2931">
        <v>230.41159999999999</v>
      </c>
      <c r="J2931">
        <v>-491.33670000000001</v>
      </c>
      <c r="K2931">
        <v>1.112028</v>
      </c>
      <c r="L2931">
        <v>240.64660000000001</v>
      </c>
      <c r="M2931">
        <v>6.8467100000000003E-2</v>
      </c>
      <c r="N2931">
        <v>0</v>
      </c>
      <c r="O2931">
        <v>-0.99756469999999997</v>
      </c>
      <c r="P2931">
        <v>5.2233219999999997E-2</v>
      </c>
      <c r="Q2931">
        <v>2.8078849999999999E-2</v>
      </c>
      <c r="R2931">
        <v>-0.99824020000000002</v>
      </c>
      <c r="S2931">
        <v>1.1614690000000001</v>
      </c>
      <c r="T2931">
        <v>-0.3158088</v>
      </c>
      <c r="U2931">
        <v>-2.9591059999999998</v>
      </c>
      <c r="V2931">
        <v>1.605461E-2</v>
      </c>
      <c r="W2931">
        <v>4.1446089999999998E-2</v>
      </c>
      <c r="X2931">
        <v>0.99901180000000001</v>
      </c>
      <c r="Y2931">
        <v>-0.29895709999999998</v>
      </c>
      <c r="Z2931">
        <v>9.9666560000000001E-2</v>
      </c>
      <c r="AA2931">
        <v>0.94904759999999999</v>
      </c>
      <c r="AB2931">
        <v>24</v>
      </c>
      <c r="AC2931">
        <v>4.0747000000000604</v>
      </c>
      <c r="AD2931">
        <v>-1.1120289883734</v>
      </c>
      <c r="AE2931">
        <v>-10.234999999999999</v>
      </c>
      <c r="AF2931">
        <v>-3.3303781154355101</v>
      </c>
      <c r="AG2931">
        <v>-1.1120289883734</v>
      </c>
      <c r="AH2931">
        <v>10.384173762025901</v>
      </c>
      <c r="AI2931">
        <v>95.822482181399806</v>
      </c>
      <c r="AJ2931">
        <v>107.781914276788</v>
      </c>
      <c r="AK2931">
        <v>10.9617102489849</v>
      </c>
      <c r="AL2931">
        <v>87.624633700828795</v>
      </c>
      <c r="AM2931">
        <v>89.079307953131007</v>
      </c>
      <c r="AN2931">
        <v>1.0000000527088799</v>
      </c>
    </row>
    <row r="2932" spans="1:40" x14ac:dyDescent="0.25">
      <c r="A2932" t="str">
        <f>"20190312154852113"</f>
        <v>20190312154852113</v>
      </c>
      <c r="B2932" t="str">
        <f>"1552376932108752"</f>
        <v>1552376932108752</v>
      </c>
      <c r="C2932" t="s">
        <v>40</v>
      </c>
      <c r="D2932">
        <v>4.7331560000000001</v>
      </c>
      <c r="E2932">
        <v>0.37321330000000003</v>
      </c>
      <c r="F2932" t="s">
        <v>42</v>
      </c>
      <c r="G2932">
        <v>-487.25900000000001</v>
      </c>
      <c r="H2932" s="1">
        <v>-9.9859930000000006E-7</v>
      </c>
      <c r="I2932">
        <v>230.43940000000001</v>
      </c>
      <c r="J2932">
        <v>-491.32639999999998</v>
      </c>
      <c r="K2932">
        <v>1.1120950000000001</v>
      </c>
      <c r="L2932">
        <v>240.5206</v>
      </c>
      <c r="M2932">
        <v>7.0042450000000006E-2</v>
      </c>
      <c r="N2932">
        <v>0</v>
      </c>
      <c r="O2932">
        <v>-0.99745530000000004</v>
      </c>
      <c r="P2932">
        <v>5.5679470000000002E-2</v>
      </c>
      <c r="Q2932">
        <v>2.7926579999999999E-2</v>
      </c>
      <c r="R2932">
        <v>-0.99805820000000001</v>
      </c>
      <c r="S2932">
        <v>1.179535</v>
      </c>
      <c r="T2932">
        <v>-0.32167089999999998</v>
      </c>
      <c r="U2932">
        <v>-2.9525760000000001</v>
      </c>
      <c r="V2932">
        <v>1.4176680000000001E-2</v>
      </c>
      <c r="W2932">
        <v>4.129124E-2</v>
      </c>
      <c r="X2932">
        <v>0.99904660000000001</v>
      </c>
      <c r="Y2932">
        <v>-0.30311129999999997</v>
      </c>
      <c r="Z2932">
        <v>0.101509</v>
      </c>
      <c r="AA2932">
        <v>0.94753339999999997</v>
      </c>
      <c r="AB2932">
        <v>24</v>
      </c>
      <c r="AC2932">
        <v>4.0673999999999602</v>
      </c>
      <c r="AD2932">
        <v>-1.1120959985993</v>
      </c>
      <c r="AE2932">
        <v>-10.0811999999999</v>
      </c>
      <c r="AF2932">
        <v>-3.3165250981013101</v>
      </c>
      <c r="AG2932">
        <v>-1.1120959985993</v>
      </c>
      <c r="AH2932">
        <v>10.234245336174901</v>
      </c>
      <c r="AI2932">
        <v>95.901807328051603</v>
      </c>
      <c r="AJ2932">
        <v>107.955514210185</v>
      </c>
      <c r="AK2932">
        <v>10.815538536635801</v>
      </c>
      <c r="AL2932">
        <v>87.633513492225205</v>
      </c>
      <c r="AM2932">
        <v>89.187015482171901</v>
      </c>
      <c r="AN2932">
        <v>1.0000000268640501</v>
      </c>
    </row>
    <row r="2933" spans="1:40" x14ac:dyDescent="0.25">
      <c r="A2933" t="str">
        <f>"20190312154852126"</f>
        <v>20190312154852126</v>
      </c>
      <c r="B2933" t="str">
        <f>"1552376932118512"</f>
        <v>1552376932118512</v>
      </c>
      <c r="C2933" t="s">
        <v>40</v>
      </c>
      <c r="D2933">
        <v>4.7482179999999996</v>
      </c>
      <c r="E2933">
        <v>0.3727433</v>
      </c>
      <c r="F2933" t="s">
        <v>42</v>
      </c>
      <c r="G2933">
        <v>-487.23480000000001</v>
      </c>
      <c r="H2933" s="1">
        <v>-9.8697769999999898E-7</v>
      </c>
      <c r="I2933">
        <v>230.38630000000001</v>
      </c>
      <c r="J2933">
        <v>-491.31540000000001</v>
      </c>
      <c r="K2933">
        <v>1.112163</v>
      </c>
      <c r="L2933">
        <v>240.38820000000001</v>
      </c>
      <c r="M2933">
        <v>7.1730999999999906E-2</v>
      </c>
      <c r="N2933">
        <v>0</v>
      </c>
      <c r="O2933">
        <v>-0.99733539999999998</v>
      </c>
      <c r="P2933">
        <v>5.9004290000000001E-2</v>
      </c>
      <c r="Q2933">
        <v>2.7980640000000001E-2</v>
      </c>
      <c r="R2933">
        <v>-0.99786580000000002</v>
      </c>
      <c r="S2933">
        <v>1.1904300000000001</v>
      </c>
      <c r="T2933">
        <v>-0.32355250000000002</v>
      </c>
      <c r="U2933">
        <v>-2.9484710000000001</v>
      </c>
      <c r="V2933">
        <v>1.253164E-2</v>
      </c>
      <c r="W2933">
        <v>4.1343650000000003E-2</v>
      </c>
      <c r="X2933">
        <v>0.99906640000000002</v>
      </c>
      <c r="Y2933">
        <v>-0.3049442</v>
      </c>
      <c r="Z2933">
        <v>0.10211050000000001</v>
      </c>
      <c r="AA2933">
        <v>0.94688039999999996</v>
      </c>
      <c r="AB2933">
        <v>24</v>
      </c>
      <c r="AC2933">
        <v>4.0805999999999996</v>
      </c>
      <c r="AD2933">
        <v>-1.1121639869777</v>
      </c>
      <c r="AE2933">
        <v>-10.001899999999999</v>
      </c>
      <c r="AF2933">
        <v>-3.3174122332062499</v>
      </c>
      <c r="AG2933">
        <v>-1.1121639869777</v>
      </c>
      <c r="AH2933">
        <v>10.161153659823199</v>
      </c>
      <c r="AI2933">
        <v>95.9401215918151</v>
      </c>
      <c r="AJ2933">
        <v>108.080818691787</v>
      </c>
      <c r="AK2933">
        <v>10.7466821092603</v>
      </c>
      <c r="AL2933">
        <v>87.630508003422406</v>
      </c>
      <c r="AM2933">
        <v>89.2813566448241</v>
      </c>
      <c r="AN2933">
        <v>1.0000000055026801</v>
      </c>
    </row>
    <row r="2934" spans="1:40" x14ac:dyDescent="0.25">
      <c r="A2934" t="str">
        <f>"20190312154852139"</f>
        <v>20190312154852139</v>
      </c>
      <c r="B2934" t="str">
        <f>"1552376932129248"</f>
        <v>1552376932129248</v>
      </c>
      <c r="C2934" t="s">
        <v>40</v>
      </c>
      <c r="D2934">
        <v>4.6393750000000002</v>
      </c>
      <c r="E2934">
        <v>0.3727433</v>
      </c>
      <c r="F2934" t="s">
        <v>42</v>
      </c>
      <c r="G2934">
        <v>-487.18869999999998</v>
      </c>
      <c r="H2934" s="1">
        <v>-9.6845039999999999E-7</v>
      </c>
      <c r="I2934">
        <v>230.29580000000001</v>
      </c>
      <c r="J2934">
        <v>-491.30270000000002</v>
      </c>
      <c r="K2934">
        <v>1.1122399999999999</v>
      </c>
      <c r="L2934">
        <v>240.24100000000001</v>
      </c>
      <c r="M2934">
        <v>7.3696150000000002E-2</v>
      </c>
      <c r="N2934">
        <v>0</v>
      </c>
      <c r="O2934">
        <v>-0.99719190000000002</v>
      </c>
      <c r="P2934">
        <v>6.2792829999999994E-2</v>
      </c>
      <c r="Q2934">
        <v>2.8110070000000001E-2</v>
      </c>
      <c r="R2934">
        <v>-0.99763080000000004</v>
      </c>
      <c r="S2934">
        <v>1.2038879999999901</v>
      </c>
      <c r="T2934">
        <v>-0.32445570000000001</v>
      </c>
      <c r="U2934">
        <v>-2.9442900000000001</v>
      </c>
      <c r="V2934">
        <v>1.0697689999999999E-2</v>
      </c>
      <c r="W2934">
        <v>4.1469909999999999E-2</v>
      </c>
      <c r="X2934">
        <v>0.99908249999999998</v>
      </c>
      <c r="Y2934">
        <v>-0.30723820000000002</v>
      </c>
      <c r="Z2934">
        <v>0.10238070000000001</v>
      </c>
      <c r="AA2934">
        <v>0.94610939999999999</v>
      </c>
      <c r="AB2934">
        <v>24</v>
      </c>
      <c r="AC2934">
        <v>4.1140000000000301</v>
      </c>
      <c r="AD2934">
        <v>-1.1122409684504</v>
      </c>
      <c r="AE2934">
        <v>-9.9451999999999696</v>
      </c>
      <c r="AF2934">
        <v>-3.3342138541294002</v>
      </c>
      <c r="AG2934">
        <v>-1.1122409684504</v>
      </c>
      <c r="AH2934">
        <v>10.1133543374998</v>
      </c>
      <c r="AI2934">
        <v>95.962783341372699</v>
      </c>
      <c r="AJ2934">
        <v>108.24657501102099</v>
      </c>
      <c r="AK2934">
        <v>10.706726761844401</v>
      </c>
      <c r="AL2934">
        <v>87.623267658282103</v>
      </c>
      <c r="AM2934">
        <v>89.386528074770098</v>
      </c>
      <c r="AN2934">
        <v>1.0000000179064901</v>
      </c>
    </row>
    <row r="2935" spans="1:40" x14ac:dyDescent="0.25">
      <c r="A2935" t="str">
        <f>"20190312154852158"</f>
        <v>20190312154852158</v>
      </c>
      <c r="B2935" t="str">
        <f>"1552376932148767"</f>
        <v>1552376932148767</v>
      </c>
      <c r="C2935" t="s">
        <v>40</v>
      </c>
      <c r="D2935">
        <v>4.4808649999999997</v>
      </c>
      <c r="E2935">
        <v>0.32730949999999998</v>
      </c>
      <c r="F2935" t="s">
        <v>42</v>
      </c>
      <c r="G2935">
        <v>-487.13319999999999</v>
      </c>
      <c r="H2935" s="1">
        <v>-9.3459119999999997E-7</v>
      </c>
      <c r="I2935">
        <v>230.15289999999999</v>
      </c>
      <c r="J2935">
        <v>-491.28609999999998</v>
      </c>
      <c r="K2935">
        <v>1.112323</v>
      </c>
      <c r="L2935">
        <v>240.0549</v>
      </c>
      <c r="M2935">
        <v>7.6261700000000002E-2</v>
      </c>
      <c r="N2935">
        <v>0</v>
      </c>
      <c r="O2935">
        <v>-0.99699899999999997</v>
      </c>
      <c r="P2935">
        <v>6.8776799999999999E-2</v>
      </c>
      <c r="Q2935">
        <v>2.8388690000000001E-2</v>
      </c>
      <c r="R2935">
        <v>-0.99722840000000001</v>
      </c>
      <c r="S2935">
        <v>1.2150270000000001</v>
      </c>
      <c r="T2935">
        <v>-0.32411980000000001</v>
      </c>
      <c r="U2935">
        <v>-2.9397890000000002</v>
      </c>
      <c r="V2935">
        <v>7.2621329999999996E-3</v>
      </c>
      <c r="W2935">
        <v>4.1738129999999998E-2</v>
      </c>
      <c r="X2935">
        <v>0.99910220000000005</v>
      </c>
      <c r="Y2935">
        <v>-0.30836760000000002</v>
      </c>
      <c r="Z2935">
        <v>0.1022998</v>
      </c>
      <c r="AA2935">
        <v>0.9457506</v>
      </c>
      <c r="AB2935">
        <v>24</v>
      </c>
      <c r="AC2935">
        <v>4.1528999999999803</v>
      </c>
      <c r="AD2935">
        <v>-1.1123239345911999</v>
      </c>
      <c r="AE2935">
        <v>-9.9020000000000099</v>
      </c>
      <c r="AF2935">
        <v>-3.3496479924732698</v>
      </c>
      <c r="AG2935">
        <v>-1.1123239345911999</v>
      </c>
      <c r="AH2935">
        <v>10.081705273807801</v>
      </c>
      <c r="AI2935">
        <v>95.977266042893504</v>
      </c>
      <c r="AJ2935">
        <v>108.37907453757801</v>
      </c>
      <c r="AK2935">
        <v>10.681675310402801</v>
      </c>
      <c r="AL2935">
        <v>87.607886443583894</v>
      </c>
      <c r="AM2935">
        <v>89.583543862093407</v>
      </c>
      <c r="AN2935">
        <v>1.0000000080582201</v>
      </c>
    </row>
    <row r="2936" spans="1:40" x14ac:dyDescent="0.25">
      <c r="A2936" t="str">
        <f>"20190312154852169"</f>
        <v>20190312154852169</v>
      </c>
      <c r="B2936" t="str">
        <f>"1552376932158528"</f>
        <v>1552376932158528</v>
      </c>
      <c r="C2936" t="s">
        <v>40</v>
      </c>
      <c r="D2936">
        <v>4.5230680000000003</v>
      </c>
      <c r="E2936">
        <v>0.32653019999999999</v>
      </c>
      <c r="F2936" t="s">
        <v>42</v>
      </c>
      <c r="G2936">
        <v>-485.60359999999997</v>
      </c>
      <c r="H2936" s="1">
        <v>-1.1842799999999999E-6</v>
      </c>
      <c r="I2936">
        <v>229.69069999999999</v>
      </c>
      <c r="J2936">
        <v>-491.27460000000002</v>
      </c>
      <c r="K2936">
        <v>1.1123809999999901</v>
      </c>
      <c r="L2936">
        <v>239.9288</v>
      </c>
      <c r="M2936">
        <v>7.804854E-2</v>
      </c>
      <c r="N2936">
        <v>0</v>
      </c>
      <c r="O2936">
        <v>-0.99686059999999999</v>
      </c>
      <c r="P2936">
        <v>7.2442809999999996E-2</v>
      </c>
      <c r="Q2936">
        <v>2.8309379999999999E-2</v>
      </c>
      <c r="R2936">
        <v>-0.9969711</v>
      </c>
      <c r="S2936">
        <v>1.594025</v>
      </c>
      <c r="T2936">
        <v>-0.31202340000000001</v>
      </c>
      <c r="U2936">
        <v>-2.9073030000000002</v>
      </c>
      <c r="V2936">
        <v>5.3736519999999996E-3</v>
      </c>
      <c r="W2936">
        <v>4.1653330000000002E-2</v>
      </c>
      <c r="X2936">
        <v>0.9991177</v>
      </c>
      <c r="Y2936">
        <v>-0.40868729999999998</v>
      </c>
      <c r="Z2936">
        <v>9.497543E-2</v>
      </c>
      <c r="AA2936">
        <v>0.90771930000000001</v>
      </c>
      <c r="AB2936">
        <v>24</v>
      </c>
      <c r="AC2936">
        <v>5.6710000000000402</v>
      </c>
      <c r="AD2936">
        <v>-1.1123821842799999</v>
      </c>
      <c r="AE2936">
        <v>-10.238099999999999</v>
      </c>
      <c r="AF2936">
        <v>-4.81109737945562</v>
      </c>
      <c r="AG2936">
        <v>-1.1123821842799999</v>
      </c>
      <c r="AH2936">
        <v>10.554175516787</v>
      </c>
      <c r="AI2936">
        <v>95.478089876180803</v>
      </c>
      <c r="AJ2936">
        <v>114.505764724188</v>
      </c>
      <c r="AK2936">
        <v>11.652238967582701</v>
      </c>
      <c r="AL2936">
        <v>87.612749400484802</v>
      </c>
      <c r="AM2936">
        <v>89.691843502069204</v>
      </c>
      <c r="AN2936">
        <v>1.0000000272445899</v>
      </c>
    </row>
    <row r="2937" spans="1:40" x14ac:dyDescent="0.25">
      <c r="A2937" t="str">
        <f>"20190312154852180"</f>
        <v>20190312154852180</v>
      </c>
      <c r="B2937" t="str">
        <f>"1552376932179023"</f>
        <v>1552376932179023</v>
      </c>
      <c r="C2937" t="s">
        <v>40</v>
      </c>
      <c r="D2937">
        <v>4.4591589999999997</v>
      </c>
      <c r="E2937">
        <v>0.32720919999999998</v>
      </c>
      <c r="F2937" t="s">
        <v>41</v>
      </c>
      <c r="G2937">
        <v>-490.76</v>
      </c>
      <c r="H2937">
        <v>1.0132829999999999</v>
      </c>
      <c r="I2937">
        <v>239.0018</v>
      </c>
      <c r="J2937">
        <v>-491.26299999999998</v>
      </c>
      <c r="K2937">
        <v>1.11243</v>
      </c>
      <c r="L2937">
        <v>239.80549999999999</v>
      </c>
      <c r="M2937">
        <v>7.9841609999999993E-2</v>
      </c>
      <c r="N2937">
        <v>0</v>
      </c>
      <c r="O2937">
        <v>-0.99671860000000001</v>
      </c>
      <c r="P2937">
        <v>7.5894909999999996E-2</v>
      </c>
      <c r="Q2937">
        <v>2.8504560000000002E-2</v>
      </c>
      <c r="R2937">
        <v>-0.99670859999999994</v>
      </c>
      <c r="S2937">
        <v>1.61026</v>
      </c>
      <c r="T2937">
        <v>-0.310114099999999</v>
      </c>
      <c r="U2937">
        <v>-2.9009399999999999</v>
      </c>
      <c r="V2937">
        <v>3.7035150000000001E-3</v>
      </c>
      <c r="W2937">
        <v>4.1842940000000002E-2</v>
      </c>
      <c r="X2937">
        <v>0.99911729999999999</v>
      </c>
      <c r="Y2937">
        <v>-0.41180459999999902</v>
      </c>
      <c r="Z2937">
        <v>9.4371129999999998E-2</v>
      </c>
      <c r="AA2937">
        <v>0.90637250000000003</v>
      </c>
      <c r="AB2937">
        <v>24</v>
      </c>
      <c r="AC2937">
        <v>0.50300000000004197</v>
      </c>
      <c r="AD2937">
        <v>-9.9147000000000096E-2</v>
      </c>
      <c r="AE2937">
        <v>-0.80369999999999198</v>
      </c>
      <c r="AF2937">
        <v>-0.43249015502752403</v>
      </c>
      <c r="AG2937">
        <v>-9.9147000000000096E-2</v>
      </c>
      <c r="AH2937">
        <v>0.83219741988867502</v>
      </c>
      <c r="AI2937">
        <v>96.034613606380205</v>
      </c>
      <c r="AJ2937">
        <v>117.46074561800999</v>
      </c>
      <c r="AK2937">
        <v>0.94309618145452101</v>
      </c>
      <c r="AL2937">
        <v>87.601875915092705</v>
      </c>
      <c r="AM2937">
        <v>89.787617723168495</v>
      </c>
      <c r="AN2937">
        <v>0.999999963405243</v>
      </c>
    </row>
    <row r="2938" spans="1:40" x14ac:dyDescent="0.25">
      <c r="A2938" t="str">
        <f>"20190312154852193"</f>
        <v>20190312154852193</v>
      </c>
      <c r="B2938" t="str">
        <f>"1552376932188783"</f>
        <v>1552376932188783</v>
      </c>
      <c r="C2938" t="s">
        <v>40</v>
      </c>
      <c r="D2938">
        <v>4.4935159999999996</v>
      </c>
      <c r="E2938">
        <v>0.3276191</v>
      </c>
      <c r="F2938" t="s">
        <v>49</v>
      </c>
      <c r="G2938">
        <v>-485.35379999999998</v>
      </c>
      <c r="H2938" s="1">
        <v>5.28214399999999E-6</v>
      </c>
      <c r="I2938">
        <v>229.2105</v>
      </c>
      <c r="J2938">
        <v>-491.25040000000001</v>
      </c>
      <c r="K2938">
        <v>1.112482</v>
      </c>
      <c r="L2938">
        <v>239.67410000000001</v>
      </c>
      <c r="M2938">
        <v>8.1804390000000005E-2</v>
      </c>
      <c r="N2938">
        <v>0</v>
      </c>
      <c r="O2938">
        <v>-0.99655919999999998</v>
      </c>
      <c r="P2938">
        <v>7.96679E-2</v>
      </c>
      <c r="Q2938">
        <v>2.8401030000000001E-2</v>
      </c>
      <c r="R2938">
        <v>-0.99641690000000005</v>
      </c>
      <c r="S2938">
        <v>1.6149899999999999</v>
      </c>
      <c r="T2938">
        <v>-0.30402829999999997</v>
      </c>
      <c r="U2938">
        <v>-2.8956300000000001</v>
      </c>
      <c r="V2938">
        <v>1.883247E-3</v>
      </c>
      <c r="W2938">
        <v>4.173288E-2</v>
      </c>
      <c r="X2938">
        <v>0.99912699999999999</v>
      </c>
      <c r="Y2938">
        <v>-0.41192659999999998</v>
      </c>
      <c r="Z2938">
        <v>9.2624059999999994E-2</v>
      </c>
      <c r="AA2938">
        <v>0.9064972</v>
      </c>
      <c r="AB2938">
        <v>24</v>
      </c>
      <c r="AC2938">
        <v>5.8966000000000296</v>
      </c>
      <c r="AD2938">
        <v>-1.112476717856</v>
      </c>
      <c r="AE2938">
        <v>-10.4636</v>
      </c>
      <c r="AF2938">
        <v>-4.9780811100960003</v>
      </c>
      <c r="AG2938">
        <v>-1.112476717856</v>
      </c>
      <c r="AH2938">
        <v>10.818124073342901</v>
      </c>
      <c r="AI2938">
        <v>95.336994753363399</v>
      </c>
      <c r="AJ2938">
        <v>114.710053481248</v>
      </c>
      <c r="AK2938">
        <v>11.9603806148762</v>
      </c>
      <c r="AL2938">
        <v>87.608187420081407</v>
      </c>
      <c r="AM2938">
        <v>89.892003742171497</v>
      </c>
      <c r="AN2938">
        <v>0.99999997101067795</v>
      </c>
    </row>
    <row r="2939" spans="1:40" x14ac:dyDescent="0.25">
      <c r="A2939" t="str">
        <f>"20190312154852205"</f>
        <v>20190312154852205</v>
      </c>
      <c r="B2939" t="str">
        <f>"1552376932198568"</f>
        <v>1552376932198568</v>
      </c>
      <c r="C2939" t="s">
        <v>40</v>
      </c>
      <c r="D2939">
        <v>4.4539140000000002</v>
      </c>
      <c r="E2939">
        <v>0.32829799999999998</v>
      </c>
      <c r="F2939" t="s">
        <v>49</v>
      </c>
      <c r="G2939">
        <v>-485.36649999999997</v>
      </c>
      <c r="H2939" s="1">
        <v>5.2793439999999999E-6</v>
      </c>
      <c r="I2939">
        <v>229.19059999999999</v>
      </c>
      <c r="J2939">
        <v>-491.238</v>
      </c>
      <c r="K2939">
        <v>1.11253</v>
      </c>
      <c r="L2939">
        <v>239.54849999999999</v>
      </c>
      <c r="M2939">
        <v>8.3707000000000004E-2</v>
      </c>
      <c r="N2939">
        <v>0</v>
      </c>
      <c r="O2939">
        <v>-0.99640150000000005</v>
      </c>
      <c r="P2939">
        <v>8.3147579999999999E-2</v>
      </c>
      <c r="Q2939">
        <v>2.81801E-2</v>
      </c>
      <c r="R2939">
        <v>-0.996139</v>
      </c>
      <c r="S2939">
        <v>1.621918</v>
      </c>
      <c r="T2939">
        <v>-0.30665949999999997</v>
      </c>
      <c r="U2939">
        <v>-2.8898320000000002</v>
      </c>
      <c r="V2939">
        <v>2.974656E-4</v>
      </c>
      <c r="W2939">
        <v>4.1506590000000003E-2</v>
      </c>
      <c r="X2939">
        <v>0.99913819999999998</v>
      </c>
      <c r="Y2939">
        <v>-0.41257660000000002</v>
      </c>
      <c r="Z2939">
        <v>9.3492169999999999E-2</v>
      </c>
      <c r="AA2939">
        <v>0.90611240000000004</v>
      </c>
      <c r="AB2939">
        <v>24</v>
      </c>
      <c r="AC2939">
        <v>5.8715000000000801</v>
      </c>
      <c r="AD2939">
        <v>-1.1125247206559901</v>
      </c>
      <c r="AE2939">
        <v>-10.357900000000001</v>
      </c>
      <c r="AF2939">
        <v>-4.9406474547234103</v>
      </c>
      <c r="AG2939">
        <v>-1.1125247206559901</v>
      </c>
      <c r="AH2939">
        <v>10.719479040856999</v>
      </c>
      <c r="AI2939">
        <v>95.384541217773901</v>
      </c>
      <c r="AJ2939">
        <v>114.745150521312</v>
      </c>
      <c r="AK2939">
        <v>11.8555868447457</v>
      </c>
      <c r="AL2939">
        <v>87.621164229003199</v>
      </c>
      <c r="AM2939">
        <v>89.982941776296002</v>
      </c>
      <c r="AN2939">
        <v>1.00000001409922</v>
      </c>
    </row>
    <row r="2940" spans="1:40" x14ac:dyDescent="0.25">
      <c r="A2940" t="str">
        <f>"20190312154852217"</f>
        <v>20190312154852217</v>
      </c>
      <c r="B2940" t="str">
        <f>"1552376932208327"</f>
        <v>1552376932208327</v>
      </c>
      <c r="C2940" t="s">
        <v>40</v>
      </c>
      <c r="D2940">
        <v>4.5004739999999996</v>
      </c>
      <c r="E2940">
        <v>0.3288913</v>
      </c>
      <c r="F2940" t="s">
        <v>41</v>
      </c>
      <c r="G2940">
        <v>-490.73239999999998</v>
      </c>
      <c r="H2940">
        <v>1.016994</v>
      </c>
      <c r="I2940">
        <v>238.6515</v>
      </c>
      <c r="J2940">
        <v>-491.2253</v>
      </c>
      <c r="K2940">
        <v>1.1125750000000001</v>
      </c>
      <c r="L2940">
        <v>239.42310000000001</v>
      </c>
      <c r="M2940">
        <v>8.5672499999999999E-2</v>
      </c>
      <c r="N2940">
        <v>0</v>
      </c>
      <c r="O2940">
        <v>-0.99623410000000001</v>
      </c>
      <c r="P2940">
        <v>8.6502949999999995E-2</v>
      </c>
      <c r="Q2940">
        <v>2.8161410000000001E-2</v>
      </c>
      <c r="R2940">
        <v>-0.99585349999999995</v>
      </c>
      <c r="S2940">
        <v>1.6262209999999999</v>
      </c>
      <c r="T2940">
        <v>-0.30724240000000003</v>
      </c>
      <c r="U2940">
        <v>-2.8846129999999999</v>
      </c>
      <c r="V2940">
        <v>-1.1027529999999999E-3</v>
      </c>
      <c r="W2940">
        <v>4.1483239999999998E-2</v>
      </c>
      <c r="X2940">
        <v>0.99913859999999999</v>
      </c>
      <c r="Y2940">
        <v>-0.41249479999999999</v>
      </c>
      <c r="Z2940">
        <v>9.3760389999999999E-2</v>
      </c>
      <c r="AA2940">
        <v>0.90612199999999998</v>
      </c>
      <c r="AB2940">
        <v>24</v>
      </c>
      <c r="AC2940">
        <v>0.49290000000001999</v>
      </c>
      <c r="AD2940">
        <v>-9.5581000000000096E-2</v>
      </c>
      <c r="AE2940">
        <v>-0.77160000000000595</v>
      </c>
      <c r="AF2940">
        <v>-0.42039533505153198</v>
      </c>
      <c r="AG2940">
        <v>-9.5581000000000096E-2</v>
      </c>
      <c r="AH2940">
        <v>0.80225162570459996</v>
      </c>
      <c r="AI2940">
        <v>96.024109176098193</v>
      </c>
      <c r="AJ2940">
        <v>117.65540604234</v>
      </c>
      <c r="AK2940">
        <v>0.91075553044698199</v>
      </c>
      <c r="AL2940">
        <v>87.622503225712194</v>
      </c>
      <c r="AM2940">
        <v>90.063237539906495</v>
      </c>
      <c r="AN2940">
        <v>1.00000000863751</v>
      </c>
    </row>
    <row r="2941" spans="1:40" x14ac:dyDescent="0.25">
      <c r="A2941" t="str">
        <f>"20190312154852238"</f>
        <v>20190312154852238</v>
      </c>
      <c r="B2941" t="str">
        <f>"1552376932228823"</f>
        <v>1552376932228823</v>
      </c>
      <c r="C2941" t="s">
        <v>40</v>
      </c>
      <c r="D2941">
        <v>4.5105130000000004</v>
      </c>
      <c r="E2941">
        <v>0.33004660000000002</v>
      </c>
      <c r="F2941" t="s">
        <v>49</v>
      </c>
      <c r="G2941">
        <v>-485.37049999999999</v>
      </c>
      <c r="H2941" s="1">
        <v>5.2489639999999999E-6</v>
      </c>
      <c r="I2941">
        <v>229.0891</v>
      </c>
      <c r="J2941">
        <v>-491.20280000000002</v>
      </c>
      <c r="K2941">
        <v>1.1126560000000001</v>
      </c>
      <c r="L2941">
        <v>239.20599999999999</v>
      </c>
      <c r="M2941">
        <v>8.9148309999999995E-2</v>
      </c>
      <c r="N2941">
        <v>0</v>
      </c>
      <c r="O2941">
        <v>-0.99592899999999995</v>
      </c>
      <c r="P2941">
        <v>9.2694040000000005E-2</v>
      </c>
      <c r="Q2941">
        <v>2.8175780000000001E-2</v>
      </c>
      <c r="R2941">
        <v>-0.99529599999999996</v>
      </c>
      <c r="S2941">
        <v>1.6314390000000001</v>
      </c>
      <c r="T2941">
        <v>-0.31001499999999999</v>
      </c>
      <c r="U2941">
        <v>-2.8795470000000001</v>
      </c>
      <c r="V2941">
        <v>-3.8383850000000001E-3</v>
      </c>
      <c r="W2941">
        <v>4.1487530000000002E-2</v>
      </c>
      <c r="X2941">
        <v>0.99913160000000001</v>
      </c>
      <c r="Y2941">
        <v>-0.4112016</v>
      </c>
      <c r="Z2941">
        <v>9.4687160000000006E-2</v>
      </c>
      <c r="AA2941">
        <v>0.90661329999999996</v>
      </c>
      <c r="AB2941">
        <v>24</v>
      </c>
      <c r="AC2941">
        <v>5.8323000000000302</v>
      </c>
      <c r="AD2941">
        <v>-1.112650751036</v>
      </c>
      <c r="AE2941">
        <v>-10.1168999999999</v>
      </c>
      <c r="AF2941">
        <v>-4.8629414207152202</v>
      </c>
      <c r="AG2941">
        <v>-1.112650751036</v>
      </c>
      <c r="AH2941">
        <v>10.5012627572249</v>
      </c>
      <c r="AI2941">
        <v>95.491844851110599</v>
      </c>
      <c r="AJ2941">
        <v>114.84798586237601</v>
      </c>
      <c r="AK2941">
        <v>11.62594987308</v>
      </c>
      <c r="AL2941">
        <v>87.622257078457693</v>
      </c>
      <c r="AM2941">
        <v>90.220113325131393</v>
      </c>
      <c r="AN2941">
        <v>0.99999995123173302</v>
      </c>
    </row>
    <row r="2942" spans="1:40" x14ac:dyDescent="0.25">
      <c r="A2942" t="str">
        <f>"20190312154852254"</f>
        <v>20190312154852254</v>
      </c>
      <c r="B2942" t="str">
        <f>"1552376932248343"</f>
        <v>1552376932248343</v>
      </c>
      <c r="C2942" t="s">
        <v>40</v>
      </c>
      <c r="D2942">
        <v>4.5724689999999999</v>
      </c>
      <c r="E2942">
        <v>0.33085619999999999</v>
      </c>
      <c r="F2942" t="s">
        <v>49</v>
      </c>
      <c r="G2942">
        <v>-485.44080000000002</v>
      </c>
      <c r="H2942" s="1">
        <v>5.2779809999999998E-6</v>
      </c>
      <c r="I2942">
        <v>229.1224</v>
      </c>
      <c r="J2942">
        <v>-491.18490000000003</v>
      </c>
      <c r="K2942">
        <v>1.112714</v>
      </c>
      <c r="L2942">
        <v>239.03970000000001</v>
      </c>
      <c r="M2942">
        <v>9.1889960000000007E-2</v>
      </c>
      <c r="N2942">
        <v>0</v>
      </c>
      <c r="O2942">
        <v>-0.9956798</v>
      </c>
      <c r="P2942">
        <v>9.6756720000000004E-2</v>
      </c>
      <c r="Q2942">
        <v>2.787914E-2</v>
      </c>
      <c r="R2942">
        <v>-0.99491759999999996</v>
      </c>
      <c r="S2942">
        <v>1.640198</v>
      </c>
      <c r="T2942">
        <v>-0.31672679999999998</v>
      </c>
      <c r="U2942">
        <v>-2.8703919999999998</v>
      </c>
      <c r="V2942">
        <v>-5.1705259999999999E-3</v>
      </c>
      <c r="W2942">
        <v>4.118691E-2</v>
      </c>
      <c r="X2942">
        <v>0.99913810000000003</v>
      </c>
      <c r="Y2942">
        <v>-0.41191860000000002</v>
      </c>
      <c r="Z2942">
        <v>9.6860520000000006E-2</v>
      </c>
      <c r="AA2942">
        <v>0.90605800000000003</v>
      </c>
      <c r="AB2942">
        <v>24</v>
      </c>
      <c r="AC2942">
        <v>5.7441000000000004</v>
      </c>
      <c r="AD2942">
        <v>-1.112708722019</v>
      </c>
      <c r="AE2942">
        <v>-9.9173000000000098</v>
      </c>
      <c r="AF2942">
        <v>-4.7635096827388299</v>
      </c>
      <c r="AG2942">
        <v>-1.112708722019</v>
      </c>
      <c r="AH2942">
        <v>10.306058216142199</v>
      </c>
      <c r="AI2942">
        <v>95.5973582400688</v>
      </c>
      <c r="AJ2942">
        <v>114.80660695959099</v>
      </c>
      <c r="AK2942">
        <v>11.4080664949024</v>
      </c>
      <c r="AL2942">
        <v>87.639496232561996</v>
      </c>
      <c r="AM2942">
        <v>90.296502228409096</v>
      </c>
      <c r="AN2942">
        <v>1.0000000193830301</v>
      </c>
    </row>
    <row r="2943" spans="1:40" x14ac:dyDescent="0.25">
      <c r="A2943" t="str">
        <f>"20190312154852269"</f>
        <v>20190312154852269</v>
      </c>
      <c r="B2943" t="str">
        <f>"1552376932259080"</f>
        <v>1552376932259080</v>
      </c>
      <c r="C2943" t="s">
        <v>40</v>
      </c>
      <c r="D2943">
        <v>4.5589380000000004</v>
      </c>
      <c r="E2943">
        <v>0.33132089999999997</v>
      </c>
      <c r="F2943" t="s">
        <v>49</v>
      </c>
      <c r="G2943">
        <v>-485.54700000000003</v>
      </c>
      <c r="H2943" s="1">
        <v>5.3384410000000001E-6</v>
      </c>
      <c r="I2943">
        <v>229.22630000000001</v>
      </c>
      <c r="J2943">
        <v>-491.16660000000002</v>
      </c>
      <c r="K2943">
        <v>1.1127689999999999</v>
      </c>
      <c r="L2943">
        <v>238.8741</v>
      </c>
      <c r="M2943">
        <v>9.4680689999999998E-2</v>
      </c>
      <c r="N2943">
        <v>0</v>
      </c>
      <c r="O2943">
        <v>-0.99541820000000003</v>
      </c>
      <c r="P2943">
        <v>0.10206220000000001</v>
      </c>
      <c r="Q2943">
        <v>2.7400230000000001E-2</v>
      </c>
      <c r="R2943">
        <v>-0.99440070000000003</v>
      </c>
      <c r="S2943">
        <v>1.645599</v>
      </c>
      <c r="T2943">
        <v>-0.32478259999999998</v>
      </c>
      <c r="U2943">
        <v>-2.8643649999999998</v>
      </c>
      <c r="V2943">
        <v>-7.7019130000000003E-3</v>
      </c>
      <c r="W2943">
        <v>4.0696179999999998E-2</v>
      </c>
      <c r="X2943">
        <v>0.99914190000000003</v>
      </c>
      <c r="Y2943">
        <v>-0.41134880000000001</v>
      </c>
      <c r="Z2943">
        <v>9.9407540000000003E-2</v>
      </c>
      <c r="AA2943">
        <v>0.90604099999999999</v>
      </c>
      <c r="AB2943">
        <v>24</v>
      </c>
      <c r="AC2943">
        <v>5.6196000000000401</v>
      </c>
      <c r="AD2943">
        <v>-1.112763661559</v>
      </c>
      <c r="AE2943">
        <v>-9.6477999999999895</v>
      </c>
      <c r="AF2943">
        <v>-4.6347717460178304</v>
      </c>
      <c r="AG2943">
        <v>-1.112763661559</v>
      </c>
      <c r="AH2943">
        <v>10.0368705043039</v>
      </c>
      <c r="AI2943">
        <v>95.747703947448102</v>
      </c>
      <c r="AJ2943">
        <v>114.786292802517</v>
      </c>
      <c r="AK2943">
        <v>11.111171028489199</v>
      </c>
      <c r="AL2943">
        <v>87.667636580092704</v>
      </c>
      <c r="AM2943">
        <v>90.441657354932303</v>
      </c>
      <c r="AN2943">
        <v>1.0000000174330299</v>
      </c>
    </row>
    <row r="2944" spans="1:40" x14ac:dyDescent="0.25">
      <c r="A2944" t="str">
        <f>"20190312154852282"</f>
        <v>20190312154852282</v>
      </c>
      <c r="B2944" t="str">
        <f>"1552376932278600"</f>
        <v>1552376932278600</v>
      </c>
      <c r="C2944" t="s">
        <v>40</v>
      </c>
      <c r="D2944">
        <v>4.5545330000000002</v>
      </c>
      <c r="E2944">
        <v>0.33221729999999999</v>
      </c>
      <c r="F2944" t="s">
        <v>41</v>
      </c>
      <c r="G2944">
        <v>-490.637</v>
      </c>
      <c r="H2944">
        <v>1.0071349999999999</v>
      </c>
      <c r="I2944">
        <v>237.9606</v>
      </c>
      <c r="J2944">
        <v>-491.15120000000002</v>
      </c>
      <c r="K2944">
        <v>1.1128169999999999</v>
      </c>
      <c r="L2944">
        <v>238.73910000000001</v>
      </c>
      <c r="M2944">
        <v>9.7008440000000001E-2</v>
      </c>
      <c r="N2944">
        <v>0</v>
      </c>
      <c r="O2944">
        <v>-0.99519400000000002</v>
      </c>
      <c r="P2944">
        <v>0.10539320000000001</v>
      </c>
      <c r="Q2944">
        <v>2.6905849999999999E-2</v>
      </c>
      <c r="R2944">
        <v>-0.99406680000000003</v>
      </c>
      <c r="S2944">
        <v>1.6567080000000001</v>
      </c>
      <c r="T2944">
        <v>-0.33022020000000002</v>
      </c>
      <c r="U2944">
        <v>-2.8559269999999999</v>
      </c>
      <c r="V2944">
        <v>-8.7135419999999995E-3</v>
      </c>
      <c r="W2944">
        <v>4.0198770000000002E-2</v>
      </c>
      <c r="X2944">
        <v>0.99915370000000003</v>
      </c>
      <c r="Y2944">
        <v>-0.41292830000000003</v>
      </c>
      <c r="Z2944">
        <v>0.1011456</v>
      </c>
      <c r="AA2944">
        <v>0.90512969999999904</v>
      </c>
      <c r="AB2944">
        <v>24</v>
      </c>
      <c r="AC2944">
        <v>0.51420000000007304</v>
      </c>
      <c r="AD2944">
        <v>-0.105681999999999</v>
      </c>
      <c r="AE2944">
        <v>-0.77850000000000796</v>
      </c>
      <c r="AF2944">
        <v>-0.43072011719768999</v>
      </c>
      <c r="AG2944">
        <v>-0.105681999999999</v>
      </c>
      <c r="AH2944">
        <v>0.81426615362507804</v>
      </c>
      <c r="AI2944">
        <v>96.544711652924406</v>
      </c>
      <c r="AJ2944">
        <v>117.877373566928</v>
      </c>
      <c r="AK2944">
        <v>0.92720972461583395</v>
      </c>
      <c r="AL2944">
        <v>87.696159355174501</v>
      </c>
      <c r="AM2944">
        <v>90.499659386812596</v>
      </c>
      <c r="AN2944">
        <v>0.99999999157369401</v>
      </c>
    </row>
    <row r="2945" spans="1:40" x14ac:dyDescent="0.25">
      <c r="A2945" t="str">
        <f>"20190312154852295"</f>
        <v>20190312154852295</v>
      </c>
      <c r="B2945" t="str">
        <f>"1552376932288359"</f>
        <v>1552376932288359</v>
      </c>
      <c r="C2945" t="s">
        <v>40</v>
      </c>
      <c r="D2945">
        <v>4.5578349999999999</v>
      </c>
      <c r="E2945">
        <v>0.3327174</v>
      </c>
      <c r="F2945" t="s">
        <v>49</v>
      </c>
      <c r="G2945">
        <v>-485.6764</v>
      </c>
      <c r="H2945" s="1">
        <v>5.4052929999999997E-6</v>
      </c>
      <c r="I2945">
        <v>229.33099999999999</v>
      </c>
      <c r="J2945">
        <v>-491.13600000000002</v>
      </c>
      <c r="K2945">
        <v>1.112862</v>
      </c>
      <c r="L2945">
        <v>238.60910000000001</v>
      </c>
      <c r="M2945">
        <v>9.9303429999999998E-2</v>
      </c>
      <c r="N2945">
        <v>0</v>
      </c>
      <c r="O2945">
        <v>-0.9949675</v>
      </c>
      <c r="P2945">
        <v>0.1088293</v>
      </c>
      <c r="Q2945">
        <v>2.677554E-2</v>
      </c>
      <c r="R2945">
        <v>-0.99369969999999996</v>
      </c>
      <c r="S2945">
        <v>1.6591800000000001</v>
      </c>
      <c r="T2945">
        <v>-0.33724330000000002</v>
      </c>
      <c r="U2945">
        <v>-2.8511510000000002</v>
      </c>
      <c r="V2945">
        <v>-9.8675110000000007E-3</v>
      </c>
      <c r="W2945">
        <v>4.0063929999999998E-2</v>
      </c>
      <c r="X2945">
        <v>0.99914840000000005</v>
      </c>
      <c r="Y2945">
        <v>-0.41195890000000002</v>
      </c>
      <c r="Z2945">
        <v>0.1033867</v>
      </c>
      <c r="AA2945">
        <v>0.90531819999999996</v>
      </c>
      <c r="AB2945">
        <v>24</v>
      </c>
      <c r="AC2945">
        <v>5.45959999999996</v>
      </c>
      <c r="AD2945">
        <v>-1.1128565947069999</v>
      </c>
      <c r="AE2945">
        <v>-9.2781000000000198</v>
      </c>
      <c r="AF2945">
        <v>-4.46348154801119</v>
      </c>
      <c r="AG2945">
        <v>-1.1128565947069999</v>
      </c>
      <c r="AH2945">
        <v>9.6710883595320496</v>
      </c>
      <c r="AI2945">
        <v>95.964605809446297</v>
      </c>
      <c r="AJ2945">
        <v>114.774663420441</v>
      </c>
      <c r="AK2945">
        <v>10.709391550769601</v>
      </c>
      <c r="AL2945">
        <v>87.703891379496298</v>
      </c>
      <c r="AM2945">
        <v>90.565830215893499</v>
      </c>
      <c r="AN2945">
        <v>1.00000000574147</v>
      </c>
    </row>
    <row r="2946" spans="1:40" x14ac:dyDescent="0.25">
      <c r="A2946" t="str">
        <f>"20190312154852307"</f>
        <v>20190312154852307</v>
      </c>
      <c r="B2946" t="str">
        <f>"1552376932299096"</f>
        <v>1552376932299096</v>
      </c>
      <c r="C2946" t="s">
        <v>40</v>
      </c>
      <c r="D2946">
        <v>4.557404</v>
      </c>
      <c r="E2946">
        <v>0.33317150000000001</v>
      </c>
      <c r="F2946" t="s">
        <v>49</v>
      </c>
      <c r="G2946">
        <v>-485.68180000000001</v>
      </c>
      <c r="H2946" s="1">
        <v>5.392721E-6</v>
      </c>
      <c r="I2946">
        <v>229.28579999999999</v>
      </c>
      <c r="J2946">
        <v>-491.12020000000001</v>
      </c>
      <c r="K2946">
        <v>1.112914</v>
      </c>
      <c r="L2946">
        <v>238.47640000000001</v>
      </c>
      <c r="M2946">
        <v>0.1016759</v>
      </c>
      <c r="N2946">
        <v>0</v>
      </c>
      <c r="O2946">
        <v>-0.99472799999999995</v>
      </c>
      <c r="P2946">
        <v>0.11208990000000001</v>
      </c>
      <c r="Q2946">
        <v>2.6330619999999999E-2</v>
      </c>
      <c r="R2946">
        <v>-0.9933495</v>
      </c>
      <c r="S2946">
        <v>1.6648559999999999</v>
      </c>
      <c r="T2946">
        <v>-0.33968680000000001</v>
      </c>
      <c r="U2946">
        <v>-2.845825</v>
      </c>
      <c r="V2946">
        <v>-1.0764340000000001E-2</v>
      </c>
      <c r="W2946">
        <v>3.9616529999999997E-2</v>
      </c>
      <c r="X2946">
        <v>0.99915699999999996</v>
      </c>
      <c r="Y2946">
        <v>-0.41182800000000003</v>
      </c>
      <c r="Z2946">
        <v>0.10420980000000001</v>
      </c>
      <c r="AA2946">
        <v>0.90528339999999996</v>
      </c>
      <c r="AB2946">
        <v>24</v>
      </c>
      <c r="AC2946">
        <v>5.4383999999999997</v>
      </c>
      <c r="AD2946">
        <v>-1.112908607279</v>
      </c>
      <c r="AE2946">
        <v>-9.1906000000000105</v>
      </c>
      <c r="AF2946">
        <v>-4.4275794161559396</v>
      </c>
      <c r="AG2946">
        <v>-1.112908607279</v>
      </c>
      <c r="AH2946">
        <v>9.5917938902669295</v>
      </c>
      <c r="AI2946">
        <v>96.013669324366901</v>
      </c>
      <c r="AJ2946">
        <v>114.77808343787299</v>
      </c>
      <c r="AK2946">
        <v>10.6228308415358</v>
      </c>
      <c r="AL2946">
        <v>87.7295459243919</v>
      </c>
      <c r="AM2946">
        <v>90.617247731331602</v>
      </c>
      <c r="AN2946">
        <v>1.0000000255569299</v>
      </c>
    </row>
    <row r="2947" spans="1:40" x14ac:dyDescent="0.25">
      <c r="A2947" t="str">
        <f>"20190312154852325"</f>
        <v>20190312154852325</v>
      </c>
      <c r="B2947" t="str">
        <f>"1552376932319123"</f>
        <v>1552376932319123</v>
      </c>
      <c r="C2947" t="s">
        <v>40</v>
      </c>
      <c r="D2947">
        <v>4.5482110000000002</v>
      </c>
      <c r="E2947">
        <v>0.33420440000000001</v>
      </c>
      <c r="F2947" t="s">
        <v>41</v>
      </c>
      <c r="G2947">
        <v>-490.5908</v>
      </c>
      <c r="H2947">
        <v>1.0041800000000001</v>
      </c>
      <c r="I2947">
        <v>237.57579999999999</v>
      </c>
      <c r="J2947">
        <v>-491.0967</v>
      </c>
      <c r="K2947">
        <v>1.1129880000000001</v>
      </c>
      <c r="L2947">
        <v>238.28479999999999</v>
      </c>
      <c r="M2947">
        <v>0.10520019999999999</v>
      </c>
      <c r="N2947">
        <v>0</v>
      </c>
      <c r="O2947">
        <v>-0.99436139999999995</v>
      </c>
      <c r="P2947">
        <v>0.117273</v>
      </c>
      <c r="Q2947">
        <v>2.6351759999999998E-2</v>
      </c>
      <c r="R2947">
        <v>-0.99275000000000002</v>
      </c>
      <c r="S2947">
        <v>1.670593</v>
      </c>
      <c r="T2947">
        <v>-0.34293089999999998</v>
      </c>
      <c r="U2947">
        <v>-2.840668</v>
      </c>
      <c r="V2947">
        <v>-1.2447089999999999E-2</v>
      </c>
      <c r="W2947">
        <v>3.9630350000000002E-2</v>
      </c>
      <c r="X2947">
        <v>0.99913689999999999</v>
      </c>
      <c r="Y2947">
        <v>-0.41062149999999997</v>
      </c>
      <c r="Z2947">
        <v>0.105277</v>
      </c>
      <c r="AA2947">
        <v>0.90570779999999995</v>
      </c>
      <c r="AB2947">
        <v>24</v>
      </c>
      <c r="AC2947">
        <v>0.50589999999999602</v>
      </c>
      <c r="AD2947">
        <v>-0.108808</v>
      </c>
      <c r="AE2947">
        <v>-0.70900000000000296</v>
      </c>
      <c r="AF2947">
        <v>-0.42191418150655002</v>
      </c>
      <c r="AG2947">
        <v>-0.108808</v>
      </c>
      <c r="AH2947">
        <v>0.74663837012128897</v>
      </c>
      <c r="AI2947">
        <v>97.230755651012004</v>
      </c>
      <c r="AJ2947">
        <v>119.47014202677001</v>
      </c>
      <c r="AK2947">
        <v>0.86447649659069203</v>
      </c>
      <c r="AL2947">
        <v>87.728753461369294</v>
      </c>
      <c r="AM2947">
        <v>90.713744866923406</v>
      </c>
      <c r="AN2947">
        <v>1.0000000198161001</v>
      </c>
    </row>
    <row r="2948" spans="1:40" x14ac:dyDescent="0.25">
      <c r="A2948" t="str">
        <f>"20190312154852338"</f>
        <v>20190312154852338</v>
      </c>
      <c r="B2948" t="str">
        <f>"1552376932328884"</f>
        <v>1552376932328884</v>
      </c>
      <c r="C2948" t="s">
        <v>40</v>
      </c>
      <c r="D2948">
        <v>4.5635199999999996</v>
      </c>
      <c r="E2948">
        <v>0.33468239999999999</v>
      </c>
      <c r="F2948" t="s">
        <v>41</v>
      </c>
      <c r="G2948">
        <v>-490.5702</v>
      </c>
      <c r="H2948">
        <v>1.0040979999999999</v>
      </c>
      <c r="I2948">
        <v>237.3955</v>
      </c>
      <c r="J2948">
        <v>-491.0797</v>
      </c>
      <c r="K2948">
        <v>1.113043</v>
      </c>
      <c r="L2948">
        <v>238.1508</v>
      </c>
      <c r="M2948">
        <v>0.1077376</v>
      </c>
      <c r="N2948">
        <v>0</v>
      </c>
      <c r="O2948">
        <v>-0.99408940000000001</v>
      </c>
      <c r="P2948">
        <v>0.12055059999999999</v>
      </c>
      <c r="Q2948">
        <v>2.6087369999999999E-2</v>
      </c>
      <c r="R2948">
        <v>-0.99236420000000003</v>
      </c>
      <c r="S2948">
        <v>1.677338</v>
      </c>
      <c r="T2948">
        <v>-0.34690729999999997</v>
      </c>
      <c r="U2948">
        <v>-2.8329620000000002</v>
      </c>
      <c r="V2948">
        <v>-1.3199020000000001E-2</v>
      </c>
      <c r="W2948">
        <v>3.9364000000000003E-2</v>
      </c>
      <c r="X2948">
        <v>0.99913779999999996</v>
      </c>
      <c r="Y2948">
        <v>-0.41089890000000001</v>
      </c>
      <c r="Z2948">
        <v>0.1066182</v>
      </c>
      <c r="AA2948">
        <v>0.90542509999999998</v>
      </c>
      <c r="AB2948">
        <v>24</v>
      </c>
      <c r="AC2948">
        <v>0.50950000000000195</v>
      </c>
      <c r="AD2948">
        <v>-0.108945</v>
      </c>
      <c r="AE2948">
        <v>-0.75530000000000497</v>
      </c>
      <c r="AF2948">
        <v>-0.41915888105872201</v>
      </c>
      <c r="AG2948">
        <v>-0.108945</v>
      </c>
      <c r="AH2948">
        <v>0.79444052605730198</v>
      </c>
      <c r="AI2948">
        <v>96.915487565168903</v>
      </c>
      <c r="AJ2948">
        <v>117.81680937697401</v>
      </c>
      <c r="AK2948">
        <v>0.904819832915704</v>
      </c>
      <c r="AL2948">
        <v>87.744026157335895</v>
      </c>
      <c r="AM2948">
        <v>90.756856713975594</v>
      </c>
      <c r="AN2948">
        <v>1.0000000410068901</v>
      </c>
    </row>
    <row r="2949" spans="1:40" x14ac:dyDescent="0.25">
      <c r="A2949" t="str">
        <f>"20190312154852350"</f>
        <v>20190312154852350</v>
      </c>
      <c r="B2949" t="str">
        <f>"1552376932338643"</f>
        <v>1552376932338643</v>
      </c>
      <c r="C2949" t="s">
        <v>40</v>
      </c>
      <c r="D2949">
        <v>4.5515280000000002</v>
      </c>
      <c r="E2949">
        <v>0.33468239999999999</v>
      </c>
      <c r="F2949" t="s">
        <v>49</v>
      </c>
      <c r="G2949">
        <v>-485.71170000000001</v>
      </c>
      <c r="H2949" s="1">
        <v>5.3532989999999998E-6</v>
      </c>
      <c r="I2949">
        <v>229.13290000000001</v>
      </c>
      <c r="J2949">
        <v>-491.0641</v>
      </c>
      <c r="K2949">
        <v>1.1130899999999999</v>
      </c>
      <c r="L2949">
        <v>238.02930000000001</v>
      </c>
      <c r="M2949">
        <v>0.11006879999999999</v>
      </c>
      <c r="N2949">
        <v>0</v>
      </c>
      <c r="O2949">
        <v>-0.99383379999999999</v>
      </c>
      <c r="P2949">
        <v>0.1234485</v>
      </c>
      <c r="Q2949">
        <v>2.620422E-2</v>
      </c>
      <c r="R2949">
        <v>-0.99200509999999997</v>
      </c>
      <c r="S2949">
        <v>1.6832579999999999</v>
      </c>
      <c r="T2949">
        <v>-0.34901490000000002</v>
      </c>
      <c r="U2949">
        <v>-2.8277589999999999</v>
      </c>
      <c r="V2949">
        <v>-1.3780199999999999E-2</v>
      </c>
      <c r="W2949">
        <v>3.9479779999999999E-2</v>
      </c>
      <c r="X2949">
        <v>0.99912540000000005</v>
      </c>
      <c r="Y2949">
        <v>-0.41085539999999998</v>
      </c>
      <c r="Z2949">
        <v>0.1073317</v>
      </c>
      <c r="AA2949">
        <v>0.90536050000000001</v>
      </c>
      <c r="AB2949">
        <v>24</v>
      </c>
      <c r="AC2949">
        <v>5.3523999999999798</v>
      </c>
      <c r="AD2949">
        <v>-1.1130846467009901</v>
      </c>
      <c r="AE2949">
        <v>-8.8963999999999999</v>
      </c>
      <c r="AF2949">
        <v>-4.2912465061327296</v>
      </c>
      <c r="AG2949">
        <v>-1.1130846467009901</v>
      </c>
      <c r="AH2949">
        <v>9.3243489115365303</v>
      </c>
      <c r="AI2949">
        <v>96.189032249416101</v>
      </c>
      <c r="AJ2949">
        <v>114.71280588811599</v>
      </c>
      <c r="AK2949">
        <v>10.3245937756015</v>
      </c>
      <c r="AL2949">
        <v>87.737387325354106</v>
      </c>
      <c r="AM2949">
        <v>90.790188341006498</v>
      </c>
      <c r="AN2949">
        <v>1.00000005593302</v>
      </c>
    </row>
    <row r="2950" spans="1:40" x14ac:dyDescent="0.25">
      <c r="A2950" t="str">
        <f>"20190312154852363"</f>
        <v>20190312154852363</v>
      </c>
      <c r="B2950" t="str">
        <f>"1552376932359138"</f>
        <v>1552376932359138</v>
      </c>
      <c r="C2950" t="s">
        <v>40</v>
      </c>
      <c r="D2950">
        <v>4.6100019999999997</v>
      </c>
      <c r="E2950">
        <v>0.3469547</v>
      </c>
      <c r="F2950" t="s">
        <v>41</v>
      </c>
      <c r="G2950">
        <v>-490.51350000000002</v>
      </c>
      <c r="H2950">
        <v>0.99958130000000001</v>
      </c>
      <c r="I2950">
        <v>237.11009999999999</v>
      </c>
      <c r="J2950">
        <v>-491.04610000000002</v>
      </c>
      <c r="K2950">
        <v>1.1131409999999999</v>
      </c>
      <c r="L2950">
        <v>237.89259999999999</v>
      </c>
      <c r="M2950">
        <v>0.112731</v>
      </c>
      <c r="N2950">
        <v>0</v>
      </c>
      <c r="O2950">
        <v>-0.99353530000000001</v>
      </c>
      <c r="P2950">
        <v>0.1266958</v>
      </c>
      <c r="Q2950">
        <v>2.6033589999999999E-2</v>
      </c>
      <c r="R2950">
        <v>-0.99160000000000004</v>
      </c>
      <c r="S2950">
        <v>1.6914370000000001</v>
      </c>
      <c r="T2950">
        <v>-0.348549</v>
      </c>
      <c r="U2950">
        <v>-2.8228909999999998</v>
      </c>
      <c r="V2950">
        <v>-1.4378200000000001E-2</v>
      </c>
      <c r="W2950">
        <v>3.9308259999999998E-2</v>
      </c>
      <c r="X2950">
        <v>0.99912369999999995</v>
      </c>
      <c r="Y2950">
        <v>-0.41104089999999999</v>
      </c>
      <c r="Z2950">
        <v>0.10722</v>
      </c>
      <c r="AA2950">
        <v>0.90528960000000003</v>
      </c>
      <c r="AB2950">
        <v>24</v>
      </c>
      <c r="AC2950">
        <v>0.53260000000000196</v>
      </c>
      <c r="AD2950">
        <v>-0.113559699999999</v>
      </c>
      <c r="AE2950">
        <v>-0.78249999999999797</v>
      </c>
      <c r="AF2950">
        <v>-0.43472734516328099</v>
      </c>
      <c r="AG2950">
        <v>-0.113559699999999</v>
      </c>
      <c r="AH2950">
        <v>0.82567298044901705</v>
      </c>
      <c r="AI2950">
        <v>96.938670787441396</v>
      </c>
      <c r="AJ2950">
        <v>117.767376603527</v>
      </c>
      <c r="AK2950">
        <v>0.94001039395336905</v>
      </c>
      <c r="AL2950">
        <v>87.7472222501289</v>
      </c>
      <c r="AM2950">
        <v>90.824475803098494</v>
      </c>
      <c r="AN2950">
        <v>1.0000000199205701</v>
      </c>
    </row>
    <row r="2951" spans="1:40" x14ac:dyDescent="0.25">
      <c r="A2951" t="str">
        <f>"20190312154852381"</f>
        <v>20190312154852381</v>
      </c>
      <c r="B2951" t="str">
        <f>"1552376932378659"</f>
        <v>1552376932378659</v>
      </c>
      <c r="C2951" t="s">
        <v>40</v>
      </c>
      <c r="D2951">
        <v>4.6178970000000001</v>
      </c>
      <c r="E2951">
        <v>0.3473195</v>
      </c>
      <c r="F2951" t="s">
        <v>42</v>
      </c>
      <c r="G2951">
        <v>-486.51679999999999</v>
      </c>
      <c r="H2951" s="1">
        <v>-1.0135060000000001E-6</v>
      </c>
      <c r="I2951">
        <v>229.90280000000001</v>
      </c>
      <c r="J2951">
        <v>-491.02050000000003</v>
      </c>
      <c r="K2951">
        <v>1.1132169999999999</v>
      </c>
      <c r="L2951">
        <v>237.70439999999999</v>
      </c>
      <c r="M2951">
        <v>0.11650489999999999</v>
      </c>
      <c r="N2951">
        <v>0</v>
      </c>
      <c r="O2951">
        <v>-0.99309979999999998</v>
      </c>
      <c r="P2951">
        <v>0.13140199999999999</v>
      </c>
      <c r="Q2951">
        <v>2.629942E-2</v>
      </c>
      <c r="R2951">
        <v>-0.99098030000000004</v>
      </c>
      <c r="S2951">
        <v>1.604706</v>
      </c>
      <c r="T2951">
        <v>-0.39437899999999998</v>
      </c>
      <c r="U2951">
        <v>-2.8307190000000002</v>
      </c>
      <c r="V2951">
        <v>-1.5335639999999999E-2</v>
      </c>
      <c r="W2951">
        <v>3.9571269999999999E-2</v>
      </c>
      <c r="X2951">
        <v>0.99909910000000002</v>
      </c>
      <c r="Y2951">
        <v>-0.38474239999999998</v>
      </c>
      <c r="Z2951">
        <v>0.12232419999999999</v>
      </c>
      <c r="AA2951">
        <v>0.91488250000000004</v>
      </c>
      <c r="AB2951">
        <v>24</v>
      </c>
      <c r="AC2951">
        <v>4.5037000000000296</v>
      </c>
      <c r="AD2951">
        <v>-1.1132180135059999</v>
      </c>
      <c r="AE2951">
        <v>-7.8015999999999703</v>
      </c>
      <c r="AF2951">
        <v>-3.5104094890037798</v>
      </c>
      <c r="AG2951">
        <v>-1.1132180135059999</v>
      </c>
      <c r="AH2951">
        <v>8.1487688720564595</v>
      </c>
      <c r="AI2951">
        <v>97.151250296951901</v>
      </c>
      <c r="AJ2951">
        <v>113.30590225206601</v>
      </c>
      <c r="AK2951">
        <v>8.94229630778797</v>
      </c>
      <c r="AL2951">
        <v>87.732141197861196</v>
      </c>
      <c r="AM2951">
        <v>90.879390694468896</v>
      </c>
      <c r="AN2951">
        <v>1.0000000394422099</v>
      </c>
    </row>
    <row r="2952" spans="1:40" x14ac:dyDescent="0.25">
      <c r="A2952" t="str">
        <f>"20190312154852393"</f>
        <v>20190312154852393</v>
      </c>
      <c r="B2952" t="str">
        <f>"1552376932388419"</f>
        <v>1552376932388419</v>
      </c>
      <c r="C2952" t="s">
        <v>40</v>
      </c>
      <c r="D2952">
        <v>4.6165510000000003</v>
      </c>
      <c r="E2952">
        <v>0.34751140000000003</v>
      </c>
      <c r="F2952" t="s">
        <v>49</v>
      </c>
      <c r="G2952">
        <v>-486.3741</v>
      </c>
      <c r="H2952" s="1">
        <v>5.6688410000000003E-6</v>
      </c>
      <c r="I2952">
        <v>229.58250000000001</v>
      </c>
      <c r="J2952">
        <v>-491.00369999999998</v>
      </c>
      <c r="K2952">
        <v>1.1132679999999999</v>
      </c>
      <c r="L2952">
        <v>237.58459999999999</v>
      </c>
      <c r="M2952">
        <v>0.11897290000000001</v>
      </c>
      <c r="N2952">
        <v>0</v>
      </c>
      <c r="O2952">
        <v>-0.99280710000000005</v>
      </c>
      <c r="P2952">
        <v>0.13412650000000001</v>
      </c>
      <c r="Q2952">
        <v>2.6524229999999999E-2</v>
      </c>
      <c r="R2952">
        <v>-0.99060899999999996</v>
      </c>
      <c r="S2952">
        <v>1.6152340000000001</v>
      </c>
      <c r="T2952">
        <v>-0.38698470000000001</v>
      </c>
      <c r="U2952">
        <v>-2.82341</v>
      </c>
      <c r="V2952">
        <v>-1.560752E-2</v>
      </c>
      <c r="W2952">
        <v>3.979663E-2</v>
      </c>
      <c r="X2952">
        <v>0.99908589999999997</v>
      </c>
      <c r="Y2952">
        <v>-0.38617380000000001</v>
      </c>
      <c r="Z2952">
        <v>0.1201395</v>
      </c>
      <c r="AA2952">
        <v>0.91456890000000002</v>
      </c>
      <c r="AB2952">
        <v>24</v>
      </c>
      <c r="AC2952">
        <v>4.6295999999999804</v>
      </c>
      <c r="AD2952">
        <v>-1.113262331159</v>
      </c>
      <c r="AE2952">
        <v>-8.0020999999999791</v>
      </c>
      <c r="AF2952">
        <v>-3.5924990601223299</v>
      </c>
      <c r="AG2952">
        <v>-1.113262331159</v>
      </c>
      <c r="AH2952">
        <v>8.3746603930954198</v>
      </c>
      <c r="AI2952">
        <v>96.965097301868894</v>
      </c>
      <c r="AJ2952">
        <v>113.21800189447301</v>
      </c>
      <c r="AK2952">
        <v>9.1804324089139993</v>
      </c>
      <c r="AL2952">
        <v>87.719218754594806</v>
      </c>
      <c r="AM2952">
        <v>90.894990402001895</v>
      </c>
      <c r="AN2952">
        <v>1.0000000010093499</v>
      </c>
    </row>
    <row r="2953" spans="1:40" x14ac:dyDescent="0.25">
      <c r="A2953" t="str">
        <f>"20190312154852405"</f>
        <v>20190312154852405</v>
      </c>
      <c r="B2953" t="str">
        <f>"1552376932399155"</f>
        <v>1552376932399155</v>
      </c>
      <c r="C2953" t="s">
        <v>40</v>
      </c>
      <c r="D2953">
        <v>4.5874639999999998</v>
      </c>
      <c r="E2953">
        <v>0.34773270000000001</v>
      </c>
      <c r="F2953" t="s">
        <v>49</v>
      </c>
      <c r="G2953">
        <v>-486.31650000000002</v>
      </c>
      <c r="H2953" s="1">
        <v>5.6080380000000001E-6</v>
      </c>
      <c r="I2953">
        <v>229.4357</v>
      </c>
      <c r="J2953">
        <v>-490.98500000000001</v>
      </c>
      <c r="K2953">
        <v>1.113326</v>
      </c>
      <c r="L2953">
        <v>237.4528</v>
      </c>
      <c r="M2953">
        <v>0.1217203</v>
      </c>
      <c r="N2953">
        <v>0</v>
      </c>
      <c r="O2953">
        <v>-0.99247399999999997</v>
      </c>
      <c r="P2953">
        <v>0.13706760000000001</v>
      </c>
      <c r="Q2953">
        <v>2.6496720000000001E-2</v>
      </c>
      <c r="R2953">
        <v>-0.99020739999999996</v>
      </c>
      <c r="S2953">
        <v>1.6215820000000001</v>
      </c>
      <c r="T2953">
        <v>-0.38514019999999999</v>
      </c>
      <c r="U2953">
        <v>-2.819153</v>
      </c>
      <c r="V2953">
        <v>-1.5813819999999999E-2</v>
      </c>
      <c r="W2953">
        <v>3.9771389999999997E-2</v>
      </c>
      <c r="X2953">
        <v>0.99908359999999996</v>
      </c>
      <c r="Y2953">
        <v>-0.38579960000000002</v>
      </c>
      <c r="Z2953">
        <v>0.1196173</v>
      </c>
      <c r="AA2953">
        <v>0.91479529999999998</v>
      </c>
      <c r="AB2953">
        <v>24</v>
      </c>
      <c r="AC2953">
        <v>4.6684999999999901</v>
      </c>
      <c r="AD2953">
        <v>-1.1133203919620001</v>
      </c>
      <c r="AE2953">
        <v>-8.0170999999999992</v>
      </c>
      <c r="AF2953">
        <v>-3.6059203112538101</v>
      </c>
      <c r="AG2953">
        <v>-1.1133203919620001</v>
      </c>
      <c r="AH2953">
        <v>8.4047426103371592</v>
      </c>
      <c r="AI2953">
        <v>96.940616749231907</v>
      </c>
      <c r="AJ2953">
        <v>113.220977386816</v>
      </c>
      <c r="AK2953">
        <v>9.2131342078734697</v>
      </c>
      <c r="AL2953">
        <v>87.720665906926698</v>
      </c>
      <c r="AM2953">
        <v>90.906820498382103</v>
      </c>
      <c r="AN2953">
        <v>0.99999994007724002</v>
      </c>
    </row>
    <row r="2954" spans="1:40" x14ac:dyDescent="0.25">
      <c r="A2954" t="str">
        <f>"20190312154852418"</f>
        <v>20190312154852418</v>
      </c>
      <c r="B2954" t="str">
        <f>"1552376932408915"</f>
        <v>1552376932408915</v>
      </c>
      <c r="C2954" t="s">
        <v>40</v>
      </c>
      <c r="D2954">
        <v>4.5846150000000003</v>
      </c>
      <c r="E2954">
        <v>0.34818549999999998</v>
      </c>
      <c r="F2954" t="s">
        <v>49</v>
      </c>
      <c r="G2954">
        <v>-486.26440000000002</v>
      </c>
      <c r="H2954" s="1">
        <v>5.5500579999999997E-6</v>
      </c>
      <c r="I2954">
        <v>229.29329999999999</v>
      </c>
      <c r="J2954">
        <v>-490.96449999999999</v>
      </c>
      <c r="K2954">
        <v>1.1133919999999999</v>
      </c>
      <c r="L2954">
        <v>237.3134</v>
      </c>
      <c r="M2954">
        <v>0.124719</v>
      </c>
      <c r="N2954">
        <v>0</v>
      </c>
      <c r="O2954">
        <v>-0.99210160000000003</v>
      </c>
      <c r="P2954">
        <v>0.14026350000000001</v>
      </c>
      <c r="Q2954">
        <v>2.640812E-2</v>
      </c>
      <c r="R2954">
        <v>-0.98976220000000004</v>
      </c>
      <c r="S2954">
        <v>1.6283570000000001</v>
      </c>
      <c r="T2954">
        <v>-0.38403300000000001</v>
      </c>
      <c r="U2954">
        <v>-2.8145600000000002</v>
      </c>
      <c r="V2954">
        <v>-1.6025870000000001E-2</v>
      </c>
      <c r="W2954">
        <v>3.9685140000000001E-2</v>
      </c>
      <c r="X2954">
        <v>0.99908370000000002</v>
      </c>
      <c r="Y2954">
        <v>-0.38532959999999999</v>
      </c>
      <c r="Z2954">
        <v>0.1193232</v>
      </c>
      <c r="AA2954">
        <v>0.9150317</v>
      </c>
      <c r="AB2954">
        <v>24</v>
      </c>
      <c r="AC2954">
        <v>4.70009999999996</v>
      </c>
      <c r="AD2954">
        <v>-1.1133864499420001</v>
      </c>
      <c r="AE2954">
        <v>-8.02010000000001</v>
      </c>
      <c r="AF2954">
        <v>-3.6112420502312799</v>
      </c>
      <c r="AG2954">
        <v>-1.1133864499420001</v>
      </c>
      <c r="AH2954">
        <v>8.4228832746564102</v>
      </c>
      <c r="AI2954">
        <v>96.926946857659303</v>
      </c>
      <c r="AJ2954">
        <v>113.206836348352</v>
      </c>
      <c r="AK2954">
        <v>9.2317745418072104</v>
      </c>
      <c r="AL2954">
        <v>87.725611684549705</v>
      </c>
      <c r="AM2954">
        <v>90.918978033592495</v>
      </c>
      <c r="AN2954">
        <v>0.99999998922588296</v>
      </c>
    </row>
    <row r="2955" spans="1:40" x14ac:dyDescent="0.25">
      <c r="A2955" t="str">
        <f>"20190312154852439"</f>
        <v>20190312154852439</v>
      </c>
      <c r="B2955" t="str">
        <f>"1552376932428435"</f>
        <v>1552376932428435</v>
      </c>
      <c r="C2955" t="s">
        <v>40</v>
      </c>
      <c r="D2955">
        <v>4.6131359999999999</v>
      </c>
      <c r="E2955">
        <v>0.34874809999999901</v>
      </c>
      <c r="F2955" t="s">
        <v>49</v>
      </c>
      <c r="G2955">
        <v>-486.23610000000002</v>
      </c>
      <c r="H2955" s="1">
        <v>5.5075509999999997E-6</v>
      </c>
      <c r="I2955">
        <v>229.18039999999999</v>
      </c>
      <c r="J2955">
        <v>-490.93439999999998</v>
      </c>
      <c r="K2955">
        <v>1.1134869999999999</v>
      </c>
      <c r="L2955">
        <v>237.1129</v>
      </c>
      <c r="M2955">
        <v>0.12912109999999999</v>
      </c>
      <c r="N2955">
        <v>0</v>
      </c>
      <c r="O2955">
        <v>-0.99153820000000004</v>
      </c>
      <c r="P2955">
        <v>0.1448226</v>
      </c>
      <c r="Q2955">
        <v>2.6376090000000001E-2</v>
      </c>
      <c r="R2955">
        <v>-0.98910629999999999</v>
      </c>
      <c r="S2955">
        <v>1.6336059999999999</v>
      </c>
      <c r="T2955">
        <v>-0.384654</v>
      </c>
      <c r="U2955">
        <v>-2.8097840000000001</v>
      </c>
      <c r="V2955">
        <v>-1.620359E-2</v>
      </c>
      <c r="W2955">
        <v>3.965846E-2</v>
      </c>
      <c r="X2955">
        <v>0.99908189999999997</v>
      </c>
      <c r="Y2955">
        <v>-0.38317479999999998</v>
      </c>
      <c r="Z2955">
        <v>0.11958779999999999</v>
      </c>
      <c r="AA2955">
        <v>0.91590170000000004</v>
      </c>
      <c r="AB2955">
        <v>24</v>
      </c>
      <c r="AC2955">
        <v>4.6982999999999597</v>
      </c>
      <c r="AD2955">
        <v>-1.113481492449</v>
      </c>
      <c r="AE2955">
        <v>-7.9325000000000001</v>
      </c>
      <c r="AF2955">
        <v>-3.5823629289947001</v>
      </c>
      <c r="AG2955">
        <v>-1.113481492449</v>
      </c>
      <c r="AH2955">
        <v>8.3509755031783808</v>
      </c>
      <c r="AI2955">
        <v>96.986010958433596</v>
      </c>
      <c r="AJ2955">
        <v>113.218141171486</v>
      </c>
      <c r="AK2955">
        <v>9.1548870579460093</v>
      </c>
      <c r="AL2955">
        <v>87.7271415565056</v>
      </c>
      <c r="AM2955">
        <v>90.9291690012667</v>
      </c>
      <c r="AN2955">
        <v>0.99999999634303405</v>
      </c>
    </row>
    <row r="2956" spans="1:40" x14ac:dyDescent="0.25">
      <c r="A2956" t="str">
        <f>"20190312154852461"</f>
        <v>20190312154852461</v>
      </c>
      <c r="B2956" t="str">
        <f>"1552376932458690"</f>
        <v>1552376932458690</v>
      </c>
      <c r="C2956" t="s">
        <v>40</v>
      </c>
      <c r="D2956">
        <v>4.604393</v>
      </c>
      <c r="E2956">
        <v>0.34958470000000003</v>
      </c>
      <c r="F2956" t="s">
        <v>49</v>
      </c>
      <c r="G2956">
        <v>-486.20589999999999</v>
      </c>
      <c r="H2956" s="1">
        <v>5.4570969999999999E-6</v>
      </c>
      <c r="I2956">
        <v>229.04349999999999</v>
      </c>
      <c r="J2956">
        <v>-490.89780000000002</v>
      </c>
      <c r="K2956">
        <v>1.1135949999999999</v>
      </c>
      <c r="L2956">
        <v>236.8783</v>
      </c>
      <c r="M2956">
        <v>0.13443740000000001</v>
      </c>
      <c r="N2956">
        <v>0</v>
      </c>
      <c r="O2956">
        <v>-0.99083109999999996</v>
      </c>
      <c r="P2956">
        <v>0.15023739999999999</v>
      </c>
      <c r="Q2956">
        <v>2.642425E-2</v>
      </c>
      <c r="R2956">
        <v>-0.98829699999999998</v>
      </c>
      <c r="S2956">
        <v>1.6424259999999999</v>
      </c>
      <c r="T2956">
        <v>-0.38675860000000001</v>
      </c>
      <c r="U2956">
        <v>-2.8028719999999998</v>
      </c>
      <c r="V2956">
        <v>-1.6327899999999999E-2</v>
      </c>
      <c r="W2956">
        <v>3.9712780000000003E-2</v>
      </c>
      <c r="X2956">
        <v>0.99907769999999996</v>
      </c>
      <c r="Y2956">
        <v>-0.38131110000000001</v>
      </c>
      <c r="Z2956">
        <v>0.1203148</v>
      </c>
      <c r="AA2956">
        <v>0.91658399999999995</v>
      </c>
      <c r="AB2956">
        <v>24</v>
      </c>
      <c r="AC2956">
        <v>4.6919000000000297</v>
      </c>
      <c r="AD2956">
        <v>-1.1135895429030001</v>
      </c>
      <c r="AE2956">
        <v>-7.8348000000000004</v>
      </c>
      <c r="AF2956">
        <v>-3.54322869227639</v>
      </c>
      <c r="AG2956">
        <v>-1.1135895429030001</v>
      </c>
      <c r="AH2956">
        <v>8.2714947256230396</v>
      </c>
      <c r="AI2956">
        <v>97.054684627264905</v>
      </c>
      <c r="AJ2956">
        <v>113.18865525579901</v>
      </c>
      <c r="AK2956">
        <v>9.0670930419756495</v>
      </c>
      <c r="AL2956">
        <v>87.724026754050698</v>
      </c>
      <c r="AM2956">
        <v>90.936300030987297</v>
      </c>
      <c r="AN2956">
        <v>0.99999997792551298</v>
      </c>
    </row>
    <row r="2957" spans="1:40" x14ac:dyDescent="0.25">
      <c r="A2957" t="str">
        <f>"20190312154852475"</f>
        <v>20190312154852475</v>
      </c>
      <c r="B2957" t="str">
        <f>"1552376932468452"</f>
        <v>1552376932468452</v>
      </c>
      <c r="C2957" t="s">
        <v>40</v>
      </c>
      <c r="D2957">
        <v>4.5935819999999996</v>
      </c>
      <c r="E2957">
        <v>0.3498599</v>
      </c>
      <c r="F2957" t="s">
        <v>49</v>
      </c>
      <c r="G2957">
        <v>-486.12970000000001</v>
      </c>
      <c r="H2957" s="1">
        <v>5.3634659999999999E-6</v>
      </c>
      <c r="I2957">
        <v>228.8066</v>
      </c>
      <c r="J2957">
        <v>-490.87549999999999</v>
      </c>
      <c r="K2957">
        <v>1.1136619999999999</v>
      </c>
      <c r="L2957">
        <v>236.7405</v>
      </c>
      <c r="M2957">
        <v>0.13765829999999901</v>
      </c>
      <c r="N2957">
        <v>0</v>
      </c>
      <c r="O2957">
        <v>-0.99038859999999995</v>
      </c>
      <c r="P2957">
        <v>0.15342140000000001</v>
      </c>
      <c r="Q2957">
        <v>2.6601420000000001E-2</v>
      </c>
      <c r="R2957">
        <v>-0.98780290000000004</v>
      </c>
      <c r="S2957">
        <v>1.6509400000000001</v>
      </c>
      <c r="T2957">
        <v>-0.38558219999999999</v>
      </c>
      <c r="U2957">
        <v>-2.7948149999999998</v>
      </c>
      <c r="V2957">
        <v>-1.6307769999999999E-2</v>
      </c>
      <c r="W2957">
        <v>3.9894789999999999E-2</v>
      </c>
      <c r="X2957">
        <v>0.99907080000000004</v>
      </c>
      <c r="Y2957">
        <v>-0.38154890000000002</v>
      </c>
      <c r="Z2957">
        <v>0.1200756</v>
      </c>
      <c r="AA2957">
        <v>0.91651640000000001</v>
      </c>
      <c r="AB2957">
        <v>24</v>
      </c>
      <c r="AC2957">
        <v>4.7457999999999698</v>
      </c>
      <c r="AD2957">
        <v>-1.1136566365339999</v>
      </c>
      <c r="AE2957">
        <v>-7.9338999999999897</v>
      </c>
      <c r="AF2957">
        <v>-3.55673377146725</v>
      </c>
      <c r="AG2957">
        <v>-1.1136566365339999</v>
      </c>
      <c r="AH2957">
        <v>8.3899662616739406</v>
      </c>
      <c r="AI2957">
        <v>96.967502516334605</v>
      </c>
      <c r="AJ2957">
        <v>112.973402317176</v>
      </c>
      <c r="AK2957">
        <v>9.1805294017948107</v>
      </c>
      <c r="AL2957">
        <v>87.713590129763205</v>
      </c>
      <c r="AM2957">
        <v>90.935152367454606</v>
      </c>
      <c r="AN2957">
        <v>1.0000000005220699</v>
      </c>
    </row>
    <row r="2958" spans="1:40" x14ac:dyDescent="0.25">
      <c r="A2958" t="str">
        <f>"20190312154852493"</f>
        <v>20190312154852493</v>
      </c>
      <c r="B2958" t="str">
        <f>"1552376932488947"</f>
        <v>1552376932488947</v>
      </c>
      <c r="C2958" t="s">
        <v>40</v>
      </c>
      <c r="D2958">
        <v>4.6073979999999999</v>
      </c>
      <c r="E2958">
        <v>0.35010459999999999</v>
      </c>
      <c r="F2958" t="s">
        <v>49</v>
      </c>
      <c r="G2958">
        <v>-486.0675</v>
      </c>
      <c r="H2958" s="1">
        <v>5.2980260000000002E-6</v>
      </c>
      <c r="I2958">
        <v>228.6489</v>
      </c>
      <c r="J2958">
        <v>-490.84339999999997</v>
      </c>
      <c r="K2958">
        <v>1.1137600000000001</v>
      </c>
      <c r="L2958">
        <v>236.54679999999999</v>
      </c>
      <c r="M2958">
        <v>0.14229069999999999</v>
      </c>
      <c r="N2958">
        <v>0</v>
      </c>
      <c r="O2958">
        <v>-0.98973359999999999</v>
      </c>
      <c r="P2958">
        <v>0.15834029999999999</v>
      </c>
      <c r="Q2958">
        <v>2.7293040000000001E-2</v>
      </c>
      <c r="R2958">
        <v>-0.98700770000000004</v>
      </c>
      <c r="S2958">
        <v>1.657745</v>
      </c>
      <c r="T2958">
        <v>-0.38397740000000002</v>
      </c>
      <c r="U2958">
        <v>-2.7899020000000001</v>
      </c>
      <c r="V2958">
        <v>-1.662839E-2</v>
      </c>
      <c r="W2958">
        <v>4.059041E-2</v>
      </c>
      <c r="X2958">
        <v>0.99903750000000002</v>
      </c>
      <c r="Y2958">
        <v>-0.37961709999999999</v>
      </c>
      <c r="Z2958">
        <v>0.11962390000000001</v>
      </c>
      <c r="AA2958">
        <v>0.9173772</v>
      </c>
      <c r="AB2958">
        <v>24</v>
      </c>
      <c r="AC2958">
        <v>4.7758999999999698</v>
      </c>
      <c r="AD2958">
        <v>-1.1137547019739999</v>
      </c>
      <c r="AE2958">
        <v>-7.8978999999999902</v>
      </c>
      <c r="AF2958">
        <v>-3.55167836238962</v>
      </c>
      <c r="AG2958">
        <v>-1.1137547019739999</v>
      </c>
      <c r="AH2958">
        <v>8.3751944845560597</v>
      </c>
      <c r="AI2958">
        <v>96.979921023425604</v>
      </c>
      <c r="AJ2958">
        <v>112.980399845973</v>
      </c>
      <c r="AK2958">
        <v>9.1650832718625104</v>
      </c>
      <c r="AL2958">
        <v>87.673701738524102</v>
      </c>
      <c r="AM2958">
        <v>90.953566408486694</v>
      </c>
      <c r="AN2958">
        <v>1.0000000055720999</v>
      </c>
    </row>
    <row r="2959" spans="1:40" x14ac:dyDescent="0.25">
      <c r="A2959" t="str">
        <f>"20190312154852505"</f>
        <v>20190312154852505</v>
      </c>
      <c r="B2959" t="str">
        <f>"1552376932498707"</f>
        <v>1552376932498707</v>
      </c>
      <c r="C2959" t="s">
        <v>40</v>
      </c>
      <c r="D2959">
        <v>4.6286139999999998</v>
      </c>
      <c r="E2959">
        <v>0.35384139999999997</v>
      </c>
      <c r="F2959" t="s">
        <v>49</v>
      </c>
      <c r="G2959">
        <v>-485.97590000000002</v>
      </c>
      <c r="H2959" s="1">
        <v>5.20818499999999E-6</v>
      </c>
      <c r="I2959">
        <v>228.4375</v>
      </c>
      <c r="J2959">
        <v>-490.82190000000003</v>
      </c>
      <c r="K2959">
        <v>1.113826</v>
      </c>
      <c r="L2959">
        <v>236.42009999999999</v>
      </c>
      <c r="M2959">
        <v>0.14537890000000001</v>
      </c>
      <c r="N2959">
        <v>0</v>
      </c>
      <c r="O2959">
        <v>-0.98928470000000002</v>
      </c>
      <c r="P2959">
        <v>0.161472799999999</v>
      </c>
      <c r="Q2959">
        <v>2.7495390000000001E-2</v>
      </c>
      <c r="R2959">
        <v>-0.98649469999999995</v>
      </c>
      <c r="S2959">
        <v>1.6699219999999999</v>
      </c>
      <c r="T2959">
        <v>-0.3821061</v>
      </c>
      <c r="U2959">
        <v>-2.7821349999999998</v>
      </c>
      <c r="V2959">
        <v>-1.669066E-2</v>
      </c>
      <c r="W2959">
        <v>4.0796699999999998E-2</v>
      </c>
      <c r="X2959">
        <v>0.99902800000000003</v>
      </c>
      <c r="Y2959">
        <v>-0.38084750000000001</v>
      </c>
      <c r="Z2959">
        <v>0.1190953</v>
      </c>
      <c r="AA2959">
        <v>0.91693590000000003</v>
      </c>
      <c r="AB2959">
        <v>24</v>
      </c>
      <c r="AC2959">
        <v>4.8460000000000001</v>
      </c>
      <c r="AD2959">
        <v>-1.113820791815</v>
      </c>
      <c r="AE2959">
        <v>-7.9825999999999899</v>
      </c>
      <c r="AF2959">
        <v>-3.5829293435521801</v>
      </c>
      <c r="AG2959">
        <v>-1.113820791815</v>
      </c>
      <c r="AH2959">
        <v>8.48168629612932</v>
      </c>
      <c r="AI2959">
        <v>96.897558103873607</v>
      </c>
      <c r="AJ2959">
        <v>112.90071527899499</v>
      </c>
      <c r="AK2959">
        <v>9.2745340509976302</v>
      </c>
      <c r="AL2959">
        <v>87.661872256222907</v>
      </c>
      <c r="AM2959">
        <v>90.957145761154095</v>
      </c>
      <c r="AN2959">
        <v>0.99999994682306104</v>
      </c>
    </row>
    <row r="2960" spans="1:40" x14ac:dyDescent="0.25">
      <c r="A2960" t="str">
        <f>"20190312154852517"</f>
        <v>20190312154852517</v>
      </c>
      <c r="B2960" t="str">
        <f>"1552376932508467"</f>
        <v>1552376932508467</v>
      </c>
      <c r="C2960" t="s">
        <v>40</v>
      </c>
      <c r="D2960">
        <v>4.576168</v>
      </c>
      <c r="E2960">
        <v>0.35385680000000003</v>
      </c>
      <c r="F2960" t="s">
        <v>49</v>
      </c>
      <c r="G2960">
        <v>-485.79919999999998</v>
      </c>
      <c r="H2960" s="1">
        <v>5.009167E-6</v>
      </c>
      <c r="I2960">
        <v>227.9468</v>
      </c>
      <c r="J2960">
        <v>-490.80029999999999</v>
      </c>
      <c r="K2960">
        <v>1.1138859999999999</v>
      </c>
      <c r="L2960">
        <v>236.297</v>
      </c>
      <c r="M2960">
        <v>0.14846479999999901</v>
      </c>
      <c r="N2960">
        <v>0</v>
      </c>
      <c r="O2960">
        <v>-0.98882619999999999</v>
      </c>
      <c r="P2960">
        <v>0.16487639999999901</v>
      </c>
      <c r="Q2960">
        <v>2.7943590000000001E-2</v>
      </c>
      <c r="R2960">
        <v>-0.98591859999999998</v>
      </c>
      <c r="S2960">
        <v>1.648712</v>
      </c>
      <c r="T2960">
        <v>-0.36561680000000002</v>
      </c>
      <c r="U2960">
        <v>-2.7814030000000001</v>
      </c>
      <c r="V2960">
        <v>-1.7033799999999901E-2</v>
      </c>
      <c r="W2960">
        <v>4.1246940000000003E-2</v>
      </c>
      <c r="X2960">
        <v>0.9990038</v>
      </c>
      <c r="Y2960">
        <v>-0.37318410000000002</v>
      </c>
      <c r="Z2960">
        <v>0.114366</v>
      </c>
      <c r="AA2960">
        <v>0.92068130000000004</v>
      </c>
      <c r="AB2960">
        <v>24</v>
      </c>
      <c r="AC2960">
        <v>5.0011000000000001</v>
      </c>
      <c r="AD2960">
        <v>-1.1138809908329901</v>
      </c>
      <c r="AE2960">
        <v>-8.3501999999999992</v>
      </c>
      <c r="AF2960">
        <v>-3.6579366889749898</v>
      </c>
      <c r="AG2960">
        <v>-1.1138809908329901</v>
      </c>
      <c r="AH2960">
        <v>8.8838499121212298</v>
      </c>
      <c r="AI2960">
        <v>96.613299070638504</v>
      </c>
      <c r="AJ2960">
        <v>112.37947796193301</v>
      </c>
      <c r="AK2960">
        <v>9.6718158038387401</v>
      </c>
      <c r="AL2960">
        <v>87.636053858330698</v>
      </c>
      <c r="AM2960">
        <v>90.976843416449597</v>
      </c>
      <c r="AN2960">
        <v>1.0000000264081199</v>
      </c>
    </row>
    <row r="2961" spans="1:40" x14ac:dyDescent="0.25">
      <c r="A2961" t="str">
        <f>"20190312154852529"</f>
        <v>20190312154852529</v>
      </c>
      <c r="B2961" t="str">
        <f>"1552376932519202"</f>
        <v>1552376932519202</v>
      </c>
      <c r="C2961" t="s">
        <v>40</v>
      </c>
      <c r="D2961">
        <v>4.6308639999999999</v>
      </c>
      <c r="E2961">
        <v>0.35385680000000003</v>
      </c>
      <c r="F2961" t="s">
        <v>49</v>
      </c>
      <c r="G2961">
        <v>-485.79450000000003</v>
      </c>
      <c r="H2961" s="1">
        <v>4.9994360000000001E-6</v>
      </c>
      <c r="I2961">
        <v>227.9194</v>
      </c>
      <c r="J2961">
        <v>-490.77820000000003</v>
      </c>
      <c r="K2961">
        <v>1.113944</v>
      </c>
      <c r="L2961">
        <v>236.1722</v>
      </c>
      <c r="M2961">
        <v>0.15162539999999999</v>
      </c>
      <c r="N2961">
        <v>0</v>
      </c>
      <c r="O2961">
        <v>-0.98834619999999995</v>
      </c>
      <c r="P2961">
        <v>0.16815479999999899</v>
      </c>
      <c r="Q2961">
        <v>2.8073460000000001E-2</v>
      </c>
      <c r="R2961">
        <v>-0.98536069999999998</v>
      </c>
      <c r="S2961">
        <v>1.6586609999999999</v>
      </c>
      <c r="T2961">
        <v>-0.36908269999999999</v>
      </c>
      <c r="U2961">
        <v>-2.7758940000000001</v>
      </c>
      <c r="V2961">
        <v>-1.7170419999999999E-2</v>
      </c>
      <c r="W2961">
        <v>4.1381290000000001E-2</v>
      </c>
      <c r="X2961">
        <v>0.99899590000000005</v>
      </c>
      <c r="Y2961">
        <v>-0.3733938</v>
      </c>
      <c r="Z2961">
        <v>0.11544169999999999</v>
      </c>
      <c r="AA2961">
        <v>0.920462</v>
      </c>
      <c r="AB2961">
        <v>24</v>
      </c>
      <c r="AC2961">
        <v>4.98369999999999</v>
      </c>
      <c r="AD2961">
        <v>-1.113939000564</v>
      </c>
      <c r="AE2961">
        <v>-8.2528000000000006</v>
      </c>
      <c r="AF2961">
        <v>-3.6262092754674198</v>
      </c>
      <c r="AG2961">
        <v>-1.113939000564</v>
      </c>
      <c r="AH2961">
        <v>8.7956629777152404</v>
      </c>
      <c r="AI2961">
        <v>96.678138974394798</v>
      </c>
      <c r="AJ2961">
        <v>112.40500338863799</v>
      </c>
      <c r="AK2961">
        <v>9.5788277479039206</v>
      </c>
      <c r="AL2961">
        <v>87.628349580705702</v>
      </c>
      <c r="AM2961">
        <v>90.984684461185495</v>
      </c>
      <c r="AN2961">
        <v>1.0000000213509199</v>
      </c>
    </row>
    <row r="2962" spans="1:40" x14ac:dyDescent="0.25">
      <c r="A2962" t="str">
        <f>"20190312154852542"</f>
        <v>20190312154852542</v>
      </c>
      <c r="B2962" t="str">
        <f>"1552376932538725"</f>
        <v>1552376932538725</v>
      </c>
      <c r="C2962" t="s">
        <v>40</v>
      </c>
      <c r="D2962">
        <v>4.6221079999999999</v>
      </c>
      <c r="E2962">
        <v>0.3565256</v>
      </c>
      <c r="F2962" t="s">
        <v>49</v>
      </c>
      <c r="G2962">
        <v>-485.73140000000001</v>
      </c>
      <c r="H2962" s="1">
        <v>4.9427589999999999E-6</v>
      </c>
      <c r="I2962">
        <v>227.79069999999999</v>
      </c>
      <c r="J2962">
        <v>-490.755</v>
      </c>
      <c r="K2962">
        <v>1.1140049999999999</v>
      </c>
      <c r="L2962">
        <v>236.0445</v>
      </c>
      <c r="M2962">
        <v>0.154912299999999</v>
      </c>
      <c r="N2962">
        <v>0</v>
      </c>
      <c r="O2962">
        <v>-0.9878363</v>
      </c>
      <c r="P2962">
        <v>0.1716116</v>
      </c>
      <c r="Q2962">
        <v>2.7982079999999999E-2</v>
      </c>
      <c r="R2962">
        <v>-0.98476730000000001</v>
      </c>
      <c r="S2962">
        <v>1.668121</v>
      </c>
      <c r="T2962">
        <v>-0.3681951</v>
      </c>
      <c r="U2962">
        <v>-2.7703859999999998</v>
      </c>
      <c r="V2962">
        <v>-1.73577E-2</v>
      </c>
      <c r="W2962">
        <v>4.1293629999999998E-2</v>
      </c>
      <c r="X2962">
        <v>0.99899629999999995</v>
      </c>
      <c r="Y2962">
        <v>-0.37344319999999998</v>
      </c>
      <c r="Z2962">
        <v>0.11517810000000001</v>
      </c>
      <c r="AA2962">
        <v>0.92047500000000004</v>
      </c>
      <c r="AB2962">
        <v>24</v>
      </c>
      <c r="AC2962">
        <v>5.0235999999999796</v>
      </c>
      <c r="AD2962">
        <v>-1.11400005724099</v>
      </c>
      <c r="AE2962">
        <v>-8.2538000000000107</v>
      </c>
      <c r="AF2962">
        <v>-3.6358844786801598</v>
      </c>
      <c r="AG2962">
        <v>-1.11400005724099</v>
      </c>
      <c r="AH2962">
        <v>8.8152565303058896</v>
      </c>
      <c r="AI2962">
        <v>96.663369423801896</v>
      </c>
      <c r="AJ2962">
        <v>112.413876546057</v>
      </c>
      <c r="AK2962">
        <v>9.6004895586079808</v>
      </c>
      <c r="AL2962">
        <v>87.633376447082199</v>
      </c>
      <c r="AM2962">
        <v>90.995421994576503</v>
      </c>
      <c r="AN2962">
        <v>1.0000000305207699</v>
      </c>
    </row>
    <row r="2963" spans="1:40" x14ac:dyDescent="0.25">
      <c r="A2963" t="str">
        <f>"20190312154852560"</f>
        <v>20190312154852560</v>
      </c>
      <c r="B2963" t="str">
        <f>"1552376932548483"</f>
        <v>1552376932548483</v>
      </c>
      <c r="C2963" t="s">
        <v>40</v>
      </c>
      <c r="D2963">
        <v>4.6337590000000004</v>
      </c>
      <c r="E2963">
        <v>0.35604350000000001</v>
      </c>
      <c r="F2963" t="s">
        <v>49</v>
      </c>
      <c r="G2963">
        <v>-486.08589999999998</v>
      </c>
      <c r="H2963" s="1">
        <v>5.1783720000000003E-6</v>
      </c>
      <c r="I2963">
        <v>228.24680000000001</v>
      </c>
      <c r="J2963">
        <v>-490.7208</v>
      </c>
      <c r="K2963">
        <v>1.114088</v>
      </c>
      <c r="L2963">
        <v>235.86160000000001</v>
      </c>
      <c r="M2963">
        <v>0.15972990000000001</v>
      </c>
      <c r="N2963">
        <v>0</v>
      </c>
      <c r="O2963">
        <v>-0.98706870000000002</v>
      </c>
      <c r="P2963">
        <v>0.17676919999999999</v>
      </c>
      <c r="Q2963">
        <v>2.833606E-2</v>
      </c>
      <c r="R2963">
        <v>-0.98384450000000001</v>
      </c>
      <c r="S2963">
        <v>1.65786699999999</v>
      </c>
      <c r="T2963">
        <v>-0.39554790000000001</v>
      </c>
      <c r="U2963">
        <v>-2.7687379999999999</v>
      </c>
      <c r="V2963">
        <v>-1.773185E-2</v>
      </c>
      <c r="W2963">
        <v>4.1650939999999997E-2</v>
      </c>
      <c r="X2963">
        <v>0.9989749</v>
      </c>
      <c r="Y2963">
        <v>-0.36611290000000002</v>
      </c>
      <c r="Z2963">
        <v>0.1238105</v>
      </c>
      <c r="AA2963">
        <v>0.92229729999999999</v>
      </c>
      <c r="AB2963">
        <v>24</v>
      </c>
      <c r="AC2963">
        <v>4.6349000000000098</v>
      </c>
      <c r="AD2963">
        <v>-1.1140828216280001</v>
      </c>
      <c r="AE2963">
        <v>-7.6147999999999998</v>
      </c>
      <c r="AF2963">
        <v>-3.30730287012529</v>
      </c>
      <c r="AG2963">
        <v>-1.1140828216280001</v>
      </c>
      <c r="AH2963">
        <v>8.1304263582775302</v>
      </c>
      <c r="AI2963">
        <v>97.233691720591395</v>
      </c>
      <c r="AJ2963">
        <v>112.135557133639</v>
      </c>
      <c r="AK2963">
        <v>8.8477830881842703</v>
      </c>
      <c r="AL2963">
        <v>87.612886475022506</v>
      </c>
      <c r="AM2963">
        <v>91.016895910591003</v>
      </c>
      <c r="AN2963">
        <v>1.00000003506865</v>
      </c>
    </row>
    <row r="2964" spans="1:40" x14ac:dyDescent="0.25">
      <c r="A2964" t="str">
        <f>"20190312154852583"</f>
        <v>20190312154852583</v>
      </c>
      <c r="B2964" t="str">
        <f>"1552376932578739"</f>
        <v>1552376932578739</v>
      </c>
      <c r="C2964" t="s">
        <v>40</v>
      </c>
      <c r="D2964">
        <v>4.6123789999999998</v>
      </c>
      <c r="E2964">
        <v>0.35642629999999997</v>
      </c>
      <c r="F2964" t="s">
        <v>49</v>
      </c>
      <c r="G2964">
        <v>-485.6198</v>
      </c>
      <c r="H2964" s="1">
        <v>4.8120839999999996E-6</v>
      </c>
      <c r="I2964">
        <v>227.46469999999999</v>
      </c>
      <c r="J2964">
        <v>-490.67590000000001</v>
      </c>
      <c r="K2964">
        <v>1.1142019999999999</v>
      </c>
      <c r="L2964">
        <v>235.62889999999999</v>
      </c>
      <c r="M2964">
        <v>0.16601779999999999</v>
      </c>
      <c r="N2964">
        <v>0</v>
      </c>
      <c r="O2964">
        <v>-0.98603039999999997</v>
      </c>
      <c r="P2964">
        <v>0.1829345</v>
      </c>
      <c r="Q2964">
        <v>2.8110619999999999E-2</v>
      </c>
      <c r="R2964">
        <v>-0.98272340000000002</v>
      </c>
      <c r="S2964">
        <v>1.6758729999999999</v>
      </c>
      <c r="T2964">
        <v>-0.36601600000000001</v>
      </c>
      <c r="U2964">
        <v>-2.7586819999999999</v>
      </c>
      <c r="V2964">
        <v>-1.7636260000000001E-2</v>
      </c>
      <c r="W2964">
        <v>4.143703E-2</v>
      </c>
      <c r="X2964">
        <v>0.99898549999999997</v>
      </c>
      <c r="Y2964">
        <v>-0.36665039999999999</v>
      </c>
      <c r="Z2964">
        <v>0.1146852</v>
      </c>
      <c r="AA2964">
        <v>0.9232631</v>
      </c>
      <c r="AB2964">
        <v>24</v>
      </c>
      <c r="AC2964">
        <v>5.0561000000000096</v>
      </c>
      <c r="AD2964">
        <v>-1.114197187916</v>
      </c>
      <c r="AE2964">
        <v>-8.1641999999999904</v>
      </c>
      <c r="AF2964">
        <v>-3.5821734904025799</v>
      </c>
      <c r="AG2964">
        <v>-1.114197187916</v>
      </c>
      <c r="AH2964">
        <v>8.7722700875010098</v>
      </c>
      <c r="AI2964">
        <v>96.706467209387299</v>
      </c>
      <c r="AJ2964">
        <v>112.212744310993</v>
      </c>
      <c r="AK2964">
        <v>9.5407612262841894</v>
      </c>
      <c r="AL2964">
        <v>87.625153233719701</v>
      </c>
      <c r="AM2964">
        <v>91.011404374747102</v>
      </c>
      <c r="AN2964">
        <v>1.0000000471661199</v>
      </c>
    </row>
    <row r="2965" spans="1:40" x14ac:dyDescent="0.25">
      <c r="A2965" t="str">
        <f>"20190312154852598"</f>
        <v>20190312154852598</v>
      </c>
      <c r="B2965" t="str">
        <f>"1552376932588499"</f>
        <v>1552376932588499</v>
      </c>
      <c r="C2965" t="s">
        <v>40</v>
      </c>
      <c r="D2965">
        <v>4.6266980000000002</v>
      </c>
      <c r="E2965">
        <v>0.35672999999999999</v>
      </c>
      <c r="F2965" t="s">
        <v>49</v>
      </c>
      <c r="G2965">
        <v>-485.57420000000002</v>
      </c>
      <c r="H2965" s="1">
        <v>4.7606580000000001E-6</v>
      </c>
      <c r="I2965">
        <v>227.33789999999999</v>
      </c>
      <c r="J2965">
        <v>-490.64530000000002</v>
      </c>
      <c r="K2965">
        <v>1.114269</v>
      </c>
      <c r="L2965">
        <v>235.47569999999999</v>
      </c>
      <c r="M2965">
        <v>0.17026929999999901</v>
      </c>
      <c r="N2965">
        <v>0</v>
      </c>
      <c r="O2965">
        <v>-0.98530490000000004</v>
      </c>
      <c r="P2965">
        <v>0.18661559999999999</v>
      </c>
      <c r="Q2965">
        <v>2.8010460000000001E-2</v>
      </c>
      <c r="R2965">
        <v>-0.98203370000000001</v>
      </c>
      <c r="S2965">
        <v>1.691254</v>
      </c>
      <c r="T2965">
        <v>-0.36936259999999999</v>
      </c>
      <c r="U2965">
        <v>-2.7485050000000002</v>
      </c>
      <c r="V2965">
        <v>-1.7076129999999998E-2</v>
      </c>
      <c r="W2965">
        <v>4.1350320000000003E-2</v>
      </c>
      <c r="X2965">
        <v>0.99899879999999996</v>
      </c>
      <c r="Y2965">
        <v>-0.36784810000000001</v>
      </c>
      <c r="Z2965">
        <v>0.1157673</v>
      </c>
      <c r="AA2965">
        <v>0.92265149999999996</v>
      </c>
      <c r="AB2965">
        <v>23</v>
      </c>
      <c r="AC2965">
        <v>5.0711000000000004</v>
      </c>
      <c r="AD2965">
        <v>-1.1142642393419999</v>
      </c>
      <c r="AE2965">
        <v>-8.1377999999999897</v>
      </c>
      <c r="AF2965">
        <v>-3.5631737030331099</v>
      </c>
      <c r="AG2965">
        <v>-1.1142642393419999</v>
      </c>
      <c r="AH2965">
        <v>8.7641244420628297</v>
      </c>
      <c r="AI2965">
        <v>96.717201998677297</v>
      </c>
      <c r="AJ2965">
        <v>112.12486770217301</v>
      </c>
      <c r="AK2965">
        <v>9.52615708819806</v>
      </c>
      <c r="AL2965">
        <v>87.630125554481793</v>
      </c>
      <c r="AM2965">
        <v>90.979275358257695</v>
      </c>
      <c r="AN2965">
        <v>1.00000002279065</v>
      </c>
    </row>
    <row r="2966" spans="1:40" x14ac:dyDescent="0.25">
      <c r="A2966" t="str">
        <f>"20190312154852616"</f>
        <v>20190312154852616</v>
      </c>
      <c r="B2966" t="str">
        <f>"1552376932608995"</f>
        <v>1552376932608995</v>
      </c>
      <c r="C2966" t="s">
        <v>40</v>
      </c>
      <c r="D2966">
        <v>4.6044419999999997</v>
      </c>
      <c r="E2966">
        <v>0.35718830000000001</v>
      </c>
      <c r="F2966" t="s">
        <v>49</v>
      </c>
      <c r="G2966">
        <v>-485.53859999999997</v>
      </c>
      <c r="H2966" s="1">
        <v>4.7190650000000004E-6</v>
      </c>
      <c r="I2966">
        <v>227.23419999999999</v>
      </c>
      <c r="J2966">
        <v>-490.60739999999998</v>
      </c>
      <c r="K2966">
        <v>1.1143510000000001</v>
      </c>
      <c r="L2966">
        <v>235.29069999999999</v>
      </c>
      <c r="M2966">
        <v>0.17548939999999999</v>
      </c>
      <c r="N2966">
        <v>0</v>
      </c>
      <c r="O2966">
        <v>-0.98438840000000005</v>
      </c>
      <c r="P2966">
        <v>0.19104479999999999</v>
      </c>
      <c r="Q2966">
        <v>2.7553379999999999E-2</v>
      </c>
      <c r="R2966">
        <v>-0.98119449999999997</v>
      </c>
      <c r="S2966">
        <v>1.699341</v>
      </c>
      <c r="T2966">
        <v>-0.37079329999999999</v>
      </c>
      <c r="U2966">
        <v>-2.7425229999999998</v>
      </c>
      <c r="V2966">
        <v>-1.628947E-2</v>
      </c>
      <c r="W2966">
        <v>4.091057E-2</v>
      </c>
      <c r="X2966">
        <v>0.99902999999999997</v>
      </c>
      <c r="Y2966">
        <v>-0.36576110000000001</v>
      </c>
      <c r="Z2966">
        <v>0.11622680000000001</v>
      </c>
      <c r="AA2966">
        <v>0.92342310000000005</v>
      </c>
      <c r="AB2966">
        <v>23</v>
      </c>
      <c r="AC2966">
        <v>5.0688000000000004</v>
      </c>
      <c r="AD2966">
        <v>-1.114346280935</v>
      </c>
      <c r="AE2966">
        <v>-8.0564999999999998</v>
      </c>
      <c r="AF2966">
        <v>-3.52781232025777</v>
      </c>
      <c r="AG2966">
        <v>-1.114346280935</v>
      </c>
      <c r="AH2966">
        <v>8.7017855925296903</v>
      </c>
      <c r="AI2966">
        <v>96.7680621913441</v>
      </c>
      <c r="AJ2966">
        <v>112.06824680067599</v>
      </c>
      <c r="AK2966">
        <v>9.4555962212413398</v>
      </c>
      <c r="AL2966">
        <v>87.655342614796297</v>
      </c>
      <c r="AM2966">
        <v>90.934141300394202</v>
      </c>
      <c r="AN2966">
        <v>0.99999998123530198</v>
      </c>
    </row>
    <row r="2967" spans="1:40" x14ac:dyDescent="0.25">
      <c r="A2967" t="str">
        <f>"20190312154852629"</f>
        <v>20190312154852629</v>
      </c>
      <c r="B2967" t="str">
        <f>"1552376932618757"</f>
        <v>1552376932618757</v>
      </c>
      <c r="C2967" t="s">
        <v>40</v>
      </c>
      <c r="D2967">
        <v>4.5953900000000001</v>
      </c>
      <c r="E2967">
        <v>0.3573962</v>
      </c>
      <c r="F2967" t="s">
        <v>49</v>
      </c>
      <c r="G2967">
        <v>-485.44979999999998</v>
      </c>
      <c r="H2967" s="1">
        <v>4.6322840000000001E-6</v>
      </c>
      <c r="I2967">
        <v>227.03039999999999</v>
      </c>
      <c r="J2967">
        <v>-490.58049999999997</v>
      </c>
      <c r="K2967">
        <v>1.1144019999999999</v>
      </c>
      <c r="L2967">
        <v>235.16249999999999</v>
      </c>
      <c r="M2967">
        <v>0.17915739999999999</v>
      </c>
      <c r="N2967">
        <v>0</v>
      </c>
      <c r="O2967">
        <v>-0.98372729999999997</v>
      </c>
      <c r="P2967">
        <v>0.1940327</v>
      </c>
      <c r="Q2967">
        <v>2.718889E-2</v>
      </c>
      <c r="R2967">
        <v>-0.98061830000000005</v>
      </c>
      <c r="S2967">
        <v>1.707886</v>
      </c>
      <c r="T2967">
        <v>-0.36900159999999999</v>
      </c>
      <c r="U2967">
        <v>-2.735306</v>
      </c>
      <c r="V2967">
        <v>-1.5608E-2</v>
      </c>
      <c r="W2967">
        <v>4.0559909999999998E-2</v>
      </c>
      <c r="X2967">
        <v>0.99905520000000003</v>
      </c>
      <c r="Y2967">
        <v>-0.36549510000000002</v>
      </c>
      <c r="Z2967">
        <v>0.1157311</v>
      </c>
      <c r="AA2967">
        <v>0.92359069999999999</v>
      </c>
      <c r="AB2967">
        <v>23</v>
      </c>
      <c r="AC2967">
        <v>5.1306999999999903</v>
      </c>
      <c r="AD2967">
        <v>-1.114397367716</v>
      </c>
      <c r="AE2967">
        <v>-8.1320999999999994</v>
      </c>
      <c r="AF2967">
        <v>-3.5430219301577899</v>
      </c>
      <c r="AG2967">
        <v>-1.114397367716</v>
      </c>
      <c r="AH2967">
        <v>8.8015639454921395</v>
      </c>
      <c r="AI2967">
        <v>96.698948702808494</v>
      </c>
      <c r="AJ2967">
        <v>111.926983703988</v>
      </c>
      <c r="AK2967">
        <v>9.5531363319769902</v>
      </c>
      <c r="AL2967">
        <v>87.675450697131595</v>
      </c>
      <c r="AM2967">
        <v>90.895045420983195</v>
      </c>
      <c r="AN2967">
        <v>1.00000000430512</v>
      </c>
    </row>
    <row r="2968" spans="1:40" x14ac:dyDescent="0.25">
      <c r="A2968" t="str">
        <f>"20190312154852644"</f>
        <v>20190312154852644</v>
      </c>
      <c r="B2968" t="str">
        <f>"1552376932639251"</f>
        <v>1552376932639251</v>
      </c>
      <c r="C2968" t="s">
        <v>40</v>
      </c>
      <c r="D2968">
        <v>4.5916790000000001</v>
      </c>
      <c r="E2968">
        <v>0.35784100000000002</v>
      </c>
      <c r="F2968" t="s">
        <v>49</v>
      </c>
      <c r="G2968">
        <v>-485.38619999999997</v>
      </c>
      <c r="H2968" s="1">
        <v>4.5735739999999901E-6</v>
      </c>
      <c r="I2968">
        <v>226.89279999999999</v>
      </c>
      <c r="J2968">
        <v>-490.54719999999998</v>
      </c>
      <c r="K2968">
        <v>1.114455</v>
      </c>
      <c r="L2968">
        <v>235.00739999999999</v>
      </c>
      <c r="M2968">
        <v>0.18365190000000001</v>
      </c>
      <c r="N2968">
        <v>0</v>
      </c>
      <c r="O2968">
        <v>-0.98289820000000006</v>
      </c>
      <c r="P2968">
        <v>0.19777310000000001</v>
      </c>
      <c r="Q2968">
        <v>2.7395849999999999E-2</v>
      </c>
      <c r="R2968">
        <v>-0.97986549999999994</v>
      </c>
      <c r="S2968">
        <v>1.71484399999999</v>
      </c>
      <c r="T2968">
        <v>-0.36790729999999999</v>
      </c>
      <c r="U2968">
        <v>-2.7301790000000001</v>
      </c>
      <c r="V2968">
        <v>-1.486232E-2</v>
      </c>
      <c r="W2968">
        <v>4.0781930000000001E-2</v>
      </c>
      <c r="X2968">
        <v>0.99905750000000004</v>
      </c>
      <c r="Y2968">
        <v>-0.36373339999999998</v>
      </c>
      <c r="Z2968">
        <v>0.1153981</v>
      </c>
      <c r="AA2968">
        <v>0.92432749999999997</v>
      </c>
      <c r="AB2968">
        <v>23</v>
      </c>
      <c r="AC2968">
        <v>5.1609999999999996</v>
      </c>
      <c r="AD2968">
        <v>-1.114450426426</v>
      </c>
      <c r="AE2968">
        <v>-8.1145999999999905</v>
      </c>
      <c r="AF2968">
        <v>-3.5353261244783201</v>
      </c>
      <c r="AG2968">
        <v>-1.114450426426</v>
      </c>
      <c r="AH2968">
        <v>8.8062069657983209</v>
      </c>
      <c r="AI2968">
        <v>96.698259140962804</v>
      </c>
      <c r="AJ2968">
        <v>111.873409915897</v>
      </c>
      <c r="AK2968">
        <v>9.5545701988030203</v>
      </c>
      <c r="AL2968">
        <v>87.662719277131004</v>
      </c>
      <c r="AM2968">
        <v>90.852288682756296</v>
      </c>
      <c r="AN2968">
        <v>0.999999971338278</v>
      </c>
    </row>
    <row r="2969" spans="1:40" x14ac:dyDescent="0.25">
      <c r="A2969" t="str">
        <f>"20190312154852664"</f>
        <v>20190312154852664</v>
      </c>
      <c r="B2969" t="str">
        <f>"1552376932658773"</f>
        <v>1552376932658773</v>
      </c>
      <c r="C2969" t="s">
        <v>40</v>
      </c>
      <c r="D2969">
        <v>4.6275719999999998</v>
      </c>
      <c r="E2969">
        <v>0.35828910000000003</v>
      </c>
      <c r="F2969" t="s">
        <v>49</v>
      </c>
      <c r="G2969">
        <v>-485.29250000000002</v>
      </c>
      <c r="H2969" s="1">
        <v>4.5083499999999998E-6</v>
      </c>
      <c r="I2969">
        <v>226.6918</v>
      </c>
      <c r="J2969">
        <v>-490.50400000000002</v>
      </c>
      <c r="K2969">
        <v>1.114498</v>
      </c>
      <c r="L2969">
        <v>234.81200000000001</v>
      </c>
      <c r="M2969">
        <v>0.18938859999999999</v>
      </c>
      <c r="N2969">
        <v>0</v>
      </c>
      <c r="O2969">
        <v>-0.98180869999999998</v>
      </c>
      <c r="P2969">
        <v>0.20259260000000001</v>
      </c>
      <c r="Q2969">
        <v>2.7509240000000001E-2</v>
      </c>
      <c r="R2969">
        <v>-0.97887690000000005</v>
      </c>
      <c r="S2969">
        <v>1.7215879999999999</v>
      </c>
      <c r="T2969">
        <v>-0.36512149999999999</v>
      </c>
      <c r="U2969">
        <v>-2.724396</v>
      </c>
      <c r="V2969">
        <v>-1.39509E-2</v>
      </c>
      <c r="W2969">
        <v>4.0914390000000002E-2</v>
      </c>
      <c r="X2969">
        <v>0.99906530000000004</v>
      </c>
      <c r="Y2969">
        <v>-0.36086990000000002</v>
      </c>
      <c r="Z2969">
        <v>0.1145467</v>
      </c>
      <c r="AA2969">
        <v>0.92555489999999996</v>
      </c>
      <c r="AB2969">
        <v>23</v>
      </c>
      <c r="AC2969">
        <v>5.2115</v>
      </c>
      <c r="AD2969">
        <v>-1.11449349165</v>
      </c>
      <c r="AE2969">
        <v>-8.1202000000000094</v>
      </c>
      <c r="AF2969">
        <v>-3.53202742449092</v>
      </c>
      <c r="AG2969">
        <v>-1.11449349165</v>
      </c>
      <c r="AH2969">
        <v>8.8423309672493904</v>
      </c>
      <c r="AI2969">
        <v>96.675991815171699</v>
      </c>
      <c r="AJ2969">
        <v>111.774005319252</v>
      </c>
      <c r="AK2969">
        <v>9.5866641958850192</v>
      </c>
      <c r="AL2969">
        <v>87.655123709451303</v>
      </c>
      <c r="AM2969">
        <v>90.800023524317496</v>
      </c>
      <c r="AN2969">
        <v>1.0000000442919801</v>
      </c>
    </row>
    <row r="2970" spans="1:40" x14ac:dyDescent="0.25">
      <c r="A2970" t="str">
        <f>"20190312154852685"</f>
        <v>20190312154852685</v>
      </c>
      <c r="B2970" t="str">
        <f>"1552376932679267"</f>
        <v>1552376932679267</v>
      </c>
      <c r="C2970" t="s">
        <v>40</v>
      </c>
      <c r="D2970">
        <v>4.6007600000000002</v>
      </c>
      <c r="E2970">
        <v>0.35876150000000001</v>
      </c>
      <c r="F2970" t="s">
        <v>49</v>
      </c>
      <c r="G2970">
        <v>-485.2217</v>
      </c>
      <c r="H2970" s="1">
        <v>4.4543759999999901E-6</v>
      </c>
      <c r="I2970">
        <v>226.51859999999999</v>
      </c>
      <c r="J2970">
        <v>-490.45620000000002</v>
      </c>
      <c r="K2970">
        <v>1.114525</v>
      </c>
      <c r="L2970">
        <v>234.60169999999999</v>
      </c>
      <c r="M2970">
        <v>0.1956203</v>
      </c>
      <c r="N2970">
        <v>0</v>
      </c>
      <c r="O2970">
        <v>-0.98058610000000002</v>
      </c>
      <c r="P2970">
        <v>0.20851259999999999</v>
      </c>
      <c r="Q2970">
        <v>2.6407420000000001E-2</v>
      </c>
      <c r="R2970">
        <v>-0.97766330000000001</v>
      </c>
      <c r="S2970">
        <v>1.73046899999999</v>
      </c>
      <c r="T2970">
        <v>-0.36510290000000001</v>
      </c>
      <c r="U2970">
        <v>-2.7168580000000002</v>
      </c>
      <c r="V2970">
        <v>-1.363756E-2</v>
      </c>
      <c r="W2970">
        <v>3.9825220000000001E-2</v>
      </c>
      <c r="X2970">
        <v>0.99911360000000005</v>
      </c>
      <c r="Y2970">
        <v>-0.35826390000000002</v>
      </c>
      <c r="Z2970">
        <v>0.1145602</v>
      </c>
      <c r="AA2970">
        <v>0.92656519999999998</v>
      </c>
      <c r="AB2970">
        <v>23</v>
      </c>
      <c r="AC2970">
        <v>5.2345000000000201</v>
      </c>
      <c r="AD2970">
        <v>-1.1145205456239999</v>
      </c>
      <c r="AE2970">
        <v>-8.0831</v>
      </c>
      <c r="AF2970">
        <v>-3.5050374655397301</v>
      </c>
      <c r="AG2970">
        <v>-1.1145205456239999</v>
      </c>
      <c r="AH2970">
        <v>8.8326628742622706</v>
      </c>
      <c r="AI2970">
        <v>96.689356317616003</v>
      </c>
      <c r="AJ2970">
        <v>111.64450528088901</v>
      </c>
      <c r="AK2970">
        <v>9.5678303252005001</v>
      </c>
      <c r="AL2970">
        <v>87.717579385592401</v>
      </c>
      <c r="AM2970">
        <v>90.782019291379598</v>
      </c>
      <c r="AN2970">
        <v>1.00000000844788</v>
      </c>
    </row>
    <row r="2971" spans="1:40" x14ac:dyDescent="0.25">
      <c r="A2971" t="str">
        <f>"20190312154852706"</f>
        <v>20190312154852706</v>
      </c>
      <c r="B2971" t="str">
        <f>"1552376932698788"</f>
        <v>1552376932698788</v>
      </c>
      <c r="C2971" t="s">
        <v>40</v>
      </c>
      <c r="D2971">
        <v>4.6300230000000004</v>
      </c>
      <c r="E2971">
        <v>0.35922859999999901</v>
      </c>
      <c r="F2971" t="s">
        <v>49</v>
      </c>
      <c r="G2971">
        <v>-485.2167</v>
      </c>
      <c r="H2971" s="1">
        <v>4.4408319999999999E-6</v>
      </c>
      <c r="I2971">
        <v>226.4624</v>
      </c>
      <c r="J2971">
        <v>-490.40449999999998</v>
      </c>
      <c r="K2971">
        <v>1.114522</v>
      </c>
      <c r="L2971">
        <v>234.3819</v>
      </c>
      <c r="M2971">
        <v>0.20217769999999999</v>
      </c>
      <c r="N2971">
        <v>0</v>
      </c>
      <c r="O2971">
        <v>-0.97925499999999999</v>
      </c>
      <c r="P2971">
        <v>0.21570320000000001</v>
      </c>
      <c r="Q2971">
        <v>2.4936730000000001E-2</v>
      </c>
      <c r="R2971">
        <v>-0.97614080000000003</v>
      </c>
      <c r="S2971">
        <v>1.7425539999999999</v>
      </c>
      <c r="T2971">
        <v>-0.3706641</v>
      </c>
      <c r="U2971">
        <v>-2.7069399999999999</v>
      </c>
      <c r="V2971">
        <v>-1.428392E-2</v>
      </c>
      <c r="W2971">
        <v>3.8355309999999997E-2</v>
      </c>
      <c r="X2971">
        <v>0.99916210000000005</v>
      </c>
      <c r="Y2971">
        <v>-0.356377</v>
      </c>
      <c r="Z2971">
        <v>0.116313</v>
      </c>
      <c r="AA2971">
        <v>0.92707430000000002</v>
      </c>
      <c r="AB2971">
        <v>23</v>
      </c>
      <c r="AC2971">
        <v>5.1877999999999798</v>
      </c>
      <c r="AD2971">
        <v>-1.1145175591680001</v>
      </c>
      <c r="AE2971">
        <v>-7.9194999999999904</v>
      </c>
      <c r="AF2971">
        <v>-3.43179355666329</v>
      </c>
      <c r="AG2971">
        <v>-1.1145175591680001</v>
      </c>
      <c r="AH2971">
        <v>8.6845234635557294</v>
      </c>
      <c r="AI2971">
        <v>96.806225368523997</v>
      </c>
      <c r="AJ2971">
        <v>111.562048046863</v>
      </c>
      <c r="AK2971">
        <v>9.4042705296210798</v>
      </c>
      <c r="AL2971">
        <v>87.801863501348706</v>
      </c>
      <c r="AM2971">
        <v>90.819038856952304</v>
      </c>
      <c r="AN2971">
        <v>1.0000000311260799</v>
      </c>
    </row>
    <row r="2972" spans="1:40" x14ac:dyDescent="0.25">
      <c r="A2972" t="str">
        <f>"20190312154852732"</f>
        <v>20190312154852732</v>
      </c>
      <c r="B2972" t="str">
        <f>"1552376932729043"</f>
        <v>1552376932729043</v>
      </c>
      <c r="C2972" t="s">
        <v>40</v>
      </c>
      <c r="D2972">
        <v>4.6392230000000003</v>
      </c>
      <c r="E2972">
        <v>0.36354920000000002</v>
      </c>
      <c r="F2972" t="s">
        <v>49</v>
      </c>
      <c r="G2972">
        <v>-485.20389999999998</v>
      </c>
      <c r="H2972" s="1">
        <v>4.4262379999999999E-6</v>
      </c>
      <c r="I2972">
        <v>226.4091</v>
      </c>
      <c r="J2972">
        <v>-490.34089999999998</v>
      </c>
      <c r="K2972">
        <v>1.1145020000000001</v>
      </c>
      <c r="L2972">
        <v>234.12010000000001</v>
      </c>
      <c r="M2972">
        <v>0.2100051</v>
      </c>
      <c r="N2972">
        <v>0</v>
      </c>
      <c r="O2972">
        <v>-0.97760590000000003</v>
      </c>
      <c r="P2972">
        <v>0.22487660000000001</v>
      </c>
      <c r="Q2972">
        <v>2.406206E-2</v>
      </c>
      <c r="R2972">
        <v>-0.97409020000000002</v>
      </c>
      <c r="S2972">
        <v>1.7576290000000001</v>
      </c>
      <c r="T2972">
        <v>-0.37667129999999999</v>
      </c>
      <c r="U2972">
        <v>-2.694534</v>
      </c>
      <c r="V2972">
        <v>-1.5675629999999999E-2</v>
      </c>
      <c r="W2972">
        <v>3.7473310000000003E-2</v>
      </c>
      <c r="X2972">
        <v>0.99917469999999997</v>
      </c>
      <c r="Y2972">
        <v>-0.35437269999999998</v>
      </c>
      <c r="Z2972">
        <v>0.1182049</v>
      </c>
      <c r="AA2972">
        <v>0.92760310000000001</v>
      </c>
      <c r="AB2972">
        <v>23</v>
      </c>
      <c r="AC2972">
        <v>5.1369999999999996</v>
      </c>
      <c r="AD2972">
        <v>-1.114497573762</v>
      </c>
      <c r="AE2972">
        <v>-7.7110000000000101</v>
      </c>
      <c r="AF2972">
        <v>-3.3543928435936201</v>
      </c>
      <c r="AG2972">
        <v>-1.114497573762</v>
      </c>
      <c r="AH2972">
        <v>8.4949998193987799</v>
      </c>
      <c r="AI2972">
        <v>96.957171922542699</v>
      </c>
      <c r="AJ2972">
        <v>111.547414646004</v>
      </c>
      <c r="AK2972">
        <v>9.2010367960713495</v>
      </c>
      <c r="AL2972">
        <v>87.8524347326738</v>
      </c>
      <c r="AM2972">
        <v>90.898815556116503</v>
      </c>
      <c r="AN2972">
        <v>1.0000000277291701</v>
      </c>
    </row>
    <row r="2973" spans="1:40" x14ac:dyDescent="0.25">
      <c r="A2973" t="str">
        <f>"20190312154852751"</f>
        <v>20190312154852751</v>
      </c>
      <c r="B2973" t="str">
        <f>"1552376932748564"</f>
        <v>1552376932748564</v>
      </c>
      <c r="C2973" t="s">
        <v>40</v>
      </c>
      <c r="D2973">
        <v>4.6761470000000003</v>
      </c>
      <c r="E2973">
        <v>0.36457270000000003</v>
      </c>
      <c r="F2973" t="s">
        <v>49</v>
      </c>
      <c r="G2973">
        <v>-485.3494</v>
      </c>
      <c r="H2973" s="1">
        <v>4.4687220000000003E-6</v>
      </c>
      <c r="I2973">
        <v>226.4555</v>
      </c>
      <c r="J2973">
        <v>-490.29559999999998</v>
      </c>
      <c r="K2973">
        <v>1.1144889999999901</v>
      </c>
      <c r="L2973">
        <v>233.93860000000001</v>
      </c>
      <c r="M2973">
        <v>0.21542610000000001</v>
      </c>
      <c r="N2973">
        <v>0</v>
      </c>
      <c r="O2973">
        <v>-0.9764256</v>
      </c>
      <c r="P2973">
        <v>0.2322072</v>
      </c>
      <c r="Q2973">
        <v>2.35444E-2</v>
      </c>
      <c r="R2973">
        <v>-0.97238119999999995</v>
      </c>
      <c r="S2973">
        <v>1.749023</v>
      </c>
      <c r="T2973">
        <v>-0.39051590000000003</v>
      </c>
      <c r="U2973">
        <v>-2.6856689999999999</v>
      </c>
      <c r="V2973">
        <v>-1.7648420000000001E-2</v>
      </c>
      <c r="W2973">
        <v>3.693867E-2</v>
      </c>
      <c r="X2973">
        <v>0.99916170000000004</v>
      </c>
      <c r="Y2973">
        <v>-0.34818549999999998</v>
      </c>
      <c r="Z2973">
        <v>0.1228368</v>
      </c>
      <c r="AA2973">
        <v>0.92934280000000002</v>
      </c>
      <c r="AB2973">
        <v>23</v>
      </c>
      <c r="AC2973">
        <v>4.94619999999997</v>
      </c>
      <c r="AD2973">
        <v>-1.1144845312779901</v>
      </c>
      <c r="AE2973">
        <v>-7.4831000000000003</v>
      </c>
      <c r="AF2973">
        <v>-3.16892016328462</v>
      </c>
      <c r="AG2973">
        <v>-1.1144845312779901</v>
      </c>
      <c r="AH2973">
        <v>8.2457160550340696</v>
      </c>
      <c r="AI2973">
        <v>97.190623548356101</v>
      </c>
      <c r="AJ2973">
        <v>111.022321664305</v>
      </c>
      <c r="AK2973">
        <v>8.9037050732813796</v>
      </c>
      <c r="AL2973">
        <v>87.883088550073893</v>
      </c>
      <c r="AM2973">
        <v>91.011923136710905</v>
      </c>
      <c r="AN2973">
        <v>1.0000000174083701</v>
      </c>
    </row>
    <row r="2974" spans="1:40" x14ac:dyDescent="0.25">
      <c r="A2974" t="str">
        <f>"20190312154852763"</f>
        <v>20190312154852763</v>
      </c>
      <c r="B2974" t="str">
        <f>"1552376932758323"</f>
        <v>1552376932758323</v>
      </c>
      <c r="C2974" t="s">
        <v>40</v>
      </c>
      <c r="D2974">
        <v>4.5865119999999999</v>
      </c>
      <c r="E2974">
        <v>0.36450359999999998</v>
      </c>
      <c r="F2974" t="s">
        <v>49</v>
      </c>
      <c r="G2974">
        <v>-485.13819999999998</v>
      </c>
      <c r="H2974" s="1">
        <v>4.3441069999999996E-6</v>
      </c>
      <c r="I2974">
        <v>226.1036</v>
      </c>
      <c r="J2974">
        <v>-490.2627</v>
      </c>
      <c r="K2974">
        <v>1.114474</v>
      </c>
      <c r="L2974">
        <v>233.8091</v>
      </c>
      <c r="M2974">
        <v>0.2192885</v>
      </c>
      <c r="N2974">
        <v>0</v>
      </c>
      <c r="O2974">
        <v>-0.97556549999999997</v>
      </c>
      <c r="P2974">
        <v>0.23732030000000001</v>
      </c>
      <c r="Q2974">
        <v>2.3241990000000001E-2</v>
      </c>
      <c r="R2974">
        <v>-0.9711535</v>
      </c>
      <c r="S2974">
        <v>1.7601929999999999</v>
      </c>
      <c r="T2974">
        <v>-0.38036920000000002</v>
      </c>
      <c r="U2974">
        <v>-2.6740569999999999</v>
      </c>
      <c r="V2974">
        <v>-1.8945969999999999E-2</v>
      </c>
      <c r="W2974">
        <v>3.6625119999999997E-2</v>
      </c>
      <c r="X2974">
        <v>0.99914939999999997</v>
      </c>
      <c r="Y2974">
        <v>-0.34924129999999998</v>
      </c>
      <c r="Z2974">
        <v>0.1198172</v>
      </c>
      <c r="AA2974">
        <v>0.92934079999999997</v>
      </c>
      <c r="AB2974">
        <v>23</v>
      </c>
      <c r="AC2974">
        <v>5.12450000000001</v>
      </c>
      <c r="AD2974">
        <v>-1.1144696558930001</v>
      </c>
      <c r="AE2974">
        <v>-7.7054999999999998</v>
      </c>
      <c r="AF2974">
        <v>-3.2625437081722901</v>
      </c>
      <c r="AG2974">
        <v>-1.1144696558930001</v>
      </c>
      <c r="AH2974">
        <v>8.5182140511658506</v>
      </c>
      <c r="AI2974">
        <v>96.965803329263096</v>
      </c>
      <c r="AJ2974">
        <v>110.957237121028</v>
      </c>
      <c r="AK2974">
        <v>9.1894616100792401</v>
      </c>
      <c r="AL2974">
        <v>87.901065636205104</v>
      </c>
      <c r="AM2974">
        <v>91.086318065869193</v>
      </c>
      <c r="AN2974">
        <v>0.999999936357305</v>
      </c>
    </row>
    <row r="2975" spans="1:40" x14ac:dyDescent="0.25">
      <c r="A2975" t="str">
        <f>"20190312154852776"</f>
        <v>20190312154852776</v>
      </c>
      <c r="B2975" t="str">
        <f>"1552376932769060"</f>
        <v>1552376932769060</v>
      </c>
      <c r="C2975" t="s">
        <v>40</v>
      </c>
      <c r="D2975">
        <v>4.5711190000000004</v>
      </c>
      <c r="E2975">
        <v>0.3648267</v>
      </c>
      <c r="F2975" t="s">
        <v>49</v>
      </c>
      <c r="G2975">
        <v>-485.03280000000001</v>
      </c>
      <c r="H2975" s="1">
        <v>4.2885989999999997E-6</v>
      </c>
      <c r="I2975">
        <v>225.95820000000001</v>
      </c>
      <c r="J2975">
        <v>-490.23070000000001</v>
      </c>
      <c r="K2975">
        <v>1.1144579999999999</v>
      </c>
      <c r="L2975">
        <v>233.68610000000001</v>
      </c>
      <c r="M2975">
        <v>0.2229479</v>
      </c>
      <c r="N2975">
        <v>0</v>
      </c>
      <c r="O2975">
        <v>-0.97473569999999998</v>
      </c>
      <c r="P2975">
        <v>0.24187439999999999</v>
      </c>
      <c r="Q2975">
        <v>2.3305929999999999E-2</v>
      </c>
      <c r="R2975">
        <v>-0.97002790000000005</v>
      </c>
      <c r="S2975">
        <v>1.774902</v>
      </c>
      <c r="T2975">
        <v>-0.37823010000000001</v>
      </c>
      <c r="U2975">
        <v>-2.664444</v>
      </c>
      <c r="V2975">
        <v>-1.9884490000000001E-2</v>
      </c>
      <c r="W2975">
        <v>3.6681360000000003E-2</v>
      </c>
      <c r="X2975">
        <v>0.99912920000000005</v>
      </c>
      <c r="Y2975">
        <v>-0.35087390000000002</v>
      </c>
      <c r="Z2975">
        <v>0.1191531</v>
      </c>
      <c r="AA2975">
        <v>0.9288111</v>
      </c>
      <c r="AB2975">
        <v>23</v>
      </c>
      <c r="AC2975">
        <v>5.1978999999999997</v>
      </c>
      <c r="AD2975">
        <v>-1.114453711401</v>
      </c>
      <c r="AE2975">
        <v>-7.7279</v>
      </c>
      <c r="AF2975">
        <v>-3.2967619744142098</v>
      </c>
      <c r="AG2975">
        <v>-1.114453711401</v>
      </c>
      <c r="AH2975">
        <v>8.5696149994797697</v>
      </c>
      <c r="AI2975">
        <v>96.920441860108397</v>
      </c>
      <c r="AJ2975">
        <v>111.041915288167</v>
      </c>
      <c r="AK2975">
        <v>9.2492674212668096</v>
      </c>
      <c r="AL2975">
        <v>87.897841365688507</v>
      </c>
      <c r="AM2975">
        <v>91.140139805683503</v>
      </c>
      <c r="AN2975">
        <v>1.0000000367033199</v>
      </c>
    </row>
    <row r="2976" spans="1:40" x14ac:dyDescent="0.25">
      <c r="A2976" t="str">
        <f>"20190312154852796"</f>
        <v>20190312154852796</v>
      </c>
      <c r="B2976" t="str">
        <f>"1552376932788579"</f>
        <v>1552376932788579</v>
      </c>
      <c r="C2976" t="s">
        <v>40</v>
      </c>
      <c r="D2976">
        <v>4.5823600000000004</v>
      </c>
      <c r="E2976">
        <v>0.365263</v>
      </c>
      <c r="F2976" t="s">
        <v>49</v>
      </c>
      <c r="G2976">
        <v>-484.97739999999999</v>
      </c>
      <c r="H2976" s="1">
        <v>4.2555379999999999E-6</v>
      </c>
      <c r="I2976">
        <v>225.86429999999999</v>
      </c>
      <c r="J2976">
        <v>-490.1789</v>
      </c>
      <c r="K2976">
        <v>1.1144419999999999</v>
      </c>
      <c r="L2976">
        <v>233.49019999999999</v>
      </c>
      <c r="M2976">
        <v>0.22875400000000001</v>
      </c>
      <c r="N2976">
        <v>0</v>
      </c>
      <c r="O2976">
        <v>-0.97338959999999997</v>
      </c>
      <c r="P2976">
        <v>0.2493775</v>
      </c>
      <c r="Q2976">
        <v>2.3785870000000001E-2</v>
      </c>
      <c r="R2976">
        <v>-0.96811460000000005</v>
      </c>
      <c r="S2976">
        <v>1.7843929999999999</v>
      </c>
      <c r="T2976">
        <v>-0.37855080000000002</v>
      </c>
      <c r="U2976">
        <v>-2.6568450000000001</v>
      </c>
      <c r="V2976">
        <v>-2.167067E-2</v>
      </c>
      <c r="W2976">
        <v>3.7144049999999998E-2</v>
      </c>
      <c r="X2976">
        <v>0.99907489999999999</v>
      </c>
      <c r="Y2976">
        <v>-0.34880559999999899</v>
      </c>
      <c r="Z2976">
        <v>0.11922729999999999</v>
      </c>
      <c r="AA2976">
        <v>0.92958030000000003</v>
      </c>
      <c r="AB2976">
        <v>23</v>
      </c>
      <c r="AC2976">
        <v>5.2015000000000002</v>
      </c>
      <c r="AD2976">
        <v>-1.1144377444619999</v>
      </c>
      <c r="AE2976">
        <v>-7.6258999999999997</v>
      </c>
      <c r="AF2976">
        <v>-3.2712567547127001</v>
      </c>
      <c r="AG2976">
        <v>-1.1144377444619999</v>
      </c>
      <c r="AH2976">
        <v>8.4898857255414093</v>
      </c>
      <c r="AI2976">
        <v>96.983283092808307</v>
      </c>
      <c r="AJ2976">
        <v>111.07228378612101</v>
      </c>
      <c r="AK2976">
        <v>9.1663107013829102</v>
      </c>
      <c r="AL2976">
        <v>87.871312976092199</v>
      </c>
      <c r="AM2976">
        <v>91.242592782492594</v>
      </c>
      <c r="AN2976">
        <v>0.99999997709932997</v>
      </c>
    </row>
    <row r="2977" spans="1:40" x14ac:dyDescent="0.25">
      <c r="A2977" t="str">
        <f>"20190312154852810"</f>
        <v>20190312154852810</v>
      </c>
      <c r="B2977" t="str">
        <f>"1552376932798339"</f>
        <v>1552376932798339</v>
      </c>
      <c r="C2977" t="s">
        <v>40</v>
      </c>
      <c r="D2977">
        <v>4.5839109999999996</v>
      </c>
      <c r="E2977">
        <v>0.36563820000000002</v>
      </c>
      <c r="F2977" t="s">
        <v>49</v>
      </c>
      <c r="G2977">
        <v>-484.8304</v>
      </c>
      <c r="H2977" s="1">
        <v>4.1733429999999996E-6</v>
      </c>
      <c r="I2977">
        <v>225.64</v>
      </c>
      <c r="J2977">
        <v>-490.1422</v>
      </c>
      <c r="K2977">
        <v>1.114428</v>
      </c>
      <c r="L2977">
        <v>233.35390000000001</v>
      </c>
      <c r="M2977">
        <v>0.23278099999999999</v>
      </c>
      <c r="N2977">
        <v>0</v>
      </c>
      <c r="O2977">
        <v>-0.97243420000000003</v>
      </c>
      <c r="P2977">
        <v>0.25386370000000003</v>
      </c>
      <c r="Q2977">
        <v>2.4300490000000001E-2</v>
      </c>
      <c r="R2977">
        <v>-0.96693470000000004</v>
      </c>
      <c r="S2977">
        <v>1.8014220000000001</v>
      </c>
      <c r="T2977">
        <v>-0.37534919999999999</v>
      </c>
      <c r="U2977">
        <v>-2.6439970000000002</v>
      </c>
      <c r="V2977">
        <v>-2.217475E-2</v>
      </c>
      <c r="W2977">
        <v>3.7655340000000002E-2</v>
      </c>
      <c r="X2977">
        <v>0.99904470000000001</v>
      </c>
      <c r="Y2977">
        <v>-0.35118270000000001</v>
      </c>
      <c r="Z2977">
        <v>0.1182821</v>
      </c>
      <c r="AA2977">
        <v>0.92880569999999896</v>
      </c>
      <c r="AB2977">
        <v>23</v>
      </c>
      <c r="AC2977">
        <v>5.3117999999999999</v>
      </c>
      <c r="AD2977">
        <v>-1.1144238266569999</v>
      </c>
      <c r="AE2977">
        <v>-7.7139000000000202</v>
      </c>
      <c r="AF2977">
        <v>-3.3229907080448902</v>
      </c>
      <c r="AG2977">
        <v>-1.1144238266569999</v>
      </c>
      <c r="AH2977">
        <v>8.6165594254770994</v>
      </c>
      <c r="AI2977">
        <v>96.880750644642404</v>
      </c>
      <c r="AJ2977">
        <v>111.089217467197</v>
      </c>
      <c r="AK2977">
        <v>9.3021128806283393</v>
      </c>
      <c r="AL2977">
        <v>87.841997709410805</v>
      </c>
      <c r="AM2977">
        <v>91.271525692023204</v>
      </c>
      <c r="AN2977">
        <v>0.99999997838308297</v>
      </c>
    </row>
    <row r="2978" spans="1:40" x14ac:dyDescent="0.25">
      <c r="A2978" t="str">
        <f>"20190312154852832"</f>
        <v>20190312154852832</v>
      </c>
      <c r="B2978" t="str">
        <f>"1552376932828595"</f>
        <v>1552376932828595</v>
      </c>
      <c r="C2978" t="s">
        <v>40</v>
      </c>
      <c r="D2978">
        <v>4.5531990000000002</v>
      </c>
      <c r="E2978">
        <v>0.3666162</v>
      </c>
      <c r="F2978" t="s">
        <v>49</v>
      </c>
      <c r="G2978">
        <v>-484.7328</v>
      </c>
      <c r="H2978" s="1">
        <v>4.1150910000000002E-6</v>
      </c>
      <c r="I2978">
        <v>225.4744</v>
      </c>
      <c r="J2978">
        <v>-490.08229999999998</v>
      </c>
      <c r="K2978">
        <v>1.1144050000000001</v>
      </c>
      <c r="L2978">
        <v>233.1362</v>
      </c>
      <c r="M2978">
        <v>0.2391887</v>
      </c>
      <c r="N2978">
        <v>0</v>
      </c>
      <c r="O2978">
        <v>-0.97087809999999997</v>
      </c>
      <c r="P2978">
        <v>0.26049430000000001</v>
      </c>
      <c r="Q2978">
        <v>2.586453E-2</v>
      </c>
      <c r="R2978">
        <v>-0.96512920000000002</v>
      </c>
      <c r="S2978">
        <v>1.810181</v>
      </c>
      <c r="T2978">
        <v>-0.3729209</v>
      </c>
      <c r="U2978">
        <v>-2.6367189999999998</v>
      </c>
      <c r="V2978">
        <v>-2.2466369999999999E-2</v>
      </c>
      <c r="W2978">
        <v>3.9217259999999997E-2</v>
      </c>
      <c r="X2978">
        <v>0.99897809999999998</v>
      </c>
      <c r="Y2978">
        <v>-0.3483578</v>
      </c>
      <c r="Z2978">
        <v>0.117478</v>
      </c>
      <c r="AA2978">
        <v>0.92997090000000004</v>
      </c>
      <c r="AB2978">
        <v>23</v>
      </c>
      <c r="AC2978">
        <v>5.3494999999999697</v>
      </c>
      <c r="AD2978">
        <v>-1.1144008849089999</v>
      </c>
      <c r="AE2978">
        <v>-7.6617999999999897</v>
      </c>
      <c r="AF2978">
        <v>-3.3142701911361701</v>
      </c>
      <c r="AG2978">
        <v>-1.1144008849089999</v>
      </c>
      <c r="AH2978">
        <v>8.5967531068072294</v>
      </c>
      <c r="AI2978">
        <v>96.8965989199002</v>
      </c>
      <c r="AJ2978">
        <v>111.08293850645001</v>
      </c>
      <c r="AK2978">
        <v>9.2806486956214194</v>
      </c>
      <c r="AL2978">
        <v>87.752440117113395</v>
      </c>
      <c r="AM2978">
        <v>91.288327775759498</v>
      </c>
      <c r="AN2978">
        <v>0.99999998777124699</v>
      </c>
    </row>
    <row r="2979" spans="1:40" x14ac:dyDescent="0.25">
      <c r="A2979" t="str">
        <f>"20190312154852852"</f>
        <v>20190312154852852</v>
      </c>
      <c r="B2979" t="str">
        <f>"1552376932849091"</f>
        <v>1552376932849091</v>
      </c>
      <c r="C2979" t="s">
        <v>40</v>
      </c>
      <c r="D2979">
        <v>4.5723909999999997</v>
      </c>
      <c r="E2979">
        <v>0.36779240000000002</v>
      </c>
      <c r="F2979" t="s">
        <v>49</v>
      </c>
      <c r="G2979">
        <v>-484.5643</v>
      </c>
      <c r="H2979" s="1">
        <v>4.0122119999999998E-6</v>
      </c>
      <c r="I2979">
        <v>225.178</v>
      </c>
      <c r="J2979">
        <v>-490.02510000000001</v>
      </c>
      <c r="K2979">
        <v>1.114379</v>
      </c>
      <c r="L2979">
        <v>232.93340000000001</v>
      </c>
      <c r="M2979">
        <v>0.24513489999999999</v>
      </c>
      <c r="N2979">
        <v>0</v>
      </c>
      <c r="O2979">
        <v>-0.96939370000000002</v>
      </c>
      <c r="P2979">
        <v>0.26640550000000002</v>
      </c>
      <c r="Q2979">
        <v>2.6135140000000001E-2</v>
      </c>
      <c r="R2979">
        <v>-0.96350659999999999</v>
      </c>
      <c r="S2979">
        <v>1.821259</v>
      </c>
      <c r="T2979">
        <v>-0.3678168</v>
      </c>
      <c r="U2979">
        <v>-2.6266630000000002</v>
      </c>
      <c r="V2979">
        <v>-2.246898E-2</v>
      </c>
      <c r="W2979">
        <v>3.9488839999999997E-2</v>
      </c>
      <c r="X2979">
        <v>0.9989673</v>
      </c>
      <c r="Y2979">
        <v>-0.34703709999999999</v>
      </c>
      <c r="Z2979">
        <v>0.11589480000000001</v>
      </c>
      <c r="AA2979">
        <v>0.93066300000000002</v>
      </c>
      <c r="AB2979">
        <v>23</v>
      </c>
      <c r="AC2979">
        <v>5.4607999999999999</v>
      </c>
      <c r="AD2979">
        <v>-1.114374987788</v>
      </c>
      <c r="AE2979">
        <v>-7.7553999999999998</v>
      </c>
      <c r="AF2979">
        <v>-3.3466644493494302</v>
      </c>
      <c r="AG2979">
        <v>-1.114374987788</v>
      </c>
      <c r="AH2979">
        <v>8.7368892197391297</v>
      </c>
      <c r="AI2979">
        <v>96.792440536105104</v>
      </c>
      <c r="AJ2979">
        <v>110.959332596623</v>
      </c>
      <c r="AK2979">
        <v>9.4220606975300694</v>
      </c>
      <c r="AL2979">
        <v>87.736867569337505</v>
      </c>
      <c r="AM2979">
        <v>91.288491320280798</v>
      </c>
      <c r="AN2979">
        <v>0.99999994500803602</v>
      </c>
    </row>
    <row r="2980" spans="1:40" x14ac:dyDescent="0.25">
      <c r="A2980" t="str">
        <f>"20190312154852874"</f>
        <v>20190312154852874</v>
      </c>
      <c r="B2980" t="str">
        <f>"1552376932868611"</f>
        <v>1552376932868611</v>
      </c>
      <c r="C2980" t="s">
        <v>40</v>
      </c>
      <c r="D2980">
        <v>4.5804280000000004</v>
      </c>
      <c r="E2980">
        <v>0.36878100000000003</v>
      </c>
      <c r="F2980" t="s">
        <v>49</v>
      </c>
      <c r="G2980">
        <v>-484.43040000000002</v>
      </c>
      <c r="H2980" s="1">
        <v>3.925907E-6</v>
      </c>
      <c r="I2980">
        <v>224.922</v>
      </c>
      <c r="J2980">
        <v>-489.96210000000002</v>
      </c>
      <c r="K2980">
        <v>1.114347</v>
      </c>
      <c r="L2980">
        <v>232.71510000000001</v>
      </c>
      <c r="M2980">
        <v>0.2515173</v>
      </c>
      <c r="N2980">
        <v>0</v>
      </c>
      <c r="O2980">
        <v>-0.96775750000000005</v>
      </c>
      <c r="P2980">
        <v>0.27230890000000002</v>
      </c>
      <c r="Q2980">
        <v>2.5123880000000001E-2</v>
      </c>
      <c r="R2980">
        <v>-0.96188209999999996</v>
      </c>
      <c r="S2980">
        <v>1.828247</v>
      </c>
      <c r="T2980">
        <v>-0.36415819999999999</v>
      </c>
      <c r="U2980">
        <v>-2.6179960000000002</v>
      </c>
      <c r="V2980">
        <v>-2.199255E-2</v>
      </c>
      <c r="W2980">
        <v>3.8483469999999999E-2</v>
      </c>
      <c r="X2980">
        <v>0.99901719999999905</v>
      </c>
      <c r="Y2980">
        <v>-0.34404869999999999</v>
      </c>
      <c r="Z2980">
        <v>0.1147656</v>
      </c>
      <c r="AA2980">
        <v>0.93191159999999995</v>
      </c>
      <c r="AB2980">
        <v>23</v>
      </c>
      <c r="AC2980">
        <v>5.5316999999999998</v>
      </c>
      <c r="AD2980">
        <v>-1.114343074093</v>
      </c>
      <c r="AE2980">
        <v>-7.7931000000000097</v>
      </c>
      <c r="AF2980">
        <v>-3.34803745930382</v>
      </c>
      <c r="AG2980">
        <v>-1.114343074093</v>
      </c>
      <c r="AH2980">
        <v>8.8141354182690996</v>
      </c>
      <c r="AI2980">
        <v>96.740385632788701</v>
      </c>
      <c r="AJ2980">
        <v>110.79921322211</v>
      </c>
      <c r="AK2980">
        <v>9.4942139478350907</v>
      </c>
      <c r="AL2980">
        <v>87.794514997673005</v>
      </c>
      <c r="AM2980">
        <v>91.2611162247198</v>
      </c>
      <c r="AN2980">
        <v>1.0000000078072899</v>
      </c>
    </row>
    <row r="2981" spans="1:40" x14ac:dyDescent="0.25">
      <c r="A2981" t="str">
        <f>"20190312154852888"</f>
        <v>20190312154852888</v>
      </c>
      <c r="B2981" t="str">
        <f>"1552376932878371"</f>
        <v>1552376932878371</v>
      </c>
      <c r="C2981" t="s">
        <v>40</v>
      </c>
      <c r="D2981">
        <v>4.5716010000000002</v>
      </c>
      <c r="E2981">
        <v>0.36917100000000003</v>
      </c>
      <c r="F2981" t="s">
        <v>49</v>
      </c>
      <c r="G2981">
        <v>-484.33629999999999</v>
      </c>
      <c r="H2981" s="1">
        <v>3.8610949999999998E-6</v>
      </c>
      <c r="I2981">
        <v>224.72319999999999</v>
      </c>
      <c r="J2981">
        <v>-489.92520000000002</v>
      </c>
      <c r="K2981">
        <v>1.114331</v>
      </c>
      <c r="L2981">
        <v>232.58959999999999</v>
      </c>
      <c r="M2981">
        <v>0.25517830000000002</v>
      </c>
      <c r="N2981">
        <v>0</v>
      </c>
      <c r="O2981">
        <v>-0.96679859999999895</v>
      </c>
      <c r="P2981">
        <v>0.27572010000000002</v>
      </c>
      <c r="Q2981">
        <v>2.488011E-2</v>
      </c>
      <c r="R2981">
        <v>-0.96091590000000005</v>
      </c>
      <c r="S2981">
        <v>1.8362430000000001</v>
      </c>
      <c r="T2981">
        <v>-0.36371930000000002</v>
      </c>
      <c r="U2981">
        <v>-2.608536</v>
      </c>
      <c r="V2981">
        <v>-2.17498E-2</v>
      </c>
      <c r="W2981">
        <v>3.8242369999999998E-2</v>
      </c>
      <c r="X2981">
        <v>0.99903180000000003</v>
      </c>
      <c r="Y2981">
        <v>-0.34399879999999999</v>
      </c>
      <c r="Z2981">
        <v>0.11470619999999999</v>
      </c>
      <c r="AA2981">
        <v>0.93193740000000003</v>
      </c>
      <c r="AB2981">
        <v>23</v>
      </c>
      <c r="AC2981">
        <v>5.5889000000000202</v>
      </c>
      <c r="AD2981">
        <v>-1.114327138905</v>
      </c>
      <c r="AE2981">
        <v>-7.8663999999999898</v>
      </c>
      <c r="AF2981">
        <v>-3.3516247226098699</v>
      </c>
      <c r="AG2981">
        <v>-1.114327138905</v>
      </c>
      <c r="AH2981">
        <v>8.9133619517048892</v>
      </c>
      <c r="AI2981">
        <v>96.674297637143098</v>
      </c>
      <c r="AJ2981">
        <v>110.607390519905</v>
      </c>
      <c r="AK2981">
        <v>9.5876553200357808</v>
      </c>
      <c r="AL2981">
        <v>87.808339246116304</v>
      </c>
      <c r="AM2981">
        <v>91.247182440110194</v>
      </c>
      <c r="AN2981">
        <v>1.00000003503724</v>
      </c>
    </row>
    <row r="2982" spans="1:40" x14ac:dyDescent="0.25">
      <c r="A2982" t="str">
        <f>"20190312154852907"</f>
        <v>20190312154852907</v>
      </c>
      <c r="B2982" t="str">
        <f>"1552376932898867"</f>
        <v>1552376932898867</v>
      </c>
      <c r="C2982" t="s">
        <v>40</v>
      </c>
      <c r="D2982">
        <v>4.5609900000000003</v>
      </c>
      <c r="E2982">
        <v>0.36994670000000002</v>
      </c>
      <c r="F2982" t="s">
        <v>49</v>
      </c>
      <c r="G2982">
        <v>-484.29300000000001</v>
      </c>
      <c r="H2982" s="1">
        <v>3.8315639999999997E-6</v>
      </c>
      <c r="I2982">
        <v>224.63300000000001</v>
      </c>
      <c r="J2982">
        <v>-489.86680000000001</v>
      </c>
      <c r="K2982">
        <v>1.114303</v>
      </c>
      <c r="L2982">
        <v>232.39449999999999</v>
      </c>
      <c r="M2982">
        <v>0.26085999999999998</v>
      </c>
      <c r="N2982">
        <v>0</v>
      </c>
      <c r="O2982">
        <v>-0.96528099999999994</v>
      </c>
      <c r="P2982">
        <v>0.28048010000000001</v>
      </c>
      <c r="Q2982">
        <v>2.3868779999999999E-2</v>
      </c>
      <c r="R2982">
        <v>-0.9595631</v>
      </c>
      <c r="S2982">
        <v>1.842438</v>
      </c>
      <c r="T2982">
        <v>-0.36452499999999999</v>
      </c>
      <c r="U2982">
        <v>-2.6027979999999999</v>
      </c>
      <c r="V2982">
        <v>-2.080736E-2</v>
      </c>
      <c r="W2982">
        <v>3.7240299999999997E-2</v>
      </c>
      <c r="X2982">
        <v>0.99908969999999997</v>
      </c>
      <c r="Y2982">
        <v>-0.34091009999999899</v>
      </c>
      <c r="Z2982">
        <v>0.11489000000000001</v>
      </c>
      <c r="AA2982">
        <v>0.93304909999999996</v>
      </c>
      <c r="AB2982">
        <v>23</v>
      </c>
      <c r="AC2982">
        <v>5.5738000000000003</v>
      </c>
      <c r="AD2982">
        <v>-1.114299168436</v>
      </c>
      <c r="AE2982">
        <v>-7.7615000000000096</v>
      </c>
      <c r="AF2982">
        <v>-3.3109045371258499</v>
      </c>
      <c r="AG2982">
        <v>-1.114299168436</v>
      </c>
      <c r="AH2982">
        <v>8.8268038438851608</v>
      </c>
      <c r="AI2982">
        <v>96.741015979850999</v>
      </c>
      <c r="AJ2982">
        <v>110.560899895102</v>
      </c>
      <c r="AK2982">
        <v>9.4929562091670707</v>
      </c>
      <c r="AL2982">
        <v>87.865794503804196</v>
      </c>
      <c r="AM2982">
        <v>91.193087660621202</v>
      </c>
      <c r="AN2982">
        <v>1.00000000741017</v>
      </c>
    </row>
    <row r="2983" spans="1:40" x14ac:dyDescent="0.25">
      <c r="A2983" t="str">
        <f>"20190312154852930"</f>
        <v>20190312154852930</v>
      </c>
      <c r="B2983" t="str">
        <f>"1552376932918392"</f>
        <v>1552376932918392</v>
      </c>
      <c r="C2983" t="s">
        <v>40</v>
      </c>
      <c r="D2983">
        <v>4.559558</v>
      </c>
      <c r="E2983">
        <v>0.37074119999999999</v>
      </c>
      <c r="F2983" t="s">
        <v>49</v>
      </c>
      <c r="G2983">
        <v>-484.24250000000001</v>
      </c>
      <c r="H2983" s="1">
        <v>3.7817580000000001E-6</v>
      </c>
      <c r="I2983">
        <v>224.50360000000001</v>
      </c>
      <c r="J2983">
        <v>-489.79899999999998</v>
      </c>
      <c r="K2983">
        <v>1.1142729999999901</v>
      </c>
      <c r="L2983">
        <v>232.17320000000001</v>
      </c>
      <c r="M2983">
        <v>0.26728970000000002</v>
      </c>
      <c r="N2983">
        <v>0</v>
      </c>
      <c r="O2983">
        <v>-0.9635205</v>
      </c>
      <c r="P2983">
        <v>0.28595890000000002</v>
      </c>
      <c r="Q2983">
        <v>2.308818E-2</v>
      </c>
      <c r="R2983">
        <v>-0.95796389999999998</v>
      </c>
      <c r="S2983">
        <v>1.849548</v>
      </c>
      <c r="T2983">
        <v>-0.36643700000000001</v>
      </c>
      <c r="U2983">
        <v>-2.59491</v>
      </c>
      <c r="V2983">
        <v>-1.9839860000000001E-2</v>
      </c>
      <c r="W2983">
        <v>3.646978E-2</v>
      </c>
      <c r="X2983">
        <v>0.99913779999999996</v>
      </c>
      <c r="Y2983">
        <v>-0.33763900000000002</v>
      </c>
      <c r="Z2983">
        <v>0.1154428</v>
      </c>
      <c r="AA2983">
        <v>0.93416960000000004</v>
      </c>
      <c r="AB2983">
        <v>23</v>
      </c>
      <c r="AC2983">
        <v>5.5565000000000202</v>
      </c>
      <c r="AD2983">
        <v>-1.11426921824199</v>
      </c>
      <c r="AE2983">
        <v>-7.6696</v>
      </c>
      <c r="AF2983">
        <v>-3.2589902528589101</v>
      </c>
      <c r="AG2983">
        <v>-1.11426921824199</v>
      </c>
      <c r="AH2983">
        <v>8.7546485052679994</v>
      </c>
      <c r="AI2983">
        <v>96.802145042805506</v>
      </c>
      <c r="AJ2983">
        <v>110.418198568688</v>
      </c>
      <c r="AK2983">
        <v>9.4077884654015396</v>
      </c>
      <c r="AL2983">
        <v>87.909972055025094</v>
      </c>
      <c r="AM2983">
        <v>91.137571688337502</v>
      </c>
      <c r="AN2983">
        <v>1.00000000414345</v>
      </c>
    </row>
    <row r="2984" spans="1:40" x14ac:dyDescent="0.25">
      <c r="A2984" t="str">
        <f>"20190312154852942"</f>
        <v>20190312154852942</v>
      </c>
      <c r="B2984" t="str">
        <f>"1552376932938192"</f>
        <v>1552376932938192</v>
      </c>
      <c r="C2984" t="s">
        <v>40</v>
      </c>
      <c r="D2984">
        <v>4.540133</v>
      </c>
      <c r="E2984">
        <v>0.37140899999999999</v>
      </c>
      <c r="F2984" t="s">
        <v>49</v>
      </c>
      <c r="G2984">
        <v>-484.1438</v>
      </c>
      <c r="H2984" s="1">
        <v>3.6983759999999998E-6</v>
      </c>
      <c r="I2984">
        <v>224.30510000000001</v>
      </c>
      <c r="J2984">
        <v>-489.7611</v>
      </c>
      <c r="K2984">
        <v>1.114258</v>
      </c>
      <c r="L2984">
        <v>232.05170000000001</v>
      </c>
      <c r="M2984">
        <v>0.27081620000000001</v>
      </c>
      <c r="N2984">
        <v>0</v>
      </c>
      <c r="O2984">
        <v>-0.96253520000000004</v>
      </c>
      <c r="P2984">
        <v>0.28890280000000002</v>
      </c>
      <c r="Q2984">
        <v>2.3070810000000001E-2</v>
      </c>
      <c r="R2984">
        <v>-0.9570805</v>
      </c>
      <c r="S2984">
        <v>1.8584590000000001</v>
      </c>
      <c r="T2984">
        <v>-0.3661836</v>
      </c>
      <c r="U2984">
        <v>-2.585709</v>
      </c>
      <c r="V2984">
        <v>-1.9251959999999999E-2</v>
      </c>
      <c r="W2984">
        <v>3.6457400000000001E-2</v>
      </c>
      <c r="X2984">
        <v>0.99914970000000003</v>
      </c>
      <c r="Y2984">
        <v>-0.33789219999999998</v>
      </c>
      <c r="Z2984">
        <v>0.115409</v>
      </c>
      <c r="AA2984">
        <v>0.93408219999999997</v>
      </c>
      <c r="AB2984">
        <v>23</v>
      </c>
      <c r="AC2984">
        <v>5.6173000000000002</v>
      </c>
      <c r="AD2984">
        <v>-1.1142543016240001</v>
      </c>
      <c r="AE2984">
        <v>-7.7465999999999999</v>
      </c>
      <c r="AF2984">
        <v>-3.2649780662144998</v>
      </c>
      <c r="AG2984">
        <v>-1.1142543016240001</v>
      </c>
      <c r="AH2984">
        <v>8.8583447049282196</v>
      </c>
      <c r="AI2984">
        <v>96.731156254196094</v>
      </c>
      <c r="AJ2984">
        <v>110.232703239724</v>
      </c>
      <c r="AK2984">
        <v>9.506414430945</v>
      </c>
      <c r="AL2984">
        <v>87.910681738748494</v>
      </c>
      <c r="AM2984">
        <v>91.103858186170797</v>
      </c>
      <c r="AN2984">
        <v>0.99999995149434395</v>
      </c>
    </row>
    <row r="2985" spans="1:40" x14ac:dyDescent="0.25">
      <c r="A2985" t="str">
        <f>"20190312154852954"</f>
        <v>20190312154852954</v>
      </c>
      <c r="B2985" t="str">
        <f>"1552376932948927"</f>
        <v>1552376932948927</v>
      </c>
      <c r="C2985" t="s">
        <v>40</v>
      </c>
      <c r="D2985">
        <v>4.5468599999999997</v>
      </c>
      <c r="E2985">
        <v>0.37173709999999999</v>
      </c>
      <c r="F2985" t="s">
        <v>49</v>
      </c>
      <c r="G2985">
        <v>-484.0686</v>
      </c>
      <c r="H2985" s="1">
        <v>3.6359549999999998E-6</v>
      </c>
      <c r="I2985">
        <v>224.1574</v>
      </c>
      <c r="J2985">
        <v>-489.7226</v>
      </c>
      <c r="K2985">
        <v>1.1142399999999999</v>
      </c>
      <c r="L2985">
        <v>231.9299</v>
      </c>
      <c r="M2985">
        <v>0.27434649999999999</v>
      </c>
      <c r="N2985">
        <v>0</v>
      </c>
      <c r="O2985">
        <v>-0.96153520000000003</v>
      </c>
      <c r="P2985">
        <v>0.29199399999999998</v>
      </c>
      <c r="Q2985">
        <v>2.319626E-2</v>
      </c>
      <c r="R2985">
        <v>-0.95613910000000002</v>
      </c>
      <c r="S2985">
        <v>1.86145</v>
      </c>
      <c r="T2985">
        <v>-0.36435820000000002</v>
      </c>
      <c r="U2985">
        <v>-2.5814059999999999</v>
      </c>
      <c r="V2985">
        <v>-1.8814979999999999E-2</v>
      </c>
      <c r="W2985">
        <v>3.6587010000000003E-2</v>
      </c>
      <c r="X2985">
        <v>0.99915330000000002</v>
      </c>
      <c r="Y2985">
        <v>-0.33592939999999999</v>
      </c>
      <c r="Z2985">
        <v>0.1148262</v>
      </c>
      <c r="AA2985">
        <v>0.93486170000000002</v>
      </c>
      <c r="AB2985">
        <v>23</v>
      </c>
      <c r="AC2985">
        <v>5.6539999999999901</v>
      </c>
      <c r="AD2985">
        <v>-1.1142363640449999</v>
      </c>
      <c r="AE2985">
        <v>-7.7725</v>
      </c>
      <c r="AF2985">
        <v>-3.2606449280554402</v>
      </c>
      <c r="AG2985">
        <v>-1.1142363640449999</v>
      </c>
      <c r="AH2985">
        <v>8.9058292876657106</v>
      </c>
      <c r="AI2985">
        <v>96.700753690804802</v>
      </c>
      <c r="AJ2985">
        <v>110.10893112413601</v>
      </c>
      <c r="AK2985">
        <v>9.5491949044334703</v>
      </c>
      <c r="AL2985">
        <v>87.903250702692802</v>
      </c>
      <c r="AM2985">
        <v>91.078804973727799</v>
      </c>
      <c r="AN2985">
        <v>0.99999996483701403</v>
      </c>
    </row>
    <row r="2986" spans="1:40" x14ac:dyDescent="0.25">
      <c r="A2986" t="str">
        <f>"20190312154852974"</f>
        <v>20190312154852974</v>
      </c>
      <c r="B2986" t="str">
        <f>"1552376932968448"</f>
        <v>1552376932968448</v>
      </c>
      <c r="C2986" t="s">
        <v>40</v>
      </c>
      <c r="D2986">
        <v>4.4968320000000004</v>
      </c>
      <c r="E2986">
        <v>0.37232229999999999</v>
      </c>
      <c r="F2986" t="s">
        <v>49</v>
      </c>
      <c r="G2986">
        <v>-483.98860000000002</v>
      </c>
      <c r="H2986" s="1">
        <v>3.57535E-6</v>
      </c>
      <c r="I2986">
        <v>224.01910000000001</v>
      </c>
      <c r="J2986">
        <v>-489.66230000000002</v>
      </c>
      <c r="K2986">
        <v>1.1142219999999901</v>
      </c>
      <c r="L2986">
        <v>231.74199999999999</v>
      </c>
      <c r="M2986">
        <v>0.27978380000000003</v>
      </c>
      <c r="N2986">
        <v>0</v>
      </c>
      <c r="O2986">
        <v>-0.95996709999999996</v>
      </c>
      <c r="P2986">
        <v>0.29661349999999997</v>
      </c>
      <c r="Q2986">
        <v>2.3004529999999999E-2</v>
      </c>
      <c r="R2986">
        <v>-0.95472089999999998</v>
      </c>
      <c r="S2986">
        <v>1.8672789999999999</v>
      </c>
      <c r="T2986">
        <v>-0.36285250000000002</v>
      </c>
      <c r="U2986">
        <v>-2.576187</v>
      </c>
      <c r="V2986">
        <v>-1.7986579999999999E-2</v>
      </c>
      <c r="W2986">
        <v>3.6402110000000001E-2</v>
      </c>
      <c r="X2986">
        <v>0.99917540000000005</v>
      </c>
      <c r="Y2986">
        <v>-0.33292389999999999</v>
      </c>
      <c r="Z2986">
        <v>0.1142644</v>
      </c>
      <c r="AA2986">
        <v>0.93600499999999998</v>
      </c>
      <c r="AB2986">
        <v>23</v>
      </c>
      <c r="AC2986">
        <v>5.6736999999999904</v>
      </c>
      <c r="AD2986">
        <v>-1.11421842464999</v>
      </c>
      <c r="AE2986">
        <v>-7.7229000000000099</v>
      </c>
      <c r="AF2986">
        <v>-3.2422938819496099</v>
      </c>
      <c r="AG2986">
        <v>-1.11421842464999</v>
      </c>
      <c r="AH2986">
        <v>8.8818961120902902</v>
      </c>
      <c r="AI2986">
        <v>96.720855531523199</v>
      </c>
      <c r="AJ2986">
        <v>110.05436935335899</v>
      </c>
      <c r="AK2986">
        <v>9.5206108449364795</v>
      </c>
      <c r="AL2986">
        <v>87.9138519434279</v>
      </c>
      <c r="AM2986">
        <v>91.031294231172296</v>
      </c>
      <c r="AN2986">
        <v>1.0000000553188499</v>
      </c>
    </row>
    <row r="2987" spans="1:40" x14ac:dyDescent="0.25">
      <c r="A2987" t="str">
        <f>"20190312154852990"</f>
        <v>20190312154852990</v>
      </c>
      <c r="B2987" t="str">
        <f>"1552376932978207"</f>
        <v>1552376932978207</v>
      </c>
      <c r="C2987" t="s">
        <v>40</v>
      </c>
      <c r="D2987">
        <v>4.512467</v>
      </c>
      <c r="E2987">
        <v>0.3725521</v>
      </c>
      <c r="F2987" t="s">
        <v>49</v>
      </c>
      <c r="G2987">
        <v>-483.85359999999997</v>
      </c>
      <c r="H2987" s="1">
        <v>3.4745080000000002E-6</v>
      </c>
      <c r="I2987">
        <v>223.7901</v>
      </c>
      <c r="J2987">
        <v>-489.61219999999997</v>
      </c>
      <c r="K2987">
        <v>1.1142110000000001</v>
      </c>
      <c r="L2987">
        <v>231.58869999999999</v>
      </c>
      <c r="M2987">
        <v>0.28420970000000001</v>
      </c>
      <c r="N2987">
        <v>0</v>
      </c>
      <c r="O2987">
        <v>-0.95866629999999997</v>
      </c>
      <c r="P2987">
        <v>0.30050979999999999</v>
      </c>
      <c r="Q2987">
        <v>2.3203970000000001E-2</v>
      </c>
      <c r="R2987">
        <v>-0.95349649999999997</v>
      </c>
      <c r="S2987">
        <v>1.875977</v>
      </c>
      <c r="T2987">
        <v>-0.35984949999999999</v>
      </c>
      <c r="U2987">
        <v>-2.568146</v>
      </c>
      <c r="V2987">
        <v>-1.7458540000000002E-2</v>
      </c>
      <c r="W2987">
        <v>3.6606060000000003E-2</v>
      </c>
      <c r="X2987">
        <v>0.99917730000000005</v>
      </c>
      <c r="Y2987">
        <v>-0.33210339999999999</v>
      </c>
      <c r="Z2987">
        <v>0.1133045</v>
      </c>
      <c r="AA2987">
        <v>0.93641300000000005</v>
      </c>
      <c r="AB2987">
        <v>23</v>
      </c>
      <c r="AC2987">
        <v>5.7586000000000004</v>
      </c>
      <c r="AD2987">
        <v>-1.1142075254920001</v>
      </c>
      <c r="AE2987">
        <v>-7.7985999999999898</v>
      </c>
      <c r="AF2987">
        <v>-3.26135951152669</v>
      </c>
      <c r="AG2987">
        <v>-1.1142075254920001</v>
      </c>
      <c r="AH2987">
        <v>8.9949207489301006</v>
      </c>
      <c r="AI2987">
        <v>96.642315677255198</v>
      </c>
      <c r="AJ2987">
        <v>109.92952571089501</v>
      </c>
      <c r="AK2987">
        <v>9.6325761638734004</v>
      </c>
      <c r="AL2987">
        <v>87.902158645290399</v>
      </c>
      <c r="AM2987">
        <v>91.001022420065695</v>
      </c>
      <c r="AN2987">
        <v>1.00000004054147</v>
      </c>
    </row>
    <row r="2988" spans="1:40" x14ac:dyDescent="0.25">
      <c r="A2988" t="str">
        <f>"20190312154853008"</f>
        <v>20190312154853008</v>
      </c>
      <c r="B2988" t="str">
        <f>"1552376932998703"</f>
        <v>1552376932998703</v>
      </c>
      <c r="C2988" t="s">
        <v>40</v>
      </c>
      <c r="D2988">
        <v>4.5328350000000004</v>
      </c>
      <c r="E2988">
        <v>0.37311149999999998</v>
      </c>
      <c r="F2988" t="s">
        <v>49</v>
      </c>
      <c r="G2988">
        <v>-483.738</v>
      </c>
      <c r="H2988" s="1">
        <v>3.3919090000000001E-6</v>
      </c>
      <c r="I2988">
        <v>223.6063</v>
      </c>
      <c r="J2988">
        <v>-489.55450000000002</v>
      </c>
      <c r="K2988">
        <v>1.11419</v>
      </c>
      <c r="L2988">
        <v>231.4145</v>
      </c>
      <c r="M2988">
        <v>0.28922219999999998</v>
      </c>
      <c r="N2988">
        <v>0</v>
      </c>
      <c r="O2988">
        <v>-0.95716590000000001</v>
      </c>
      <c r="P2988">
        <v>0.30486950000000002</v>
      </c>
      <c r="Q2988">
        <v>2.321223E-2</v>
      </c>
      <c r="R2988">
        <v>-0.9521115</v>
      </c>
      <c r="S2988">
        <v>1.884674</v>
      </c>
      <c r="T2988">
        <v>-0.35747719999999999</v>
      </c>
      <c r="U2988">
        <v>-2.561035</v>
      </c>
      <c r="V2988">
        <v>-1.680009E-2</v>
      </c>
      <c r="W2988">
        <v>3.6618930000000001E-2</v>
      </c>
      <c r="X2988">
        <v>0.99918810000000002</v>
      </c>
      <c r="Y2988">
        <v>-0.33052900000000002</v>
      </c>
      <c r="Z2988">
        <v>0.11248850000000001</v>
      </c>
      <c r="AA2988">
        <v>0.93706829999999997</v>
      </c>
      <c r="AB2988">
        <v>23</v>
      </c>
      <c r="AC2988">
        <v>5.8164999999999596</v>
      </c>
      <c r="AD2988">
        <v>-1.1141866080909999</v>
      </c>
      <c r="AE2988">
        <v>-7.8081999999999896</v>
      </c>
      <c r="AF2988">
        <v>-3.2665788781484499</v>
      </c>
      <c r="AG2988">
        <v>-1.1141866080909999</v>
      </c>
      <c r="AH2988">
        <v>9.0384860345749001</v>
      </c>
      <c r="AI2988">
        <v>96.612915151735294</v>
      </c>
      <c r="AJ2988">
        <v>109.870248322894</v>
      </c>
      <c r="AK2988">
        <v>9.6750286388217202</v>
      </c>
      <c r="AL2988">
        <v>87.901420719432494</v>
      </c>
      <c r="AM2988">
        <v>90.963265636006</v>
      </c>
      <c r="AN2988">
        <v>1.00000002411998</v>
      </c>
    </row>
    <row r="2989" spans="1:40" x14ac:dyDescent="0.25">
      <c r="A2989" t="str">
        <f>"20190312154853030"</f>
        <v>20190312154853030</v>
      </c>
      <c r="B2989" t="str">
        <f>"1552376933028960"</f>
        <v>1552376933028960</v>
      </c>
      <c r="C2989" t="s">
        <v>40</v>
      </c>
      <c r="D2989">
        <v>4.5134420000000004</v>
      </c>
      <c r="E2989">
        <v>0.37384020000000001</v>
      </c>
      <c r="F2989" t="s">
        <v>49</v>
      </c>
      <c r="G2989">
        <v>-483.61849999999998</v>
      </c>
      <c r="H2989" s="1">
        <v>3.302811E-6</v>
      </c>
      <c r="I2989">
        <v>223.4042</v>
      </c>
      <c r="J2989">
        <v>-489.48140000000001</v>
      </c>
      <c r="K2989">
        <v>1.1141639999999999</v>
      </c>
      <c r="L2989">
        <v>231.1987</v>
      </c>
      <c r="M2989">
        <v>0.29540840000000002</v>
      </c>
      <c r="N2989">
        <v>0</v>
      </c>
      <c r="O2989">
        <v>-0.95527470000000003</v>
      </c>
      <c r="P2989">
        <v>0.31097550000000002</v>
      </c>
      <c r="Q2989">
        <v>2.306047E-2</v>
      </c>
      <c r="R2989">
        <v>-0.95013840000000005</v>
      </c>
      <c r="S2989">
        <v>1.8923650000000001</v>
      </c>
      <c r="T2989">
        <v>-0.355195599999999</v>
      </c>
      <c r="U2989">
        <v>-2.5536349999999999</v>
      </c>
      <c r="V2989">
        <v>-1.6744909999999998E-2</v>
      </c>
      <c r="W2989">
        <v>3.6465009999999999E-2</v>
      </c>
      <c r="X2989">
        <v>0.99919460000000004</v>
      </c>
      <c r="Y2989">
        <v>-0.32759829999999901</v>
      </c>
      <c r="Z2989">
        <v>0.1116828</v>
      </c>
      <c r="AA2989">
        <v>0.9381931</v>
      </c>
      <c r="AB2989">
        <v>23</v>
      </c>
      <c r="AC2989">
        <v>5.8629000000000202</v>
      </c>
      <c r="AD2989">
        <v>-1.1141606971889999</v>
      </c>
      <c r="AE2989">
        <v>-7.7944999999999904</v>
      </c>
      <c r="AF2989">
        <v>-3.25593517859709</v>
      </c>
      <c r="AG2989">
        <v>-1.1141606971889999</v>
      </c>
      <c r="AH2989">
        <v>9.0604508276997304</v>
      </c>
      <c r="AI2989">
        <v>96.601151848981999</v>
      </c>
      <c r="AJ2989">
        <v>109.766248310927</v>
      </c>
      <c r="AK2989">
        <v>9.6919676612931092</v>
      </c>
      <c r="AL2989">
        <v>87.910245463945202</v>
      </c>
      <c r="AM2989">
        <v>90.960096132717695</v>
      </c>
      <c r="AN2989">
        <v>0.999999968817183</v>
      </c>
    </row>
    <row r="2990" spans="1:40" x14ac:dyDescent="0.25">
      <c r="A2990" t="str">
        <f>"20190312154853055"</f>
        <v>20190312154853055</v>
      </c>
      <c r="B2990" t="str">
        <f>"1552376933048480"</f>
        <v>1552376933048480</v>
      </c>
      <c r="C2990" t="s">
        <v>40</v>
      </c>
      <c r="D2990">
        <v>4.4893919999999996</v>
      </c>
      <c r="E2990">
        <v>0.37434319999999999</v>
      </c>
      <c r="F2990" t="s">
        <v>49</v>
      </c>
      <c r="G2990">
        <v>-483.47550000000001</v>
      </c>
      <c r="H2990" s="1">
        <v>3.1994330000000001E-6</v>
      </c>
      <c r="I2990">
        <v>223.1728</v>
      </c>
      <c r="J2990">
        <v>-489.40280000000001</v>
      </c>
      <c r="K2990">
        <v>1.1141270000000001</v>
      </c>
      <c r="L2990">
        <v>230.971</v>
      </c>
      <c r="M2990">
        <v>0.30189899999999997</v>
      </c>
      <c r="N2990">
        <v>0</v>
      </c>
      <c r="O2990">
        <v>-0.95324339999999996</v>
      </c>
      <c r="P2990">
        <v>0.31711800000000001</v>
      </c>
      <c r="Q2990">
        <v>2.2441579999999999E-2</v>
      </c>
      <c r="R2990">
        <v>-0.94812050000000003</v>
      </c>
      <c r="S2990">
        <v>1.9031070000000001</v>
      </c>
      <c r="T2990">
        <v>-0.35304669999999999</v>
      </c>
      <c r="U2990">
        <v>-2.543167</v>
      </c>
      <c r="V2990">
        <v>-1.640175E-2</v>
      </c>
      <c r="W2990">
        <v>3.5846490000000002E-2</v>
      </c>
      <c r="X2990">
        <v>0.99922270000000002</v>
      </c>
      <c r="Y2990">
        <v>-0.32561420000000002</v>
      </c>
      <c r="Z2990">
        <v>0.110945</v>
      </c>
      <c r="AA2990">
        <v>0.938971</v>
      </c>
      <c r="AB2990">
        <v>23</v>
      </c>
      <c r="AC2990">
        <v>5.9272999999999998</v>
      </c>
      <c r="AD2990">
        <v>-1.114123800567</v>
      </c>
      <c r="AE2990">
        <v>-7.79819999999998</v>
      </c>
      <c r="AF2990">
        <v>-3.2540947382930598</v>
      </c>
      <c r="AG2990">
        <v>-1.114123800567</v>
      </c>
      <c r="AH2990">
        <v>9.1060688991122607</v>
      </c>
      <c r="AI2990">
        <v>96.5722980149948</v>
      </c>
      <c r="AJ2990">
        <v>109.664578055167</v>
      </c>
      <c r="AK2990">
        <v>9.7340071504060504</v>
      </c>
      <c r="AL2990">
        <v>87.945707293558598</v>
      </c>
      <c r="AM2990">
        <v>90.9403976353979</v>
      </c>
      <c r="AN2990">
        <v>0.999999996221836</v>
      </c>
    </row>
    <row r="2991" spans="1:40" x14ac:dyDescent="0.25">
      <c r="A2991" t="str">
        <f>"20190312154853075"</f>
        <v>20190312154853075</v>
      </c>
      <c r="B2991" t="str">
        <f>"1552376933068975"</f>
        <v>1552376933068975</v>
      </c>
      <c r="C2991" t="s">
        <v>40</v>
      </c>
      <c r="D2991">
        <v>4.4879860000000003</v>
      </c>
      <c r="E2991">
        <v>0.37474679999999999</v>
      </c>
      <c r="F2991" t="s">
        <v>49</v>
      </c>
      <c r="G2991">
        <v>-483.37959999999998</v>
      </c>
      <c r="H2991" s="1">
        <v>3.1287129999999999E-6</v>
      </c>
      <c r="I2991">
        <v>223.01320000000001</v>
      </c>
      <c r="J2991">
        <v>-489.33120000000002</v>
      </c>
      <c r="K2991">
        <v>1.114093</v>
      </c>
      <c r="L2991">
        <v>230.7679</v>
      </c>
      <c r="M2991">
        <v>0.30765879999999901</v>
      </c>
      <c r="N2991">
        <v>0</v>
      </c>
      <c r="O2991">
        <v>-0.95140020000000003</v>
      </c>
      <c r="P2991">
        <v>0.32272679999999998</v>
      </c>
      <c r="Q2991">
        <v>2.251912E-2</v>
      </c>
      <c r="R2991">
        <v>-0.94622470000000003</v>
      </c>
      <c r="S2991">
        <v>1.9161379999999999</v>
      </c>
      <c r="T2991">
        <v>-0.35443459999999899</v>
      </c>
      <c r="U2991">
        <v>-2.5316160000000001</v>
      </c>
      <c r="V2991">
        <v>-1.627354E-2</v>
      </c>
      <c r="W2991">
        <v>3.5922250000000003E-2</v>
      </c>
      <c r="X2991">
        <v>0.9992221</v>
      </c>
      <c r="Y2991">
        <v>-0.32500329999999999</v>
      </c>
      <c r="Z2991">
        <v>0.11131720000000001</v>
      </c>
      <c r="AA2991">
        <v>0.93913869999999999</v>
      </c>
      <c r="AB2991">
        <v>23</v>
      </c>
      <c r="AC2991">
        <v>5.95160000000004</v>
      </c>
      <c r="AD2991">
        <v>-1.114089871287</v>
      </c>
      <c r="AE2991">
        <v>-7.7546999999999802</v>
      </c>
      <c r="AF2991">
        <v>-3.23483523514223</v>
      </c>
      <c r="AG2991">
        <v>-1.114089871287</v>
      </c>
      <c r="AH2991">
        <v>9.0916392859663002</v>
      </c>
      <c r="AI2991">
        <v>96.585641551729793</v>
      </c>
      <c r="AJ2991">
        <v>109.585726321452</v>
      </c>
      <c r="AK2991">
        <v>9.7140753623774092</v>
      </c>
      <c r="AL2991">
        <v>87.941363818118603</v>
      </c>
      <c r="AM2991">
        <v>90.933048554088202</v>
      </c>
      <c r="AN2991">
        <v>1.0000000206388</v>
      </c>
    </row>
    <row r="2992" spans="1:40" x14ac:dyDescent="0.25">
      <c r="A2992" t="str">
        <f>"20190312154853090"</f>
        <v>20190312154853090</v>
      </c>
      <c r="B2992" t="str">
        <f>"1552376933078735"</f>
        <v>1552376933078735</v>
      </c>
      <c r="C2992" t="s">
        <v>40</v>
      </c>
      <c r="D2992">
        <v>4.4603299999999999</v>
      </c>
      <c r="E2992">
        <v>0.37481599999999998</v>
      </c>
      <c r="F2992" t="s">
        <v>49</v>
      </c>
      <c r="G2992">
        <v>-483.25529999999998</v>
      </c>
      <c r="H2992" s="1">
        <v>3.0543679999999999E-6</v>
      </c>
      <c r="I2992">
        <v>222.81989999999999</v>
      </c>
      <c r="J2992">
        <v>-489.28230000000002</v>
      </c>
      <c r="K2992">
        <v>1.114074</v>
      </c>
      <c r="L2992">
        <v>230.63120000000001</v>
      </c>
      <c r="M2992">
        <v>0.31151649999999997</v>
      </c>
      <c r="N2992">
        <v>0</v>
      </c>
      <c r="O2992">
        <v>-0.95014410000000005</v>
      </c>
      <c r="P2992">
        <v>0.32624699999999901</v>
      </c>
      <c r="Q2992">
        <v>2.2405089999999999E-2</v>
      </c>
      <c r="R2992">
        <v>-0.9450189</v>
      </c>
      <c r="S2992">
        <v>1.927551</v>
      </c>
      <c r="T2992">
        <v>-0.35343950000000002</v>
      </c>
      <c r="U2992">
        <v>-2.5214539999999999</v>
      </c>
      <c r="V2992">
        <v>-1.5935310000000001E-2</v>
      </c>
      <c r="W2992">
        <v>3.5809319999999999E-2</v>
      </c>
      <c r="X2992">
        <v>0.9992316</v>
      </c>
      <c r="Y2992">
        <v>-0.32569779999999998</v>
      </c>
      <c r="Z2992">
        <v>0.11099539999999999</v>
      </c>
      <c r="AA2992">
        <v>0.93893610000000005</v>
      </c>
      <c r="AB2992">
        <v>23</v>
      </c>
      <c r="AC2992">
        <v>6.0270000000000401</v>
      </c>
      <c r="AD2992">
        <v>-1.1140709456319999</v>
      </c>
      <c r="AE2992">
        <v>-7.8113000000000099</v>
      </c>
      <c r="AF2992">
        <v>-3.2520071917046298</v>
      </c>
      <c r="AG2992">
        <v>-1.1140709456319999</v>
      </c>
      <c r="AH2992">
        <v>9.1831345161197202</v>
      </c>
      <c r="AI2992">
        <v>96.523898660559794</v>
      </c>
      <c r="AJ2992">
        <v>109.500491783567</v>
      </c>
      <c r="AK2992">
        <v>9.8054405504265603</v>
      </c>
      <c r="AL2992">
        <v>87.947838386427193</v>
      </c>
      <c r="AM2992">
        <v>90.913650667495205</v>
      </c>
      <c r="AN2992">
        <v>1.0000000159711</v>
      </c>
    </row>
    <row r="2993" spans="1:40" x14ac:dyDescent="0.25">
      <c r="A2993" t="str">
        <f>"20190312154853112"</f>
        <v>20190312154853112</v>
      </c>
      <c r="B2993" t="str">
        <f>"1552376933108992"</f>
        <v>1552376933108992</v>
      </c>
      <c r="C2993" t="s">
        <v>40</v>
      </c>
      <c r="D2993">
        <v>4.4595419999999999</v>
      </c>
      <c r="E2993">
        <v>0.37505500000000003</v>
      </c>
      <c r="F2993" t="s">
        <v>49</v>
      </c>
      <c r="G2993">
        <v>-483.17759999999998</v>
      </c>
      <c r="H2993" s="1">
        <v>3.0149920000000001E-6</v>
      </c>
      <c r="I2993">
        <v>222.70419999999999</v>
      </c>
      <c r="J2993">
        <v>-489.20330000000001</v>
      </c>
      <c r="K2993">
        <v>1.1140410000000001</v>
      </c>
      <c r="L2993">
        <v>230.4143</v>
      </c>
      <c r="M2993">
        <v>0.3176004</v>
      </c>
      <c r="N2993">
        <v>0</v>
      </c>
      <c r="O2993">
        <v>-0.94812770000000002</v>
      </c>
      <c r="P2993">
        <v>0.33177459999999998</v>
      </c>
      <c r="Q2993">
        <v>2.250456E-2</v>
      </c>
      <c r="R2993">
        <v>-0.94309010000000004</v>
      </c>
      <c r="S2993">
        <v>1.9363710000000001</v>
      </c>
      <c r="T2993">
        <v>-0.35337659999999999</v>
      </c>
      <c r="U2993">
        <v>-2.5144039999999999</v>
      </c>
      <c r="V2993">
        <v>-1.5379210000000001E-2</v>
      </c>
      <c r="W2993">
        <v>3.5910339999999999E-2</v>
      </c>
      <c r="X2993">
        <v>0.99923660000000003</v>
      </c>
      <c r="Y2993">
        <v>-0.32298870000000002</v>
      </c>
      <c r="Z2993">
        <v>0.1108229</v>
      </c>
      <c r="AA2993">
        <v>0.93989180000000005</v>
      </c>
      <c r="AB2993">
        <v>23</v>
      </c>
      <c r="AC2993">
        <v>6.02570000000002</v>
      </c>
      <c r="AD2993">
        <v>-1.114037985008</v>
      </c>
      <c r="AE2993">
        <v>-7.7101000000000104</v>
      </c>
      <c r="AF2993">
        <v>-3.2229298341272301</v>
      </c>
      <c r="AG2993">
        <v>-1.114037985008</v>
      </c>
      <c r="AH2993">
        <v>9.1067393157973608</v>
      </c>
      <c r="AI2993">
        <v>96.578411981468903</v>
      </c>
      <c r="AJ2993">
        <v>109.489177731453</v>
      </c>
      <c r="AK2993">
        <v>9.7242510412698397</v>
      </c>
      <c r="AL2993">
        <v>87.942046460054001</v>
      </c>
      <c r="AM2993">
        <v>90.881767399189798</v>
      </c>
      <c r="AN2993">
        <v>0.99999992769934698</v>
      </c>
    </row>
    <row r="2994" spans="1:40" x14ac:dyDescent="0.25">
      <c r="A2994" t="str">
        <f>"20190312154853131"</f>
        <v>20190312154853131</v>
      </c>
      <c r="B2994" t="str">
        <f>"1552376933128511"</f>
        <v>1552376933128511</v>
      </c>
      <c r="C2994" t="s">
        <v>40</v>
      </c>
      <c r="D2994">
        <v>4.4688150000000002</v>
      </c>
      <c r="E2994">
        <v>0.37518960000000001</v>
      </c>
      <c r="F2994" t="s">
        <v>49</v>
      </c>
      <c r="G2994">
        <v>-482.98099999999999</v>
      </c>
      <c r="H2994" s="1">
        <v>2.91862E-6</v>
      </c>
      <c r="I2994">
        <v>222.42599999999999</v>
      </c>
      <c r="J2994">
        <v>-489.13929999999999</v>
      </c>
      <c r="K2994">
        <v>1.1140190000000001</v>
      </c>
      <c r="L2994">
        <v>230.2414</v>
      </c>
      <c r="M2994">
        <v>0.3224204</v>
      </c>
      <c r="N2994">
        <v>0</v>
      </c>
      <c r="O2994">
        <v>-0.9464998</v>
      </c>
      <c r="P2994">
        <v>0.33573439999999999</v>
      </c>
      <c r="Q2994">
        <v>2.303413E-2</v>
      </c>
      <c r="R2994">
        <v>-0.94167509999999999</v>
      </c>
      <c r="S2994">
        <v>1.9499820000000001</v>
      </c>
      <c r="T2994">
        <v>-0.34912090000000001</v>
      </c>
      <c r="U2994">
        <v>-2.503387</v>
      </c>
      <c r="V2994">
        <v>-1.4500310000000001E-2</v>
      </c>
      <c r="W2994">
        <v>3.6444999999999998E-2</v>
      </c>
      <c r="X2994">
        <v>0.99923039999999996</v>
      </c>
      <c r="Y2994">
        <v>-0.32345819999999997</v>
      </c>
      <c r="Z2994">
        <v>0.1094355</v>
      </c>
      <c r="AA2994">
        <v>0.93989290000000003</v>
      </c>
      <c r="AB2994">
        <v>23</v>
      </c>
      <c r="AC2994">
        <v>6.1582999999999899</v>
      </c>
      <c r="AD2994">
        <v>-1.11401608138</v>
      </c>
      <c r="AE2994">
        <v>-7.8154000000000101</v>
      </c>
      <c r="AF2994">
        <v>-3.2683200201895501</v>
      </c>
      <c r="AG2994">
        <v>-1.11401608138</v>
      </c>
      <c r="AH2994">
        <v>9.2675270581366593</v>
      </c>
      <c r="AI2994">
        <v>96.467629835502393</v>
      </c>
      <c r="AJ2994">
        <v>109.425894410938</v>
      </c>
      <c r="AK2994">
        <v>9.8898941024280091</v>
      </c>
      <c r="AL2994">
        <v>87.911392664613302</v>
      </c>
      <c r="AM2994">
        <v>90.8313880903615</v>
      </c>
      <c r="AN2994">
        <v>0.99999994464962605</v>
      </c>
    </row>
    <row r="2995" spans="1:40" x14ac:dyDescent="0.25">
      <c r="A2995" t="str">
        <f>"20190312154853153"</f>
        <v>20190312154853153</v>
      </c>
      <c r="B2995" t="str">
        <f>"1552376933149007"</f>
        <v>1552376933149007</v>
      </c>
      <c r="C2995" t="s">
        <v>40</v>
      </c>
      <c r="D2995">
        <v>4.4116600000000004</v>
      </c>
      <c r="E2995">
        <v>0.37533870000000003</v>
      </c>
      <c r="F2995" t="s">
        <v>49</v>
      </c>
      <c r="G2995">
        <v>-482.79419999999999</v>
      </c>
      <c r="H2995" s="1">
        <v>2.827176E-6</v>
      </c>
      <c r="I2995">
        <v>222.16220000000001</v>
      </c>
      <c r="J2995">
        <v>-489.05930000000001</v>
      </c>
      <c r="K2995">
        <v>1.11398</v>
      </c>
      <c r="L2995">
        <v>230.02869999999999</v>
      </c>
      <c r="M2995">
        <v>0.32831339999999998</v>
      </c>
      <c r="N2995">
        <v>0</v>
      </c>
      <c r="O2995">
        <v>-0.94447199999999998</v>
      </c>
      <c r="P2995">
        <v>0.3406419</v>
      </c>
      <c r="Q2995">
        <v>2.352868E-2</v>
      </c>
      <c r="R2995">
        <v>-0.93989900000000004</v>
      </c>
      <c r="S2995">
        <v>1.9598690000000001</v>
      </c>
      <c r="T2995">
        <v>-0.34409529999999999</v>
      </c>
      <c r="U2995">
        <v>-2.4954679999999998</v>
      </c>
      <c r="V2995">
        <v>-1.348946E-2</v>
      </c>
      <c r="W2995">
        <v>3.6943910000000003E-2</v>
      </c>
      <c r="X2995">
        <v>0.99922630000000001</v>
      </c>
      <c r="Y2995">
        <v>-0.3214323</v>
      </c>
      <c r="Z2995">
        <v>0.1077314</v>
      </c>
      <c r="AA2995">
        <v>0.94078439999999997</v>
      </c>
      <c r="AB2995">
        <v>23</v>
      </c>
      <c r="AC2995">
        <v>6.2651000000000101</v>
      </c>
      <c r="AD2995">
        <v>-1.113977172824</v>
      </c>
      <c r="AE2995">
        <v>-7.8664999999999701</v>
      </c>
      <c r="AF2995">
        <v>-3.2944154726975499</v>
      </c>
      <c r="AG2995">
        <v>-1.113977172824</v>
      </c>
      <c r="AH2995">
        <v>9.3724693253134603</v>
      </c>
      <c r="AI2995">
        <v>96.397908557658695</v>
      </c>
      <c r="AJ2995">
        <v>109.366534115984</v>
      </c>
      <c r="AK2995">
        <v>9.9968644935431499</v>
      </c>
      <c r="AL2995">
        <v>87.882788095866303</v>
      </c>
      <c r="AM2995">
        <v>90.773440589675502</v>
      </c>
      <c r="AN2995">
        <v>1.00000000831443</v>
      </c>
    </row>
    <row r="2996" spans="1:40" x14ac:dyDescent="0.25">
      <c r="A2996" t="str">
        <f>"20190312154853167"</f>
        <v>20190312154853167</v>
      </c>
      <c r="B2996" t="str">
        <f>"1552376933158768"</f>
        <v>1552376933158768</v>
      </c>
      <c r="C2996" t="s">
        <v>40</v>
      </c>
      <c r="D2996">
        <v>4.3940349999999997</v>
      </c>
      <c r="E2996">
        <v>0.37539729999999999</v>
      </c>
      <c r="F2996" t="s">
        <v>49</v>
      </c>
      <c r="G2996">
        <v>-482.60559999999998</v>
      </c>
      <c r="H2996" s="1">
        <v>2.7345619999999998E-6</v>
      </c>
      <c r="I2996">
        <v>221.8947</v>
      </c>
      <c r="J2996">
        <v>-489.01240000000001</v>
      </c>
      <c r="K2996">
        <v>1.1139600000000001</v>
      </c>
      <c r="L2996">
        <v>229.90559999999999</v>
      </c>
      <c r="M2996">
        <v>0.33171020000000001</v>
      </c>
      <c r="N2996">
        <v>0</v>
      </c>
      <c r="O2996">
        <v>-0.94328429999999996</v>
      </c>
      <c r="P2996">
        <v>0.343329</v>
      </c>
      <c r="Q2996">
        <v>2.3611400000000001E-2</v>
      </c>
      <c r="R2996">
        <v>-0.93891849999999999</v>
      </c>
      <c r="S2996">
        <v>1.9721070000000001</v>
      </c>
      <c r="T2996">
        <v>-0.34040920000000002</v>
      </c>
      <c r="U2996">
        <v>-2.4855960000000001</v>
      </c>
      <c r="V2996">
        <v>-1.275137E-2</v>
      </c>
      <c r="W2996">
        <v>3.7030639999999997E-2</v>
      </c>
      <c r="X2996">
        <v>0.99923280000000003</v>
      </c>
      <c r="Y2996">
        <v>-0.32276929999999998</v>
      </c>
      <c r="Z2996">
        <v>0.1065547</v>
      </c>
      <c r="AA2996">
        <v>0.94046059999999998</v>
      </c>
      <c r="AB2996">
        <v>23</v>
      </c>
      <c r="AC2996">
        <v>6.4068000000000298</v>
      </c>
      <c r="AD2996">
        <v>-1.1139572654379899</v>
      </c>
      <c r="AE2996">
        <v>-8.0108999999999906</v>
      </c>
      <c r="AF2996">
        <v>-3.3469750200667798</v>
      </c>
      <c r="AG2996">
        <v>-1.1139572654379899</v>
      </c>
      <c r="AH2996">
        <v>9.5697849508457207</v>
      </c>
      <c r="AI2996">
        <v>96.270350134598701</v>
      </c>
      <c r="AJ2996">
        <v>109.276978977585</v>
      </c>
      <c r="AK2996">
        <v>10.1992120568015</v>
      </c>
      <c r="AL2996">
        <v>87.877815470360503</v>
      </c>
      <c r="AM2996">
        <v>90.731120945165699</v>
      </c>
      <c r="AN2996">
        <v>1.0000000271657601</v>
      </c>
    </row>
    <row r="2997" spans="1:40" x14ac:dyDescent="0.25">
      <c r="A2997" t="str">
        <f>"20190312154853179"</f>
        <v>20190312154853179</v>
      </c>
      <c r="B2997" t="str">
        <f>"1552376933168528"</f>
        <v>1552376933168528</v>
      </c>
      <c r="C2997" t="s">
        <v>40</v>
      </c>
      <c r="D2997">
        <v>4.4107810000000001</v>
      </c>
      <c r="E2997">
        <v>0.37547599999999998</v>
      </c>
      <c r="F2997" t="s">
        <v>49</v>
      </c>
      <c r="G2997">
        <v>-482.51190000000003</v>
      </c>
      <c r="H2997" s="1">
        <v>2.688303E-6</v>
      </c>
      <c r="I2997">
        <v>221.76060000000001</v>
      </c>
      <c r="J2997">
        <v>-488.96550000000002</v>
      </c>
      <c r="K2997">
        <v>1.113942</v>
      </c>
      <c r="L2997">
        <v>229.78440000000001</v>
      </c>
      <c r="M2997">
        <v>0.33504109999999998</v>
      </c>
      <c r="N2997">
        <v>0</v>
      </c>
      <c r="O2997">
        <v>-0.9421062</v>
      </c>
      <c r="P2997">
        <v>0.34616370000000002</v>
      </c>
      <c r="Q2997">
        <v>2.342872E-2</v>
      </c>
      <c r="R2997">
        <v>-0.93788159999999998</v>
      </c>
      <c r="S2997">
        <v>1.9792479999999999</v>
      </c>
      <c r="T2997">
        <v>-0.33917580000000003</v>
      </c>
      <c r="U2997">
        <v>-2.479965</v>
      </c>
      <c r="V2997">
        <v>-1.2234E-2</v>
      </c>
      <c r="W2997">
        <v>3.6850519999999998E-2</v>
      </c>
      <c r="X2997">
        <v>0.99924590000000002</v>
      </c>
      <c r="Y2997">
        <v>-0.32215270000000001</v>
      </c>
      <c r="Z2997">
        <v>0.1060936</v>
      </c>
      <c r="AA2997">
        <v>0.94072409999999995</v>
      </c>
      <c r="AB2997">
        <v>23</v>
      </c>
      <c r="AC2997">
        <v>6.45359999999999</v>
      </c>
      <c r="AD2997">
        <v>-1.113939311697</v>
      </c>
      <c r="AE2997">
        <v>-8.0237999999999907</v>
      </c>
      <c r="AF2997">
        <v>-3.3527479723450599</v>
      </c>
      <c r="AG2997">
        <v>-1.113939311697</v>
      </c>
      <c r="AH2997">
        <v>9.6099205947788597</v>
      </c>
      <c r="AI2997">
        <v>96.245928395622201</v>
      </c>
      <c r="AJ2997">
        <v>109.233064724245</v>
      </c>
      <c r="AK2997">
        <v>10.238767191130099</v>
      </c>
      <c r="AL2997">
        <v>87.888142577427402</v>
      </c>
      <c r="AM2997">
        <v>90.701450509839503</v>
      </c>
      <c r="AN2997">
        <v>1.0000000001235401</v>
      </c>
    </row>
    <row r="2998" spans="1:40" x14ac:dyDescent="0.25">
      <c r="A2998" t="str">
        <f>"20190312154853198"</f>
        <v>20190312154853198</v>
      </c>
      <c r="B2998" t="str">
        <f>"1552376933189024"</f>
        <v>1552376933189024</v>
      </c>
      <c r="C2998" t="s">
        <v>40</v>
      </c>
      <c r="D2998">
        <v>4.3926759999999998</v>
      </c>
      <c r="E2998">
        <v>0.37567410000000001</v>
      </c>
      <c r="F2998" t="s">
        <v>49</v>
      </c>
      <c r="G2998">
        <v>-482.42450000000002</v>
      </c>
      <c r="H2998" s="1">
        <v>2.6452640000000002E-6</v>
      </c>
      <c r="I2998">
        <v>221.6361</v>
      </c>
      <c r="J2998">
        <v>-488.89510000000001</v>
      </c>
      <c r="K2998">
        <v>1.1139190000000001</v>
      </c>
      <c r="L2998">
        <v>229.60419999999999</v>
      </c>
      <c r="M2998">
        <v>0.3399759</v>
      </c>
      <c r="N2998">
        <v>0</v>
      </c>
      <c r="O2998">
        <v>-0.94033690000000003</v>
      </c>
      <c r="P2998">
        <v>0.3500259</v>
      </c>
      <c r="Q2998">
        <v>2.2693149999999999E-2</v>
      </c>
      <c r="R2998">
        <v>-0.9364654</v>
      </c>
      <c r="S2998">
        <v>1.9860530000000001</v>
      </c>
      <c r="T2998">
        <v>-0.33822619999999998</v>
      </c>
      <c r="U2998">
        <v>-2.474075</v>
      </c>
      <c r="V2998">
        <v>-1.109741E-2</v>
      </c>
      <c r="W2998">
        <v>3.6122389999999997E-2</v>
      </c>
      <c r="X2998">
        <v>0.9992858</v>
      </c>
      <c r="Y2998">
        <v>-0.31988470000000002</v>
      </c>
      <c r="Z2998">
        <v>0.1056667</v>
      </c>
      <c r="AA2998">
        <v>0.94154570000000004</v>
      </c>
      <c r="AB2998">
        <v>23</v>
      </c>
      <c r="AC2998">
        <v>6.4705999999999904</v>
      </c>
      <c r="AD2998">
        <v>-1.113916354736</v>
      </c>
      <c r="AE2998">
        <v>-7.96809999999999</v>
      </c>
      <c r="AF2998">
        <v>-3.3365958393083099</v>
      </c>
      <c r="AG2998">
        <v>-1.113916354736</v>
      </c>
      <c r="AH2998">
        <v>9.5806028675709491</v>
      </c>
      <c r="AI2998">
        <v>96.265956260407293</v>
      </c>
      <c r="AJ2998">
        <v>109.201477034592</v>
      </c>
      <c r="AK2998">
        <v>10.205960647893299</v>
      </c>
      <c r="AL2998">
        <v>87.929889243917998</v>
      </c>
      <c r="AM2998">
        <v>90.636263038650597</v>
      </c>
      <c r="AN2998">
        <v>1.0000000448248201</v>
      </c>
    </row>
    <row r="2999" spans="1:40" x14ac:dyDescent="0.25">
      <c r="A2999" t="str">
        <f>"20190312154853220"</f>
        <v>20190312154853220</v>
      </c>
      <c r="B2999" t="str">
        <f>"1552376933208548"</f>
        <v>1552376933208548</v>
      </c>
      <c r="C2999" t="s">
        <v>40</v>
      </c>
      <c r="D2999">
        <v>4.3879390000000003</v>
      </c>
      <c r="E2999">
        <v>0.37585220000000003</v>
      </c>
      <c r="F2999" t="s">
        <v>49</v>
      </c>
      <c r="G2999">
        <v>-482.34359999999998</v>
      </c>
      <c r="H2999" s="1">
        <v>2.6020019999999999E-6</v>
      </c>
      <c r="I2999">
        <v>221.50530000000001</v>
      </c>
      <c r="J2999">
        <v>-488.8168</v>
      </c>
      <c r="K2999">
        <v>1.113891</v>
      </c>
      <c r="L2999">
        <v>229.40700000000001</v>
      </c>
      <c r="M2999">
        <v>0.34535729999999998</v>
      </c>
      <c r="N2999">
        <v>0</v>
      </c>
      <c r="O2999">
        <v>-0.93837400000000004</v>
      </c>
      <c r="P2999">
        <v>0.3545064</v>
      </c>
      <c r="Q2999">
        <v>2.2322359999999999E-2</v>
      </c>
      <c r="R2999">
        <v>-0.93478749999999999</v>
      </c>
      <c r="S2999">
        <v>1.994934</v>
      </c>
      <c r="T2999">
        <v>-0.33918759999999998</v>
      </c>
      <c r="U2999">
        <v>-2.46611</v>
      </c>
      <c r="V2999">
        <v>-1.014931E-2</v>
      </c>
      <c r="W2999">
        <v>3.5755460000000003E-2</v>
      </c>
      <c r="X2999">
        <v>0.999309</v>
      </c>
      <c r="Y2999">
        <v>-0.31798029999999999</v>
      </c>
      <c r="Z2999">
        <v>0.10583339999999899</v>
      </c>
      <c r="AA2999">
        <v>0.94217189999999995</v>
      </c>
      <c r="AB2999">
        <v>23</v>
      </c>
      <c r="AC2999">
        <v>6.4732000000000101</v>
      </c>
      <c r="AD2999">
        <v>-1.1138883979980001</v>
      </c>
      <c r="AE2999">
        <v>-7.9016999999999999</v>
      </c>
      <c r="AF2999">
        <v>-3.3063607014</v>
      </c>
      <c r="AG2999">
        <v>-1.1138883979980001</v>
      </c>
      <c r="AH2999">
        <v>9.5377794463907506</v>
      </c>
      <c r="AI2999">
        <v>96.296817677425594</v>
      </c>
      <c r="AJ2999">
        <v>109.119353581399</v>
      </c>
      <c r="AK2999">
        <v>10.155885250383101</v>
      </c>
      <c r="AL2999">
        <v>87.950926219184097</v>
      </c>
      <c r="AM2999">
        <v>90.581894723925302</v>
      </c>
      <c r="AN2999">
        <v>0.99999996944714298</v>
      </c>
    </row>
    <row r="3000" spans="1:40" x14ac:dyDescent="0.25">
      <c r="A3000" t="str">
        <f>"20190312154853234"</f>
        <v>20190312154853234</v>
      </c>
      <c r="B3000" t="str">
        <f>"1552376933229040"</f>
        <v>1552376933229040</v>
      </c>
      <c r="C3000" t="s">
        <v>40</v>
      </c>
      <c r="D3000">
        <v>4.3896579999999998</v>
      </c>
      <c r="E3000">
        <v>0.3760038</v>
      </c>
      <c r="F3000" t="s">
        <v>49</v>
      </c>
      <c r="G3000">
        <v>-482.23390000000001</v>
      </c>
      <c r="H3000" s="1">
        <v>2.546397E-6</v>
      </c>
      <c r="I3000">
        <v>221.34180000000001</v>
      </c>
      <c r="J3000">
        <v>-488.76420000000002</v>
      </c>
      <c r="K3000">
        <v>1.1138779999999999</v>
      </c>
      <c r="L3000">
        <v>229.27629999999999</v>
      </c>
      <c r="M3000">
        <v>0.348912099999999</v>
      </c>
      <c r="N3000">
        <v>0</v>
      </c>
      <c r="O3000">
        <v>-0.93705799999999995</v>
      </c>
      <c r="P3000">
        <v>0.35776350000000001</v>
      </c>
      <c r="Q3000">
        <v>2.1922270000000001E-2</v>
      </c>
      <c r="R3000">
        <v>-0.93355520000000003</v>
      </c>
      <c r="S3000">
        <v>2.005341</v>
      </c>
      <c r="T3000">
        <v>-0.33932519999999999</v>
      </c>
      <c r="U3000">
        <v>-2.4568940000000001</v>
      </c>
      <c r="V3000">
        <v>-9.8368640000000007E-3</v>
      </c>
      <c r="W3000">
        <v>3.5355650000000002E-2</v>
      </c>
      <c r="X3000">
        <v>0.99932639999999995</v>
      </c>
      <c r="Y3000">
        <v>-0.31851249999999998</v>
      </c>
      <c r="Z3000">
        <v>0.1058287</v>
      </c>
      <c r="AA3000">
        <v>0.94199259999999996</v>
      </c>
      <c r="AB3000">
        <v>23</v>
      </c>
      <c r="AC3000">
        <v>6.5303000000000102</v>
      </c>
      <c r="AD3000">
        <v>-1.113875453603</v>
      </c>
      <c r="AE3000">
        <v>-7.9344999999999803</v>
      </c>
      <c r="AF3000">
        <v>-3.3122172690110201</v>
      </c>
      <c r="AG3000">
        <v>-1.113875453603</v>
      </c>
      <c r="AH3000">
        <v>9.6016636520382406</v>
      </c>
      <c r="AI3000">
        <v>96.258435850672896</v>
      </c>
      <c r="AJ3000">
        <v>109.032532254554</v>
      </c>
      <c r="AK3000">
        <v>10.2178004800517</v>
      </c>
      <c r="AL3000">
        <v>87.973848241226904</v>
      </c>
      <c r="AM3000">
        <v>90.563972480191296</v>
      </c>
      <c r="AN3000">
        <v>1.0000000198086101</v>
      </c>
    </row>
    <row r="3001" spans="1:40" x14ac:dyDescent="0.25">
      <c r="A3001" t="str">
        <f>"20190312154853258"</f>
        <v>20190312154853258</v>
      </c>
      <c r="B3001" t="str">
        <f>"1552376933248560"</f>
        <v>1552376933248560</v>
      </c>
      <c r="C3001" t="s">
        <v>40</v>
      </c>
      <c r="D3001">
        <v>4.3849280000000004</v>
      </c>
      <c r="E3001">
        <v>0.3761468</v>
      </c>
      <c r="F3001" t="s">
        <v>49</v>
      </c>
      <c r="G3001">
        <v>-482.16090000000003</v>
      </c>
      <c r="H3001" s="1">
        <v>2.510739E-6</v>
      </c>
      <c r="I3001">
        <v>221.23920000000001</v>
      </c>
      <c r="J3001">
        <v>-488.6721</v>
      </c>
      <c r="K3001">
        <v>1.11385499999999</v>
      </c>
      <c r="L3001">
        <v>229.05080000000001</v>
      </c>
      <c r="M3001">
        <v>0.35503010000000002</v>
      </c>
      <c r="N3001">
        <v>0</v>
      </c>
      <c r="O3001">
        <v>-0.93475719999999995</v>
      </c>
      <c r="P3001">
        <v>0.36333880000000002</v>
      </c>
      <c r="Q3001">
        <v>2.1953719999999999E-2</v>
      </c>
      <c r="R3001">
        <v>-0.93139850000000002</v>
      </c>
      <c r="S3001">
        <v>2.0129700000000001</v>
      </c>
      <c r="T3001">
        <v>-0.33955809999999997</v>
      </c>
      <c r="U3001">
        <v>-2.4500730000000002</v>
      </c>
      <c r="V3001">
        <v>-9.2778960000000008E-3</v>
      </c>
      <c r="W3001">
        <v>3.5387589999999997E-2</v>
      </c>
      <c r="X3001">
        <v>0.99933059999999996</v>
      </c>
      <c r="Y3001">
        <v>-0.31535849999999999</v>
      </c>
      <c r="Z3001">
        <v>0.1057136</v>
      </c>
      <c r="AA3001">
        <v>0.94306610000000002</v>
      </c>
      <c r="AB3001">
        <v>23</v>
      </c>
      <c r="AC3001">
        <v>6.5111999999999703</v>
      </c>
      <c r="AD3001">
        <v>-1.11385248926099</v>
      </c>
      <c r="AE3001">
        <v>-7.8115999999999897</v>
      </c>
      <c r="AF3001">
        <v>-3.2740623229405199</v>
      </c>
      <c r="AG3001">
        <v>-1.11385248926099</v>
      </c>
      <c r="AH3001">
        <v>9.5005236422375301</v>
      </c>
      <c r="AI3001">
        <v>96.325059516597193</v>
      </c>
      <c r="AJ3001">
        <v>109.014931648114</v>
      </c>
      <c r="AK3001">
        <v>10.1103956865716</v>
      </c>
      <c r="AL3001">
        <v>87.972017037087099</v>
      </c>
      <c r="AM3001">
        <v>90.531925081749193</v>
      </c>
      <c r="AN3001">
        <v>1.00000000448827</v>
      </c>
    </row>
    <row r="3002" spans="1:40" x14ac:dyDescent="0.25">
      <c r="A3002" t="str">
        <f>"20190312154853277"</f>
        <v>20190312154853277</v>
      </c>
      <c r="B3002" t="str">
        <f>"1552376933269056"</f>
        <v>1552376933269056</v>
      </c>
      <c r="C3002" t="s">
        <v>40</v>
      </c>
      <c r="D3002">
        <v>4.3456089999999996</v>
      </c>
      <c r="E3002">
        <v>0.37628929999999999</v>
      </c>
      <c r="F3002" t="s">
        <v>49</v>
      </c>
      <c r="G3002">
        <v>-482.00069999999999</v>
      </c>
      <c r="H3002" s="1">
        <v>2.4352769999999998E-6</v>
      </c>
      <c r="I3002">
        <v>221.0264</v>
      </c>
      <c r="J3002">
        <v>-488.59690000000001</v>
      </c>
      <c r="K3002">
        <v>1.1138440000000001</v>
      </c>
      <c r="L3002">
        <v>228.8699</v>
      </c>
      <c r="M3002">
        <v>0.35993259999999899</v>
      </c>
      <c r="N3002">
        <v>0</v>
      </c>
      <c r="O3002">
        <v>-0.9328803</v>
      </c>
      <c r="P3002">
        <v>0.36792999999999998</v>
      </c>
      <c r="Q3002">
        <v>2.2505239999999999E-2</v>
      </c>
      <c r="R3002">
        <v>-0.92958090000000004</v>
      </c>
      <c r="S3002">
        <v>2.027069</v>
      </c>
      <c r="T3002">
        <v>-0.33843959999999901</v>
      </c>
      <c r="U3002">
        <v>-2.438202</v>
      </c>
      <c r="V3002">
        <v>-8.9713199999999996E-3</v>
      </c>
      <c r="W3002">
        <v>3.5937980000000001E-2</v>
      </c>
      <c r="X3002">
        <v>0.99931380000000003</v>
      </c>
      <c r="Y3002">
        <v>-0.3158897</v>
      </c>
      <c r="Z3002">
        <v>0.105271699999999</v>
      </c>
      <c r="AA3002">
        <v>0.94293769999999999</v>
      </c>
      <c r="AB3002">
        <v>23</v>
      </c>
      <c r="AC3002">
        <v>6.5961999999999996</v>
      </c>
      <c r="AD3002">
        <v>-1.113841564723</v>
      </c>
      <c r="AE3002">
        <v>-7.8434999999999997</v>
      </c>
      <c r="AF3002">
        <v>-3.2917552531806802</v>
      </c>
      <c r="AG3002">
        <v>-1.113841564723</v>
      </c>
      <c r="AH3002">
        <v>9.5789712358207293</v>
      </c>
      <c r="AI3002">
        <v>96.275481496352597</v>
      </c>
      <c r="AJ3002">
        <v>108.964972142657</v>
      </c>
      <c r="AK3002">
        <v>10.1898471830949</v>
      </c>
      <c r="AL3002">
        <v>87.940462027379198</v>
      </c>
      <c r="AM3002">
        <v>90.514357916590797</v>
      </c>
      <c r="AN3002">
        <v>1.0000000469297301</v>
      </c>
    </row>
    <row r="3003" spans="1:40" x14ac:dyDescent="0.25">
      <c r="A3003" t="str">
        <f>"20190312154853299"</f>
        <v>20190312154853299</v>
      </c>
      <c r="B3003" t="str">
        <f>"1552376933288580"</f>
        <v>1552376933288580</v>
      </c>
      <c r="C3003" t="s">
        <v>40</v>
      </c>
      <c r="D3003">
        <v>4.3626480000000001</v>
      </c>
      <c r="E3003">
        <v>0.37645129999999999</v>
      </c>
      <c r="F3003" t="s">
        <v>49</v>
      </c>
      <c r="G3003">
        <v>-481.82819999999998</v>
      </c>
      <c r="H3003" s="1">
        <v>2.355793E-6</v>
      </c>
      <c r="I3003">
        <v>220.80529999999999</v>
      </c>
      <c r="J3003">
        <v>-488.51260000000002</v>
      </c>
      <c r="K3003">
        <v>1.113837</v>
      </c>
      <c r="L3003">
        <v>228.67</v>
      </c>
      <c r="M3003">
        <v>0.36534630000000001</v>
      </c>
      <c r="N3003">
        <v>0</v>
      </c>
      <c r="O3003">
        <v>-0.93077359999999998</v>
      </c>
      <c r="P3003">
        <v>0.37297970000000003</v>
      </c>
      <c r="Q3003">
        <v>2.2906630000000001E-2</v>
      </c>
      <c r="R3003">
        <v>-0.92755679999999996</v>
      </c>
      <c r="S3003">
        <v>2.0383610000000001</v>
      </c>
      <c r="T3003">
        <v>-0.335426</v>
      </c>
      <c r="U3003">
        <v>-2.4286189999999999</v>
      </c>
      <c r="V3003">
        <v>-8.6057110000000003E-3</v>
      </c>
      <c r="W3003">
        <v>3.6339219999999998E-2</v>
      </c>
      <c r="X3003">
        <v>0.99930240000000004</v>
      </c>
      <c r="Y3003">
        <v>-0.31485790000000002</v>
      </c>
      <c r="Z3003">
        <v>0.1041979</v>
      </c>
      <c r="AA3003">
        <v>0.94340199999999996</v>
      </c>
      <c r="AB3003">
        <v>23</v>
      </c>
      <c r="AC3003">
        <v>6.6844000000000303</v>
      </c>
      <c r="AD3003">
        <v>-1.113834644207</v>
      </c>
      <c r="AE3003">
        <v>-7.8646999999999903</v>
      </c>
      <c r="AF3003">
        <v>-3.3100828520694301</v>
      </c>
      <c r="AG3003">
        <v>-1.113834644207</v>
      </c>
      <c r="AH3003">
        <v>9.6508800023929204</v>
      </c>
      <c r="AI3003">
        <v>96.230308909932603</v>
      </c>
      <c r="AJ3003">
        <v>108.931070588089</v>
      </c>
      <c r="AK3003">
        <v>10.2633698619307</v>
      </c>
      <c r="AL3003">
        <v>87.917457424173406</v>
      </c>
      <c r="AM3003">
        <v>90.493402929443306</v>
      </c>
      <c r="AN3003">
        <v>0.99999994190888997</v>
      </c>
    </row>
    <row r="3004" spans="1:40" x14ac:dyDescent="0.25">
      <c r="A3004" t="str">
        <f>"20190312154853312"</f>
        <v>20190312154853312</v>
      </c>
      <c r="B3004" t="str">
        <f>"1552376933309072"</f>
        <v>1552376933309072</v>
      </c>
      <c r="C3004" t="s">
        <v>40</v>
      </c>
      <c r="D3004">
        <v>4.3823309999999998</v>
      </c>
      <c r="E3004">
        <v>0.3766042</v>
      </c>
      <c r="F3004" t="s">
        <v>49</v>
      </c>
      <c r="G3004">
        <v>-481.64679999999998</v>
      </c>
      <c r="H3004" s="1">
        <v>2.272658E-6</v>
      </c>
      <c r="I3004">
        <v>220.57480000000001</v>
      </c>
      <c r="J3004">
        <v>-488.46010000000001</v>
      </c>
      <c r="K3004">
        <v>1.113831</v>
      </c>
      <c r="L3004">
        <v>228.547</v>
      </c>
      <c r="M3004">
        <v>0.36867899999999998</v>
      </c>
      <c r="N3004">
        <v>0</v>
      </c>
      <c r="O3004">
        <v>-0.92945869999999997</v>
      </c>
      <c r="P3004">
        <v>0.37616579999999999</v>
      </c>
      <c r="Q3004">
        <v>2.318199E-2</v>
      </c>
      <c r="R3004">
        <v>-0.92626269999999999</v>
      </c>
      <c r="S3004">
        <v>2.0506899999999999</v>
      </c>
      <c r="T3004">
        <v>-0.33268109999999901</v>
      </c>
      <c r="U3004">
        <v>-2.4179080000000002</v>
      </c>
      <c r="V3004">
        <v>-8.4645789999999999E-3</v>
      </c>
      <c r="W3004">
        <v>3.6614170000000001E-2</v>
      </c>
      <c r="X3004">
        <v>0.9992936</v>
      </c>
      <c r="Y3004">
        <v>-0.31637959999999998</v>
      </c>
      <c r="Z3004">
        <v>0.1033129</v>
      </c>
      <c r="AA3004">
        <v>0.94299010000000005</v>
      </c>
      <c r="AB3004">
        <v>23</v>
      </c>
      <c r="AC3004">
        <v>6.8133000000000203</v>
      </c>
      <c r="AD3004">
        <v>-1.113828727342</v>
      </c>
      <c r="AE3004">
        <v>-7.9721999999999804</v>
      </c>
      <c r="AF3004">
        <v>-3.3559502673929198</v>
      </c>
      <c r="AG3004">
        <v>-1.113828727342</v>
      </c>
      <c r="AH3004">
        <v>9.8119702833698508</v>
      </c>
      <c r="AI3004">
        <v>96.130557282646393</v>
      </c>
      <c r="AJ3004">
        <v>108.88202854741</v>
      </c>
      <c r="AK3004">
        <v>10.429658550153899</v>
      </c>
      <c r="AL3004">
        <v>87.901693522560805</v>
      </c>
      <c r="AM3004">
        <v>90.485315880406304</v>
      </c>
      <c r="AN3004">
        <v>0.99999997277169705</v>
      </c>
    </row>
    <row r="3005" spans="1:40" x14ac:dyDescent="0.25">
      <c r="A3005" t="str">
        <f>"20190312154853333"</f>
        <v>20190312154853333</v>
      </c>
      <c r="B3005" t="str">
        <f>"1552376933328592"</f>
        <v>1552376933328592</v>
      </c>
      <c r="C3005" t="s">
        <v>40</v>
      </c>
      <c r="D3005">
        <v>4.3903629999999998</v>
      </c>
      <c r="E3005">
        <v>0.37683640000000002</v>
      </c>
      <c r="F3005" t="s">
        <v>49</v>
      </c>
      <c r="G3005">
        <v>-481.54259999999999</v>
      </c>
      <c r="H3005" s="1">
        <v>2.22485E-6</v>
      </c>
      <c r="I3005">
        <v>220.44210000000001</v>
      </c>
      <c r="J3005">
        <v>-488.3777</v>
      </c>
      <c r="K3005">
        <v>1.1138330000000001</v>
      </c>
      <c r="L3005">
        <v>228.35669999999999</v>
      </c>
      <c r="M3005">
        <v>0.37383569999999999</v>
      </c>
      <c r="N3005">
        <v>0</v>
      </c>
      <c r="O3005">
        <v>-0.92739680000000002</v>
      </c>
      <c r="P3005">
        <v>0.38087520000000002</v>
      </c>
      <c r="Q3005">
        <v>2.3278900000000002E-2</v>
      </c>
      <c r="R3005">
        <v>-0.92433350000000003</v>
      </c>
      <c r="S3005">
        <v>2.0580750000000001</v>
      </c>
      <c r="T3005">
        <v>-0.3313836</v>
      </c>
      <c r="U3005">
        <v>-2.411346</v>
      </c>
      <c r="V3005">
        <v>-8.0013919999999995E-3</v>
      </c>
      <c r="W3005">
        <v>3.6711849999999997E-2</v>
      </c>
      <c r="X3005">
        <v>0.99929389999999996</v>
      </c>
      <c r="Y3005">
        <v>-0.31408700000000001</v>
      </c>
      <c r="Z3005">
        <v>0.1027462</v>
      </c>
      <c r="AA3005">
        <v>0.94381809999999999</v>
      </c>
      <c r="AB3005">
        <v>23</v>
      </c>
      <c r="AC3005">
        <v>6.8351000000000104</v>
      </c>
      <c r="AD3005">
        <v>-1.1138307751500001</v>
      </c>
      <c r="AE3005">
        <v>-7.9145999999999699</v>
      </c>
      <c r="AF3005">
        <v>-3.3424790842928802</v>
      </c>
      <c r="AG3005">
        <v>-1.1138307751500001</v>
      </c>
      <c r="AH3005">
        <v>9.7850740064783999</v>
      </c>
      <c r="AI3005">
        <v>96.148105879676095</v>
      </c>
      <c r="AJ3005">
        <v>108.859631181474</v>
      </c>
      <c r="AK3005">
        <v>10.400022054633601</v>
      </c>
      <c r="AL3005">
        <v>87.896093247751594</v>
      </c>
      <c r="AM3005">
        <v>90.458760125315095</v>
      </c>
      <c r="AN3005">
        <v>1.0000000403907801</v>
      </c>
    </row>
    <row r="3006" spans="1:40" x14ac:dyDescent="0.25">
      <c r="A3006" t="str">
        <f>"20190312154853354"</f>
        <v>20190312154853354</v>
      </c>
      <c r="B3006" t="str">
        <f>"1552376933349088"</f>
        <v>1552376933349088</v>
      </c>
      <c r="C3006" t="s">
        <v>40</v>
      </c>
      <c r="D3006">
        <v>4.365958</v>
      </c>
      <c r="E3006">
        <v>0.37705159999999999</v>
      </c>
      <c r="F3006" t="s">
        <v>49</v>
      </c>
      <c r="G3006">
        <v>-481.41460000000001</v>
      </c>
      <c r="H3006" s="1">
        <v>2.1647089999999998E-6</v>
      </c>
      <c r="I3006">
        <v>220.27289999999999</v>
      </c>
      <c r="J3006">
        <v>-488.29020000000003</v>
      </c>
      <c r="K3006">
        <v>1.1138330000000001</v>
      </c>
      <c r="L3006">
        <v>228.15770000000001</v>
      </c>
      <c r="M3006">
        <v>0.37923469999999998</v>
      </c>
      <c r="N3006">
        <v>0</v>
      </c>
      <c r="O3006">
        <v>-0.92520199999999997</v>
      </c>
      <c r="P3006">
        <v>0.38621100000000003</v>
      </c>
      <c r="Q3006">
        <v>2.3421669999999999E-2</v>
      </c>
      <c r="R3006">
        <v>-0.92211330000000002</v>
      </c>
      <c r="S3006">
        <v>2.0686040000000001</v>
      </c>
      <c r="T3006">
        <v>-0.33089420000000003</v>
      </c>
      <c r="U3006">
        <v>-2.401535</v>
      </c>
      <c r="V3006">
        <v>-7.9546540000000002E-3</v>
      </c>
      <c r="W3006">
        <v>3.6852429999999999E-2</v>
      </c>
      <c r="X3006">
        <v>0.99928899999999998</v>
      </c>
      <c r="Y3006">
        <v>-0.31285429999999997</v>
      </c>
      <c r="Z3006">
        <v>0.1024524</v>
      </c>
      <c r="AA3006">
        <v>0.94425930000000002</v>
      </c>
      <c r="AB3006">
        <v>23</v>
      </c>
      <c r="AC3006">
        <v>6.8756000000000101</v>
      </c>
      <c r="AD3006">
        <v>-1.113830835291</v>
      </c>
      <c r="AE3006">
        <v>-7.88480000000001</v>
      </c>
      <c r="AF3006">
        <v>-3.3336473459355198</v>
      </c>
      <c r="AG3006">
        <v>-1.113830835291</v>
      </c>
      <c r="AH3006">
        <v>9.7923982999900492</v>
      </c>
      <c r="AI3006">
        <v>96.145698785524502</v>
      </c>
      <c r="AJ3006">
        <v>108.800225695001</v>
      </c>
      <c r="AK3006">
        <v>10.4040803640858</v>
      </c>
      <c r="AL3006">
        <v>87.888032944911799</v>
      </c>
      <c r="AM3006">
        <v>90.4560827500638</v>
      </c>
      <c r="AN3006">
        <v>0.99999994181908003</v>
      </c>
    </row>
    <row r="3007" spans="1:40" x14ac:dyDescent="0.25">
      <c r="A3007" t="str">
        <f>"20190312154853368"</f>
        <v>20190312154853368</v>
      </c>
      <c r="B3007" t="str">
        <f>"1552376933358848"</f>
        <v>1552376933358848</v>
      </c>
      <c r="C3007" t="s">
        <v>40</v>
      </c>
      <c r="D3007">
        <v>4.3678140000000001</v>
      </c>
      <c r="E3007">
        <v>0.37714629999999999</v>
      </c>
      <c r="F3007" t="s">
        <v>49</v>
      </c>
      <c r="G3007">
        <v>-481.29329999999999</v>
      </c>
      <c r="H3007" s="1">
        <v>2.1089959999999999E-6</v>
      </c>
      <c r="I3007">
        <v>220.1181</v>
      </c>
      <c r="J3007">
        <v>-488.23430000000002</v>
      </c>
      <c r="K3007">
        <v>1.1138319999999999</v>
      </c>
      <c r="L3007">
        <v>228.03190000000001</v>
      </c>
      <c r="M3007">
        <v>0.3826485</v>
      </c>
      <c r="N3007">
        <v>0</v>
      </c>
      <c r="O3007">
        <v>-0.92379549999999999</v>
      </c>
      <c r="P3007">
        <v>0.38973239999999998</v>
      </c>
      <c r="Q3007">
        <v>2.3299070000000002E-2</v>
      </c>
      <c r="R3007">
        <v>-0.92063390000000001</v>
      </c>
      <c r="S3007">
        <v>2.080444</v>
      </c>
      <c r="T3007">
        <v>-0.3311827</v>
      </c>
      <c r="U3007">
        <v>-2.3904420000000002</v>
      </c>
      <c r="V3007">
        <v>-8.081441E-3</v>
      </c>
      <c r="W3007">
        <v>3.6727099999999999E-2</v>
      </c>
      <c r="X3007">
        <v>0.99929270000000003</v>
      </c>
      <c r="Y3007">
        <v>-0.3141738</v>
      </c>
      <c r="Z3007">
        <v>0.1025013</v>
      </c>
      <c r="AA3007">
        <v>0.94381579999999998</v>
      </c>
      <c r="AB3007">
        <v>23</v>
      </c>
      <c r="AC3007">
        <v>6.94100000000003</v>
      </c>
      <c r="AD3007">
        <v>-1.1138298910040001</v>
      </c>
      <c r="AE3007">
        <v>-7.9138000000000002</v>
      </c>
      <c r="AF3007">
        <v>-3.34669811109538</v>
      </c>
      <c r="AG3007">
        <v>-1.1138298910040001</v>
      </c>
      <c r="AH3007">
        <v>9.8572382902787599</v>
      </c>
      <c r="AI3007">
        <v>96.1072647028071</v>
      </c>
      <c r="AJ3007">
        <v>108.753213612054</v>
      </c>
      <c r="AK3007">
        <v>10.469295677563</v>
      </c>
      <c r="AL3007">
        <v>87.895218907032103</v>
      </c>
      <c r="AM3007">
        <v>90.4633500951592</v>
      </c>
      <c r="AN3007">
        <v>1.0000000449181601</v>
      </c>
    </row>
    <row r="3008" spans="1:40" x14ac:dyDescent="0.25">
      <c r="A3008" t="str">
        <f>"20190312154853389"</f>
        <v>20190312154853389</v>
      </c>
      <c r="B3008" t="str">
        <f>"1552376933378368"</f>
        <v>1552376933378368</v>
      </c>
      <c r="C3008" t="s">
        <v>40</v>
      </c>
      <c r="D3008">
        <v>4.3659889999999999</v>
      </c>
      <c r="E3008">
        <v>0.37736710000000001</v>
      </c>
      <c r="F3008" t="s">
        <v>49</v>
      </c>
      <c r="G3008">
        <v>-481.2251</v>
      </c>
      <c r="H3008" s="1">
        <v>2.0788080000000001E-6</v>
      </c>
      <c r="I3008">
        <v>220.03630000000001</v>
      </c>
      <c r="J3008">
        <v>-488.15050000000002</v>
      </c>
      <c r="K3008">
        <v>1.113834</v>
      </c>
      <c r="L3008">
        <v>227.846</v>
      </c>
      <c r="M3008">
        <v>0.38769749999999997</v>
      </c>
      <c r="N3008">
        <v>0</v>
      </c>
      <c r="O3008">
        <v>-0.92168779999999995</v>
      </c>
      <c r="P3008">
        <v>0.39556829999999998</v>
      </c>
      <c r="Q3008">
        <v>2.366184E-2</v>
      </c>
      <c r="R3008">
        <v>-0.91813180000000005</v>
      </c>
      <c r="S3008">
        <v>2.0888059999999999</v>
      </c>
      <c r="T3008">
        <v>-0.33193230000000001</v>
      </c>
      <c r="U3008">
        <v>-2.3827509999999998</v>
      </c>
      <c r="V3008">
        <v>-8.9633200000000003E-3</v>
      </c>
      <c r="W3008">
        <v>3.7079719999999997E-2</v>
      </c>
      <c r="X3008">
        <v>0.9992721</v>
      </c>
      <c r="Y3008">
        <v>-0.31235479999999999</v>
      </c>
      <c r="Z3008">
        <v>0.10256700000000001</v>
      </c>
      <c r="AA3008">
        <v>0.94441220000000003</v>
      </c>
      <c r="AB3008">
        <v>23</v>
      </c>
      <c r="AC3008">
        <v>6.9254000000000202</v>
      </c>
      <c r="AD3008">
        <v>-1.113831921192</v>
      </c>
      <c r="AE3008">
        <v>-7.8096999999999603</v>
      </c>
      <c r="AF3008">
        <v>-3.3177823760957499</v>
      </c>
      <c r="AG3008">
        <v>-1.113831921192</v>
      </c>
      <c r="AH3008">
        <v>9.7726865292609695</v>
      </c>
      <c r="AI3008">
        <v>96.159750264562405</v>
      </c>
      <c r="AJ3008">
        <v>108.75211496593001</v>
      </c>
      <c r="AK3008">
        <v>10.3804481330526</v>
      </c>
      <c r="AL3008">
        <v>87.875001378325805</v>
      </c>
      <c r="AM3008">
        <v>90.513920716598705</v>
      </c>
      <c r="AN3008">
        <v>0.99999998828955505</v>
      </c>
    </row>
    <row r="3009" spans="1:40" x14ac:dyDescent="0.25">
      <c r="A3009" t="str">
        <f>"20190312154853412"</f>
        <v>20190312154853412</v>
      </c>
      <c r="B3009" t="str">
        <f>"1552376933408624"</f>
        <v>1552376933408624</v>
      </c>
      <c r="C3009" t="s">
        <v>40</v>
      </c>
      <c r="D3009">
        <v>4.3620289999999997</v>
      </c>
      <c r="E3009">
        <v>0.3869435</v>
      </c>
      <c r="F3009" t="s">
        <v>49</v>
      </c>
      <c r="G3009">
        <v>-481.10860000000002</v>
      </c>
      <c r="H3009" s="1">
        <v>2.028979E-6</v>
      </c>
      <c r="I3009">
        <v>219.90440000000001</v>
      </c>
      <c r="J3009">
        <v>-488.05669999999998</v>
      </c>
      <c r="K3009">
        <v>1.113828</v>
      </c>
      <c r="L3009">
        <v>227.64109999999999</v>
      </c>
      <c r="M3009">
        <v>0.39327079999999998</v>
      </c>
      <c r="N3009">
        <v>0</v>
      </c>
      <c r="O3009">
        <v>-0.91932380000000002</v>
      </c>
      <c r="P3009">
        <v>0.40232649999999998</v>
      </c>
      <c r="Q3009">
        <v>2.364132E-2</v>
      </c>
      <c r="R3009">
        <v>-0.91519119999999998</v>
      </c>
      <c r="S3009">
        <v>2.1019290000000002</v>
      </c>
      <c r="T3009">
        <v>-0.33246559999999997</v>
      </c>
      <c r="U3009">
        <v>-2.3704830000000001</v>
      </c>
      <c r="V3009">
        <v>-1.027987E-2</v>
      </c>
      <c r="W3009">
        <v>3.7044460000000001E-2</v>
      </c>
      <c r="X3009">
        <v>0.9992607</v>
      </c>
      <c r="Y3009">
        <v>-0.31195299999999998</v>
      </c>
      <c r="Z3009">
        <v>0.102586</v>
      </c>
      <c r="AA3009">
        <v>0.94454300000000002</v>
      </c>
      <c r="AB3009">
        <v>23</v>
      </c>
      <c r="AC3009">
        <v>6.9480999999999504</v>
      </c>
      <c r="AD3009">
        <v>-1.1138259710209999</v>
      </c>
      <c r="AE3009">
        <v>-7.7366999999999804</v>
      </c>
      <c r="AF3009">
        <v>-3.30729496154219</v>
      </c>
      <c r="AG3009">
        <v>-1.1138259710209999</v>
      </c>
      <c r="AH3009">
        <v>9.7342313808011696</v>
      </c>
      <c r="AI3009">
        <v>96.183370574904103</v>
      </c>
      <c r="AJ3009">
        <v>108.765666693631</v>
      </c>
      <c r="AK3009">
        <v>10.340893038385801</v>
      </c>
      <c r="AL3009">
        <v>87.877022950341996</v>
      </c>
      <c r="AM3009">
        <v>90.589408137560298</v>
      </c>
      <c r="AN3009">
        <v>0.99999995715419798</v>
      </c>
    </row>
    <row r="3010" spans="1:40" x14ac:dyDescent="0.25">
      <c r="A3010" t="str">
        <f>"20190312154853434"</f>
        <v>20190312154853434</v>
      </c>
      <c r="B3010" t="str">
        <f>"1552376933429120"</f>
        <v>1552376933429120</v>
      </c>
      <c r="C3010" t="s">
        <v>40</v>
      </c>
      <c r="D3010">
        <v>4.2878319999999999</v>
      </c>
      <c r="E3010">
        <v>0.36175289999999999</v>
      </c>
      <c r="F3010" t="s">
        <v>49</v>
      </c>
      <c r="G3010">
        <v>-481.05520000000001</v>
      </c>
      <c r="H3010" s="1">
        <v>1.9501129999999999E-6</v>
      </c>
      <c r="I3010">
        <v>219.48589999999999</v>
      </c>
      <c r="J3010">
        <v>-487.9631</v>
      </c>
      <c r="K3010">
        <v>1.1138159999999999</v>
      </c>
      <c r="L3010">
        <v>227.44</v>
      </c>
      <c r="M3010">
        <v>0.3987445</v>
      </c>
      <c r="N3010">
        <v>0</v>
      </c>
      <c r="O3010">
        <v>-0.91696290000000003</v>
      </c>
      <c r="P3010">
        <v>0.40956500000000001</v>
      </c>
      <c r="Q3010">
        <v>2.301017E-2</v>
      </c>
      <c r="R3010">
        <v>-0.9119912</v>
      </c>
      <c r="S3010">
        <v>2.0484010000000001</v>
      </c>
      <c r="T3010">
        <v>-0.32586799999999999</v>
      </c>
      <c r="U3010">
        <v>-2.3859409999999999</v>
      </c>
      <c r="V3010">
        <v>-1.222849E-2</v>
      </c>
      <c r="W3010">
        <v>3.6394019999999999E-2</v>
      </c>
      <c r="X3010">
        <v>0.99926269999999995</v>
      </c>
      <c r="Y3010">
        <v>-0.29123019999999999</v>
      </c>
      <c r="Z3010">
        <v>0.100704</v>
      </c>
      <c r="AA3010">
        <v>0.95133780000000001</v>
      </c>
      <c r="AB3010">
        <v>23</v>
      </c>
      <c r="AC3010">
        <v>6.9078999999999802</v>
      </c>
      <c r="AD3010">
        <v>-1.1138140498869999</v>
      </c>
      <c r="AE3010">
        <v>-7.9541000000000102</v>
      </c>
      <c r="AF3010">
        <v>-3.1279584986759001</v>
      </c>
      <c r="AG3010">
        <v>-1.1138140498869999</v>
      </c>
      <c r="AH3010">
        <v>9.9379319090906204</v>
      </c>
      <c r="AI3010">
        <v>96.102120768995505</v>
      </c>
      <c r="AJ3010">
        <v>107.471366223904</v>
      </c>
      <c r="AK3010">
        <v>10.477938572872301</v>
      </c>
      <c r="AL3010">
        <v>87.914315662632902</v>
      </c>
      <c r="AM3010">
        <v>90.701122832599196</v>
      </c>
      <c r="AN3010">
        <v>1.0000000021353599</v>
      </c>
    </row>
    <row r="3011" spans="1:40" x14ac:dyDescent="0.25">
      <c r="A3011" t="str">
        <f>"20190312154853458"</f>
        <v>20190312154853458</v>
      </c>
      <c r="B3011" t="str">
        <f>"1552376933448640"</f>
        <v>1552376933448640</v>
      </c>
      <c r="C3011" t="s">
        <v>40</v>
      </c>
      <c r="D3011">
        <v>4.1394919999999997</v>
      </c>
      <c r="E3011">
        <v>0.34361829999999999</v>
      </c>
      <c r="F3011" t="s">
        <v>49</v>
      </c>
      <c r="G3011">
        <v>-480.15210000000002</v>
      </c>
      <c r="H3011" s="1">
        <v>1.7905539999999899E-6</v>
      </c>
      <c r="I3011">
        <v>219.50049999999999</v>
      </c>
      <c r="J3011">
        <v>-487.86360000000002</v>
      </c>
      <c r="K3011">
        <v>1.1138049999999999</v>
      </c>
      <c r="L3011">
        <v>227.2294</v>
      </c>
      <c r="M3011">
        <v>0.40448279999999998</v>
      </c>
      <c r="N3011">
        <v>0</v>
      </c>
      <c r="O3011">
        <v>-0.91444610000000004</v>
      </c>
      <c r="P3011">
        <v>0.41701300000000002</v>
      </c>
      <c r="Q3011">
        <v>2.3258629999999999E-2</v>
      </c>
      <c r="R3011">
        <v>-0.90860280000000004</v>
      </c>
      <c r="S3011">
        <v>2.2500610000000001</v>
      </c>
      <c r="T3011">
        <v>-0.32085029999999998</v>
      </c>
      <c r="U3011">
        <v>-2.2870940000000002</v>
      </c>
      <c r="V3011">
        <v>-1.414763E-2</v>
      </c>
      <c r="W3011">
        <v>3.6623219999999998E-2</v>
      </c>
      <c r="X3011">
        <v>0.99922900000000003</v>
      </c>
      <c r="Y3011">
        <v>-0.34935749999999999</v>
      </c>
      <c r="Z3011">
        <v>9.8325280000000001E-2</v>
      </c>
      <c r="AA3011">
        <v>0.93181619999999998</v>
      </c>
      <c r="AB3011">
        <v>23</v>
      </c>
      <c r="AC3011">
        <v>7.7115</v>
      </c>
      <c r="AD3011">
        <v>-1.113803209446</v>
      </c>
      <c r="AE3011">
        <v>-7.7289000000000003</v>
      </c>
      <c r="AF3011">
        <v>-3.8854648703123602</v>
      </c>
      <c r="AG3011">
        <v>-1.113803209446</v>
      </c>
      <c r="AH3011">
        <v>10.0828258073855</v>
      </c>
      <c r="AI3011">
        <v>95.885082983200903</v>
      </c>
      <c r="AJ3011">
        <v>111.074405566953</v>
      </c>
      <c r="AK3011">
        <v>10.862815984351499</v>
      </c>
      <c r="AL3011">
        <v>87.901174715534793</v>
      </c>
      <c r="AM3011">
        <v>90.811170742814099</v>
      </c>
      <c r="AN3011">
        <v>1.00000000505939</v>
      </c>
    </row>
    <row r="3012" spans="1:40" x14ac:dyDescent="0.25">
      <c r="A3012" t="str">
        <f>"20190312154853480"</f>
        <v>20190312154853480</v>
      </c>
      <c r="B3012" t="str">
        <f>"1552376933469137"</f>
        <v>1552376933469137</v>
      </c>
      <c r="C3012" t="s">
        <v>40</v>
      </c>
      <c r="D3012">
        <v>4.1476670000000002</v>
      </c>
      <c r="E3012">
        <v>0.3349087</v>
      </c>
      <c r="F3012" t="s">
        <v>49</v>
      </c>
      <c r="G3012">
        <v>-478.45310000000001</v>
      </c>
      <c r="H3012" s="1">
        <v>2.382452E-6</v>
      </c>
      <c r="I3012">
        <v>218.56479999999999</v>
      </c>
      <c r="J3012">
        <v>-487.76350000000002</v>
      </c>
      <c r="K3012">
        <v>1.113812</v>
      </c>
      <c r="L3012">
        <v>227.02090000000001</v>
      </c>
      <c r="M3012">
        <v>0.41018500000000002</v>
      </c>
      <c r="N3012">
        <v>0</v>
      </c>
      <c r="O3012">
        <v>-0.91190269999999995</v>
      </c>
      <c r="P3012">
        <v>0.42419410000000002</v>
      </c>
      <c r="Q3012">
        <v>2.2846200000000001E-2</v>
      </c>
      <c r="R3012">
        <v>-0.90528330000000001</v>
      </c>
      <c r="S3012">
        <v>2.3983759999999998</v>
      </c>
      <c r="T3012">
        <v>-0.28386319999999998</v>
      </c>
      <c r="U3012">
        <v>-2.2082670000000002</v>
      </c>
      <c r="V3012">
        <v>-1.581312E-2</v>
      </c>
      <c r="W3012">
        <v>3.6193870000000003E-2</v>
      </c>
      <c r="X3012">
        <v>0.99921970000000004</v>
      </c>
      <c r="Y3012">
        <v>-0.39009870000000002</v>
      </c>
      <c r="Z3012">
        <v>8.6379449999999997E-2</v>
      </c>
      <c r="AA3012">
        <v>0.91671239999999998</v>
      </c>
      <c r="AB3012">
        <v>23</v>
      </c>
      <c r="AC3012">
        <v>9.3104000000000102</v>
      </c>
      <c r="AD3012">
        <v>-1.1138096175479999</v>
      </c>
      <c r="AE3012">
        <v>-8.4561000000000099</v>
      </c>
      <c r="AF3012">
        <v>-4.98299160524732</v>
      </c>
      <c r="AG3012">
        <v>-1.1138096175479999</v>
      </c>
      <c r="AH3012">
        <v>11.4414470676387</v>
      </c>
      <c r="AI3012">
        <v>95.100216377108694</v>
      </c>
      <c r="AJ3012">
        <v>113.534141531855</v>
      </c>
      <c r="AK3012">
        <v>12.529065735468301</v>
      </c>
      <c r="AL3012">
        <v>87.925791030991604</v>
      </c>
      <c r="AM3012">
        <v>90.906656876039804</v>
      </c>
      <c r="AN3012">
        <v>1.0000000299289</v>
      </c>
    </row>
    <row r="3013" spans="1:40" x14ac:dyDescent="0.25">
      <c r="A3013" t="str">
        <f>"20190312154853501"</f>
        <v>20190312154853501</v>
      </c>
      <c r="B3013" t="str">
        <f>"1552376933498416"</f>
        <v>1552376933498416</v>
      </c>
      <c r="C3013" t="s">
        <v>40</v>
      </c>
      <c r="D3013">
        <v>4.134487</v>
      </c>
      <c r="E3013">
        <v>0.32994669999999998</v>
      </c>
      <c r="F3013" t="s">
        <v>49</v>
      </c>
      <c r="G3013">
        <v>-477.25659999999999</v>
      </c>
      <c r="H3013" s="1">
        <v>2.8823969999999998E-6</v>
      </c>
      <c r="I3013">
        <v>217.86340000000001</v>
      </c>
      <c r="J3013">
        <v>-487.67529999999999</v>
      </c>
      <c r="K3013">
        <v>1.113837</v>
      </c>
      <c r="L3013">
        <v>226.84</v>
      </c>
      <c r="M3013">
        <v>0.41516979999999998</v>
      </c>
      <c r="N3013">
        <v>0</v>
      </c>
      <c r="O3013">
        <v>-0.90964409999999896</v>
      </c>
      <c r="P3013">
        <v>0.43032359999999997</v>
      </c>
      <c r="Q3013">
        <v>2.28994E-2</v>
      </c>
      <c r="R3013">
        <v>-0.90238459999999998</v>
      </c>
      <c r="S3013">
        <v>2.4777529999999999</v>
      </c>
      <c r="T3013">
        <v>-0.26265759999999899</v>
      </c>
      <c r="U3013">
        <v>-2.1595309999999999</v>
      </c>
      <c r="V3013">
        <v>-1.7123360000000001E-2</v>
      </c>
      <c r="W3013">
        <v>3.6234379999999997E-2</v>
      </c>
      <c r="X3013">
        <v>0.99919659999999999</v>
      </c>
      <c r="Y3013">
        <v>-0.41042820000000002</v>
      </c>
      <c r="Z3013">
        <v>7.9605789999999996E-2</v>
      </c>
      <c r="AA3013">
        <v>0.90841159999999999</v>
      </c>
      <c r="AB3013">
        <v>23</v>
      </c>
      <c r="AC3013">
        <v>10.418699999999999</v>
      </c>
      <c r="AD3013">
        <v>-1.113834117603</v>
      </c>
      <c r="AE3013">
        <v>-8.9765999999999906</v>
      </c>
      <c r="AF3013">
        <v>-5.7135390361260701</v>
      </c>
      <c r="AG3013">
        <v>-1.113834117603</v>
      </c>
      <c r="AH3013">
        <v>12.4107646278533</v>
      </c>
      <c r="AI3013">
        <v>94.660630393889804</v>
      </c>
      <c r="AJ3013">
        <v>114.719907019435</v>
      </c>
      <c r="AK3013">
        <v>13.708108308838501</v>
      </c>
      <c r="AL3013">
        <v>87.923468378002298</v>
      </c>
      <c r="AM3013">
        <v>90.981789002126604</v>
      </c>
      <c r="AN3013">
        <v>0.99999999260161698</v>
      </c>
    </row>
    <row r="3014" spans="1:40" x14ac:dyDescent="0.25">
      <c r="A3014" t="str">
        <f>"20190312154853523"</f>
        <v>20190312154853523</v>
      </c>
      <c r="B3014" t="str">
        <f>"1552376933518912"</f>
        <v>1552376933518912</v>
      </c>
      <c r="C3014" t="s">
        <v>40</v>
      </c>
      <c r="D3014">
        <v>4.1466940000000001</v>
      </c>
      <c r="E3014">
        <v>0.32881759999999999</v>
      </c>
      <c r="F3014" t="s">
        <v>49</v>
      </c>
      <c r="G3014">
        <v>-476.41030000000001</v>
      </c>
      <c r="H3014" s="1">
        <v>3.2360949999999999E-6</v>
      </c>
      <c r="I3014">
        <v>217.3698</v>
      </c>
      <c r="J3014">
        <v>-487.57659999999998</v>
      </c>
      <c r="K3014">
        <v>1.113888</v>
      </c>
      <c r="L3014">
        <v>226.6405</v>
      </c>
      <c r="M3014">
        <v>0.42073729999999998</v>
      </c>
      <c r="N3014">
        <v>0</v>
      </c>
      <c r="O3014">
        <v>-0.9070821</v>
      </c>
      <c r="P3014">
        <v>0.43603760000000003</v>
      </c>
      <c r="Q3014">
        <v>2.3609229999999998E-2</v>
      </c>
      <c r="R3014">
        <v>-0.89961899999999995</v>
      </c>
      <c r="S3014">
        <v>2.5281069999999999</v>
      </c>
      <c r="T3014">
        <v>-0.24996779999999999</v>
      </c>
      <c r="U3014">
        <v>-2.125305</v>
      </c>
      <c r="V3014">
        <v>-1.7353029999999998E-2</v>
      </c>
      <c r="W3014">
        <v>3.694248E-2</v>
      </c>
      <c r="X3014">
        <v>0.99916669999999996</v>
      </c>
      <c r="Y3014">
        <v>-0.4212745</v>
      </c>
      <c r="Z3014">
        <v>7.5510380000000002E-2</v>
      </c>
      <c r="AA3014">
        <v>0.90378429999999998</v>
      </c>
      <c r="AB3014">
        <v>22</v>
      </c>
      <c r="AC3014">
        <v>11.1662999999999</v>
      </c>
      <c r="AD3014">
        <v>-1.113884763905</v>
      </c>
      <c r="AE3014">
        <v>-9.2706999999999997</v>
      </c>
      <c r="AF3014">
        <v>-6.1923128651085202</v>
      </c>
      <c r="AG3014">
        <v>-1.113884763905</v>
      </c>
      <c r="AH3014">
        <v>13.03179465731</v>
      </c>
      <c r="AI3014">
        <v>94.414593405680705</v>
      </c>
      <c r="AJ3014">
        <v>115.41564683991</v>
      </c>
      <c r="AK3014">
        <v>14.471114327409</v>
      </c>
      <c r="AL3014">
        <v>87.882870034217305</v>
      </c>
      <c r="AM3014">
        <v>90.994984553684404</v>
      </c>
      <c r="AN3014">
        <v>0.99999998443381</v>
      </c>
    </row>
    <row r="3015" spans="1:40" x14ac:dyDescent="0.25">
      <c r="A3015" t="str">
        <f>"20190312154853546"</f>
        <v>20190312154853546</v>
      </c>
      <c r="B3015" t="str">
        <f>"1552376933538432"</f>
        <v>1552376933538432</v>
      </c>
      <c r="C3015" t="s">
        <v>40</v>
      </c>
      <c r="D3015">
        <v>4.1504209999999997</v>
      </c>
      <c r="E3015">
        <v>0.3283893</v>
      </c>
      <c r="F3015" t="s">
        <v>49</v>
      </c>
      <c r="G3015">
        <v>-475.9074</v>
      </c>
      <c r="H3015" s="1">
        <v>3.443264E-6</v>
      </c>
      <c r="I3015">
        <v>217.00720000000001</v>
      </c>
      <c r="J3015">
        <v>-487.47789999999998</v>
      </c>
      <c r="K3015">
        <v>1.113966</v>
      </c>
      <c r="L3015">
        <v>226.4443</v>
      </c>
      <c r="M3015">
        <v>0.42632389999999998</v>
      </c>
      <c r="N3015">
        <v>0</v>
      </c>
      <c r="O3015">
        <v>-0.9044702</v>
      </c>
      <c r="P3015">
        <v>0.44111430000000001</v>
      </c>
      <c r="Q3015">
        <v>2.556719E-2</v>
      </c>
      <c r="R3015">
        <v>-0.89708690000000002</v>
      </c>
      <c r="S3015">
        <v>2.550049</v>
      </c>
      <c r="T3015">
        <v>-0.2434152</v>
      </c>
      <c r="U3015">
        <v>-2.1051329999999999</v>
      </c>
      <c r="V3015">
        <v>-1.6884380000000001E-2</v>
      </c>
      <c r="W3015">
        <v>3.8906120000000002E-2</v>
      </c>
      <c r="X3015">
        <v>0.99910019999999999</v>
      </c>
      <c r="Y3015">
        <v>-0.42389159999999998</v>
      </c>
      <c r="Z3015">
        <v>7.3399779999999998E-2</v>
      </c>
      <c r="AA3015">
        <v>0.90273389999999998</v>
      </c>
      <c r="AB3015">
        <v>22</v>
      </c>
      <c r="AC3015">
        <v>11.5704999999999</v>
      </c>
      <c r="AD3015">
        <v>-1.1139625567360001</v>
      </c>
      <c r="AE3015">
        <v>-9.4370999999999796</v>
      </c>
      <c r="AF3015">
        <v>-6.4068341376326101</v>
      </c>
      <c r="AG3015">
        <v>-1.1139625567360001</v>
      </c>
      <c r="AH3015">
        <v>13.3950194766614</v>
      </c>
      <c r="AI3015">
        <v>94.290438233006</v>
      </c>
      <c r="AJ3015">
        <v>115.56177699080401</v>
      </c>
      <c r="AK3015">
        <v>14.890096810467099</v>
      </c>
      <c r="AL3015">
        <v>87.770280745044303</v>
      </c>
      <c r="AM3015">
        <v>90.968182804812301</v>
      </c>
      <c r="AN3015">
        <v>0.99999998905073895</v>
      </c>
    </row>
    <row r="3016" spans="1:40" x14ac:dyDescent="0.25">
      <c r="A3016" t="str">
        <f>"20190312154853568"</f>
        <v>20190312154853568</v>
      </c>
      <c r="B3016" t="str">
        <f>"1552376933558928"</f>
        <v>1552376933558928</v>
      </c>
      <c r="C3016" t="s">
        <v>40</v>
      </c>
      <c r="D3016">
        <v>4.183802</v>
      </c>
      <c r="E3016">
        <v>0.32822099999999998</v>
      </c>
      <c r="F3016" t="s">
        <v>41</v>
      </c>
      <c r="G3016">
        <v>-486.68700000000001</v>
      </c>
      <c r="H3016">
        <v>1.042163</v>
      </c>
      <c r="I3016">
        <v>225.80009999999999</v>
      </c>
      <c r="J3016">
        <v>-487.3759</v>
      </c>
      <c r="K3016">
        <v>1.1140639999999999</v>
      </c>
      <c r="L3016">
        <v>226.24539999999999</v>
      </c>
      <c r="M3016">
        <v>0.43214910000000001</v>
      </c>
      <c r="N3016">
        <v>0</v>
      </c>
      <c r="O3016">
        <v>-0.90170119999999998</v>
      </c>
      <c r="P3016">
        <v>0.44468350000000001</v>
      </c>
      <c r="Q3016">
        <v>2.6073430000000002E-2</v>
      </c>
      <c r="R3016">
        <v>-0.8953084</v>
      </c>
      <c r="S3016">
        <v>2.5655519999999998</v>
      </c>
      <c r="T3016">
        <v>-0.23288439999999999</v>
      </c>
      <c r="U3016">
        <v>-2.0892789999999999</v>
      </c>
      <c r="V3016">
        <v>-1.4438629999999999E-2</v>
      </c>
      <c r="W3016">
        <v>3.9440240000000001E-2</v>
      </c>
      <c r="X3016">
        <v>0.99911760000000005</v>
      </c>
      <c r="Y3016">
        <v>-0.42427809999999999</v>
      </c>
      <c r="Z3016">
        <v>7.0100839999999998E-2</v>
      </c>
      <c r="AA3016">
        <v>0.90281440000000002</v>
      </c>
      <c r="AB3016">
        <v>22</v>
      </c>
      <c r="AC3016">
        <v>0.68890000000004603</v>
      </c>
      <c r="AD3016">
        <v>-7.1900999999999896E-2</v>
      </c>
      <c r="AE3016">
        <v>-0.44530000000000303</v>
      </c>
      <c r="AF3016">
        <v>-0.42551573455495101</v>
      </c>
      <c r="AG3016">
        <v>-7.1900999999999896E-2</v>
      </c>
      <c r="AH3016">
        <v>0.69396693138671794</v>
      </c>
      <c r="AI3016">
        <v>95.047643094267997</v>
      </c>
      <c r="AJ3016">
        <v>121.515138394373</v>
      </c>
      <c r="AK3016">
        <v>0.81720468428242499</v>
      </c>
      <c r="AL3016">
        <v>87.739654422956804</v>
      </c>
      <c r="AM3016">
        <v>90.827945557453006</v>
      </c>
      <c r="AN3016">
        <v>0.99999999259864703</v>
      </c>
    </row>
    <row r="3017" spans="1:40" x14ac:dyDescent="0.25">
      <c r="A3017" t="str">
        <f>"20190312154853590"</f>
        <v>20190312154853590</v>
      </c>
      <c r="B3017" t="str">
        <f>"1552376933578453"</f>
        <v>1552376933578453</v>
      </c>
      <c r="C3017" t="s">
        <v>40</v>
      </c>
      <c r="D3017">
        <v>4.1655230000000003</v>
      </c>
      <c r="E3017">
        <v>0.32835320000000001</v>
      </c>
      <c r="F3017" t="s">
        <v>41</v>
      </c>
      <c r="G3017">
        <v>-486.5933</v>
      </c>
      <c r="H3017">
        <v>1.0448850000000001</v>
      </c>
      <c r="I3017">
        <v>225.61369999999999</v>
      </c>
      <c r="J3017">
        <v>-487.27589999999998</v>
      </c>
      <c r="K3017">
        <v>1.1141700000000001</v>
      </c>
      <c r="L3017">
        <v>226.05369999999999</v>
      </c>
      <c r="M3017">
        <v>0.43790820000000003</v>
      </c>
      <c r="N3017">
        <v>0</v>
      </c>
      <c r="O3017">
        <v>-0.89891810000000005</v>
      </c>
      <c r="P3017">
        <v>0.44732810000000001</v>
      </c>
      <c r="Q3017">
        <v>2.4995420000000001E-2</v>
      </c>
      <c r="R3017">
        <v>-0.8940207</v>
      </c>
      <c r="S3017">
        <v>2.5754999999999999</v>
      </c>
      <c r="T3017">
        <v>-0.2275903</v>
      </c>
      <c r="U3017">
        <v>-2.0782620000000001</v>
      </c>
      <c r="V3017">
        <v>-1.098593E-2</v>
      </c>
      <c r="W3017">
        <v>3.840296E-2</v>
      </c>
      <c r="X3017">
        <v>0.99920200000000003</v>
      </c>
      <c r="Y3017">
        <v>-0.42263089999999998</v>
      </c>
      <c r="Z3017">
        <v>6.8366150000000001E-2</v>
      </c>
      <c r="AA3017">
        <v>0.90371970000000001</v>
      </c>
      <c r="AB3017">
        <v>22</v>
      </c>
      <c r="AC3017">
        <v>0.682599999999979</v>
      </c>
      <c r="AD3017">
        <v>-6.9284999999999999E-2</v>
      </c>
      <c r="AE3017">
        <v>-0.439999999999997</v>
      </c>
      <c r="AF3017">
        <v>-0.41791855927308502</v>
      </c>
      <c r="AG3017">
        <v>-6.9284999999999999E-2</v>
      </c>
      <c r="AH3017">
        <v>0.68948518850422302</v>
      </c>
      <c r="AI3017">
        <v>94.911614238326393</v>
      </c>
      <c r="AJ3017">
        <v>121.221365375037</v>
      </c>
      <c r="AK3017">
        <v>0.80922565368171295</v>
      </c>
      <c r="AL3017">
        <v>87.7991314024747</v>
      </c>
      <c r="AM3017">
        <v>90.629924741537806</v>
      </c>
      <c r="AN3017">
        <v>1.0000000573993599</v>
      </c>
    </row>
    <row r="3018" spans="1:40" x14ac:dyDescent="0.25">
      <c r="A3018" t="str">
        <f>"20190312154853612"</f>
        <v>20190312154853612</v>
      </c>
      <c r="B3018" t="str">
        <f>"1552376933608991"</f>
        <v>1552376933608991</v>
      </c>
      <c r="C3018" t="s">
        <v>40</v>
      </c>
      <c r="D3018">
        <v>4.1800490000000003</v>
      </c>
      <c r="E3018">
        <v>0.3286153</v>
      </c>
      <c r="F3018" t="s">
        <v>41</v>
      </c>
      <c r="G3018">
        <v>-486.46780000000001</v>
      </c>
      <c r="H3018">
        <v>1.041976</v>
      </c>
      <c r="I3018">
        <v>225.40479999999999</v>
      </c>
      <c r="J3018">
        <v>-487.1728</v>
      </c>
      <c r="K3018">
        <v>1.114274</v>
      </c>
      <c r="L3018">
        <v>225.8595</v>
      </c>
      <c r="M3018">
        <v>0.44391330000000001</v>
      </c>
      <c r="N3018">
        <v>0</v>
      </c>
      <c r="O3018">
        <v>-0.89596779999999998</v>
      </c>
      <c r="P3018">
        <v>0.45039069999999998</v>
      </c>
      <c r="Q3018">
        <v>2.2970399999999998E-2</v>
      </c>
      <c r="R3018">
        <v>-0.892536</v>
      </c>
      <c r="S3018">
        <v>2.5807500000000001</v>
      </c>
      <c r="T3018">
        <v>-0.23042689999999999</v>
      </c>
      <c r="U3018">
        <v>-2.0708160000000002</v>
      </c>
      <c r="V3018">
        <v>-7.6907950000000003E-3</v>
      </c>
      <c r="W3018">
        <v>3.6420220000000003E-2</v>
      </c>
      <c r="X3018">
        <v>0.99930699999999995</v>
      </c>
      <c r="Y3018">
        <v>-0.41900609999999999</v>
      </c>
      <c r="Z3018">
        <v>6.9050139999999996E-2</v>
      </c>
      <c r="AA3018">
        <v>0.90535399999999999</v>
      </c>
      <c r="AB3018">
        <v>22</v>
      </c>
      <c r="AC3018">
        <v>0.70499999999998397</v>
      </c>
      <c r="AD3018">
        <v>-7.2297999999999904E-2</v>
      </c>
      <c r="AE3018">
        <v>-0.45470000000000199</v>
      </c>
      <c r="AF3018">
        <v>-0.42668020326185802</v>
      </c>
      <c r="AG3018">
        <v>-7.2297999999999904E-2</v>
      </c>
      <c r="AH3018">
        <v>0.71511007105035695</v>
      </c>
      <c r="AI3018">
        <v>94.962006267822403</v>
      </c>
      <c r="AJ3018">
        <v>120.822992768859</v>
      </c>
      <c r="AK3018">
        <v>0.83586207616880603</v>
      </c>
      <c r="AL3018">
        <v>87.912813576582295</v>
      </c>
      <c r="AM3018">
        <v>90.4409469712011</v>
      </c>
      <c r="AN3018">
        <v>1.0000000305007799</v>
      </c>
    </row>
    <row r="3019" spans="1:40" x14ac:dyDescent="0.25">
      <c r="A3019" t="str">
        <f>"20190312154853635"</f>
        <v>20190312154853635</v>
      </c>
      <c r="B3019" t="str">
        <f>"1552376933628511"</f>
        <v>1552376933628511</v>
      </c>
      <c r="C3019" t="s">
        <v>40</v>
      </c>
      <c r="D3019">
        <v>4.1583489999999896</v>
      </c>
      <c r="E3019">
        <v>0.32880939999999997</v>
      </c>
      <c r="F3019" t="s">
        <v>49</v>
      </c>
      <c r="G3019">
        <v>-475.09109999999998</v>
      </c>
      <c r="H3019" s="1">
        <v>3.7709729999999999E-6</v>
      </c>
      <c r="I3019">
        <v>216.22280000000001</v>
      </c>
      <c r="J3019">
        <v>-487.06450000000001</v>
      </c>
      <c r="K3019">
        <v>1.1143959999999999</v>
      </c>
      <c r="L3019">
        <v>225.6592</v>
      </c>
      <c r="M3019">
        <v>0.45032329999999998</v>
      </c>
      <c r="N3019">
        <v>0</v>
      </c>
      <c r="O3019">
        <v>-0.89276279999999997</v>
      </c>
      <c r="P3019">
        <v>0.45492369999999999</v>
      </c>
      <c r="Q3019">
        <v>2.1189590000000001E-2</v>
      </c>
      <c r="R3019">
        <v>-0.89027860000000003</v>
      </c>
      <c r="S3019">
        <v>2.585785</v>
      </c>
      <c r="T3019">
        <v>-0.23848179999999999</v>
      </c>
      <c r="U3019">
        <v>-2.0625</v>
      </c>
      <c r="V3019">
        <v>-5.5830609999999899E-3</v>
      </c>
      <c r="W3019">
        <v>3.4673719999999998E-2</v>
      </c>
      <c r="X3019">
        <v>0.99938309999999997</v>
      </c>
      <c r="Y3019">
        <v>-0.41499839999999999</v>
      </c>
      <c r="Z3019">
        <v>7.1277190000000004E-2</v>
      </c>
      <c r="AA3019">
        <v>0.90702590000000005</v>
      </c>
      <c r="AB3019">
        <v>22</v>
      </c>
      <c r="AC3019">
        <v>11.9734</v>
      </c>
      <c r="AD3019">
        <v>-1.1143922290270001</v>
      </c>
      <c r="AE3019">
        <v>-9.4363999999999901</v>
      </c>
      <c r="AF3019">
        <v>-6.4063341023986897</v>
      </c>
      <c r="AG3019">
        <v>-1.1143922290270001</v>
      </c>
      <c r="AH3019">
        <v>13.7441937807026</v>
      </c>
      <c r="AI3019">
        <v>94.2030994981954</v>
      </c>
      <c r="AJ3019">
        <v>114.990792712074</v>
      </c>
      <c r="AK3019">
        <v>15.204796919169199</v>
      </c>
      <c r="AL3019">
        <v>88.0129439042001</v>
      </c>
      <c r="AM3019">
        <v>90.320079961675603</v>
      </c>
      <c r="AN3019">
        <v>1.0000000089971799</v>
      </c>
    </row>
    <row r="3020" spans="1:40" x14ac:dyDescent="0.25">
      <c r="A3020" t="str">
        <f>"20190312154853660"</f>
        <v>20190312154853660</v>
      </c>
      <c r="B3020" t="str">
        <f>"1552376933649008"</f>
        <v>1552376933649008</v>
      </c>
      <c r="C3020" t="s">
        <v>40</v>
      </c>
      <c r="D3020">
        <v>4.1476230000000003</v>
      </c>
      <c r="E3020">
        <v>0.32888289999999998</v>
      </c>
      <c r="F3020" t="s">
        <v>49</v>
      </c>
      <c r="G3020">
        <v>-475.2407</v>
      </c>
      <c r="H3020" s="1">
        <v>3.7088360000000001E-6</v>
      </c>
      <c r="I3020">
        <v>216.3186</v>
      </c>
      <c r="J3020">
        <v>-486.94670000000002</v>
      </c>
      <c r="K3020">
        <v>1.114544</v>
      </c>
      <c r="L3020">
        <v>225.44579999999999</v>
      </c>
      <c r="M3020">
        <v>0.45741209999999999</v>
      </c>
      <c r="N3020">
        <v>0</v>
      </c>
      <c r="O3020">
        <v>-0.88915159999999904</v>
      </c>
      <c r="P3020">
        <v>0.46063349999999997</v>
      </c>
      <c r="Q3020">
        <v>1.9155249999999999E-2</v>
      </c>
      <c r="R3020">
        <v>-0.88738410000000001</v>
      </c>
      <c r="S3020">
        <v>2.5946039999999999</v>
      </c>
      <c r="T3020">
        <v>-0.24454139999999999</v>
      </c>
      <c r="U3020">
        <v>-2.0496979999999998</v>
      </c>
      <c r="V3020">
        <v>-4.0212190000000004E-3</v>
      </c>
      <c r="W3020">
        <v>3.267453E-2</v>
      </c>
      <c r="X3020">
        <v>0.99945799999999996</v>
      </c>
      <c r="Y3020">
        <v>-0.41191060000000002</v>
      </c>
      <c r="Z3020">
        <v>7.2891289999999997E-2</v>
      </c>
      <c r="AA3020">
        <v>0.90830420000000001</v>
      </c>
      <c r="AB3020">
        <v>22</v>
      </c>
      <c r="AC3020">
        <v>11.706</v>
      </c>
      <c r="AD3020">
        <v>-1.1145402911640001</v>
      </c>
      <c r="AE3020">
        <v>-9.1271999999999807</v>
      </c>
      <c r="AF3020">
        <v>-6.1991400460573596</v>
      </c>
      <c r="AG3020">
        <v>-1.1145402911640001</v>
      </c>
      <c r="AH3020">
        <v>13.3956459798311</v>
      </c>
      <c r="AI3020">
        <v>94.318109838796403</v>
      </c>
      <c r="AJ3020">
        <v>114.833414079295</v>
      </c>
      <c r="AK3020">
        <v>14.8025291280992</v>
      </c>
      <c r="AL3020">
        <v>88.127554137502401</v>
      </c>
      <c r="AM3020">
        <v>90.230522577233998</v>
      </c>
      <c r="AN3020">
        <v>1.00000004443848</v>
      </c>
    </row>
    <row r="3021" spans="1:40" x14ac:dyDescent="0.25">
      <c r="A3021" t="str">
        <f>"20190312154853682"</f>
        <v>20190312154853682</v>
      </c>
      <c r="B3021" t="str">
        <f>"1552376933678287"</f>
        <v>1552376933678287</v>
      </c>
      <c r="C3021" t="s">
        <v>40</v>
      </c>
      <c r="D3021">
        <v>4.2608990000000002</v>
      </c>
      <c r="E3021">
        <v>0.32918570000000003</v>
      </c>
      <c r="F3021" t="s">
        <v>49</v>
      </c>
      <c r="G3021">
        <v>-475.47109999999998</v>
      </c>
      <c r="H3021" s="1">
        <v>3.614373E-6</v>
      </c>
      <c r="I3021">
        <v>216.49529999999999</v>
      </c>
      <c r="J3021">
        <v>-486.84339999999997</v>
      </c>
      <c r="K3021">
        <v>1.114682</v>
      </c>
      <c r="L3021">
        <v>225.26259999999999</v>
      </c>
      <c r="M3021">
        <v>0.4637194</v>
      </c>
      <c r="N3021">
        <v>0</v>
      </c>
      <c r="O3021">
        <v>-0.885878099999999</v>
      </c>
      <c r="P3021">
        <v>0.46536509999999998</v>
      </c>
      <c r="Q3021">
        <v>1.8232410000000001E-2</v>
      </c>
      <c r="R3021">
        <v>-0.88493120000000003</v>
      </c>
      <c r="S3021">
        <v>2.6066590000000001</v>
      </c>
      <c r="T3021">
        <v>-0.25316620000000001</v>
      </c>
      <c r="U3021">
        <v>-2.033096</v>
      </c>
      <c r="V3021">
        <v>-2.246498E-3</v>
      </c>
      <c r="W3021">
        <v>3.1789970000000001E-2</v>
      </c>
      <c r="X3021">
        <v>0.99949200000000005</v>
      </c>
      <c r="Y3021">
        <v>-0.41091149999999999</v>
      </c>
      <c r="Z3021">
        <v>7.5301599999999996E-2</v>
      </c>
      <c r="AA3021">
        <v>0.90856009999999998</v>
      </c>
      <c r="AB3021">
        <v>22</v>
      </c>
      <c r="AC3021">
        <v>11.3722999999999</v>
      </c>
      <c r="AD3021">
        <v>-1.1146783856269999</v>
      </c>
      <c r="AE3021">
        <v>-8.7673000000000005</v>
      </c>
      <c r="AF3021">
        <v>-5.9734627900366704</v>
      </c>
      <c r="AG3021">
        <v>-1.1146783856269999</v>
      </c>
      <c r="AH3021">
        <v>12.9634010049688</v>
      </c>
      <c r="AI3021">
        <v>94.465416833891197</v>
      </c>
      <c r="AJ3021">
        <v>114.739986293584</v>
      </c>
      <c r="AK3021">
        <v>14.3169316273761</v>
      </c>
      <c r="AL3021">
        <v>88.178261873439496</v>
      </c>
      <c r="AM3021">
        <v>90.128780057603606</v>
      </c>
      <c r="AN3021">
        <v>0.99999995350493098</v>
      </c>
    </row>
    <row r="3022" spans="1:40" x14ac:dyDescent="0.25">
      <c r="A3022" t="str">
        <f>"20190312154853703"</f>
        <v>20190312154853703</v>
      </c>
      <c r="B3022" t="str">
        <f>"1552376933698783"</f>
        <v>1552376933698783</v>
      </c>
      <c r="C3022" t="s">
        <v>40</v>
      </c>
      <c r="D3022">
        <v>4.2367990000000004</v>
      </c>
      <c r="E3022">
        <v>0.35922870000000001</v>
      </c>
      <c r="F3022" t="s">
        <v>49</v>
      </c>
      <c r="G3022">
        <v>-475.57569999999998</v>
      </c>
      <c r="H3022" s="1">
        <v>3.5707759999999999E-6</v>
      </c>
      <c r="I3022">
        <v>216.55889999999999</v>
      </c>
      <c r="J3022">
        <v>-486.73840000000001</v>
      </c>
      <c r="K3022">
        <v>1.114835</v>
      </c>
      <c r="L3022">
        <v>225.0797</v>
      </c>
      <c r="M3022">
        <v>0.47022419999999998</v>
      </c>
      <c r="N3022">
        <v>0</v>
      </c>
      <c r="O3022">
        <v>-0.88244219999999896</v>
      </c>
      <c r="P3022">
        <v>0.47098570000000001</v>
      </c>
      <c r="Q3022">
        <v>1.7779150000000001E-2</v>
      </c>
      <c r="R3022">
        <v>-0.88196169999999996</v>
      </c>
      <c r="S3022">
        <v>2.615265</v>
      </c>
      <c r="T3022">
        <v>-0.25871840000000002</v>
      </c>
      <c r="U3022">
        <v>-2.0201419999999999</v>
      </c>
      <c r="V3022">
        <v>-1.2537659999999999E-3</v>
      </c>
      <c r="W3022">
        <v>3.1368649999999998E-2</v>
      </c>
      <c r="X3022">
        <v>0.99950709999999998</v>
      </c>
      <c r="Y3022">
        <v>-0.40836840000000002</v>
      </c>
      <c r="Z3022">
        <v>7.6759469999999996E-2</v>
      </c>
      <c r="AA3022">
        <v>0.90958410000000001</v>
      </c>
      <c r="AB3022">
        <v>22</v>
      </c>
      <c r="AC3022">
        <v>11.162699999999999</v>
      </c>
      <c r="AD3022">
        <v>-1.114831429224</v>
      </c>
      <c r="AE3022">
        <v>-8.5207999999999995</v>
      </c>
      <c r="AF3022">
        <v>-5.8076906854910897</v>
      </c>
      <c r="AG3022">
        <v>-1.114831429224</v>
      </c>
      <c r="AH3022">
        <v>12.6892961432089</v>
      </c>
      <c r="AI3022">
        <v>94.567457971004501</v>
      </c>
      <c r="AJ3022">
        <v>114.592822546026</v>
      </c>
      <c r="AK3022">
        <v>13.9996555966203</v>
      </c>
      <c r="AL3022">
        <v>88.202413868322296</v>
      </c>
      <c r="AM3022">
        <v>90.071870887780307</v>
      </c>
      <c r="AN3022">
        <v>1.0000000035412</v>
      </c>
    </row>
    <row r="3023" spans="1:40" x14ac:dyDescent="0.25">
      <c r="A3023" t="str">
        <f>"20190312154853726"</f>
        <v>20190312154853726</v>
      </c>
      <c r="B3023" t="str">
        <f>"1552376933718303"</f>
        <v>1552376933718303</v>
      </c>
      <c r="C3023" t="s">
        <v>40</v>
      </c>
      <c r="D3023">
        <v>4.2403690000000003</v>
      </c>
      <c r="E3023">
        <v>0.3619598</v>
      </c>
      <c r="F3023" t="s">
        <v>49</v>
      </c>
      <c r="G3023">
        <v>-477.39980000000003</v>
      </c>
      <c r="H3023" s="1">
        <v>2.7770709999999999E-6</v>
      </c>
      <c r="I3023">
        <v>216.90700000000001</v>
      </c>
      <c r="J3023">
        <v>-486.62630000000001</v>
      </c>
      <c r="K3023">
        <v>1.1149929999999999</v>
      </c>
      <c r="L3023">
        <v>224.88829999999999</v>
      </c>
      <c r="M3023">
        <v>0.47725309999999999</v>
      </c>
      <c r="N3023">
        <v>0</v>
      </c>
      <c r="O3023">
        <v>-0.87866029999999995</v>
      </c>
      <c r="P3023">
        <v>0.47767759999999998</v>
      </c>
      <c r="Q3023">
        <v>1.8000869999999999E-2</v>
      </c>
      <c r="R3023">
        <v>-0.87835110000000005</v>
      </c>
      <c r="S3023">
        <v>2.4179689999999998</v>
      </c>
      <c r="T3023">
        <v>-0.2886534</v>
      </c>
      <c r="U3023">
        <v>-2.1160739999999998</v>
      </c>
      <c r="V3023">
        <v>-8.9106500000000002E-4</v>
      </c>
      <c r="W3023">
        <v>3.1617920000000001E-2</v>
      </c>
      <c r="X3023">
        <v>0.99949960000000004</v>
      </c>
      <c r="Y3023">
        <v>-0.34381329999999999</v>
      </c>
      <c r="Z3023">
        <v>8.6254949999999997E-2</v>
      </c>
      <c r="AA3023">
        <v>0.93506820000000002</v>
      </c>
      <c r="AB3023">
        <v>22</v>
      </c>
      <c r="AC3023">
        <v>9.2264999999999802</v>
      </c>
      <c r="AD3023">
        <v>-1.1149902229289901</v>
      </c>
      <c r="AE3023">
        <v>-7.9812999999999699</v>
      </c>
      <c r="AF3023">
        <v>-4.2626510863937703</v>
      </c>
      <c r="AG3023">
        <v>-1.1149902229289901</v>
      </c>
      <c r="AH3023">
        <v>11.322705598281299</v>
      </c>
      <c r="AI3023">
        <v>95.265467043015406</v>
      </c>
      <c r="AJ3023">
        <v>110.629815456443</v>
      </c>
      <c r="AK3023">
        <v>12.149776110978801</v>
      </c>
      <c r="AL3023">
        <v>88.188124598134095</v>
      </c>
      <c r="AM3023">
        <v>90.051079810583204</v>
      </c>
      <c r="AN3023">
        <v>0.999999968631059</v>
      </c>
    </row>
    <row r="3024" spans="1:40" x14ac:dyDescent="0.25">
      <c r="A3024" t="str">
        <f>"20190312154853746"</f>
        <v>20190312154853746</v>
      </c>
      <c r="B3024" t="str">
        <f>"1552376933738799"</f>
        <v>1552376933738799</v>
      </c>
      <c r="C3024" t="s">
        <v>40</v>
      </c>
      <c r="D3024">
        <v>4.235277</v>
      </c>
      <c r="E3024">
        <v>0.363423</v>
      </c>
      <c r="F3024" t="s">
        <v>49</v>
      </c>
      <c r="G3024">
        <v>-477.02010000000001</v>
      </c>
      <c r="H3024" s="1">
        <v>2.9277489999999998E-6</v>
      </c>
      <c r="I3024">
        <v>216.5018</v>
      </c>
      <c r="J3024">
        <v>-486.5231</v>
      </c>
      <c r="K3024">
        <v>1.1151230000000001</v>
      </c>
      <c r="L3024">
        <v>224.7159</v>
      </c>
      <c r="M3024">
        <v>0.4837805</v>
      </c>
      <c r="N3024">
        <v>0</v>
      </c>
      <c r="O3024">
        <v>-0.8750831</v>
      </c>
      <c r="P3024">
        <v>0.4844099</v>
      </c>
      <c r="Q3024">
        <v>1.8614450000000001E-2</v>
      </c>
      <c r="R3024">
        <v>-0.87464330000000001</v>
      </c>
      <c r="S3024">
        <v>2.4146730000000001</v>
      </c>
      <c r="T3024">
        <v>-0.2802713</v>
      </c>
      <c r="U3024">
        <v>-2.1080930000000002</v>
      </c>
      <c r="V3024">
        <v>-1.151741E-3</v>
      </c>
      <c r="W3024">
        <v>3.2250359999999999E-2</v>
      </c>
      <c r="X3024">
        <v>0.99947920000000001</v>
      </c>
      <c r="Y3024">
        <v>-0.33811930000000001</v>
      </c>
      <c r="Z3024">
        <v>8.36253E-2</v>
      </c>
      <c r="AA3024">
        <v>0.93738049999999995</v>
      </c>
      <c r="AB3024">
        <v>22</v>
      </c>
      <c r="AC3024">
        <v>9.5029999999999806</v>
      </c>
      <c r="AD3024">
        <v>-1.115120072251</v>
      </c>
      <c r="AE3024">
        <v>-8.2141000000000002</v>
      </c>
      <c r="AF3024">
        <v>-4.3085404343098803</v>
      </c>
      <c r="AG3024">
        <v>-1.115120072251</v>
      </c>
      <c r="AH3024">
        <v>11.6943164191243</v>
      </c>
      <c r="AI3024">
        <v>95.112988466291398</v>
      </c>
      <c r="AJ3024">
        <v>110.225325631364</v>
      </c>
      <c r="AK3024">
        <v>12.5125556925921</v>
      </c>
      <c r="AL3024">
        <v>88.151870097978005</v>
      </c>
      <c r="AM3024">
        <v>90.066024254614902</v>
      </c>
      <c r="AN3024">
        <v>1.0000000417300401</v>
      </c>
    </row>
    <row r="3025" spans="1:40" x14ac:dyDescent="0.25">
      <c r="A3025" t="str">
        <f>"20190312154853770"</f>
        <v>20190312154853770</v>
      </c>
      <c r="B3025" t="str">
        <f>"1552376933758319"</f>
        <v>1552376933758319</v>
      </c>
      <c r="C3025" t="s">
        <v>40</v>
      </c>
      <c r="D3025">
        <v>4.2451210000000001</v>
      </c>
      <c r="E3025">
        <v>0.36440430000000001</v>
      </c>
      <c r="F3025" t="s">
        <v>49</v>
      </c>
      <c r="G3025">
        <v>-476.61959999999999</v>
      </c>
      <c r="H3025" s="1">
        <v>3.0898059999999998E-6</v>
      </c>
      <c r="I3025">
        <v>216.14680000000001</v>
      </c>
      <c r="J3025">
        <v>-486.4033</v>
      </c>
      <c r="K3025">
        <v>1.115238</v>
      </c>
      <c r="L3025">
        <v>224.52010000000001</v>
      </c>
      <c r="M3025">
        <v>0.49138300000000001</v>
      </c>
      <c r="N3025">
        <v>0</v>
      </c>
      <c r="O3025">
        <v>-0.87083639999999995</v>
      </c>
      <c r="P3025">
        <v>0.49153649999999999</v>
      </c>
      <c r="Q3025">
        <v>1.8373939999999998E-2</v>
      </c>
      <c r="R3025">
        <v>-0.87066350000000003</v>
      </c>
      <c r="S3025">
        <v>2.4210210000000001</v>
      </c>
      <c r="T3025">
        <v>-0.2726054</v>
      </c>
      <c r="U3025">
        <v>-2.0948329999999999</v>
      </c>
      <c r="V3025">
        <v>-6.1319969999999995E-4</v>
      </c>
      <c r="W3025">
        <v>3.2040190000000003E-2</v>
      </c>
      <c r="X3025">
        <v>0.9994864</v>
      </c>
      <c r="Y3025">
        <v>-0.3342386</v>
      </c>
      <c r="Z3025">
        <v>8.1114999999999896E-2</v>
      </c>
      <c r="AA3025">
        <v>0.93899140000000003</v>
      </c>
      <c r="AB3025">
        <v>22</v>
      </c>
      <c r="AC3025">
        <v>9.7837000000000103</v>
      </c>
      <c r="AD3025">
        <v>-1.115234910194</v>
      </c>
      <c r="AE3025">
        <v>-8.3733000000000004</v>
      </c>
      <c r="AF3025">
        <v>-4.37311771804844</v>
      </c>
      <c r="AG3025">
        <v>-1.115234910194</v>
      </c>
      <c r="AH3025">
        <v>12.010370075163801</v>
      </c>
      <c r="AI3025">
        <v>94.986550060380594</v>
      </c>
      <c r="AJ3025">
        <v>110.00716303104601</v>
      </c>
      <c r="AK3025">
        <v>12.830311641702799</v>
      </c>
      <c r="AL3025">
        <v>88.163918113659307</v>
      </c>
      <c r="AM3025">
        <v>90.035151804367302</v>
      </c>
      <c r="AN3025">
        <v>1.00000000678703</v>
      </c>
    </row>
    <row r="3026" spans="1:40" x14ac:dyDescent="0.25">
      <c r="A3026" t="str">
        <f>"20190312154853791"</f>
        <v>20190312154853791</v>
      </c>
      <c r="B3026" t="str">
        <f>"1552376933788576"</f>
        <v>1552376933788576</v>
      </c>
      <c r="C3026" t="s">
        <v>40</v>
      </c>
      <c r="D3026">
        <v>4.2316000000000003</v>
      </c>
      <c r="E3026">
        <v>0.36570930000000001</v>
      </c>
      <c r="F3026" t="s">
        <v>49</v>
      </c>
      <c r="G3026">
        <v>-476.25069999999999</v>
      </c>
      <c r="H3026" s="1">
        <v>3.2399429999999998E-6</v>
      </c>
      <c r="I3026">
        <v>215.83860000000001</v>
      </c>
      <c r="J3026">
        <v>-486.29349999999999</v>
      </c>
      <c r="K3026">
        <v>1.115324</v>
      </c>
      <c r="L3026">
        <v>224.3441</v>
      </c>
      <c r="M3026">
        <v>0.49836279999999999</v>
      </c>
      <c r="N3026">
        <v>0</v>
      </c>
      <c r="O3026">
        <v>-0.86686059999999998</v>
      </c>
      <c r="P3026">
        <v>0.49763930000000001</v>
      </c>
      <c r="Q3026">
        <v>1.8071469999999999E-2</v>
      </c>
      <c r="R3026">
        <v>-0.86719599999999997</v>
      </c>
      <c r="S3026">
        <v>2.4310909999999999</v>
      </c>
      <c r="T3026">
        <v>-0.26704809999999901</v>
      </c>
      <c r="U3026">
        <v>-2.078827</v>
      </c>
      <c r="V3026">
        <v>3.9668469999999998E-4</v>
      </c>
      <c r="W3026">
        <v>3.176996E-2</v>
      </c>
      <c r="X3026">
        <v>0.99949509999999997</v>
      </c>
      <c r="Y3026">
        <v>-0.33227770000000001</v>
      </c>
      <c r="Z3026">
        <v>7.9265799999999997E-2</v>
      </c>
      <c r="AA3026">
        <v>0.93984489999999998</v>
      </c>
      <c r="AB3026">
        <v>22</v>
      </c>
      <c r="AC3026">
        <v>10.0428</v>
      </c>
      <c r="AD3026">
        <v>-1.1153207600570001</v>
      </c>
      <c r="AE3026">
        <v>-8.5054999999999801</v>
      </c>
      <c r="AF3026">
        <v>-4.4354454616455996</v>
      </c>
      <c r="AG3026">
        <v>-1.1153207600570001</v>
      </c>
      <c r="AH3026">
        <v>12.290925619889901</v>
      </c>
      <c r="AI3026">
        <v>94.878691559085198</v>
      </c>
      <c r="AJ3026">
        <v>109.843071329355</v>
      </c>
      <c r="AK3026">
        <v>13.114265874791201</v>
      </c>
      <c r="AL3026">
        <v>88.179408973883099</v>
      </c>
      <c r="AM3026">
        <v>89.977260160741096</v>
      </c>
      <c r="AN3026">
        <v>0.99999997132058005</v>
      </c>
    </row>
    <row r="3027" spans="1:40" x14ac:dyDescent="0.25">
      <c r="A3027" t="str">
        <f>"20190312154853814"</f>
        <v>20190312154853814</v>
      </c>
      <c r="B3027" t="str">
        <f>"1552376933809071"</f>
        <v>1552376933809071</v>
      </c>
      <c r="C3027" t="s">
        <v>40</v>
      </c>
      <c r="D3027">
        <v>4.2479719999999999</v>
      </c>
      <c r="E3027">
        <v>0.36655710000000002</v>
      </c>
      <c r="F3027" t="s">
        <v>49</v>
      </c>
      <c r="G3027">
        <v>-476.072</v>
      </c>
      <c r="H3027" s="1">
        <v>3.3120100000000001E-6</v>
      </c>
      <c r="I3027">
        <v>215.6738</v>
      </c>
      <c r="J3027">
        <v>-486.17180000000002</v>
      </c>
      <c r="K3027">
        <v>1.1153999999999999</v>
      </c>
      <c r="L3027">
        <v>224.15280000000001</v>
      </c>
      <c r="M3027">
        <v>0.50610310000000003</v>
      </c>
      <c r="N3027">
        <v>0</v>
      </c>
      <c r="O3027">
        <v>-0.86236399999999902</v>
      </c>
      <c r="P3027">
        <v>0.50487289999999996</v>
      </c>
      <c r="Q3027">
        <v>1.818463E-2</v>
      </c>
      <c r="R3027">
        <v>-0.86300219999999905</v>
      </c>
      <c r="S3027">
        <v>2.4365230000000002</v>
      </c>
      <c r="T3027">
        <v>-0.26585979999999998</v>
      </c>
      <c r="U3027">
        <v>-2.0667420000000001</v>
      </c>
      <c r="V3027">
        <v>9.7835749999999997E-4</v>
      </c>
      <c r="W3027">
        <v>3.191198E-2</v>
      </c>
      <c r="X3027">
        <v>0.9994902</v>
      </c>
      <c r="Y3027">
        <v>-0.3276075</v>
      </c>
      <c r="Z3027">
        <v>7.8636800000000007E-2</v>
      </c>
      <c r="AA3027">
        <v>0.94153580000000003</v>
      </c>
      <c r="AB3027">
        <v>22</v>
      </c>
      <c r="AC3027">
        <v>10.0998</v>
      </c>
      <c r="AD3027">
        <v>-1.1153966879899999</v>
      </c>
      <c r="AE3027">
        <v>-8.4790000000000099</v>
      </c>
      <c r="AF3027">
        <v>-4.3874822078108302</v>
      </c>
      <c r="AG3027">
        <v>-1.1153966879899999</v>
      </c>
      <c r="AH3027">
        <v>12.3364350898835</v>
      </c>
      <c r="AI3027">
        <v>94.869133101736097</v>
      </c>
      <c r="AJ3027">
        <v>109.57804948650301</v>
      </c>
      <c r="AK3027">
        <v>13.1408424624278</v>
      </c>
      <c r="AL3027">
        <v>88.171267743717607</v>
      </c>
      <c r="AM3027">
        <v>89.943915670507295</v>
      </c>
      <c r="AN3027">
        <v>0.99999999577347898</v>
      </c>
    </row>
    <row r="3028" spans="1:40" x14ac:dyDescent="0.25">
      <c r="A3028" t="str">
        <f>"20190312154853835"</f>
        <v>20190312154853835</v>
      </c>
      <c r="B3028" t="str">
        <f>"1552376933828591"</f>
        <v>1552376933828591</v>
      </c>
      <c r="C3028" t="s">
        <v>40</v>
      </c>
      <c r="D3028">
        <v>4.2503630000000001</v>
      </c>
      <c r="E3028">
        <v>0.3673382</v>
      </c>
      <c r="F3028" t="s">
        <v>49</v>
      </c>
      <c r="G3028">
        <v>-475.89859999999999</v>
      </c>
      <c r="H3028" s="1">
        <v>3.3835389999999999E-6</v>
      </c>
      <c r="I3028">
        <v>215.55170000000001</v>
      </c>
      <c r="J3028">
        <v>-486.05970000000002</v>
      </c>
      <c r="K3028">
        <v>1.115464</v>
      </c>
      <c r="L3028">
        <v>223.9804</v>
      </c>
      <c r="M3028">
        <v>0.51321720000000004</v>
      </c>
      <c r="N3028">
        <v>0</v>
      </c>
      <c r="O3028">
        <v>-0.8581491</v>
      </c>
      <c r="P3028">
        <v>0.51107329999999995</v>
      </c>
      <c r="Q3028">
        <v>1.7980119999999999E-2</v>
      </c>
      <c r="R3028">
        <v>-0.85934940000000004</v>
      </c>
      <c r="S3028">
        <v>2.4480900000000001</v>
      </c>
      <c r="T3028">
        <v>-0.26579920000000001</v>
      </c>
      <c r="U3028">
        <v>-2.049652</v>
      </c>
      <c r="V3028">
        <v>2.0470359999999999E-3</v>
      </c>
      <c r="W3028">
        <v>3.1741829999999999E-2</v>
      </c>
      <c r="X3028">
        <v>0.99949399999999999</v>
      </c>
      <c r="Y3028">
        <v>-0.32585599999999998</v>
      </c>
      <c r="Z3028">
        <v>7.8382080000000007E-2</v>
      </c>
      <c r="AA3028">
        <v>0.94216460000000002</v>
      </c>
      <c r="AB3028">
        <v>22</v>
      </c>
      <c r="AC3028">
        <v>10.161099999999999</v>
      </c>
      <c r="AD3028">
        <v>-1.1154606164609999</v>
      </c>
      <c r="AE3028">
        <v>-8.4286999999999903</v>
      </c>
      <c r="AF3028">
        <v>-4.3632496263816201</v>
      </c>
      <c r="AG3028">
        <v>-1.1154606164609999</v>
      </c>
      <c r="AH3028">
        <v>12.3608608658108</v>
      </c>
      <c r="AI3028">
        <v>94.863891271496996</v>
      </c>
      <c r="AJ3028">
        <v>109.442478409735</v>
      </c>
      <c r="AK3028">
        <v>13.1557242686569</v>
      </c>
      <c r="AL3028">
        <v>88.181021560722598</v>
      </c>
      <c r="AM3028">
        <v>89.882654263735702</v>
      </c>
      <c r="AN3028">
        <v>0.99999999508206705</v>
      </c>
    </row>
    <row r="3029" spans="1:40" x14ac:dyDescent="0.25">
      <c r="A3029" t="str">
        <f>"20190312154853860"</f>
        <v>20190312154853860</v>
      </c>
      <c r="B3029" t="str">
        <f>"1552376933849089"</f>
        <v>1552376933849089</v>
      </c>
      <c r="C3029" t="s">
        <v>40</v>
      </c>
      <c r="D3029">
        <v>4.2789549999999998</v>
      </c>
      <c r="E3029">
        <v>0.36807519999999999</v>
      </c>
      <c r="F3029" t="s">
        <v>49</v>
      </c>
      <c r="G3029">
        <v>-475.90140000000002</v>
      </c>
      <c r="H3029" s="1">
        <v>3.3831010000000001E-6</v>
      </c>
      <c r="I3029">
        <v>215.56979999999999</v>
      </c>
      <c r="J3029">
        <v>-485.92489999999998</v>
      </c>
      <c r="K3029">
        <v>1.115553</v>
      </c>
      <c r="L3029">
        <v>223.7773</v>
      </c>
      <c r="M3029">
        <v>0.52175070000000001</v>
      </c>
      <c r="N3029">
        <v>0</v>
      </c>
      <c r="O3029">
        <v>-0.852987099999999</v>
      </c>
      <c r="P3029">
        <v>0.51939150000000001</v>
      </c>
      <c r="Q3029">
        <v>1.7023659999999999E-2</v>
      </c>
      <c r="R3029">
        <v>-0.85436699999999999</v>
      </c>
      <c r="S3029">
        <v>2.4577939999999998</v>
      </c>
      <c r="T3029">
        <v>-0.26988509999999999</v>
      </c>
      <c r="U3029">
        <v>-2.0349270000000002</v>
      </c>
      <c r="V3029">
        <v>2.3287730000000001E-3</v>
      </c>
      <c r="W3029">
        <v>3.0814359999999999E-2</v>
      </c>
      <c r="X3029">
        <v>0.99952240000000003</v>
      </c>
      <c r="Y3029">
        <v>-0.32153080000000001</v>
      </c>
      <c r="Z3029">
        <v>7.9211790000000004E-2</v>
      </c>
      <c r="AA3029">
        <v>0.94358010000000003</v>
      </c>
      <c r="AB3029">
        <v>22</v>
      </c>
      <c r="AC3029">
        <v>10.023499999999901</v>
      </c>
      <c r="AD3029">
        <v>-1.115549616899</v>
      </c>
      <c r="AE3029">
        <v>-8.2075000000000102</v>
      </c>
      <c r="AF3029">
        <v>-4.23663735786403</v>
      </c>
      <c r="AG3029">
        <v>-1.115549616899</v>
      </c>
      <c r="AH3029">
        <v>12.1417882277857</v>
      </c>
      <c r="AI3029">
        <v>94.957863189031599</v>
      </c>
      <c r="AJ3029">
        <v>109.23542541256499</v>
      </c>
      <c r="AK3029">
        <v>12.908004044708401</v>
      </c>
      <c r="AL3029">
        <v>88.234187680159906</v>
      </c>
      <c r="AM3029">
        <v>89.866507621128605</v>
      </c>
      <c r="AN3029">
        <v>0.99999998803382695</v>
      </c>
    </row>
    <row r="3030" spans="1:40" x14ac:dyDescent="0.25">
      <c r="A3030" t="str">
        <f>"20190312154853883"</f>
        <v>20190312154853883</v>
      </c>
      <c r="B3030" t="str">
        <f>"1552376933878367"</f>
        <v>1552376933878367</v>
      </c>
      <c r="C3030" t="s">
        <v>40</v>
      </c>
      <c r="D3030">
        <v>4.2549809999999999</v>
      </c>
      <c r="E3030">
        <v>0.36942000000000003</v>
      </c>
      <c r="F3030" t="s">
        <v>49</v>
      </c>
      <c r="G3030">
        <v>-475.75940000000003</v>
      </c>
      <c r="H3030" s="1">
        <v>3.4428939999999999E-6</v>
      </c>
      <c r="I3030">
        <v>215.4973</v>
      </c>
      <c r="J3030">
        <v>-485.80459999999999</v>
      </c>
      <c r="K3030">
        <v>1.1156360000000001</v>
      </c>
      <c r="L3030">
        <v>223.6001</v>
      </c>
      <c r="M3030">
        <v>0.52934099999999995</v>
      </c>
      <c r="N3030">
        <v>0</v>
      </c>
      <c r="O3030">
        <v>-0.84829739999999998</v>
      </c>
      <c r="P3030">
        <v>0.52637789999999995</v>
      </c>
      <c r="Q3030">
        <v>1.6714150000000001E-2</v>
      </c>
      <c r="R3030">
        <v>-0.85008680000000003</v>
      </c>
      <c r="S3030">
        <v>2.4723820000000001</v>
      </c>
      <c r="T3030">
        <v>-0.27131569999999999</v>
      </c>
      <c r="U3030">
        <v>-2.0137939999999999</v>
      </c>
      <c r="V3030">
        <v>3.0548469999999999E-3</v>
      </c>
      <c r="W3030">
        <v>3.0537450000000001E-2</v>
      </c>
      <c r="X3030">
        <v>0.99952890000000005</v>
      </c>
      <c r="Y3030">
        <v>-0.32063399999999997</v>
      </c>
      <c r="Z3030">
        <v>7.9370250000000003E-2</v>
      </c>
      <c r="AA3030">
        <v>0.94387189999999999</v>
      </c>
      <c r="AB3030">
        <v>22</v>
      </c>
      <c r="AC3030">
        <v>10.0451999999999</v>
      </c>
      <c r="AD3030">
        <v>-1.115632557106</v>
      </c>
      <c r="AE3030">
        <v>-8.1028000000000002</v>
      </c>
      <c r="AF3030">
        <v>-4.2011806414595299</v>
      </c>
      <c r="AG3030">
        <v>-1.115632557106</v>
      </c>
      <c r="AH3030">
        <v>12.101646434662101</v>
      </c>
      <c r="AI3030">
        <v>94.977318549706297</v>
      </c>
      <c r="AJ3030">
        <v>109.144842089844</v>
      </c>
      <c r="AK3030">
        <v>12.858631389623801</v>
      </c>
      <c r="AL3030">
        <v>88.250060849476796</v>
      </c>
      <c r="AM3030">
        <v>89.8248882096524</v>
      </c>
      <c r="AN3030">
        <v>0.99999994493895095</v>
      </c>
    </row>
    <row r="3031" spans="1:40" x14ac:dyDescent="0.25">
      <c r="A3031" t="str">
        <f>"20190312154853902"</f>
        <v>20190312154853902</v>
      </c>
      <c r="B3031" t="str">
        <f>"1552376933898863"</f>
        <v>1552376933898863</v>
      </c>
      <c r="C3031" t="s">
        <v>40</v>
      </c>
      <c r="D3031">
        <v>4.2405609999999996</v>
      </c>
      <c r="E3031">
        <v>0.37024259999999998</v>
      </c>
      <c r="F3031" t="s">
        <v>49</v>
      </c>
      <c r="G3031">
        <v>-475.62040000000002</v>
      </c>
      <c r="H3031" s="1">
        <v>3.4998400000000002E-6</v>
      </c>
      <c r="I3031">
        <v>215.3896</v>
      </c>
      <c r="J3031">
        <v>-485.69459999999998</v>
      </c>
      <c r="K3031">
        <v>1.115712</v>
      </c>
      <c r="L3031">
        <v>223.44130000000001</v>
      </c>
      <c r="M3031">
        <v>0.53626980000000002</v>
      </c>
      <c r="N3031">
        <v>0</v>
      </c>
      <c r="O3031">
        <v>-0.84393359999999995</v>
      </c>
      <c r="P3031">
        <v>0.53315959999999996</v>
      </c>
      <c r="Q3031">
        <v>1.6449970000000001E-2</v>
      </c>
      <c r="R3031">
        <v>-0.84585460000000001</v>
      </c>
      <c r="S3031">
        <v>2.4796140000000002</v>
      </c>
      <c r="T3031">
        <v>-0.27162900000000001</v>
      </c>
      <c r="U3031">
        <v>-1.9990540000000001</v>
      </c>
      <c r="V3031">
        <v>3.246526E-3</v>
      </c>
      <c r="W3031">
        <v>3.0296759999999999E-2</v>
      </c>
      <c r="X3031">
        <v>0.99953570000000003</v>
      </c>
      <c r="Y3031">
        <v>-0.3176213</v>
      </c>
      <c r="Z3031">
        <v>7.9204739999999996E-2</v>
      </c>
      <c r="AA3031">
        <v>0.94490390000000002</v>
      </c>
      <c r="AB3031">
        <v>22</v>
      </c>
      <c r="AC3031">
        <v>10.0741999999999</v>
      </c>
      <c r="AD3031">
        <v>-1.11570850016</v>
      </c>
      <c r="AE3031">
        <v>-8.0517000000000092</v>
      </c>
      <c r="AF3031">
        <v>-4.1533857831291598</v>
      </c>
      <c r="AG3031">
        <v>-1.11570850016</v>
      </c>
      <c r="AH3031">
        <v>12.108130648043</v>
      </c>
      <c r="AI3031">
        <v>94.981316451387897</v>
      </c>
      <c r="AJ3031">
        <v>108.93322557905501</v>
      </c>
      <c r="AK3031">
        <v>12.849211910109799</v>
      </c>
      <c r="AL3031">
        <v>88.263857893689703</v>
      </c>
      <c r="AM3031">
        <v>89.813902010945995</v>
      </c>
      <c r="AN3031">
        <v>1.0000000245860201</v>
      </c>
    </row>
    <row r="3032" spans="1:40" x14ac:dyDescent="0.25">
      <c r="A3032" t="str">
        <f>"20190312154853926"</f>
        <v>20190312154853926</v>
      </c>
      <c r="B3032" t="str">
        <f>"1552376933918383"</f>
        <v>1552376933918383</v>
      </c>
      <c r="C3032" t="s">
        <v>40</v>
      </c>
      <c r="D3032">
        <v>4.2597079999999998</v>
      </c>
      <c r="E3032">
        <v>0.37096309999999999</v>
      </c>
      <c r="F3032" t="s">
        <v>49</v>
      </c>
      <c r="G3032">
        <v>-475.46499999999997</v>
      </c>
      <c r="H3032" s="1">
        <v>3.5646039999999998E-6</v>
      </c>
      <c r="I3032">
        <v>215.29480000000001</v>
      </c>
      <c r="J3032">
        <v>-485.56729999999999</v>
      </c>
      <c r="K3032">
        <v>1.1158079999999999</v>
      </c>
      <c r="L3032">
        <v>223.2612</v>
      </c>
      <c r="M3032">
        <v>0.54427959999999997</v>
      </c>
      <c r="N3032">
        <v>0</v>
      </c>
      <c r="O3032">
        <v>-0.83878989999999998</v>
      </c>
      <c r="P3032">
        <v>0.54133529999999996</v>
      </c>
      <c r="Q3032">
        <v>1.567723E-2</v>
      </c>
      <c r="R3032">
        <v>-0.84066049999999903</v>
      </c>
      <c r="S3032">
        <v>2.4897459999999998</v>
      </c>
      <c r="T3032">
        <v>-0.27154709999999899</v>
      </c>
      <c r="U3032">
        <v>-1.9827269999999999</v>
      </c>
      <c r="V3032">
        <v>3.0826680000000002E-3</v>
      </c>
      <c r="W3032">
        <v>2.9546550000000001E-2</v>
      </c>
      <c r="X3032">
        <v>0.99955859999999996</v>
      </c>
      <c r="Y3032">
        <v>-0.31427290000000002</v>
      </c>
      <c r="Z3032">
        <v>7.8828800000000004E-2</v>
      </c>
      <c r="AA3032">
        <v>0.94605419999999996</v>
      </c>
      <c r="AB3032">
        <v>22</v>
      </c>
      <c r="AC3032">
        <v>10.1023</v>
      </c>
      <c r="AD3032">
        <v>-1.1158044353959999</v>
      </c>
      <c r="AE3032">
        <v>-7.9663999999999904</v>
      </c>
      <c r="AF3032">
        <v>-4.1072596061983502</v>
      </c>
      <c r="AG3032">
        <v>-1.1158044353959999</v>
      </c>
      <c r="AH3032">
        <v>12.0908307894471</v>
      </c>
      <c r="AI3032">
        <v>94.993881827612199</v>
      </c>
      <c r="AJ3032">
        <v>108.762642838592</v>
      </c>
      <c r="AK3032">
        <v>12.8180649939763</v>
      </c>
      <c r="AL3032">
        <v>88.306860885706499</v>
      </c>
      <c r="AM3032">
        <v>89.823298697972504</v>
      </c>
      <c r="AN3032">
        <v>0.99999994814642801</v>
      </c>
    </row>
    <row r="3033" spans="1:40" x14ac:dyDescent="0.25">
      <c r="A3033" t="str">
        <f>"20190312154853947"</f>
        <v>20190312154853947</v>
      </c>
      <c r="B3033" t="str">
        <f>"1552376933938880"</f>
        <v>1552376933938880</v>
      </c>
      <c r="C3033" t="s">
        <v>40</v>
      </c>
      <c r="D3033">
        <v>4.2577170000000004</v>
      </c>
      <c r="E3033">
        <v>0.3831637</v>
      </c>
      <c r="F3033" t="s">
        <v>49</v>
      </c>
      <c r="G3033">
        <v>-475.37790000000001</v>
      </c>
      <c r="H3033" s="1">
        <v>3.6025199999999902E-6</v>
      </c>
      <c r="I3033">
        <v>215.27850000000001</v>
      </c>
      <c r="J3033">
        <v>-485.4434</v>
      </c>
      <c r="K3033">
        <v>1.1158939999999999</v>
      </c>
      <c r="L3033">
        <v>223.0899</v>
      </c>
      <c r="M3033">
        <v>0.55206290000000002</v>
      </c>
      <c r="N3033">
        <v>0</v>
      </c>
      <c r="O3033">
        <v>-0.83368750000000003</v>
      </c>
      <c r="P3033">
        <v>0.54871139999999996</v>
      </c>
      <c r="Q3033">
        <v>1.569123E-2</v>
      </c>
      <c r="R3033">
        <v>-0.83586459999999996</v>
      </c>
      <c r="S3033">
        <v>2.5037539999999998</v>
      </c>
      <c r="T3033">
        <v>-0.27417589999999997</v>
      </c>
      <c r="U3033">
        <v>-1.9615020000000001</v>
      </c>
      <c r="V3033">
        <v>3.58406E-3</v>
      </c>
      <c r="W3033">
        <v>2.959231E-2</v>
      </c>
      <c r="X3033">
        <v>0.99955559999999999</v>
      </c>
      <c r="Y3033">
        <v>-0.31293029999999999</v>
      </c>
      <c r="Z3033">
        <v>7.9277520000000004E-2</v>
      </c>
      <c r="AA3033">
        <v>0.94646169999999996</v>
      </c>
      <c r="AB3033">
        <v>22</v>
      </c>
      <c r="AC3033">
        <v>10.065499999999901</v>
      </c>
      <c r="AD3033">
        <v>-1.1158903974800001</v>
      </c>
      <c r="AE3033">
        <v>-7.8113999999999901</v>
      </c>
      <c r="AF3033">
        <v>-4.0484338916880596</v>
      </c>
      <c r="AG3033">
        <v>-1.1158903974800001</v>
      </c>
      <c r="AH3033">
        <v>11.9783298221524</v>
      </c>
      <c r="AI3033">
        <v>95.043553603180499</v>
      </c>
      <c r="AJ3033">
        <v>108.67421615057999</v>
      </c>
      <c r="AK3033">
        <v>12.6931246619113</v>
      </c>
      <c r="AL3033">
        <v>88.304237927411506</v>
      </c>
      <c r="AM3033">
        <v>89.7945580701399</v>
      </c>
      <c r="AN3033">
        <v>0.99999997389428896</v>
      </c>
    </row>
    <row r="3034" spans="1:40" x14ac:dyDescent="0.25">
      <c r="A3034" t="str">
        <f>"20190312154853970"</f>
        <v>20190312154853970</v>
      </c>
      <c r="B3034" t="str">
        <f>"1552376933958399"</f>
        <v>1552376933958399</v>
      </c>
      <c r="C3034" t="s">
        <v>40</v>
      </c>
      <c r="D3034">
        <v>4.2546109999999997</v>
      </c>
      <c r="E3034">
        <v>0.38402979999999998</v>
      </c>
      <c r="F3034" t="s">
        <v>49</v>
      </c>
      <c r="G3034">
        <v>-475.15629999999999</v>
      </c>
      <c r="H3034" s="1">
        <v>3.6748590000000001E-6</v>
      </c>
      <c r="I3034">
        <v>214.68600000000001</v>
      </c>
      <c r="J3034">
        <v>-485.31420000000003</v>
      </c>
      <c r="K3034">
        <v>1.115972</v>
      </c>
      <c r="L3034">
        <v>222.9152</v>
      </c>
      <c r="M3034">
        <v>0.5601313</v>
      </c>
      <c r="N3034">
        <v>0</v>
      </c>
      <c r="O3034">
        <v>-0.82828780000000002</v>
      </c>
      <c r="P3034">
        <v>0.55671800000000005</v>
      </c>
      <c r="Q3034">
        <v>1.6154930000000001E-2</v>
      </c>
      <c r="R3034">
        <v>-0.83054479999999997</v>
      </c>
      <c r="S3034">
        <v>2.4393009999999999</v>
      </c>
      <c r="T3034">
        <v>-0.26460489999999998</v>
      </c>
      <c r="U3034">
        <v>-1.992767</v>
      </c>
      <c r="V3034">
        <v>3.6671020000000002E-3</v>
      </c>
      <c r="W3034">
        <v>3.0081799999999999E-2</v>
      </c>
      <c r="X3034">
        <v>0.99954069999999995</v>
      </c>
      <c r="Y3034">
        <v>-0.28443099999999999</v>
      </c>
      <c r="Z3034">
        <v>7.6208189999999995E-2</v>
      </c>
      <c r="AA3034">
        <v>0.95566280000000003</v>
      </c>
      <c r="AB3034">
        <v>22</v>
      </c>
      <c r="AC3034">
        <v>10.1579</v>
      </c>
      <c r="AD3034">
        <v>-1.115968325141</v>
      </c>
      <c r="AE3034">
        <v>-8.2292000000000094</v>
      </c>
      <c r="AF3034">
        <v>-3.7770739522764201</v>
      </c>
      <c r="AG3034">
        <v>-1.115968325141</v>
      </c>
      <c r="AH3034">
        <v>12.416624759394301</v>
      </c>
      <c r="AI3034">
        <v>94.914580162968093</v>
      </c>
      <c r="AJ3034">
        <v>106.919493610845</v>
      </c>
      <c r="AK3034">
        <v>13.026290468099001</v>
      </c>
      <c r="AL3034">
        <v>88.276179745078906</v>
      </c>
      <c r="AM3034">
        <v>89.789794927849798</v>
      </c>
      <c r="AN3034">
        <v>0.99999998664240397</v>
      </c>
    </row>
    <row r="3035" spans="1:40" x14ac:dyDescent="0.25">
      <c r="A3035" t="str">
        <f>"20190312154853994"</f>
        <v>20190312154853994</v>
      </c>
      <c r="B3035" t="str">
        <f>"1552376933988656"</f>
        <v>1552376933988656</v>
      </c>
      <c r="C3035" t="s">
        <v>40</v>
      </c>
      <c r="D3035">
        <v>4.2533450000000004</v>
      </c>
      <c r="E3035">
        <v>0.3847698</v>
      </c>
      <c r="F3035" t="s">
        <v>49</v>
      </c>
      <c r="G3035">
        <v>-474.89890000000003</v>
      </c>
      <c r="H3035" s="1">
        <v>3.7825460000000002E-6</v>
      </c>
      <c r="I3035">
        <v>214.5377</v>
      </c>
      <c r="J3035">
        <v>-485.17570000000001</v>
      </c>
      <c r="K3035">
        <v>1.116047</v>
      </c>
      <c r="L3035">
        <v>222.7319</v>
      </c>
      <c r="M3035">
        <v>0.56874290000000005</v>
      </c>
      <c r="N3035">
        <v>0</v>
      </c>
      <c r="O3035">
        <v>-0.82239810000000002</v>
      </c>
      <c r="P3035">
        <v>0.56524469999999905</v>
      </c>
      <c r="Q3035">
        <v>1.6600509999999999E-2</v>
      </c>
      <c r="R3035">
        <v>-0.82475659999999895</v>
      </c>
      <c r="S3035">
        <v>2.4529109999999998</v>
      </c>
      <c r="T3035">
        <v>-0.26282119999999998</v>
      </c>
      <c r="U3035">
        <v>-1.9729920000000001</v>
      </c>
      <c r="V3035">
        <v>3.7822590000000001E-3</v>
      </c>
      <c r="W3035">
        <v>3.055223E-2</v>
      </c>
      <c r="X3035">
        <v>0.99952600000000003</v>
      </c>
      <c r="Y3035">
        <v>-0.28174490000000002</v>
      </c>
      <c r="Z3035">
        <v>7.5289560000000005E-2</v>
      </c>
      <c r="AA3035">
        <v>0.95653089999999996</v>
      </c>
      <c r="AB3035">
        <v>22</v>
      </c>
      <c r="AC3035">
        <v>10.2767999999999</v>
      </c>
      <c r="AD3035">
        <v>-1.116043217454</v>
      </c>
      <c r="AE3035">
        <v>-8.1941999999999897</v>
      </c>
      <c r="AF3035">
        <v>-3.76445233756785</v>
      </c>
      <c r="AG3035">
        <v>-1.116043217454</v>
      </c>
      <c r="AH3035">
        <v>12.494879333045899</v>
      </c>
      <c r="AI3035">
        <v>94.888207261959394</v>
      </c>
      <c r="AJ3035">
        <v>106.76648299272701</v>
      </c>
      <c r="AK3035">
        <v>13.097276946465801</v>
      </c>
      <c r="AL3035">
        <v>88.249213691702593</v>
      </c>
      <c r="AM3035">
        <v>89.783190789048405</v>
      </c>
      <c r="AN3035">
        <v>0.99999998445855698</v>
      </c>
    </row>
    <row r="3036" spans="1:40" x14ac:dyDescent="0.25">
      <c r="A3036" t="str">
        <f>"20190312154854015"</f>
        <v>20190312154854015</v>
      </c>
      <c r="B3036" t="str">
        <f>"1552376934009151"</f>
        <v>1552376934009151</v>
      </c>
      <c r="C3036" t="s">
        <v>40</v>
      </c>
      <c r="D3036">
        <v>4.2781370000000001</v>
      </c>
      <c r="E3036">
        <v>0.38538470000000002</v>
      </c>
      <c r="F3036" t="s">
        <v>49</v>
      </c>
      <c r="G3036">
        <v>-474.26960000000003</v>
      </c>
      <c r="H3036" s="1">
        <v>4.0428880000000004E-6</v>
      </c>
      <c r="I3036">
        <v>214.1096</v>
      </c>
      <c r="J3036">
        <v>-485.05270000000002</v>
      </c>
      <c r="K3036">
        <v>1.1161129999999999</v>
      </c>
      <c r="L3036">
        <v>222.57259999999999</v>
      </c>
      <c r="M3036">
        <v>0.57635519999999996</v>
      </c>
      <c r="N3036">
        <v>0</v>
      </c>
      <c r="O3036">
        <v>-0.8170809</v>
      </c>
      <c r="P3036">
        <v>0.57284469999999899</v>
      </c>
      <c r="Q3036">
        <v>1.704166E-2</v>
      </c>
      <c r="R3036">
        <v>-0.81948709999999902</v>
      </c>
      <c r="S3036">
        <v>2.4679570000000002</v>
      </c>
      <c r="T3036">
        <v>-0.25255119999999998</v>
      </c>
      <c r="U3036">
        <v>-1.9511719999999999</v>
      </c>
      <c r="V3036">
        <v>3.8079479999999998E-3</v>
      </c>
      <c r="W3036">
        <v>3.1015020000000001E-2</v>
      </c>
      <c r="X3036">
        <v>0.9995117</v>
      </c>
      <c r="Y3036">
        <v>-0.2810877</v>
      </c>
      <c r="Z3036">
        <v>7.2051729999999994E-2</v>
      </c>
      <c r="AA3036">
        <v>0.95697350000000003</v>
      </c>
      <c r="AB3036">
        <v>22</v>
      </c>
      <c r="AC3036">
        <v>10.7830999999999</v>
      </c>
      <c r="AD3036">
        <v>-1.116108957112</v>
      </c>
      <c r="AE3036">
        <v>-8.4629999999999903</v>
      </c>
      <c r="AF3036">
        <v>-3.90744645730814</v>
      </c>
      <c r="AG3036">
        <v>-1.116108957112</v>
      </c>
      <c r="AH3036">
        <v>13.0446401599854</v>
      </c>
      <c r="AI3036">
        <v>94.685636867746794</v>
      </c>
      <c r="AJ3036">
        <v>106.67528276180801</v>
      </c>
      <c r="AK3036">
        <v>13.6629599254473</v>
      </c>
      <c r="AL3036">
        <v>88.222685294842805</v>
      </c>
      <c r="AM3036">
        <v>89.781715118075795</v>
      </c>
      <c r="AN3036">
        <v>1.0000000351852301</v>
      </c>
    </row>
    <row r="3037" spans="1:40" x14ac:dyDescent="0.25">
      <c r="A3037" t="str">
        <f>"20190312154854039"</f>
        <v>20190312154854039</v>
      </c>
      <c r="B3037" t="str">
        <f>"1552376934028672"</f>
        <v>1552376934028672</v>
      </c>
      <c r="C3037" t="s">
        <v>40</v>
      </c>
      <c r="D3037">
        <v>4.3260690000000004</v>
      </c>
      <c r="E3037">
        <v>0.38618160000000001</v>
      </c>
      <c r="F3037" t="s">
        <v>49</v>
      </c>
      <c r="G3037">
        <v>-473.9735</v>
      </c>
      <c r="H3037" s="1">
        <v>4.1673020000000004E-6</v>
      </c>
      <c r="I3037">
        <v>213.9521</v>
      </c>
      <c r="J3037">
        <v>-484.91219999999998</v>
      </c>
      <c r="K3037">
        <v>1.1161920000000001</v>
      </c>
      <c r="L3037">
        <v>222.3947</v>
      </c>
      <c r="M3037">
        <v>0.58500759999999996</v>
      </c>
      <c r="N3037">
        <v>0</v>
      </c>
      <c r="O3037">
        <v>-0.81090779999999996</v>
      </c>
      <c r="P3037">
        <v>0.58161589999999996</v>
      </c>
      <c r="Q3037">
        <v>1.8419689999999999E-2</v>
      </c>
      <c r="R3037">
        <v>-0.81325530000000001</v>
      </c>
      <c r="S3037">
        <v>2.4818730000000002</v>
      </c>
      <c r="T3037">
        <v>-0.25002350000000001</v>
      </c>
      <c r="U3037">
        <v>-1.9311069999999999</v>
      </c>
      <c r="V3037">
        <v>3.6501989999999998E-3</v>
      </c>
      <c r="W3037">
        <v>3.2416220000000003E-2</v>
      </c>
      <c r="X3037">
        <v>0.99946780000000002</v>
      </c>
      <c r="Y3037">
        <v>-0.27836949999999999</v>
      </c>
      <c r="Z3037">
        <v>7.0909429999999996E-2</v>
      </c>
      <c r="AA3037">
        <v>0.95785299999999995</v>
      </c>
      <c r="AB3037">
        <v>22</v>
      </c>
      <c r="AC3037">
        <v>10.9386999999999</v>
      </c>
      <c r="AD3037">
        <v>-1.1161878326979999</v>
      </c>
      <c r="AE3037">
        <v>-8.4425999999999899</v>
      </c>
      <c r="AF3037">
        <v>-3.9061859765945099</v>
      </c>
      <c r="AG3037">
        <v>-1.1161878326979999</v>
      </c>
      <c r="AH3037">
        <v>13.160805116888501</v>
      </c>
      <c r="AI3037">
        <v>94.648257850627999</v>
      </c>
      <c r="AJ3037">
        <v>106.531124782532</v>
      </c>
      <c r="AK3037">
        <v>13.7735600149825</v>
      </c>
      <c r="AL3037">
        <v>88.142361988669904</v>
      </c>
      <c r="AM3037">
        <v>89.790748569149201</v>
      </c>
      <c r="AN3037">
        <v>1.00000000925433</v>
      </c>
    </row>
    <row r="3038" spans="1:40" x14ac:dyDescent="0.25">
      <c r="A3038" t="str">
        <f>"20190312154854062"</f>
        <v>20190312154854062</v>
      </c>
      <c r="B3038" t="str">
        <f>"1552376934058928"</f>
        <v>1552376934058928</v>
      </c>
      <c r="C3038" t="s">
        <v>40</v>
      </c>
      <c r="D3038">
        <v>4.3194019999999904</v>
      </c>
      <c r="E3038">
        <v>0.39274890000000001</v>
      </c>
      <c r="F3038" t="s">
        <v>49</v>
      </c>
      <c r="G3038">
        <v>-473.7022</v>
      </c>
      <c r="H3038" s="1">
        <v>4.2824559999999997E-6</v>
      </c>
      <c r="I3038">
        <v>213.8339</v>
      </c>
      <c r="J3038">
        <v>-484.77300000000002</v>
      </c>
      <c r="K3038">
        <v>1.116282</v>
      </c>
      <c r="L3038">
        <v>222.22229999999999</v>
      </c>
      <c r="M3038">
        <v>0.5935494</v>
      </c>
      <c r="N3038">
        <v>0</v>
      </c>
      <c r="O3038">
        <v>-0.80467639999999996</v>
      </c>
      <c r="P3038">
        <v>0.59004089999999998</v>
      </c>
      <c r="Q3038">
        <v>1.9040680000000001E-2</v>
      </c>
      <c r="R3038">
        <v>-0.80714909999999995</v>
      </c>
      <c r="S3038">
        <v>2.49823</v>
      </c>
      <c r="T3038">
        <v>-0.24875069999999999</v>
      </c>
      <c r="U3038">
        <v>-1.907837</v>
      </c>
      <c r="V3038">
        <v>3.8009319999999999E-3</v>
      </c>
      <c r="W3038">
        <v>3.3066749999999999E-2</v>
      </c>
      <c r="X3038">
        <v>0.9994459</v>
      </c>
      <c r="Y3038">
        <v>-0.27691179999999999</v>
      </c>
      <c r="Z3038">
        <v>7.0146860000000005E-2</v>
      </c>
      <c r="AA3038">
        <v>0.9583315</v>
      </c>
      <c r="AB3038">
        <v>22</v>
      </c>
      <c r="AC3038">
        <v>11.0708</v>
      </c>
      <c r="AD3038">
        <v>-1.116277717544</v>
      </c>
      <c r="AE3038">
        <v>-8.3883999999999901</v>
      </c>
      <c r="AF3038">
        <v>-3.9046456920089501</v>
      </c>
      <c r="AG3038">
        <v>-1.116277717544</v>
      </c>
      <c r="AH3038">
        <v>13.2368196865944</v>
      </c>
      <c r="AI3038">
        <v>94.624331385807906</v>
      </c>
      <c r="AJ3038">
        <v>106.43519865234001</v>
      </c>
      <c r="AK3038">
        <v>13.8457838109015</v>
      </c>
      <c r="AL3038">
        <v>88.105069319014206</v>
      </c>
      <c r="AM3038">
        <v>89.782102951332405</v>
      </c>
      <c r="AN3038">
        <v>0.99999998203322005</v>
      </c>
    </row>
    <row r="3039" spans="1:40" x14ac:dyDescent="0.25">
      <c r="A3039" t="str">
        <f>"20190312154854084"</f>
        <v>20190312154854084</v>
      </c>
      <c r="B3039" t="str">
        <f>"1552376934078447"</f>
        <v>1552376934078447</v>
      </c>
      <c r="C3039" t="s">
        <v>40</v>
      </c>
      <c r="D3039">
        <v>4.2723060000000004</v>
      </c>
      <c r="E3039">
        <v>0.39311750000000001</v>
      </c>
      <c r="F3039" t="s">
        <v>49</v>
      </c>
      <c r="G3039">
        <v>-474.99110000000002</v>
      </c>
      <c r="H3039" s="1">
        <v>3.7475140000000001E-6</v>
      </c>
      <c r="I3039">
        <v>214.67179999999999</v>
      </c>
      <c r="J3039">
        <v>-484.63990000000001</v>
      </c>
      <c r="K3039">
        <v>1.116382</v>
      </c>
      <c r="L3039">
        <v>222.06129999999999</v>
      </c>
      <c r="M3039">
        <v>0.601688</v>
      </c>
      <c r="N3039">
        <v>0</v>
      </c>
      <c r="O3039">
        <v>-0.79860880000000001</v>
      </c>
      <c r="P3039">
        <v>0.59810249999999998</v>
      </c>
      <c r="Q3039">
        <v>1.9798619999999999E-2</v>
      </c>
      <c r="R3039">
        <v>-0.80117519999999998</v>
      </c>
      <c r="S3039">
        <v>2.4775390000000002</v>
      </c>
      <c r="T3039">
        <v>-0.28272770000000003</v>
      </c>
      <c r="U3039">
        <v>-1.9123840000000001</v>
      </c>
      <c r="V3039">
        <v>3.8981160000000001E-3</v>
      </c>
      <c r="W3039">
        <v>3.3853569999999999E-2</v>
      </c>
      <c r="X3039">
        <v>0.99941919999999995</v>
      </c>
      <c r="Y3039">
        <v>-0.26150180000000001</v>
      </c>
      <c r="Z3039">
        <v>7.9133170000000003E-2</v>
      </c>
      <c r="AA3039">
        <v>0.96195359999999996</v>
      </c>
      <c r="AB3039">
        <v>22</v>
      </c>
      <c r="AC3039">
        <v>9.6487999999999907</v>
      </c>
      <c r="AD3039">
        <v>-1.116378252486</v>
      </c>
      <c r="AE3039">
        <v>-7.3894999999999902</v>
      </c>
      <c r="AF3039">
        <v>-3.2324866829552499</v>
      </c>
      <c r="AG3039">
        <v>-1.116378252486</v>
      </c>
      <c r="AH3039">
        <v>11.610067944900999</v>
      </c>
      <c r="AI3039">
        <v>95.292359236498797</v>
      </c>
      <c r="AJ3039">
        <v>105.55831906849301</v>
      </c>
      <c r="AK3039">
        <v>12.1032618844394</v>
      </c>
      <c r="AL3039">
        <v>88.059962626183705</v>
      </c>
      <c r="AM3039">
        <v>89.776525743872895</v>
      </c>
      <c r="AN3039">
        <v>0.99999999841936704</v>
      </c>
    </row>
    <row r="3040" spans="1:40" x14ac:dyDescent="0.25">
      <c r="A3040" t="str">
        <f>"20190312154854106"</f>
        <v>20190312154854106</v>
      </c>
      <c r="B3040" t="str">
        <f>"1552376934098943"</f>
        <v>1552376934098943</v>
      </c>
      <c r="C3040" t="s">
        <v>40</v>
      </c>
      <c r="D3040">
        <v>4.2026289999999999</v>
      </c>
      <c r="E3040">
        <v>0.36110799999999998</v>
      </c>
      <c r="F3040" t="s">
        <v>49</v>
      </c>
      <c r="G3040">
        <v>-474.56310000000002</v>
      </c>
      <c r="H3040" s="1">
        <v>3.9266790000000001E-6</v>
      </c>
      <c r="I3040">
        <v>214.42830000000001</v>
      </c>
      <c r="J3040">
        <v>-484.50240000000002</v>
      </c>
      <c r="K3040">
        <v>1.116493</v>
      </c>
      <c r="L3040">
        <v>221.89879999999999</v>
      </c>
      <c r="M3040">
        <v>0.61007029999999995</v>
      </c>
      <c r="N3040">
        <v>0</v>
      </c>
      <c r="O3040">
        <v>-0.79222340000000002</v>
      </c>
      <c r="P3040">
        <v>0.60630879999999998</v>
      </c>
      <c r="Q3040">
        <v>2.0101500000000001E-2</v>
      </c>
      <c r="R3040">
        <v>-0.7949754</v>
      </c>
      <c r="S3040">
        <v>2.494202</v>
      </c>
      <c r="T3040">
        <v>-0.27632509999999999</v>
      </c>
      <c r="U3040">
        <v>-1.889313</v>
      </c>
      <c r="V3040">
        <v>4.1354850000000004E-3</v>
      </c>
      <c r="W3040">
        <v>3.4189539999999997E-2</v>
      </c>
      <c r="X3040">
        <v>0.99940680000000004</v>
      </c>
      <c r="Y3040">
        <v>-0.26023489999999999</v>
      </c>
      <c r="Z3040">
        <v>7.6872789999999996E-2</v>
      </c>
      <c r="AA3040">
        <v>0.96248029999999996</v>
      </c>
      <c r="AB3040">
        <v>22</v>
      </c>
      <c r="AC3040">
        <v>9.9392999999999994</v>
      </c>
      <c r="AD3040">
        <v>-1.116489073321</v>
      </c>
      <c r="AE3040">
        <v>-7.4704999999999799</v>
      </c>
      <c r="AF3040">
        <v>-3.2904103756909699</v>
      </c>
      <c r="AG3040">
        <v>-1.116489073321</v>
      </c>
      <c r="AH3040">
        <v>11.887303772492601</v>
      </c>
      <c r="AI3040">
        <v>95.172266192289698</v>
      </c>
      <c r="AJ3040">
        <v>105.472109432793</v>
      </c>
      <c r="AK3040">
        <v>12.3847220102357</v>
      </c>
      <c r="AL3040">
        <v>88.040701795211703</v>
      </c>
      <c r="AM3040">
        <v>89.762914876723201</v>
      </c>
      <c r="AN3040">
        <v>0.99999998938391799</v>
      </c>
    </row>
    <row r="3041" spans="1:40" x14ac:dyDescent="0.25">
      <c r="A3041" t="str">
        <f>"20190312154854127"</f>
        <v>20190312154854127</v>
      </c>
      <c r="B3041" t="str">
        <f>"1552376934118464"</f>
        <v>1552376934118464</v>
      </c>
      <c r="C3041" t="s">
        <v>40</v>
      </c>
      <c r="D3041">
        <v>4.1342840000000001</v>
      </c>
      <c r="E3041">
        <v>0.32054919999999998</v>
      </c>
      <c r="F3041" t="s">
        <v>49</v>
      </c>
      <c r="G3041">
        <v>-471.84210000000002</v>
      </c>
      <c r="H3041" s="1">
        <v>5.1114540000000001E-6</v>
      </c>
      <c r="I3041">
        <v>213.92750000000001</v>
      </c>
      <c r="J3041">
        <v>-484.37279999999998</v>
      </c>
      <c r="K3041">
        <v>1.1165929999999999</v>
      </c>
      <c r="L3041">
        <v>221.7492</v>
      </c>
      <c r="M3041">
        <v>0.61795419999999901</v>
      </c>
      <c r="N3041">
        <v>0</v>
      </c>
      <c r="O3041">
        <v>-0.78608849999999997</v>
      </c>
      <c r="P3041">
        <v>0.61396830000000002</v>
      </c>
      <c r="Q3041">
        <v>1.963324E-2</v>
      </c>
      <c r="R3041">
        <v>-0.78908669999999903</v>
      </c>
      <c r="S3041">
        <v>2.7147830000000002</v>
      </c>
      <c r="T3041">
        <v>-0.23941109999999999</v>
      </c>
      <c r="U3041">
        <v>-1.70932</v>
      </c>
      <c r="V3041">
        <v>4.4607850000000001E-3</v>
      </c>
      <c r="W3041">
        <v>3.3756349999999997E-2</v>
      </c>
      <c r="X3041">
        <v>0.99942019999999998</v>
      </c>
      <c r="Y3041">
        <v>-0.33367059999999998</v>
      </c>
      <c r="Z3041">
        <v>6.6453360000000003E-2</v>
      </c>
      <c r="AA3041">
        <v>0.94034459999999997</v>
      </c>
      <c r="AB3041">
        <v>22</v>
      </c>
      <c r="AC3041">
        <v>12.5306999999999</v>
      </c>
      <c r="AD3041">
        <v>-1.1165878885460001</v>
      </c>
      <c r="AE3041">
        <v>-7.8216999999999901</v>
      </c>
      <c r="AF3041">
        <v>-4.9887766199672301</v>
      </c>
      <c r="AG3041">
        <v>-1.1165878885460001</v>
      </c>
      <c r="AH3041">
        <v>13.8143843304046</v>
      </c>
      <c r="AI3041">
        <v>94.347410286417897</v>
      </c>
      <c r="AJ3041">
        <v>109.85612776626699</v>
      </c>
      <c r="AK3041">
        <v>14.7299652105803</v>
      </c>
      <c r="AL3041">
        <v>88.065536232322401</v>
      </c>
      <c r="AM3041">
        <v>89.744269270711001</v>
      </c>
      <c r="AN3041">
        <v>1.0000000629680801</v>
      </c>
    </row>
    <row r="3042" spans="1:40" x14ac:dyDescent="0.25">
      <c r="A3042" t="str">
        <f>"20190312154854150"</f>
        <v>20190312154854150</v>
      </c>
      <c r="B3042" t="str">
        <f>"1552376934138959"</f>
        <v>1552376934138959</v>
      </c>
      <c r="C3042" t="s">
        <v>40</v>
      </c>
      <c r="D3042">
        <v>4.2524730000000002</v>
      </c>
      <c r="E3042">
        <v>0.32307930000000001</v>
      </c>
      <c r="F3042" t="s">
        <v>41</v>
      </c>
      <c r="G3042">
        <v>-483.4384</v>
      </c>
      <c r="H3042">
        <v>1.052527</v>
      </c>
      <c r="I3042">
        <v>221.28450000000001</v>
      </c>
      <c r="J3042">
        <v>-484.22559999999999</v>
      </c>
      <c r="K3042">
        <v>1.1166879999999999</v>
      </c>
      <c r="L3042">
        <v>221.58340000000001</v>
      </c>
      <c r="M3042">
        <v>0.62686319999999995</v>
      </c>
      <c r="N3042">
        <v>0</v>
      </c>
      <c r="O3042">
        <v>-0.77900209999999903</v>
      </c>
      <c r="P3042">
        <v>0.62308969999999997</v>
      </c>
      <c r="Q3042">
        <v>1.869738E-2</v>
      </c>
      <c r="R3042">
        <v>-0.78192700000000004</v>
      </c>
      <c r="S3042">
        <v>2.9851679999999998</v>
      </c>
      <c r="T3042">
        <v>-0.2046463</v>
      </c>
      <c r="U3042">
        <v>-1.484299</v>
      </c>
      <c r="V3042">
        <v>4.2537620000000003E-3</v>
      </c>
      <c r="W3042">
        <v>3.2849910000000003E-2</v>
      </c>
      <c r="X3042">
        <v>0.99945119999999998</v>
      </c>
      <c r="Y3042">
        <v>-0.41673209999999999</v>
      </c>
      <c r="Z3042">
        <v>5.6149299999999999E-2</v>
      </c>
      <c r="AA3042">
        <v>0.90729360000000003</v>
      </c>
      <c r="AB3042">
        <v>22</v>
      </c>
      <c r="AC3042">
        <v>0.78719999999998402</v>
      </c>
      <c r="AD3042">
        <v>-6.4160999999999899E-2</v>
      </c>
      <c r="AE3042">
        <v>-0.298900000000003</v>
      </c>
      <c r="AF3042">
        <v>-0.4234447231613</v>
      </c>
      <c r="AG3042">
        <v>-6.4160999999999899E-2</v>
      </c>
      <c r="AH3042">
        <v>0.72218938072056305</v>
      </c>
      <c r="AI3042">
        <v>94.382572067397504</v>
      </c>
      <c r="AJ3042">
        <v>120.384577263274</v>
      </c>
      <c r="AK3042">
        <v>0.83963061468701905</v>
      </c>
      <c r="AL3042">
        <v>88.117500040617003</v>
      </c>
      <c r="AM3042">
        <v>89.756145034352699</v>
      </c>
      <c r="AN3042">
        <v>0.99999995612979897</v>
      </c>
    </row>
    <row r="3043" spans="1:40" x14ac:dyDescent="0.25">
      <c r="A3043" t="str">
        <f>"20190312154854172"</f>
        <v>20190312154854172</v>
      </c>
      <c r="B3043" t="str">
        <f>"1552376934169215"</f>
        <v>1552376934169215</v>
      </c>
      <c r="C3043" t="s">
        <v>40</v>
      </c>
      <c r="D3043">
        <v>4.1217509999999997</v>
      </c>
      <c r="E3043">
        <v>0.32685589999999998</v>
      </c>
      <c r="F3043" t="s">
        <v>49</v>
      </c>
      <c r="G3043">
        <v>-471.67430000000002</v>
      </c>
      <c r="H3043" s="1">
        <v>5.2522530000000003E-6</v>
      </c>
      <c r="I3043">
        <v>215.44669999999999</v>
      </c>
      <c r="J3043">
        <v>-484.09059999999999</v>
      </c>
      <c r="K3043">
        <v>1.1167689999999999</v>
      </c>
      <c r="L3043">
        <v>221.4348</v>
      </c>
      <c r="M3043">
        <v>0.63498379999999999</v>
      </c>
      <c r="N3043">
        <v>0</v>
      </c>
      <c r="O3043">
        <v>-0.77239639999999998</v>
      </c>
      <c r="P3043">
        <v>0.63147559999999903</v>
      </c>
      <c r="Q3043">
        <v>1.7623900000000001E-2</v>
      </c>
      <c r="R3043">
        <v>-0.77519569999999904</v>
      </c>
      <c r="S3043">
        <v>2.9889220000000001</v>
      </c>
      <c r="T3043">
        <v>-0.26592280000000001</v>
      </c>
      <c r="U3043">
        <v>-1.461365</v>
      </c>
      <c r="V3043">
        <v>3.978283E-3</v>
      </c>
      <c r="W3043">
        <v>3.1799979999999999E-2</v>
      </c>
      <c r="X3043">
        <v>0.99948630000000005</v>
      </c>
      <c r="Y3043">
        <v>-0.41207860000000002</v>
      </c>
      <c r="Z3043">
        <v>7.2522699999999996E-2</v>
      </c>
      <c r="AA3043">
        <v>0.90825750000000005</v>
      </c>
      <c r="AB3043">
        <v>22</v>
      </c>
      <c r="AC3043">
        <v>12.4162999999999</v>
      </c>
      <c r="AD3043">
        <v>-1.116763747747</v>
      </c>
      <c r="AE3043">
        <v>-5.9881000000000002</v>
      </c>
      <c r="AF3043">
        <v>-5.7507921042529899</v>
      </c>
      <c r="AG3043">
        <v>-1.116763747747</v>
      </c>
      <c r="AH3043">
        <v>12.4290087334065</v>
      </c>
      <c r="AI3043">
        <v>94.661904415167598</v>
      </c>
      <c r="AJ3043">
        <v>114.82956195347199</v>
      </c>
      <c r="AK3043">
        <v>13.740415903083701</v>
      </c>
      <c r="AL3043">
        <v>88.177688072906307</v>
      </c>
      <c r="AM3043">
        <v>89.771945226388297</v>
      </c>
      <c r="AN3043">
        <v>0.99999996467565799</v>
      </c>
    </row>
    <row r="3044" spans="1:40" x14ac:dyDescent="0.25">
      <c r="A3044" t="str">
        <f>"20190312154854193"</f>
        <v>20190312154854193</v>
      </c>
      <c r="B3044" t="str">
        <f>"1552376934188736"</f>
        <v>1552376934188736</v>
      </c>
      <c r="C3044" t="s">
        <v>40</v>
      </c>
      <c r="D3044">
        <v>4.0800039999999997</v>
      </c>
      <c r="E3044">
        <v>0.32824419999999999</v>
      </c>
      <c r="F3044" t="s">
        <v>49</v>
      </c>
      <c r="G3044">
        <v>-472.47809999999998</v>
      </c>
      <c r="H3044" s="1">
        <v>4.9110689999999997E-6</v>
      </c>
      <c r="I3044">
        <v>215.79560000000001</v>
      </c>
      <c r="J3044">
        <v>-483.94549999999998</v>
      </c>
      <c r="K3044">
        <v>1.116851</v>
      </c>
      <c r="L3044">
        <v>221.27869999999999</v>
      </c>
      <c r="M3044">
        <v>0.64366650000000003</v>
      </c>
      <c r="N3044">
        <v>0</v>
      </c>
      <c r="O3044">
        <v>-0.76517550000000001</v>
      </c>
      <c r="P3044">
        <v>0.63997700000000002</v>
      </c>
      <c r="Q3044">
        <v>1.7536659999999999E-2</v>
      </c>
      <c r="R3044">
        <v>-0.76819419999999905</v>
      </c>
      <c r="S3044">
        <v>2.9814449999999999</v>
      </c>
      <c r="T3044">
        <v>-0.28672209999999998</v>
      </c>
      <c r="U3044">
        <v>-1.4478150000000001</v>
      </c>
      <c r="V3044">
        <v>4.2524370000000004E-3</v>
      </c>
      <c r="W3044">
        <v>3.1746120000000003E-2</v>
      </c>
      <c r="X3044">
        <v>0.99948689999999996</v>
      </c>
      <c r="Y3044">
        <v>-0.40374910000000003</v>
      </c>
      <c r="Z3044">
        <v>7.7738160000000001E-2</v>
      </c>
      <c r="AA3044">
        <v>0.91156099999999995</v>
      </c>
      <c r="AB3044">
        <v>22</v>
      </c>
      <c r="AC3044">
        <v>11.4673999999999</v>
      </c>
      <c r="AD3044">
        <v>-1.1168460889309999</v>
      </c>
      <c r="AE3044">
        <v>-5.4830999999999701</v>
      </c>
      <c r="AF3044">
        <v>-5.2056207902776599</v>
      </c>
      <c r="AG3044">
        <v>-1.1168460889309999</v>
      </c>
      <c r="AH3044">
        <v>11.4891716632841</v>
      </c>
      <c r="AI3044">
        <v>95.059998135909098</v>
      </c>
      <c r="AJ3044">
        <v>114.37477175227301</v>
      </c>
      <c r="AK3044">
        <v>12.662815583705701</v>
      </c>
      <c r="AL3044">
        <v>88.180775612833898</v>
      </c>
      <c r="AM3044">
        <v>89.756229698844393</v>
      </c>
      <c r="AN3044">
        <v>0.99999998131355095</v>
      </c>
    </row>
    <row r="3045" spans="1:40" x14ac:dyDescent="0.25">
      <c r="A3045" t="str">
        <f>"20190312154854217"</f>
        <v>20190312154854217</v>
      </c>
      <c r="B3045" t="str">
        <f>"1552376934209232"</f>
        <v>1552376934209232</v>
      </c>
      <c r="C3045" t="s">
        <v>40</v>
      </c>
      <c r="D3045">
        <v>4.0481959999999999</v>
      </c>
      <c r="E3045">
        <v>0.32744679999999998</v>
      </c>
      <c r="F3045" t="s">
        <v>49</v>
      </c>
      <c r="G3045">
        <v>-472.32850000000002</v>
      </c>
      <c r="H3045" s="1">
        <v>4.9755169999999999E-6</v>
      </c>
      <c r="I3045">
        <v>215.75219999999999</v>
      </c>
      <c r="J3045">
        <v>-483.79689999999999</v>
      </c>
      <c r="K3045">
        <v>1.1169249999999999</v>
      </c>
      <c r="L3045">
        <v>221.12270000000001</v>
      </c>
      <c r="M3045">
        <v>0.65248790000000001</v>
      </c>
      <c r="N3045">
        <v>0</v>
      </c>
      <c r="O3045">
        <v>-0.75766669999999903</v>
      </c>
      <c r="P3045">
        <v>0.64857719999999996</v>
      </c>
      <c r="Q3045">
        <v>1.723657E-2</v>
      </c>
      <c r="R3045">
        <v>-0.76095360000000001</v>
      </c>
      <c r="S3045">
        <v>2.9887999999999999</v>
      </c>
      <c r="T3045">
        <v>-0.28733900000000001</v>
      </c>
      <c r="U3045">
        <v>-1.4218440000000001</v>
      </c>
      <c r="V3045">
        <v>4.592746E-3</v>
      </c>
      <c r="W3045">
        <v>3.1481620000000002E-2</v>
      </c>
      <c r="X3045">
        <v>0.99949379999999999</v>
      </c>
      <c r="Y3045">
        <v>-0.40048040000000001</v>
      </c>
      <c r="Z3045">
        <v>7.7419929999999998E-2</v>
      </c>
      <c r="AA3045">
        <v>0.91302879999999997</v>
      </c>
      <c r="AB3045">
        <v>22</v>
      </c>
      <c r="AC3045">
        <v>11.4683999999999</v>
      </c>
      <c r="AD3045">
        <v>-1.116920024483</v>
      </c>
      <c r="AE3045">
        <v>-5.3705000000000203</v>
      </c>
      <c r="AF3045">
        <v>-5.1455312278922198</v>
      </c>
      <c r="AG3045">
        <v>-1.116920024483</v>
      </c>
      <c r="AH3045">
        <v>11.464020719385401</v>
      </c>
      <c r="AI3045">
        <v>95.079412085423897</v>
      </c>
      <c r="AJ3045">
        <v>114.172534455723</v>
      </c>
      <c r="AK3045">
        <v>12.615378433198201</v>
      </c>
      <c r="AL3045">
        <v>88.195937997200801</v>
      </c>
      <c r="AM3045">
        <v>89.736723619371503</v>
      </c>
      <c r="AN3045">
        <v>1.00000002097604</v>
      </c>
    </row>
    <row r="3046" spans="1:40" x14ac:dyDescent="0.25">
      <c r="A3046" t="str">
        <f>"20190312154854238"</f>
        <v>20190312154854238</v>
      </c>
      <c r="B3046" t="str">
        <f>"1552376934228751"</f>
        <v>1552376934228751</v>
      </c>
      <c r="C3046" t="s">
        <v>40</v>
      </c>
      <c r="D3046">
        <v>4.0398059999999996</v>
      </c>
      <c r="E3046">
        <v>0.32629429999999998</v>
      </c>
      <c r="F3046" t="s">
        <v>49</v>
      </c>
      <c r="G3046">
        <v>-471.37569999999999</v>
      </c>
      <c r="H3046" s="1">
        <v>5.3829690000000002E-6</v>
      </c>
      <c r="I3046">
        <v>215.4076</v>
      </c>
      <c r="J3046">
        <v>-483.65219999999999</v>
      </c>
      <c r="K3046">
        <v>1.1169929999999999</v>
      </c>
      <c r="L3046">
        <v>220.9744</v>
      </c>
      <c r="M3046">
        <v>0.66100899999999996</v>
      </c>
      <c r="N3046">
        <v>0</v>
      </c>
      <c r="O3046">
        <v>-0.75024380000000002</v>
      </c>
      <c r="P3046">
        <v>0.65733180000000002</v>
      </c>
      <c r="Q3046">
        <v>1.6523469999999998E-2</v>
      </c>
      <c r="R3046">
        <v>-0.75342030000000004</v>
      </c>
      <c r="S3046">
        <v>3.008575</v>
      </c>
      <c r="T3046">
        <v>-0.27053270000000001</v>
      </c>
      <c r="U3046">
        <v>-1.3842620000000001</v>
      </c>
      <c r="V3046">
        <v>4.3494270000000003E-3</v>
      </c>
      <c r="W3046">
        <v>3.079339E-2</v>
      </c>
      <c r="X3046">
        <v>0.99951630000000002</v>
      </c>
      <c r="Y3046">
        <v>-0.40224520000000002</v>
      </c>
      <c r="Z3046">
        <v>7.24659E-2</v>
      </c>
      <c r="AA3046">
        <v>0.91265960000000002</v>
      </c>
      <c r="AB3046">
        <v>22</v>
      </c>
      <c r="AC3046">
        <v>12.2765</v>
      </c>
      <c r="AD3046">
        <v>-1.116987617031</v>
      </c>
      <c r="AE3046">
        <v>-5.5667999999999997</v>
      </c>
      <c r="AF3046">
        <v>-5.49349866676756</v>
      </c>
      <c r="AG3046">
        <v>-1.116987617031</v>
      </c>
      <c r="AH3046">
        <v>12.208739994223899</v>
      </c>
      <c r="AI3046">
        <v>94.769344364998204</v>
      </c>
      <c r="AJ3046">
        <v>114.226050227237</v>
      </c>
      <c r="AK3046">
        <v>13.4342666783468</v>
      </c>
      <c r="AL3046">
        <v>88.235389750420595</v>
      </c>
      <c r="AM3046">
        <v>89.750677165086898</v>
      </c>
      <c r="AN3046">
        <v>0.99999999217430502</v>
      </c>
    </row>
    <row r="3047" spans="1:40" x14ac:dyDescent="0.25">
      <c r="A3047" t="str">
        <f>"20190312154854262"</f>
        <v>20190312154854262</v>
      </c>
      <c r="B3047" t="str">
        <f>"1552376934259008"</f>
        <v>1552376934259008</v>
      </c>
      <c r="C3047" t="s">
        <v>40</v>
      </c>
      <c r="D3047">
        <v>4.0813889999999997</v>
      </c>
      <c r="E3047">
        <v>0.32628559999999901</v>
      </c>
      <c r="F3047" t="s">
        <v>49</v>
      </c>
      <c r="G3047">
        <v>-470.50310000000002</v>
      </c>
      <c r="H3047" s="1">
        <v>5.7583959999999997E-6</v>
      </c>
      <c r="I3047">
        <v>215.1438</v>
      </c>
      <c r="J3047">
        <v>-483.49130000000002</v>
      </c>
      <c r="K3047">
        <v>1.1170690000000001</v>
      </c>
      <c r="L3047">
        <v>220.81370000000001</v>
      </c>
      <c r="M3047">
        <v>0.67037630000000004</v>
      </c>
      <c r="N3047">
        <v>0</v>
      </c>
      <c r="O3047">
        <v>-0.74188489999999996</v>
      </c>
      <c r="P3047">
        <v>0.6670507</v>
      </c>
      <c r="Q3047">
        <v>1.5526379999999999E-2</v>
      </c>
      <c r="R3047">
        <v>-0.74485059999999903</v>
      </c>
      <c r="S3047">
        <v>3.030243</v>
      </c>
      <c r="T3047">
        <v>-0.25741340000000001</v>
      </c>
      <c r="U3047">
        <v>-1.343674</v>
      </c>
      <c r="V3047">
        <v>3.9567209999999998E-3</v>
      </c>
      <c r="W3047">
        <v>2.9821569999999999E-2</v>
      </c>
      <c r="X3047">
        <v>0.99954739999999997</v>
      </c>
      <c r="Y3047">
        <v>-0.4037191</v>
      </c>
      <c r="Z3047">
        <v>6.8453680000000003E-2</v>
      </c>
      <c r="AA3047">
        <v>0.91231850000000003</v>
      </c>
      <c r="AB3047">
        <v>22</v>
      </c>
      <c r="AC3047">
        <v>12.988200000000001</v>
      </c>
      <c r="AD3047">
        <v>-1.1170632416040001</v>
      </c>
      <c r="AE3047">
        <v>-5.6699000000000099</v>
      </c>
      <c r="AF3047">
        <v>-5.7993420362180697</v>
      </c>
      <c r="AG3047">
        <v>-1.1170632416040001</v>
      </c>
      <c r="AH3047">
        <v>12.834957881897299</v>
      </c>
      <c r="AI3047">
        <v>94.534776217842506</v>
      </c>
      <c r="AJ3047">
        <v>114.315336034054</v>
      </c>
      <c r="AK3047">
        <v>14.1285647596939</v>
      </c>
      <c r="AL3047">
        <v>88.291096529785307</v>
      </c>
      <c r="AM3047">
        <v>89.773195118222603</v>
      </c>
      <c r="AN3047">
        <v>0.99999999326254796</v>
      </c>
    </row>
    <row r="3048" spans="1:40" x14ac:dyDescent="0.25">
      <c r="A3048" t="str">
        <f>"20190312154854286"</f>
        <v>20190312154854286</v>
      </c>
      <c r="B3048" t="str">
        <f>"1552376934278528"</f>
        <v>1552376934278528</v>
      </c>
      <c r="C3048" t="s">
        <v>40</v>
      </c>
      <c r="D3048">
        <v>4.0997199999999996</v>
      </c>
      <c r="E3048">
        <v>0.32674599999999998</v>
      </c>
      <c r="F3048" t="s">
        <v>50</v>
      </c>
      <c r="G3048">
        <v>-469.58199999999999</v>
      </c>
      <c r="H3048" s="1">
        <v>3.5517420000000001E-6</v>
      </c>
      <c r="I3048">
        <v>214.85759999999999</v>
      </c>
      <c r="J3048">
        <v>-483.3372</v>
      </c>
      <c r="K3048">
        <v>1.1171329999999999</v>
      </c>
      <c r="L3048">
        <v>220.66370000000001</v>
      </c>
      <c r="M3048">
        <v>0.67925059999999904</v>
      </c>
      <c r="N3048">
        <v>0</v>
      </c>
      <c r="O3048">
        <v>-0.73376799999999998</v>
      </c>
      <c r="P3048">
        <v>0.67705009999999999</v>
      </c>
      <c r="Q3048">
        <v>1.444114E-2</v>
      </c>
      <c r="R3048">
        <v>-0.73579519999999998</v>
      </c>
      <c r="S3048">
        <v>3.0464479999999998</v>
      </c>
      <c r="T3048">
        <v>-0.2446622</v>
      </c>
      <c r="U3048">
        <v>-1.3045199999999999</v>
      </c>
      <c r="V3048">
        <v>2.5062740000000002E-3</v>
      </c>
      <c r="W3048">
        <v>2.8740089999999999E-2</v>
      </c>
      <c r="X3048">
        <v>0.99958380000000002</v>
      </c>
      <c r="Y3048">
        <v>-0.40467009999999998</v>
      </c>
      <c r="Z3048">
        <v>6.4659229999999998E-2</v>
      </c>
      <c r="AA3048">
        <v>0.91217389999999998</v>
      </c>
      <c r="AB3048">
        <v>22</v>
      </c>
      <c r="AC3048">
        <v>13.7552</v>
      </c>
      <c r="AD3048">
        <v>-1.1171294482580001</v>
      </c>
      <c r="AE3048">
        <v>-5.8061000000000096</v>
      </c>
      <c r="AF3048">
        <v>-6.1157150674947598</v>
      </c>
      <c r="AG3048">
        <v>-1.1171294482580001</v>
      </c>
      <c r="AH3048">
        <v>13.5291981205915</v>
      </c>
      <c r="AI3048">
        <v>94.302909643460296</v>
      </c>
      <c r="AJ3048">
        <v>114.32478823555201</v>
      </c>
      <c r="AK3048">
        <v>14.889229354710199</v>
      </c>
      <c r="AL3048">
        <v>88.353087403148507</v>
      </c>
      <c r="AM3048">
        <v>89.856341587782595</v>
      </c>
      <c r="AN3048">
        <v>1.0000000237025</v>
      </c>
    </row>
    <row r="3049" spans="1:40" x14ac:dyDescent="0.25">
      <c r="A3049" t="str">
        <f>"20190312154854305"</f>
        <v>20190312154854305</v>
      </c>
      <c r="B3049" t="str">
        <f>"1552376934299023"</f>
        <v>1552376934299023</v>
      </c>
      <c r="C3049" t="s">
        <v>40</v>
      </c>
      <c r="D3049">
        <v>4.1016909999999998</v>
      </c>
      <c r="E3049">
        <v>0.32734590000000002</v>
      </c>
      <c r="F3049" t="s">
        <v>41</v>
      </c>
      <c r="G3049">
        <v>-482.31700000000001</v>
      </c>
      <c r="H3049">
        <v>1.03644</v>
      </c>
      <c r="I3049">
        <v>220.24170000000001</v>
      </c>
      <c r="J3049">
        <v>-483.19709999999998</v>
      </c>
      <c r="K3049">
        <v>1.1171850000000001</v>
      </c>
      <c r="L3049">
        <v>220.5308</v>
      </c>
      <c r="M3049">
        <v>0.68721169999999998</v>
      </c>
      <c r="N3049">
        <v>0</v>
      </c>
      <c r="O3049">
        <v>-0.72631679999999998</v>
      </c>
      <c r="P3049">
        <v>0.68620309999999995</v>
      </c>
      <c r="Q3049">
        <v>1.404502E-2</v>
      </c>
      <c r="R3049">
        <v>-0.72727449999999905</v>
      </c>
      <c r="S3049">
        <v>3.0607600000000001</v>
      </c>
      <c r="T3049">
        <v>-0.2420572</v>
      </c>
      <c r="U3049">
        <v>-1.265625</v>
      </c>
      <c r="V3049">
        <v>9.0824250000000003E-4</v>
      </c>
      <c r="W3049">
        <v>2.8340190000000001E-2</v>
      </c>
      <c r="X3049">
        <v>0.99959790000000004</v>
      </c>
      <c r="Y3049">
        <v>-0.406167</v>
      </c>
      <c r="Z3049">
        <v>6.3632969999999997E-2</v>
      </c>
      <c r="AA3049">
        <v>0.91158059999999996</v>
      </c>
      <c r="AB3049">
        <v>21</v>
      </c>
      <c r="AC3049">
        <v>0.88010000000002697</v>
      </c>
      <c r="AD3049">
        <v>-8.0744999999999997E-2</v>
      </c>
      <c r="AE3049">
        <v>-0.28909999999998998</v>
      </c>
      <c r="AF3049">
        <v>-0.437281248396371</v>
      </c>
      <c r="AG3049">
        <v>-8.0744999999999997E-2</v>
      </c>
      <c r="AH3049">
        <v>0.80873204981517099</v>
      </c>
      <c r="AI3049">
        <v>95.019143269370701</v>
      </c>
      <c r="AJ3049">
        <v>118.400080053051</v>
      </c>
      <c r="AK3049">
        <v>0.92292045899001296</v>
      </c>
      <c r="AL3049">
        <v>88.3760092455815</v>
      </c>
      <c r="AM3049">
        <v>89.947940619218997</v>
      </c>
      <c r="AN3049">
        <v>0.99999997647904204</v>
      </c>
    </row>
    <row r="3050" spans="1:40" x14ac:dyDescent="0.25">
      <c r="A3050" t="str">
        <f>"20190312154854328"</f>
        <v>20190312154854328</v>
      </c>
      <c r="B3050" t="str">
        <f>"1552376934318544"</f>
        <v>1552376934318544</v>
      </c>
      <c r="C3050" t="s">
        <v>40</v>
      </c>
      <c r="D3050">
        <v>4.1411730000000002</v>
      </c>
      <c r="E3050">
        <v>0.32833459999999998</v>
      </c>
      <c r="F3050" t="s">
        <v>50</v>
      </c>
      <c r="G3050">
        <v>-469.01139999999998</v>
      </c>
      <c r="H3050" s="1">
        <v>3.2485069999999999E-6</v>
      </c>
      <c r="I3050">
        <v>214.84829999999999</v>
      </c>
      <c r="J3050">
        <v>-483.04360000000003</v>
      </c>
      <c r="K3050">
        <v>1.117221</v>
      </c>
      <c r="L3050">
        <v>220.3886</v>
      </c>
      <c r="M3050">
        <v>0.69581910000000002</v>
      </c>
      <c r="N3050">
        <v>0</v>
      </c>
      <c r="O3050">
        <v>-0.71807480000000001</v>
      </c>
      <c r="P3050">
        <v>0.69558690000000001</v>
      </c>
      <c r="Q3050">
        <v>1.375328E-2</v>
      </c>
      <c r="R3050">
        <v>-0.71831060000000002</v>
      </c>
      <c r="S3050">
        <v>3.0724179999999999</v>
      </c>
      <c r="T3050">
        <v>-0.2419654</v>
      </c>
      <c r="U3050">
        <v>-1.2307429999999999</v>
      </c>
      <c r="V3050">
        <v>-1.4949319999999999E-4</v>
      </c>
      <c r="W3050">
        <v>2.8052770000000001E-2</v>
      </c>
      <c r="X3050">
        <v>0.99960640000000001</v>
      </c>
      <c r="Y3050">
        <v>-0.40540569999999998</v>
      </c>
      <c r="Z3050">
        <v>6.3164799999999993E-2</v>
      </c>
      <c r="AA3050">
        <v>0.91195199999999998</v>
      </c>
      <c r="AB3050">
        <v>21</v>
      </c>
      <c r="AC3050">
        <v>14.0322</v>
      </c>
      <c r="AD3050">
        <v>-1.117217751493</v>
      </c>
      <c r="AE3050">
        <v>-5.5403000000000002</v>
      </c>
      <c r="AF3050">
        <v>-6.1878235726639899</v>
      </c>
      <c r="AG3050">
        <v>-1.117217751493</v>
      </c>
      <c r="AH3050">
        <v>13.668666200601001</v>
      </c>
      <c r="AI3050">
        <v>94.258446159489196</v>
      </c>
      <c r="AJ3050">
        <v>114.356326690541</v>
      </c>
      <c r="AK3050">
        <v>15.045589778208001</v>
      </c>
      <c r="AL3050">
        <v>88.3924837349348</v>
      </c>
      <c r="AM3050">
        <v>90.008568702003103</v>
      </c>
      <c r="AN3050">
        <v>0.999999967586924</v>
      </c>
    </row>
    <row r="3051" spans="1:40" x14ac:dyDescent="0.25">
      <c r="A3051" t="str">
        <f>"20190312154854351"</f>
        <v>20190312154854351</v>
      </c>
      <c r="B3051" t="str">
        <f>"1552376934348799"</f>
        <v>1552376934348799</v>
      </c>
      <c r="C3051" t="s">
        <v>40</v>
      </c>
      <c r="D3051">
        <v>4.1054899999999996</v>
      </c>
      <c r="E3051">
        <v>0.33009290000000002</v>
      </c>
      <c r="F3051" t="s">
        <v>50</v>
      </c>
      <c r="G3051">
        <v>-468.70920000000001</v>
      </c>
      <c r="H3051" s="1">
        <v>3.088772E-6</v>
      </c>
      <c r="I3051">
        <v>214.82259999999999</v>
      </c>
      <c r="J3051">
        <v>-482.88420000000002</v>
      </c>
      <c r="K3051">
        <v>1.1172390000000001</v>
      </c>
      <c r="L3051">
        <v>220.24469999999999</v>
      </c>
      <c r="M3051">
        <v>0.70459879999999997</v>
      </c>
      <c r="N3051">
        <v>0</v>
      </c>
      <c r="O3051">
        <v>-0.70946160000000003</v>
      </c>
      <c r="P3051">
        <v>0.70487299999999997</v>
      </c>
      <c r="Q3051">
        <v>1.3649700000000001E-2</v>
      </c>
      <c r="R3051">
        <v>-0.70920229999999995</v>
      </c>
      <c r="S3051">
        <v>3.0819399999999999</v>
      </c>
      <c r="T3051">
        <v>-0.2402048</v>
      </c>
      <c r="U3051">
        <v>-1.196701</v>
      </c>
      <c r="V3051">
        <v>-8.5731990000000003E-4</v>
      </c>
      <c r="W3051">
        <v>2.795458E-2</v>
      </c>
      <c r="X3051">
        <v>0.99960879999999996</v>
      </c>
      <c r="Y3051">
        <v>-0.40391369999999999</v>
      </c>
      <c r="Z3051">
        <v>6.2243079999999999E-2</v>
      </c>
      <c r="AA3051">
        <v>0.91267710000000002</v>
      </c>
      <c r="AB3051">
        <v>21</v>
      </c>
      <c r="AC3051">
        <v>14.175000000000001</v>
      </c>
      <c r="AD3051">
        <v>-1.1172359112279999</v>
      </c>
      <c r="AE3051">
        <v>-5.4221000000000004</v>
      </c>
      <c r="AF3051">
        <v>-6.2032347006915396</v>
      </c>
      <c r="AG3051">
        <v>-1.1172359112279999</v>
      </c>
      <c r="AH3051">
        <v>13.761300376677699</v>
      </c>
      <c r="AI3051">
        <v>94.2330021721789</v>
      </c>
      <c r="AJ3051">
        <v>114.264607645103</v>
      </c>
      <c r="AK3051">
        <v>15.136106662228199</v>
      </c>
      <c r="AL3051">
        <v>88.398111824065595</v>
      </c>
      <c r="AM3051">
        <v>90.049140023495795</v>
      </c>
      <c r="AN3051">
        <v>0.99999997328891299</v>
      </c>
    </row>
    <row r="3052" spans="1:40" x14ac:dyDescent="0.25">
      <c r="A3052" t="str">
        <f>"20190312154854373"</f>
        <v>20190312154854373</v>
      </c>
      <c r="B3052" t="str">
        <f>"1552376934369296"</f>
        <v>1552376934369296</v>
      </c>
      <c r="C3052" t="s">
        <v>40</v>
      </c>
      <c r="D3052">
        <v>4.1427259999999997</v>
      </c>
      <c r="E3052">
        <v>0.3485047</v>
      </c>
      <c r="F3052" t="s">
        <v>50</v>
      </c>
      <c r="G3052">
        <v>-468.44690000000003</v>
      </c>
      <c r="H3052" s="1">
        <v>2.9506869999999998E-6</v>
      </c>
      <c r="I3052">
        <v>214.7893</v>
      </c>
      <c r="J3052">
        <v>-482.73070000000001</v>
      </c>
      <c r="K3052">
        <v>1.1172390000000001</v>
      </c>
      <c r="L3052">
        <v>220.10939999999999</v>
      </c>
      <c r="M3052">
        <v>0.7129434</v>
      </c>
      <c r="N3052">
        <v>0</v>
      </c>
      <c r="O3052">
        <v>-0.7010769</v>
      </c>
      <c r="P3052">
        <v>0.71316489999999999</v>
      </c>
      <c r="Q3052">
        <v>1.3209439999999999E-2</v>
      </c>
      <c r="R3052">
        <v>-0.70087239999999995</v>
      </c>
      <c r="S3052">
        <v>3.0870669999999998</v>
      </c>
      <c r="T3052">
        <v>-0.23889369999999999</v>
      </c>
      <c r="U3052">
        <v>-1.166504</v>
      </c>
      <c r="V3052">
        <v>-7.7487029999999998E-4</v>
      </c>
      <c r="W3052">
        <v>2.744885E-2</v>
      </c>
      <c r="X3052">
        <v>0.99962289999999998</v>
      </c>
      <c r="Y3052">
        <v>-0.40143529999999999</v>
      </c>
      <c r="Z3052">
        <v>6.146621E-2</v>
      </c>
      <c r="AA3052">
        <v>0.91382249999999998</v>
      </c>
      <c r="AB3052">
        <v>21</v>
      </c>
      <c r="AC3052">
        <v>14.2837999999999</v>
      </c>
      <c r="AD3052">
        <v>-1.11723604931299</v>
      </c>
      <c r="AE3052">
        <v>-5.3200999999999903</v>
      </c>
      <c r="AF3052">
        <v>-6.1884949784105201</v>
      </c>
      <c r="AG3052">
        <v>-1.11723604931299</v>
      </c>
      <c r="AH3052">
        <v>13.840393017793</v>
      </c>
      <c r="AI3052">
        <v>94.214608997390101</v>
      </c>
      <c r="AJ3052">
        <v>114.090989203657</v>
      </c>
      <c r="AK3052">
        <v>15.202044776104</v>
      </c>
      <c r="AL3052">
        <v>88.427099171935794</v>
      </c>
      <c r="AM3052">
        <v>90.044413537312593</v>
      </c>
      <c r="AN3052">
        <v>0.99999999099735704</v>
      </c>
    </row>
    <row r="3053" spans="1:40" x14ac:dyDescent="0.25">
      <c r="A3053" t="str">
        <f>"20190312154854395"</f>
        <v>20190312154854395</v>
      </c>
      <c r="B3053" t="str">
        <f>"1552376934388816"</f>
        <v>1552376934388816</v>
      </c>
      <c r="C3053" t="s">
        <v>40</v>
      </c>
      <c r="D3053">
        <v>4.1392129999999998</v>
      </c>
      <c r="E3053">
        <v>0.35029349999999998</v>
      </c>
      <c r="F3053" t="s">
        <v>50</v>
      </c>
      <c r="G3053">
        <v>-465.94369999999998</v>
      </c>
      <c r="H3053" s="1">
        <v>1.688654E-6</v>
      </c>
      <c r="I3053">
        <v>213.18620000000001</v>
      </c>
      <c r="J3053">
        <v>-482.57170000000002</v>
      </c>
      <c r="K3053">
        <v>1.1172260000000001</v>
      </c>
      <c r="L3053">
        <v>219.9727</v>
      </c>
      <c r="M3053">
        <v>0.72143819999999903</v>
      </c>
      <c r="N3053">
        <v>0</v>
      </c>
      <c r="O3053">
        <v>-0.69233659999999997</v>
      </c>
      <c r="P3053">
        <v>0.72128409999999998</v>
      </c>
      <c r="Q3053">
        <v>1.3383030000000001E-2</v>
      </c>
      <c r="R3053">
        <v>-0.69251010000000002</v>
      </c>
      <c r="S3053">
        <v>2.9960019999999998</v>
      </c>
      <c r="T3053">
        <v>-0.1993954</v>
      </c>
      <c r="U3053">
        <v>-1.2355959999999999</v>
      </c>
      <c r="V3053">
        <v>-2.438741E-4</v>
      </c>
      <c r="W3053">
        <v>2.7412140000000002E-2</v>
      </c>
      <c r="X3053">
        <v>0.99962419999999996</v>
      </c>
      <c r="Y3053">
        <v>-0.36335410000000001</v>
      </c>
      <c r="Z3053">
        <v>5.0888500000000003E-2</v>
      </c>
      <c r="AA3053">
        <v>0.93026019999999998</v>
      </c>
      <c r="AB3053">
        <v>21</v>
      </c>
      <c r="AC3053">
        <v>16.628</v>
      </c>
      <c r="AD3053">
        <v>-1.1172243113460001</v>
      </c>
      <c r="AE3053">
        <v>-6.7864999999999798</v>
      </c>
      <c r="AF3053">
        <v>-6.59127739727613</v>
      </c>
      <c r="AG3053">
        <v>-1.1172243113460001</v>
      </c>
      <c r="AH3053">
        <v>16.631899004772599</v>
      </c>
      <c r="AI3053">
        <v>93.573389141451599</v>
      </c>
      <c r="AJ3053">
        <v>111.618589062035</v>
      </c>
      <c r="AK3053">
        <v>17.9252110836849</v>
      </c>
      <c r="AL3053">
        <v>88.429203326437701</v>
      </c>
      <c r="AM3053">
        <v>90.013978209396399</v>
      </c>
      <c r="AN3053">
        <v>1.0000000130597899</v>
      </c>
    </row>
    <row r="3054" spans="1:40" x14ac:dyDescent="0.25">
      <c r="A3054" t="str">
        <f>"20190312154854417"</f>
        <v>20190312154854417</v>
      </c>
      <c r="B3054" t="str">
        <f>"1552376934409312"</f>
        <v>1552376934409312</v>
      </c>
      <c r="C3054" t="s">
        <v>40</v>
      </c>
      <c r="D3054">
        <v>4.12765</v>
      </c>
      <c r="E3054">
        <v>0.35181420000000002</v>
      </c>
      <c r="F3054" t="s">
        <v>50</v>
      </c>
      <c r="G3054">
        <v>-466.92570000000001</v>
      </c>
      <c r="H3054" s="1">
        <v>2.1905349999999999E-6</v>
      </c>
      <c r="I3054">
        <v>213.6593</v>
      </c>
      <c r="J3054">
        <v>-482.41930000000002</v>
      </c>
      <c r="K3054">
        <v>1.1172169999999999</v>
      </c>
      <c r="L3054">
        <v>219.84479999999999</v>
      </c>
      <c r="M3054">
        <v>0.72937059999999998</v>
      </c>
      <c r="N3054">
        <v>0</v>
      </c>
      <c r="O3054">
        <v>-0.68397830000000004</v>
      </c>
      <c r="P3054">
        <v>0.72863409999999995</v>
      </c>
      <c r="Q3054">
        <v>1.386508E-2</v>
      </c>
      <c r="R3054">
        <v>-0.68476269999999995</v>
      </c>
      <c r="S3054">
        <v>3.0007320000000002</v>
      </c>
      <c r="T3054">
        <v>-0.2142705</v>
      </c>
      <c r="U3054">
        <v>-1.2108460000000001</v>
      </c>
      <c r="V3054">
        <v>5.9298330000000005E-4</v>
      </c>
      <c r="W3054">
        <v>2.77396E-2</v>
      </c>
      <c r="X3054">
        <v>0.99961500000000003</v>
      </c>
      <c r="Y3054">
        <v>-0.3594716</v>
      </c>
      <c r="Z3054">
        <v>5.4200520000000002E-2</v>
      </c>
      <c r="AA3054">
        <v>0.93158059999999998</v>
      </c>
      <c r="AB3054">
        <v>21</v>
      </c>
      <c r="AC3054">
        <v>15.493600000000001</v>
      </c>
      <c r="AD3054">
        <v>-1.1172148094649901</v>
      </c>
      <c r="AE3054">
        <v>-6.1854999999999896</v>
      </c>
      <c r="AF3054">
        <v>-6.0591752272299901</v>
      </c>
      <c r="AG3054">
        <v>-1.1172148094649901</v>
      </c>
      <c r="AH3054">
        <v>15.463466699062201</v>
      </c>
      <c r="AI3054">
        <v>93.848423675022602</v>
      </c>
      <c r="AJ3054">
        <v>111.39713776710801</v>
      </c>
      <c r="AK3054">
        <v>16.6457374639206</v>
      </c>
      <c r="AL3054">
        <v>88.410434080477899</v>
      </c>
      <c r="AM3054">
        <v>89.966011477992595</v>
      </c>
      <c r="AN3054">
        <v>0.999999992631177</v>
      </c>
    </row>
    <row r="3055" spans="1:40" x14ac:dyDescent="0.25">
      <c r="A3055" t="str">
        <f>"20190312154854440"</f>
        <v>20190312154854440</v>
      </c>
      <c r="B3055" t="str">
        <f>"1552376934428832"</f>
        <v>1552376934428832</v>
      </c>
      <c r="C3055" t="s">
        <v>40</v>
      </c>
      <c r="D3055">
        <v>4.1610820000000004</v>
      </c>
      <c r="E3055">
        <v>0.35140490000000002</v>
      </c>
      <c r="F3055" t="s">
        <v>50</v>
      </c>
      <c r="G3055">
        <v>-466.78149999999999</v>
      </c>
      <c r="H3055" s="1">
        <v>2.1135659999999999E-6</v>
      </c>
      <c r="I3055">
        <v>213.6653</v>
      </c>
      <c r="J3055">
        <v>-482.2484</v>
      </c>
      <c r="K3055">
        <v>1.1172010000000001</v>
      </c>
      <c r="L3055">
        <v>219.70490000000001</v>
      </c>
      <c r="M3055">
        <v>0.73805730000000003</v>
      </c>
      <c r="N3055">
        <v>0</v>
      </c>
      <c r="O3055">
        <v>-0.67459729999999996</v>
      </c>
      <c r="P3055">
        <v>0.73654679999999995</v>
      </c>
      <c r="Q3055">
        <v>1.400451E-2</v>
      </c>
      <c r="R3055">
        <v>-0.67624200000000001</v>
      </c>
      <c r="S3055">
        <v>3.0052490000000001</v>
      </c>
      <c r="T3055">
        <v>-0.2147057</v>
      </c>
      <c r="U3055">
        <v>-1.1875610000000001</v>
      </c>
      <c r="V3055">
        <v>1.749944E-3</v>
      </c>
      <c r="W3055">
        <v>2.7822070000000001E-2</v>
      </c>
      <c r="X3055">
        <v>0.99961140000000004</v>
      </c>
      <c r="Y3055">
        <v>-0.35426390000000002</v>
      </c>
      <c r="Z3055">
        <v>5.3728810000000002E-2</v>
      </c>
      <c r="AA3055">
        <v>0.93360069999999995</v>
      </c>
      <c r="AB3055">
        <v>21</v>
      </c>
      <c r="AC3055">
        <v>15.466900000000001</v>
      </c>
      <c r="AD3055">
        <v>-1.1171988864339999</v>
      </c>
      <c r="AE3055">
        <v>-6.0396000000000001</v>
      </c>
      <c r="AF3055">
        <v>-5.9499893794974001</v>
      </c>
      <c r="AG3055">
        <v>-1.1171988864339999</v>
      </c>
      <c r="AH3055">
        <v>15.421412809197999</v>
      </c>
      <c r="AI3055">
        <v>93.866651306611999</v>
      </c>
      <c r="AJ3055">
        <v>111.09793491014401</v>
      </c>
      <c r="AK3055">
        <v>16.567150630077499</v>
      </c>
      <c r="AL3055">
        <v>88.405707149311894</v>
      </c>
      <c r="AM3055">
        <v>89.899696718986803</v>
      </c>
      <c r="AN3055">
        <v>1.0000000404465199</v>
      </c>
    </row>
    <row r="3056" spans="1:40" x14ac:dyDescent="0.25">
      <c r="A3056" t="str">
        <f>"20190312154854463"</f>
        <v>20190312154854463</v>
      </c>
      <c r="B3056" t="str">
        <f>"1552376934459087"</f>
        <v>1552376934459087</v>
      </c>
      <c r="C3056" t="s">
        <v>40</v>
      </c>
      <c r="D3056">
        <v>4.1894169999999997</v>
      </c>
      <c r="E3056">
        <v>0.33080870000000001</v>
      </c>
      <c r="F3056" t="s">
        <v>50</v>
      </c>
      <c r="G3056">
        <v>-466.43</v>
      </c>
      <c r="H3056" s="1">
        <v>1.925751E-6</v>
      </c>
      <c r="I3056">
        <v>213.68299999999999</v>
      </c>
      <c r="J3056">
        <v>-482.07909999999998</v>
      </c>
      <c r="K3056">
        <v>1.1171690000000001</v>
      </c>
      <c r="L3056">
        <v>219.56970000000001</v>
      </c>
      <c r="M3056">
        <v>0.746533</v>
      </c>
      <c r="N3056">
        <v>0</v>
      </c>
      <c r="O3056">
        <v>-0.66520610000000002</v>
      </c>
      <c r="P3056">
        <v>0.7443168</v>
      </c>
      <c r="Q3056">
        <v>1.388527E-2</v>
      </c>
      <c r="R3056">
        <v>-0.66768209999999995</v>
      </c>
      <c r="S3056">
        <v>3.0210880000000002</v>
      </c>
      <c r="T3056">
        <v>-0.21336939999999999</v>
      </c>
      <c r="U3056">
        <v>-1.150085</v>
      </c>
      <c r="V3056">
        <v>2.8450749999999999E-3</v>
      </c>
      <c r="W3056">
        <v>2.768431E-2</v>
      </c>
      <c r="X3056">
        <v>0.99961270000000002</v>
      </c>
      <c r="Y3056">
        <v>-0.35422769999999998</v>
      </c>
      <c r="Z3056">
        <v>5.285836E-2</v>
      </c>
      <c r="AA3056">
        <v>0.9336641</v>
      </c>
      <c r="AB3056">
        <v>21</v>
      </c>
      <c r="AC3056">
        <v>15.649099999999899</v>
      </c>
      <c r="AD3056">
        <v>-1.1171670742489901</v>
      </c>
      <c r="AE3056">
        <v>-5.88670000000001</v>
      </c>
      <c r="AF3056">
        <v>-5.9890916926820097</v>
      </c>
      <c r="AG3056">
        <v>-1.1171670742489901</v>
      </c>
      <c r="AH3056">
        <v>15.5305776169588</v>
      </c>
      <c r="AI3056">
        <v>93.839694741530295</v>
      </c>
      <c r="AJ3056">
        <v>111.088248148012</v>
      </c>
      <c r="AK3056">
        <v>16.682809196640701</v>
      </c>
      <c r="AL3056">
        <v>88.413603244883305</v>
      </c>
      <c r="AM3056">
        <v>89.836926491898495</v>
      </c>
      <c r="AN3056">
        <v>1.0000000327366101</v>
      </c>
    </row>
    <row r="3057" spans="1:40" x14ac:dyDescent="0.25">
      <c r="A3057" t="str">
        <f>"20190312154854487"</f>
        <v>20190312154854487</v>
      </c>
      <c r="B3057" t="str">
        <f>"1552376934478608"</f>
        <v>1552376934478608</v>
      </c>
      <c r="C3057" t="s">
        <v>40</v>
      </c>
      <c r="D3057">
        <v>4.1540030000000003</v>
      </c>
      <c r="E3057">
        <v>0.3298374</v>
      </c>
      <c r="F3057" t="s">
        <v>49</v>
      </c>
      <c r="G3057">
        <v>-471.08</v>
      </c>
      <c r="H3057" s="1">
        <v>5.544783E-6</v>
      </c>
      <c r="I3057">
        <v>216.11009999999999</v>
      </c>
      <c r="J3057">
        <v>-481.90809999999999</v>
      </c>
      <c r="K3057">
        <v>1.117159</v>
      </c>
      <c r="L3057">
        <v>219.4367</v>
      </c>
      <c r="M3057">
        <v>0.75493199999999905</v>
      </c>
      <c r="N3057">
        <v>0</v>
      </c>
      <c r="O3057">
        <v>-0.65566020000000003</v>
      </c>
      <c r="P3057">
        <v>0.75202669999999905</v>
      </c>
      <c r="Q3057">
        <v>1.3927500000000001E-2</v>
      </c>
      <c r="R3057">
        <v>-0.65898570000000001</v>
      </c>
      <c r="S3057">
        <v>3.148285</v>
      </c>
      <c r="T3057">
        <v>-0.31976830000000001</v>
      </c>
      <c r="U3057">
        <v>-0.99023439999999996</v>
      </c>
      <c r="V3057">
        <v>3.9386350000000002E-3</v>
      </c>
      <c r="W3057">
        <v>2.7690510000000002E-2</v>
      </c>
      <c r="X3057">
        <v>0.99960879999999996</v>
      </c>
      <c r="Y3057">
        <v>-0.39471250000000002</v>
      </c>
      <c r="Z3057">
        <v>7.8353649999999997E-2</v>
      </c>
      <c r="AA3057">
        <v>0.91545770000000004</v>
      </c>
      <c r="AB3057">
        <v>21</v>
      </c>
      <c r="AC3057">
        <v>10.828099999999999</v>
      </c>
      <c r="AD3057">
        <v>-1.1171534552169999</v>
      </c>
      <c r="AE3057">
        <v>-3.3266000000000102</v>
      </c>
      <c r="AF3057">
        <v>-4.5444264906944198</v>
      </c>
      <c r="AG3057">
        <v>-1.1171534552169999</v>
      </c>
      <c r="AH3057">
        <v>10.256807070749799</v>
      </c>
      <c r="AI3057">
        <v>95.686862003490205</v>
      </c>
      <c r="AJ3057">
        <v>113.896429000358</v>
      </c>
      <c r="AK3057">
        <v>11.273949408189299</v>
      </c>
      <c r="AL3057">
        <v>88.413247846853295</v>
      </c>
      <c r="AM3057">
        <v>89.774245690187399</v>
      </c>
      <c r="AN3057">
        <v>1.0000000151135799</v>
      </c>
    </row>
    <row r="3058" spans="1:40" x14ac:dyDescent="0.25">
      <c r="A3058" t="str">
        <f>"20190312154854509"</f>
        <v>20190312154854509</v>
      </c>
      <c r="B3058" t="str">
        <f>"1552376934499104"</f>
        <v>1552376934499104</v>
      </c>
      <c r="C3058" t="s">
        <v>40</v>
      </c>
      <c r="D3058">
        <v>4.1161849999999998</v>
      </c>
      <c r="E3058">
        <v>0.32998450000000001</v>
      </c>
      <c r="F3058" t="s">
        <v>49</v>
      </c>
      <c r="G3058">
        <v>-470.89510000000001</v>
      </c>
      <c r="H3058" s="1">
        <v>5.6280329999999996E-6</v>
      </c>
      <c r="I3058">
        <v>216.13839999999999</v>
      </c>
      <c r="J3058">
        <v>-481.73340000000002</v>
      </c>
      <c r="K3058">
        <v>1.117173</v>
      </c>
      <c r="L3058">
        <v>219.30459999999999</v>
      </c>
      <c r="M3058">
        <v>0.7632717</v>
      </c>
      <c r="N3058">
        <v>0</v>
      </c>
      <c r="O3058">
        <v>-0.64593389999999995</v>
      </c>
      <c r="P3058">
        <v>0.7594841</v>
      </c>
      <c r="Q3058">
        <v>1.3816480000000001E-2</v>
      </c>
      <c r="R3058">
        <v>-0.65037919999999905</v>
      </c>
      <c r="S3058">
        <v>3.1646420000000002</v>
      </c>
      <c r="T3058">
        <v>-0.32102039999999998</v>
      </c>
      <c r="U3058">
        <v>-0.94778439999999997</v>
      </c>
      <c r="V3058">
        <v>5.3642389999999998E-3</v>
      </c>
      <c r="W3058">
        <v>2.7547039999999998E-2</v>
      </c>
      <c r="X3058">
        <v>0.99960610000000005</v>
      </c>
      <c r="Y3058">
        <v>-0.3955458</v>
      </c>
      <c r="Z3058">
        <v>7.7844730000000001E-2</v>
      </c>
      <c r="AA3058">
        <v>0.91514139999999999</v>
      </c>
      <c r="AB3058">
        <v>21</v>
      </c>
      <c r="AC3058">
        <v>10.8383</v>
      </c>
      <c r="AD3058">
        <v>-1.1171673719669999</v>
      </c>
      <c r="AE3058">
        <v>-3.1661999999999999</v>
      </c>
      <c r="AF3058">
        <v>-4.5401358493629402</v>
      </c>
      <c r="AG3058">
        <v>-1.1171673719669999</v>
      </c>
      <c r="AH3058">
        <v>10.2186491283032</v>
      </c>
      <c r="AI3058">
        <v>95.7054337002143</v>
      </c>
      <c r="AJ3058">
        <v>113.95553103872101</v>
      </c>
      <c r="AK3058">
        <v>11.237512468292501</v>
      </c>
      <c r="AL3058">
        <v>88.421471161358795</v>
      </c>
      <c r="AM3058">
        <v>89.692533584240294</v>
      </c>
      <c r="AN3058">
        <v>0.99999998481500996</v>
      </c>
    </row>
    <row r="3059" spans="1:40" x14ac:dyDescent="0.25">
      <c r="A3059" t="str">
        <f>"20190312154854530"</f>
        <v>20190312154854530</v>
      </c>
      <c r="B3059" t="str">
        <f>"1552376934518624"</f>
        <v>1552376934518624</v>
      </c>
      <c r="C3059" t="s">
        <v>40</v>
      </c>
      <c r="D3059">
        <v>4.1087800000000003</v>
      </c>
      <c r="E3059">
        <v>0.33016279999999998</v>
      </c>
      <c r="F3059" t="s">
        <v>49</v>
      </c>
      <c r="G3059">
        <v>-470.38510000000002</v>
      </c>
      <c r="H3059" s="1">
        <v>5.8500349999999998E-6</v>
      </c>
      <c r="I3059">
        <v>216.04339999999999</v>
      </c>
      <c r="J3059">
        <v>-481.58080000000001</v>
      </c>
      <c r="K3059">
        <v>1.1171979999999999</v>
      </c>
      <c r="L3059">
        <v>219.19200000000001</v>
      </c>
      <c r="M3059">
        <v>0.77036979999999999</v>
      </c>
      <c r="N3059">
        <v>0</v>
      </c>
      <c r="O3059">
        <v>-0.63745240000000003</v>
      </c>
      <c r="P3059">
        <v>0.76550509999999905</v>
      </c>
      <c r="Q3059">
        <v>1.357159E-2</v>
      </c>
      <c r="R3059">
        <v>-0.64328660000000004</v>
      </c>
      <c r="S3059">
        <v>3.1744690000000002</v>
      </c>
      <c r="T3059">
        <v>-0.3125058</v>
      </c>
      <c r="U3059">
        <v>-0.91227720000000001</v>
      </c>
      <c r="V3059">
        <v>7.1234540000000004E-3</v>
      </c>
      <c r="W3059">
        <v>2.729345E-2</v>
      </c>
      <c r="X3059">
        <v>0.99960210000000005</v>
      </c>
      <c r="Y3059">
        <v>-0.39585930000000003</v>
      </c>
      <c r="Z3059">
        <v>7.5157009999999996E-2</v>
      </c>
      <c r="AA3059">
        <v>0.91523049999999995</v>
      </c>
      <c r="AB3059">
        <v>21</v>
      </c>
      <c r="AC3059">
        <v>11.195699999999899</v>
      </c>
      <c r="AD3059">
        <v>-1.1171921499649999</v>
      </c>
      <c r="AE3059">
        <v>-3.1486000000000098</v>
      </c>
      <c r="AF3059">
        <v>-4.6684952692626398</v>
      </c>
      <c r="AG3059">
        <v>-1.1171921499649999</v>
      </c>
      <c r="AH3059">
        <v>10.5356740361023</v>
      </c>
      <c r="AI3059">
        <v>95.537376938638005</v>
      </c>
      <c r="AJ3059">
        <v>113.898759824189</v>
      </c>
      <c r="AK3059">
        <v>11.577711076636399</v>
      </c>
      <c r="AL3059">
        <v>88.436006314236394</v>
      </c>
      <c r="AM3059">
        <v>89.591700596760802</v>
      </c>
      <c r="AN3059">
        <v>1.0000000171671</v>
      </c>
    </row>
    <row r="3060" spans="1:40" x14ac:dyDescent="0.25">
      <c r="A3060" t="str">
        <f>"20190312154854552"</f>
        <v>20190312154854552</v>
      </c>
      <c r="B3060" t="str">
        <f>"1552376934548880"</f>
        <v>1552376934548880</v>
      </c>
      <c r="C3060" t="s">
        <v>40</v>
      </c>
      <c r="D3060">
        <v>4.1056269999999904</v>
      </c>
      <c r="E3060">
        <v>0.32060749999999999</v>
      </c>
      <c r="F3060" t="s">
        <v>50</v>
      </c>
      <c r="G3060">
        <v>-469.66570000000002</v>
      </c>
      <c r="H3060" s="1">
        <v>3.551437E-6</v>
      </c>
      <c r="I3060">
        <v>215.88300000000001</v>
      </c>
      <c r="J3060">
        <v>-481.40960000000001</v>
      </c>
      <c r="K3060">
        <v>1.117227</v>
      </c>
      <c r="L3060">
        <v>219.06880000000001</v>
      </c>
      <c r="M3060">
        <v>0.7781555</v>
      </c>
      <c r="N3060">
        <v>0</v>
      </c>
      <c r="O3060">
        <v>-0.62792519999999996</v>
      </c>
      <c r="P3060">
        <v>0.77234859999999905</v>
      </c>
      <c r="Q3060">
        <v>1.4485499999999899E-2</v>
      </c>
      <c r="R3060">
        <v>-0.63503379999999998</v>
      </c>
      <c r="S3060">
        <v>3.1817319999999998</v>
      </c>
      <c r="T3060">
        <v>-0.298328599999999</v>
      </c>
      <c r="U3060">
        <v>-0.883606</v>
      </c>
      <c r="V3060">
        <v>8.6887149999999996E-3</v>
      </c>
      <c r="W3060">
        <v>2.8202430000000001E-2</v>
      </c>
      <c r="X3060">
        <v>0.99956449999999997</v>
      </c>
      <c r="Y3060">
        <v>-0.39316430000000002</v>
      </c>
      <c r="Z3060">
        <v>7.0962380000000005E-2</v>
      </c>
      <c r="AA3060">
        <v>0.91672580000000004</v>
      </c>
      <c r="AB3060">
        <v>21</v>
      </c>
      <c r="AC3060">
        <v>11.743899999999901</v>
      </c>
      <c r="AD3060">
        <v>-1.1172234485629999</v>
      </c>
      <c r="AE3060">
        <v>-3.1858000000000199</v>
      </c>
      <c r="AF3060">
        <v>-4.8547685550734396</v>
      </c>
      <c r="AG3060">
        <v>-1.1172234485629999</v>
      </c>
      <c r="AH3060">
        <v>11.0469257943765</v>
      </c>
      <c r="AI3060">
        <v>95.289816185138406</v>
      </c>
      <c r="AJ3060">
        <v>113.723944202624</v>
      </c>
      <c r="AK3060">
        <v>12.118231532026799</v>
      </c>
      <c r="AL3060">
        <v>88.383905555496298</v>
      </c>
      <c r="AM3060">
        <v>89.501968946538895</v>
      </c>
      <c r="AN3060">
        <v>1.0000000302432499</v>
      </c>
    </row>
    <row r="3061" spans="1:40" x14ac:dyDescent="0.25">
      <c r="A3061" t="str">
        <f>"20190312154854574"</f>
        <v>20190312154854574</v>
      </c>
      <c r="B3061" t="str">
        <f>"1552376934569376"</f>
        <v>1552376934569376</v>
      </c>
      <c r="C3061" t="s">
        <v>40</v>
      </c>
      <c r="D3061">
        <v>4.130687</v>
      </c>
      <c r="E3061">
        <v>0.32160280000000002</v>
      </c>
      <c r="F3061" t="s">
        <v>50</v>
      </c>
      <c r="G3061">
        <v>-458.01710000000003</v>
      </c>
      <c r="H3061" s="1">
        <v>2.7859490000000002E-6</v>
      </c>
      <c r="I3061">
        <v>213.32480000000001</v>
      </c>
      <c r="J3061">
        <v>-481.24220000000003</v>
      </c>
      <c r="K3061">
        <v>1.117259</v>
      </c>
      <c r="L3061">
        <v>218.95150000000001</v>
      </c>
      <c r="M3061">
        <v>0.78562480000000001</v>
      </c>
      <c r="N3061">
        <v>0</v>
      </c>
      <c r="O3061">
        <v>-0.61855530000000003</v>
      </c>
      <c r="P3061">
        <v>0.77822080000000005</v>
      </c>
      <c r="Q3061">
        <v>1.6335280000000001E-2</v>
      </c>
      <c r="R3061">
        <v>-0.62777859999999996</v>
      </c>
      <c r="S3061">
        <v>3.2341920000000002</v>
      </c>
      <c r="T3061">
        <v>-0.1544645</v>
      </c>
      <c r="U3061">
        <v>-0.7941589</v>
      </c>
      <c r="V3061">
        <v>1.1303240000000001E-2</v>
      </c>
      <c r="W3061">
        <v>3.0073220000000001E-2</v>
      </c>
      <c r="X3061">
        <v>0.99948380000000003</v>
      </c>
      <c r="Y3061">
        <v>-0.41241230000000001</v>
      </c>
      <c r="Z3061">
        <v>3.6534070000000002E-2</v>
      </c>
      <c r="AA3061">
        <v>0.91026439999999997</v>
      </c>
      <c r="AB3061">
        <v>21</v>
      </c>
      <c r="AC3061">
        <v>23.225100000000001</v>
      </c>
      <c r="AD3061">
        <v>-1.1172562140510001</v>
      </c>
      <c r="AE3061">
        <v>-5.6266999999999996</v>
      </c>
      <c r="AF3061">
        <v>-9.9247498525550704</v>
      </c>
      <c r="AG3061">
        <v>-1.1172562140510001</v>
      </c>
      <c r="AH3061">
        <v>21.681236175716499</v>
      </c>
      <c r="AI3061">
        <v>92.6826460769812</v>
      </c>
      <c r="AJ3061">
        <v>114.596296635353</v>
      </c>
      <c r="AK3061">
        <v>23.871005910745101</v>
      </c>
      <c r="AL3061">
        <v>88.276671612771096</v>
      </c>
      <c r="AM3061">
        <v>89.352065196623002</v>
      </c>
      <c r="AN3061">
        <v>1.0000000141290499</v>
      </c>
    </row>
    <row r="3062" spans="1:40" x14ac:dyDescent="0.25">
      <c r="A3062" t="str">
        <f>"20190312154854608"</f>
        <v>20190312154854608</v>
      </c>
      <c r="B3062" t="str">
        <f>"1552376934598656"</f>
        <v>1552376934598656</v>
      </c>
      <c r="C3062" t="s">
        <v>40</v>
      </c>
      <c r="D3062">
        <v>4.1971429999999996</v>
      </c>
      <c r="E3062">
        <v>0.32519690000000001</v>
      </c>
      <c r="F3062" t="s">
        <v>50</v>
      </c>
      <c r="G3062">
        <v>-456.6268</v>
      </c>
      <c r="H3062" s="1">
        <v>2.0561830000000001E-6</v>
      </c>
      <c r="I3062">
        <v>213.09479999999999</v>
      </c>
      <c r="J3062">
        <v>-480.98910000000001</v>
      </c>
      <c r="K3062">
        <v>1.117294</v>
      </c>
      <c r="L3062">
        <v>218.77959999999999</v>
      </c>
      <c r="M3062">
        <v>0.79666610000000004</v>
      </c>
      <c r="N3062">
        <v>0</v>
      </c>
      <c r="O3062">
        <v>-0.60426859999999905</v>
      </c>
      <c r="P3062">
        <v>0.78764109999999998</v>
      </c>
      <c r="Q3062">
        <v>1.66444E-2</v>
      </c>
      <c r="R3062">
        <v>-0.61590979999999995</v>
      </c>
      <c r="S3062">
        <v>3.2368160000000001</v>
      </c>
      <c r="T3062">
        <v>-0.1469145</v>
      </c>
      <c r="U3062">
        <v>-0.77012630000000004</v>
      </c>
      <c r="V3062">
        <v>1.41975E-2</v>
      </c>
      <c r="W3062">
        <v>3.0408290000000001E-2</v>
      </c>
      <c r="X3062">
        <v>0.99943669999999996</v>
      </c>
      <c r="Y3062">
        <v>-0.40261209999999997</v>
      </c>
      <c r="Z3062">
        <v>3.4060269999999997E-2</v>
      </c>
      <c r="AA3062">
        <v>0.91473669999999996</v>
      </c>
      <c r="AB3062">
        <v>21</v>
      </c>
      <c r="AC3062">
        <v>24.362300000000001</v>
      </c>
      <c r="AD3062">
        <v>-1.1172919438169999</v>
      </c>
      <c r="AE3062">
        <v>-5.6847999999999903</v>
      </c>
      <c r="AF3062">
        <v>-10.173124067309001</v>
      </c>
      <c r="AG3062">
        <v>-1.1172919438169999</v>
      </c>
      <c r="AH3062">
        <v>22.800371197272799</v>
      </c>
      <c r="AI3062">
        <v>92.562322994272904</v>
      </c>
      <c r="AJ3062">
        <v>114.045587102041</v>
      </c>
      <c r="AK3062">
        <v>24.991953131158201</v>
      </c>
      <c r="AL3062">
        <v>88.257464663880398</v>
      </c>
      <c r="AM3062">
        <v>89.186139433604097</v>
      </c>
      <c r="AN3062">
        <v>0.99999997520693096</v>
      </c>
    </row>
    <row r="3063" spans="1:40" x14ac:dyDescent="0.25">
      <c r="A3063" t="str">
        <f>"20190312154854629"</f>
        <v>20190312154854629</v>
      </c>
      <c r="B3063" t="str">
        <f>"1552376934619155"</f>
        <v>1552376934619155</v>
      </c>
      <c r="C3063" t="s">
        <v>40</v>
      </c>
      <c r="D3063">
        <v>4.2160120000000001</v>
      </c>
      <c r="E3063">
        <v>0.32688220000000001</v>
      </c>
      <c r="F3063" t="s">
        <v>50</v>
      </c>
      <c r="G3063">
        <v>-457.83359999999999</v>
      </c>
      <c r="H3063" s="1">
        <v>2.6825729999999998E-6</v>
      </c>
      <c r="I3063">
        <v>213.45570000000001</v>
      </c>
      <c r="J3063">
        <v>-480.81150000000002</v>
      </c>
      <c r="K3063">
        <v>1.117329</v>
      </c>
      <c r="L3063">
        <v>218.66329999999999</v>
      </c>
      <c r="M3063">
        <v>0.80423669999999903</v>
      </c>
      <c r="N3063">
        <v>0</v>
      </c>
      <c r="O3063">
        <v>-0.59415589999999996</v>
      </c>
      <c r="P3063">
        <v>0.79456199999999999</v>
      </c>
      <c r="Q3063">
        <v>1.6597270000000001E-2</v>
      </c>
      <c r="R3063">
        <v>-0.60695650000000001</v>
      </c>
      <c r="S3063">
        <v>3.231201</v>
      </c>
      <c r="T3063">
        <v>-0.15591060000000001</v>
      </c>
      <c r="U3063">
        <v>-0.74291989999999997</v>
      </c>
      <c r="V3063">
        <v>1.5511270000000001E-2</v>
      </c>
      <c r="W3063">
        <v>3.0375880000000001E-2</v>
      </c>
      <c r="X3063">
        <v>0.99941820000000003</v>
      </c>
      <c r="Y3063">
        <v>-0.39788459999999998</v>
      </c>
      <c r="Z3063">
        <v>3.576824E-2</v>
      </c>
      <c r="AA3063">
        <v>0.91673800000000005</v>
      </c>
      <c r="AB3063">
        <v>21</v>
      </c>
      <c r="AC3063">
        <v>22.977900000000002</v>
      </c>
      <c r="AD3063">
        <v>-1.1173263174270001</v>
      </c>
      <c r="AE3063">
        <v>-5.2075999999999798</v>
      </c>
      <c r="AF3063">
        <v>-9.4439343806301004</v>
      </c>
      <c r="AG3063">
        <v>-1.1173263174270001</v>
      </c>
      <c r="AH3063">
        <v>21.527346590273002</v>
      </c>
      <c r="AI3063">
        <v>92.721227076282005</v>
      </c>
      <c r="AJ3063">
        <v>113.686810102575</v>
      </c>
      <c r="AK3063">
        <v>23.534293401396202</v>
      </c>
      <c r="AL3063">
        <v>88.259322549444605</v>
      </c>
      <c r="AM3063">
        <v>89.110823720071593</v>
      </c>
      <c r="AN3063">
        <v>1.0000000160370099</v>
      </c>
    </row>
    <row r="3064" spans="1:40" x14ac:dyDescent="0.25">
      <c r="A3064" t="str">
        <f>"20190312154854653"</f>
        <v>20190312154854653</v>
      </c>
      <c r="B3064" t="str">
        <f>"1552376934649408"</f>
        <v>1552376934649408</v>
      </c>
      <c r="C3064" t="s">
        <v>40</v>
      </c>
      <c r="D3064">
        <v>4.3994910000000003</v>
      </c>
      <c r="E3064">
        <v>0.33877000000000002</v>
      </c>
      <c r="F3064" t="s">
        <v>50</v>
      </c>
      <c r="G3064">
        <v>-457.74509999999998</v>
      </c>
      <c r="H3064" s="1">
        <v>2.631487E-6</v>
      </c>
      <c r="I3064">
        <v>213.54679999999999</v>
      </c>
      <c r="J3064">
        <v>-480.63080000000002</v>
      </c>
      <c r="K3064">
        <v>1.117367</v>
      </c>
      <c r="L3064">
        <v>218.54820000000001</v>
      </c>
      <c r="M3064">
        <v>0.8117936</v>
      </c>
      <c r="N3064">
        <v>0</v>
      </c>
      <c r="O3064">
        <v>-0.58378850000000004</v>
      </c>
      <c r="P3064">
        <v>0.80169169999999901</v>
      </c>
      <c r="Q3064">
        <v>1.7084519999999999E-2</v>
      </c>
      <c r="R3064">
        <v>-0.59749370000000002</v>
      </c>
      <c r="S3064">
        <v>3.2313839999999998</v>
      </c>
      <c r="T3064">
        <v>-0.1565262</v>
      </c>
      <c r="U3064">
        <v>-0.71676640000000003</v>
      </c>
      <c r="V3064">
        <v>1.64800999999999E-2</v>
      </c>
      <c r="W3064">
        <v>3.0876319999999999E-2</v>
      </c>
      <c r="X3064">
        <v>0.99938729999999998</v>
      </c>
      <c r="Y3064">
        <v>-0.39318599999999998</v>
      </c>
      <c r="Z3064">
        <v>3.5451759999999999E-2</v>
      </c>
      <c r="AA3064">
        <v>0.91877529999999996</v>
      </c>
      <c r="AB3064">
        <v>21</v>
      </c>
      <c r="AC3064">
        <v>22.8857</v>
      </c>
      <c r="AD3064">
        <v>-1.1173643685129999</v>
      </c>
      <c r="AE3064">
        <v>-5.0014000000000101</v>
      </c>
      <c r="AF3064">
        <v>-9.2800380660252806</v>
      </c>
      <c r="AG3064">
        <v>-1.1173643685129999</v>
      </c>
      <c r="AH3064">
        <v>21.451378727229201</v>
      </c>
      <c r="AI3064">
        <v>92.737026312869702</v>
      </c>
      <c r="AJ3064">
        <v>113.39369511178199</v>
      </c>
      <c r="AK3064">
        <v>23.3993431304796</v>
      </c>
      <c r="AL3064">
        <v>88.230635890642205</v>
      </c>
      <c r="AM3064">
        <v>89.055266559980097</v>
      </c>
      <c r="AN3064">
        <v>0.99999995811702003</v>
      </c>
    </row>
    <row r="3065" spans="1:40" x14ac:dyDescent="0.25">
      <c r="A3065" t="str">
        <f>"20190312154854677"</f>
        <v>20190312154854677</v>
      </c>
      <c r="B3065" t="str">
        <f>"1552376934668928"</f>
        <v>1552376934668928</v>
      </c>
      <c r="C3065" t="s">
        <v>40</v>
      </c>
      <c r="D3065">
        <v>4.253819</v>
      </c>
      <c r="E3065">
        <v>0.33835769999999998</v>
      </c>
      <c r="F3065" t="s">
        <v>50</v>
      </c>
      <c r="G3065">
        <v>-461.1275</v>
      </c>
      <c r="H3065" s="1">
        <v>-9.0688800000000004E-7</v>
      </c>
      <c r="I3065">
        <v>213.93219999999999</v>
      </c>
      <c r="J3065">
        <v>-480.43689999999998</v>
      </c>
      <c r="K3065">
        <v>1.1174109999999999</v>
      </c>
      <c r="L3065">
        <v>218.42840000000001</v>
      </c>
      <c r="M3065">
        <v>0.81975069999999906</v>
      </c>
      <c r="N3065">
        <v>0</v>
      </c>
      <c r="O3065">
        <v>-0.5725614</v>
      </c>
      <c r="P3065">
        <v>0.80917359999999905</v>
      </c>
      <c r="Q3065">
        <v>1.726128E-2</v>
      </c>
      <c r="R3065">
        <v>-0.58731630000000001</v>
      </c>
      <c r="S3065">
        <v>3.1842649999999999</v>
      </c>
      <c r="T3065">
        <v>-0.18243039999999999</v>
      </c>
      <c r="U3065">
        <v>-0.75364690000000001</v>
      </c>
      <c r="V3065">
        <v>1.7601410000000001E-2</v>
      </c>
      <c r="W3065">
        <v>3.10765E-2</v>
      </c>
      <c r="X3065">
        <v>0.99936199999999997</v>
      </c>
      <c r="Y3065">
        <v>-0.36707529999999999</v>
      </c>
      <c r="Z3065">
        <v>4.057968E-2</v>
      </c>
      <c r="AA3065">
        <v>0.92930570000000001</v>
      </c>
      <c r="AB3065">
        <v>21</v>
      </c>
      <c r="AC3065">
        <v>19.309399999999901</v>
      </c>
      <c r="AD3065">
        <v>-1.117411906888</v>
      </c>
      <c r="AE3065">
        <v>-4.4962000000000097</v>
      </c>
      <c r="AF3065">
        <v>-7.3473861578036797</v>
      </c>
      <c r="AG3065">
        <v>-1.117411906888</v>
      </c>
      <c r="AH3065">
        <v>18.346642455419001</v>
      </c>
      <c r="AI3065">
        <v>93.236062568357795</v>
      </c>
      <c r="AJ3065">
        <v>111.824906355922</v>
      </c>
      <c r="AK3065">
        <v>19.794746325945201</v>
      </c>
      <c r="AL3065">
        <v>88.219160958248594</v>
      </c>
      <c r="AM3065">
        <v>88.990973994821204</v>
      </c>
      <c r="AN3065">
        <v>0.99999998276511803</v>
      </c>
    </row>
    <row r="3066" spans="1:40" x14ac:dyDescent="0.25">
      <c r="A3066" t="str">
        <f>"20190312154854701"</f>
        <v>20190312154854701</v>
      </c>
      <c r="B3066" t="str">
        <f>"1552376934689424"</f>
        <v>1552376934689424</v>
      </c>
      <c r="C3066" t="s">
        <v>40</v>
      </c>
      <c r="D3066">
        <v>4.386355</v>
      </c>
      <c r="E3066">
        <v>0.33834500000000001</v>
      </c>
      <c r="F3066" t="s">
        <v>50</v>
      </c>
      <c r="G3066">
        <v>-461.62720000000002</v>
      </c>
      <c r="H3066" s="1">
        <v>-6.5471280000000001E-7</v>
      </c>
      <c r="I3066">
        <v>214.24680000000001</v>
      </c>
      <c r="J3066">
        <v>-480.25869999999998</v>
      </c>
      <c r="K3066">
        <v>1.117224</v>
      </c>
      <c r="L3066">
        <v>218.32130000000001</v>
      </c>
      <c r="M3066">
        <v>0.82640740000000001</v>
      </c>
      <c r="N3066">
        <v>0</v>
      </c>
      <c r="O3066">
        <v>-0.56289389999999995</v>
      </c>
      <c r="P3066">
        <v>0.81520000000000004</v>
      </c>
      <c r="Q3066">
        <v>1.5703890000000002E-2</v>
      </c>
      <c r="R3066">
        <v>-0.57896689999999995</v>
      </c>
      <c r="S3066">
        <v>3.1958310000000001</v>
      </c>
      <c r="T3066">
        <v>-0.1898524</v>
      </c>
      <c r="U3066">
        <v>-0.71046450000000005</v>
      </c>
      <c r="V3066">
        <v>1.9084859999999999E-2</v>
      </c>
      <c r="W3066">
        <v>3.0222410000000002E-2</v>
      </c>
      <c r="X3066">
        <v>0.99936100000000005</v>
      </c>
      <c r="Y3066">
        <v>-0.36874659999999998</v>
      </c>
      <c r="Z3066">
        <v>4.1765360000000001E-2</v>
      </c>
      <c r="AA3066">
        <v>0.92859119999999995</v>
      </c>
      <c r="AB3066">
        <v>21</v>
      </c>
      <c r="AC3066">
        <v>18.6314999999999</v>
      </c>
      <c r="AD3066">
        <v>-1.1172246547128</v>
      </c>
      <c r="AE3066">
        <v>-4.0744999999999996</v>
      </c>
      <c r="AF3066">
        <v>-7.0967242778744</v>
      </c>
      <c r="AG3066">
        <v>-1.1172246547128</v>
      </c>
      <c r="AH3066">
        <v>17.631995250118901</v>
      </c>
      <c r="AI3066">
        <v>93.364025820441498</v>
      </c>
      <c r="AJ3066">
        <v>111.924355090836</v>
      </c>
      <c r="AK3066">
        <v>19.0394050039775</v>
      </c>
      <c r="AL3066">
        <v>88.268119773514996</v>
      </c>
      <c r="AM3066">
        <v>88.905951873726494</v>
      </c>
      <c r="AN3066">
        <v>1.0000000171342101</v>
      </c>
    </row>
    <row r="3067" spans="1:40" x14ac:dyDescent="0.25">
      <c r="A3067" t="str">
        <f>"20190312154854723"</f>
        <v>20190312154854723</v>
      </c>
      <c r="B3067" t="str">
        <f>"1552376934718704"</f>
        <v>1552376934718704</v>
      </c>
      <c r="C3067" t="s">
        <v>40</v>
      </c>
      <c r="D3067">
        <v>4.4053839999999997</v>
      </c>
      <c r="E3067">
        <v>0.33300790000000002</v>
      </c>
      <c r="F3067" t="s">
        <v>50</v>
      </c>
      <c r="G3067">
        <v>-463.34609999999998</v>
      </c>
      <c r="H3067" s="1">
        <v>2.380232E-7</v>
      </c>
      <c r="I3067">
        <v>214.74889999999999</v>
      </c>
      <c r="J3067">
        <v>-480.07690000000002</v>
      </c>
      <c r="K3067">
        <v>1.116744</v>
      </c>
      <c r="L3067">
        <v>218.2139</v>
      </c>
      <c r="M3067">
        <v>0.83245069999999999</v>
      </c>
      <c r="N3067">
        <v>0</v>
      </c>
      <c r="O3067">
        <v>-0.55387739999999996</v>
      </c>
      <c r="P3067">
        <v>0.82101630000000003</v>
      </c>
      <c r="Q3067">
        <v>1.381227E-2</v>
      </c>
      <c r="R3067">
        <v>-0.57073809999999903</v>
      </c>
      <c r="S3067">
        <v>3.2035830000000001</v>
      </c>
      <c r="T3067">
        <v>-0.2116237</v>
      </c>
      <c r="U3067">
        <v>-0.67666630000000005</v>
      </c>
      <c r="V3067">
        <v>1.9932510000000001E-2</v>
      </c>
      <c r="W3067">
        <v>2.9786300000000002E-2</v>
      </c>
      <c r="X3067">
        <v>0.99935750000000001</v>
      </c>
      <c r="Y3067">
        <v>-0.3681642</v>
      </c>
      <c r="Z3067">
        <v>4.6014619999999999E-2</v>
      </c>
      <c r="AA3067">
        <v>0.92862140000000004</v>
      </c>
      <c r="AB3067">
        <v>21</v>
      </c>
      <c r="AC3067">
        <v>16.730799999999999</v>
      </c>
      <c r="AD3067">
        <v>-1.1167437619767999</v>
      </c>
      <c r="AE3067">
        <v>-3.4649999999999999</v>
      </c>
      <c r="AF3067">
        <v>-6.3560013740897903</v>
      </c>
      <c r="AG3067">
        <v>-1.1167437619767999</v>
      </c>
      <c r="AH3067">
        <v>15.7812800342823</v>
      </c>
      <c r="AI3067">
        <v>93.755507665351303</v>
      </c>
      <c r="AJ3067">
        <v>111.93739483674101</v>
      </c>
      <c r="AK3067">
        <v>17.049770368476601</v>
      </c>
      <c r="AL3067">
        <v>88.293118211564902</v>
      </c>
      <c r="AM3067">
        <v>88.857368566806798</v>
      </c>
      <c r="AN3067">
        <v>0.99999997071441904</v>
      </c>
    </row>
    <row r="3068" spans="1:40" x14ac:dyDescent="0.25">
      <c r="A3068" t="str">
        <f>"20190312154854744"</f>
        <v>20190312154854744</v>
      </c>
      <c r="B3068" t="str">
        <f>"1552376934739201"</f>
        <v>1552376934739201</v>
      </c>
      <c r="C3068" t="s">
        <v>40</v>
      </c>
      <c r="D3068">
        <v>4.4144100000000002</v>
      </c>
      <c r="E3068">
        <v>0.33363189999999998</v>
      </c>
      <c r="F3068" t="s">
        <v>49</v>
      </c>
      <c r="G3068">
        <v>-470.23340000000002</v>
      </c>
      <c r="H3068" s="1">
        <v>5.9318160000000001E-6</v>
      </c>
      <c r="I3068">
        <v>216.37520000000001</v>
      </c>
      <c r="J3068">
        <v>-479.92610000000002</v>
      </c>
      <c r="K3068">
        <v>1.1163459999999901</v>
      </c>
      <c r="L3068">
        <v>218.1259</v>
      </c>
      <c r="M3068">
        <v>0.83700940000000001</v>
      </c>
      <c r="N3068">
        <v>0</v>
      </c>
      <c r="O3068">
        <v>-0.54691869999999998</v>
      </c>
      <c r="P3068">
        <v>0.82560579999999995</v>
      </c>
      <c r="Q3068">
        <v>1.2407929999999999E-2</v>
      </c>
      <c r="R3068">
        <v>-0.56411109999999998</v>
      </c>
      <c r="S3068">
        <v>3.239563</v>
      </c>
      <c r="T3068">
        <v>-0.36752639999999998</v>
      </c>
      <c r="U3068">
        <v>-0.60513309999999998</v>
      </c>
      <c r="V3068">
        <v>2.0243029999999999E-2</v>
      </c>
      <c r="W3068">
        <v>2.9857789999999999E-2</v>
      </c>
      <c r="X3068">
        <v>0.99934920000000005</v>
      </c>
      <c r="Y3068">
        <v>-0.37868689999999999</v>
      </c>
      <c r="Z3068">
        <v>7.9089850000000003E-2</v>
      </c>
      <c r="AA3068">
        <v>0.92213940000000005</v>
      </c>
      <c r="AB3068">
        <v>21</v>
      </c>
      <c r="AC3068">
        <v>9.6927000000000003</v>
      </c>
      <c r="AD3068">
        <v>-1.1163400681839999</v>
      </c>
      <c r="AE3068">
        <v>-1.7506999999999899</v>
      </c>
      <c r="AF3068">
        <v>-3.7876770451500601</v>
      </c>
      <c r="AG3068">
        <v>-1.1163400681839999</v>
      </c>
      <c r="AH3068">
        <v>8.9566552034688307</v>
      </c>
      <c r="AI3068">
        <v>96.548619475934601</v>
      </c>
      <c r="AJ3068">
        <v>112.923000300132</v>
      </c>
      <c r="AK3068">
        <v>9.7884822613117599</v>
      </c>
      <c r="AL3068">
        <v>88.289020441880297</v>
      </c>
      <c r="AM3068">
        <v>88.839563198078594</v>
      </c>
      <c r="AN3068">
        <v>1.00000004571395</v>
      </c>
    </row>
    <row r="3069" spans="1:40" x14ac:dyDescent="0.25">
      <c r="A3069" t="str">
        <f>"20190312154854764"</f>
        <v>20190312154854764</v>
      </c>
      <c r="B3069" t="str">
        <f>"1552376934758720"</f>
        <v>1552376934758720</v>
      </c>
      <c r="C3069" t="s">
        <v>40</v>
      </c>
      <c r="D3069">
        <v>4.2198729999999998</v>
      </c>
      <c r="E3069">
        <v>0.332279299999999</v>
      </c>
      <c r="F3069" t="s">
        <v>49</v>
      </c>
      <c r="G3069">
        <v>-470.0779</v>
      </c>
      <c r="H3069" s="1">
        <v>5.9997679999999997E-6</v>
      </c>
      <c r="I3069">
        <v>216.35210000000001</v>
      </c>
      <c r="J3069">
        <v>-479.76029999999997</v>
      </c>
      <c r="K3069">
        <v>1.116134</v>
      </c>
      <c r="L3069">
        <v>218.0307</v>
      </c>
      <c r="M3069">
        <v>0.84176390000000001</v>
      </c>
      <c r="N3069">
        <v>0</v>
      </c>
      <c r="O3069">
        <v>-0.53951369999999998</v>
      </c>
      <c r="P3069">
        <v>0.83049280000000003</v>
      </c>
      <c r="Q3069">
        <v>9.8667679999999997E-3</v>
      </c>
      <c r="R3069">
        <v>-0.55694189999999999</v>
      </c>
      <c r="S3069">
        <v>3.2404169999999999</v>
      </c>
      <c r="T3069">
        <v>-0.36731730000000001</v>
      </c>
      <c r="U3069">
        <v>-0.58364869999999902</v>
      </c>
      <c r="V3069">
        <v>2.0416819999999999E-2</v>
      </c>
      <c r="W3069">
        <v>2.9034170000000002E-2</v>
      </c>
      <c r="X3069">
        <v>0.99936990000000003</v>
      </c>
      <c r="Y3069">
        <v>-0.3765598</v>
      </c>
      <c r="Z3069">
        <v>7.8290520000000002E-2</v>
      </c>
      <c r="AA3069">
        <v>0.92307819999999996</v>
      </c>
      <c r="AB3069">
        <v>21</v>
      </c>
      <c r="AC3069">
        <v>9.6823999999999693</v>
      </c>
      <c r="AD3069">
        <v>-1.116128000232</v>
      </c>
      <c r="AE3069">
        <v>-1.6785999999999801</v>
      </c>
      <c r="AF3069">
        <v>-3.7629425993305401</v>
      </c>
      <c r="AG3069">
        <v>-1.116128000232</v>
      </c>
      <c r="AH3069">
        <v>8.9421889198417901</v>
      </c>
      <c r="AI3069">
        <v>96.562734675645601</v>
      </c>
      <c r="AJ3069">
        <v>112.821736396877</v>
      </c>
      <c r="AK3069">
        <v>9.7656654354375494</v>
      </c>
      <c r="AL3069">
        <v>88.336230808739202</v>
      </c>
      <c r="AM3069">
        <v>88.829627637611097</v>
      </c>
      <c r="AN3069">
        <v>1.0000000132962501</v>
      </c>
    </row>
    <row r="3070" spans="1:40" x14ac:dyDescent="0.25">
      <c r="A3070" t="str">
        <f>"20190312154854788"</f>
        <v>20190312154854788</v>
      </c>
      <c r="B3070" t="str">
        <f>"1552376934779216"</f>
        <v>1552376934779216</v>
      </c>
      <c r="C3070" t="s">
        <v>40</v>
      </c>
      <c r="D3070">
        <v>4.3264829999999996</v>
      </c>
      <c r="E3070">
        <v>0.331314099999999</v>
      </c>
      <c r="F3070" t="s">
        <v>50</v>
      </c>
      <c r="G3070">
        <v>-469.03370000000001</v>
      </c>
      <c r="H3070" s="1">
        <v>3.2003449999999998E-6</v>
      </c>
      <c r="I3070">
        <v>216.2216</v>
      </c>
      <c r="J3070">
        <v>-479.5908</v>
      </c>
      <c r="K3070">
        <v>1.1163529999999999</v>
      </c>
      <c r="L3070">
        <v>217.93549999999999</v>
      </c>
      <c r="M3070">
        <v>0.8472478</v>
      </c>
      <c r="N3070">
        <v>0</v>
      </c>
      <c r="O3070">
        <v>-0.53080890000000003</v>
      </c>
      <c r="P3070">
        <v>0.83623590000000003</v>
      </c>
      <c r="Q3070">
        <v>7.7709090000000003E-3</v>
      </c>
      <c r="R3070">
        <v>-0.54831490000000005</v>
      </c>
      <c r="S3070">
        <v>3.2488709999999998</v>
      </c>
      <c r="T3070">
        <v>-0.33805380000000002</v>
      </c>
      <c r="U3070">
        <v>-0.54794309999999902</v>
      </c>
      <c r="V3070">
        <v>2.034803E-2</v>
      </c>
      <c r="W3070">
        <v>2.8328269999999999E-2</v>
      </c>
      <c r="X3070">
        <v>0.99939160000000005</v>
      </c>
      <c r="Y3070">
        <v>-0.37815149999999997</v>
      </c>
      <c r="Z3070">
        <v>7.1343279999999995E-2</v>
      </c>
      <c r="AA3070">
        <v>0.92299059999999999</v>
      </c>
      <c r="AB3070">
        <v>20</v>
      </c>
      <c r="AC3070">
        <v>10.557099999999901</v>
      </c>
      <c r="AD3070">
        <v>-1.116349799655</v>
      </c>
      <c r="AE3070">
        <v>-1.71389999999999</v>
      </c>
      <c r="AF3070">
        <v>-4.1078092463865801</v>
      </c>
      <c r="AG3070">
        <v>-1.116349799655</v>
      </c>
      <c r="AH3070">
        <v>9.75004570648378</v>
      </c>
      <c r="AI3070">
        <v>96.0232537715695</v>
      </c>
      <c r="AJ3070">
        <v>112.84626584114</v>
      </c>
      <c r="AK3070">
        <v>10.6387839981086</v>
      </c>
      <c r="AL3070">
        <v>88.376692607711007</v>
      </c>
      <c r="AM3070">
        <v>88.8335951794202</v>
      </c>
      <c r="AN3070">
        <v>1.0000000516783101</v>
      </c>
    </row>
    <row r="3071" spans="1:40" x14ac:dyDescent="0.25">
      <c r="A3071" t="str">
        <f>"20190312154854809"</f>
        <v>20190312154854809</v>
      </c>
      <c r="B3071" t="str">
        <f>"1552376934798737"</f>
        <v>1552376934798737</v>
      </c>
      <c r="C3071" t="s">
        <v>40</v>
      </c>
      <c r="D3071">
        <v>4.3473870000000003</v>
      </c>
      <c r="E3071">
        <v>0.3314935</v>
      </c>
      <c r="F3071" t="s">
        <v>50</v>
      </c>
      <c r="G3071">
        <v>-468.16410000000002</v>
      </c>
      <c r="H3071" s="1">
        <v>2.7405840000000001E-6</v>
      </c>
      <c r="I3071">
        <v>216.1525</v>
      </c>
      <c r="J3071">
        <v>-479.4237</v>
      </c>
      <c r="K3071">
        <v>1.1169849999999999</v>
      </c>
      <c r="L3071">
        <v>217.8449</v>
      </c>
      <c r="M3071">
        <v>0.85355899999999996</v>
      </c>
      <c r="N3071">
        <v>0</v>
      </c>
      <c r="O3071">
        <v>-0.52059509999999998</v>
      </c>
      <c r="P3071">
        <v>0.84339349999999902</v>
      </c>
      <c r="Q3071">
        <v>7.0210250000000002E-3</v>
      </c>
      <c r="R3071">
        <v>-0.53725109999999998</v>
      </c>
      <c r="S3071">
        <v>3.2572019999999999</v>
      </c>
      <c r="T3071">
        <v>-0.31821820000000001</v>
      </c>
      <c r="U3071">
        <v>-0.50825500000000001</v>
      </c>
      <c r="V3071">
        <v>1.9131189999999999E-2</v>
      </c>
      <c r="W3071">
        <v>2.7723399999999999E-2</v>
      </c>
      <c r="X3071">
        <v>0.9994326</v>
      </c>
      <c r="Y3071">
        <v>-0.37894420000000001</v>
      </c>
      <c r="Z3071">
        <v>6.6315410000000005E-2</v>
      </c>
      <c r="AA3071">
        <v>0.92304039999999998</v>
      </c>
      <c r="AB3071">
        <v>20</v>
      </c>
      <c r="AC3071">
        <v>11.259599999999899</v>
      </c>
      <c r="AD3071">
        <v>-1.1169822594159999</v>
      </c>
      <c r="AE3071">
        <v>-1.6923999999999899</v>
      </c>
      <c r="AF3071">
        <v>-4.37593938391944</v>
      </c>
      <c r="AG3071">
        <v>-1.1169822594159999</v>
      </c>
      <c r="AH3071">
        <v>10.393951614115901</v>
      </c>
      <c r="AI3071">
        <v>95.656400122325493</v>
      </c>
      <c r="AJ3071">
        <v>112.83149421387699</v>
      </c>
      <c r="AK3071">
        <v>11.3327280482755</v>
      </c>
      <c r="AL3071">
        <v>88.411362729350003</v>
      </c>
      <c r="AM3071">
        <v>88.903375183009501</v>
      </c>
      <c r="AN3071">
        <v>1.0000000556405599</v>
      </c>
    </row>
    <row r="3072" spans="1:40" x14ac:dyDescent="0.25">
      <c r="A3072" t="str">
        <f>"20190312154854832"</f>
        <v>20190312154854832</v>
      </c>
      <c r="B3072" t="str">
        <f>"1552376934828992"</f>
        <v>1552376934828992</v>
      </c>
      <c r="C3072" t="s">
        <v>40</v>
      </c>
      <c r="D3072">
        <v>4.4015599999999999</v>
      </c>
      <c r="E3072">
        <v>0.33293040000000002</v>
      </c>
      <c r="F3072" t="s">
        <v>50</v>
      </c>
      <c r="G3072">
        <v>-467.28489999999999</v>
      </c>
      <c r="H3072" s="1">
        <v>2.2745489999999999E-6</v>
      </c>
      <c r="I3072">
        <v>216.11060000000001</v>
      </c>
      <c r="J3072">
        <v>-479.24259999999998</v>
      </c>
      <c r="K3072">
        <v>1.1178030000000001</v>
      </c>
      <c r="L3072">
        <v>217.75149999999999</v>
      </c>
      <c r="M3072">
        <v>0.86026190000000002</v>
      </c>
      <c r="N3072">
        <v>0</v>
      </c>
      <c r="O3072">
        <v>-0.50947089999999995</v>
      </c>
      <c r="P3072">
        <v>0.8503851</v>
      </c>
      <c r="Q3072">
        <v>7.4792189999999996E-3</v>
      </c>
      <c r="R3072">
        <v>-0.52610780000000001</v>
      </c>
      <c r="S3072">
        <v>3.2626650000000001</v>
      </c>
      <c r="T3072">
        <v>-0.30022290000000001</v>
      </c>
      <c r="U3072">
        <v>-0.46614070000000002</v>
      </c>
      <c r="V3072">
        <v>1.888958E-2</v>
      </c>
      <c r="W3072">
        <v>2.7519390000000001E-2</v>
      </c>
      <c r="X3072">
        <v>0.99944279999999996</v>
      </c>
      <c r="Y3072">
        <v>-0.3792954</v>
      </c>
      <c r="Z3072">
        <v>6.1722640000000002E-2</v>
      </c>
      <c r="AA3072">
        <v>0.92321470000000005</v>
      </c>
      <c r="AB3072">
        <v>20</v>
      </c>
      <c r="AC3072">
        <v>11.9576999999999</v>
      </c>
      <c r="AD3072">
        <v>-1.1178007254510001</v>
      </c>
      <c r="AE3072">
        <v>-1.64089999999998</v>
      </c>
      <c r="AF3072">
        <v>-4.6415961340632297</v>
      </c>
      <c r="AG3072">
        <v>-1.1178007254510001</v>
      </c>
      <c r="AH3072">
        <v>11.0303017535882</v>
      </c>
      <c r="AI3072">
        <v>95.336285795291403</v>
      </c>
      <c r="AJ3072">
        <v>112.82155733981701</v>
      </c>
      <c r="AK3072">
        <v>12.019211700805499</v>
      </c>
      <c r="AL3072">
        <v>88.423056048795502</v>
      </c>
      <c r="AM3072">
        <v>88.917232313625107</v>
      </c>
      <c r="AN3072">
        <v>1.0000000217651901</v>
      </c>
    </row>
    <row r="3073" spans="1:40" x14ac:dyDescent="0.25">
      <c r="A3073" t="str">
        <f>"20190312154854854"</f>
        <v>20190312154854854</v>
      </c>
      <c r="B3073" t="str">
        <f>"1552376934848512"</f>
        <v>1552376934848512</v>
      </c>
      <c r="C3073" t="s">
        <v>40</v>
      </c>
      <c r="D3073">
        <v>4.4586169999999896</v>
      </c>
      <c r="E3073">
        <v>0.33438559999999901</v>
      </c>
      <c r="F3073" t="s">
        <v>50</v>
      </c>
      <c r="G3073">
        <v>-466.40809999999999</v>
      </c>
      <c r="H3073" s="1">
        <v>1.8107380000000001E-6</v>
      </c>
      <c r="I3073">
        <v>216.04740000000001</v>
      </c>
      <c r="J3073">
        <v>-479.08190000000002</v>
      </c>
      <c r="K3073">
        <v>1.118314</v>
      </c>
      <c r="L3073">
        <v>217.67250000000001</v>
      </c>
      <c r="M3073">
        <v>0.86576569999999997</v>
      </c>
      <c r="N3073">
        <v>0</v>
      </c>
      <c r="O3073">
        <v>-0.50008069999999905</v>
      </c>
      <c r="P3073">
        <v>0.85623009999999999</v>
      </c>
      <c r="Q3073">
        <v>6.3833129999999998E-3</v>
      </c>
      <c r="R3073">
        <v>-0.51655499999999999</v>
      </c>
      <c r="S3073">
        <v>3.2622990000000001</v>
      </c>
      <c r="T3073">
        <v>-0.2841262</v>
      </c>
      <c r="U3073">
        <v>-0.43315120000000001</v>
      </c>
      <c r="V3073">
        <v>1.8557210000000001E-2</v>
      </c>
      <c r="W3073">
        <v>2.5942099999999999E-2</v>
      </c>
      <c r="X3073">
        <v>0.99949120000000002</v>
      </c>
      <c r="Y3073">
        <v>-0.37876520000000002</v>
      </c>
      <c r="Z3073">
        <v>5.7775189999999997E-2</v>
      </c>
      <c r="AA3073">
        <v>0.9236877</v>
      </c>
      <c r="AB3073">
        <v>20</v>
      </c>
      <c r="AC3073">
        <v>12.6738</v>
      </c>
      <c r="AD3073">
        <v>-1.118312189262</v>
      </c>
      <c r="AE3073">
        <v>-1.6251</v>
      </c>
      <c r="AF3073">
        <v>-4.89438596752675</v>
      </c>
      <c r="AG3073">
        <v>-1.118312189262</v>
      </c>
      <c r="AH3073">
        <v>11.697792389162</v>
      </c>
      <c r="AI3073">
        <v>95.039987467888395</v>
      </c>
      <c r="AJ3073">
        <v>112.704557817493</v>
      </c>
      <c r="AK3073">
        <v>12.729649756835901</v>
      </c>
      <c r="AL3073">
        <v>88.513460404104507</v>
      </c>
      <c r="AM3073">
        <v>88.936331142238302</v>
      </c>
      <c r="AN3073">
        <v>1.00000001073641</v>
      </c>
    </row>
    <row r="3074" spans="1:40" x14ac:dyDescent="0.25">
      <c r="A3074" t="str">
        <f>"20190312154854878"</f>
        <v>20190312154854878</v>
      </c>
      <c r="B3074" t="str">
        <f>"1552376934869009"</f>
        <v>1552376934869009</v>
      </c>
      <c r="C3074" t="s">
        <v>40</v>
      </c>
      <c r="D3074">
        <v>4.4674160000000001</v>
      </c>
      <c r="E3074">
        <v>0.351298</v>
      </c>
      <c r="F3074" t="s">
        <v>50</v>
      </c>
      <c r="G3074">
        <v>-466.10199999999998</v>
      </c>
      <c r="H3074" s="1">
        <v>1.647418E-6</v>
      </c>
      <c r="I3074">
        <v>216.0566</v>
      </c>
      <c r="J3074">
        <v>-478.89139999999998</v>
      </c>
      <c r="K3074">
        <v>1.1184149999999999</v>
      </c>
      <c r="L3074">
        <v>217.58279999999999</v>
      </c>
      <c r="M3074">
        <v>0.8721544</v>
      </c>
      <c r="N3074">
        <v>0</v>
      </c>
      <c r="O3074">
        <v>-0.48886689999999999</v>
      </c>
      <c r="P3074">
        <v>0.86257519999999999</v>
      </c>
      <c r="Q3074">
        <v>4.773729E-3</v>
      </c>
      <c r="R3074">
        <v>-0.505907</v>
      </c>
      <c r="S3074">
        <v>3.2608640000000002</v>
      </c>
      <c r="T3074">
        <v>-0.28094609999999998</v>
      </c>
      <c r="U3074">
        <v>-0.40594479999999999</v>
      </c>
      <c r="V3074">
        <v>1.909257E-2</v>
      </c>
      <c r="W3074">
        <v>2.4017230000000001E-2</v>
      </c>
      <c r="X3074">
        <v>0.99952920000000001</v>
      </c>
      <c r="Y3074">
        <v>-0.37446479999999999</v>
      </c>
      <c r="Z3074">
        <v>5.6186979999999997E-2</v>
      </c>
      <c r="AA3074">
        <v>0.92553719999999995</v>
      </c>
      <c r="AB3074">
        <v>20</v>
      </c>
      <c r="AC3074">
        <v>12.789400000000001</v>
      </c>
      <c r="AD3074">
        <v>-1.1184133525819999</v>
      </c>
      <c r="AE3074">
        <v>-1.52619999999998</v>
      </c>
      <c r="AF3074">
        <v>-4.8852738520775798</v>
      </c>
      <c r="AG3074">
        <v>-1.1184133525819999</v>
      </c>
      <c r="AH3074">
        <v>11.8134860743115</v>
      </c>
      <c r="AI3074">
        <v>94.999910344293994</v>
      </c>
      <c r="AJ3074">
        <v>112.46674021245801</v>
      </c>
      <c r="AK3074">
        <v>12.8325836161304</v>
      </c>
      <c r="AL3074">
        <v>88.623781740002201</v>
      </c>
      <c r="AM3074">
        <v>88.905694137161106</v>
      </c>
      <c r="AN3074">
        <v>0.99999998760935804</v>
      </c>
    </row>
    <row r="3075" spans="1:40" x14ac:dyDescent="0.25">
      <c r="A3075" t="str">
        <f>"20190312154854900"</f>
        <v>20190312154854900</v>
      </c>
      <c r="B3075" t="str">
        <f>"1552376934888528"</f>
        <v>1552376934888528</v>
      </c>
      <c r="C3075" t="s">
        <v>40</v>
      </c>
      <c r="D3075">
        <v>4.4729599999999996</v>
      </c>
      <c r="E3075">
        <v>0.35391289999999997</v>
      </c>
      <c r="F3075" t="s">
        <v>50</v>
      </c>
      <c r="G3075">
        <v>-464.33089999999999</v>
      </c>
      <c r="H3075" s="1">
        <v>7.3439140000000005E-7</v>
      </c>
      <c r="I3075">
        <v>215.3827</v>
      </c>
      <c r="J3075">
        <v>-478.72390000000001</v>
      </c>
      <c r="K3075">
        <v>1.118055</v>
      </c>
      <c r="L3075">
        <v>217.5068</v>
      </c>
      <c r="M3075">
        <v>0.87808980000000003</v>
      </c>
      <c r="N3075">
        <v>0</v>
      </c>
      <c r="O3075">
        <v>-0.47813480000000003</v>
      </c>
      <c r="P3075">
        <v>0.86858230000000003</v>
      </c>
      <c r="Q3075">
        <v>4.4334070000000003E-3</v>
      </c>
      <c r="R3075">
        <v>-0.49552560000000001</v>
      </c>
      <c r="S3075">
        <v>3.1960449999999998</v>
      </c>
      <c r="T3075">
        <v>-0.2454935</v>
      </c>
      <c r="U3075">
        <v>-0.4829254</v>
      </c>
      <c r="V3075">
        <v>1.9392320000000001E-2</v>
      </c>
      <c r="W3075">
        <v>2.3376540000000001E-2</v>
      </c>
      <c r="X3075">
        <v>0.9995387</v>
      </c>
      <c r="Y3075">
        <v>-0.33941169999999998</v>
      </c>
      <c r="Z3075">
        <v>4.791231E-2</v>
      </c>
      <c r="AA3075">
        <v>0.9394169</v>
      </c>
      <c r="AB3075">
        <v>20</v>
      </c>
      <c r="AC3075">
        <v>14.393000000000001</v>
      </c>
      <c r="AD3075">
        <v>-1.1180542656086001</v>
      </c>
      <c r="AE3075">
        <v>-2.1240999999999901</v>
      </c>
      <c r="AF3075">
        <v>-4.9880526977021296</v>
      </c>
      <c r="AG3075">
        <v>-1.1180542656086001</v>
      </c>
      <c r="AH3075">
        <v>13.576135797939401</v>
      </c>
      <c r="AI3075">
        <v>94.420282424866599</v>
      </c>
      <c r="AJ3075">
        <v>110.17400289370001</v>
      </c>
      <c r="AK3075">
        <v>14.5066253229341</v>
      </c>
      <c r="AL3075">
        <v>88.660500993892597</v>
      </c>
      <c r="AM3075">
        <v>88.888528564990494</v>
      </c>
      <c r="AN3075">
        <v>1.0000000687475099</v>
      </c>
    </row>
    <row r="3076" spans="1:40" x14ac:dyDescent="0.25">
      <c r="A3076" t="str">
        <f>"20190312154854923"</f>
        <v>20190312154854923</v>
      </c>
      <c r="B3076" t="str">
        <f>"1552376934918784"</f>
        <v>1552376934918784</v>
      </c>
      <c r="C3076" t="s">
        <v>40</v>
      </c>
      <c r="D3076">
        <v>4.4336359999999999</v>
      </c>
      <c r="E3076">
        <v>0.35693580000000003</v>
      </c>
      <c r="F3076" t="s">
        <v>50</v>
      </c>
      <c r="G3076">
        <v>-464.38889999999998</v>
      </c>
      <c r="H3076" s="1">
        <v>7.6324579999999997E-7</v>
      </c>
      <c r="I3076">
        <v>215.42939999999999</v>
      </c>
      <c r="J3076">
        <v>-478.5419</v>
      </c>
      <c r="K3076">
        <v>1.11748799999999</v>
      </c>
      <c r="L3076">
        <v>217.4264</v>
      </c>
      <c r="M3076">
        <v>0.88481409999999905</v>
      </c>
      <c r="N3076">
        <v>0</v>
      </c>
      <c r="O3076">
        <v>-0.46558870000000002</v>
      </c>
      <c r="P3076">
        <v>0.87557009999999902</v>
      </c>
      <c r="Q3076">
        <v>4.8406250000000003E-3</v>
      </c>
      <c r="R3076">
        <v>-0.48306690000000002</v>
      </c>
      <c r="S3076">
        <v>3.191376</v>
      </c>
      <c r="T3076">
        <v>-0.24891150000000001</v>
      </c>
      <c r="U3076">
        <v>-0.46249390000000001</v>
      </c>
      <c r="V3076">
        <v>1.93727E-2</v>
      </c>
      <c r="W3076">
        <v>2.3377970000000001E-2</v>
      </c>
      <c r="X3076">
        <v>0.99953899999999996</v>
      </c>
      <c r="Y3076">
        <v>-0.33168049999999999</v>
      </c>
      <c r="Z3076">
        <v>4.7527010000000001E-2</v>
      </c>
      <c r="AA3076">
        <v>0.94219390000000003</v>
      </c>
      <c r="AB3076">
        <v>20</v>
      </c>
      <c r="AC3076">
        <v>14.153</v>
      </c>
      <c r="AD3076">
        <v>-1.1174872367541999</v>
      </c>
      <c r="AE3076">
        <v>-1.9970000000000101</v>
      </c>
      <c r="AF3076">
        <v>-4.7939980193599201</v>
      </c>
      <c r="AG3076">
        <v>-1.1174872367541999</v>
      </c>
      <c r="AH3076">
        <v>13.3730385546761</v>
      </c>
      <c r="AI3076">
        <v>94.497686006499407</v>
      </c>
      <c r="AJ3076">
        <v>109.721859608648</v>
      </c>
      <c r="AK3076">
        <v>14.250240521436501</v>
      </c>
      <c r="AL3076">
        <v>88.660418975572895</v>
      </c>
      <c r="AM3076">
        <v>88.889653137419401</v>
      </c>
      <c r="AN3076">
        <v>1.0000000217538001</v>
      </c>
    </row>
    <row r="3077" spans="1:40" x14ac:dyDescent="0.25">
      <c r="A3077" t="str">
        <f>"20190312154855123"</f>
        <v>20190312154855123</v>
      </c>
      <c r="B3077" t="str">
        <f>"1552376935118885"</f>
        <v>1552376935118885</v>
      </c>
      <c r="C3077" t="s">
        <v>40</v>
      </c>
      <c r="D3077">
        <v>4.4193920000000002</v>
      </c>
      <c r="E3077">
        <v>0.38074419999999998</v>
      </c>
      <c r="F3077" t="s">
        <v>50</v>
      </c>
      <c r="G3077">
        <v>-464.41090000000003</v>
      </c>
      <c r="H3077" s="1">
        <v>7.7272719999999896E-7</v>
      </c>
      <c r="I3077">
        <v>215.48009999999999</v>
      </c>
      <c r="J3077">
        <v>-476.9504</v>
      </c>
      <c r="K3077">
        <v>1.1167530000000001</v>
      </c>
      <c r="L3077">
        <v>216.8349</v>
      </c>
      <c r="M3077">
        <v>0.93161510000000003</v>
      </c>
      <c r="N3077">
        <v>0</v>
      </c>
      <c r="O3077">
        <v>-0.36310219999999999</v>
      </c>
      <c r="P3077">
        <v>0.92508769999999996</v>
      </c>
      <c r="Q3077">
        <v>9.7975330000000006E-3</v>
      </c>
      <c r="R3077">
        <v>-0.3796272</v>
      </c>
      <c r="S3077">
        <v>3.1856689999999999</v>
      </c>
      <c r="T3077">
        <v>-0.25192429999999999</v>
      </c>
      <c r="U3077">
        <v>-0.4387665</v>
      </c>
      <c r="V3077">
        <v>1.7364379999999999E-2</v>
      </c>
      <c r="W3077">
        <v>2.5877750000000001E-2</v>
      </c>
      <c r="X3077">
        <v>0.99951429999999997</v>
      </c>
      <c r="Y3077">
        <v>-0.2308645</v>
      </c>
      <c r="Z3077">
        <v>3.6930780000000003E-2</v>
      </c>
      <c r="AA3077">
        <v>0.97228479999999995</v>
      </c>
      <c r="AB3077">
        <v>19</v>
      </c>
      <c r="AC3077">
        <v>12.539499999999901</v>
      </c>
      <c r="AD3077">
        <v>-1.1167522272728001</v>
      </c>
      <c r="AE3077">
        <v>-1.35480000000001</v>
      </c>
      <c r="AF3077">
        <v>-3.2657760070127799</v>
      </c>
      <c r="AG3077">
        <v>-1.1167522272728001</v>
      </c>
      <c r="AH3077">
        <v>12.080728788619099</v>
      </c>
      <c r="AI3077">
        <v>95.099432284758095</v>
      </c>
      <c r="AJ3077">
        <v>105.127163821838</v>
      </c>
      <c r="AK3077">
        <v>12.564093143926801</v>
      </c>
      <c r="AL3077">
        <v>88.517148621283297</v>
      </c>
      <c r="AM3077">
        <v>89.004710974559103</v>
      </c>
      <c r="AN3077">
        <v>1.0000000077711599</v>
      </c>
    </row>
    <row r="3078" spans="1:40" x14ac:dyDescent="0.25">
      <c r="A3078" t="str">
        <f>"20190312154855146"</f>
        <v>20190312154855146</v>
      </c>
      <c r="B3078" t="str">
        <f>"1552376935138405"</f>
        <v>1552376935138405</v>
      </c>
      <c r="C3078" t="s">
        <v>40</v>
      </c>
      <c r="D3078">
        <v>5.8319519999999896</v>
      </c>
      <c r="E3078">
        <v>0.38030910000000001</v>
      </c>
      <c r="F3078" t="s">
        <v>50</v>
      </c>
      <c r="G3078">
        <v>-464.2577</v>
      </c>
      <c r="H3078" s="1">
        <v>6.7537510000000002E-7</v>
      </c>
      <c r="I3078">
        <v>215.8416</v>
      </c>
      <c r="J3078">
        <v>-476.77019999999999</v>
      </c>
      <c r="K3078">
        <v>1.1167210000000001</v>
      </c>
      <c r="L3078">
        <v>216.78020000000001</v>
      </c>
      <c r="M3078">
        <v>0.93598340000000002</v>
      </c>
      <c r="N3078">
        <v>0</v>
      </c>
      <c r="O3078">
        <v>-0.35169590000000001</v>
      </c>
      <c r="P3078">
        <v>0.92951150000000005</v>
      </c>
      <c r="Q3078">
        <v>1.05249E-2</v>
      </c>
      <c r="R3078">
        <v>-0.36864330000000001</v>
      </c>
      <c r="S3078">
        <v>3.1448670000000001</v>
      </c>
      <c r="T3078">
        <v>-0.27669719999999998</v>
      </c>
      <c r="U3078">
        <v>-0.24610899999999999</v>
      </c>
      <c r="V3078">
        <v>1.7731170000000001E-2</v>
      </c>
      <c r="W3078">
        <v>2.6466440000000001E-2</v>
      </c>
      <c r="X3078">
        <v>0.99949250000000001</v>
      </c>
      <c r="Y3078">
        <v>-0.275287</v>
      </c>
      <c r="Z3078">
        <v>4.2294699999999998E-2</v>
      </c>
      <c r="AA3078">
        <v>0.96043129999999999</v>
      </c>
      <c r="AB3078">
        <v>19</v>
      </c>
      <c r="AC3078">
        <v>12.5124999999999</v>
      </c>
      <c r="AD3078">
        <v>-1.11672032462489</v>
      </c>
      <c r="AE3078">
        <v>-0.93860000000000798</v>
      </c>
      <c r="AF3078">
        <v>-3.4948310643148099</v>
      </c>
      <c r="AG3078">
        <v>-1.11672032462489</v>
      </c>
      <c r="AH3078">
        <v>11.948429874786999</v>
      </c>
      <c r="AI3078">
        <v>95.125898984584694</v>
      </c>
      <c r="AJ3078">
        <v>106.303823970181</v>
      </c>
      <c r="AK3078">
        <v>12.499035359748101</v>
      </c>
      <c r="AL3078">
        <v>88.483407693261299</v>
      </c>
      <c r="AM3078">
        <v>88.983669560141493</v>
      </c>
      <c r="AN3078">
        <v>1.0000000621960401</v>
      </c>
    </row>
    <row r="3079" spans="1:40" x14ac:dyDescent="0.25">
      <c r="A3079" t="str">
        <f>"20190312154855168"</f>
        <v>20190312154855168</v>
      </c>
      <c r="B3079" t="str">
        <f>"1552376935158902"</f>
        <v>1552376935158902</v>
      </c>
      <c r="C3079" t="s">
        <v>40</v>
      </c>
      <c r="D3079">
        <v>4.3969170000000002</v>
      </c>
      <c r="E3079">
        <v>0.38221529999999998</v>
      </c>
      <c r="F3079" t="s">
        <v>50</v>
      </c>
      <c r="G3079">
        <v>-463.16050000000001</v>
      </c>
      <c r="H3079" s="1">
        <v>8.9385880000000005E-8</v>
      </c>
      <c r="I3079">
        <v>215.88990000000001</v>
      </c>
      <c r="J3079">
        <v>-476.58949999999999</v>
      </c>
      <c r="K3079">
        <v>1.1166959999999999</v>
      </c>
      <c r="L3079">
        <v>216.72800000000001</v>
      </c>
      <c r="M3079">
        <v>0.94021739999999998</v>
      </c>
      <c r="N3079">
        <v>0</v>
      </c>
      <c r="O3079">
        <v>-0.34021970000000001</v>
      </c>
      <c r="P3079">
        <v>0.93375739999999996</v>
      </c>
      <c r="Q3079">
        <v>1.040992E-2</v>
      </c>
      <c r="R3079">
        <v>-0.35775509999999999</v>
      </c>
      <c r="S3079">
        <v>3.1487430000000001</v>
      </c>
      <c r="T3079">
        <v>-0.25836409999999999</v>
      </c>
      <c r="U3079">
        <v>-0.20597840000000001</v>
      </c>
      <c r="V3079">
        <v>1.8282969999999999E-2</v>
      </c>
      <c r="W3079">
        <v>2.623764E-2</v>
      </c>
      <c r="X3079">
        <v>0.9994885</v>
      </c>
      <c r="Y3079">
        <v>-0.27613729999999997</v>
      </c>
      <c r="Z3079">
        <v>3.8635419999999997E-2</v>
      </c>
      <c r="AA3079">
        <v>0.96034129999999995</v>
      </c>
      <c r="AB3079">
        <v>19</v>
      </c>
      <c r="AC3079">
        <v>13.428999999999901</v>
      </c>
      <c r="AD3079">
        <v>-1.1166959106141201</v>
      </c>
      <c r="AE3079">
        <v>-0.83809999999996798</v>
      </c>
      <c r="AF3079">
        <v>-3.7554040373131699</v>
      </c>
      <c r="AG3079">
        <v>-1.1166959106141201</v>
      </c>
      <c r="AH3079">
        <v>12.824543159564101</v>
      </c>
      <c r="AI3079">
        <v>94.776865758500605</v>
      </c>
      <c r="AJ3079">
        <v>106.32158535055601</v>
      </c>
      <c r="AK3079">
        <v>13.409659820136101</v>
      </c>
      <c r="AL3079">
        <v>88.496521384075905</v>
      </c>
      <c r="AM3079">
        <v>88.952043767482394</v>
      </c>
      <c r="AN3079">
        <v>0.99999997118851902</v>
      </c>
    </row>
    <row r="3080" spans="1:40" x14ac:dyDescent="0.25">
      <c r="A3080" t="str">
        <f>"20190312154855190"</f>
        <v>20190312154855190</v>
      </c>
      <c r="B3080" t="str">
        <f>"1552376935179397"</f>
        <v>1552376935179397</v>
      </c>
      <c r="C3080" t="s">
        <v>40</v>
      </c>
      <c r="D3080">
        <v>4.3444799999999999</v>
      </c>
      <c r="E3080">
        <v>0.38358160000000002</v>
      </c>
      <c r="F3080" t="s">
        <v>50</v>
      </c>
      <c r="G3080">
        <v>-462.1979</v>
      </c>
      <c r="H3080" s="1">
        <v>-4.2270990000000001E-7</v>
      </c>
      <c r="I3080">
        <v>215.88640000000001</v>
      </c>
      <c r="J3080">
        <v>-476.41109999999998</v>
      </c>
      <c r="K3080">
        <v>1.1166739999999999</v>
      </c>
      <c r="L3080">
        <v>216.67859999999999</v>
      </c>
      <c r="M3080">
        <v>0.9442585</v>
      </c>
      <c r="N3080">
        <v>0</v>
      </c>
      <c r="O3080">
        <v>-0.32884259999999998</v>
      </c>
      <c r="P3080">
        <v>0.9377993</v>
      </c>
      <c r="Q3080">
        <v>1.1216230000000001E-2</v>
      </c>
      <c r="R3080">
        <v>-0.3469969</v>
      </c>
      <c r="S3080">
        <v>3.1450499999999999</v>
      </c>
      <c r="T3080">
        <v>-0.2440358</v>
      </c>
      <c r="U3080">
        <v>-0.1838989</v>
      </c>
      <c r="V3080">
        <v>1.8855210000000001E-2</v>
      </c>
      <c r="W3080">
        <v>2.694978E-2</v>
      </c>
      <c r="X3080">
        <v>0.99945899999999999</v>
      </c>
      <c r="Y3080">
        <v>-0.27143390000000001</v>
      </c>
      <c r="Z3080">
        <v>3.5539790000000002E-2</v>
      </c>
      <c r="AA3080">
        <v>0.96180069999999995</v>
      </c>
      <c r="AB3080">
        <v>19</v>
      </c>
      <c r="AC3080">
        <v>14.213199999999899</v>
      </c>
      <c r="AD3080">
        <v>-1.1166744227098999</v>
      </c>
      <c r="AE3080">
        <v>-0.79219999999997903</v>
      </c>
      <c r="AF3080">
        <v>-3.9023192360187098</v>
      </c>
      <c r="AG3080">
        <v>-1.1166744227098999</v>
      </c>
      <c r="AH3080">
        <v>13.5993914659933</v>
      </c>
      <c r="AI3080">
        <v>94.512826631462502</v>
      </c>
      <c r="AJ3080">
        <v>106.010730465967</v>
      </c>
      <c r="AK3080">
        <v>14.192198752535401</v>
      </c>
      <c r="AL3080">
        <v>88.455704453119296</v>
      </c>
      <c r="AM3080">
        <v>88.919219479390307</v>
      </c>
      <c r="AN3080">
        <v>1.00000005113359</v>
      </c>
    </row>
    <row r="3081" spans="1:40" x14ac:dyDescent="0.25">
      <c r="A3081" t="str">
        <f>"20190312154855212"</f>
        <v>20190312154855212</v>
      </c>
      <c r="B3081" t="str">
        <f>"1552376935208677"</f>
        <v>1552376935208677</v>
      </c>
      <c r="C3081" t="s">
        <v>40</v>
      </c>
      <c r="D3081">
        <v>4.6247749999999996</v>
      </c>
      <c r="E3081">
        <v>0.40350780000000003</v>
      </c>
      <c r="F3081" t="s">
        <v>50</v>
      </c>
      <c r="G3081">
        <v>-461.61110000000002</v>
      </c>
      <c r="H3081" s="1">
        <v>-7.3707259999999897E-7</v>
      </c>
      <c r="I3081">
        <v>215.934</v>
      </c>
      <c r="J3081">
        <v>-476.23340000000002</v>
      </c>
      <c r="K3081">
        <v>1.116663</v>
      </c>
      <c r="L3081">
        <v>216.6318</v>
      </c>
      <c r="M3081">
        <v>0.94814129999999996</v>
      </c>
      <c r="N3081">
        <v>0</v>
      </c>
      <c r="O3081">
        <v>-0.31747779999999998</v>
      </c>
      <c r="P3081">
        <v>0.94187180000000004</v>
      </c>
      <c r="Q3081">
        <v>1.1674260000000001E-2</v>
      </c>
      <c r="R3081">
        <v>-0.3357697</v>
      </c>
      <c r="S3081">
        <v>3.1433719999999998</v>
      </c>
      <c r="T3081">
        <v>-0.23716999999999999</v>
      </c>
      <c r="U3081">
        <v>-0.15814210000000001</v>
      </c>
      <c r="V3081">
        <v>1.8917969999999999E-2</v>
      </c>
      <c r="W3081">
        <v>2.7319670000000001E-2</v>
      </c>
      <c r="X3081">
        <v>0.99944770000000005</v>
      </c>
      <c r="Y3081">
        <v>-0.26783899999999999</v>
      </c>
      <c r="Z3081">
        <v>3.3626030000000001E-2</v>
      </c>
      <c r="AA3081">
        <v>0.96287670000000003</v>
      </c>
      <c r="AB3081">
        <v>19</v>
      </c>
      <c r="AC3081">
        <v>14.6222999999999</v>
      </c>
      <c r="AD3081">
        <v>-1.1166637370726</v>
      </c>
      <c r="AE3081">
        <v>-0.697799999999972</v>
      </c>
      <c r="AF3081">
        <v>-3.95808141388724</v>
      </c>
      <c r="AG3081">
        <v>-1.1166637370726</v>
      </c>
      <c r="AH3081">
        <v>14.0057094374698</v>
      </c>
      <c r="AI3081">
        <v>94.387378394220093</v>
      </c>
      <c r="AJ3081">
        <v>105.78054926297099</v>
      </c>
      <c r="AK3081">
        <v>14.597028575277999</v>
      </c>
      <c r="AL3081">
        <v>88.4345033995302</v>
      </c>
      <c r="AM3081">
        <v>88.915610676827598</v>
      </c>
      <c r="AN3081">
        <v>0.99999997949655905</v>
      </c>
    </row>
    <row r="3082" spans="1:40" x14ac:dyDescent="0.25">
      <c r="A3082" t="str">
        <f>"20190312154855234"</f>
        <v>20190312154855234</v>
      </c>
      <c r="B3082" t="str">
        <f>"1552376935229174"</f>
        <v>1552376935229174</v>
      </c>
      <c r="C3082" t="s">
        <v>40</v>
      </c>
      <c r="D3082">
        <v>4.5997199999999996</v>
      </c>
      <c r="E3082">
        <v>0.40523369999999997</v>
      </c>
      <c r="F3082" t="s">
        <v>50</v>
      </c>
      <c r="G3082">
        <v>-457.74439999999998</v>
      </c>
      <c r="H3082" s="1">
        <v>2.5675500000000001E-6</v>
      </c>
      <c r="I3082">
        <v>215.00219999999999</v>
      </c>
      <c r="J3082">
        <v>-476.05549999999999</v>
      </c>
      <c r="K3082">
        <v>1.1166590000000001</v>
      </c>
      <c r="L3082">
        <v>216.58709999999999</v>
      </c>
      <c r="M3082">
        <v>0.95188470000000003</v>
      </c>
      <c r="N3082">
        <v>0</v>
      </c>
      <c r="O3082">
        <v>-0.30607529999999999</v>
      </c>
      <c r="P3082">
        <v>0.94569519999999996</v>
      </c>
      <c r="Q3082">
        <v>1.240284E-2</v>
      </c>
      <c r="R3082">
        <v>-0.32481860000000001</v>
      </c>
      <c r="S3082">
        <v>3.0903930000000002</v>
      </c>
      <c r="T3082">
        <v>-0.1866477</v>
      </c>
      <c r="U3082">
        <v>-0.27236939999999998</v>
      </c>
      <c r="V3082">
        <v>1.9310750000000002E-2</v>
      </c>
      <c r="W3082">
        <v>2.7976029999999999E-2</v>
      </c>
      <c r="X3082">
        <v>0.99942209999999998</v>
      </c>
      <c r="Y3082">
        <v>-0.22041749999999999</v>
      </c>
      <c r="Z3082">
        <v>2.4784319999999999E-2</v>
      </c>
      <c r="AA3082">
        <v>0.97509069999999998</v>
      </c>
      <c r="AB3082">
        <v>19</v>
      </c>
      <c r="AC3082">
        <v>18.3111</v>
      </c>
      <c r="AD3082">
        <v>-1.1166564324499999</v>
      </c>
      <c r="AE3082">
        <v>-1.5849</v>
      </c>
      <c r="AF3082">
        <v>-4.0813463929934404</v>
      </c>
      <c r="AG3082">
        <v>-1.1166564324499999</v>
      </c>
      <c r="AH3082">
        <v>17.851352889064799</v>
      </c>
      <c r="AI3082">
        <v>93.489552438069495</v>
      </c>
      <c r="AJ3082">
        <v>102.878165115065</v>
      </c>
      <c r="AK3082">
        <v>18.345983482431699</v>
      </c>
      <c r="AL3082">
        <v>88.396882469542504</v>
      </c>
      <c r="AM3082">
        <v>88.893073491630005</v>
      </c>
      <c r="AN3082">
        <v>1.00000004864426</v>
      </c>
    </row>
    <row r="3083" spans="1:40" x14ac:dyDescent="0.25">
      <c r="A3083" t="str">
        <f>"20190312154855259"</f>
        <v>20190312154855259</v>
      </c>
      <c r="B3083" t="str">
        <f>"1552376935248693"</f>
        <v>1552376935248693</v>
      </c>
      <c r="C3083" t="s">
        <v>40</v>
      </c>
      <c r="D3083">
        <v>4.6143489999999998</v>
      </c>
      <c r="E3083">
        <v>0.40693829999999998</v>
      </c>
      <c r="F3083" t="s">
        <v>50</v>
      </c>
      <c r="G3083">
        <v>-456.36399999999998</v>
      </c>
      <c r="H3083" s="1">
        <v>1.833236E-6</v>
      </c>
      <c r="I3083">
        <v>214.99510000000001</v>
      </c>
      <c r="J3083">
        <v>-475.84899999999999</v>
      </c>
      <c r="K3083">
        <v>1.11666</v>
      </c>
      <c r="L3083">
        <v>216.53809999999999</v>
      </c>
      <c r="M3083">
        <v>0.95604560000000005</v>
      </c>
      <c r="N3083">
        <v>0</v>
      </c>
      <c r="O3083">
        <v>-0.29282439999999998</v>
      </c>
      <c r="P3083">
        <v>0.95015019999999994</v>
      </c>
      <c r="Q3083">
        <v>1.3696409999999999E-2</v>
      </c>
      <c r="R3083">
        <v>-0.3114924</v>
      </c>
      <c r="S3083">
        <v>3.0888059999999999</v>
      </c>
      <c r="T3083">
        <v>-0.17515849999999999</v>
      </c>
      <c r="U3083">
        <v>-0.24972530000000001</v>
      </c>
      <c r="V3083">
        <v>1.9130649999999999E-2</v>
      </c>
      <c r="W3083">
        <v>2.918718E-2</v>
      </c>
      <c r="X3083">
        <v>0.99939089999999997</v>
      </c>
      <c r="Y3083">
        <v>-0.21405950000000001</v>
      </c>
      <c r="Z3083">
        <v>2.2387230000000001E-2</v>
      </c>
      <c r="AA3083">
        <v>0.97656399999999999</v>
      </c>
      <c r="AB3083">
        <v>19</v>
      </c>
      <c r="AC3083">
        <v>19.4849999999999</v>
      </c>
      <c r="AD3083">
        <v>-1.1166581667640001</v>
      </c>
      <c r="AE3083">
        <v>-1.54299999999997</v>
      </c>
      <c r="AF3083">
        <v>-4.2172288771544002</v>
      </c>
      <c r="AG3083">
        <v>-1.1166581667640001</v>
      </c>
      <c r="AH3083">
        <v>19.020498414595998</v>
      </c>
      <c r="AI3083">
        <v>93.280388314584798</v>
      </c>
      <c r="AJ3083">
        <v>102.50139510334699</v>
      </c>
      <c r="AK3083">
        <v>19.514387123436801</v>
      </c>
      <c r="AL3083">
        <v>88.327460279388504</v>
      </c>
      <c r="AM3083">
        <v>88.903360384296207</v>
      </c>
      <c r="AN3083">
        <v>1.00000002212429</v>
      </c>
    </row>
    <row r="3084" spans="1:40" x14ac:dyDescent="0.25">
      <c r="A3084" t="str">
        <f>"20190312154855279"</f>
        <v>20190312154855279</v>
      </c>
      <c r="B3084" t="str">
        <f>"1552376935269189"</f>
        <v>1552376935269189</v>
      </c>
      <c r="C3084" t="s">
        <v>40</v>
      </c>
      <c r="D3084">
        <v>4.665705</v>
      </c>
      <c r="E3084">
        <v>0.40866730000000001</v>
      </c>
      <c r="F3084" t="s">
        <v>50</v>
      </c>
      <c r="G3084">
        <v>-454.4898</v>
      </c>
      <c r="H3084" s="1">
        <v>8.3492989999999998E-7</v>
      </c>
      <c r="I3084">
        <v>215.01759999999999</v>
      </c>
      <c r="J3084">
        <v>-475.68700000000001</v>
      </c>
      <c r="K3084">
        <v>1.116654</v>
      </c>
      <c r="L3084">
        <v>216.5018</v>
      </c>
      <c r="M3084">
        <v>0.95917050000000004</v>
      </c>
      <c r="N3084">
        <v>0</v>
      </c>
      <c r="O3084">
        <v>-0.28242289999999998</v>
      </c>
      <c r="P3084">
        <v>0.95343080000000002</v>
      </c>
      <c r="Q3084">
        <v>1.457022E-2</v>
      </c>
      <c r="R3084">
        <v>-0.30126029999999998</v>
      </c>
      <c r="S3084">
        <v>3.0876459999999999</v>
      </c>
      <c r="T3084">
        <v>-0.1614226</v>
      </c>
      <c r="U3084">
        <v>-0.2198029</v>
      </c>
      <c r="V3084">
        <v>1.9234149999999998E-2</v>
      </c>
      <c r="W3084">
        <v>3.0007929999999999E-2</v>
      </c>
      <c r="X3084">
        <v>0.99936460000000005</v>
      </c>
      <c r="Y3084">
        <v>-0.21296370000000001</v>
      </c>
      <c r="Z3084">
        <v>2.0104170000000001E-2</v>
      </c>
      <c r="AA3084">
        <v>0.97685330000000004</v>
      </c>
      <c r="AB3084">
        <v>19</v>
      </c>
      <c r="AC3084">
        <v>21.197199999999899</v>
      </c>
      <c r="AD3084">
        <v>-1.1166531650700999</v>
      </c>
      <c r="AE3084">
        <v>-1.48420000000001</v>
      </c>
      <c r="AF3084">
        <v>-4.5509292802226797</v>
      </c>
      <c r="AG3084">
        <v>-1.1166531650700999</v>
      </c>
      <c r="AH3084">
        <v>20.696126304001801</v>
      </c>
      <c r="AI3084">
        <v>93.016453412538795</v>
      </c>
      <c r="AJ3084">
        <v>102.401560153882</v>
      </c>
      <c r="AK3084">
        <v>21.2199791610605</v>
      </c>
      <c r="AL3084">
        <v>88.280414146565207</v>
      </c>
      <c r="AM3084">
        <v>88.897399833251399</v>
      </c>
      <c r="AN3084">
        <v>1.00000001606113</v>
      </c>
    </row>
    <row r="3085" spans="1:40" x14ac:dyDescent="0.25">
      <c r="A3085" t="str">
        <f>"20190312154855305"</f>
        <v>20190312154855305</v>
      </c>
      <c r="B3085" t="str">
        <f>"1552376935298469"</f>
        <v>1552376935298469</v>
      </c>
      <c r="C3085" t="s">
        <v>40</v>
      </c>
      <c r="D3085">
        <v>4.597874</v>
      </c>
      <c r="E3085">
        <v>0.4097075</v>
      </c>
      <c r="F3085" t="s">
        <v>50</v>
      </c>
      <c r="G3085">
        <v>-453.88060000000002</v>
      </c>
      <c r="H3085" s="1">
        <v>5.0756859999999898E-7</v>
      </c>
      <c r="I3085">
        <v>215.08949999999999</v>
      </c>
      <c r="J3085">
        <v>-475.4794</v>
      </c>
      <c r="K3085">
        <v>1.1166430000000001</v>
      </c>
      <c r="L3085">
        <v>216.45779999999999</v>
      </c>
      <c r="M3085">
        <v>0.96300059999999998</v>
      </c>
      <c r="N3085">
        <v>0</v>
      </c>
      <c r="O3085">
        <v>-0.26907710000000001</v>
      </c>
      <c r="P3085">
        <v>0.95725360000000004</v>
      </c>
      <c r="Q3085">
        <v>1.422212E-2</v>
      </c>
      <c r="R3085">
        <v>-0.28890060000000001</v>
      </c>
      <c r="S3085">
        <v>3.0858759999999998</v>
      </c>
      <c r="T3085">
        <v>-0.15802040000000001</v>
      </c>
      <c r="U3085">
        <v>-0.1998596</v>
      </c>
      <c r="V3085">
        <v>2.0188569999999999E-2</v>
      </c>
      <c r="W3085">
        <v>2.9612329999999999E-2</v>
      </c>
      <c r="X3085">
        <v>0.99935759999999996</v>
      </c>
      <c r="Y3085">
        <v>-0.2056886</v>
      </c>
      <c r="Z3085">
        <v>1.885531E-2</v>
      </c>
      <c r="AA3085">
        <v>0.97843579999999997</v>
      </c>
      <c r="AB3085">
        <v>19</v>
      </c>
      <c r="AC3085">
        <v>21.598799999999901</v>
      </c>
      <c r="AD3085">
        <v>-1.1166424924314</v>
      </c>
      <c r="AE3085">
        <v>-1.3683000000000001</v>
      </c>
      <c r="AF3085">
        <v>-4.4826463202457196</v>
      </c>
      <c r="AG3085">
        <v>-1.1166424924314</v>
      </c>
      <c r="AH3085">
        <v>21.1140339659975</v>
      </c>
      <c r="AI3085">
        <v>92.961454382091702</v>
      </c>
      <c r="AJ3085">
        <v>101.986290300627</v>
      </c>
      <c r="AK3085">
        <v>21.613501308339899</v>
      </c>
      <c r="AL3085">
        <v>88.303090476124098</v>
      </c>
      <c r="AM3085">
        <v>88.842694006135901</v>
      </c>
      <c r="AN3085">
        <v>1.00000004056221</v>
      </c>
    </row>
    <row r="3086" spans="1:40" x14ac:dyDescent="0.25">
      <c r="A3086" t="str">
        <f>"20190312154855326"</f>
        <v>20190312154855326</v>
      </c>
      <c r="B3086" t="str">
        <f>"1552376935318965"</f>
        <v>1552376935318965</v>
      </c>
      <c r="C3086" t="s">
        <v>40</v>
      </c>
      <c r="D3086">
        <v>4.6417890000000002</v>
      </c>
      <c r="E3086">
        <v>0.41010380000000002</v>
      </c>
      <c r="F3086" t="s">
        <v>50</v>
      </c>
      <c r="G3086">
        <v>-452.11259999999999</v>
      </c>
      <c r="H3086" s="1">
        <v>-4.3740469999999999E-7</v>
      </c>
      <c r="I3086">
        <v>215.1848</v>
      </c>
      <c r="J3086">
        <v>-475.30360000000002</v>
      </c>
      <c r="K3086">
        <v>1.1166290000000001</v>
      </c>
      <c r="L3086">
        <v>216.42310000000001</v>
      </c>
      <c r="M3086">
        <v>0.96609</v>
      </c>
      <c r="N3086">
        <v>0</v>
      </c>
      <c r="O3086">
        <v>-0.25776779999999999</v>
      </c>
      <c r="P3086">
        <v>0.9603102</v>
      </c>
      <c r="Q3086">
        <v>1.360915E-2</v>
      </c>
      <c r="R3086">
        <v>-0.27860230000000002</v>
      </c>
      <c r="S3086">
        <v>3.0854189999999999</v>
      </c>
      <c r="T3086">
        <v>-0.1474451</v>
      </c>
      <c r="U3086">
        <v>-0.16809079999999901</v>
      </c>
      <c r="V3086">
        <v>2.1181129999999999E-2</v>
      </c>
      <c r="W3086">
        <v>2.8968399999999998E-2</v>
      </c>
      <c r="X3086">
        <v>0.99935589999999996</v>
      </c>
      <c r="Y3086">
        <v>-0.20433660000000001</v>
      </c>
      <c r="Z3086">
        <v>1.7052089999999999E-2</v>
      </c>
      <c r="AA3086">
        <v>0.97875210000000001</v>
      </c>
      <c r="AB3086">
        <v>19</v>
      </c>
      <c r="AC3086">
        <v>23.190999999999999</v>
      </c>
      <c r="AD3086">
        <v>-1.1166294374046899</v>
      </c>
      <c r="AE3086">
        <v>-1.2383</v>
      </c>
      <c r="AF3086">
        <v>-4.7710942853333904</v>
      </c>
      <c r="AG3086">
        <v>-1.1166294374046899</v>
      </c>
      <c r="AH3086">
        <v>22.673937138581199</v>
      </c>
      <c r="AI3086">
        <v>92.759058789349098</v>
      </c>
      <c r="AJ3086">
        <v>101.882932509721</v>
      </c>
      <c r="AK3086">
        <v>23.197362508361799</v>
      </c>
      <c r="AL3086">
        <v>88.340000735130005</v>
      </c>
      <c r="AM3086">
        <v>88.785810259476506</v>
      </c>
      <c r="AN3086">
        <v>1.0000000116657199</v>
      </c>
    </row>
    <row r="3087" spans="1:40" x14ac:dyDescent="0.25">
      <c r="A3087" t="str">
        <f>"20190312154855348"</f>
        <v>20190312154855348</v>
      </c>
      <c r="B3087" t="str">
        <f>"1552376935338485"</f>
        <v>1552376935338485</v>
      </c>
      <c r="C3087" t="s">
        <v>40</v>
      </c>
      <c r="D3087">
        <v>4.6220530000000002</v>
      </c>
      <c r="E3087">
        <v>0.4198462</v>
      </c>
      <c r="F3087" t="s">
        <v>50</v>
      </c>
      <c r="G3087">
        <v>-450.8005</v>
      </c>
      <c r="H3087" s="1">
        <v>-1.1419269999999999E-6</v>
      </c>
      <c r="I3087">
        <v>215.3279</v>
      </c>
      <c r="J3087">
        <v>-475.12860000000001</v>
      </c>
      <c r="K3087">
        <v>1.116614</v>
      </c>
      <c r="L3087">
        <v>216.39070000000001</v>
      </c>
      <c r="M3087">
        <v>0.96902840000000001</v>
      </c>
      <c r="N3087">
        <v>0</v>
      </c>
      <c r="O3087">
        <v>-0.24649309999999999</v>
      </c>
      <c r="P3087">
        <v>0.96304310000000004</v>
      </c>
      <c r="Q3087">
        <v>1.361543E-2</v>
      </c>
      <c r="R3087">
        <v>-0.26900299999999999</v>
      </c>
      <c r="S3087">
        <v>3.0859679999999998</v>
      </c>
      <c r="T3087">
        <v>-0.14063020000000001</v>
      </c>
      <c r="U3087">
        <v>-0.1379242</v>
      </c>
      <c r="V3087">
        <v>2.285326E-2</v>
      </c>
      <c r="W3087">
        <v>2.8958870000000001E-2</v>
      </c>
      <c r="X3087">
        <v>0.99931930000000002</v>
      </c>
      <c r="Y3087">
        <v>-0.20254369999999999</v>
      </c>
      <c r="Z3087">
        <v>1.5729719999999999E-2</v>
      </c>
      <c r="AA3087">
        <v>0.97914690000000004</v>
      </c>
      <c r="AB3087">
        <v>19</v>
      </c>
      <c r="AC3087">
        <v>24.328099999999999</v>
      </c>
      <c r="AD3087">
        <v>-1.1166151419270001</v>
      </c>
      <c r="AE3087">
        <v>-1.06280000000001</v>
      </c>
      <c r="AF3087">
        <v>-4.9569618917198701</v>
      </c>
      <c r="AG3087">
        <v>-1.1166151419270001</v>
      </c>
      <c r="AH3087">
        <v>23.789256112162001</v>
      </c>
      <c r="AI3087">
        <v>92.630938766315694</v>
      </c>
      <c r="AJ3087">
        <v>101.770289898301</v>
      </c>
      <c r="AK3087">
        <v>24.325850590291399</v>
      </c>
      <c r="AL3087">
        <v>88.340546933041495</v>
      </c>
      <c r="AM3087">
        <v>88.689941089124005</v>
      </c>
      <c r="AN3087">
        <v>0.99999997549839703</v>
      </c>
    </row>
    <row r="3088" spans="1:40" x14ac:dyDescent="0.25">
      <c r="A3088" t="str">
        <f>"20190312154855369"</f>
        <v>20190312154855369</v>
      </c>
      <c r="B3088" t="str">
        <f>"1552376935358982"</f>
        <v>1552376935358982</v>
      </c>
      <c r="C3088" t="s">
        <v>40</v>
      </c>
      <c r="D3088">
        <v>4.6755719999999998</v>
      </c>
      <c r="E3088">
        <v>0.42223909999999998</v>
      </c>
      <c r="F3088" t="s">
        <v>50</v>
      </c>
      <c r="G3088">
        <v>-445.4948</v>
      </c>
      <c r="H3088" s="1">
        <v>1.387036E-6</v>
      </c>
      <c r="I3088">
        <v>214.62100000000001</v>
      </c>
      <c r="J3088">
        <v>-474.94749999999999</v>
      </c>
      <c r="K3088">
        <v>1.1165959999999999</v>
      </c>
      <c r="L3088">
        <v>216.35939999999999</v>
      </c>
      <c r="M3088">
        <v>0.9719236</v>
      </c>
      <c r="N3088">
        <v>0</v>
      </c>
      <c r="O3088">
        <v>-0.23482040000000001</v>
      </c>
      <c r="P3088">
        <v>0.96584559999999997</v>
      </c>
      <c r="Q3088">
        <v>1.509198E-2</v>
      </c>
      <c r="R3088">
        <v>-0.25867839999999998</v>
      </c>
      <c r="S3088">
        <v>3.0656129999999999</v>
      </c>
      <c r="T3088">
        <v>-0.1155132</v>
      </c>
      <c r="U3088">
        <v>-0.18307499999999999</v>
      </c>
      <c r="V3088">
        <v>2.4160310000000001E-2</v>
      </c>
      <c r="W3088">
        <v>3.0417349999999999E-2</v>
      </c>
      <c r="X3088">
        <v>0.99924519999999994</v>
      </c>
      <c r="Y3088">
        <v>-0.1761963</v>
      </c>
      <c r="Z3088">
        <v>1.207542E-2</v>
      </c>
      <c r="AA3088">
        <v>0.98428099999999996</v>
      </c>
      <c r="AB3088">
        <v>19</v>
      </c>
      <c r="AC3088">
        <v>29.4527</v>
      </c>
      <c r="AD3088">
        <v>-1.1165946129640001</v>
      </c>
      <c r="AE3088">
        <v>-1.7384000000000099</v>
      </c>
      <c r="AF3088">
        <v>-5.2196120125740899</v>
      </c>
      <c r="AG3088">
        <v>-1.1165946129640001</v>
      </c>
      <c r="AH3088">
        <v>28.995706617998</v>
      </c>
      <c r="AI3088">
        <v>92.170459322027199</v>
      </c>
      <c r="AJ3088">
        <v>100.204710266376</v>
      </c>
      <c r="AK3088">
        <v>29.482912599818199</v>
      </c>
      <c r="AL3088">
        <v>88.256945284700194</v>
      </c>
      <c r="AM3088">
        <v>88.614940419765404</v>
      </c>
      <c r="AN3088">
        <v>0.99999995274167797</v>
      </c>
    </row>
    <row r="3089" spans="1:40" x14ac:dyDescent="0.25">
      <c r="A3089" t="str">
        <f>"20190312154855392"</f>
        <v>20190312154855392</v>
      </c>
      <c r="B3089" t="str">
        <f>"1552376935389237"</f>
        <v>1552376935389237</v>
      </c>
      <c r="C3089" t="s">
        <v>40</v>
      </c>
      <c r="D3089">
        <v>4.7141440000000001</v>
      </c>
      <c r="E3089">
        <v>0.42378290000000002</v>
      </c>
      <c r="F3089" t="s">
        <v>50</v>
      </c>
      <c r="G3089">
        <v>-443.8202</v>
      </c>
      <c r="H3089" s="1">
        <v>4.9483699999999997E-7</v>
      </c>
      <c r="I3089">
        <v>214.64599999999999</v>
      </c>
      <c r="J3089">
        <v>-474.77010000000001</v>
      </c>
      <c r="K3089">
        <v>1.1165769999999999</v>
      </c>
      <c r="L3089">
        <v>216.33090000000001</v>
      </c>
      <c r="M3089">
        <v>0.97461799999999998</v>
      </c>
      <c r="N3089">
        <v>0</v>
      </c>
      <c r="O3089">
        <v>-0.2233762</v>
      </c>
      <c r="P3089">
        <v>0.96838000000000002</v>
      </c>
      <c r="Q3089">
        <v>1.6504959999999999E-2</v>
      </c>
      <c r="R3089">
        <v>-0.2489335</v>
      </c>
      <c r="S3089">
        <v>3.0626220000000002</v>
      </c>
      <c r="T3089">
        <v>-0.10986219999999999</v>
      </c>
      <c r="U3089">
        <v>-0.16857910000000001</v>
      </c>
      <c r="V3089">
        <v>2.5827849999999999E-2</v>
      </c>
      <c r="W3089">
        <v>3.1820950000000001E-2</v>
      </c>
      <c r="X3089">
        <v>0.99915980000000004</v>
      </c>
      <c r="Y3089">
        <v>-0.16924239999999999</v>
      </c>
      <c r="Z3089">
        <v>1.097397E-2</v>
      </c>
      <c r="AA3089">
        <v>0.98551330000000004</v>
      </c>
      <c r="AB3089">
        <v>19</v>
      </c>
      <c r="AC3089">
        <v>30.9499</v>
      </c>
      <c r="AD3089">
        <v>-1.1165765051629899</v>
      </c>
      <c r="AE3089">
        <v>-1.68490000000002</v>
      </c>
      <c r="AF3089">
        <v>-5.2650920876939704</v>
      </c>
      <c r="AG3089">
        <v>-1.1165765051629899</v>
      </c>
      <c r="AH3089">
        <v>30.504513804414898</v>
      </c>
      <c r="AI3089">
        <v>92.065780821814499</v>
      </c>
      <c r="AJ3089">
        <v>99.792791305578405</v>
      </c>
      <c r="AK3089">
        <v>30.9756888579983</v>
      </c>
      <c r="AL3089">
        <v>88.176485996887607</v>
      </c>
      <c r="AM3089">
        <v>88.519258556917606</v>
      </c>
      <c r="AN3089">
        <v>0.99999997831528198</v>
      </c>
    </row>
    <row r="3090" spans="1:40" x14ac:dyDescent="0.25">
      <c r="A3090" t="str">
        <f>"20190312154855414"</f>
        <v>20190312154855414</v>
      </c>
      <c r="B3090" t="str">
        <f>"1552376935408758"</f>
        <v>1552376935408758</v>
      </c>
      <c r="C3090" t="s">
        <v>40</v>
      </c>
      <c r="D3090">
        <v>4.7468250000000003</v>
      </c>
      <c r="E3090">
        <v>0.4256125</v>
      </c>
      <c r="F3090" t="s">
        <v>50</v>
      </c>
      <c r="G3090">
        <v>-442.13920000000002</v>
      </c>
      <c r="H3090" s="1">
        <v>-4.0359480000000002E-7</v>
      </c>
      <c r="I3090">
        <v>214.7346</v>
      </c>
      <c r="J3090">
        <v>-474.58780000000002</v>
      </c>
      <c r="K3090">
        <v>1.1165480000000001</v>
      </c>
      <c r="L3090">
        <v>216.3038</v>
      </c>
      <c r="M3090">
        <v>0.97723709999999997</v>
      </c>
      <c r="N3090">
        <v>0</v>
      </c>
      <c r="O3090">
        <v>-0.2116268</v>
      </c>
      <c r="P3090">
        <v>0.97101210000000004</v>
      </c>
      <c r="Q3090">
        <v>1.6283840000000001E-2</v>
      </c>
      <c r="R3090">
        <v>-0.23847640000000001</v>
      </c>
      <c r="S3090">
        <v>3.0612490000000001</v>
      </c>
      <c r="T3090">
        <v>-0.1047511</v>
      </c>
      <c r="U3090">
        <v>-0.14974979999999999</v>
      </c>
      <c r="V3090">
        <v>2.7087449999999999E-2</v>
      </c>
      <c r="W3090">
        <v>3.1587419999999998E-2</v>
      </c>
      <c r="X3090">
        <v>0.99913390000000002</v>
      </c>
      <c r="Y3090">
        <v>-0.16342789999999999</v>
      </c>
      <c r="Z3090">
        <v>9.9787379999999992E-3</v>
      </c>
      <c r="AA3090">
        <v>0.98650479999999996</v>
      </c>
      <c r="AB3090">
        <v>19</v>
      </c>
      <c r="AC3090">
        <v>32.448599999999999</v>
      </c>
      <c r="AD3090">
        <v>-1.1165484035947999</v>
      </c>
      <c r="AE3090">
        <v>-1.5691999999999899</v>
      </c>
      <c r="AF3090">
        <v>-5.3278107949103397</v>
      </c>
      <c r="AG3090">
        <v>-1.1165484035947999</v>
      </c>
      <c r="AH3090">
        <v>32.007803940660899</v>
      </c>
      <c r="AI3090">
        <v>91.970781055470695</v>
      </c>
      <c r="AJ3090">
        <v>99.450437997577296</v>
      </c>
      <c r="AK3090">
        <v>32.4673953576157</v>
      </c>
      <c r="AL3090">
        <v>88.189873090472403</v>
      </c>
      <c r="AM3090">
        <v>88.447038490152195</v>
      </c>
      <c r="AN3090">
        <v>1.0000000225894801</v>
      </c>
    </row>
    <row r="3091" spans="1:40" x14ac:dyDescent="0.25">
      <c r="A3091" t="str">
        <f>"20190312154855436"</f>
        <v>20190312154855436</v>
      </c>
      <c r="B3091" t="str">
        <f>"1552376935429253"</f>
        <v>1552376935429253</v>
      </c>
      <c r="C3091" t="s">
        <v>40</v>
      </c>
      <c r="D3091">
        <v>4.7201339999999998</v>
      </c>
      <c r="E3091">
        <v>0.43437759999999997</v>
      </c>
      <c r="F3091" t="s">
        <v>50</v>
      </c>
      <c r="G3091">
        <v>-442.76310000000001</v>
      </c>
      <c r="H3091" s="1">
        <v>-8.0833590000000003E-8</v>
      </c>
      <c r="I3091">
        <v>214.9468</v>
      </c>
      <c r="J3091">
        <v>-474.40870000000001</v>
      </c>
      <c r="K3091">
        <v>1.1165039999999999</v>
      </c>
      <c r="L3091">
        <v>216.27930000000001</v>
      </c>
      <c r="M3091">
        <v>0.97966489999999995</v>
      </c>
      <c r="N3091">
        <v>0</v>
      </c>
      <c r="O3091">
        <v>-0.20008909999999999</v>
      </c>
      <c r="P3091">
        <v>0.9734855</v>
      </c>
      <c r="Q3091">
        <v>1.538585E-2</v>
      </c>
      <c r="R3091">
        <v>-0.2282313</v>
      </c>
      <c r="S3091">
        <v>3.0592959999999998</v>
      </c>
      <c r="T3091">
        <v>-0.1073335</v>
      </c>
      <c r="U3091">
        <v>-0.13044739999999999</v>
      </c>
      <c r="V3091">
        <v>2.835435E-2</v>
      </c>
      <c r="W3091">
        <v>3.0678529999999999E-2</v>
      </c>
      <c r="X3091">
        <v>0.99912699999999999</v>
      </c>
      <c r="Y3091">
        <v>-0.1579721</v>
      </c>
      <c r="Z3091">
        <v>9.7411979999999995E-3</v>
      </c>
      <c r="AA3091">
        <v>0.98739549999999998</v>
      </c>
      <c r="AB3091">
        <v>19</v>
      </c>
      <c r="AC3091">
        <v>31.645600000000002</v>
      </c>
      <c r="AD3091">
        <v>-1.11650408083359</v>
      </c>
      <c r="AE3091">
        <v>-1.33250000000001</v>
      </c>
      <c r="AF3091">
        <v>-5.0208529424724402</v>
      </c>
      <c r="AG3091">
        <v>-1.11650408083359</v>
      </c>
      <c r="AH3091">
        <v>31.2333486495166</v>
      </c>
      <c r="AI3091">
        <v>92.021361694955601</v>
      </c>
      <c r="AJ3091">
        <v>99.132336006647094</v>
      </c>
      <c r="AK3091">
        <v>31.6540299724176</v>
      </c>
      <c r="AL3091">
        <v>88.241973783351597</v>
      </c>
      <c r="AM3091">
        <v>88.374432215984996</v>
      </c>
      <c r="AN3091">
        <v>0.99999995174793999</v>
      </c>
    </row>
    <row r="3092" spans="1:40" x14ac:dyDescent="0.25">
      <c r="A3092" t="str">
        <f>"20190312154855461"</f>
        <v>20190312154855461</v>
      </c>
      <c r="B3092" t="str">
        <f>"1552376935448774"</f>
        <v>1552376935448774</v>
      </c>
      <c r="C3092" t="s">
        <v>40</v>
      </c>
      <c r="D3092">
        <v>4.7548159999999999</v>
      </c>
      <c r="E3092">
        <v>0.435948</v>
      </c>
      <c r="F3092" t="s">
        <v>50</v>
      </c>
      <c r="G3092">
        <v>-443.62110000000001</v>
      </c>
      <c r="H3092" s="1">
        <v>3.9101260000000001E-7</v>
      </c>
      <c r="I3092">
        <v>214.59739999999999</v>
      </c>
      <c r="J3092">
        <v>-474.21199999999999</v>
      </c>
      <c r="K3092">
        <v>1.116452</v>
      </c>
      <c r="L3092">
        <v>216.25479999999999</v>
      </c>
      <c r="M3092">
        <v>0.98216210000000004</v>
      </c>
      <c r="N3092">
        <v>0</v>
      </c>
      <c r="O3092">
        <v>-0.1874499</v>
      </c>
      <c r="P3092">
        <v>0.97617399999999999</v>
      </c>
      <c r="Q3092">
        <v>1.4689580000000001E-2</v>
      </c>
      <c r="R3092">
        <v>-0.21649209999999999</v>
      </c>
      <c r="S3092">
        <v>3.044495</v>
      </c>
      <c r="T3092">
        <v>-0.1104078</v>
      </c>
      <c r="U3092">
        <v>-0.16632079999999999</v>
      </c>
      <c r="V3092">
        <v>2.920884E-2</v>
      </c>
      <c r="W3092">
        <v>2.996217E-2</v>
      </c>
      <c r="X3092">
        <v>0.99912420000000002</v>
      </c>
      <c r="Y3092">
        <v>-0.1334013</v>
      </c>
      <c r="Z3092">
        <v>9.1685259999999998E-3</v>
      </c>
      <c r="AA3092">
        <v>0.99101969999999995</v>
      </c>
      <c r="AB3092">
        <v>19</v>
      </c>
      <c r="AC3092">
        <v>30.590899999999898</v>
      </c>
      <c r="AD3092">
        <v>-1.1164516089873999</v>
      </c>
      <c r="AE3092">
        <v>-1.65739999999999</v>
      </c>
      <c r="AF3092">
        <v>-4.1014307548978399</v>
      </c>
      <c r="AG3092">
        <v>-1.1164516089873999</v>
      </c>
      <c r="AH3092">
        <v>30.3189780888749</v>
      </c>
      <c r="AI3092">
        <v>92.089861627404005</v>
      </c>
      <c r="AJ3092">
        <v>97.703979043942198</v>
      </c>
      <c r="AK3092">
        <v>30.615496579119998</v>
      </c>
      <c r="AL3092">
        <v>88.283037200486405</v>
      </c>
      <c r="AM3092">
        <v>88.325466709019295</v>
      </c>
      <c r="AN3092">
        <v>1.0000000274954399</v>
      </c>
    </row>
    <row r="3093" spans="1:40" x14ac:dyDescent="0.25">
      <c r="A3093" t="str">
        <f>"20190312154855481"</f>
        <v>20190312154855481</v>
      </c>
      <c r="B3093" t="str">
        <f>"1552376935469269"</f>
        <v>1552376935469269</v>
      </c>
      <c r="C3093" t="s">
        <v>40</v>
      </c>
      <c r="D3093">
        <v>4.724253</v>
      </c>
      <c r="E3093">
        <v>0.43767129999999999</v>
      </c>
      <c r="F3093" t="s">
        <v>50</v>
      </c>
      <c r="G3093">
        <v>-444.81990000000002</v>
      </c>
      <c r="H3093" s="1">
        <v>1.01627999999999E-6</v>
      </c>
      <c r="I3093">
        <v>214.8871</v>
      </c>
      <c r="J3093">
        <v>-474.04250000000002</v>
      </c>
      <c r="K3093">
        <v>1.1163890000000001</v>
      </c>
      <c r="L3093">
        <v>216.23580000000001</v>
      </c>
      <c r="M3093">
        <v>0.98416930000000002</v>
      </c>
      <c r="N3093">
        <v>0</v>
      </c>
      <c r="O3093">
        <v>-0.17661009999999999</v>
      </c>
      <c r="P3093">
        <v>0.97832229999999998</v>
      </c>
      <c r="Q3093">
        <v>1.493765E-2</v>
      </c>
      <c r="R3093">
        <v>-0.20654919999999999</v>
      </c>
      <c r="S3093">
        <v>3.0435789999999998</v>
      </c>
      <c r="T3093">
        <v>-0.1156094</v>
      </c>
      <c r="U3093">
        <v>-0.14163210000000001</v>
      </c>
      <c r="V3093">
        <v>3.006085E-2</v>
      </c>
      <c r="W3093">
        <v>3.0191909999999999E-2</v>
      </c>
      <c r="X3093">
        <v>0.99909199999999998</v>
      </c>
      <c r="Y3093">
        <v>-0.13046549999999901</v>
      </c>
      <c r="Z3093">
        <v>9.1453569999999998E-3</v>
      </c>
      <c r="AA3093">
        <v>0.99141069999999998</v>
      </c>
      <c r="AB3093">
        <v>19</v>
      </c>
      <c r="AC3093">
        <v>29.2226</v>
      </c>
      <c r="AD3093">
        <v>-1.1163879837199999</v>
      </c>
      <c r="AE3093">
        <v>-1.3487</v>
      </c>
      <c r="AF3093">
        <v>-3.8285026211352999</v>
      </c>
      <c r="AG3093">
        <v>-1.1163879837199999</v>
      </c>
      <c r="AH3093">
        <v>28.959190261352799</v>
      </c>
      <c r="AI3093">
        <v>92.188656490862897</v>
      </c>
      <c r="AJ3093">
        <v>97.531022861859597</v>
      </c>
      <c r="AK3093">
        <v>29.232489716810999</v>
      </c>
      <c r="AL3093">
        <v>88.269868089411105</v>
      </c>
      <c r="AM3093">
        <v>88.2765947819762</v>
      </c>
      <c r="AN3093">
        <v>1.0000000152980799</v>
      </c>
    </row>
    <row r="3094" spans="1:40" x14ac:dyDescent="0.25">
      <c r="A3094" t="str">
        <f>"20190312154855504"</f>
        <v>20190312154855504</v>
      </c>
      <c r="B3094" t="str">
        <f>"1552376935498549"</f>
        <v>1552376935498549</v>
      </c>
      <c r="C3094" t="s">
        <v>40</v>
      </c>
      <c r="D3094">
        <v>4.7733639999999999</v>
      </c>
      <c r="E3094">
        <v>0.43960840000000001</v>
      </c>
      <c r="F3094" t="s">
        <v>50</v>
      </c>
      <c r="G3094">
        <v>-446.7638</v>
      </c>
      <c r="H3094" s="1">
        <v>2.0401409999999998E-6</v>
      </c>
      <c r="I3094">
        <v>215.1292</v>
      </c>
      <c r="J3094">
        <v>-473.84890000000001</v>
      </c>
      <c r="K3094">
        <v>1.116295</v>
      </c>
      <c r="L3094">
        <v>216.21610000000001</v>
      </c>
      <c r="M3094">
        <v>0.9862978</v>
      </c>
      <c r="N3094">
        <v>0</v>
      </c>
      <c r="O3094">
        <v>-0.16430989999999901</v>
      </c>
      <c r="P3094">
        <v>0.98062709999999997</v>
      </c>
      <c r="Q3094">
        <v>1.5047700000000001E-2</v>
      </c>
      <c r="R3094">
        <v>-0.1953048</v>
      </c>
      <c r="S3094">
        <v>3.0423580000000001</v>
      </c>
      <c r="T3094">
        <v>-0.12450899999999999</v>
      </c>
      <c r="U3094">
        <v>-0.1234131</v>
      </c>
      <c r="V3094">
        <v>3.1070500000000001E-2</v>
      </c>
      <c r="W3094">
        <v>3.027817E-2</v>
      </c>
      <c r="X3094">
        <v>0.99905849999999996</v>
      </c>
      <c r="Y3094">
        <v>-0.12397270000000001</v>
      </c>
      <c r="Z3094">
        <v>9.2256809999999995E-3</v>
      </c>
      <c r="AA3094">
        <v>0.99224279999999998</v>
      </c>
      <c r="AB3094">
        <v>19</v>
      </c>
      <c r="AC3094">
        <v>27.085100000000001</v>
      </c>
      <c r="AD3094">
        <v>-1.1162929598589999</v>
      </c>
      <c r="AE3094">
        <v>-1.08690000000001</v>
      </c>
      <c r="AF3094">
        <v>-3.3729926136324999</v>
      </c>
      <c r="AG3094">
        <v>-1.1162929598589999</v>
      </c>
      <c r="AH3094">
        <v>26.849972439104</v>
      </c>
      <c r="AI3094">
        <v>92.3621675990684</v>
      </c>
      <c r="AJ3094">
        <v>97.160198681127497</v>
      </c>
      <c r="AK3094">
        <v>27.084021287919899</v>
      </c>
      <c r="AL3094">
        <v>88.264923494415797</v>
      </c>
      <c r="AM3094">
        <v>88.218687981593703</v>
      </c>
      <c r="AN3094">
        <v>1.0000000149855199</v>
      </c>
    </row>
    <row r="3095" spans="1:40" x14ac:dyDescent="0.25">
      <c r="A3095" t="str">
        <f>"20190312154855549"</f>
        <v>20190312154855549</v>
      </c>
      <c r="B3095" t="str">
        <f>"1552376935538565"</f>
        <v>1552376935538565</v>
      </c>
      <c r="C3095" t="s">
        <v>40</v>
      </c>
      <c r="D3095">
        <v>4.8751499999999997</v>
      </c>
      <c r="E3095">
        <v>0.45320050000000001</v>
      </c>
      <c r="F3095" t="s">
        <v>50</v>
      </c>
      <c r="G3095">
        <v>-447.71379999999999</v>
      </c>
      <c r="H3095" s="1">
        <v>2.5371010000000001E-6</v>
      </c>
      <c r="I3095">
        <v>215.32560000000001</v>
      </c>
      <c r="J3095">
        <v>-473.49349999999998</v>
      </c>
      <c r="K3095">
        <v>1.1160589999999999</v>
      </c>
      <c r="L3095">
        <v>216.18620000000001</v>
      </c>
      <c r="M3095">
        <v>0.98973520000000004</v>
      </c>
      <c r="N3095">
        <v>0</v>
      </c>
      <c r="O3095">
        <v>-0.14215340000000001</v>
      </c>
      <c r="P3095">
        <v>0.9843075</v>
      </c>
      <c r="Q3095">
        <v>1.5477670000000001E-2</v>
      </c>
      <c r="R3095">
        <v>-0.1757821</v>
      </c>
      <c r="S3095">
        <v>3.040619</v>
      </c>
      <c r="T3095">
        <v>-0.12987209999999999</v>
      </c>
      <c r="U3095">
        <v>-0.103607199999999</v>
      </c>
      <c r="V3095">
        <v>3.3635470000000001E-2</v>
      </c>
      <c r="W3095">
        <v>3.0655169999999999E-2</v>
      </c>
      <c r="X3095">
        <v>0.99896390000000002</v>
      </c>
      <c r="Y3095">
        <v>-0.1081506</v>
      </c>
      <c r="Z3095">
        <v>8.356647E-3</v>
      </c>
      <c r="AA3095">
        <v>0.99409939999999997</v>
      </c>
      <c r="AB3095">
        <v>19</v>
      </c>
      <c r="AC3095">
        <v>25.779699999999899</v>
      </c>
      <c r="AD3095">
        <v>-1.116056462899</v>
      </c>
      <c r="AE3095">
        <v>-0.86060000000000503</v>
      </c>
      <c r="AF3095">
        <v>-2.8079538259789798</v>
      </c>
      <c r="AG3095">
        <v>-1.116056462899</v>
      </c>
      <c r="AH3095">
        <v>25.592279576221699</v>
      </c>
      <c r="AI3095">
        <v>92.482158792032706</v>
      </c>
      <c r="AJ3095">
        <v>96.261378212560203</v>
      </c>
      <c r="AK3095">
        <v>25.770039981045802</v>
      </c>
      <c r="AL3095">
        <v>88.243312890343304</v>
      </c>
      <c r="AM3095">
        <v>88.071559247752901</v>
      </c>
      <c r="AN3095">
        <v>0.99999997889652903</v>
      </c>
    </row>
    <row r="3096" spans="1:40" x14ac:dyDescent="0.25">
      <c r="A3096" t="str">
        <f>"20190312154855569"</f>
        <v>20190312154855569</v>
      </c>
      <c r="B3096" t="str">
        <f>"1552376935559062"</f>
        <v>1552376935559062</v>
      </c>
      <c r="C3096" t="s">
        <v>40</v>
      </c>
      <c r="D3096">
        <v>4.7982820000000004</v>
      </c>
      <c r="E3096">
        <v>0.45470680000000002</v>
      </c>
      <c r="F3096" t="s">
        <v>50</v>
      </c>
      <c r="G3096">
        <v>-455.02499999999998</v>
      </c>
      <c r="H3096" s="1">
        <v>1.1081860000000001E-6</v>
      </c>
      <c r="I3096">
        <v>215.28129999999999</v>
      </c>
      <c r="J3096">
        <v>-473.31529999999998</v>
      </c>
      <c r="K3096">
        <v>1.1159209999999999</v>
      </c>
      <c r="L3096">
        <v>216.1738</v>
      </c>
      <c r="M3096">
        <v>0.99123919999999999</v>
      </c>
      <c r="N3096">
        <v>0</v>
      </c>
      <c r="O3096">
        <v>-0.1312603</v>
      </c>
      <c r="P3096">
        <v>0.98586149999999995</v>
      </c>
      <c r="Q3096">
        <v>1.4438670000000001E-2</v>
      </c>
      <c r="R3096">
        <v>-0.1669397</v>
      </c>
      <c r="S3096">
        <v>3.0242309999999999</v>
      </c>
      <c r="T3096">
        <v>-0.1827548</v>
      </c>
      <c r="U3096">
        <v>-0.14817810000000001</v>
      </c>
      <c r="V3096">
        <v>3.5677019999999997E-2</v>
      </c>
      <c r="W3096">
        <v>2.9594220000000001E-2</v>
      </c>
      <c r="X3096">
        <v>0.99892510000000001</v>
      </c>
      <c r="Y3096">
        <v>-8.2215570000000002E-2</v>
      </c>
      <c r="Z3096">
        <v>1.03778E-2</v>
      </c>
      <c r="AA3096">
        <v>0.99656049999999996</v>
      </c>
      <c r="AB3096">
        <v>19</v>
      </c>
      <c r="AC3096">
        <v>18.290299999999998</v>
      </c>
      <c r="AD3096">
        <v>-1.1159198918140001</v>
      </c>
      <c r="AE3096">
        <v>-0.89250000000001195</v>
      </c>
      <c r="AF3096">
        <v>-1.51066277775271</v>
      </c>
      <c r="AG3096">
        <v>-1.1159198918140001</v>
      </c>
      <c r="AH3096">
        <v>18.181660507118998</v>
      </c>
      <c r="AI3096">
        <v>93.500156542665906</v>
      </c>
      <c r="AJ3096">
        <v>94.749634744141204</v>
      </c>
      <c r="AK3096">
        <v>18.278406878860199</v>
      </c>
      <c r="AL3096">
        <v>88.3041285083318</v>
      </c>
      <c r="AM3096">
        <v>87.954527148038096</v>
      </c>
      <c r="AN3096">
        <v>1.00000001151174</v>
      </c>
    </row>
    <row r="3097" spans="1:40" x14ac:dyDescent="0.25">
      <c r="A3097" t="str">
        <f>"20190312154855593"</f>
        <v>20190312154855593</v>
      </c>
      <c r="B3097" t="str">
        <f>"1552376935588341"</f>
        <v>1552376935588341</v>
      </c>
      <c r="C3097" t="s">
        <v>40</v>
      </c>
      <c r="D3097">
        <v>4.8812930000000003</v>
      </c>
      <c r="E3097">
        <v>0.43748359999999897</v>
      </c>
      <c r="F3097" t="s">
        <v>50</v>
      </c>
      <c r="G3097">
        <v>-454.94</v>
      </c>
      <c r="H3097" s="1">
        <v>1.0593979999999999E-6</v>
      </c>
      <c r="I3097">
        <v>215.36340000000001</v>
      </c>
      <c r="J3097">
        <v>-473.12970000000001</v>
      </c>
      <c r="K3097">
        <v>1.1157919999999999</v>
      </c>
      <c r="L3097">
        <v>216.16290000000001</v>
      </c>
      <c r="M3097">
        <v>0.99265769999999998</v>
      </c>
      <c r="N3097">
        <v>0</v>
      </c>
      <c r="O3097">
        <v>-0.1200683</v>
      </c>
      <c r="P3097">
        <v>0.98741849999999998</v>
      </c>
      <c r="Q3097">
        <v>1.313756E-2</v>
      </c>
      <c r="R3097">
        <v>-0.15758249999999999</v>
      </c>
      <c r="S3097">
        <v>3.0231629999999998</v>
      </c>
      <c r="T3097">
        <v>-0.18359539999999999</v>
      </c>
      <c r="U3097">
        <v>-0.13333130000000001</v>
      </c>
      <c r="V3097">
        <v>3.74991E-2</v>
      </c>
      <c r="W3097">
        <v>2.826679E-2</v>
      </c>
      <c r="X3097">
        <v>0.99889680000000003</v>
      </c>
      <c r="Y3097">
        <v>-7.5863979999999998E-2</v>
      </c>
      <c r="Z3097">
        <v>9.5645599999999997E-3</v>
      </c>
      <c r="AA3097">
        <v>0.99707230000000002</v>
      </c>
      <c r="AB3097">
        <v>19</v>
      </c>
      <c r="AC3097">
        <v>18.189699999999998</v>
      </c>
      <c r="AD3097">
        <v>-1.1157909406019999</v>
      </c>
      <c r="AE3097">
        <v>-0.79949999999999399</v>
      </c>
      <c r="AF3097">
        <v>-1.3853228408089699</v>
      </c>
      <c r="AG3097">
        <v>-1.1157909406019999</v>
      </c>
      <c r="AH3097">
        <v>18.086161703394598</v>
      </c>
      <c r="AI3097">
        <v>93.519994003613903</v>
      </c>
      <c r="AJ3097">
        <v>94.380059877828501</v>
      </c>
      <c r="AK3097">
        <v>18.173424387212599</v>
      </c>
      <c r="AL3097">
        <v>88.380216488395703</v>
      </c>
      <c r="AM3097">
        <v>87.850096513915005</v>
      </c>
      <c r="AN3097">
        <v>1.0000000054839699</v>
      </c>
    </row>
    <row r="3098" spans="1:40" x14ac:dyDescent="0.25">
      <c r="A3098" t="str">
        <f>"20190312154855615"</f>
        <v>20190312154855615</v>
      </c>
      <c r="B3098" t="str">
        <f>"1552376935608838"</f>
        <v>1552376935608838</v>
      </c>
      <c r="C3098" t="s">
        <v>40</v>
      </c>
      <c r="D3098">
        <v>4.9814189999999998</v>
      </c>
      <c r="E3098">
        <v>0.42149789999999998</v>
      </c>
      <c r="F3098" t="s">
        <v>50</v>
      </c>
      <c r="G3098">
        <v>-450.19409999999999</v>
      </c>
      <c r="H3098" s="1">
        <v>-1.5107199999999999E-6</v>
      </c>
      <c r="I3098">
        <v>216.3827</v>
      </c>
      <c r="J3098">
        <v>-472.94549999999998</v>
      </c>
      <c r="K3098">
        <v>1.115648</v>
      </c>
      <c r="L3098">
        <v>216.15389999999999</v>
      </c>
      <c r="M3098">
        <v>0.99391300000000005</v>
      </c>
      <c r="N3098">
        <v>0</v>
      </c>
      <c r="O3098">
        <v>-0.109195899999999</v>
      </c>
      <c r="P3098">
        <v>0.98878140000000003</v>
      </c>
      <c r="Q3098">
        <v>1.294914E-2</v>
      </c>
      <c r="R3098">
        <v>-0.14880760000000001</v>
      </c>
      <c r="S3098">
        <v>3.0449220000000001</v>
      </c>
      <c r="T3098">
        <v>-0.1481324</v>
      </c>
      <c r="U3098">
        <v>2.9174800000000001E-2</v>
      </c>
      <c r="V3098">
        <v>3.9574310000000001E-2</v>
      </c>
      <c r="W3098">
        <v>2.8051329999999999E-2</v>
      </c>
      <c r="X3098">
        <v>0.99882280000000001</v>
      </c>
      <c r="Y3098">
        <v>-0.1184574</v>
      </c>
      <c r="Z3098">
        <v>8.1819549999999994E-3</v>
      </c>
      <c r="AA3098">
        <v>0.99292539999999996</v>
      </c>
      <c r="AB3098">
        <v>19</v>
      </c>
      <c r="AC3098">
        <v>22.751399999999901</v>
      </c>
      <c r="AD3098">
        <v>-1.11564951072</v>
      </c>
      <c r="AE3098">
        <v>0.228800000000006</v>
      </c>
      <c r="AF3098">
        <v>-2.70555096247677</v>
      </c>
      <c r="AG3098">
        <v>-1.11564951072</v>
      </c>
      <c r="AH3098">
        <v>22.536151998070299</v>
      </c>
      <c r="AI3098">
        <v>92.813933886558104</v>
      </c>
      <c r="AJ3098">
        <v>96.845812844224994</v>
      </c>
      <c r="AK3098">
        <v>22.725378472568</v>
      </c>
      <c r="AL3098">
        <v>88.392566316555204</v>
      </c>
      <c r="AM3098">
        <v>87.731073454476402</v>
      </c>
      <c r="AN3098">
        <v>0.99999999446329202</v>
      </c>
    </row>
    <row r="3099" spans="1:40" x14ac:dyDescent="0.25">
      <c r="A3099" t="str">
        <f>"20190312154855637"</f>
        <v>20190312154855637</v>
      </c>
      <c r="B3099" t="str">
        <f>"1552376935628358"</f>
        <v>1552376935628358</v>
      </c>
      <c r="C3099" t="s">
        <v>40</v>
      </c>
      <c r="D3099">
        <v>5.0371509999999997</v>
      </c>
      <c r="E3099">
        <v>0.4167537</v>
      </c>
      <c r="F3099" t="s">
        <v>50</v>
      </c>
      <c r="G3099">
        <v>-453.4008</v>
      </c>
      <c r="H3099" s="1">
        <v>1.5454359999999999E-7</v>
      </c>
      <c r="I3099">
        <v>217.3246</v>
      </c>
      <c r="J3099">
        <v>-472.76900000000001</v>
      </c>
      <c r="K3099">
        <v>1.1154809999999999</v>
      </c>
      <c r="L3099">
        <v>216.14689999999999</v>
      </c>
      <c r="M3099">
        <v>0.99497690000000005</v>
      </c>
      <c r="N3099">
        <v>0</v>
      </c>
      <c r="O3099">
        <v>-9.904048E-2</v>
      </c>
      <c r="P3099">
        <v>0.99012199999999995</v>
      </c>
      <c r="Q3099">
        <v>1.242334E-2</v>
      </c>
      <c r="R3099">
        <v>-0.13965729999999901</v>
      </c>
      <c r="S3099">
        <v>3.063965</v>
      </c>
      <c r="T3099">
        <v>-0.1748962</v>
      </c>
      <c r="U3099">
        <v>0.1835175</v>
      </c>
      <c r="V3099">
        <v>4.0555090000000002E-2</v>
      </c>
      <c r="W3099">
        <v>2.7477930000000001E-2</v>
      </c>
      <c r="X3099">
        <v>0.9987994</v>
      </c>
      <c r="Y3099">
        <v>-0.15795100000000001</v>
      </c>
      <c r="Z3099">
        <v>1.014194E-2</v>
      </c>
      <c r="AA3099">
        <v>0.98739489999999996</v>
      </c>
      <c r="AB3099">
        <v>19</v>
      </c>
      <c r="AC3099">
        <v>19.368200000000002</v>
      </c>
      <c r="AD3099">
        <v>-1.1154808454564</v>
      </c>
      <c r="AE3099">
        <v>1.17770000000001</v>
      </c>
      <c r="AF3099">
        <v>-3.0801683519018201</v>
      </c>
      <c r="AG3099">
        <v>-1.1154808454564</v>
      </c>
      <c r="AH3099">
        <v>19.093202944635902</v>
      </c>
      <c r="AI3099">
        <v>93.301004307191306</v>
      </c>
      <c r="AJ3099">
        <v>99.1641588959952</v>
      </c>
      <c r="AK3099">
        <v>19.372200011296901</v>
      </c>
      <c r="AL3099">
        <v>88.425432390939207</v>
      </c>
      <c r="AM3099">
        <v>87.674848637527305</v>
      </c>
      <c r="AN3099">
        <v>0.99999999670117601</v>
      </c>
    </row>
    <row r="3100" spans="1:40" x14ac:dyDescent="0.25">
      <c r="A3100" t="str">
        <f>"20190312154855660"</f>
        <v>20190312154855660</v>
      </c>
      <c r="B3100" t="str">
        <f>"1552376935648854"</f>
        <v>1552376935648854</v>
      </c>
      <c r="C3100" t="s">
        <v>40</v>
      </c>
      <c r="D3100">
        <v>5.0504470000000001</v>
      </c>
      <c r="E3100">
        <v>0.41505439999999999</v>
      </c>
      <c r="F3100" t="s">
        <v>50</v>
      </c>
      <c r="G3100">
        <v>-457.04689999999999</v>
      </c>
      <c r="H3100" s="1">
        <v>2.0901659999999998E-6</v>
      </c>
      <c r="I3100">
        <v>217.4315</v>
      </c>
      <c r="J3100">
        <v>-472.5788</v>
      </c>
      <c r="K3100">
        <v>1.115272</v>
      </c>
      <c r="L3100">
        <v>216.14099999999999</v>
      </c>
      <c r="M3100">
        <v>0.99597899999999995</v>
      </c>
      <c r="N3100">
        <v>0</v>
      </c>
      <c r="O3100">
        <v>-8.8407169999999993E-2</v>
      </c>
      <c r="P3100">
        <v>0.99146900000000004</v>
      </c>
      <c r="Q3100">
        <v>1.244907E-2</v>
      </c>
      <c r="R3100">
        <v>-0.12974859999999999</v>
      </c>
      <c r="S3100">
        <v>3.0680540000000001</v>
      </c>
      <c r="T3100">
        <v>-0.21767700000000001</v>
      </c>
      <c r="U3100">
        <v>0.25067139999999999</v>
      </c>
      <c r="V3100">
        <v>4.1249380000000002E-2</v>
      </c>
      <c r="W3100">
        <v>2.7434549999999999E-2</v>
      </c>
      <c r="X3100">
        <v>0.99877210000000005</v>
      </c>
      <c r="Y3100">
        <v>-0.16859370000000001</v>
      </c>
      <c r="Z3100">
        <v>1.2217759999999999E-2</v>
      </c>
      <c r="AA3100">
        <v>0.98560990000000004</v>
      </c>
      <c r="AB3100">
        <v>19</v>
      </c>
      <c r="AC3100">
        <v>15.5319</v>
      </c>
      <c r="AD3100">
        <v>-1.115269909834</v>
      </c>
      <c r="AE3100">
        <v>1.2905</v>
      </c>
      <c r="AF3100">
        <v>-2.6451764522991401</v>
      </c>
      <c r="AG3100">
        <v>-1.115269909834</v>
      </c>
      <c r="AH3100">
        <v>15.278732713813699</v>
      </c>
      <c r="AI3100">
        <v>94.1139127404128</v>
      </c>
      <c r="AJ3100">
        <v>99.822142045973493</v>
      </c>
      <c r="AK3100">
        <v>15.5460753496096</v>
      </c>
      <c r="AL3100">
        <v>88.427918725055093</v>
      </c>
      <c r="AM3100">
        <v>87.635023047054204</v>
      </c>
      <c r="AN3100">
        <v>0.99999993681124599</v>
      </c>
    </row>
    <row r="3101" spans="1:40" x14ac:dyDescent="0.25">
      <c r="A3101" t="str">
        <f>"20190312154855684"</f>
        <v>20190312154855684</v>
      </c>
      <c r="B3101" t="str">
        <f>"1552376935679110"</f>
        <v>1552376935679110</v>
      </c>
      <c r="C3101" t="s">
        <v>40</v>
      </c>
      <c r="D3101">
        <v>4.7919499999999999</v>
      </c>
      <c r="E3101">
        <v>0.41197</v>
      </c>
      <c r="F3101" t="s">
        <v>50</v>
      </c>
      <c r="G3101">
        <v>-458.71429999999998</v>
      </c>
      <c r="H3101" s="1">
        <v>2.9754910000000001E-6</v>
      </c>
      <c r="I3101">
        <v>217.47649999999999</v>
      </c>
      <c r="J3101">
        <v>-472.3852</v>
      </c>
      <c r="K3101">
        <v>1.115022</v>
      </c>
      <c r="L3101">
        <v>216.13659999999999</v>
      </c>
      <c r="M3101">
        <v>0.99685290000000004</v>
      </c>
      <c r="N3101">
        <v>0</v>
      </c>
      <c r="O3101">
        <v>-7.7948420000000004E-2</v>
      </c>
      <c r="P3101">
        <v>0.99266299999999996</v>
      </c>
      <c r="Q3101">
        <v>1.260646E-2</v>
      </c>
      <c r="R3101">
        <v>-0.1202553</v>
      </c>
      <c r="S3101">
        <v>3.0675659999999998</v>
      </c>
      <c r="T3101">
        <v>-0.24675639999999999</v>
      </c>
      <c r="U3101">
        <v>0.29548649999999999</v>
      </c>
      <c r="V3101">
        <v>4.2191020000000003E-2</v>
      </c>
      <c r="W3101">
        <v>2.7515580000000001E-2</v>
      </c>
      <c r="X3101">
        <v>0.99873060000000002</v>
      </c>
      <c r="Y3101">
        <v>-0.1723855</v>
      </c>
      <c r="Z3101">
        <v>1.3153740000000001E-2</v>
      </c>
      <c r="AA3101">
        <v>0.98494170000000003</v>
      </c>
      <c r="AB3101">
        <v>19</v>
      </c>
      <c r="AC3101">
        <v>13.6709</v>
      </c>
      <c r="AD3101">
        <v>-1.1150190245089999</v>
      </c>
      <c r="AE3101">
        <v>1.3399000000000001</v>
      </c>
      <c r="AF3101">
        <v>-2.3858381928618799</v>
      </c>
      <c r="AG3101">
        <v>-1.1150190245089999</v>
      </c>
      <c r="AH3101">
        <v>13.436310563125099</v>
      </c>
      <c r="AI3101">
        <v>94.6711121746945</v>
      </c>
      <c r="AJ3101">
        <v>100.068861255491</v>
      </c>
      <c r="AK3101">
        <v>13.6919659967546</v>
      </c>
      <c r="AL3101">
        <v>88.423274394622098</v>
      </c>
      <c r="AM3101">
        <v>87.580998421604207</v>
      </c>
      <c r="AN3101">
        <v>1.0000000003438601</v>
      </c>
    </row>
    <row r="3102" spans="1:40" x14ac:dyDescent="0.25">
      <c r="A3102" t="str">
        <f>"20190312154855707"</f>
        <v>20190312154855707</v>
      </c>
      <c r="B3102" t="str">
        <f>"1552376935698630"</f>
        <v>1552376935698630</v>
      </c>
      <c r="C3102" t="s">
        <v>40</v>
      </c>
      <c r="D3102">
        <v>4.8088639999999998</v>
      </c>
      <c r="E3102">
        <v>0.41145280000000001</v>
      </c>
      <c r="F3102" t="s">
        <v>50</v>
      </c>
      <c r="G3102">
        <v>-457.75599999999997</v>
      </c>
      <c r="H3102" s="1">
        <v>2.4515269999999998E-6</v>
      </c>
      <c r="I3102">
        <v>217.7978</v>
      </c>
      <c r="J3102">
        <v>-472.20650000000001</v>
      </c>
      <c r="K3102">
        <v>1.11477</v>
      </c>
      <c r="L3102">
        <v>216.13390000000001</v>
      </c>
      <c r="M3102">
        <v>0.9975349</v>
      </c>
      <c r="N3102">
        <v>0</v>
      </c>
      <c r="O3102">
        <v>-6.8684380000000003E-2</v>
      </c>
      <c r="P3102">
        <v>0.99358679999999999</v>
      </c>
      <c r="Q3102">
        <v>1.263366E-2</v>
      </c>
      <c r="R3102">
        <v>-0.1123639</v>
      </c>
      <c r="S3102">
        <v>3.0673520000000001</v>
      </c>
      <c r="T3102">
        <v>-0.23379079999999999</v>
      </c>
      <c r="U3102">
        <v>0.34832760000000001</v>
      </c>
      <c r="V3102">
        <v>4.3551090000000001E-2</v>
      </c>
      <c r="W3102">
        <v>2.7471720000000002E-2</v>
      </c>
      <c r="X3102">
        <v>0.99867340000000004</v>
      </c>
      <c r="Y3102">
        <v>-0.1801072</v>
      </c>
      <c r="Z3102">
        <v>1.204533E-2</v>
      </c>
      <c r="AA3102">
        <v>0.98357329999999998</v>
      </c>
      <c r="AB3102">
        <v>19</v>
      </c>
      <c r="AC3102">
        <v>14.4505</v>
      </c>
      <c r="AD3102">
        <v>-1.114767548473</v>
      </c>
      <c r="AE3102">
        <v>1.66389999999998</v>
      </c>
      <c r="AF3102">
        <v>-2.63710741151854</v>
      </c>
      <c r="AG3102">
        <v>-1.114767548473</v>
      </c>
      <c r="AH3102">
        <v>14.2185614869238</v>
      </c>
      <c r="AI3102">
        <v>94.408077391131997</v>
      </c>
      <c r="AJ3102">
        <v>100.50721803266499</v>
      </c>
      <c r="AK3102">
        <v>14.5039488741669</v>
      </c>
      <c r="AL3102">
        <v>88.425788300061299</v>
      </c>
      <c r="AM3102">
        <v>87.502973792123697</v>
      </c>
      <c r="AN3102">
        <v>0.99999997635375204</v>
      </c>
    </row>
    <row r="3103" spans="1:40" x14ac:dyDescent="0.25">
      <c r="A3103" t="str">
        <f>"20190312154855728"</f>
        <v>20190312154855728</v>
      </c>
      <c r="B3103" t="str">
        <f>"1552376935719126"</f>
        <v>1552376935719126</v>
      </c>
      <c r="C3103" t="s">
        <v>40</v>
      </c>
      <c r="D3103">
        <v>4.7688519999999999</v>
      </c>
      <c r="E3103">
        <v>0.41171809999999998</v>
      </c>
      <c r="F3103" t="s">
        <v>50</v>
      </c>
      <c r="G3103">
        <v>-455.83370000000002</v>
      </c>
      <c r="H3103" s="1">
        <v>1.4135769999999999E-6</v>
      </c>
      <c r="I3103">
        <v>218.14080000000001</v>
      </c>
      <c r="J3103">
        <v>-472.02359999999999</v>
      </c>
      <c r="K3103">
        <v>1.1145039999999999</v>
      </c>
      <c r="L3103">
        <v>216.13239999999999</v>
      </c>
      <c r="M3103">
        <v>0.99811819999999896</v>
      </c>
      <c r="N3103">
        <v>0</v>
      </c>
      <c r="O3103">
        <v>-5.962601E-2</v>
      </c>
      <c r="P3103">
        <v>0.99445309999999998</v>
      </c>
      <c r="Q3103">
        <v>1.310213E-2</v>
      </c>
      <c r="R3103">
        <v>-0.10436230000000001</v>
      </c>
      <c r="S3103">
        <v>3.0644840000000002</v>
      </c>
      <c r="T3103">
        <v>-0.20865110000000001</v>
      </c>
      <c r="U3103">
        <v>0.3756256</v>
      </c>
      <c r="V3103">
        <v>4.4591680000000002E-2</v>
      </c>
      <c r="W3103">
        <v>2.7860679999999999E-2</v>
      </c>
      <c r="X3103">
        <v>0.99861679999999997</v>
      </c>
      <c r="Y3103">
        <v>-0.18008829999999901</v>
      </c>
      <c r="Z3103">
        <v>1.0143259999999999E-2</v>
      </c>
      <c r="AA3103">
        <v>0.98359819999999998</v>
      </c>
      <c r="AB3103">
        <v>19</v>
      </c>
      <c r="AC3103">
        <v>16.189899999999898</v>
      </c>
      <c r="AD3103">
        <v>-1.114502586423</v>
      </c>
      <c r="AE3103">
        <v>2.0084000000000199</v>
      </c>
      <c r="AF3103">
        <v>-2.9564659600900498</v>
      </c>
      <c r="AG3103">
        <v>-1.114502586423</v>
      </c>
      <c r="AH3103">
        <v>15.966805973125201</v>
      </c>
      <c r="AI3103">
        <v>93.926312880503701</v>
      </c>
      <c r="AJ3103">
        <v>100.49026283548901</v>
      </c>
      <c r="AK3103">
        <v>16.2764154521732</v>
      </c>
      <c r="AL3103">
        <v>88.403494155581896</v>
      </c>
      <c r="AM3103">
        <v>87.443244509118003</v>
      </c>
      <c r="AN3103">
        <v>1.00000007432875</v>
      </c>
    </row>
    <row r="3104" spans="1:40" x14ac:dyDescent="0.25">
      <c r="A3104" t="str">
        <f>"20190312154855751"</f>
        <v>20190312154855751</v>
      </c>
      <c r="B3104" t="str">
        <f>"1552376935738646"</f>
        <v>1552376935738646</v>
      </c>
      <c r="C3104" t="s">
        <v>40</v>
      </c>
      <c r="D3104">
        <v>4.7520199999999999</v>
      </c>
      <c r="E3104">
        <v>0.41257349999999998</v>
      </c>
      <c r="F3104" t="s">
        <v>50</v>
      </c>
      <c r="G3104">
        <v>-454.6866</v>
      </c>
      <c r="H3104" s="1">
        <v>7.9262099999999999E-7</v>
      </c>
      <c r="I3104">
        <v>218.3817</v>
      </c>
      <c r="J3104">
        <v>-471.84390000000002</v>
      </c>
      <c r="K3104">
        <v>1.1142829999999999</v>
      </c>
      <c r="L3104">
        <v>216.13210000000001</v>
      </c>
      <c r="M3104">
        <v>0.99859299999999995</v>
      </c>
      <c r="N3104">
        <v>0</v>
      </c>
      <c r="O3104">
        <v>-5.1075860000000001E-2</v>
      </c>
      <c r="P3104">
        <v>0.99524900000000005</v>
      </c>
      <c r="Q3104">
        <v>1.3184410000000001E-2</v>
      </c>
      <c r="R3104">
        <v>-9.6466529999999995E-2</v>
      </c>
      <c r="S3104">
        <v>3.0609739999999999</v>
      </c>
      <c r="T3104">
        <v>-0.196774</v>
      </c>
      <c r="U3104">
        <v>0.39712520000000001</v>
      </c>
      <c r="V3104">
        <v>4.5233599999999999E-2</v>
      </c>
      <c r="W3104">
        <v>2.7864489999999999E-2</v>
      </c>
      <c r="X3104">
        <v>0.99858769999999997</v>
      </c>
      <c r="Y3104">
        <v>-0.17868129999999999</v>
      </c>
      <c r="Z3104">
        <v>8.9817839999999996E-3</v>
      </c>
      <c r="AA3104">
        <v>0.98386600000000002</v>
      </c>
      <c r="AB3104">
        <v>19</v>
      </c>
      <c r="AC3104">
        <v>17.157299999999999</v>
      </c>
      <c r="AD3104">
        <v>-1.114282207379</v>
      </c>
      <c r="AE3104">
        <v>2.2495999999999801</v>
      </c>
      <c r="AF3104">
        <v>-3.11017950562819</v>
      </c>
      <c r="AG3104">
        <v>-1.114282207379</v>
      </c>
      <c r="AH3104">
        <v>16.949706125609499</v>
      </c>
      <c r="AI3104">
        <v>93.699648549888806</v>
      </c>
      <c r="AJ3104">
        <v>100.397796863895</v>
      </c>
      <c r="AK3104">
        <v>17.268682032495601</v>
      </c>
      <c r="AL3104">
        <v>88.403275577690493</v>
      </c>
      <c r="AM3104">
        <v>87.406413132789297</v>
      </c>
      <c r="AN3104">
        <v>0.99999995148160303</v>
      </c>
    </row>
    <row r="3105" spans="1:40" x14ac:dyDescent="0.25">
      <c r="A3105" t="str">
        <f>"20190312154855772"</f>
        <v>20190312154855772</v>
      </c>
      <c r="B3105" t="str">
        <f>"1552376935768902"</f>
        <v>1552376935768902</v>
      </c>
      <c r="C3105" t="s">
        <v>40</v>
      </c>
      <c r="D3105">
        <v>4.7162629999999996</v>
      </c>
      <c r="E3105">
        <v>0.4141994</v>
      </c>
      <c r="F3105" t="s">
        <v>50</v>
      </c>
      <c r="G3105">
        <v>-453.89929999999998</v>
      </c>
      <c r="H3105" s="1">
        <v>3.659306E-7</v>
      </c>
      <c r="I3105">
        <v>218.55799999999999</v>
      </c>
      <c r="J3105">
        <v>-471.66770000000002</v>
      </c>
      <c r="K3105">
        <v>1.1140859999999999</v>
      </c>
      <c r="L3105">
        <v>216.13290000000001</v>
      </c>
      <c r="M3105">
        <v>0.99897279999999999</v>
      </c>
      <c r="N3105">
        <v>0</v>
      </c>
      <c r="O3105">
        <v>-4.3032929999999997E-2</v>
      </c>
      <c r="P3105">
        <v>0.99588259999999995</v>
      </c>
      <c r="Q3105">
        <v>1.330396E-2</v>
      </c>
      <c r="R3105">
        <v>-8.9670849999999996E-2</v>
      </c>
      <c r="S3105">
        <v>3.056854</v>
      </c>
      <c r="T3105">
        <v>-0.18981729999999999</v>
      </c>
      <c r="U3105">
        <v>0.4132538</v>
      </c>
      <c r="V3105">
        <v>4.6471480000000003E-2</v>
      </c>
      <c r="W3105">
        <v>2.7916440000000001E-2</v>
      </c>
      <c r="X3105">
        <v>0.99852940000000001</v>
      </c>
      <c r="Y3105">
        <v>-0.17608070000000001</v>
      </c>
      <c r="Z3105">
        <v>8.0961139999999997E-3</v>
      </c>
      <c r="AA3105">
        <v>0.98434250000000001</v>
      </c>
      <c r="AB3105">
        <v>19</v>
      </c>
      <c r="AC3105">
        <v>17.7684</v>
      </c>
      <c r="AD3105">
        <v>-1.1140856340693901</v>
      </c>
      <c r="AE3105">
        <v>2.42509999999998</v>
      </c>
      <c r="AF3105">
        <v>-3.1753015274871501</v>
      </c>
      <c r="AG3105">
        <v>-1.1140856340693901</v>
      </c>
      <c r="AH3105">
        <v>17.579719351088201</v>
      </c>
      <c r="AI3105">
        <v>93.568584093729797</v>
      </c>
      <c r="AJ3105">
        <v>100.238544620265</v>
      </c>
      <c r="AK3105">
        <v>17.898889883272901</v>
      </c>
      <c r="AL3105">
        <v>88.400297892061502</v>
      </c>
      <c r="AM3105">
        <v>87.335381625788102</v>
      </c>
      <c r="AN3105">
        <v>0.99999994437001005</v>
      </c>
    </row>
    <row r="3106" spans="1:40" x14ac:dyDescent="0.25">
      <c r="A3106" t="str">
        <f>"20190312154855793"</f>
        <v>20190312154855793</v>
      </c>
      <c r="B3106" t="str">
        <f>"1552376935788422"</f>
        <v>1552376935788422</v>
      </c>
      <c r="C3106" t="s">
        <v>40</v>
      </c>
      <c r="D3106">
        <v>4.710966</v>
      </c>
      <c r="E3106">
        <v>0.41539169999999997</v>
      </c>
      <c r="F3106" t="s">
        <v>50</v>
      </c>
      <c r="G3106">
        <v>-453.01710000000003</v>
      </c>
      <c r="H3106" s="1">
        <v>-1.098873E-7</v>
      </c>
      <c r="I3106">
        <v>218.70310000000001</v>
      </c>
      <c r="J3106">
        <v>-471.50369999999998</v>
      </c>
      <c r="K3106">
        <v>1.1139159999999999</v>
      </c>
      <c r="L3106">
        <v>216.1345</v>
      </c>
      <c r="M3106">
        <v>0.99925640000000004</v>
      </c>
      <c r="N3106">
        <v>0</v>
      </c>
      <c r="O3106">
        <v>-3.5866639999999998E-2</v>
      </c>
      <c r="P3106">
        <v>0.99631769999999997</v>
      </c>
      <c r="Q3106">
        <v>1.3234350000000001E-2</v>
      </c>
      <c r="R3106">
        <v>-8.4710489999999999E-2</v>
      </c>
      <c r="S3106">
        <v>3.0527039999999999</v>
      </c>
      <c r="T3106">
        <v>-0.1823516</v>
      </c>
      <c r="U3106">
        <v>0.42068480000000003</v>
      </c>
      <c r="V3106">
        <v>4.8674120000000001E-2</v>
      </c>
      <c r="W3106">
        <v>2.7793950000000001E-2</v>
      </c>
      <c r="X3106">
        <v>0.99842790000000003</v>
      </c>
      <c r="Y3106">
        <v>-0.17160029999999901</v>
      </c>
      <c r="Z3106">
        <v>7.2283460000000001E-3</v>
      </c>
      <c r="AA3106">
        <v>0.98514009999999996</v>
      </c>
      <c r="AB3106">
        <v>18</v>
      </c>
      <c r="AC3106">
        <v>18.4865999999999</v>
      </c>
      <c r="AD3106">
        <v>-1.1139161098872901</v>
      </c>
      <c r="AE3106">
        <v>2.5686</v>
      </c>
      <c r="AF3106">
        <v>-3.2186011492025202</v>
      </c>
      <c r="AG3106">
        <v>-1.1139161098872901</v>
      </c>
      <c r="AH3106">
        <v>18.317321592757299</v>
      </c>
      <c r="AI3106">
        <v>93.427611364686001</v>
      </c>
      <c r="AJ3106">
        <v>99.965907870003903</v>
      </c>
      <c r="AK3106">
        <v>18.631276735371799</v>
      </c>
      <c r="AL3106">
        <v>88.407318821715194</v>
      </c>
      <c r="AM3106">
        <v>87.208996809863095</v>
      </c>
      <c r="AN3106">
        <v>0.99999997255639295</v>
      </c>
    </row>
    <row r="3107" spans="1:40" x14ac:dyDescent="0.25">
      <c r="A3107" t="str">
        <f>"20190312154855815"</f>
        <v>20190312154855815</v>
      </c>
      <c r="B3107" t="str">
        <f>"1552376935808918"</f>
        <v>1552376935808918</v>
      </c>
      <c r="C3107" t="s">
        <v>40</v>
      </c>
      <c r="D3107">
        <v>4.6909599999999996</v>
      </c>
      <c r="E3107">
        <v>0.41638750000000002</v>
      </c>
      <c r="F3107" t="s">
        <v>50</v>
      </c>
      <c r="G3107">
        <v>-452.46039999999999</v>
      </c>
      <c r="H3107" s="1">
        <v>-4.1024279999999999E-7</v>
      </c>
      <c r="I3107">
        <v>218.7972</v>
      </c>
      <c r="J3107">
        <v>-471.31319999999999</v>
      </c>
      <c r="K3107">
        <v>1.1137159999999999</v>
      </c>
      <c r="L3107">
        <v>216.13749999999999</v>
      </c>
      <c r="M3107">
        <v>0.9995098</v>
      </c>
      <c r="N3107">
        <v>0</v>
      </c>
      <c r="O3107">
        <v>-2.7963999999999999E-2</v>
      </c>
      <c r="P3107">
        <v>0.99678630000000001</v>
      </c>
      <c r="Q3107">
        <v>1.452897E-2</v>
      </c>
      <c r="R3107">
        <v>-7.8778050000000002E-2</v>
      </c>
      <c r="S3107">
        <v>3.0497130000000001</v>
      </c>
      <c r="T3107">
        <v>-0.17838979999999999</v>
      </c>
      <c r="U3107">
        <v>0.42642210000000003</v>
      </c>
      <c r="V3107">
        <v>5.0630260000000003E-2</v>
      </c>
      <c r="W3107">
        <v>2.9017009999999999E-2</v>
      </c>
      <c r="X3107">
        <v>0.99829579999999996</v>
      </c>
      <c r="Y3107">
        <v>-0.16579459999999999</v>
      </c>
      <c r="Z3107">
        <v>6.4486880000000002E-3</v>
      </c>
      <c r="AA3107">
        <v>0.98613919999999999</v>
      </c>
      <c r="AB3107">
        <v>18</v>
      </c>
      <c r="AC3107">
        <v>18.852799999999998</v>
      </c>
      <c r="AD3107">
        <v>-1.1137164102428001</v>
      </c>
      <c r="AE3107">
        <v>2.6597000000000102</v>
      </c>
      <c r="AF3107">
        <v>-3.1750476321711001</v>
      </c>
      <c r="AG3107">
        <v>-1.1137164102428001</v>
      </c>
      <c r="AH3107">
        <v>18.707033182938201</v>
      </c>
      <c r="AI3107">
        <v>93.359135262332202</v>
      </c>
      <c r="AJ3107">
        <v>99.632720206932603</v>
      </c>
      <c r="AK3107">
        <v>19.007219213145</v>
      </c>
      <c r="AL3107">
        <v>88.3372143254214</v>
      </c>
      <c r="AM3107">
        <v>87.096635255845001</v>
      </c>
      <c r="AN3107">
        <v>0.99999995719732204</v>
      </c>
    </row>
    <row r="3108" spans="1:40" x14ac:dyDescent="0.25">
      <c r="A3108" t="str">
        <f>"20190312154855838"</f>
        <v>20190312154855838</v>
      </c>
      <c r="B3108" t="str">
        <f>"1552376935828438"</f>
        <v>1552376935828438</v>
      </c>
      <c r="C3108" t="s">
        <v>40</v>
      </c>
      <c r="D3108">
        <v>4.7245509999999999</v>
      </c>
      <c r="E3108">
        <v>0.41788760000000003</v>
      </c>
      <c r="F3108" t="s">
        <v>50</v>
      </c>
      <c r="G3108">
        <v>-451.16449999999998</v>
      </c>
      <c r="H3108" s="1">
        <v>-1.1097459999999999E-6</v>
      </c>
      <c r="I3108">
        <v>219.02369999999999</v>
      </c>
      <c r="J3108">
        <v>-471.1318</v>
      </c>
      <c r="K3108">
        <v>1.1134900000000001</v>
      </c>
      <c r="L3108">
        <v>216.1412</v>
      </c>
      <c r="M3108">
        <v>0.99968420000000002</v>
      </c>
      <c r="N3108">
        <v>0</v>
      </c>
      <c r="O3108">
        <v>-2.0850170000000001E-2</v>
      </c>
      <c r="P3108">
        <v>0.99718960000000001</v>
      </c>
      <c r="Q3108">
        <v>1.7679779999999999E-2</v>
      </c>
      <c r="R3108">
        <v>-7.2804820000000006E-2</v>
      </c>
      <c r="S3108">
        <v>3.0466310000000001</v>
      </c>
      <c r="T3108">
        <v>-0.168402</v>
      </c>
      <c r="U3108">
        <v>0.43641659999999999</v>
      </c>
      <c r="V3108">
        <v>5.1747149999999999E-2</v>
      </c>
      <c r="W3108">
        <v>3.2087369999999997E-2</v>
      </c>
      <c r="X3108">
        <v>0.99814460000000005</v>
      </c>
      <c r="Y3108">
        <v>-0.162135</v>
      </c>
      <c r="Z3108">
        <v>5.6011400000000001E-3</v>
      </c>
      <c r="AA3108">
        <v>0.98675270000000004</v>
      </c>
      <c r="AB3108">
        <v>18</v>
      </c>
      <c r="AC3108">
        <v>19.967300000000002</v>
      </c>
      <c r="AD3108">
        <v>-1.1134911097460001</v>
      </c>
      <c r="AE3108">
        <v>2.8824999999999901</v>
      </c>
      <c r="AF3108">
        <v>-3.2882188168741999</v>
      </c>
      <c r="AG3108">
        <v>-1.1134911097460001</v>
      </c>
      <c r="AH3108">
        <v>19.842405421070001</v>
      </c>
      <c r="AI3108">
        <v>93.168757979994197</v>
      </c>
      <c r="AJ3108">
        <v>99.409358485532493</v>
      </c>
      <c r="AK3108">
        <v>20.143815386694701</v>
      </c>
      <c r="AL3108">
        <v>88.161213504279402</v>
      </c>
      <c r="AM3108">
        <v>87.032252348210093</v>
      </c>
      <c r="AN3108">
        <v>1.0000000046778901</v>
      </c>
    </row>
    <row r="3109" spans="1:40" x14ac:dyDescent="0.25">
      <c r="A3109" t="str">
        <f>"20190312154855859"</f>
        <v>20190312154855859</v>
      </c>
      <c r="B3109" t="str">
        <f>"1552376935848934"</f>
        <v>1552376935848934</v>
      </c>
      <c r="C3109" t="s">
        <v>40</v>
      </c>
      <c r="D3109">
        <v>4.7528220000000001</v>
      </c>
      <c r="E3109">
        <v>0.41911150000000003</v>
      </c>
      <c r="F3109" t="s">
        <v>50</v>
      </c>
      <c r="G3109">
        <v>-449.67689999999999</v>
      </c>
      <c r="H3109" s="1">
        <v>3.4099070000000001E-6</v>
      </c>
      <c r="I3109">
        <v>219.2578</v>
      </c>
      <c r="J3109">
        <v>-470.9624</v>
      </c>
      <c r="K3109">
        <v>1.1132599999999999</v>
      </c>
      <c r="L3109">
        <v>216.1454</v>
      </c>
      <c r="M3109">
        <v>0.99979600000000002</v>
      </c>
      <c r="N3109">
        <v>0</v>
      </c>
      <c r="O3109">
        <v>-1.458836E-2</v>
      </c>
      <c r="P3109">
        <v>0.99752830000000003</v>
      </c>
      <c r="Q3109">
        <v>2.0044869999999999E-2</v>
      </c>
      <c r="R3109">
        <v>-6.7343399999999998E-2</v>
      </c>
      <c r="S3109">
        <v>3.0435490000000001</v>
      </c>
      <c r="T3109">
        <v>-0.15795699999999999</v>
      </c>
      <c r="U3109">
        <v>0.44210820000000001</v>
      </c>
      <c r="V3109">
        <v>5.2536810000000003E-2</v>
      </c>
      <c r="W3109">
        <v>3.4371110000000003E-2</v>
      </c>
      <c r="X3109">
        <v>0.99802729999999995</v>
      </c>
      <c r="Y3109">
        <v>-0.15794739999999999</v>
      </c>
      <c r="Z3109">
        <v>4.827479E-3</v>
      </c>
      <c r="AA3109">
        <v>0.98743570000000003</v>
      </c>
      <c r="AB3109">
        <v>18</v>
      </c>
      <c r="AC3109">
        <v>21.285499999999999</v>
      </c>
      <c r="AD3109">
        <v>-1.113256590093</v>
      </c>
      <c r="AE3109">
        <v>3.1124000000000001</v>
      </c>
      <c r="AF3109">
        <v>-3.4134777542021801</v>
      </c>
      <c r="AG3109">
        <v>-1.113256590093</v>
      </c>
      <c r="AH3109">
        <v>21.181099007040999</v>
      </c>
      <c r="AI3109">
        <v>92.970382920569804</v>
      </c>
      <c r="AJ3109">
        <v>99.1548895736953</v>
      </c>
      <c r="AK3109">
        <v>21.483252215618901</v>
      </c>
      <c r="AL3109">
        <v>88.030292484748998</v>
      </c>
      <c r="AM3109">
        <v>86.986693957719694</v>
      </c>
      <c r="AN3109">
        <v>0.99999999057644895</v>
      </c>
    </row>
    <row r="3110" spans="1:40" x14ac:dyDescent="0.25">
      <c r="A3110" t="str">
        <f>"20190312154855883"</f>
        <v>20190312154855883</v>
      </c>
      <c r="B3110" t="str">
        <f>"1552376935879190"</f>
        <v>1552376935879190</v>
      </c>
      <c r="C3110" t="s">
        <v>40</v>
      </c>
      <c r="D3110">
        <v>4.7039299999999997</v>
      </c>
      <c r="E3110">
        <v>0.43745669999999998</v>
      </c>
      <c r="F3110" t="s">
        <v>50</v>
      </c>
      <c r="G3110">
        <v>-448.43450000000001</v>
      </c>
      <c r="H3110" s="1">
        <v>2.7395690000000002E-6</v>
      </c>
      <c r="I3110">
        <v>219.46770000000001</v>
      </c>
      <c r="J3110">
        <v>-470.7713</v>
      </c>
      <c r="K3110">
        <v>1.112957</v>
      </c>
      <c r="L3110">
        <v>216.1508</v>
      </c>
      <c r="M3110">
        <v>0.99987130000000002</v>
      </c>
      <c r="N3110">
        <v>0</v>
      </c>
      <c r="O3110">
        <v>-7.9999230000000008E-3</v>
      </c>
      <c r="P3110">
        <v>0.99788250000000001</v>
      </c>
      <c r="Q3110">
        <v>1.959087E-2</v>
      </c>
      <c r="R3110">
        <v>-6.2021920000000001E-2</v>
      </c>
      <c r="S3110">
        <v>3.0407410000000001</v>
      </c>
      <c r="T3110">
        <v>-0.15026349999999999</v>
      </c>
      <c r="U3110">
        <v>0.44842530000000003</v>
      </c>
      <c r="V3110">
        <v>5.3819180000000001E-2</v>
      </c>
      <c r="W3110">
        <v>3.3824489999999999E-2</v>
      </c>
      <c r="X3110">
        <v>0.99797769999999997</v>
      </c>
      <c r="Y3110">
        <v>-0.15361179999999999</v>
      </c>
      <c r="Z3110">
        <v>4.1658789999999999E-3</v>
      </c>
      <c r="AA3110">
        <v>0.98812250000000001</v>
      </c>
      <c r="AB3110">
        <v>18</v>
      </c>
      <c r="AC3110">
        <v>22.336799999999901</v>
      </c>
      <c r="AD3110">
        <v>-1.1129542604310001</v>
      </c>
      <c r="AE3110">
        <v>3.3169</v>
      </c>
      <c r="AF3110">
        <v>-3.4870335465222699</v>
      </c>
      <c r="AG3110">
        <v>-1.1129542604310001</v>
      </c>
      <c r="AH3110">
        <v>22.255487408968499</v>
      </c>
      <c r="AI3110">
        <v>92.828417006428197</v>
      </c>
      <c r="AJ3110">
        <v>98.904817605498494</v>
      </c>
      <c r="AK3110">
        <v>22.554484918772602</v>
      </c>
      <c r="AL3110">
        <v>88.061629832501893</v>
      </c>
      <c r="AM3110">
        <v>86.913129655703699</v>
      </c>
      <c r="AN3110">
        <v>1.0000000449784601</v>
      </c>
    </row>
    <row r="3111" spans="1:40" x14ac:dyDescent="0.25">
      <c r="A3111" t="str">
        <f>"20190312154855906"</f>
        <v>20190312154855906</v>
      </c>
      <c r="B3111" t="str">
        <f>"1552376935898710"</f>
        <v>1552376935898710</v>
      </c>
      <c r="C3111" t="s">
        <v>40</v>
      </c>
      <c r="D3111">
        <v>4.6943570000000001</v>
      </c>
      <c r="E3111">
        <v>0.4392836</v>
      </c>
      <c r="F3111" t="s">
        <v>51</v>
      </c>
      <c r="G3111">
        <v>-437.59309999999999</v>
      </c>
      <c r="H3111">
        <v>5.6802890000000002E-2</v>
      </c>
      <c r="I3111">
        <v>219.62309999999999</v>
      </c>
      <c r="J3111">
        <v>-470.58690000000001</v>
      </c>
      <c r="K3111">
        <v>1.1126370000000001</v>
      </c>
      <c r="L3111">
        <v>216.15649999999999</v>
      </c>
      <c r="M3111">
        <v>0.9999017</v>
      </c>
      <c r="N3111">
        <v>0</v>
      </c>
      <c r="O3111">
        <v>-2.2030370000000001E-3</v>
      </c>
      <c r="P3111">
        <v>0.99819570000000002</v>
      </c>
      <c r="Q3111">
        <v>1.986038E-2</v>
      </c>
      <c r="R3111">
        <v>-5.66645E-2</v>
      </c>
      <c r="S3111">
        <v>3.0279539999999998</v>
      </c>
      <c r="T3111">
        <v>-9.6388100000000004E-2</v>
      </c>
      <c r="U3111">
        <v>0.31689450000000002</v>
      </c>
      <c r="V3111">
        <v>5.4273059999999998E-2</v>
      </c>
      <c r="W3111">
        <v>3.3996529999999997E-2</v>
      </c>
      <c r="X3111">
        <v>0.99794720000000003</v>
      </c>
      <c r="Y3111">
        <v>-0.1062245</v>
      </c>
      <c r="Z3111">
        <v>1.755611E-3</v>
      </c>
      <c r="AA3111">
        <v>0.99434060000000002</v>
      </c>
      <c r="AB3111">
        <v>18</v>
      </c>
      <c r="AC3111">
        <v>32.9938</v>
      </c>
      <c r="AD3111">
        <v>-1.0558341099999999</v>
      </c>
      <c r="AE3111">
        <v>3.4666000000000001</v>
      </c>
      <c r="AF3111">
        <v>-3.5357038684161699</v>
      </c>
      <c r="AG3111">
        <v>-1.0558341099999999</v>
      </c>
      <c r="AH3111">
        <v>32.952704952517003</v>
      </c>
      <c r="AI3111">
        <v>91.824713821628393</v>
      </c>
      <c r="AJ3111">
        <v>96.124196223062697</v>
      </c>
      <c r="AK3111">
        <v>33.1586602745137</v>
      </c>
      <c r="AL3111">
        <v>88.051766851515595</v>
      </c>
      <c r="AM3111">
        <v>86.8870528008447</v>
      </c>
      <c r="AN3111">
        <v>0.99999997154082099</v>
      </c>
    </row>
    <row r="3112" spans="1:40" x14ac:dyDescent="0.25">
      <c r="A3112" t="str">
        <f>"20190312154855930"</f>
        <v>20190312154855930</v>
      </c>
      <c r="B3112" t="str">
        <f>"1552376935919206"</f>
        <v>1552376935919206</v>
      </c>
      <c r="C3112" t="s">
        <v>40</v>
      </c>
      <c r="D3112">
        <v>4.7227389999999998</v>
      </c>
      <c r="E3112">
        <v>0.44006099999999998</v>
      </c>
      <c r="F3112" t="s">
        <v>51</v>
      </c>
      <c r="G3112">
        <v>-438.82170000000002</v>
      </c>
      <c r="H3112" s="1">
        <v>5.7019119999999999E-6</v>
      </c>
      <c r="I3112">
        <v>219.50210000000001</v>
      </c>
      <c r="J3112">
        <v>-470.39</v>
      </c>
      <c r="K3112">
        <v>1.1122860000000001</v>
      </c>
      <c r="L3112">
        <v>216.16300000000001</v>
      </c>
      <c r="M3112">
        <v>0.99989939999999999</v>
      </c>
      <c r="N3112">
        <v>0</v>
      </c>
      <c r="O3112">
        <v>3.2883270000000002E-3</v>
      </c>
      <c r="P3112">
        <v>0.99845620000000002</v>
      </c>
      <c r="Q3112">
        <v>2.07467E-2</v>
      </c>
      <c r="R3112">
        <v>-5.1525099999999997E-2</v>
      </c>
      <c r="S3112">
        <v>3.0256349999999999</v>
      </c>
      <c r="T3112">
        <v>-0.1059779</v>
      </c>
      <c r="U3112">
        <v>0.31866460000000002</v>
      </c>
      <c r="V3112">
        <v>5.4640870000000001E-2</v>
      </c>
      <c r="W3112">
        <v>3.4778080000000003E-2</v>
      </c>
      <c r="X3112">
        <v>0.99790020000000001</v>
      </c>
      <c r="Y3112">
        <v>-0.1014116</v>
      </c>
      <c r="Z3112">
        <v>1.655786E-3</v>
      </c>
      <c r="AA3112">
        <v>0.99484320000000004</v>
      </c>
      <c r="AB3112">
        <v>18</v>
      </c>
      <c r="AC3112">
        <v>31.568299999999901</v>
      </c>
      <c r="AD3112">
        <v>-1.112280298088</v>
      </c>
      <c r="AE3112">
        <v>3.3391000000000299</v>
      </c>
      <c r="AF3112">
        <v>-3.2312980857154798</v>
      </c>
      <c r="AG3112">
        <v>-1.112280298088</v>
      </c>
      <c r="AH3112">
        <v>31.540388086420801</v>
      </c>
      <c r="AI3112">
        <v>92.009206130221102</v>
      </c>
      <c r="AJ3112">
        <v>95.849517591611303</v>
      </c>
      <c r="AK3112">
        <v>31.724982827769999</v>
      </c>
      <c r="AL3112">
        <v>88.006960839103002</v>
      </c>
      <c r="AM3112">
        <v>86.865850872921598</v>
      </c>
      <c r="AN3112">
        <v>0.99999997434144094</v>
      </c>
    </row>
    <row r="3113" spans="1:40" x14ac:dyDescent="0.25">
      <c r="A3113" t="str">
        <f>"20190312154855952"</f>
        <v>20190312154855952</v>
      </c>
      <c r="B3113" t="str">
        <f>"1552376935948486"</f>
        <v>1552376935948486</v>
      </c>
      <c r="C3113" t="s">
        <v>40</v>
      </c>
      <c r="D3113">
        <v>4.7158100000000003</v>
      </c>
      <c r="E3113">
        <v>0.44212249999999997</v>
      </c>
      <c r="F3113" t="s">
        <v>51</v>
      </c>
      <c r="G3113">
        <v>-439.72620000000001</v>
      </c>
      <c r="H3113" s="1">
        <v>6.1047080000000004E-6</v>
      </c>
      <c r="I3113">
        <v>219.4829</v>
      </c>
      <c r="J3113">
        <v>-470.21510000000001</v>
      </c>
      <c r="K3113">
        <v>1.112017</v>
      </c>
      <c r="L3113">
        <v>216.16909999999999</v>
      </c>
      <c r="M3113">
        <v>0.99987610000000005</v>
      </c>
      <c r="N3113">
        <v>0</v>
      </c>
      <c r="O3113">
        <v>7.6914840000000002E-3</v>
      </c>
      <c r="P3113">
        <v>0.99861840000000002</v>
      </c>
      <c r="Q3113">
        <v>2.1072299999999999E-2</v>
      </c>
      <c r="R3113">
        <v>-4.8139729999999999E-2</v>
      </c>
      <c r="S3113">
        <v>3.0238040000000002</v>
      </c>
      <c r="T3113">
        <v>-0.1096838</v>
      </c>
      <c r="U3113">
        <v>0.32737729999999998</v>
      </c>
      <c r="V3113">
        <v>5.5674149999999999E-2</v>
      </c>
      <c r="W3113">
        <v>3.50216E-2</v>
      </c>
      <c r="X3113">
        <v>0.99783460000000002</v>
      </c>
      <c r="Y3113">
        <v>-9.9927070000000007E-2</v>
      </c>
      <c r="Z3113">
        <v>1.5283919999999999E-3</v>
      </c>
      <c r="AA3113">
        <v>0.99499360000000003</v>
      </c>
      <c r="AB3113">
        <v>18</v>
      </c>
      <c r="AC3113">
        <v>30.488900000000001</v>
      </c>
      <c r="AD3113">
        <v>-1.112010895292</v>
      </c>
      <c r="AE3113">
        <v>3.3138000000000098</v>
      </c>
      <c r="AF3113">
        <v>-3.0751320068006902</v>
      </c>
      <c r="AG3113">
        <v>-1.112010895292</v>
      </c>
      <c r="AH3113">
        <v>30.473424307521299</v>
      </c>
      <c r="AI3113">
        <v>92.079311828053605</v>
      </c>
      <c r="AJ3113">
        <v>95.762320768895506</v>
      </c>
      <c r="AK3113">
        <v>30.648370170642501</v>
      </c>
      <c r="AL3113">
        <v>87.992999729513997</v>
      </c>
      <c r="AM3113">
        <v>86.806494921985006</v>
      </c>
      <c r="AN3113">
        <v>1.00000000620097</v>
      </c>
    </row>
    <row r="3114" spans="1:40" x14ac:dyDescent="0.25">
      <c r="A3114" t="str">
        <f>"20190312154855972"</f>
        <v>20190312154855972</v>
      </c>
      <c r="B3114" t="str">
        <f>"1552376935968983"</f>
        <v>1552376935968983</v>
      </c>
      <c r="C3114" t="s">
        <v>40</v>
      </c>
      <c r="D3114">
        <v>4.8222310000000004</v>
      </c>
      <c r="E3114">
        <v>0.4488489</v>
      </c>
      <c r="F3114" t="s">
        <v>50</v>
      </c>
      <c r="G3114">
        <v>-444.79360000000003</v>
      </c>
      <c r="H3114" s="1">
        <v>8.2801400000000002E-7</v>
      </c>
      <c r="I3114">
        <v>218.87379999999999</v>
      </c>
      <c r="J3114">
        <v>-470.04849999999999</v>
      </c>
      <c r="K3114">
        <v>1.1117900000000001</v>
      </c>
      <c r="L3114">
        <v>216.17509999999999</v>
      </c>
      <c r="M3114">
        <v>0.99984059999999997</v>
      </c>
      <c r="N3114">
        <v>0</v>
      </c>
      <c r="O3114">
        <v>1.145856E-2</v>
      </c>
      <c r="P3114">
        <v>0.99873230000000002</v>
      </c>
      <c r="Q3114">
        <v>2.0691669999999999E-2</v>
      </c>
      <c r="R3114">
        <v>-4.5890269999999997E-2</v>
      </c>
      <c r="S3114">
        <v>3.0224000000000002</v>
      </c>
      <c r="T3114">
        <v>-0.13220879999999999</v>
      </c>
      <c r="U3114">
        <v>0.32156370000000001</v>
      </c>
      <c r="V3114">
        <v>5.7207389999999997E-2</v>
      </c>
      <c r="W3114">
        <v>3.4569830000000003E-2</v>
      </c>
      <c r="X3114">
        <v>0.99776359999999997</v>
      </c>
      <c r="Y3114">
        <v>-9.431581E-2</v>
      </c>
      <c r="Z3114">
        <v>1.5565010000000001E-3</v>
      </c>
      <c r="AA3114">
        <v>0.99554109999999996</v>
      </c>
      <c r="AB3114">
        <v>18</v>
      </c>
      <c r="AC3114">
        <v>25.2548999999999</v>
      </c>
      <c r="AD3114">
        <v>-1.111789171986</v>
      </c>
      <c r="AE3114">
        <v>2.6987000000000001</v>
      </c>
      <c r="AF3114">
        <v>-2.40450356003779</v>
      </c>
      <c r="AG3114">
        <v>-1.111789171986</v>
      </c>
      <c r="AH3114">
        <v>25.235812950986698</v>
      </c>
      <c r="AI3114">
        <v>92.511233334476898</v>
      </c>
      <c r="AJ3114">
        <v>95.442790835143697</v>
      </c>
      <c r="AK3114">
        <v>25.374474730137099</v>
      </c>
      <c r="AL3114">
        <v>88.018899876033501</v>
      </c>
      <c r="AM3114">
        <v>86.718503910343998</v>
      </c>
      <c r="AN3114">
        <v>0.99999998005089996</v>
      </c>
    </row>
    <row r="3115" spans="1:40" x14ac:dyDescent="0.25">
      <c r="A3115" t="str">
        <f>"20190312154855996"</f>
        <v>20190312154855996</v>
      </c>
      <c r="B3115" t="str">
        <f>"1552376935988502"</f>
        <v>1552376935988502</v>
      </c>
      <c r="C3115" t="s">
        <v>40</v>
      </c>
      <c r="D3115">
        <v>4.7519489999999998</v>
      </c>
      <c r="E3115">
        <v>0.44951950000000002</v>
      </c>
      <c r="F3115" t="s">
        <v>50</v>
      </c>
      <c r="G3115">
        <v>-452.94409999999999</v>
      </c>
      <c r="H3115" s="1">
        <v>-1.067326E-7</v>
      </c>
      <c r="I3115">
        <v>217.74279999999999</v>
      </c>
      <c r="J3115">
        <v>-469.85520000000002</v>
      </c>
      <c r="K3115">
        <v>1.111518</v>
      </c>
      <c r="L3115">
        <v>216.18219999999999</v>
      </c>
      <c r="M3115">
        <v>0.99979070000000003</v>
      </c>
      <c r="N3115">
        <v>0</v>
      </c>
      <c r="O3115">
        <v>1.524619E-2</v>
      </c>
      <c r="P3115">
        <v>0.99880780000000002</v>
      </c>
      <c r="Q3115">
        <v>2.1275970000000002E-2</v>
      </c>
      <c r="R3115">
        <v>-4.393876E-2</v>
      </c>
      <c r="S3115">
        <v>3.0205989999999998</v>
      </c>
      <c r="T3115">
        <v>-0.1963404</v>
      </c>
      <c r="U3115">
        <v>0.27685549999999998</v>
      </c>
      <c r="V3115">
        <v>5.9058479999999997E-2</v>
      </c>
      <c r="W3115">
        <v>3.5074019999999997E-2</v>
      </c>
      <c r="X3115">
        <v>0.99763820000000003</v>
      </c>
      <c r="Y3115">
        <v>-7.5951679999999994E-2</v>
      </c>
      <c r="Z3115">
        <v>1.472913E-3</v>
      </c>
      <c r="AA3115">
        <v>0.99711039999999995</v>
      </c>
      <c r="AB3115">
        <v>18</v>
      </c>
      <c r="AC3115">
        <v>16.911100000000001</v>
      </c>
      <c r="AD3115">
        <v>-1.1115181067326001</v>
      </c>
      <c r="AE3115">
        <v>1.56059999999999</v>
      </c>
      <c r="AF3115">
        <v>-1.29700890138355</v>
      </c>
      <c r="AG3115">
        <v>-1.1115181067326001</v>
      </c>
      <c r="AH3115">
        <v>16.860705353104802</v>
      </c>
      <c r="AI3115">
        <v>93.760607408233398</v>
      </c>
      <c r="AJ3115">
        <v>94.398811992862406</v>
      </c>
      <c r="AK3115">
        <v>16.9470082786337</v>
      </c>
      <c r="AL3115">
        <v>87.989994495372798</v>
      </c>
      <c r="AM3115">
        <v>86.612141390921096</v>
      </c>
      <c r="AN3115">
        <v>1.0000000345190501</v>
      </c>
    </row>
    <row r="3116" spans="1:40" x14ac:dyDescent="0.25">
      <c r="A3116" t="str">
        <f>"20190312154856017"</f>
        <v>20190312154856017</v>
      </c>
      <c r="B3116" t="str">
        <f>"1552376936008998"</f>
        <v>1552376936008998</v>
      </c>
      <c r="C3116" t="s">
        <v>40</v>
      </c>
      <c r="D3116">
        <v>4.7756049999999997</v>
      </c>
      <c r="E3116">
        <v>0.45007409999999998</v>
      </c>
      <c r="F3116" t="s">
        <v>50</v>
      </c>
      <c r="G3116">
        <v>-451.27980000000002</v>
      </c>
      <c r="H3116" s="1">
        <v>-9.987137E-7</v>
      </c>
      <c r="I3116">
        <v>217.8877</v>
      </c>
      <c r="J3116">
        <v>-469.68329999999997</v>
      </c>
      <c r="K3116">
        <v>1.1112709999999999</v>
      </c>
      <c r="L3116">
        <v>216.18860000000001</v>
      </c>
      <c r="M3116">
        <v>0.99974370000000001</v>
      </c>
      <c r="N3116">
        <v>0</v>
      </c>
      <c r="O3116">
        <v>1.809094E-2</v>
      </c>
      <c r="P3116">
        <v>0.99883489999999997</v>
      </c>
      <c r="Q3116">
        <v>2.267305E-2</v>
      </c>
      <c r="R3116">
        <v>-4.2601760000000002E-2</v>
      </c>
      <c r="S3116">
        <v>3.0196529999999999</v>
      </c>
      <c r="T3116">
        <v>-0.18069160000000001</v>
      </c>
      <c r="U3116">
        <v>0.2772522</v>
      </c>
      <c r="V3116">
        <v>6.0579649999999999E-2</v>
      </c>
      <c r="W3116">
        <v>3.6397350000000002E-2</v>
      </c>
      <c r="X3116">
        <v>0.99749949999999998</v>
      </c>
      <c r="Y3116">
        <v>-7.3301640000000001E-2</v>
      </c>
      <c r="Z3116">
        <v>1.107448E-3</v>
      </c>
      <c r="AA3116">
        <v>0.99730920000000001</v>
      </c>
      <c r="AB3116">
        <v>18</v>
      </c>
      <c r="AC3116">
        <v>18.403499999999902</v>
      </c>
      <c r="AD3116">
        <v>-1.1112719987137001</v>
      </c>
      <c r="AE3116">
        <v>1.6990999999999801</v>
      </c>
      <c r="AF3116">
        <v>-1.36093413470965</v>
      </c>
      <c r="AG3116">
        <v>-1.1112719987137001</v>
      </c>
      <c r="AH3116">
        <v>18.3648329783177</v>
      </c>
      <c r="AI3116">
        <v>93.453348856639295</v>
      </c>
      <c r="AJ3116">
        <v>94.238182452998601</v>
      </c>
      <c r="AK3116">
        <v>18.4486898585143</v>
      </c>
      <c r="AL3116">
        <v>87.914124646568894</v>
      </c>
      <c r="AM3116">
        <v>86.5246094282858</v>
      </c>
      <c r="AN3116">
        <v>0.99999995679069598</v>
      </c>
    </row>
    <row r="3117" spans="1:40" x14ac:dyDescent="0.25">
      <c r="A3117" t="str">
        <f>"20190312154856039"</f>
        <v>20190312154856039</v>
      </c>
      <c r="B3117" t="str">
        <f>"1552376936028518"</f>
        <v>1552376936028518</v>
      </c>
      <c r="C3117" t="s">
        <v>40</v>
      </c>
      <c r="D3117">
        <v>4.7293890000000003</v>
      </c>
      <c r="E3117">
        <v>0.451739</v>
      </c>
      <c r="F3117" t="s">
        <v>50</v>
      </c>
      <c r="G3117">
        <v>-451.71910000000003</v>
      </c>
      <c r="H3117" s="1">
        <v>-7.6274019999999899E-7</v>
      </c>
      <c r="I3117">
        <v>217.8374</v>
      </c>
      <c r="J3117">
        <v>-469.50850000000003</v>
      </c>
      <c r="K3117">
        <v>1.111</v>
      </c>
      <c r="L3117">
        <v>216.19499999999999</v>
      </c>
      <c r="M3117">
        <v>0.99969799999999998</v>
      </c>
      <c r="N3117">
        <v>0</v>
      </c>
      <c r="O3117">
        <v>2.049171E-2</v>
      </c>
      <c r="P3117">
        <v>0.99885769999999996</v>
      </c>
      <c r="Q3117">
        <v>2.3695520000000001E-2</v>
      </c>
      <c r="R3117">
        <v>-4.149655E-2</v>
      </c>
      <c r="S3117">
        <v>3.019501</v>
      </c>
      <c r="T3117">
        <v>-0.18678800000000001</v>
      </c>
      <c r="U3117">
        <v>0.27713009999999999</v>
      </c>
      <c r="V3117">
        <v>6.1894320000000003E-2</v>
      </c>
      <c r="W3117">
        <v>3.7342750000000001E-2</v>
      </c>
      <c r="X3117">
        <v>0.99738389999999999</v>
      </c>
      <c r="Y3117">
        <v>-7.0873510000000001E-2</v>
      </c>
      <c r="Z3117">
        <v>9.2194079999999995E-4</v>
      </c>
      <c r="AA3117">
        <v>0.99748490000000001</v>
      </c>
      <c r="AB3117">
        <v>18</v>
      </c>
      <c r="AC3117">
        <v>17.789400000000001</v>
      </c>
      <c r="AD3117">
        <v>-1.1110007627402001</v>
      </c>
      <c r="AE3117">
        <v>1.6424000000000001</v>
      </c>
      <c r="AF3117">
        <v>-1.27256477592252</v>
      </c>
      <c r="AG3117">
        <v>-1.1110007627402001</v>
      </c>
      <c r="AH3117">
        <v>17.750673537006598</v>
      </c>
      <c r="AI3117">
        <v>93.572281760936306</v>
      </c>
      <c r="AJ3117">
        <v>94.100580205115904</v>
      </c>
      <c r="AK3117">
        <v>17.8308764456802</v>
      </c>
      <c r="AL3117">
        <v>87.859920483607098</v>
      </c>
      <c r="AM3117">
        <v>86.448968626220207</v>
      </c>
      <c r="AN3117">
        <v>1.00000001590251</v>
      </c>
    </row>
    <row r="3118" spans="1:40" x14ac:dyDescent="0.25">
      <c r="A3118" t="str">
        <f>"20190312154856062"</f>
        <v>20190312154856062</v>
      </c>
      <c r="B3118" t="str">
        <f>"1552376936049014"</f>
        <v>1552376936049014</v>
      </c>
      <c r="C3118" t="s">
        <v>40</v>
      </c>
      <c r="D3118">
        <v>4.860792</v>
      </c>
      <c r="E3118">
        <v>0.45265169999999999</v>
      </c>
      <c r="F3118" t="s">
        <v>50</v>
      </c>
      <c r="G3118">
        <v>-450.27350000000001</v>
      </c>
      <c r="H3118" s="1">
        <v>-1.534352E-6</v>
      </c>
      <c r="I3118">
        <v>217.89</v>
      </c>
      <c r="J3118">
        <v>-469.31810000000002</v>
      </c>
      <c r="K3118">
        <v>1.1106879999999999</v>
      </c>
      <c r="L3118">
        <v>216.20179999999999</v>
      </c>
      <c r="M3118">
        <v>0.99965360000000003</v>
      </c>
      <c r="N3118">
        <v>0</v>
      </c>
      <c r="O3118">
        <v>2.257491E-2</v>
      </c>
      <c r="P3118">
        <v>0.9989034</v>
      </c>
      <c r="Q3118">
        <v>2.3951279999999998E-2</v>
      </c>
      <c r="R3118">
        <v>-4.0234680000000002E-2</v>
      </c>
      <c r="S3118">
        <v>3.0186160000000002</v>
      </c>
      <c r="T3118">
        <v>-0.174352799999999</v>
      </c>
      <c r="U3118">
        <v>0.26599119999999998</v>
      </c>
      <c r="V3118">
        <v>6.2741560000000002E-2</v>
      </c>
      <c r="W3118">
        <v>3.751525E-2</v>
      </c>
      <c r="X3118">
        <v>0.99732449999999995</v>
      </c>
      <c r="Y3118">
        <v>-6.5194169999999996E-2</v>
      </c>
      <c r="Z3118">
        <v>5.7756180000000004E-4</v>
      </c>
      <c r="AA3118">
        <v>0.99787239999999999</v>
      </c>
      <c r="AB3118">
        <v>18</v>
      </c>
      <c r="AC3118">
        <v>19.044599999999999</v>
      </c>
      <c r="AD3118">
        <v>-1.11068953435199</v>
      </c>
      <c r="AE3118">
        <v>1.6881999999999899</v>
      </c>
      <c r="AF3118">
        <v>-1.25356971237336</v>
      </c>
      <c r="AG3118">
        <v>-1.11068953435199</v>
      </c>
      <c r="AH3118">
        <v>19.013693553399101</v>
      </c>
      <c r="AI3118">
        <v>93.335921772582694</v>
      </c>
      <c r="AJ3118">
        <v>93.772042344918802</v>
      </c>
      <c r="AK3118">
        <v>19.0873154426721</v>
      </c>
      <c r="AL3118">
        <v>87.8500300570701</v>
      </c>
      <c r="AM3118">
        <v>86.400273472229301</v>
      </c>
      <c r="AN3118">
        <v>1.00000002781702</v>
      </c>
    </row>
    <row r="3119" spans="1:40" x14ac:dyDescent="0.25">
      <c r="A3119" t="str">
        <f>"20190312154856085"</f>
        <v>20190312154856085</v>
      </c>
      <c r="B3119" t="str">
        <f>"1552376936079270"</f>
        <v>1552376936079270</v>
      </c>
      <c r="C3119" t="s">
        <v>40</v>
      </c>
      <c r="D3119">
        <v>4.8298139999999998</v>
      </c>
      <c r="E3119">
        <v>0.49396060000000003</v>
      </c>
      <c r="F3119" t="s">
        <v>50</v>
      </c>
      <c r="G3119">
        <v>-449.4984</v>
      </c>
      <c r="H3119" s="1">
        <v>3.3731489999999998E-6</v>
      </c>
      <c r="I3119">
        <v>217.92590000000001</v>
      </c>
      <c r="J3119">
        <v>-469.14109999999999</v>
      </c>
      <c r="K3119">
        <v>1.1104039999999999</v>
      </c>
      <c r="L3119">
        <v>216.20779999999999</v>
      </c>
      <c r="M3119">
        <v>0.99962070000000003</v>
      </c>
      <c r="N3119">
        <v>0</v>
      </c>
      <c r="O3119">
        <v>2.4003670000000001E-2</v>
      </c>
      <c r="P3119">
        <v>0.99893319999999997</v>
      </c>
      <c r="Q3119">
        <v>2.4708330000000001E-2</v>
      </c>
      <c r="R3119">
        <v>-3.9017419999999997E-2</v>
      </c>
      <c r="S3119">
        <v>3.0179140000000002</v>
      </c>
      <c r="T3119">
        <v>-0.16912249999999901</v>
      </c>
      <c r="U3119">
        <v>0.26252750000000002</v>
      </c>
      <c r="V3119">
        <v>6.2977630000000007E-2</v>
      </c>
      <c r="W3119">
        <v>3.819997E-2</v>
      </c>
      <c r="X3119">
        <v>0.99728360000000005</v>
      </c>
      <c r="Y3119">
        <v>-6.2661770000000006E-2</v>
      </c>
      <c r="Z3119">
        <v>4.0984410000000001E-4</v>
      </c>
      <c r="AA3119">
        <v>0.99803470000000005</v>
      </c>
      <c r="AB3119">
        <v>18</v>
      </c>
      <c r="AC3119">
        <v>19.642699999999898</v>
      </c>
      <c r="AD3119">
        <v>-1.110400626851</v>
      </c>
      <c r="AE3119">
        <v>1.7181000000000199</v>
      </c>
      <c r="AF3119">
        <v>-1.2421257656793301</v>
      </c>
      <c r="AG3119">
        <v>-1.110400626851</v>
      </c>
      <c r="AH3119">
        <v>19.616073938805499</v>
      </c>
      <c r="AI3119">
        <v>93.233403577521997</v>
      </c>
      <c r="AJ3119">
        <v>93.623236329215601</v>
      </c>
      <c r="AK3119">
        <v>19.686701672513799</v>
      </c>
      <c r="AL3119">
        <v>87.810770285014897</v>
      </c>
      <c r="AM3119">
        <v>86.386617244016406</v>
      </c>
      <c r="AN3119">
        <v>0.99999999920868798</v>
      </c>
    </row>
    <row r="3120" spans="1:40" x14ac:dyDescent="0.25">
      <c r="A3120" t="str">
        <f>"20190312154856106"</f>
        <v>20190312154856106</v>
      </c>
      <c r="B3120" t="str">
        <f>"1552376936098790"</f>
        <v>1552376936098790</v>
      </c>
      <c r="C3120" t="s">
        <v>40</v>
      </c>
      <c r="D3120">
        <v>4.8386969999999998</v>
      </c>
      <c r="E3120">
        <v>0.49977450000000001</v>
      </c>
      <c r="F3120" t="s">
        <v>50</v>
      </c>
      <c r="G3120">
        <v>-451.42320000000001</v>
      </c>
      <c r="H3120" s="1">
        <v>-8.3303410000000004E-7</v>
      </c>
      <c r="I3120">
        <v>215.84229999999999</v>
      </c>
      <c r="J3120">
        <v>-468.96300000000002</v>
      </c>
      <c r="K3120">
        <v>1.110158</v>
      </c>
      <c r="L3120">
        <v>216.21350000000001</v>
      </c>
      <c r="M3120">
        <v>0.9995984</v>
      </c>
      <c r="N3120">
        <v>0</v>
      </c>
      <c r="O3120">
        <v>2.4924669999999999E-2</v>
      </c>
      <c r="P3120">
        <v>0.99895869999999998</v>
      </c>
      <c r="Q3120">
        <v>2.7013369999999998E-2</v>
      </c>
      <c r="R3120">
        <v>-3.6769459999999997E-2</v>
      </c>
      <c r="S3120">
        <v>3.0054020000000001</v>
      </c>
      <c r="T3120">
        <v>-0.18835209999999999</v>
      </c>
      <c r="U3120">
        <v>-6.2011719999999999E-2</v>
      </c>
      <c r="V3120">
        <v>6.167574E-2</v>
      </c>
      <c r="W3120">
        <v>4.0442230000000003E-2</v>
      </c>
      <c r="X3120">
        <v>0.99727650000000001</v>
      </c>
      <c r="Y3120">
        <v>4.540632E-2</v>
      </c>
      <c r="Z3120">
        <v>-2.9817730000000001E-3</v>
      </c>
      <c r="AA3120">
        <v>0.99896410000000002</v>
      </c>
      <c r="AB3120">
        <v>18</v>
      </c>
      <c r="AC3120">
        <v>17.5398</v>
      </c>
      <c r="AD3120">
        <v>-1.1101588330340999</v>
      </c>
      <c r="AE3120">
        <v>-0.37120000000001602</v>
      </c>
      <c r="AF3120">
        <v>0.80507437193979103</v>
      </c>
      <c r="AG3120">
        <v>-1.1101588330340999</v>
      </c>
      <c r="AH3120">
        <v>17.455201234590401</v>
      </c>
      <c r="AI3120">
        <v>93.635282263291899</v>
      </c>
      <c r="AJ3120">
        <v>87.359257201112499</v>
      </c>
      <c r="AK3120">
        <v>17.508987621189402</v>
      </c>
      <c r="AL3120">
        <v>87.682198661816699</v>
      </c>
      <c r="AM3120">
        <v>86.461097079199405</v>
      </c>
      <c r="AN3120">
        <v>0.99999994416208304</v>
      </c>
    </row>
    <row r="3121" spans="1:40" x14ac:dyDescent="0.25">
      <c r="A3121" t="str">
        <f>"20190312154856130"</f>
        <v>20190312154856130</v>
      </c>
      <c r="B3121" t="str">
        <f>"1552376936119286"</f>
        <v>1552376936119286</v>
      </c>
      <c r="C3121" t="s">
        <v>40</v>
      </c>
      <c r="D3121">
        <v>4.8298800000000002</v>
      </c>
      <c r="E3121">
        <v>0.50288840000000001</v>
      </c>
      <c r="F3121" t="s">
        <v>50</v>
      </c>
      <c r="G3121">
        <v>-448.75020000000001</v>
      </c>
      <c r="H3121" s="1">
        <v>3.0798869999999998E-6</v>
      </c>
      <c r="I3121">
        <v>215.52610000000001</v>
      </c>
      <c r="J3121">
        <v>-468.77120000000002</v>
      </c>
      <c r="K3121">
        <v>1.1099300000000001</v>
      </c>
      <c r="L3121">
        <v>216.2191</v>
      </c>
      <c r="M3121">
        <v>0.99958729999999996</v>
      </c>
      <c r="N3121">
        <v>0</v>
      </c>
      <c r="O3121">
        <v>2.5374150000000002E-2</v>
      </c>
      <c r="P3121">
        <v>0.99899289999999996</v>
      </c>
      <c r="Q3121">
        <v>2.8996839999999999E-2</v>
      </c>
      <c r="R3121">
        <v>-3.4237070000000001E-2</v>
      </c>
      <c r="S3121">
        <v>3.0038450000000001</v>
      </c>
      <c r="T3121">
        <v>-0.16498199999999999</v>
      </c>
      <c r="U3121">
        <v>-0.1021576</v>
      </c>
      <c r="V3121">
        <v>5.9618900000000002E-2</v>
      </c>
      <c r="W3121">
        <v>4.2372239999999999E-2</v>
      </c>
      <c r="X3121">
        <v>0.99732149999999997</v>
      </c>
      <c r="Y3121">
        <v>5.9212790000000001E-2</v>
      </c>
      <c r="Z3121">
        <v>-3.0167499999999999E-3</v>
      </c>
      <c r="AA3121">
        <v>0.99824080000000004</v>
      </c>
      <c r="AB3121">
        <v>18</v>
      </c>
      <c r="AC3121">
        <v>20.021000000000001</v>
      </c>
      <c r="AD3121">
        <v>-1.10992692011299</v>
      </c>
      <c r="AE3121">
        <v>-0.69299999999998296</v>
      </c>
      <c r="AF3121">
        <v>1.19716382171229</v>
      </c>
      <c r="AG3121">
        <v>-1.10992692011299</v>
      </c>
      <c r="AH3121">
        <v>19.935769663156599</v>
      </c>
      <c r="AI3121">
        <v>93.180942632376201</v>
      </c>
      <c r="AJ3121">
        <v>86.563455415520494</v>
      </c>
      <c r="AK3121">
        <v>20.0025011197711</v>
      </c>
      <c r="AL3121">
        <v>87.571522418420798</v>
      </c>
      <c r="AM3121">
        <v>86.578985716954307</v>
      </c>
      <c r="AN3121">
        <v>0.99999999716103805</v>
      </c>
    </row>
    <row r="3122" spans="1:40" x14ac:dyDescent="0.25">
      <c r="A3122" t="str">
        <f>"20190312154856153"</f>
        <v>20190312154856153</v>
      </c>
      <c r="B3122" t="str">
        <f>"1552376936138806"</f>
        <v>1552376936138806</v>
      </c>
      <c r="C3122" t="s">
        <v>40</v>
      </c>
      <c r="D3122">
        <v>4.8445859999999996</v>
      </c>
      <c r="E3122">
        <v>0.50487820000000005</v>
      </c>
      <c r="F3122" t="s">
        <v>50</v>
      </c>
      <c r="G3122">
        <v>-446.89030000000002</v>
      </c>
      <c r="H3122" s="1">
        <v>2.0977919999999998E-6</v>
      </c>
      <c r="I3122">
        <v>215.35050000000001</v>
      </c>
      <c r="J3122">
        <v>-468.584</v>
      </c>
      <c r="K3122">
        <v>1.1097699999999999</v>
      </c>
      <c r="L3122">
        <v>216.22409999999999</v>
      </c>
      <c r="M3122">
        <v>0.99958630000000004</v>
      </c>
      <c r="N3122">
        <v>0</v>
      </c>
      <c r="O3122">
        <v>2.542409E-2</v>
      </c>
      <c r="P3122">
        <v>0.9990831</v>
      </c>
      <c r="Q3122">
        <v>2.915715E-2</v>
      </c>
      <c r="R3122">
        <v>-3.1355069999999999E-2</v>
      </c>
      <c r="S3122">
        <v>3.0033259999999999</v>
      </c>
      <c r="T3122">
        <v>-0.15234629999999999</v>
      </c>
      <c r="U3122">
        <v>-0.1192169</v>
      </c>
      <c r="V3122">
        <v>5.6806509999999998E-2</v>
      </c>
      <c r="W3122">
        <v>4.249754E-2</v>
      </c>
      <c r="X3122">
        <v>0.99748029999999999</v>
      </c>
      <c r="Y3122">
        <v>6.4941250000000006E-2</v>
      </c>
      <c r="Z3122">
        <v>-2.9338929999999999E-3</v>
      </c>
      <c r="AA3122">
        <v>0.99788480000000002</v>
      </c>
      <c r="AB3122">
        <v>18</v>
      </c>
      <c r="AC3122">
        <v>21.6936999999999</v>
      </c>
      <c r="AD3122">
        <v>-1.109767902208</v>
      </c>
      <c r="AE3122">
        <v>-0.87359999999998195</v>
      </c>
      <c r="AF3122">
        <v>1.4211968287864301</v>
      </c>
      <c r="AG3122">
        <v>-1.109767902208</v>
      </c>
      <c r="AH3122">
        <v>21.608018106260399</v>
      </c>
      <c r="AI3122">
        <v>92.933747575266594</v>
      </c>
      <c r="AJ3122">
        <v>86.236977139550902</v>
      </c>
      <c r="AK3122">
        <v>21.683123199931401</v>
      </c>
      <c r="AL3122">
        <v>87.564336754248004</v>
      </c>
      <c r="AM3122">
        <v>86.740525738208504</v>
      </c>
      <c r="AN3122">
        <v>0.99999998468625995</v>
      </c>
    </row>
    <row r="3123" spans="1:40" x14ac:dyDescent="0.25">
      <c r="A3123" t="str">
        <f>"20190312154856172"</f>
        <v>20190312154856172</v>
      </c>
      <c r="B3123" t="str">
        <f>"1552376936158327"</f>
        <v>1552376936158327</v>
      </c>
      <c r="C3123" t="s">
        <v>40</v>
      </c>
      <c r="D3123">
        <v>4.8538990000000002</v>
      </c>
      <c r="E3123">
        <v>0.50651089999999999</v>
      </c>
      <c r="F3123" t="s">
        <v>50</v>
      </c>
      <c r="G3123">
        <v>-445.98360000000002</v>
      </c>
      <c r="H3123" s="1">
        <v>1.618436E-6</v>
      </c>
      <c r="I3123">
        <v>215.27889999999999</v>
      </c>
      <c r="J3123">
        <v>-468.42610000000002</v>
      </c>
      <c r="K3123">
        <v>1.109675</v>
      </c>
      <c r="L3123">
        <v>216.22810000000001</v>
      </c>
      <c r="M3123">
        <v>0.99959149999999997</v>
      </c>
      <c r="N3123">
        <v>0</v>
      </c>
      <c r="O3123">
        <v>2.522719E-2</v>
      </c>
      <c r="P3123">
        <v>0.99917849999999997</v>
      </c>
      <c r="Q3123">
        <v>2.8469499999999998E-2</v>
      </c>
      <c r="R3123">
        <v>-2.884778E-2</v>
      </c>
      <c r="S3123">
        <v>3.0031430000000001</v>
      </c>
      <c r="T3123">
        <v>-0.147466299999999</v>
      </c>
      <c r="U3123">
        <v>-0.12561040000000001</v>
      </c>
      <c r="V3123">
        <v>5.4113580000000001E-2</v>
      </c>
      <c r="W3123">
        <v>4.179244E-2</v>
      </c>
      <c r="X3123">
        <v>0.99765979999999999</v>
      </c>
      <c r="Y3123">
        <v>6.6873100000000005E-2</v>
      </c>
      <c r="Z3123">
        <v>-2.8778100000000002E-3</v>
      </c>
      <c r="AA3123">
        <v>0.99775729999999996</v>
      </c>
      <c r="AB3123">
        <v>18</v>
      </c>
      <c r="AC3123">
        <v>22.4424999999999</v>
      </c>
      <c r="AD3123">
        <v>-1.1096733815640001</v>
      </c>
      <c r="AE3123">
        <v>-0.94920000000001803</v>
      </c>
      <c r="AF3123">
        <v>1.51142158537017</v>
      </c>
      <c r="AG3123">
        <v>-1.1096733815640001</v>
      </c>
      <c r="AH3123">
        <v>22.356847447069601</v>
      </c>
      <c r="AI3123">
        <v>92.835061051099103</v>
      </c>
      <c r="AJ3123">
        <v>86.132437246841505</v>
      </c>
      <c r="AK3123">
        <v>22.435338151987299</v>
      </c>
      <c r="AL3123">
        <v>87.604771929997398</v>
      </c>
      <c r="AM3123">
        <v>86.8952898244561</v>
      </c>
      <c r="AN3123">
        <v>0.99999998205880403</v>
      </c>
    </row>
    <row r="3124" spans="1:40" x14ac:dyDescent="0.25">
      <c r="A3124" t="str">
        <f>"20190312154856196"</f>
        <v>20190312154856196</v>
      </c>
      <c r="B3124" t="str">
        <f>"1552376936188582"</f>
        <v>1552376936188582</v>
      </c>
      <c r="C3124" t="s">
        <v>40</v>
      </c>
      <c r="D3124">
        <v>4.8742910000000004</v>
      </c>
      <c r="E3124">
        <v>0.5080479</v>
      </c>
      <c r="F3124" t="s">
        <v>50</v>
      </c>
      <c r="G3124">
        <v>-445.70650000000001</v>
      </c>
      <c r="H3124" s="1">
        <v>1.472581E-6</v>
      </c>
      <c r="I3124">
        <v>215.2415</v>
      </c>
      <c r="J3124">
        <v>-468.23770000000002</v>
      </c>
      <c r="K3124">
        <v>1.1095969999999999</v>
      </c>
      <c r="L3124">
        <v>216.23249999999999</v>
      </c>
      <c r="M3124">
        <v>0.99960380000000004</v>
      </c>
      <c r="N3124">
        <v>0</v>
      </c>
      <c r="O3124">
        <v>2.4744229999999999E-2</v>
      </c>
      <c r="P3124">
        <v>0.99925920000000001</v>
      </c>
      <c r="Q3124">
        <v>2.7781400000000001E-2</v>
      </c>
      <c r="R3124">
        <v>-2.6641089999999999E-2</v>
      </c>
      <c r="S3124">
        <v>3.002869</v>
      </c>
      <c r="T3124">
        <v>-0.14666589999999999</v>
      </c>
      <c r="U3124">
        <v>-0.13040160000000001</v>
      </c>
      <c r="V3124">
        <v>5.1432369999999998E-2</v>
      </c>
      <c r="W3124">
        <v>4.1090189999999999E-2</v>
      </c>
      <c r="X3124">
        <v>0.99783080000000002</v>
      </c>
      <c r="Y3124">
        <v>6.7984290000000003E-2</v>
      </c>
      <c r="Z3124">
        <v>-2.8659200000000001E-3</v>
      </c>
      <c r="AA3124">
        <v>0.99768230000000002</v>
      </c>
      <c r="AB3124">
        <v>18</v>
      </c>
      <c r="AC3124">
        <v>22.531199999999998</v>
      </c>
      <c r="AD3124">
        <v>-1.1095955274189999</v>
      </c>
      <c r="AE3124">
        <v>-0.990999999999985</v>
      </c>
      <c r="AF3124">
        <v>1.5445252208348501</v>
      </c>
      <c r="AG3124">
        <v>-1.1095955274189999</v>
      </c>
      <c r="AH3124">
        <v>22.445445055855501</v>
      </c>
      <c r="AI3124">
        <v>92.8234595277452</v>
      </c>
      <c r="AJ3124">
        <v>86.063544600544006</v>
      </c>
      <c r="AK3124">
        <v>22.525868776757299</v>
      </c>
      <c r="AL3124">
        <v>87.645042527266796</v>
      </c>
      <c r="AM3124">
        <v>87.049347300166701</v>
      </c>
      <c r="AN3124">
        <v>0.99999999891334601</v>
      </c>
    </row>
    <row r="3125" spans="1:40" x14ac:dyDescent="0.25">
      <c r="A3125" t="str">
        <f>"20190312154856216"</f>
        <v>20190312154856216</v>
      </c>
      <c r="B3125" t="str">
        <f>"1552376936209078"</f>
        <v>1552376936209078</v>
      </c>
      <c r="C3125" t="s">
        <v>40</v>
      </c>
      <c r="D3125">
        <v>4.8369679999999997</v>
      </c>
      <c r="E3125">
        <v>0.50911340000000005</v>
      </c>
      <c r="F3125" t="s">
        <v>50</v>
      </c>
      <c r="G3125">
        <v>-446.6798</v>
      </c>
      <c r="H3125" s="1">
        <v>1.989538E-6</v>
      </c>
      <c r="I3125">
        <v>215.2645</v>
      </c>
      <c r="J3125">
        <v>-468.06990000000002</v>
      </c>
      <c r="K3125">
        <v>1.10954</v>
      </c>
      <c r="L3125">
        <v>216.23609999999999</v>
      </c>
      <c r="M3125">
        <v>0.99961869999999997</v>
      </c>
      <c r="N3125">
        <v>0</v>
      </c>
      <c r="O3125">
        <v>2.413908E-2</v>
      </c>
      <c r="P3125">
        <v>0.99928720000000004</v>
      </c>
      <c r="Q3125">
        <v>2.7352100000000001E-2</v>
      </c>
      <c r="R3125">
        <v>-2.601707E-2</v>
      </c>
      <c r="S3125">
        <v>3.0029300000000001</v>
      </c>
      <c r="T3125">
        <v>-0.15456239999999999</v>
      </c>
      <c r="U3125">
        <v>-0.13484189999999999</v>
      </c>
      <c r="V3125">
        <v>5.0208999999999997E-2</v>
      </c>
      <c r="W3125">
        <v>4.0649480000000002E-2</v>
      </c>
      <c r="X3125">
        <v>0.9979112</v>
      </c>
      <c r="Y3125">
        <v>6.8839269999999994E-2</v>
      </c>
      <c r="Z3125">
        <v>-3.0107290000000002E-3</v>
      </c>
      <c r="AA3125">
        <v>0.99762320000000004</v>
      </c>
      <c r="AB3125">
        <v>18</v>
      </c>
      <c r="AC3125">
        <v>21.3901</v>
      </c>
      <c r="AD3125">
        <v>-1.1095380104620001</v>
      </c>
      <c r="AE3125">
        <v>-0.97159999999999502</v>
      </c>
      <c r="AF3125">
        <v>1.48371662776894</v>
      </c>
      <c r="AG3125">
        <v>-1.1095380104620001</v>
      </c>
      <c r="AH3125">
        <v>21.3032087185811</v>
      </c>
      <c r="AI3125">
        <v>92.974258164529402</v>
      </c>
      <c r="AJ3125">
        <v>86.015922089415795</v>
      </c>
      <c r="AK3125">
        <v>21.3836196967587</v>
      </c>
      <c r="AL3125">
        <v>87.670314569637696</v>
      </c>
      <c r="AM3125">
        <v>87.119643554476895</v>
      </c>
      <c r="AN3125">
        <v>1.00000004349535</v>
      </c>
    </row>
    <row r="3126" spans="1:40" x14ac:dyDescent="0.25">
      <c r="A3126" t="str">
        <f>"20190312154856240"</f>
        <v>20190312154856240</v>
      </c>
      <c r="B3126" t="str">
        <f>"1552376936229574"</f>
        <v>1552376936229574</v>
      </c>
      <c r="C3126" t="s">
        <v>40</v>
      </c>
      <c r="D3126">
        <v>4.8626110000000002</v>
      </c>
      <c r="E3126">
        <v>0.51001830000000004</v>
      </c>
      <c r="F3126" t="s">
        <v>50</v>
      </c>
      <c r="G3126">
        <v>-446.4366</v>
      </c>
      <c r="H3126" s="1">
        <v>1.862064E-6</v>
      </c>
      <c r="I3126">
        <v>215.22069999999999</v>
      </c>
      <c r="J3126">
        <v>-467.88099999999997</v>
      </c>
      <c r="K3126">
        <v>1.109477</v>
      </c>
      <c r="L3126">
        <v>216.2398</v>
      </c>
      <c r="M3126">
        <v>0.99963860000000004</v>
      </c>
      <c r="N3126">
        <v>0</v>
      </c>
      <c r="O3126">
        <v>2.330962E-2</v>
      </c>
      <c r="P3126">
        <v>0.99927690000000002</v>
      </c>
      <c r="Q3126">
        <v>2.6848170000000001E-2</v>
      </c>
      <c r="R3126">
        <v>-2.693512E-2</v>
      </c>
      <c r="S3126">
        <v>3.0026860000000002</v>
      </c>
      <c r="T3126">
        <v>-0.15400349999999999</v>
      </c>
      <c r="U3126">
        <v>-0.1409454</v>
      </c>
      <c r="V3126">
        <v>5.0302189999999997E-2</v>
      </c>
      <c r="W3126">
        <v>4.013063E-2</v>
      </c>
      <c r="X3126">
        <v>0.99792749999999997</v>
      </c>
      <c r="Y3126">
        <v>7.0039030000000002E-2</v>
      </c>
      <c r="Z3126">
        <v>-2.9882009999999998E-3</v>
      </c>
      <c r="AA3126">
        <v>0.99753979999999998</v>
      </c>
      <c r="AB3126">
        <v>18</v>
      </c>
      <c r="AC3126">
        <v>21.444399999999899</v>
      </c>
      <c r="AD3126">
        <v>-1.1094751379359999</v>
      </c>
      <c r="AE3126">
        <v>-1.0190999999999999</v>
      </c>
      <c r="AF3126">
        <v>1.51468340754218</v>
      </c>
      <c r="AG3126">
        <v>-1.1094751379359999</v>
      </c>
      <c r="AH3126">
        <v>21.357774874997901</v>
      </c>
      <c r="AI3126">
        <v>92.966241716845801</v>
      </c>
      <c r="AJ3126">
        <v>85.943402004760202</v>
      </c>
      <c r="AK3126">
        <v>21.4401433884635</v>
      </c>
      <c r="AL3126">
        <v>87.700066745948604</v>
      </c>
      <c r="AM3126">
        <v>87.114353575175699</v>
      </c>
      <c r="AN3126">
        <v>1.00000003651962</v>
      </c>
    </row>
    <row r="3127" spans="1:40" x14ac:dyDescent="0.25">
      <c r="A3127" t="str">
        <f>"20190312154856262"</f>
        <v>20190312154856262</v>
      </c>
      <c r="B3127" t="str">
        <f>"1552376936249094"</f>
        <v>1552376936249094</v>
      </c>
      <c r="C3127" t="s">
        <v>40</v>
      </c>
      <c r="D3127">
        <v>4.8305400000000001</v>
      </c>
      <c r="E3127">
        <v>0.51105769999999995</v>
      </c>
      <c r="F3127" t="s">
        <v>50</v>
      </c>
      <c r="G3127">
        <v>-446.11860000000001</v>
      </c>
      <c r="H3127" s="1">
        <v>1.695986E-6</v>
      </c>
      <c r="I3127">
        <v>215.14769999999999</v>
      </c>
      <c r="J3127">
        <v>-467.7056</v>
      </c>
      <c r="K3127">
        <v>1.1094349999999999</v>
      </c>
      <c r="L3127">
        <v>216.24289999999999</v>
      </c>
      <c r="M3127">
        <v>0.99965879999999996</v>
      </c>
      <c r="N3127">
        <v>0</v>
      </c>
      <c r="O3127">
        <v>2.2420320000000001E-2</v>
      </c>
      <c r="P3127">
        <v>0.99922619999999895</v>
      </c>
      <c r="Q3127">
        <v>2.6266109999999999E-2</v>
      </c>
      <c r="R3127">
        <v>-2.9278450000000001E-2</v>
      </c>
      <c r="S3127">
        <v>3.0022579999999999</v>
      </c>
      <c r="T3127">
        <v>-0.1530591</v>
      </c>
      <c r="U3127">
        <v>-0.150665299999999</v>
      </c>
      <c r="V3127">
        <v>5.1758970000000001E-2</v>
      </c>
      <c r="W3127">
        <v>3.953363E-2</v>
      </c>
      <c r="X3127">
        <v>0.99787680000000001</v>
      </c>
      <c r="Y3127">
        <v>7.237963E-2</v>
      </c>
      <c r="Z3127">
        <v>-2.9844009999999998E-3</v>
      </c>
      <c r="AA3127">
        <v>0.9973727</v>
      </c>
      <c r="AB3127">
        <v>18</v>
      </c>
      <c r="AC3127">
        <v>21.5869999999999</v>
      </c>
      <c r="AD3127">
        <v>-1.1094333040140001</v>
      </c>
      <c r="AE3127">
        <v>-1.0952</v>
      </c>
      <c r="AF3127">
        <v>1.57480671354956</v>
      </c>
      <c r="AG3127">
        <v>-1.1094333040140001</v>
      </c>
      <c r="AH3127">
        <v>21.5003726785528</v>
      </c>
      <c r="AI3127">
        <v>92.946001902109302</v>
      </c>
      <c r="AJ3127">
        <v>85.810819712127</v>
      </c>
      <c r="AK3127">
        <v>21.586497718660901</v>
      </c>
      <c r="AL3127">
        <v>87.734299418155999</v>
      </c>
      <c r="AM3127">
        <v>87.030780462237104</v>
      </c>
      <c r="AN3127">
        <v>1.00000000342733</v>
      </c>
    </row>
    <row r="3128" spans="1:40" x14ac:dyDescent="0.25">
      <c r="A3128" t="str">
        <f>"20190312154856286"</f>
        <v>20190312154856286</v>
      </c>
      <c r="B3128" t="str">
        <f>"1552376936278374"</f>
        <v>1552376936278374</v>
      </c>
      <c r="C3128" t="s">
        <v>40</v>
      </c>
      <c r="D3128">
        <v>4.814419</v>
      </c>
      <c r="E3128">
        <v>0.51229619999999998</v>
      </c>
      <c r="F3128" t="s">
        <v>50</v>
      </c>
      <c r="G3128">
        <v>-445.86169999999998</v>
      </c>
      <c r="H3128" s="1">
        <v>1.564077E-6</v>
      </c>
      <c r="I3128">
        <v>215.0376</v>
      </c>
      <c r="J3128">
        <v>-467.52120000000002</v>
      </c>
      <c r="K3128">
        <v>1.109399</v>
      </c>
      <c r="L3128">
        <v>216.2458</v>
      </c>
      <c r="M3128">
        <v>0.99968190000000001</v>
      </c>
      <c r="N3128">
        <v>0</v>
      </c>
      <c r="O3128">
        <v>2.1373900000000001E-2</v>
      </c>
      <c r="P3128">
        <v>0.99916769999999999</v>
      </c>
      <c r="Q3128">
        <v>2.55307E-2</v>
      </c>
      <c r="R3128">
        <v>-3.1815360000000001E-2</v>
      </c>
      <c r="S3128">
        <v>3.0014340000000002</v>
      </c>
      <c r="T3128">
        <v>-0.15243979999999999</v>
      </c>
      <c r="U3128">
        <v>-0.16561890000000001</v>
      </c>
      <c r="V3128">
        <v>5.325071E-2</v>
      </c>
      <c r="W3128">
        <v>3.8785090000000001E-2</v>
      </c>
      <c r="X3128">
        <v>0.99782769999999998</v>
      </c>
      <c r="Y3128">
        <v>7.6301309999999997E-2</v>
      </c>
      <c r="Z3128">
        <v>-3.0191480000000001E-3</v>
      </c>
      <c r="AA3128">
        <v>0.99708019999999997</v>
      </c>
      <c r="AB3128">
        <v>18</v>
      </c>
      <c r="AC3128">
        <v>21.659500000000001</v>
      </c>
      <c r="AD3128">
        <v>-1.1093974359229899</v>
      </c>
      <c r="AE3128">
        <v>-1.2081999999999999</v>
      </c>
      <c r="AF3128">
        <v>1.6665548172117599</v>
      </c>
      <c r="AG3128">
        <v>-1.1093974359229899</v>
      </c>
      <c r="AH3128">
        <v>21.572305862274501</v>
      </c>
      <c r="AI3128">
        <v>92.935221820843097</v>
      </c>
      <c r="AJ3128">
        <v>85.582425301181999</v>
      </c>
      <c r="AK3128">
        <v>21.665007450844001</v>
      </c>
      <c r="AL3128">
        <v>87.7772205603289</v>
      </c>
      <c r="AM3128">
        <v>86.945214664251907</v>
      </c>
      <c r="AN3128">
        <v>1.00000002010455</v>
      </c>
    </row>
    <row r="3129" spans="1:40" x14ac:dyDescent="0.25">
      <c r="A3129" t="str">
        <f>"20190312154856306"</f>
        <v>20190312154856306</v>
      </c>
      <c r="B3129" t="str">
        <f>"1552376936298870"</f>
        <v>1552376936298870</v>
      </c>
      <c r="C3129" t="s">
        <v>40</v>
      </c>
      <c r="D3129">
        <v>4.808738</v>
      </c>
      <c r="E3129">
        <v>0.51297399999999904</v>
      </c>
      <c r="F3129" t="s">
        <v>50</v>
      </c>
      <c r="G3129">
        <v>-445.65730000000002</v>
      </c>
      <c r="H3129" s="1">
        <v>1.4608170000000001E-6</v>
      </c>
      <c r="I3129">
        <v>214.9127</v>
      </c>
      <c r="J3129">
        <v>-467.34879999999998</v>
      </c>
      <c r="K3129">
        <v>1.10938799999999</v>
      </c>
      <c r="L3129">
        <v>216.24809999999999</v>
      </c>
      <c r="M3129">
        <v>0.9997045</v>
      </c>
      <c r="N3129">
        <v>0</v>
      </c>
      <c r="O3129">
        <v>2.0293019999999998E-2</v>
      </c>
      <c r="P3129">
        <v>0.99908459999999999</v>
      </c>
      <c r="Q3129">
        <v>2.537375E-2</v>
      </c>
      <c r="R3129">
        <v>-3.4448880000000001E-2</v>
      </c>
      <c r="S3129">
        <v>3.0005489999999999</v>
      </c>
      <c r="T3129">
        <v>-0.15225139999999901</v>
      </c>
      <c r="U3129">
        <v>-0.1829529</v>
      </c>
      <c r="V3129">
        <v>5.4802620000000003E-2</v>
      </c>
      <c r="W3129">
        <v>3.8617850000000002E-2</v>
      </c>
      <c r="X3129">
        <v>0.99775020000000003</v>
      </c>
      <c r="Y3129">
        <v>8.0974950000000004E-2</v>
      </c>
      <c r="Z3129">
        <v>-3.0794350000000002E-3</v>
      </c>
      <c r="AA3129">
        <v>0.99671140000000003</v>
      </c>
      <c r="AB3129">
        <v>18</v>
      </c>
      <c r="AC3129">
        <v>21.691499999999898</v>
      </c>
      <c r="AD3129">
        <v>-1.10938653918299</v>
      </c>
      <c r="AE3129">
        <v>-1.3353999999999899</v>
      </c>
      <c r="AF3129">
        <v>1.7707362151103401</v>
      </c>
      <c r="AG3129">
        <v>-1.10938653918299</v>
      </c>
      <c r="AH3129">
        <v>21.603635564275798</v>
      </c>
      <c r="AI3129">
        <v>92.929853795265004</v>
      </c>
      <c r="AJ3129">
        <v>85.314241327422707</v>
      </c>
      <c r="AK3129">
        <v>21.704453801717001</v>
      </c>
      <c r="AL3129">
        <v>87.786809986669695</v>
      </c>
      <c r="AM3129">
        <v>86.856119996380698</v>
      </c>
      <c r="AN3129">
        <v>1.00000006354876</v>
      </c>
    </row>
    <row r="3130" spans="1:40" x14ac:dyDescent="0.25">
      <c r="A3130" t="str">
        <f>"20190312154856334"</f>
        <v>20190312154856334</v>
      </c>
      <c r="B3130" t="str">
        <f>"1552376936329126"</f>
        <v>1552376936329126</v>
      </c>
      <c r="C3130" t="s">
        <v>40</v>
      </c>
      <c r="D3130">
        <v>4.7644719999999996</v>
      </c>
      <c r="E3130">
        <v>0.51387529999999904</v>
      </c>
      <c r="F3130" t="s">
        <v>50</v>
      </c>
      <c r="G3130">
        <v>-445.31920000000002</v>
      </c>
      <c r="H3130" s="1">
        <v>1.2854499999999999E-6</v>
      </c>
      <c r="I3130">
        <v>214.80789999999999</v>
      </c>
      <c r="J3130">
        <v>-467.13760000000002</v>
      </c>
      <c r="K3130">
        <v>1.109416</v>
      </c>
      <c r="L3130">
        <v>216.25059999999999</v>
      </c>
      <c r="M3130">
        <v>0.99973230000000002</v>
      </c>
      <c r="N3130">
        <v>0</v>
      </c>
      <c r="O3130">
        <v>1.887428E-2</v>
      </c>
      <c r="P3130">
        <v>0.99897000000000002</v>
      </c>
      <c r="Q3130">
        <v>2.567444E-2</v>
      </c>
      <c r="R3130">
        <v>-3.7415909999999997E-2</v>
      </c>
      <c r="S3130">
        <v>2.9998170000000002</v>
      </c>
      <c r="T3130">
        <v>-0.15106739999999999</v>
      </c>
      <c r="U3130">
        <v>-0.196106</v>
      </c>
      <c r="V3130">
        <v>5.634894E-2</v>
      </c>
      <c r="W3130">
        <v>3.8912790000000003E-2</v>
      </c>
      <c r="X3130">
        <v>0.99765250000000005</v>
      </c>
      <c r="Y3130">
        <v>8.3927790000000002E-2</v>
      </c>
      <c r="Z3130">
        <v>-3.0587320000000002E-3</v>
      </c>
      <c r="AA3130">
        <v>0.9964672</v>
      </c>
      <c r="AB3130">
        <v>18</v>
      </c>
      <c r="AC3130">
        <v>21.8184</v>
      </c>
      <c r="AD3130">
        <v>-1.10941471455</v>
      </c>
      <c r="AE3130">
        <v>-1.4427000000000001</v>
      </c>
      <c r="AF3130">
        <v>1.8495253259393001</v>
      </c>
      <c r="AG3130">
        <v>-1.10941471455</v>
      </c>
      <c r="AH3130">
        <v>21.73133885603</v>
      </c>
      <c r="AI3130">
        <v>92.911981939396995</v>
      </c>
      <c r="AJ3130">
        <v>85.135355523944199</v>
      </c>
      <c r="AK3130">
        <v>21.838100499259301</v>
      </c>
      <c r="AL3130">
        <v>87.769898226663798</v>
      </c>
      <c r="AM3130">
        <v>86.767281401895104</v>
      </c>
      <c r="AN3130">
        <v>0.99999995951047804</v>
      </c>
    </row>
    <row r="3131" spans="1:40" x14ac:dyDescent="0.25">
      <c r="A3131" t="str">
        <f>"20190312154856353"</f>
        <v>20190312154856353</v>
      </c>
      <c r="B3131" t="str">
        <f>"1552376936338886"</f>
        <v>1552376936338886</v>
      </c>
      <c r="C3131" t="s">
        <v>40</v>
      </c>
      <c r="D3131">
        <v>4.7640659999999997</v>
      </c>
      <c r="E3131">
        <v>0.51413319999999996</v>
      </c>
      <c r="F3131" t="s">
        <v>50</v>
      </c>
      <c r="G3131">
        <v>-444.62520000000001</v>
      </c>
      <c r="H3131" s="1">
        <v>9.2277719999999996E-7</v>
      </c>
      <c r="I3131">
        <v>214.65610000000001</v>
      </c>
      <c r="J3131">
        <v>-466.97640000000001</v>
      </c>
      <c r="K3131">
        <v>1.109442</v>
      </c>
      <c r="L3131">
        <v>216.25219999999999</v>
      </c>
      <c r="M3131">
        <v>0.99975320000000001</v>
      </c>
      <c r="N3131">
        <v>0</v>
      </c>
      <c r="O3131">
        <v>1.7748779999999999E-2</v>
      </c>
      <c r="P3131">
        <v>0.99887820000000005</v>
      </c>
      <c r="Q3131">
        <v>2.5586330000000001E-2</v>
      </c>
      <c r="R3131">
        <v>-3.9849389999999998E-2</v>
      </c>
      <c r="S3131">
        <v>2.9989319999999999</v>
      </c>
      <c r="T3131">
        <v>-0.14778820000000001</v>
      </c>
      <c r="U3131">
        <v>-0.21240229999999999</v>
      </c>
      <c r="V3131">
        <v>5.7653169999999997E-2</v>
      </c>
      <c r="W3131">
        <v>3.8812260000000001E-2</v>
      </c>
      <c r="X3131">
        <v>0.99758199999999997</v>
      </c>
      <c r="Y3131">
        <v>8.8215920000000003E-2</v>
      </c>
      <c r="Z3131">
        <v>-3.0428450000000002E-3</v>
      </c>
      <c r="AA3131">
        <v>0.99609669999999895</v>
      </c>
      <c r="AB3131">
        <v>18</v>
      </c>
      <c r="AC3131">
        <v>22.351199999999999</v>
      </c>
      <c r="AD3131">
        <v>-1.1094410772228001</v>
      </c>
      <c r="AE3131">
        <v>-1.5960999999999701</v>
      </c>
      <c r="AF3131">
        <v>1.9877179726665699</v>
      </c>
      <c r="AG3131">
        <v>-1.1094410772228001</v>
      </c>
      <c r="AH3131">
        <v>22.264769413909299</v>
      </c>
      <c r="AI3131">
        <v>92.841375200945706</v>
      </c>
      <c r="AJ3131">
        <v>84.898365441052405</v>
      </c>
      <c r="AK3131">
        <v>22.380836429795099</v>
      </c>
      <c r="AL3131">
        <v>87.775662756759999</v>
      </c>
      <c r="AM3131">
        <v>86.692389206329295</v>
      </c>
      <c r="AN3131">
        <v>1.00000006313067</v>
      </c>
    </row>
    <row r="3132" spans="1:40" x14ac:dyDescent="0.25">
      <c r="A3132" t="str">
        <f>"20190312154856374"</f>
        <v>20190312154856374</v>
      </c>
      <c r="B3132" t="str">
        <f>"1552376936369143"</f>
        <v>1552376936369143</v>
      </c>
      <c r="C3132" t="s">
        <v>40</v>
      </c>
      <c r="D3132">
        <v>4.7551639999999997</v>
      </c>
      <c r="E3132">
        <v>0.51485340000000002</v>
      </c>
      <c r="F3132" t="s">
        <v>50</v>
      </c>
      <c r="G3132">
        <v>-444.46370000000002</v>
      </c>
      <c r="H3132" s="1">
        <v>8.3979829999999996E-7</v>
      </c>
      <c r="I3132">
        <v>214.5881</v>
      </c>
      <c r="J3132">
        <v>-466.81270000000001</v>
      </c>
      <c r="K3132">
        <v>1.1094580000000001</v>
      </c>
      <c r="L3132">
        <v>216.25370000000001</v>
      </c>
      <c r="M3132">
        <v>0.99977400000000005</v>
      </c>
      <c r="N3132">
        <v>0</v>
      </c>
      <c r="O3132">
        <v>1.658602E-2</v>
      </c>
      <c r="P3132">
        <v>0.99880089999999999</v>
      </c>
      <c r="Q3132">
        <v>2.5133909999999999E-2</v>
      </c>
      <c r="R3132">
        <v>-4.2013830000000002E-2</v>
      </c>
      <c r="S3132">
        <v>2.998291</v>
      </c>
      <c r="T3132">
        <v>-0.1477579</v>
      </c>
      <c r="U3132">
        <v>-0.22163389999999999</v>
      </c>
      <c r="V3132">
        <v>5.8650679999999997E-2</v>
      </c>
      <c r="W3132">
        <v>3.8290970000000001E-2</v>
      </c>
      <c r="X3132">
        <v>0.99754390000000004</v>
      </c>
      <c r="Y3132">
        <v>9.0122320000000006E-2</v>
      </c>
      <c r="Z3132">
        <v>-3.032215E-3</v>
      </c>
      <c r="AA3132">
        <v>0.99592610000000004</v>
      </c>
      <c r="AB3132">
        <v>18</v>
      </c>
      <c r="AC3132">
        <v>22.348999999999901</v>
      </c>
      <c r="AD3132">
        <v>-1.1094571602016901</v>
      </c>
      <c r="AE3132">
        <v>-1.66560000000001</v>
      </c>
      <c r="AF3132">
        <v>2.0311068477175098</v>
      </c>
      <c r="AG3132">
        <v>-1.1094571602016901</v>
      </c>
      <c r="AH3132">
        <v>22.263734173038301</v>
      </c>
      <c r="AI3132">
        <v>92.841052269596005</v>
      </c>
      <c r="AJ3132">
        <v>84.787370359010595</v>
      </c>
      <c r="AK3132">
        <v>22.383702766630901</v>
      </c>
      <c r="AL3132">
        <v>87.805552479915804</v>
      </c>
      <c r="AM3132">
        <v>86.635163372157606</v>
      </c>
      <c r="AN3132">
        <v>0.99999996653760603</v>
      </c>
    </row>
    <row r="3133" spans="1:40" x14ac:dyDescent="0.25">
      <c r="A3133" t="str">
        <f>"20190312154856396"</f>
        <v>20190312154856396</v>
      </c>
      <c r="B3133" t="str">
        <f>"1552376936388663"</f>
        <v>1552376936388663</v>
      </c>
      <c r="C3133" t="s">
        <v>40</v>
      </c>
      <c r="D3133">
        <v>4.7081869999999997</v>
      </c>
      <c r="E3133">
        <v>0.52526830000000002</v>
      </c>
      <c r="F3133" t="s">
        <v>50</v>
      </c>
      <c r="G3133">
        <v>-444.38839999999999</v>
      </c>
      <c r="H3133" s="1">
        <v>8.0332599999999998E-7</v>
      </c>
      <c r="I3133">
        <v>214.50540000000001</v>
      </c>
      <c r="J3133">
        <v>-466.63310000000001</v>
      </c>
      <c r="K3133">
        <v>1.1094459999999999</v>
      </c>
      <c r="L3133">
        <v>216.2552</v>
      </c>
      <c r="M3133">
        <v>0.99979720000000005</v>
      </c>
      <c r="N3133">
        <v>0</v>
      </c>
      <c r="O3133">
        <v>1.53102999999999E-2</v>
      </c>
      <c r="P3133">
        <v>0.99869410000000003</v>
      </c>
      <c r="Q3133">
        <v>2.6105989999999999E-2</v>
      </c>
      <c r="R3133">
        <v>-4.391403E-2</v>
      </c>
      <c r="S3133">
        <v>2.9974980000000002</v>
      </c>
      <c r="T3133">
        <v>-0.14830270000000001</v>
      </c>
      <c r="U3133">
        <v>-0.23370360000000001</v>
      </c>
      <c r="V3133">
        <v>5.9273149999999997E-2</v>
      </c>
      <c r="W3133">
        <v>3.9055729999999997E-2</v>
      </c>
      <c r="X3133">
        <v>0.99747750000000002</v>
      </c>
      <c r="Y3133">
        <v>9.2854980000000004E-2</v>
      </c>
      <c r="Z3133">
        <v>-3.0481800000000002E-3</v>
      </c>
      <c r="AA3133">
        <v>0.99567499999999998</v>
      </c>
      <c r="AB3133">
        <v>18</v>
      </c>
      <c r="AC3133">
        <v>22.244700000000002</v>
      </c>
      <c r="AD3133">
        <v>-1.109445196674</v>
      </c>
      <c r="AE3133">
        <v>-1.74979999999999</v>
      </c>
      <c r="AF3133">
        <v>2.0850424561421499</v>
      </c>
      <c r="AG3133">
        <v>-1.109445196674</v>
      </c>
      <c r="AH3133">
        <v>22.160515282282699</v>
      </c>
      <c r="AI3133">
        <v>92.8534844301102</v>
      </c>
      <c r="AJ3133">
        <v>84.624968332966404</v>
      </c>
      <c r="AK3133">
        <v>22.286020467203699</v>
      </c>
      <c r="AL3133">
        <v>87.761702249492004</v>
      </c>
      <c r="AM3133">
        <v>86.599309299072701</v>
      </c>
      <c r="AN3133">
        <v>1.0000000096815</v>
      </c>
    </row>
    <row r="3134" spans="1:40" x14ac:dyDescent="0.25">
      <c r="A3134" t="str">
        <f>"20190312154856418"</f>
        <v>20190312154856418</v>
      </c>
      <c r="B3134" t="str">
        <f>"1552376936409159"</f>
        <v>1552376936409159</v>
      </c>
      <c r="C3134" t="s">
        <v>40</v>
      </c>
      <c r="D3134">
        <v>4.7381419999999999</v>
      </c>
      <c r="E3134">
        <v>0.52351729999999996</v>
      </c>
      <c r="F3134" t="s">
        <v>51</v>
      </c>
      <c r="G3134">
        <v>-432.45280000000002</v>
      </c>
      <c r="H3134" s="1">
        <v>3.4857579999999998E-6</v>
      </c>
      <c r="I3134">
        <v>212.5455</v>
      </c>
      <c r="J3134">
        <v>-466.4579</v>
      </c>
      <c r="K3134">
        <v>1.109407</v>
      </c>
      <c r="L3134">
        <v>216.25630000000001</v>
      </c>
      <c r="M3134">
        <v>0.99981969999999998</v>
      </c>
      <c r="N3134">
        <v>0</v>
      </c>
      <c r="O3134">
        <v>1.408034E-2</v>
      </c>
      <c r="P3134">
        <v>0.99855669999999996</v>
      </c>
      <c r="Q3134">
        <v>2.8021130000000002E-2</v>
      </c>
      <c r="R3134">
        <v>-4.5820130000000001E-2</v>
      </c>
      <c r="S3134">
        <v>2.9921880000000001</v>
      </c>
      <c r="T3134">
        <v>-9.7122189999999997E-2</v>
      </c>
      <c r="U3134">
        <v>-0.32475279999999901</v>
      </c>
      <c r="V3134">
        <v>5.9948330000000001E-2</v>
      </c>
      <c r="W3134">
        <v>4.0629949999999998E-2</v>
      </c>
      <c r="X3134">
        <v>0.99737419999999999</v>
      </c>
      <c r="Y3134">
        <v>0.1218177</v>
      </c>
      <c r="Z3134">
        <v>-2.4263969999999998E-3</v>
      </c>
      <c r="AA3134">
        <v>0.99254949999999997</v>
      </c>
      <c r="AB3134">
        <v>18</v>
      </c>
      <c r="AC3134">
        <v>34.005099999999899</v>
      </c>
      <c r="AD3134">
        <v>-1.109403514242</v>
      </c>
      <c r="AE3134">
        <v>-3.7107999999999999</v>
      </c>
      <c r="AF3134">
        <v>4.18487249218229</v>
      </c>
      <c r="AG3134">
        <v>-1.109403514242</v>
      </c>
      <c r="AH3134">
        <v>33.913802954842602</v>
      </c>
      <c r="AI3134">
        <v>91.859523189621896</v>
      </c>
      <c r="AJ3134">
        <v>82.965415333212405</v>
      </c>
      <c r="AK3134">
        <v>34.1890328145317</v>
      </c>
      <c r="AL3134">
        <v>87.671434251802495</v>
      </c>
      <c r="AM3134">
        <v>86.560309160356994</v>
      </c>
      <c r="AN3134">
        <v>0.99999994496621403</v>
      </c>
    </row>
    <row r="3135" spans="1:40" x14ac:dyDescent="0.25">
      <c r="A3135" t="str">
        <f>"20190312154856441"</f>
        <v>20190312154856441</v>
      </c>
      <c r="B3135" t="str">
        <f>"1552376936428683"</f>
        <v>1552376936428683</v>
      </c>
      <c r="C3135" t="s">
        <v>40</v>
      </c>
      <c r="D3135">
        <v>4.8534090000000001</v>
      </c>
      <c r="E3135">
        <v>0.52375699999999903</v>
      </c>
      <c r="F3135" t="s">
        <v>51</v>
      </c>
      <c r="G3135">
        <v>-428.96359999999999</v>
      </c>
      <c r="H3135" s="1">
        <v>2.5780589999999999E-6</v>
      </c>
      <c r="I3135">
        <v>212.28919999999999</v>
      </c>
      <c r="J3135">
        <v>-466.2688</v>
      </c>
      <c r="K3135">
        <v>1.1093470000000001</v>
      </c>
      <c r="L3135">
        <v>216.25739999999999</v>
      </c>
      <c r="M3135">
        <v>0.99984340000000005</v>
      </c>
      <c r="N3135">
        <v>0</v>
      </c>
      <c r="O3135">
        <v>1.27709E-2</v>
      </c>
      <c r="P3135">
        <v>0.99843309999999996</v>
      </c>
      <c r="Q3135">
        <v>2.9669609999999999E-2</v>
      </c>
      <c r="R3135">
        <v>-4.7448089999999998E-2</v>
      </c>
      <c r="S3135">
        <v>2.9922789999999999</v>
      </c>
      <c r="T3135">
        <v>-8.853722E-2</v>
      </c>
      <c r="U3135">
        <v>-0.31660460000000001</v>
      </c>
      <c r="V3135">
        <v>6.0265890000000003E-2</v>
      </c>
      <c r="W3135">
        <v>4.180006E-2</v>
      </c>
      <c r="X3135">
        <v>0.99730680000000005</v>
      </c>
      <c r="Y3135">
        <v>0.11785569999999999</v>
      </c>
      <c r="Z3135">
        <v>-2.1151830000000001E-3</v>
      </c>
      <c r="AA3135">
        <v>0.99302849999999998</v>
      </c>
      <c r="AB3135">
        <v>18</v>
      </c>
      <c r="AC3135">
        <v>37.305199999999999</v>
      </c>
      <c r="AD3135">
        <v>-1.10934442194099</v>
      </c>
      <c r="AE3135">
        <v>-3.9681999999999902</v>
      </c>
      <c r="AF3135">
        <v>4.4404503651614302</v>
      </c>
      <c r="AG3135">
        <v>-1.10934442194099</v>
      </c>
      <c r="AH3135">
        <v>37.218931919008298</v>
      </c>
      <c r="AI3135">
        <v>91.695232609952896</v>
      </c>
      <c r="AJ3135">
        <v>83.196415746338602</v>
      </c>
      <c r="AK3135">
        <v>37.499295162492501</v>
      </c>
      <c r="AL3135">
        <v>87.604335088203001</v>
      </c>
      <c r="AM3135">
        <v>86.541899304703705</v>
      </c>
      <c r="AN3135">
        <v>1.0000000379198599</v>
      </c>
    </row>
    <row r="3136" spans="1:40" x14ac:dyDescent="0.25">
      <c r="A3136" t="str">
        <f>"20190312154856462"</f>
        <v>20190312154856462</v>
      </c>
      <c r="B3136" t="str">
        <f>"1552376936449178"</f>
        <v>1552376936449178</v>
      </c>
      <c r="C3136" t="s">
        <v>40</v>
      </c>
      <c r="D3136">
        <v>4.7125190000000003</v>
      </c>
      <c r="E3136">
        <v>0.52322120000000005</v>
      </c>
      <c r="F3136" t="s">
        <v>51</v>
      </c>
      <c r="G3136">
        <v>-426.77589999999998</v>
      </c>
      <c r="H3136" s="1">
        <v>2.992455E-6</v>
      </c>
      <c r="I3136">
        <v>211.9879</v>
      </c>
      <c r="J3136">
        <v>-466.0985</v>
      </c>
      <c r="K3136">
        <v>1.1092690000000001</v>
      </c>
      <c r="L3136">
        <v>216.25829999999999</v>
      </c>
      <c r="M3136">
        <v>0.99986370000000002</v>
      </c>
      <c r="N3136">
        <v>0</v>
      </c>
      <c r="O3136">
        <v>1.1609919999999999E-2</v>
      </c>
      <c r="P3136">
        <v>0.99830819999999998</v>
      </c>
      <c r="Q3136">
        <v>3.0577650000000001E-2</v>
      </c>
      <c r="R3136">
        <v>-4.9456430000000003E-2</v>
      </c>
      <c r="S3136">
        <v>2.9917600000000002</v>
      </c>
      <c r="T3136">
        <v>-8.403766E-2</v>
      </c>
      <c r="U3136">
        <v>-0.32344060000000002</v>
      </c>
      <c r="V3136">
        <v>6.1111819999999997E-2</v>
      </c>
      <c r="W3136">
        <v>4.2195009999999998E-2</v>
      </c>
      <c r="X3136">
        <v>0.99723859999999998</v>
      </c>
      <c r="Y3136">
        <v>0.11896950000000001</v>
      </c>
      <c r="Z3136">
        <v>-1.9909049999999998E-3</v>
      </c>
      <c r="AA3136">
        <v>0.99289590000000005</v>
      </c>
      <c r="AB3136">
        <v>18</v>
      </c>
      <c r="AC3136">
        <v>39.322600000000001</v>
      </c>
      <c r="AD3136">
        <v>-1.109266007545</v>
      </c>
      <c r="AE3136">
        <v>-4.2703999999999898</v>
      </c>
      <c r="AF3136">
        <v>4.7229612662195404</v>
      </c>
      <c r="AG3136">
        <v>-1.109266007545</v>
      </c>
      <c r="AH3136">
        <v>39.239505372475698</v>
      </c>
      <c r="AI3136">
        <v>91.607672376137003</v>
      </c>
      <c r="AJ3136">
        <v>83.136757908678803</v>
      </c>
      <c r="AK3136">
        <v>39.5382803884319</v>
      </c>
      <c r="AL3136">
        <v>87.581685923685697</v>
      </c>
      <c r="AM3136">
        <v>86.493240294452207</v>
      </c>
      <c r="AN3136">
        <v>0.999999949371285</v>
      </c>
    </row>
    <row r="3137" spans="1:40" x14ac:dyDescent="0.25">
      <c r="A3137" t="str">
        <f>"20190312154856487"</f>
        <v>20190312154856487</v>
      </c>
      <c r="B3137" t="str">
        <f>"1552376936479431"</f>
        <v>1552376936479431</v>
      </c>
      <c r="C3137" t="s">
        <v>40</v>
      </c>
      <c r="D3137">
        <v>4.657197</v>
      </c>
      <c r="E3137">
        <v>0.52249540000000005</v>
      </c>
      <c r="F3137" t="s">
        <v>51</v>
      </c>
      <c r="G3137">
        <v>-424.54489999999998</v>
      </c>
      <c r="H3137" s="1">
        <v>3.4102800000000001E-6</v>
      </c>
      <c r="I3137">
        <v>211.73519999999999</v>
      </c>
      <c r="J3137">
        <v>-465.8997</v>
      </c>
      <c r="K3137">
        <v>1.1091610000000001</v>
      </c>
      <c r="L3137">
        <v>216.25899999999999</v>
      </c>
      <c r="M3137">
        <v>0.99988619999999995</v>
      </c>
      <c r="N3137">
        <v>0</v>
      </c>
      <c r="O3137">
        <v>1.027258E-2</v>
      </c>
      <c r="P3137">
        <v>0.99821170000000004</v>
      </c>
      <c r="Q3137">
        <v>3.1218800000000001E-2</v>
      </c>
      <c r="R3137">
        <v>-5.0979820000000002E-2</v>
      </c>
      <c r="S3137">
        <v>2.9913940000000001</v>
      </c>
      <c r="T3137">
        <v>-7.9854729999999999E-2</v>
      </c>
      <c r="U3137">
        <v>-0.32560729999999999</v>
      </c>
      <c r="V3137">
        <v>6.1297499999999998E-2</v>
      </c>
      <c r="W3137">
        <v>4.2149760000000001E-2</v>
      </c>
      <c r="X3137">
        <v>0.99722920000000004</v>
      </c>
      <c r="Y3137">
        <v>0.118370699999999</v>
      </c>
      <c r="Z3137">
        <v>-1.848433E-3</v>
      </c>
      <c r="AA3137">
        <v>0.99296770000000001</v>
      </c>
      <c r="AB3137">
        <v>18</v>
      </c>
      <c r="AC3137">
        <v>41.354799999999997</v>
      </c>
      <c r="AD3137">
        <v>-1.1091575897199999</v>
      </c>
      <c r="AE3137">
        <v>-4.52380000000002</v>
      </c>
      <c r="AF3137">
        <v>4.94489269461278</v>
      </c>
      <c r="AG3137">
        <v>-1.1091575897199999</v>
      </c>
      <c r="AH3137">
        <v>41.2768027539542</v>
      </c>
      <c r="AI3137">
        <v>91.528313856247607</v>
      </c>
      <c r="AJ3137">
        <v>83.168616772132793</v>
      </c>
      <c r="AK3137">
        <v>41.586736345966202</v>
      </c>
      <c r="AL3137">
        <v>87.584281065079907</v>
      </c>
      <c r="AM3137">
        <v>86.482579116858304</v>
      </c>
      <c r="AN3137">
        <v>1.0000000315534701</v>
      </c>
    </row>
    <row r="3138" spans="1:40" x14ac:dyDescent="0.25">
      <c r="A3138" t="str">
        <f>"20190312154856508"</f>
        <v>20190312154856508</v>
      </c>
      <c r="B3138" t="str">
        <f>"1552376936498951"</f>
        <v>1552376936498951</v>
      </c>
      <c r="C3138" t="s">
        <v>40</v>
      </c>
      <c r="D3138">
        <v>4.6460220000000003</v>
      </c>
      <c r="E3138">
        <v>0.52223969999999997</v>
      </c>
      <c r="F3138" t="s">
        <v>51</v>
      </c>
      <c r="G3138">
        <v>-421.26519999999999</v>
      </c>
      <c r="H3138" s="1">
        <v>4.0200529999999996E-6</v>
      </c>
      <c r="I3138">
        <v>211.41489999999999</v>
      </c>
      <c r="J3138">
        <v>-465.72890000000001</v>
      </c>
      <c r="K3138">
        <v>1.109056</v>
      </c>
      <c r="L3138">
        <v>216.2594</v>
      </c>
      <c r="M3138">
        <v>0.99990420000000002</v>
      </c>
      <c r="N3138">
        <v>0</v>
      </c>
      <c r="O3138">
        <v>9.1358440000000006E-3</v>
      </c>
      <c r="P3138">
        <v>0.99817100000000003</v>
      </c>
      <c r="Q3138">
        <v>3.1916420000000001E-2</v>
      </c>
      <c r="R3138">
        <v>-5.1345080000000001E-2</v>
      </c>
      <c r="S3138">
        <v>2.9910890000000001</v>
      </c>
      <c r="T3138">
        <v>-7.4327829999999998E-2</v>
      </c>
      <c r="U3138">
        <v>-0.3246155</v>
      </c>
      <c r="V3138">
        <v>6.0526990000000003E-2</v>
      </c>
      <c r="W3138">
        <v>4.2196919999999999E-2</v>
      </c>
      <c r="X3138">
        <v>0.9972742</v>
      </c>
      <c r="Y3138">
        <v>0.116934</v>
      </c>
      <c r="Z3138">
        <v>-1.6747789999999999E-3</v>
      </c>
      <c r="AA3138">
        <v>0.99313830000000003</v>
      </c>
      <c r="AB3138">
        <v>18</v>
      </c>
      <c r="AC3138">
        <v>44.463700000000003</v>
      </c>
      <c r="AD3138">
        <v>-1.109051979947</v>
      </c>
      <c r="AE3138">
        <v>-4.8445000000000098</v>
      </c>
      <c r="AF3138">
        <v>5.2473069001970503</v>
      </c>
      <c r="AG3138">
        <v>-1.109051979947</v>
      </c>
      <c r="AH3138">
        <v>44.390289958152898</v>
      </c>
      <c r="AI3138">
        <v>91.421294947780396</v>
      </c>
      <c r="AJ3138">
        <v>83.258439633715597</v>
      </c>
      <c r="AK3138">
        <v>44.713108464609903</v>
      </c>
      <c r="AL3138">
        <v>87.581576424845593</v>
      </c>
      <c r="AM3138">
        <v>86.526840537059499</v>
      </c>
      <c r="AN3138">
        <v>0.99999996328079199</v>
      </c>
    </row>
    <row r="3139" spans="1:40" x14ac:dyDescent="0.25">
      <c r="A3139" t="str">
        <f>"20190312154856532"</f>
        <v>20190312154856532</v>
      </c>
      <c r="B3139" t="str">
        <f>"1552376936519447"</f>
        <v>1552376936519447</v>
      </c>
      <c r="C3139" t="s">
        <v>40</v>
      </c>
      <c r="D3139">
        <v>4.6073510000000004</v>
      </c>
      <c r="E3139">
        <v>0.52199669999999998</v>
      </c>
      <c r="F3139" t="s">
        <v>51</v>
      </c>
      <c r="G3139">
        <v>-418.1123</v>
      </c>
      <c r="H3139" s="1">
        <v>3.9518159999999996E-6</v>
      </c>
      <c r="I3139">
        <v>211.1037</v>
      </c>
      <c r="J3139">
        <v>-465.53050000000002</v>
      </c>
      <c r="K3139">
        <v>1.1089500000000001</v>
      </c>
      <c r="L3139">
        <v>216.25970000000001</v>
      </c>
      <c r="M3139">
        <v>0.99992309999999995</v>
      </c>
      <c r="N3139">
        <v>0</v>
      </c>
      <c r="O3139">
        <v>7.8281529999999992E-3</v>
      </c>
      <c r="P3139">
        <v>0.99809490000000001</v>
      </c>
      <c r="Q3139">
        <v>3.342034E-2</v>
      </c>
      <c r="R3139">
        <v>-5.1865370000000001E-2</v>
      </c>
      <c r="S3139">
        <v>2.9909970000000001</v>
      </c>
      <c r="T3139">
        <v>-6.9664240000000002E-2</v>
      </c>
      <c r="U3139">
        <v>-0.32385249999999999</v>
      </c>
      <c r="V3139">
        <v>5.9742749999999997E-2</v>
      </c>
      <c r="W3139">
        <v>4.293106E-2</v>
      </c>
      <c r="X3139">
        <v>0.99729020000000002</v>
      </c>
      <c r="Y3139">
        <v>0.1153933</v>
      </c>
      <c r="Z3139">
        <v>-1.5215329999999901E-3</v>
      </c>
      <c r="AA3139">
        <v>0.9933187</v>
      </c>
      <c r="AB3139">
        <v>18</v>
      </c>
      <c r="AC3139">
        <v>47.418199999999999</v>
      </c>
      <c r="AD3139">
        <v>-1.1089460481839899</v>
      </c>
      <c r="AE3139">
        <v>-5.1559999999999997</v>
      </c>
      <c r="AF3139">
        <v>5.52407013073549</v>
      </c>
      <c r="AG3139">
        <v>-1.1089460481839899</v>
      </c>
      <c r="AH3139">
        <v>47.3507882354277</v>
      </c>
      <c r="AI3139">
        <v>91.332576154519202</v>
      </c>
      <c r="AJ3139">
        <v>83.345799977598801</v>
      </c>
      <c r="AK3139">
        <v>47.684822099525299</v>
      </c>
      <c r="AL3139">
        <v>87.539475253183497</v>
      </c>
      <c r="AM3139">
        <v>86.571788630268401</v>
      </c>
      <c r="AN3139">
        <v>1.0000000075531601</v>
      </c>
    </row>
    <row r="3140" spans="1:40" x14ac:dyDescent="0.25">
      <c r="A3140" t="str">
        <f>"20190312154856555"</f>
        <v>20190312154856555</v>
      </c>
      <c r="B3140" t="str">
        <f>"1552376936548726"</f>
        <v>1552376936548726</v>
      </c>
      <c r="C3140" t="s">
        <v>40</v>
      </c>
      <c r="D3140">
        <v>4.5850519999999904</v>
      </c>
      <c r="E3140">
        <v>0.52152370000000003</v>
      </c>
      <c r="F3140" t="s">
        <v>51</v>
      </c>
      <c r="G3140">
        <v>-414.05990000000003</v>
      </c>
      <c r="H3140" s="1">
        <v>3.2690450000000001E-6</v>
      </c>
      <c r="I3140">
        <v>210.69130000000001</v>
      </c>
      <c r="J3140">
        <v>-465.33229999999998</v>
      </c>
      <c r="K3140">
        <v>1.108849</v>
      </c>
      <c r="L3140">
        <v>216.25980000000001</v>
      </c>
      <c r="M3140">
        <v>0.99993960000000004</v>
      </c>
      <c r="N3140">
        <v>0</v>
      </c>
      <c r="O3140">
        <v>6.5286320000000004E-3</v>
      </c>
      <c r="P3140">
        <v>0.99801770000000001</v>
      </c>
      <c r="Q3140">
        <v>3.5591369999999997E-2</v>
      </c>
      <c r="R3140">
        <v>-5.1903579999999998E-2</v>
      </c>
      <c r="S3140">
        <v>2.9910580000000002</v>
      </c>
      <c r="T3140">
        <v>-6.4443109999999998E-2</v>
      </c>
      <c r="U3140">
        <v>-0.32359310000000002</v>
      </c>
      <c r="V3140">
        <v>5.8486440000000001E-2</v>
      </c>
      <c r="W3140">
        <v>4.4336859999999999E-2</v>
      </c>
      <c r="X3140">
        <v>0.9973031</v>
      </c>
      <c r="Y3140">
        <v>0.1140203</v>
      </c>
      <c r="Z3140">
        <v>-1.364837E-3</v>
      </c>
      <c r="AA3140">
        <v>0.99347750000000001</v>
      </c>
      <c r="AB3140">
        <v>19</v>
      </c>
      <c r="AC3140">
        <v>51.272399999999898</v>
      </c>
      <c r="AD3140">
        <v>-1.1088457309549999</v>
      </c>
      <c r="AE3140">
        <v>-5.5685000000000002</v>
      </c>
      <c r="AF3140">
        <v>5.9004055359321201</v>
      </c>
      <c r="AG3140">
        <v>-1.1088457309549999</v>
      </c>
      <c r="AH3140">
        <v>51.211278394951798</v>
      </c>
      <c r="AI3140">
        <v>91.232246310724307</v>
      </c>
      <c r="AJ3140">
        <v>83.427537777913599</v>
      </c>
      <c r="AK3140">
        <v>51.561995298754503</v>
      </c>
      <c r="AL3140">
        <v>87.4588518996799</v>
      </c>
      <c r="AM3140">
        <v>86.643756071279796</v>
      </c>
      <c r="AN3140">
        <v>0.99999994704407003</v>
      </c>
    </row>
    <row r="3141" spans="1:40" x14ac:dyDescent="0.25">
      <c r="A3141" t="str">
        <f>"20190312154856576"</f>
        <v>20190312154856576</v>
      </c>
      <c r="B3141" t="str">
        <f>"1552376936569223"</f>
        <v>1552376936569223</v>
      </c>
      <c r="C3141" t="s">
        <v>40</v>
      </c>
      <c r="D3141">
        <v>4.5487769999999896</v>
      </c>
      <c r="E3141">
        <v>0.52125189999999999</v>
      </c>
      <c r="F3141" t="s">
        <v>51</v>
      </c>
      <c r="G3141">
        <v>-407.71199999999999</v>
      </c>
      <c r="H3141" s="1">
        <v>5.9161729999999997E-6</v>
      </c>
      <c r="I3141">
        <v>210.0968</v>
      </c>
      <c r="J3141">
        <v>-465.15249999999997</v>
      </c>
      <c r="K3141">
        <v>1.1087590000000001</v>
      </c>
      <c r="L3141">
        <v>216.25960000000001</v>
      </c>
      <c r="M3141">
        <v>0.99995239999999996</v>
      </c>
      <c r="N3141">
        <v>0</v>
      </c>
      <c r="O3141">
        <v>5.3499749999999999E-3</v>
      </c>
      <c r="P3141">
        <v>0.99789660000000002</v>
      </c>
      <c r="Q3141">
        <v>3.8248589999999999E-2</v>
      </c>
      <c r="R3141">
        <v>-5.2339799999999999E-2</v>
      </c>
      <c r="S3141">
        <v>2.991333</v>
      </c>
      <c r="T3141">
        <v>-5.7565089999999999E-2</v>
      </c>
      <c r="U3141">
        <v>-0.31994630000000002</v>
      </c>
      <c r="V3141">
        <v>5.7749700000000001E-2</v>
      </c>
      <c r="W3141">
        <v>4.6296089999999998E-2</v>
      </c>
      <c r="X3141">
        <v>0.99725710000000001</v>
      </c>
      <c r="Y3141">
        <v>0.111648</v>
      </c>
      <c r="Z3141">
        <v>-1.1737850000000001E-3</v>
      </c>
      <c r="AA3141">
        <v>0.99374709999999999</v>
      </c>
      <c r="AB3141">
        <v>19</v>
      </c>
      <c r="AC3141">
        <v>57.440499999999901</v>
      </c>
      <c r="AD3141">
        <v>-1.1087530838269899</v>
      </c>
      <c r="AE3141">
        <v>-6.1627999999999998</v>
      </c>
      <c r="AF3141">
        <v>6.4676448985371602</v>
      </c>
      <c r="AG3141">
        <v>-1.1087530838269899</v>
      </c>
      <c r="AH3141">
        <v>57.385567911876102</v>
      </c>
      <c r="AI3141">
        <v>91.099918500948604</v>
      </c>
      <c r="AJ3141">
        <v>83.569610292952305</v>
      </c>
      <c r="AK3141">
        <v>57.759528811296697</v>
      </c>
      <c r="AL3141">
        <v>87.346481070475704</v>
      </c>
      <c r="AM3141">
        <v>86.685786532740195</v>
      </c>
      <c r="AN3141">
        <v>1.00000003964989</v>
      </c>
    </row>
    <row r="3142" spans="1:40" x14ac:dyDescent="0.25">
      <c r="A3142" t="str">
        <f>"20190312154856596"</f>
        <v>20190312154856596</v>
      </c>
      <c r="B3142" t="str">
        <f>"1552376936588743"</f>
        <v>1552376936588743</v>
      </c>
      <c r="C3142" t="s">
        <v>40</v>
      </c>
      <c r="D3142">
        <v>4.6049419999999897</v>
      </c>
      <c r="E3142">
        <v>0.52086809999999995</v>
      </c>
      <c r="F3142" t="s">
        <v>51</v>
      </c>
      <c r="G3142">
        <v>-402.70089999999999</v>
      </c>
      <c r="H3142">
        <v>6.1531120000000002E-2</v>
      </c>
      <c r="I3142">
        <v>209.60480000000001</v>
      </c>
      <c r="J3142">
        <v>-464.97730000000001</v>
      </c>
      <c r="K3142">
        <v>1.108681</v>
      </c>
      <c r="L3142">
        <v>216.2593</v>
      </c>
      <c r="M3142">
        <v>0.99996350000000001</v>
      </c>
      <c r="N3142">
        <v>0</v>
      </c>
      <c r="O3142">
        <v>4.1994429999999998E-3</v>
      </c>
      <c r="P3142">
        <v>0.99774309999999999</v>
      </c>
      <c r="Q3142">
        <v>4.1123519999999997E-2</v>
      </c>
      <c r="R3142">
        <v>-5.3084109999999997E-2</v>
      </c>
      <c r="S3142">
        <v>2.9914860000000001</v>
      </c>
      <c r="T3142">
        <v>-5.0163149999999997E-2</v>
      </c>
      <c r="U3142">
        <v>-0.31877139999999998</v>
      </c>
      <c r="V3142">
        <v>5.7349440000000002E-2</v>
      </c>
      <c r="W3142">
        <v>4.848326E-2</v>
      </c>
      <c r="X3142">
        <v>0.99717619999999896</v>
      </c>
      <c r="Y3142">
        <v>0.1101188</v>
      </c>
      <c r="Z3142">
        <v>-9.9082170000000004E-4</v>
      </c>
      <c r="AA3142">
        <v>0.99391790000000002</v>
      </c>
      <c r="AB3142">
        <v>19</v>
      </c>
      <c r="AC3142">
        <v>62.276400000000002</v>
      </c>
      <c r="AD3142">
        <v>-1.0471498800000001</v>
      </c>
      <c r="AE3142">
        <v>-6.6544999999999801</v>
      </c>
      <c r="AF3142">
        <v>6.9140420171314902</v>
      </c>
      <c r="AG3142">
        <v>-1.0471498800000001</v>
      </c>
      <c r="AH3142">
        <v>62.230509106612303</v>
      </c>
      <c r="AI3142">
        <v>90.958128096226503</v>
      </c>
      <c r="AJ3142">
        <v>83.660225698337698</v>
      </c>
      <c r="AK3142">
        <v>62.622174695182899</v>
      </c>
      <c r="AL3142">
        <v>87.221024319146593</v>
      </c>
      <c r="AM3142">
        <v>86.708440057125898</v>
      </c>
      <c r="AN3142">
        <v>0.99999997930748996</v>
      </c>
    </row>
    <row r="3143" spans="1:40" x14ac:dyDescent="0.25">
      <c r="A3143" t="str">
        <f>"20190312154856619"</f>
        <v>20190312154856619</v>
      </c>
      <c r="B3143" t="str">
        <f>"1552376936609239"</f>
        <v>1552376936609239</v>
      </c>
      <c r="C3143" t="s">
        <v>40</v>
      </c>
      <c r="D3143">
        <v>4.5247570000000001</v>
      </c>
      <c r="E3143">
        <v>0.52072149999999995</v>
      </c>
      <c r="F3143" t="s">
        <v>50</v>
      </c>
      <c r="G3143">
        <v>-393.2484</v>
      </c>
      <c r="H3143">
        <v>8.0000500000000002E-2</v>
      </c>
      <c r="I3143">
        <v>208.63669999999999</v>
      </c>
      <c r="J3143">
        <v>-464.77460000000002</v>
      </c>
      <c r="K3143">
        <v>1.1085799999999999</v>
      </c>
      <c r="L3143">
        <v>216.2587</v>
      </c>
      <c r="M3143">
        <v>0.99997380000000002</v>
      </c>
      <c r="N3143">
        <v>0</v>
      </c>
      <c r="O3143">
        <v>2.8650759999999998E-3</v>
      </c>
      <c r="P3143">
        <v>0.99758049999999998</v>
      </c>
      <c r="Q3143">
        <v>4.3915360000000001E-2</v>
      </c>
      <c r="R3143">
        <v>-5.3898830000000002E-2</v>
      </c>
      <c r="S3143">
        <v>2.991638</v>
      </c>
      <c r="T3143">
        <v>-4.2903780000000002E-2</v>
      </c>
      <c r="U3143">
        <v>-0.3179169</v>
      </c>
      <c r="V3143">
        <v>5.683676E-2</v>
      </c>
      <c r="W3143">
        <v>5.047447E-2</v>
      </c>
      <c r="X3143">
        <v>0.99710679999999996</v>
      </c>
      <c r="Y3143">
        <v>0.1085108</v>
      </c>
      <c r="Z3143">
        <v>-8.1683919999999896E-4</v>
      </c>
      <c r="AA3143">
        <v>0.9940949</v>
      </c>
      <c r="AB3143">
        <v>19</v>
      </c>
      <c r="AC3143">
        <v>71.526200000000003</v>
      </c>
      <c r="AD3143">
        <v>-1.0285795</v>
      </c>
      <c r="AE3143">
        <v>-7.6220000000000097</v>
      </c>
      <c r="AF3143">
        <v>7.8253011590083297</v>
      </c>
      <c r="AG3143">
        <v>-1.0285795</v>
      </c>
      <c r="AH3143">
        <v>71.489450476619993</v>
      </c>
      <c r="AI3143">
        <v>90.819412527945403</v>
      </c>
      <c r="AJ3143">
        <v>83.753220929253501</v>
      </c>
      <c r="AK3143">
        <v>71.923812770640197</v>
      </c>
      <c r="AL3143">
        <v>87.106796605821003</v>
      </c>
      <c r="AM3143">
        <v>86.737574826325599</v>
      </c>
      <c r="AN3143">
        <v>1.0000000300076499</v>
      </c>
    </row>
    <row r="3144" spans="1:40" x14ac:dyDescent="0.25">
      <c r="A3144" t="str">
        <f>"20190312154856644"</f>
        <v>20190312154856644</v>
      </c>
      <c r="B3144" t="str">
        <f>"1552376936639496"</f>
        <v>1552376936639496</v>
      </c>
      <c r="C3144" t="s">
        <v>40</v>
      </c>
      <c r="D3144">
        <v>4.5026799999999998</v>
      </c>
      <c r="E3144">
        <v>0.5204898</v>
      </c>
      <c r="F3144" t="s">
        <v>50</v>
      </c>
      <c r="G3144">
        <v>-377.51710000000003</v>
      </c>
      <c r="H3144">
        <v>8.0000730000000006E-2</v>
      </c>
      <c r="I3144">
        <v>206.94890000000001</v>
      </c>
      <c r="J3144">
        <v>-464.57209999999998</v>
      </c>
      <c r="K3144">
        <v>1.108482</v>
      </c>
      <c r="L3144">
        <v>216.2578</v>
      </c>
      <c r="M3144">
        <v>0.99998169999999997</v>
      </c>
      <c r="N3144">
        <v>0</v>
      </c>
      <c r="O3144">
        <v>1.532165E-3</v>
      </c>
      <c r="P3144">
        <v>0.99742779999999998</v>
      </c>
      <c r="Q3144">
        <v>4.5373259999999999E-2</v>
      </c>
      <c r="R3144">
        <v>-5.5494170000000002E-2</v>
      </c>
      <c r="S3144">
        <v>2.9916079999999998</v>
      </c>
      <c r="T3144">
        <v>-3.5264610000000002E-2</v>
      </c>
      <c r="U3144">
        <v>-0.3191833</v>
      </c>
      <c r="V3144">
        <v>5.7104580000000002E-2</v>
      </c>
      <c r="W3144">
        <v>5.1148319999999997E-2</v>
      </c>
      <c r="X3144">
        <v>0.99705710000000003</v>
      </c>
      <c r="Y3144">
        <v>0.1076067</v>
      </c>
      <c r="Z3144">
        <v>-6.5041899999999995E-4</v>
      </c>
      <c r="AA3144">
        <v>0.99419329999999995</v>
      </c>
      <c r="AB3144">
        <v>19</v>
      </c>
      <c r="AC3144">
        <v>87.054999999999893</v>
      </c>
      <c r="AD3144">
        <v>-1.0284812699999999</v>
      </c>
      <c r="AE3144">
        <v>-9.3088999999999906</v>
      </c>
      <c r="AF3144">
        <v>9.4409711618707792</v>
      </c>
      <c r="AG3144">
        <v>-1.0284812699999999</v>
      </c>
      <c r="AH3144">
        <v>87.028625165008094</v>
      </c>
      <c r="AI3144">
        <v>90.673126065512804</v>
      </c>
      <c r="AJ3144">
        <v>83.808695151027493</v>
      </c>
      <c r="AK3144">
        <v>87.545252917068495</v>
      </c>
      <c r="AL3144">
        <v>87.068137738799706</v>
      </c>
      <c r="AM3144">
        <v>86.722072392235702</v>
      </c>
      <c r="AN3144">
        <v>0.99999997217810399</v>
      </c>
    </row>
    <row r="3145" spans="1:40" x14ac:dyDescent="0.25">
      <c r="A3145" t="str">
        <f>"20190312154856664"</f>
        <v>20190312154856664</v>
      </c>
      <c r="B3145" t="str">
        <f>"1552376936659015"</f>
        <v>1552376936659015</v>
      </c>
      <c r="C3145" t="s">
        <v>40</v>
      </c>
      <c r="D3145">
        <v>4.4544379999999997</v>
      </c>
      <c r="E3145">
        <v>0.52037540000000004</v>
      </c>
      <c r="F3145" t="s">
        <v>50</v>
      </c>
      <c r="G3145">
        <v>-371.33819999999997</v>
      </c>
      <c r="H3145">
        <v>8.0001059999999999E-2</v>
      </c>
      <c r="I3145">
        <v>206.2157</v>
      </c>
      <c r="J3145">
        <v>-464.3784</v>
      </c>
      <c r="K3145">
        <v>1.1083909999999999</v>
      </c>
      <c r="L3145">
        <v>216.2567</v>
      </c>
      <c r="M3145">
        <v>0.99998659999999995</v>
      </c>
      <c r="N3145">
        <v>0</v>
      </c>
      <c r="O3145">
        <v>2.6150659999999999E-4</v>
      </c>
      <c r="P3145">
        <v>0.99727120000000002</v>
      </c>
      <c r="Q3145">
        <v>4.6236340000000001E-2</v>
      </c>
      <c r="R3145">
        <v>-5.7552939999999997E-2</v>
      </c>
      <c r="S3145">
        <v>2.9913020000000001</v>
      </c>
      <c r="T3145">
        <v>-3.2997609999999997E-2</v>
      </c>
      <c r="U3145">
        <v>-0.32218930000000001</v>
      </c>
      <c r="V3145">
        <v>5.7897669999999998E-2</v>
      </c>
      <c r="W3145">
        <v>5.130357E-2</v>
      </c>
      <c r="X3145">
        <v>0.99700339999999998</v>
      </c>
      <c r="Y3145">
        <v>0.1073429</v>
      </c>
      <c r="Z3145">
        <v>-5.932108E-4</v>
      </c>
      <c r="AA3145">
        <v>0.99422189999999999</v>
      </c>
      <c r="AB3145">
        <v>19</v>
      </c>
      <c r="AC3145">
        <v>93.040199999999999</v>
      </c>
      <c r="AD3145">
        <v>-1.0283899399999901</v>
      </c>
      <c r="AE3145">
        <v>-10.040999999999899</v>
      </c>
      <c r="AF3145">
        <v>10.064115203318799</v>
      </c>
      <c r="AG3145">
        <v>-1.0283899399999901</v>
      </c>
      <c r="AH3145">
        <v>93.026336558939704</v>
      </c>
      <c r="AI3145">
        <v>90.629695057877896</v>
      </c>
      <c r="AJ3145">
        <v>83.825433129387207</v>
      </c>
      <c r="AK3145">
        <v>93.574800530225403</v>
      </c>
      <c r="AL3145">
        <v>87.059230921570503</v>
      </c>
      <c r="AM3145">
        <v>86.676470039596097</v>
      </c>
      <c r="AN3145">
        <v>0.99999998804886603</v>
      </c>
    </row>
    <row r="3146" spans="1:40" x14ac:dyDescent="0.25">
      <c r="A3146" t="str">
        <f>"20190312154856689"</f>
        <v>20190312154856689</v>
      </c>
      <c r="B3146" t="str">
        <f>"1552376936679510"</f>
        <v>1552376936679510</v>
      </c>
      <c r="C3146" t="s">
        <v>40</v>
      </c>
      <c r="D3146">
        <v>4.4166460000000001</v>
      </c>
      <c r="E3146">
        <v>0.52037120000000003</v>
      </c>
      <c r="F3146" t="s">
        <v>50</v>
      </c>
      <c r="G3146">
        <v>-368.6352</v>
      </c>
      <c r="H3146">
        <v>8.0000390000000005E-2</v>
      </c>
      <c r="I3146">
        <v>205.7731</v>
      </c>
      <c r="J3146">
        <v>-464.16890000000001</v>
      </c>
      <c r="K3146">
        <v>1.108303</v>
      </c>
      <c r="L3146">
        <v>216.2552</v>
      </c>
      <c r="M3146">
        <v>0.99998940000000003</v>
      </c>
      <c r="N3146">
        <v>0</v>
      </c>
      <c r="O3146">
        <v>-1.1004770000000001E-3</v>
      </c>
      <c r="P3146">
        <v>0.99711919999999998</v>
      </c>
      <c r="Q3146">
        <v>4.662732E-2</v>
      </c>
      <c r="R3146">
        <v>-5.9827440000000003E-2</v>
      </c>
      <c r="S3146">
        <v>2.9908139999999999</v>
      </c>
      <c r="T3146">
        <v>-3.2124760000000002E-2</v>
      </c>
      <c r="U3146">
        <v>-0.3274841</v>
      </c>
      <c r="V3146">
        <v>5.8815600000000003E-2</v>
      </c>
      <c r="W3146">
        <v>5.0998790000000002E-2</v>
      </c>
      <c r="X3146">
        <v>0.99696530000000005</v>
      </c>
      <c r="Y3146">
        <v>0.10774599999999999</v>
      </c>
      <c r="Z3146">
        <v>-5.6513210000000002E-4</v>
      </c>
      <c r="AA3146">
        <v>0.99417829999999996</v>
      </c>
      <c r="AB3146">
        <v>20</v>
      </c>
      <c r="AC3146">
        <v>95.533699999999996</v>
      </c>
      <c r="AD3146">
        <v>-1.0283026099999999</v>
      </c>
      <c r="AE3146">
        <v>-10.482100000000001</v>
      </c>
      <c r="AF3146">
        <v>10.3757721387954</v>
      </c>
      <c r="AG3146">
        <v>-1.0283026099999999</v>
      </c>
      <c r="AH3146">
        <v>95.534240768480899</v>
      </c>
      <c r="AI3146">
        <v>90.613086183952802</v>
      </c>
      <c r="AJ3146">
        <v>83.801521934769895</v>
      </c>
      <c r="AK3146">
        <v>96.101535955176203</v>
      </c>
      <c r="AL3146">
        <v>87.076716397021002</v>
      </c>
      <c r="AM3146">
        <v>86.623769840220206</v>
      </c>
      <c r="AN3146">
        <v>0.99999998039445603</v>
      </c>
    </row>
    <row r="3147" spans="1:40" x14ac:dyDescent="0.25">
      <c r="A3147" t="str">
        <f>"20190312154856709"</f>
        <v>20190312154856709</v>
      </c>
      <c r="B3147" t="str">
        <f>"1552376936699031"</f>
        <v>1552376936699031</v>
      </c>
      <c r="C3147" t="s">
        <v>40</v>
      </c>
      <c r="D3147">
        <v>4.4409349999999996</v>
      </c>
      <c r="E3147">
        <v>0.52065419999999996</v>
      </c>
      <c r="F3147" t="s">
        <v>50</v>
      </c>
      <c r="G3147">
        <v>-367.04669999999999</v>
      </c>
      <c r="H3147">
        <v>8.0000859999999993E-2</v>
      </c>
      <c r="I3147">
        <v>205.3947</v>
      </c>
      <c r="J3147">
        <v>-463.9753</v>
      </c>
      <c r="K3147">
        <v>1.108225</v>
      </c>
      <c r="L3147">
        <v>216.25360000000001</v>
      </c>
      <c r="M3147">
        <v>0.99998969999999998</v>
      </c>
      <c r="N3147">
        <v>0</v>
      </c>
      <c r="O3147">
        <v>-2.3490410000000001E-3</v>
      </c>
      <c r="P3147">
        <v>0.99700750000000005</v>
      </c>
      <c r="Q3147">
        <v>4.5554270000000001E-2</v>
      </c>
      <c r="R3147">
        <v>-6.2459199999999999E-2</v>
      </c>
      <c r="S3147">
        <v>2.9901119999999999</v>
      </c>
      <c r="T3147">
        <v>-3.1658409999999998E-2</v>
      </c>
      <c r="U3147">
        <v>-0.33436579999999999</v>
      </c>
      <c r="V3147">
        <v>6.0201690000000002E-2</v>
      </c>
      <c r="W3147">
        <v>4.9344829999999999E-2</v>
      </c>
      <c r="X3147">
        <v>0.99696580000000001</v>
      </c>
      <c r="Y3147">
        <v>0.1087905</v>
      </c>
      <c r="Z3147">
        <v>-5.4932280000000004E-4</v>
      </c>
      <c r="AA3147">
        <v>0.99406459999999996</v>
      </c>
      <c r="AB3147">
        <v>20</v>
      </c>
      <c r="AC3147">
        <v>96.928600000000003</v>
      </c>
      <c r="AD3147">
        <v>-1.0282241400000001</v>
      </c>
      <c r="AE3147">
        <v>-10.8589</v>
      </c>
      <c r="AF3147">
        <v>10.6299976914552</v>
      </c>
      <c r="AG3147">
        <v>-1.0282241400000001</v>
      </c>
      <c r="AH3147">
        <v>96.943066894581506</v>
      </c>
      <c r="AI3147">
        <v>90.604063050834398</v>
      </c>
      <c r="AJ3147">
        <v>83.742404841473899</v>
      </c>
      <c r="AK3147">
        <v>97.529545855241906</v>
      </c>
      <c r="AL3147">
        <v>87.171600836427601</v>
      </c>
      <c r="AM3147">
        <v>86.544395540466994</v>
      </c>
      <c r="AN3147">
        <v>0.99999998104811205</v>
      </c>
    </row>
    <row r="3148" spans="1:40" x14ac:dyDescent="0.25">
      <c r="A3148" t="str">
        <f>"20190312154856820"</f>
        <v>20190312154856820</v>
      </c>
      <c r="B3148" t="str">
        <f>"1552376936809319"</f>
        <v>1552376936809319</v>
      </c>
      <c r="C3148" t="s">
        <v>40</v>
      </c>
      <c r="D3148">
        <v>3.826816</v>
      </c>
      <c r="E3148">
        <v>0.54461400000000004</v>
      </c>
      <c r="F3148" t="s">
        <v>50</v>
      </c>
      <c r="G3148">
        <v>-383.29989999999998</v>
      </c>
      <c r="H3148">
        <v>8.0000829999999995E-2</v>
      </c>
      <c r="I3148">
        <v>206.958</v>
      </c>
      <c r="J3148">
        <v>-462.9357</v>
      </c>
      <c r="K3148">
        <v>1.1079619999999999</v>
      </c>
      <c r="L3148">
        <v>216.24109999999999</v>
      </c>
      <c r="M3148">
        <v>0.99995829999999997</v>
      </c>
      <c r="N3148">
        <v>0</v>
      </c>
      <c r="O3148">
        <v>-8.9795180000000006E-3</v>
      </c>
      <c r="P3148">
        <v>0.9963244</v>
      </c>
      <c r="Q3148">
        <v>4.543846E-2</v>
      </c>
      <c r="R3148">
        <v>-7.2618100000000005E-2</v>
      </c>
      <c r="S3148">
        <v>2.989166</v>
      </c>
      <c r="T3148">
        <v>-3.8097499999999999E-2</v>
      </c>
      <c r="U3148">
        <v>-0.34442139999999999</v>
      </c>
      <c r="V3148">
        <v>6.3758280000000001E-2</v>
      </c>
      <c r="W3148">
        <v>4.7041050000000001E-2</v>
      </c>
      <c r="X3148">
        <v>0.99685610000000002</v>
      </c>
      <c r="Y3148">
        <v>0.105533</v>
      </c>
      <c r="Z3148">
        <v>-5.5622690000000003E-4</v>
      </c>
      <c r="AA3148">
        <v>0.99441559999999996</v>
      </c>
      <c r="AB3148">
        <v>21</v>
      </c>
      <c r="AC3148">
        <v>79.635800000000003</v>
      </c>
      <c r="AD3148">
        <v>-1.02796117</v>
      </c>
      <c r="AE3148">
        <v>-9.2830999999999904</v>
      </c>
      <c r="AF3148">
        <v>8.5662254456702591</v>
      </c>
      <c r="AG3148">
        <v>-1.02796117</v>
      </c>
      <c r="AH3148">
        <v>79.702844877395094</v>
      </c>
      <c r="AI3148">
        <v>90.734696136682402</v>
      </c>
      <c r="AJ3148">
        <v>83.865567430593501</v>
      </c>
      <c r="AK3148">
        <v>80.168450179002306</v>
      </c>
      <c r="AL3148">
        <v>87.303751427989496</v>
      </c>
      <c r="AM3148">
        <v>86.3403833274714</v>
      </c>
      <c r="AN3148">
        <v>1.00000003138043</v>
      </c>
    </row>
    <row r="3149" spans="1:40" x14ac:dyDescent="0.25">
      <c r="A3149" t="str">
        <f>"20190312154856843"</f>
        <v>20190312154856843</v>
      </c>
      <c r="B3149" t="str">
        <f>"1552376936839298"</f>
        <v>1552376936839298</v>
      </c>
      <c r="C3149" t="s">
        <v>40</v>
      </c>
      <c r="D3149">
        <v>4.5175159999999996</v>
      </c>
      <c r="E3149">
        <v>0.54062129999999997</v>
      </c>
      <c r="F3149" t="s">
        <v>41</v>
      </c>
      <c r="G3149">
        <v>-462.2242</v>
      </c>
      <c r="H3149">
        <v>0.90535699999999997</v>
      </c>
      <c r="I3149">
        <v>216.1148</v>
      </c>
      <c r="J3149">
        <v>-462.71589999999998</v>
      </c>
      <c r="K3149">
        <v>1.1079270000000001</v>
      </c>
      <c r="L3149">
        <v>216.23759999999999</v>
      </c>
      <c r="M3149">
        <v>0.99994519999999998</v>
      </c>
      <c r="N3149">
        <v>0</v>
      </c>
      <c r="O3149">
        <v>-1.0380469999999999E-2</v>
      </c>
      <c r="P3149">
        <v>0.99621959999999998</v>
      </c>
      <c r="Q3149">
        <v>4.515632E-2</v>
      </c>
      <c r="R3149">
        <v>-7.4212739999999999E-2</v>
      </c>
      <c r="S3149">
        <v>3.0113530000000002</v>
      </c>
      <c r="T3149">
        <v>-0.857204999999999</v>
      </c>
      <c r="U3149">
        <v>-0.53273009999999998</v>
      </c>
      <c r="V3149">
        <v>6.3957559999999997E-2</v>
      </c>
      <c r="W3149">
        <v>4.6454219999999997E-2</v>
      </c>
      <c r="X3149">
        <v>0.99687079999999995</v>
      </c>
      <c r="Y3149">
        <v>0.15827359999999999</v>
      </c>
      <c r="Z3149">
        <v>-1.9051950000000002E-2</v>
      </c>
      <c r="AA3149">
        <v>0.98721150000000002</v>
      </c>
      <c r="AB3149">
        <v>21</v>
      </c>
      <c r="AC3149">
        <v>0.49169999999997999</v>
      </c>
      <c r="AD3149">
        <v>-0.20257</v>
      </c>
      <c r="AE3149">
        <v>-0.12279999999998301</v>
      </c>
      <c r="AF3149">
        <v>0.101477136135646</v>
      </c>
      <c r="AG3149">
        <v>-0.20257</v>
      </c>
      <c r="AH3149">
        <v>0.425042666690709</v>
      </c>
      <c r="AI3149">
        <v>114.870514707346</v>
      </c>
      <c r="AJ3149">
        <v>76.572234630163905</v>
      </c>
      <c r="AK3149">
        <v>0.48165701756108797</v>
      </c>
      <c r="AL3149">
        <v>87.337410966446299</v>
      </c>
      <c r="AM3149">
        <v>86.329030210169506</v>
      </c>
      <c r="AN3149">
        <v>0.9999999779648</v>
      </c>
    </row>
    <row r="3150" spans="1:40" x14ac:dyDescent="0.25">
      <c r="A3150" t="str">
        <f>"20190312154856866"</f>
        <v>20190312154856866</v>
      </c>
      <c r="B3150" t="str">
        <f>"1552376936858818"</f>
        <v>1552376936858818</v>
      </c>
      <c r="C3150" t="s">
        <v>40</v>
      </c>
      <c r="D3150">
        <v>4.8948070000000001</v>
      </c>
      <c r="E3150">
        <v>0.53930409999999995</v>
      </c>
      <c r="F3150" t="s">
        <v>41</v>
      </c>
      <c r="G3150">
        <v>-462.01569999999998</v>
      </c>
      <c r="H3150">
        <v>0.93780920000000001</v>
      </c>
      <c r="I3150">
        <v>216.1181</v>
      </c>
      <c r="J3150">
        <v>-462.4898</v>
      </c>
      <c r="K3150">
        <v>1.107885</v>
      </c>
      <c r="L3150">
        <v>216.2337</v>
      </c>
      <c r="M3150">
        <v>0.99992950000000003</v>
      </c>
      <c r="N3150">
        <v>0</v>
      </c>
      <c r="O3150">
        <v>-1.1822289999999999E-2</v>
      </c>
      <c r="P3150">
        <v>0.99609049999999999</v>
      </c>
      <c r="Q3150">
        <v>4.5295120000000001E-2</v>
      </c>
      <c r="R3150">
        <v>-7.5847129999999999E-2</v>
      </c>
      <c r="S3150">
        <v>3.0064090000000001</v>
      </c>
      <c r="T3150">
        <v>-0.73024809999999996</v>
      </c>
      <c r="U3150">
        <v>-0.51177980000000001</v>
      </c>
      <c r="V3150">
        <v>6.41568E-2</v>
      </c>
      <c r="W3150">
        <v>4.6321809999999998E-2</v>
      </c>
      <c r="X3150">
        <v>0.99686419999999998</v>
      </c>
      <c r="Y3150">
        <v>0.15218329999999999</v>
      </c>
      <c r="Z3150">
        <v>-1.5282550000000001E-2</v>
      </c>
      <c r="AA3150">
        <v>0.9882341</v>
      </c>
      <c r="AB3150">
        <v>22</v>
      </c>
      <c r="AC3150">
        <v>0.474100000000021</v>
      </c>
      <c r="AD3150">
        <v>-0.1700758</v>
      </c>
      <c r="AE3150">
        <v>-0.11559999999999999</v>
      </c>
      <c r="AF3150">
        <v>9.8074069322287794E-2</v>
      </c>
      <c r="AG3150">
        <v>-0.1700758</v>
      </c>
      <c r="AH3150">
        <v>0.423938403163303</v>
      </c>
      <c r="AI3150">
        <v>111.348427569069</v>
      </c>
      <c r="AJ3150">
        <v>76.974317516553995</v>
      </c>
      <c r="AK3150">
        <v>0.467191684959957</v>
      </c>
      <c r="AL3150">
        <v>87.345005785953404</v>
      </c>
      <c r="AM3150">
        <v>86.317601542186694</v>
      </c>
      <c r="AN3150">
        <v>1.00000001915477</v>
      </c>
    </row>
    <row r="3151" spans="1:40" x14ac:dyDescent="0.25">
      <c r="A3151" t="str">
        <f>"20190312154856888"</f>
        <v>20190312154856888</v>
      </c>
      <c r="B3151" t="str">
        <f>"1552376936879315"</f>
        <v>1552376936879315</v>
      </c>
      <c r="C3151" t="s">
        <v>40</v>
      </c>
      <c r="D3151">
        <v>4.4062190000000001</v>
      </c>
      <c r="E3151">
        <v>0.53209960000000001</v>
      </c>
      <c r="F3151" t="s">
        <v>41</v>
      </c>
      <c r="G3151">
        <v>-461.63029999999998</v>
      </c>
      <c r="H3151">
        <v>0.91568570000000005</v>
      </c>
      <c r="I3151">
        <v>216.08760000000001</v>
      </c>
      <c r="J3151">
        <v>-462.26979999999998</v>
      </c>
      <c r="K3151">
        <v>1.1078460000000001</v>
      </c>
      <c r="L3151">
        <v>216.2296</v>
      </c>
      <c r="M3151">
        <v>0.99991220000000003</v>
      </c>
      <c r="N3151">
        <v>0</v>
      </c>
      <c r="O3151">
        <v>-1.322283E-2</v>
      </c>
      <c r="P3151">
        <v>0.99589660000000002</v>
      </c>
      <c r="Q3151">
        <v>4.6219040000000003E-2</v>
      </c>
      <c r="R3151">
        <v>-7.780782E-2</v>
      </c>
      <c r="S3151">
        <v>3.0035099999999999</v>
      </c>
      <c r="T3151">
        <v>-0.67152789999999996</v>
      </c>
      <c r="U3151">
        <v>-0.50904850000000001</v>
      </c>
      <c r="V3151">
        <v>6.4726699999999998E-2</v>
      </c>
      <c r="W3151">
        <v>4.7019129999999999E-2</v>
      </c>
      <c r="X3151">
        <v>0.99679470000000003</v>
      </c>
      <c r="Y3151">
        <v>0.1507501</v>
      </c>
      <c r="Z3151">
        <v>-1.363373E-2</v>
      </c>
      <c r="AA3151">
        <v>0.98847790000000002</v>
      </c>
      <c r="AB3151">
        <v>22</v>
      </c>
      <c r="AC3151">
        <v>0.63949999999999796</v>
      </c>
      <c r="AD3151">
        <v>-0.19216029999999901</v>
      </c>
      <c r="AE3151">
        <v>-0.14199999999999499</v>
      </c>
      <c r="AF3151">
        <v>0.122951745601352</v>
      </c>
      <c r="AG3151">
        <v>-0.19216029999999901</v>
      </c>
      <c r="AH3151">
        <v>0.59050918989155099</v>
      </c>
      <c r="AI3151">
        <v>107.670950367784</v>
      </c>
      <c r="AJ3151">
        <v>78.2383138472685</v>
      </c>
      <c r="AK3151">
        <v>0.63304329708866303</v>
      </c>
      <c r="AL3151">
        <v>87.305008682635801</v>
      </c>
      <c r="AM3151">
        <v>86.284723977695904</v>
      </c>
      <c r="AN3151">
        <v>1.00000000911346</v>
      </c>
    </row>
    <row r="3152" spans="1:40" x14ac:dyDescent="0.25">
      <c r="A3152" t="str">
        <f>"20190312154856910"</f>
        <v>20190312154856910</v>
      </c>
      <c r="B3152" t="str">
        <f>"1552376936899810"</f>
        <v>1552376936899810</v>
      </c>
      <c r="C3152" t="s">
        <v>40</v>
      </c>
      <c r="D3152">
        <v>4.3708210000000003</v>
      </c>
      <c r="E3152">
        <v>0.5334757</v>
      </c>
      <c r="F3152" t="s">
        <v>51</v>
      </c>
      <c r="G3152">
        <v>-430.97469999999998</v>
      </c>
      <c r="H3152" s="1">
        <v>2.9484360000000002E-6</v>
      </c>
      <c r="I3152">
        <v>211.19370000000001</v>
      </c>
      <c r="J3152">
        <v>-462.04860000000002</v>
      </c>
      <c r="K3152">
        <v>1.1078129999999999</v>
      </c>
      <c r="L3152">
        <v>216.2251</v>
      </c>
      <c r="M3152">
        <v>0.99989269999999997</v>
      </c>
      <c r="N3152">
        <v>0</v>
      </c>
      <c r="O3152">
        <v>-1.4629039999999999E-2</v>
      </c>
      <c r="P3152">
        <v>0.99571010000000004</v>
      </c>
      <c r="Q3152">
        <v>4.7206600000000001E-2</v>
      </c>
      <c r="R3152">
        <v>-7.9581319999999997E-2</v>
      </c>
      <c r="S3152">
        <v>2.9797669999999998</v>
      </c>
      <c r="T3152">
        <v>-0.1054833</v>
      </c>
      <c r="U3152">
        <v>-0.47949219999999998</v>
      </c>
      <c r="V3152">
        <v>6.5104010000000004E-2</v>
      </c>
      <c r="W3152">
        <v>4.7807889999999999E-2</v>
      </c>
      <c r="X3152">
        <v>0.99673259999999997</v>
      </c>
      <c r="Y3152">
        <v>0.14433289999999999</v>
      </c>
      <c r="Z3152">
        <v>-2.0233400000000002E-3</v>
      </c>
      <c r="AA3152">
        <v>0.98952709999999999</v>
      </c>
      <c r="AB3152">
        <v>22</v>
      </c>
      <c r="AC3152">
        <v>31.073899999999998</v>
      </c>
      <c r="AD3152">
        <v>-1.1078100515639999</v>
      </c>
      <c r="AE3152">
        <v>-5.0313999999999899</v>
      </c>
      <c r="AF3152">
        <v>4.5706193697636097</v>
      </c>
      <c r="AG3152">
        <v>-1.1078100515639999</v>
      </c>
      <c r="AH3152">
        <v>31.1056546606758</v>
      </c>
      <c r="AI3152">
        <v>92.018043075640506</v>
      </c>
      <c r="AJ3152">
        <v>81.640860045158206</v>
      </c>
      <c r="AK3152">
        <v>31.4591728499467</v>
      </c>
      <c r="AL3152">
        <v>87.259765157835005</v>
      </c>
      <c r="AM3152">
        <v>86.262895623430097</v>
      </c>
      <c r="AN3152">
        <v>1.0000000011835399</v>
      </c>
    </row>
    <row r="3153" spans="1:40" x14ac:dyDescent="0.25">
      <c r="A3153" t="str">
        <f>"20190312154856932"</f>
        <v>20190312154856932</v>
      </c>
      <c r="B3153" t="str">
        <f>"1552376936928880"</f>
        <v>1552376936928880</v>
      </c>
      <c r="C3153" t="s">
        <v>40</v>
      </c>
      <c r="D3153">
        <v>4.3902970000000003</v>
      </c>
      <c r="E3153">
        <v>0.53378549999999902</v>
      </c>
      <c r="F3153" t="s">
        <v>51</v>
      </c>
      <c r="G3153">
        <v>-419.08609999999999</v>
      </c>
      <c r="H3153" s="1">
        <v>4.4535139999999998E-6</v>
      </c>
      <c r="I3153">
        <v>209.05359999999999</v>
      </c>
      <c r="J3153">
        <v>-461.82209999999998</v>
      </c>
      <c r="K3153">
        <v>1.1077779999999999</v>
      </c>
      <c r="L3153">
        <v>216.22030000000001</v>
      </c>
      <c r="M3153">
        <v>0.99987090000000001</v>
      </c>
      <c r="N3153">
        <v>0</v>
      </c>
      <c r="O3153">
        <v>-1.606641E-2</v>
      </c>
      <c r="P3153">
        <v>0.99549350000000003</v>
      </c>
      <c r="Q3153">
        <v>4.8692060000000002E-2</v>
      </c>
      <c r="R3153">
        <v>-8.1376019999999993E-2</v>
      </c>
      <c r="S3153">
        <v>2.9767760000000001</v>
      </c>
      <c r="T3153">
        <v>-7.675767E-2</v>
      </c>
      <c r="U3153">
        <v>-0.49690250000000002</v>
      </c>
      <c r="V3153">
        <v>6.5473760000000006E-2</v>
      </c>
      <c r="W3153">
        <v>4.9117170000000002E-2</v>
      </c>
      <c r="X3153">
        <v>0.99664470000000005</v>
      </c>
      <c r="Y3153">
        <v>0.14873699999999901</v>
      </c>
      <c r="Z3153">
        <v>-1.492927E-3</v>
      </c>
      <c r="AA3153">
        <v>0.98887570000000002</v>
      </c>
      <c r="AB3153">
        <v>22</v>
      </c>
      <c r="AC3153">
        <v>42.735999999999898</v>
      </c>
      <c r="AD3153">
        <v>-1.1077735464859999</v>
      </c>
      <c r="AE3153">
        <v>-7.1667000000000103</v>
      </c>
      <c r="AF3153">
        <v>6.4749292567144199</v>
      </c>
      <c r="AG3153">
        <v>-1.1077735464859999</v>
      </c>
      <c r="AH3153">
        <v>42.817644207019697</v>
      </c>
      <c r="AI3153">
        <v>91.4653669507682</v>
      </c>
      <c r="AJ3153">
        <v>81.400824964580494</v>
      </c>
      <c r="AK3153">
        <v>43.318616396979699</v>
      </c>
      <c r="AL3153">
        <v>87.184660637783495</v>
      </c>
      <c r="AM3153">
        <v>86.241401354054204</v>
      </c>
      <c r="AN3153">
        <v>0.99999998383771804</v>
      </c>
    </row>
    <row r="3154" spans="1:40" x14ac:dyDescent="0.25">
      <c r="A3154" t="str">
        <f>"20190312154856958"</f>
        <v>20190312154856958</v>
      </c>
      <c r="B3154" t="str">
        <f>"1552376936949376"</f>
        <v>1552376936949376</v>
      </c>
      <c r="C3154" t="s">
        <v>40</v>
      </c>
      <c r="D3154">
        <v>4.4053879999999896</v>
      </c>
      <c r="E3154">
        <v>0.53257909999999997</v>
      </c>
      <c r="F3154" t="s">
        <v>51</v>
      </c>
      <c r="G3154">
        <v>-408.8648</v>
      </c>
      <c r="H3154">
        <v>8.0001379999999997E-2</v>
      </c>
      <c r="I3154">
        <v>207.22749999999999</v>
      </c>
      <c r="J3154">
        <v>-461.57350000000002</v>
      </c>
      <c r="K3154">
        <v>1.107747</v>
      </c>
      <c r="L3154">
        <v>216.21459999999999</v>
      </c>
      <c r="M3154">
        <v>0.99984439999999997</v>
      </c>
      <c r="N3154">
        <v>0</v>
      </c>
      <c r="O3154">
        <v>-1.7637190000000001E-2</v>
      </c>
      <c r="P3154">
        <v>0.99525070000000004</v>
      </c>
      <c r="Q3154">
        <v>5.0521690000000001E-2</v>
      </c>
      <c r="R3154">
        <v>-8.3209829999999999E-2</v>
      </c>
      <c r="S3154">
        <v>2.9750670000000001</v>
      </c>
      <c r="T3154">
        <v>-5.7739140000000001E-2</v>
      </c>
      <c r="U3154">
        <v>-0.50520319999999996</v>
      </c>
      <c r="V3154">
        <v>6.5751199999999996E-2</v>
      </c>
      <c r="W3154">
        <v>5.0781640000000003E-2</v>
      </c>
      <c r="X3154">
        <v>0.99654299999999996</v>
      </c>
      <c r="Y3154">
        <v>0.1499772</v>
      </c>
      <c r="Z3154">
        <v>-1.1051850000000001E-3</v>
      </c>
      <c r="AA3154">
        <v>0.98868880000000003</v>
      </c>
      <c r="AB3154">
        <v>23</v>
      </c>
      <c r="AC3154">
        <v>52.7087</v>
      </c>
      <c r="AD3154">
        <v>-1.0277456199999999</v>
      </c>
      <c r="AE3154">
        <v>-8.9870999999999892</v>
      </c>
      <c r="AF3154">
        <v>8.0530934236655796</v>
      </c>
      <c r="AG3154">
        <v>-1.0277456199999999</v>
      </c>
      <c r="AH3154">
        <v>52.8394867162379</v>
      </c>
      <c r="AI3154">
        <v>91.101564658236498</v>
      </c>
      <c r="AJ3154">
        <v>81.334421099433001</v>
      </c>
      <c r="AK3154">
        <v>53.459516750389703</v>
      </c>
      <c r="AL3154">
        <v>87.089174296738705</v>
      </c>
      <c r="AM3154">
        <v>86.225136442698997</v>
      </c>
      <c r="AN3154">
        <v>0.99999997305576405</v>
      </c>
    </row>
    <row r="3155" spans="1:40" x14ac:dyDescent="0.25">
      <c r="A3155" t="str">
        <f>"20190312154856979"</f>
        <v>20190312154856979</v>
      </c>
      <c r="B3155" t="str">
        <f>"1552376936968895"</f>
        <v>1552376936968895</v>
      </c>
      <c r="C3155" t="s">
        <v>40</v>
      </c>
      <c r="D3155">
        <v>4.3892800000000003</v>
      </c>
      <c r="E3155">
        <v>0.53101279999999995</v>
      </c>
      <c r="F3155" t="s">
        <v>51</v>
      </c>
      <c r="G3155">
        <v>-403.21839999999997</v>
      </c>
      <c r="H3155">
        <v>8.000148E-2</v>
      </c>
      <c r="I3155">
        <v>206.38210000000001</v>
      </c>
      <c r="J3155">
        <v>-461.34120000000001</v>
      </c>
      <c r="K3155">
        <v>1.107723</v>
      </c>
      <c r="L3155">
        <v>216.209</v>
      </c>
      <c r="M3155">
        <v>0.99981779999999998</v>
      </c>
      <c r="N3155">
        <v>0</v>
      </c>
      <c r="O3155">
        <v>-1.9092970000000001E-2</v>
      </c>
      <c r="P3155">
        <v>0.99495739999999999</v>
      </c>
      <c r="Q3155">
        <v>5.27708E-2</v>
      </c>
      <c r="R3155">
        <v>-8.5294519999999999E-2</v>
      </c>
      <c r="S3155">
        <v>2.9750670000000001</v>
      </c>
      <c r="T3155">
        <v>-5.2396659999999998E-2</v>
      </c>
      <c r="U3155">
        <v>-0.50128170000000005</v>
      </c>
      <c r="V3155">
        <v>6.6396040000000003E-2</v>
      </c>
      <c r="W3155">
        <v>5.289833E-2</v>
      </c>
      <c r="X3155">
        <v>0.9963902</v>
      </c>
      <c r="Y3155">
        <v>0.14727499999999999</v>
      </c>
      <c r="Z3155">
        <v>-9.5398689999999996E-4</v>
      </c>
      <c r="AA3155">
        <v>0.98909519999999995</v>
      </c>
      <c r="AB3155">
        <v>23</v>
      </c>
      <c r="AC3155">
        <v>58.122799999999998</v>
      </c>
      <c r="AD3155">
        <v>-1.0277215200000001</v>
      </c>
      <c r="AE3155">
        <v>-9.8268999999999895</v>
      </c>
      <c r="AF3155">
        <v>8.7127235742080398</v>
      </c>
      <c r="AG3155">
        <v>-1.0277215200000001</v>
      </c>
      <c r="AH3155">
        <v>58.282114160989899</v>
      </c>
      <c r="AI3155">
        <v>90.999124022781899</v>
      </c>
      <c r="AJ3155">
        <v>81.497689049924603</v>
      </c>
      <c r="AK3155">
        <v>58.938718977238501</v>
      </c>
      <c r="AL3155">
        <v>86.967733808987504</v>
      </c>
      <c r="AM3155">
        <v>86.187641109962399</v>
      </c>
      <c r="AN3155">
        <v>1.0000000490502501</v>
      </c>
    </row>
    <row r="3156" spans="1:40" x14ac:dyDescent="0.25">
      <c r="A3156" t="str">
        <f>"20190312154857001"</f>
        <v>20190312154857001</v>
      </c>
      <c r="B3156" t="str">
        <f>"1552376936989392"</f>
        <v>1552376936989392</v>
      </c>
      <c r="C3156" t="s">
        <v>40</v>
      </c>
      <c r="D3156">
        <v>4.3896050000000004</v>
      </c>
      <c r="E3156">
        <v>0.52977909999999995</v>
      </c>
      <c r="F3156" t="s">
        <v>50</v>
      </c>
      <c r="G3156">
        <v>-397.9563</v>
      </c>
      <c r="H3156">
        <v>8.0000589999999996E-2</v>
      </c>
      <c r="I3156">
        <v>205.6712</v>
      </c>
      <c r="J3156">
        <v>-461.10809999999998</v>
      </c>
      <c r="K3156">
        <v>1.1077060000000001</v>
      </c>
      <c r="L3156">
        <v>216.203</v>
      </c>
      <c r="M3156">
        <v>0.99978909999999999</v>
      </c>
      <c r="N3156">
        <v>0</v>
      </c>
      <c r="O3156">
        <v>-2.0535649999999999E-2</v>
      </c>
      <c r="P3156">
        <v>0.99469129999999994</v>
      </c>
      <c r="Q3156">
        <v>5.5071290000000002E-2</v>
      </c>
      <c r="R3156">
        <v>-8.6927470000000007E-2</v>
      </c>
      <c r="S3156">
        <v>2.9753720000000001</v>
      </c>
      <c r="T3156">
        <v>-4.8242689999999998E-2</v>
      </c>
      <c r="U3156">
        <v>-0.49465940000000003</v>
      </c>
      <c r="V3156">
        <v>6.6602010000000003E-2</v>
      </c>
      <c r="W3156">
        <v>5.5086200000000002E-2</v>
      </c>
      <c r="X3156">
        <v>0.99625779999999997</v>
      </c>
      <c r="Y3156">
        <v>0.143692299999999</v>
      </c>
      <c r="Z3156">
        <v>-8.2638239999999999E-4</v>
      </c>
      <c r="AA3156">
        <v>0.98962209999999995</v>
      </c>
      <c r="AB3156">
        <v>23</v>
      </c>
      <c r="AC3156">
        <v>63.151799999999902</v>
      </c>
      <c r="AD3156">
        <v>-1.02770540999999</v>
      </c>
      <c r="AE3156">
        <v>-10.5318</v>
      </c>
      <c r="AF3156">
        <v>9.2303374617397296</v>
      </c>
      <c r="AG3156">
        <v>-1.02770540999999</v>
      </c>
      <c r="AH3156">
        <v>63.338440019761101</v>
      </c>
      <c r="AI3156">
        <v>90.919863212209293</v>
      </c>
      <c r="AJ3156">
        <v>81.708628827085903</v>
      </c>
      <c r="AK3156">
        <v>64.015726913034598</v>
      </c>
      <c r="AL3156">
        <v>86.842194676420803</v>
      </c>
      <c r="AM3156">
        <v>86.175342954559397</v>
      </c>
      <c r="AN3156">
        <v>0.99999996061365903</v>
      </c>
    </row>
    <row r="3157" spans="1:40" x14ac:dyDescent="0.25">
      <c r="A3157" t="str">
        <f>"20190312154857023"</f>
        <v>20190312154857023</v>
      </c>
      <c r="B3157" t="str">
        <f>"1552376937008912"</f>
        <v>1552376937008912</v>
      </c>
      <c r="C3157" t="s">
        <v>40</v>
      </c>
      <c r="D3157">
        <v>4.4262389999999998</v>
      </c>
      <c r="E3157">
        <v>0.52881599999999995</v>
      </c>
      <c r="F3157" t="s">
        <v>50</v>
      </c>
      <c r="G3157">
        <v>-391.14449999999999</v>
      </c>
      <c r="H3157">
        <v>8.0001119999999995E-2</v>
      </c>
      <c r="I3157">
        <v>204.6858</v>
      </c>
      <c r="J3157">
        <v>-460.87900000000002</v>
      </c>
      <c r="K3157">
        <v>1.1076900000000001</v>
      </c>
      <c r="L3157">
        <v>216.1968</v>
      </c>
      <c r="M3157">
        <v>0.99975959999999997</v>
      </c>
      <c r="N3157">
        <v>0</v>
      </c>
      <c r="O3157">
        <v>-2.1927800000000001E-2</v>
      </c>
      <c r="P3157">
        <v>0.99441579999999996</v>
      </c>
      <c r="Q3157">
        <v>5.7220590000000002E-2</v>
      </c>
      <c r="R3157">
        <v>-8.8676379999999999E-2</v>
      </c>
      <c r="S3157">
        <v>2.975616</v>
      </c>
      <c r="T3157">
        <v>-4.3709280000000003E-2</v>
      </c>
      <c r="U3157">
        <v>-0.48983759999999998</v>
      </c>
      <c r="V3157">
        <v>6.6973619999999998E-2</v>
      </c>
      <c r="W3157">
        <v>5.7142409999999998E-2</v>
      </c>
      <c r="X3157">
        <v>0.99611709999999998</v>
      </c>
      <c r="Y3157">
        <v>0.14074300000000001</v>
      </c>
      <c r="Z3157">
        <v>-7.0696520000000001E-4</v>
      </c>
      <c r="AA3157">
        <v>0.99004590000000003</v>
      </c>
      <c r="AB3157">
        <v>23</v>
      </c>
      <c r="AC3157">
        <v>69.734499999999997</v>
      </c>
      <c r="AD3157">
        <v>-1.0276888799999999</v>
      </c>
      <c r="AE3157">
        <v>-11.5109999999999</v>
      </c>
      <c r="AF3157">
        <v>9.9769987869315795</v>
      </c>
      <c r="AG3157">
        <v>-1.0276888799999999</v>
      </c>
      <c r="AH3157">
        <v>69.955353528368903</v>
      </c>
      <c r="AI3157">
        <v>90.833220969952393</v>
      </c>
      <c r="AJ3157">
        <v>81.883240704768795</v>
      </c>
      <c r="AK3157">
        <v>70.670702108494595</v>
      </c>
      <c r="AL3157">
        <v>86.724196697773493</v>
      </c>
      <c r="AM3157">
        <v>86.153525310148098</v>
      </c>
      <c r="AN3157">
        <v>0.999999998854461</v>
      </c>
    </row>
    <row r="3158" spans="1:40" x14ac:dyDescent="0.25">
      <c r="A3158" t="str">
        <f>"20190312154857045"</f>
        <v>20190312154857045</v>
      </c>
      <c r="B3158" t="str">
        <f>"1552376937038913"</f>
        <v>1552376937038913</v>
      </c>
      <c r="C3158" t="s">
        <v>40</v>
      </c>
      <c r="D3158">
        <v>4.4362719999999998</v>
      </c>
      <c r="E3158">
        <v>0.52759400000000001</v>
      </c>
      <c r="F3158" t="s">
        <v>43</v>
      </c>
      <c r="G3158">
        <v>-374.26119999999997</v>
      </c>
      <c r="H3158">
        <v>-0.05</v>
      </c>
      <c r="I3158">
        <v>202.0147</v>
      </c>
      <c r="J3158">
        <v>-460.64049999999997</v>
      </c>
      <c r="K3158">
        <v>1.10768</v>
      </c>
      <c r="L3158">
        <v>216.1901</v>
      </c>
      <c r="M3158">
        <v>0.99972749999999999</v>
      </c>
      <c r="N3158">
        <v>0</v>
      </c>
      <c r="O3158">
        <v>-2.3340679999999999E-2</v>
      </c>
      <c r="P3158">
        <v>0.99419590000000002</v>
      </c>
      <c r="Q3158">
        <v>5.9097690000000001E-2</v>
      </c>
      <c r="R3158">
        <v>-8.9901809999999999E-2</v>
      </c>
      <c r="S3158">
        <v>2.9756770000000001</v>
      </c>
      <c r="T3158">
        <v>-3.9771439999999998E-2</v>
      </c>
      <c r="U3158">
        <v>-0.48721310000000001</v>
      </c>
      <c r="V3158">
        <v>6.6799330000000004E-2</v>
      </c>
      <c r="W3158">
        <v>5.8938959999999999E-2</v>
      </c>
      <c r="X3158">
        <v>0.99602409999999997</v>
      </c>
      <c r="Y3158">
        <v>0.13849229999999901</v>
      </c>
      <c r="Z3158">
        <v>-6.096335E-4</v>
      </c>
      <c r="AA3158">
        <v>0.99036329999999995</v>
      </c>
      <c r="AB3158">
        <v>23</v>
      </c>
      <c r="AC3158">
        <v>86.379300000000001</v>
      </c>
      <c r="AD3158">
        <v>-1.1576799999999901</v>
      </c>
      <c r="AE3158">
        <v>-14.1753999999999</v>
      </c>
      <c r="AF3158">
        <v>12.1532607089566</v>
      </c>
      <c r="AG3158">
        <v>-1.1576799999999901</v>
      </c>
      <c r="AH3158">
        <v>86.671471343917503</v>
      </c>
      <c r="AI3158">
        <v>90.757846928015397</v>
      </c>
      <c r="AJ3158">
        <v>82.017905983742807</v>
      </c>
      <c r="AK3158">
        <v>87.527058180666501</v>
      </c>
      <c r="AL3158">
        <v>86.621088067422093</v>
      </c>
      <c r="AM3158">
        <v>86.163148171974797</v>
      </c>
      <c r="AN3158">
        <v>0.99999997963757004</v>
      </c>
    </row>
    <row r="3159" spans="1:40" x14ac:dyDescent="0.25">
      <c r="A3159" t="str">
        <f>"20190312154857068"</f>
        <v>20190312154857068</v>
      </c>
      <c r="B3159" t="str">
        <f>"1552376937059410"</f>
        <v>1552376937059410</v>
      </c>
      <c r="C3159" t="s">
        <v>40</v>
      </c>
      <c r="D3159">
        <v>4.4317409999999997</v>
      </c>
      <c r="E3159">
        <v>0.52675179999999999</v>
      </c>
      <c r="F3159" t="s">
        <v>43</v>
      </c>
      <c r="G3159">
        <v>-361.06310000000002</v>
      </c>
      <c r="H3159">
        <v>-0.05</v>
      </c>
      <c r="I3159">
        <v>200.0882</v>
      </c>
      <c r="J3159">
        <v>-460.40260000000001</v>
      </c>
      <c r="K3159">
        <v>1.107677</v>
      </c>
      <c r="L3159">
        <v>216.1831</v>
      </c>
      <c r="M3159">
        <v>0.99969479999999999</v>
      </c>
      <c r="N3159">
        <v>0</v>
      </c>
      <c r="O3159">
        <v>-2.470553E-2</v>
      </c>
      <c r="P3159">
        <v>0.99402970000000002</v>
      </c>
      <c r="Q3159">
        <v>6.0467239999999998E-2</v>
      </c>
      <c r="R3159">
        <v>-9.0821689999999997E-2</v>
      </c>
      <c r="S3159">
        <v>2.9760439999999999</v>
      </c>
      <c r="T3159">
        <v>-3.4599299999999999E-2</v>
      </c>
      <c r="U3159">
        <v>-0.48123169999999998</v>
      </c>
      <c r="V3159">
        <v>6.6364389999999995E-2</v>
      </c>
      <c r="W3159">
        <v>6.024413E-2</v>
      </c>
      <c r="X3159">
        <v>0.9959751</v>
      </c>
      <c r="Y3159">
        <v>0.13518359999999999</v>
      </c>
      <c r="Z3159">
        <v>-4.955227E-4</v>
      </c>
      <c r="AA3159">
        <v>0.99082049999999999</v>
      </c>
      <c r="AB3159">
        <v>24</v>
      </c>
      <c r="AC3159">
        <v>99.339500000000001</v>
      </c>
      <c r="AD3159">
        <v>-1.1576770000000001</v>
      </c>
      <c r="AE3159">
        <v>-16.0948999999999</v>
      </c>
      <c r="AF3159">
        <v>13.633948194275</v>
      </c>
      <c r="AG3159">
        <v>-1.1576770000000001</v>
      </c>
      <c r="AH3159">
        <v>99.693618766726004</v>
      </c>
      <c r="AI3159">
        <v>90.6591735121944</v>
      </c>
      <c r="AJ3159">
        <v>82.2126250359794</v>
      </c>
      <c r="AK3159">
        <v>100.628238493008</v>
      </c>
      <c r="AL3159">
        <v>86.546174242799594</v>
      </c>
      <c r="AM3159">
        <v>86.187869580838196</v>
      </c>
      <c r="AN3159">
        <v>0.99999999363976899</v>
      </c>
    </row>
    <row r="3160" spans="1:40" x14ac:dyDescent="0.25">
      <c r="A3160" t="str">
        <f>"20190312154857088"</f>
        <v>20190312154857088</v>
      </c>
      <c r="B3160" t="str">
        <f>"1552376937078930"</f>
        <v>1552376937078930</v>
      </c>
      <c r="C3160" t="s">
        <v>40</v>
      </c>
      <c r="D3160">
        <v>4.4547600000000003</v>
      </c>
      <c r="E3160">
        <v>0.526167099999999</v>
      </c>
      <c r="F3160" t="s">
        <v>43</v>
      </c>
      <c r="G3160">
        <v>-350.06630000000001</v>
      </c>
      <c r="H3160">
        <v>-0.05</v>
      </c>
      <c r="I3160">
        <v>198.4828</v>
      </c>
      <c r="J3160">
        <v>-460.17680000000001</v>
      </c>
      <c r="K3160">
        <v>1.1076790000000001</v>
      </c>
      <c r="L3160">
        <v>216.17619999999999</v>
      </c>
      <c r="M3160">
        <v>0.99966290000000002</v>
      </c>
      <c r="N3160">
        <v>0</v>
      </c>
      <c r="O3160">
        <v>-2.5965370000000002E-2</v>
      </c>
      <c r="P3160">
        <v>0.99383589999999999</v>
      </c>
      <c r="Q3160">
        <v>6.1878429999999998E-2</v>
      </c>
      <c r="R3160">
        <v>-9.1986189999999995E-2</v>
      </c>
      <c r="S3160">
        <v>2.976318</v>
      </c>
      <c r="T3160">
        <v>-3.1228300000000001E-2</v>
      </c>
      <c r="U3160">
        <v>-0.47746280000000002</v>
      </c>
      <c r="V3160">
        <v>6.6279340000000006E-2</v>
      </c>
      <c r="W3160">
        <v>6.1602980000000002E-2</v>
      </c>
      <c r="X3160">
        <v>0.9958977</v>
      </c>
      <c r="Y3160">
        <v>0.1326987</v>
      </c>
      <c r="Z3160">
        <v>-4.211792E-4</v>
      </c>
      <c r="AA3160">
        <v>0.99115629999999999</v>
      </c>
      <c r="AB3160">
        <v>24</v>
      </c>
      <c r="AC3160">
        <v>110.1105</v>
      </c>
      <c r="AD3160">
        <v>-1.1576789999999999</v>
      </c>
      <c r="AE3160">
        <v>-17.693399999999901</v>
      </c>
      <c r="AF3160">
        <v>14.8267771394486</v>
      </c>
      <c r="AG3160">
        <v>-1.1576789999999999</v>
      </c>
      <c r="AH3160">
        <v>110.520881670964</v>
      </c>
      <c r="AI3160">
        <v>90.594809031321702</v>
      </c>
      <c r="AJ3160">
        <v>82.359183185782001</v>
      </c>
      <c r="AK3160">
        <v>111.51698895835101</v>
      </c>
      <c r="AL3160">
        <v>86.468173185344995</v>
      </c>
      <c r="AM3160">
        <v>86.192445654642796</v>
      </c>
      <c r="AN3160">
        <v>1.0000000534605</v>
      </c>
    </row>
    <row r="3161" spans="1:40" x14ac:dyDescent="0.25">
      <c r="A3161" t="str">
        <f>"20190312154857112"</f>
        <v>20190312154857112</v>
      </c>
      <c r="B3161" t="str">
        <f>"1552376937099429"</f>
        <v>1552376937099429</v>
      </c>
      <c r="C3161" t="s">
        <v>40</v>
      </c>
      <c r="D3161">
        <v>4.4669179999999997</v>
      </c>
      <c r="E3161">
        <v>0.52556130000000001</v>
      </c>
      <c r="F3161" t="s">
        <v>43</v>
      </c>
      <c r="G3161">
        <v>-344.1739</v>
      </c>
      <c r="H3161">
        <v>-0.05</v>
      </c>
      <c r="I3161">
        <v>197.62020000000001</v>
      </c>
      <c r="J3161">
        <v>-459.91590000000002</v>
      </c>
      <c r="K3161">
        <v>1.1076820000000001</v>
      </c>
      <c r="L3161">
        <v>216.1679</v>
      </c>
      <c r="M3161">
        <v>0.99962530000000005</v>
      </c>
      <c r="N3161">
        <v>0</v>
      </c>
      <c r="O3161">
        <v>-2.7375779999999999E-2</v>
      </c>
      <c r="P3161">
        <v>0.99361699999999997</v>
      </c>
      <c r="Q3161">
        <v>6.3928559999999995E-2</v>
      </c>
      <c r="R3161">
        <v>-9.2945369999999999E-2</v>
      </c>
      <c r="S3161">
        <v>2.9763790000000001</v>
      </c>
      <c r="T3161">
        <v>-2.9703500000000001E-2</v>
      </c>
      <c r="U3161">
        <v>-0.47610469999999999</v>
      </c>
      <c r="V3161">
        <v>6.5841070000000002E-2</v>
      </c>
      <c r="W3161">
        <v>6.360557E-2</v>
      </c>
      <c r="X3161">
        <v>0.99580089999999999</v>
      </c>
      <c r="Y3161">
        <v>0.13085659999999999</v>
      </c>
      <c r="Z3161">
        <v>-3.7751959999999998E-4</v>
      </c>
      <c r="AA3161">
        <v>0.99140130000000004</v>
      </c>
      <c r="AB3161">
        <v>24</v>
      </c>
      <c r="AC3161">
        <v>115.742</v>
      </c>
      <c r="AD3161">
        <v>-1.1576819999999901</v>
      </c>
      <c r="AE3161">
        <v>-18.547699999999899</v>
      </c>
      <c r="AF3161">
        <v>15.3707220460206</v>
      </c>
      <c r="AG3161">
        <v>-1.1576819999999901</v>
      </c>
      <c r="AH3161">
        <v>116.195045419225</v>
      </c>
      <c r="AI3161">
        <v>90.565904548077995</v>
      </c>
      <c r="AJ3161">
        <v>82.4644482430528</v>
      </c>
      <c r="AK3161">
        <v>117.21300228133801</v>
      </c>
      <c r="AL3161">
        <v>86.353207777965295</v>
      </c>
      <c r="AM3161">
        <v>86.2171830381521</v>
      </c>
      <c r="AN3161">
        <v>1.0000000737372801</v>
      </c>
    </row>
    <row r="3162" spans="1:40" x14ac:dyDescent="0.25">
      <c r="A3162" t="str">
        <f>"20190312154857133"</f>
        <v>20190312154857133</v>
      </c>
      <c r="B3162" t="str">
        <f>"1552376937128705"</f>
        <v>1552376937128705</v>
      </c>
      <c r="C3162" t="s">
        <v>40</v>
      </c>
      <c r="D3162">
        <v>4.5190109999999999</v>
      </c>
      <c r="E3162">
        <v>0.52484330000000001</v>
      </c>
      <c r="F3162" t="s">
        <v>58</v>
      </c>
      <c r="G3162">
        <v>-357.8073</v>
      </c>
      <c r="H3162">
        <v>0.19864470000000001</v>
      </c>
      <c r="I3162">
        <v>199.90719999999999</v>
      </c>
      <c r="J3162">
        <v>-459.67790000000002</v>
      </c>
      <c r="K3162">
        <v>1.1076839999999999</v>
      </c>
      <c r="L3162">
        <v>216.16</v>
      </c>
      <c r="M3162">
        <v>0.99959030000000004</v>
      </c>
      <c r="N3162">
        <v>0</v>
      </c>
      <c r="O3162">
        <v>-2.8620619999999999E-2</v>
      </c>
      <c r="P3162">
        <v>0.99346610000000002</v>
      </c>
      <c r="Q3162">
        <v>6.5108460000000007E-2</v>
      </c>
      <c r="R3162">
        <v>-9.3732889999999999E-2</v>
      </c>
      <c r="S3162">
        <v>2.9766539999999999</v>
      </c>
      <c r="T3162">
        <v>-2.6499749999999999E-2</v>
      </c>
      <c r="U3162">
        <v>-0.47402949999999999</v>
      </c>
      <c r="V3162">
        <v>6.5392989999999998E-2</v>
      </c>
      <c r="W3162">
        <v>6.4750470000000004E-2</v>
      </c>
      <c r="X3162">
        <v>0.99575659999999999</v>
      </c>
      <c r="Y3162">
        <v>0.12893470000000001</v>
      </c>
      <c r="Z3162">
        <v>-3.1729140000000001E-4</v>
      </c>
      <c r="AA3162">
        <v>0.99165300000000001</v>
      </c>
      <c r="AB3162">
        <v>24</v>
      </c>
      <c r="AC3162">
        <v>101.8706</v>
      </c>
      <c r="AD3162">
        <v>-0.90903929999999999</v>
      </c>
      <c r="AE3162">
        <v>-16.252800000000001</v>
      </c>
      <c r="AF3162">
        <v>13.3295070512102</v>
      </c>
      <c r="AG3162">
        <v>-0.90903929999999999</v>
      </c>
      <c r="AH3162">
        <v>102.28609085089199</v>
      </c>
      <c r="AI3162">
        <v>90.504917918506294</v>
      </c>
      <c r="AJ3162">
        <v>82.575287968179794</v>
      </c>
      <c r="AK3162">
        <v>103.15496348811401</v>
      </c>
      <c r="AL3162">
        <v>86.287474190939605</v>
      </c>
      <c r="AM3162">
        <v>86.2426862587334</v>
      </c>
      <c r="AN3162">
        <v>1.0000000364749499</v>
      </c>
    </row>
    <row r="3163" spans="1:40" x14ac:dyDescent="0.25">
      <c r="A3163" t="str">
        <f>"20190312154857157"</f>
        <v>20190312154857157</v>
      </c>
      <c r="B3163" t="str">
        <f>"1552376937149201"</f>
        <v>1552376937149201</v>
      </c>
      <c r="C3163" t="s">
        <v>40</v>
      </c>
      <c r="D3163">
        <v>4.5023010000000001</v>
      </c>
      <c r="E3163">
        <v>0.52447679999999997</v>
      </c>
      <c r="F3163" t="s">
        <v>43</v>
      </c>
      <c r="G3163">
        <v>-335.30840000000001</v>
      </c>
      <c r="H3163">
        <v>-0.05</v>
      </c>
      <c r="I3163">
        <v>196.5077</v>
      </c>
      <c r="J3163">
        <v>-459.4092</v>
      </c>
      <c r="K3163">
        <v>1.107685</v>
      </c>
      <c r="L3163">
        <v>216.15090000000001</v>
      </c>
      <c r="M3163">
        <v>0.99955059999999996</v>
      </c>
      <c r="N3163">
        <v>0</v>
      </c>
      <c r="O3163">
        <v>-2.9980739999999999E-2</v>
      </c>
      <c r="P3163">
        <v>0.99336749999999996</v>
      </c>
      <c r="Q3163">
        <v>6.5681680000000006E-2</v>
      </c>
      <c r="R3163">
        <v>-9.4377740000000002E-2</v>
      </c>
      <c r="S3163">
        <v>2.9772029999999998</v>
      </c>
      <c r="T3163">
        <v>-2.7713060000000001E-2</v>
      </c>
      <c r="U3163">
        <v>-0.47044370000000002</v>
      </c>
      <c r="V3163">
        <v>6.4684539999999999E-2</v>
      </c>
      <c r="W3163">
        <v>6.5293870000000004E-2</v>
      </c>
      <c r="X3163">
        <v>0.99576739999999997</v>
      </c>
      <c r="Y3163">
        <v>0.12639120000000001</v>
      </c>
      <c r="Z3163">
        <v>-3.0745959999999999E-4</v>
      </c>
      <c r="AA3163">
        <v>0.99198039999999998</v>
      </c>
      <c r="AB3163">
        <v>25</v>
      </c>
      <c r="AC3163">
        <v>124.10080000000001</v>
      </c>
      <c r="AD3163">
        <v>-1.1576850000000001</v>
      </c>
      <c r="AE3163">
        <v>-19.6432</v>
      </c>
      <c r="AF3163">
        <v>15.912385673317001</v>
      </c>
      <c r="AG3163">
        <v>-1.1576850000000001</v>
      </c>
      <c r="AH3163">
        <v>124.623351428399</v>
      </c>
      <c r="AI3163">
        <v>90.527946218133906</v>
      </c>
      <c r="AJ3163">
        <v>82.723628109768896</v>
      </c>
      <c r="AK3163">
        <v>125.640455163223</v>
      </c>
      <c r="AL3163">
        <v>86.256273678710699</v>
      </c>
      <c r="AM3163">
        <v>86.2833174608446</v>
      </c>
      <c r="AN3163">
        <v>1.0000000470386701</v>
      </c>
    </row>
    <row r="3164" spans="1:40" x14ac:dyDescent="0.25">
      <c r="A3164" t="str">
        <f>"20190312154857203"</f>
        <v>20190312154857203</v>
      </c>
      <c r="B3164" t="str">
        <f>"1552376937189217"</f>
        <v>1552376937189217</v>
      </c>
      <c r="C3164" t="s">
        <v>40</v>
      </c>
      <c r="D3164">
        <v>4.5404169999999997</v>
      </c>
      <c r="E3164">
        <v>0.52381169999999999</v>
      </c>
      <c r="F3164" t="s">
        <v>43</v>
      </c>
      <c r="G3164">
        <v>-341.69810000000001</v>
      </c>
      <c r="H3164">
        <v>-0.05</v>
      </c>
      <c r="I3164">
        <v>197.58969999999999</v>
      </c>
      <c r="J3164">
        <v>-458.8947</v>
      </c>
      <c r="K3164">
        <v>1.1076839999999999</v>
      </c>
      <c r="L3164">
        <v>216.1326</v>
      </c>
      <c r="M3164">
        <v>0.99947240000000004</v>
      </c>
      <c r="N3164">
        <v>0</v>
      </c>
      <c r="O3164">
        <v>-3.2478220000000002E-2</v>
      </c>
      <c r="P3164">
        <v>0.99331360000000002</v>
      </c>
      <c r="Q3164">
        <v>6.6276509999999997E-2</v>
      </c>
      <c r="R3164">
        <v>-9.4528710000000002E-2</v>
      </c>
      <c r="S3164">
        <v>2.9773559999999999</v>
      </c>
      <c r="T3164">
        <v>-2.9282209999999999E-2</v>
      </c>
      <c r="U3164">
        <v>-0.46948240000000002</v>
      </c>
      <c r="V3164">
        <v>6.2347319999999998E-2</v>
      </c>
      <c r="W3164">
        <v>6.5851989999999999E-2</v>
      </c>
      <c r="X3164">
        <v>0.99587969999999904</v>
      </c>
      <c r="Y3164">
        <v>0.12359150000000001</v>
      </c>
      <c r="Z3164">
        <v>-2.8680349999999998E-4</v>
      </c>
      <c r="AA3164">
        <v>0.99233309999999997</v>
      </c>
      <c r="AB3164">
        <v>25</v>
      </c>
      <c r="AC3164">
        <v>117.1966</v>
      </c>
      <c r="AD3164">
        <v>-1.1576839999999999</v>
      </c>
      <c r="AE3164">
        <v>-18.542899999999999</v>
      </c>
      <c r="AF3164">
        <v>14.725378672363201</v>
      </c>
      <c r="AG3164">
        <v>-1.1576839999999999</v>
      </c>
      <c r="AH3164">
        <v>117.72580572303301</v>
      </c>
      <c r="AI3164">
        <v>90.559057056600594</v>
      </c>
      <c r="AJ3164">
        <v>82.870357992612696</v>
      </c>
      <c r="AK3164">
        <v>118.64881938909301</v>
      </c>
      <c r="AL3164">
        <v>86.224226703589395</v>
      </c>
      <c r="AM3164">
        <v>86.417657463740397</v>
      </c>
      <c r="AN3164">
        <v>1.00000002488511</v>
      </c>
    </row>
    <row r="3165" spans="1:40" x14ac:dyDescent="0.25">
      <c r="A3165" t="str">
        <f>"20190312154857224"</f>
        <v>20190312154857224</v>
      </c>
      <c r="B3165" t="str">
        <f>"1552376937218498"</f>
        <v>1552376937218498</v>
      </c>
      <c r="C3165" t="s">
        <v>40</v>
      </c>
      <c r="D3165">
        <v>4.5371069999999998</v>
      </c>
      <c r="E3165">
        <v>0.52336579999999999</v>
      </c>
      <c r="F3165" t="s">
        <v>43</v>
      </c>
      <c r="G3165">
        <v>-354.6361</v>
      </c>
      <c r="H3165">
        <v>-0.05</v>
      </c>
      <c r="I3165">
        <v>199.86429999999999</v>
      </c>
      <c r="J3165">
        <v>-458.65069999999997</v>
      </c>
      <c r="K3165">
        <v>1.1076710000000001</v>
      </c>
      <c r="L3165">
        <v>216.12350000000001</v>
      </c>
      <c r="M3165">
        <v>0.9994343</v>
      </c>
      <c r="N3165">
        <v>0</v>
      </c>
      <c r="O3165">
        <v>-3.3631439999999999E-2</v>
      </c>
      <c r="P3165">
        <v>0.99328629999999996</v>
      </c>
      <c r="Q3165">
        <v>6.7662990000000006E-2</v>
      </c>
      <c r="R3165">
        <v>-9.3829399999999993E-2</v>
      </c>
      <c r="S3165">
        <v>2.97818</v>
      </c>
      <c r="T3165">
        <v>-3.3069609999999999E-2</v>
      </c>
      <c r="U3165">
        <v>-0.46470640000000002</v>
      </c>
      <c r="V3165">
        <v>6.0503090000000002E-2</v>
      </c>
      <c r="W3165">
        <v>6.7229839999999999E-2</v>
      </c>
      <c r="X3165">
        <v>0.99590129999999999</v>
      </c>
      <c r="Y3165">
        <v>0.1208497</v>
      </c>
      <c r="Z3165">
        <v>-2.9600900000000002E-4</v>
      </c>
      <c r="AA3165">
        <v>0.99267079999999996</v>
      </c>
      <c r="AB3165">
        <v>25</v>
      </c>
      <c r="AC3165">
        <v>104.01459999999901</v>
      </c>
      <c r="AD3165">
        <v>-1.1576709999999999</v>
      </c>
      <c r="AE3165">
        <v>-16.2592</v>
      </c>
      <c r="AF3165">
        <v>12.750299667780499</v>
      </c>
      <c r="AG3165">
        <v>-1.1576709999999999</v>
      </c>
      <c r="AH3165">
        <v>104.489944674048</v>
      </c>
      <c r="AI3165">
        <v>90.630095406968806</v>
      </c>
      <c r="AJ3165">
        <v>83.042923579800501</v>
      </c>
      <c r="AK3165">
        <v>105.27135831624901</v>
      </c>
      <c r="AL3165">
        <v>86.145106016674603</v>
      </c>
      <c r="AM3165">
        <v>86.523434303346804</v>
      </c>
      <c r="AN3165">
        <v>0.99999993731382897</v>
      </c>
    </row>
    <row r="3166" spans="1:40" x14ac:dyDescent="0.25">
      <c r="A3166" t="str">
        <f>"20190312154857249"</f>
        <v>20190312154857249</v>
      </c>
      <c r="B3166" t="str">
        <f>"1552376937238525"</f>
        <v>1552376937238525</v>
      </c>
      <c r="C3166" t="s">
        <v>40</v>
      </c>
      <c r="D3166">
        <v>4.5520209999999999</v>
      </c>
      <c r="E3166">
        <v>0.52313329999999902</v>
      </c>
      <c r="F3166" t="s">
        <v>43</v>
      </c>
      <c r="G3166">
        <v>-352.50310000000002</v>
      </c>
      <c r="H3166">
        <v>-0.05</v>
      </c>
      <c r="I3166">
        <v>199.75139999999999</v>
      </c>
      <c r="J3166">
        <v>-458.39640000000003</v>
      </c>
      <c r="K3166">
        <v>1.1076569999999999</v>
      </c>
      <c r="L3166">
        <v>216.11369999999999</v>
      </c>
      <c r="M3166">
        <v>0.99939359999999999</v>
      </c>
      <c r="N3166">
        <v>0</v>
      </c>
      <c r="O3166">
        <v>-3.4821159999999997E-2</v>
      </c>
      <c r="P3166">
        <v>0.99325379999999996</v>
      </c>
      <c r="Q3166">
        <v>6.9074319999999995E-2</v>
      </c>
      <c r="R3166">
        <v>-9.3143950000000003E-2</v>
      </c>
      <c r="S3166">
        <v>2.9790649999999999</v>
      </c>
      <c r="T3166">
        <v>-3.2490369999999998E-2</v>
      </c>
      <c r="U3166">
        <v>-0.4594879</v>
      </c>
      <c r="V3166">
        <v>5.8637389999999998E-2</v>
      </c>
      <c r="W3166">
        <v>6.8636600000000006E-2</v>
      </c>
      <c r="X3166">
        <v>0.99591700000000005</v>
      </c>
      <c r="Y3166">
        <v>0.117925</v>
      </c>
      <c r="Z3166">
        <v>-2.6204450000000002E-4</v>
      </c>
      <c r="AA3166">
        <v>0.99302250000000003</v>
      </c>
      <c r="AB3166">
        <v>25</v>
      </c>
      <c r="AC3166">
        <v>105.8933</v>
      </c>
      <c r="AD3166">
        <v>-1.1576569999999999</v>
      </c>
      <c r="AE3166">
        <v>-16.362300000000001</v>
      </c>
      <c r="AF3166">
        <v>12.66357165108</v>
      </c>
      <c r="AG3166">
        <v>-1.1576569999999999</v>
      </c>
      <c r="AH3166">
        <v>106.386417972372</v>
      </c>
      <c r="AI3166">
        <v>90.619076438206505</v>
      </c>
      <c r="AJ3166">
        <v>83.211810356460205</v>
      </c>
      <c r="AK3166">
        <v>107.143717247835</v>
      </c>
      <c r="AL3166">
        <v>86.064318204862701</v>
      </c>
      <c r="AM3166">
        <v>86.630441277796095</v>
      </c>
      <c r="AN3166">
        <v>0.99999999862728595</v>
      </c>
    </row>
    <row r="3167" spans="1:40" x14ac:dyDescent="0.25">
      <c r="A3167" t="str">
        <f>"20190312154857269"</f>
        <v>20190312154857269</v>
      </c>
      <c r="B3167" t="str">
        <f>"1552376937259021"</f>
        <v>1552376937259021</v>
      </c>
      <c r="C3167" t="s">
        <v>40</v>
      </c>
      <c r="D3167">
        <v>4.5011869999999998</v>
      </c>
      <c r="E3167">
        <v>0.52290459999999905</v>
      </c>
      <c r="F3167" t="s">
        <v>43</v>
      </c>
      <c r="G3167">
        <v>-347.52629999999999</v>
      </c>
      <c r="H3167">
        <v>-0.05</v>
      </c>
      <c r="I3167">
        <v>199.1508</v>
      </c>
      <c r="J3167">
        <v>-458.12529999999998</v>
      </c>
      <c r="K3167">
        <v>1.1076330000000001</v>
      </c>
      <c r="L3167">
        <v>216.10300000000001</v>
      </c>
      <c r="M3167">
        <v>0.99934889999999998</v>
      </c>
      <c r="N3167">
        <v>0</v>
      </c>
      <c r="O3167">
        <v>-3.608277E-2</v>
      </c>
      <c r="P3167">
        <v>0.99326360000000002</v>
      </c>
      <c r="Q3167">
        <v>7.0013329999999999E-2</v>
      </c>
      <c r="R3167">
        <v>-9.2336269999999998E-2</v>
      </c>
      <c r="S3167">
        <v>2.979797</v>
      </c>
      <c r="T3167">
        <v>-3.1113740000000001E-2</v>
      </c>
      <c r="U3167">
        <v>-0.45590209999999998</v>
      </c>
      <c r="V3167">
        <v>5.6576139999999997E-2</v>
      </c>
      <c r="W3167">
        <v>6.957373E-2</v>
      </c>
      <c r="X3167">
        <v>0.99597119999999995</v>
      </c>
      <c r="Y3167">
        <v>0.1154674</v>
      </c>
      <c r="Z3167">
        <v>-2.2507340000000001E-4</v>
      </c>
      <c r="AA3167">
        <v>0.99331119999999995</v>
      </c>
      <c r="AB3167">
        <v>26</v>
      </c>
      <c r="AC3167">
        <v>110.599</v>
      </c>
      <c r="AD3167">
        <v>-1.1576329999999999</v>
      </c>
      <c r="AE3167">
        <v>-16.952199999999898</v>
      </c>
      <c r="AF3167">
        <v>12.9490568185317</v>
      </c>
      <c r="AG3167">
        <v>-1.1576329999999999</v>
      </c>
      <c r="AH3167">
        <v>111.126765521674</v>
      </c>
      <c r="AI3167">
        <v>90.592830787591495</v>
      </c>
      <c r="AJ3167">
        <v>83.353577666192905</v>
      </c>
      <c r="AK3167">
        <v>111.88465579319301</v>
      </c>
      <c r="AL3167">
        <v>86.010495935380405</v>
      </c>
      <c r="AM3167">
        <v>86.748807462661304</v>
      </c>
      <c r="AN3167">
        <v>0.99999999737642598</v>
      </c>
    </row>
    <row r="3168" spans="1:40" x14ac:dyDescent="0.25">
      <c r="A3168" t="str">
        <f>"20190312154857290"</f>
        <v>20190312154857290</v>
      </c>
      <c r="B3168" t="str">
        <f>"1552376937279517"</f>
        <v>1552376937279517</v>
      </c>
      <c r="C3168" t="s">
        <v>40</v>
      </c>
      <c r="D3168">
        <v>4.5005240000000004</v>
      </c>
      <c r="E3168">
        <v>0.52282580000000001</v>
      </c>
      <c r="F3168" t="s">
        <v>43</v>
      </c>
      <c r="G3168">
        <v>-347.2346</v>
      </c>
      <c r="H3168">
        <v>-0.05</v>
      </c>
      <c r="I3168">
        <v>199.28489999999999</v>
      </c>
      <c r="J3168">
        <v>-457.88249999999999</v>
      </c>
      <c r="K3168">
        <v>1.1076170000000001</v>
      </c>
      <c r="L3168">
        <v>216.09309999999999</v>
      </c>
      <c r="M3168">
        <v>0.99930750000000002</v>
      </c>
      <c r="N3168">
        <v>0</v>
      </c>
      <c r="O3168">
        <v>-3.7210159999999999E-2</v>
      </c>
      <c r="P3168">
        <v>0.99325280000000005</v>
      </c>
      <c r="Q3168">
        <v>7.068584E-2</v>
      </c>
      <c r="R3168">
        <v>-9.1938110000000003E-2</v>
      </c>
      <c r="S3168">
        <v>2.9805600000000001</v>
      </c>
      <c r="T3168">
        <v>-3.111529E-2</v>
      </c>
      <c r="U3168">
        <v>-0.45204159999999999</v>
      </c>
      <c r="V3168">
        <v>5.5058610000000001E-2</v>
      </c>
      <c r="W3168">
        <v>7.0247270000000001E-2</v>
      </c>
      <c r="X3168">
        <v>0.99600900000000003</v>
      </c>
      <c r="Y3168">
        <v>0.1130512</v>
      </c>
      <c r="Z3168">
        <v>-2.008278E-4</v>
      </c>
      <c r="AA3168">
        <v>0.99358919999999995</v>
      </c>
      <c r="AB3168">
        <v>26</v>
      </c>
      <c r="AC3168">
        <v>110.64790000000001</v>
      </c>
      <c r="AD3168">
        <v>-1.1576169999999999</v>
      </c>
      <c r="AE3168">
        <v>-16.808199999999999</v>
      </c>
      <c r="AF3168">
        <v>12.6779773865478</v>
      </c>
      <c r="AG3168">
        <v>-1.1576169999999999</v>
      </c>
      <c r="AH3168">
        <v>111.184812482886</v>
      </c>
      <c r="AI3168">
        <v>90.592681574101704</v>
      </c>
      <c r="AJ3168">
        <v>83.494878223163298</v>
      </c>
      <c r="AK3168">
        <v>111.911276083275</v>
      </c>
      <c r="AL3168">
        <v>85.971810408470603</v>
      </c>
      <c r="AM3168">
        <v>86.835953728679797</v>
      </c>
      <c r="AN3168">
        <v>1.0000000287792901</v>
      </c>
    </row>
    <row r="3169" spans="1:40" x14ac:dyDescent="0.25">
      <c r="A3169" t="str">
        <f>"20190312154857315"</f>
        <v>20190312154857315</v>
      </c>
      <c r="B3169" t="str">
        <f>"1552376937308797"</f>
        <v>1552376937308797</v>
      </c>
      <c r="C3169" t="s">
        <v>40</v>
      </c>
      <c r="D3169">
        <v>4.4480629999999897</v>
      </c>
      <c r="E3169">
        <v>0.49681370000000002</v>
      </c>
      <c r="F3169" t="s">
        <v>43</v>
      </c>
      <c r="G3169">
        <v>-345.91719999999998</v>
      </c>
      <c r="H3169">
        <v>-0.05</v>
      </c>
      <c r="I3169">
        <v>199.19149999999999</v>
      </c>
      <c r="J3169">
        <v>-457.58339999999998</v>
      </c>
      <c r="K3169">
        <v>1.1075980000000001</v>
      </c>
      <c r="L3169">
        <v>216.0805</v>
      </c>
      <c r="M3169">
        <v>0.99925489999999995</v>
      </c>
      <c r="N3169">
        <v>0</v>
      </c>
      <c r="O3169">
        <v>-3.8598149999999998E-2</v>
      </c>
      <c r="P3169">
        <v>0.99324619999999997</v>
      </c>
      <c r="Q3169">
        <v>7.1581149999999996E-2</v>
      </c>
      <c r="R3169">
        <v>-9.1314839999999994E-2</v>
      </c>
      <c r="S3169">
        <v>2.9809269999999999</v>
      </c>
      <c r="T3169">
        <v>-3.0820009999999998E-2</v>
      </c>
      <c r="U3169">
        <v>-0.44998169999999998</v>
      </c>
      <c r="V3169">
        <v>5.3057159999999999E-2</v>
      </c>
      <c r="W3169">
        <v>7.1148130000000004E-2</v>
      </c>
      <c r="X3169">
        <v>0.99605359999999998</v>
      </c>
      <c r="Y3169">
        <v>0.11098180000000001</v>
      </c>
      <c r="Z3169">
        <v>-1.7402799999999901E-4</v>
      </c>
      <c r="AA3169">
        <v>0.99382239999999999</v>
      </c>
      <c r="AB3169">
        <v>26</v>
      </c>
      <c r="AC3169">
        <v>111.6662</v>
      </c>
      <c r="AD3169">
        <v>-1.1575979999999999</v>
      </c>
      <c r="AE3169">
        <v>-16.888999999999999</v>
      </c>
      <c r="AF3169">
        <v>12.564986071629001</v>
      </c>
      <c r="AG3169">
        <v>-1.1575979999999999</v>
      </c>
      <c r="AH3169">
        <v>112.22308151403</v>
      </c>
      <c r="AI3169">
        <v>90.587324013418097</v>
      </c>
      <c r="AJ3169">
        <v>83.611521128336406</v>
      </c>
      <c r="AK3169">
        <v>112.930239230307</v>
      </c>
      <c r="AL3169">
        <v>85.920065118490101</v>
      </c>
      <c r="AM3169">
        <v>86.950885949708805</v>
      </c>
      <c r="AN3169">
        <v>0.99999994635135903</v>
      </c>
    </row>
    <row r="3170" spans="1:40" x14ac:dyDescent="0.25">
      <c r="A3170" t="str">
        <f>"20190312154857335"</f>
        <v>20190312154857335</v>
      </c>
      <c r="B3170" t="str">
        <f>"1552376937328824"</f>
        <v>1552376937328824</v>
      </c>
      <c r="C3170" t="s">
        <v>40</v>
      </c>
      <c r="D3170">
        <v>4.4597949999999997</v>
      </c>
      <c r="E3170">
        <v>0.49175279999999999</v>
      </c>
      <c r="F3170" t="s">
        <v>58</v>
      </c>
      <c r="G3170">
        <v>-242.49510000000001</v>
      </c>
      <c r="H3170">
        <v>0.64413310000000001</v>
      </c>
      <c r="I3170">
        <v>198.72730000000001</v>
      </c>
      <c r="J3170">
        <v>-457.34030000000001</v>
      </c>
      <c r="K3170">
        <v>1.1075839999999999</v>
      </c>
      <c r="L3170">
        <v>216.07</v>
      </c>
      <c r="M3170">
        <v>0.9992105</v>
      </c>
      <c r="N3170">
        <v>0</v>
      </c>
      <c r="O3170">
        <v>-3.972639E-2</v>
      </c>
      <c r="P3170">
        <v>0.9932455</v>
      </c>
      <c r="Q3170">
        <v>7.2218290000000004E-2</v>
      </c>
      <c r="R3170">
        <v>-9.0817969999999998E-2</v>
      </c>
      <c r="S3170">
        <v>2.9986269999999999</v>
      </c>
      <c r="T3170">
        <v>-6.4613819999999999E-3</v>
      </c>
      <c r="U3170">
        <v>-0.24192810000000001</v>
      </c>
      <c r="V3170">
        <v>5.1439890000000002E-2</v>
      </c>
      <c r="W3170">
        <v>7.1792129999999996E-2</v>
      </c>
      <c r="X3170">
        <v>0.99609230000000004</v>
      </c>
      <c r="Y3170">
        <v>4.0757130000000003E-2</v>
      </c>
      <c r="Z3170" s="1">
        <v>4.1571630000000002E-5</v>
      </c>
      <c r="AA3170">
        <v>0.99916910000000003</v>
      </c>
      <c r="AB3170">
        <v>26</v>
      </c>
      <c r="AC3170">
        <v>214.84520000000001</v>
      </c>
      <c r="AD3170">
        <v>-0.4634509</v>
      </c>
      <c r="AE3170">
        <v>-17.342699999999901</v>
      </c>
      <c r="AF3170">
        <v>8.7939439162234194</v>
      </c>
      <c r="AG3170">
        <v>-0.4634509</v>
      </c>
      <c r="AH3170">
        <v>215.36356745334999</v>
      </c>
      <c r="AI3170">
        <v>90.1231946081991</v>
      </c>
      <c r="AJ3170">
        <v>87.661739516873695</v>
      </c>
      <c r="AK3170">
        <v>215.543532546379</v>
      </c>
      <c r="AL3170">
        <v>85.883072341461201</v>
      </c>
      <c r="AM3170">
        <v>87.043775186446197</v>
      </c>
      <c r="AN3170">
        <v>1.0000000211662099</v>
      </c>
    </row>
    <row r="3171" spans="1:40" x14ac:dyDescent="0.25">
      <c r="A3171" t="str">
        <f>"20190312154857361"</f>
        <v>20190312154857361</v>
      </c>
      <c r="B3171" t="str">
        <f>"1552376937349321"</f>
        <v>1552376937349321</v>
      </c>
      <c r="C3171" t="s">
        <v>40</v>
      </c>
      <c r="D3171">
        <v>4.4341269999999904</v>
      </c>
      <c r="E3171">
        <v>0.48944290000000001</v>
      </c>
      <c r="F3171" t="s">
        <v>59</v>
      </c>
      <c r="G3171">
        <v>-168.41460000000001</v>
      </c>
      <c r="H3171">
        <v>2.698566</v>
      </c>
      <c r="I3171">
        <v>196.6901</v>
      </c>
      <c r="J3171">
        <v>-457.0403</v>
      </c>
      <c r="K3171">
        <v>1.1075619999999999</v>
      </c>
      <c r="L3171">
        <v>216.05670000000001</v>
      </c>
      <c r="M3171">
        <v>0.99915430000000005</v>
      </c>
      <c r="N3171">
        <v>0</v>
      </c>
      <c r="O3171">
        <v>-4.1119280000000001E-2</v>
      </c>
      <c r="P3171">
        <v>0.99326150000000002</v>
      </c>
      <c r="Q3171">
        <v>7.1683410000000003E-2</v>
      </c>
      <c r="R3171">
        <v>-9.1067300000000004E-2</v>
      </c>
      <c r="S3171">
        <v>3.0007630000000001</v>
      </c>
      <c r="T3171">
        <v>1.6524199999999999E-2</v>
      </c>
      <c r="U3171">
        <v>-0.2012787</v>
      </c>
      <c r="V3171">
        <v>5.0301640000000002E-2</v>
      </c>
      <c r="W3171">
        <v>7.1266579999999996E-2</v>
      </c>
      <c r="X3171">
        <v>0.99618819999999997</v>
      </c>
      <c r="Y3171">
        <v>2.5842E-2</v>
      </c>
      <c r="Z3171">
        <v>-1.5497739999999999E-4</v>
      </c>
      <c r="AA3171">
        <v>0.99966600000000005</v>
      </c>
      <c r="AB3171">
        <v>27</v>
      </c>
      <c r="AC3171">
        <v>288.62569999999999</v>
      </c>
      <c r="AD3171">
        <v>1.5910040000000001</v>
      </c>
      <c r="AE3171">
        <v>-19.366599999999998</v>
      </c>
      <c r="AF3171">
        <v>7.4819139539570196</v>
      </c>
      <c r="AG3171">
        <v>1.5910040000000001</v>
      </c>
      <c r="AH3171">
        <v>289.16918663973001</v>
      </c>
      <c r="AI3171">
        <v>89.684868229448398</v>
      </c>
      <c r="AJ3171">
        <v>88.5178695057227</v>
      </c>
      <c r="AK3171">
        <v>289.270338666143</v>
      </c>
      <c r="AL3171">
        <v>85.913261606671398</v>
      </c>
      <c r="AM3171">
        <v>87.109355456190599</v>
      </c>
      <c r="AN3171">
        <v>1.00000005511541</v>
      </c>
    </row>
    <row r="3172" spans="1:40" x14ac:dyDescent="0.25">
      <c r="A3172" t="str">
        <f>"20190312154857382"</f>
        <v>20190312154857382</v>
      </c>
      <c r="B3172" t="str">
        <f>"1552376937368841"</f>
        <v>1552376937368841</v>
      </c>
      <c r="C3172" t="s">
        <v>40</v>
      </c>
      <c r="D3172">
        <v>4.4247050000000003</v>
      </c>
      <c r="E3172">
        <v>0.48831980000000003</v>
      </c>
      <c r="F3172" t="s">
        <v>59</v>
      </c>
      <c r="G3172">
        <v>-168.41419999999999</v>
      </c>
      <c r="H3172">
        <v>3.2410969999999999</v>
      </c>
      <c r="I3172">
        <v>198.3853</v>
      </c>
      <c r="J3172">
        <v>-456.77569999999997</v>
      </c>
      <c r="K3172">
        <v>1.107537</v>
      </c>
      <c r="L3172">
        <v>216.0446</v>
      </c>
      <c r="M3172">
        <v>0.99910290000000002</v>
      </c>
      <c r="N3172">
        <v>0</v>
      </c>
      <c r="O3172">
        <v>-4.2347780000000002E-2</v>
      </c>
      <c r="P3172">
        <v>0.9933284</v>
      </c>
      <c r="Q3172">
        <v>7.091662E-2</v>
      </c>
      <c r="R3172">
        <v>-9.093685E-2</v>
      </c>
      <c r="S3172">
        <v>3.001862</v>
      </c>
      <c r="T3172">
        <v>2.2190209999999998E-2</v>
      </c>
      <c r="U3172">
        <v>-0.18379210000000001</v>
      </c>
      <c r="V3172">
        <v>4.894457E-2</v>
      </c>
      <c r="W3172">
        <v>7.0510790000000004E-2</v>
      </c>
      <c r="X3172">
        <v>0.99630949999999996</v>
      </c>
      <c r="Y3172">
        <v>1.8788800000000001E-2</v>
      </c>
      <c r="Z3172">
        <v>-2.431938E-4</v>
      </c>
      <c r="AA3172">
        <v>0.99982349999999998</v>
      </c>
      <c r="AB3172">
        <v>27</v>
      </c>
      <c r="AC3172">
        <v>288.36149999999998</v>
      </c>
      <c r="AD3172">
        <v>2.1335599999999899</v>
      </c>
      <c r="AE3172">
        <v>-17.659300000000002</v>
      </c>
      <c r="AF3172">
        <v>5.4316924038395804</v>
      </c>
      <c r="AG3172">
        <v>2.1335599999999899</v>
      </c>
      <c r="AH3172">
        <v>288.83489897269999</v>
      </c>
      <c r="AI3172">
        <v>89.576851164104994</v>
      </c>
      <c r="AJ3172">
        <v>88.922649677599694</v>
      </c>
      <c r="AK3172">
        <v>288.89384594555401</v>
      </c>
      <c r="AL3172">
        <v>85.956674099301694</v>
      </c>
      <c r="AM3172">
        <v>87.187556057537904</v>
      </c>
      <c r="AN3172">
        <v>0.999999981114579</v>
      </c>
    </row>
    <row r="3173" spans="1:40" x14ac:dyDescent="0.25">
      <c r="A3173" t="str">
        <f>"20190312154857404"</f>
        <v>20190312154857404</v>
      </c>
      <c r="B3173" t="str">
        <f>"1552376937399096"</f>
        <v>1552376937399096</v>
      </c>
      <c r="C3173" t="s">
        <v>40</v>
      </c>
      <c r="D3173">
        <v>4.351909</v>
      </c>
      <c r="E3173">
        <v>0.48738520000000002</v>
      </c>
      <c r="F3173" t="s">
        <v>59</v>
      </c>
      <c r="G3173">
        <v>-168.41399999999999</v>
      </c>
      <c r="H3173">
        <v>3.34287</v>
      </c>
      <c r="I3173">
        <v>199.2577</v>
      </c>
      <c r="J3173">
        <v>-456.50400000000002</v>
      </c>
      <c r="K3173">
        <v>1.10751</v>
      </c>
      <c r="L3173">
        <v>216.03190000000001</v>
      </c>
      <c r="M3173">
        <v>0.99904879999999996</v>
      </c>
      <c r="N3173">
        <v>0</v>
      </c>
      <c r="O3173">
        <v>-4.3608109999999999E-2</v>
      </c>
      <c r="P3173">
        <v>0.99335660000000003</v>
      </c>
      <c r="Q3173">
        <v>6.995258E-2</v>
      </c>
      <c r="R3173">
        <v>-9.1375139999999994E-2</v>
      </c>
      <c r="S3173">
        <v>3.0025019999999998</v>
      </c>
      <c r="T3173">
        <v>2.3275259999999999E-2</v>
      </c>
      <c r="U3173">
        <v>-0.17478940000000001</v>
      </c>
      <c r="V3173">
        <v>4.812495E-2</v>
      </c>
      <c r="W3173">
        <v>6.9559940000000001E-2</v>
      </c>
      <c r="X3173">
        <v>0.99641630000000003</v>
      </c>
      <c r="Y3173">
        <v>1.452737E-2</v>
      </c>
      <c r="Z3173">
        <v>-2.813103E-4</v>
      </c>
      <c r="AA3173">
        <v>0.99989439999999996</v>
      </c>
      <c r="AB3173">
        <v>27</v>
      </c>
      <c r="AC3173">
        <v>288.08999999999997</v>
      </c>
      <c r="AD3173">
        <v>2.23536</v>
      </c>
      <c r="AE3173">
        <v>-16.7742</v>
      </c>
      <c r="AF3173">
        <v>4.1949319041519004</v>
      </c>
      <c r="AG3173">
        <v>2.23536</v>
      </c>
      <c r="AH3173">
        <v>288.53012262620803</v>
      </c>
      <c r="AI3173">
        <v>89.556162120777699</v>
      </c>
      <c r="AJ3173">
        <v>89.167036848432701</v>
      </c>
      <c r="AK3173">
        <v>288.56927409324902</v>
      </c>
      <c r="AL3173">
        <v>86.011288051362399</v>
      </c>
      <c r="AM3173">
        <v>87.234875130643502</v>
      </c>
      <c r="AN3173">
        <v>1.0000000194854901</v>
      </c>
    </row>
    <row r="3174" spans="1:40" x14ac:dyDescent="0.25">
      <c r="A3174" t="str">
        <f>"20190312154857426"</f>
        <v>20190312154857426</v>
      </c>
      <c r="B3174" t="str">
        <f>"1552376937418617"</f>
        <v>1552376937418617</v>
      </c>
      <c r="C3174" t="s">
        <v>40</v>
      </c>
      <c r="D3174">
        <v>4.3164800000000003</v>
      </c>
      <c r="E3174">
        <v>0.48698649999999999</v>
      </c>
      <c r="F3174" t="s">
        <v>59</v>
      </c>
      <c r="G3174">
        <v>-168.41380000000001</v>
      </c>
      <c r="H3174">
        <v>3.3409810000000002</v>
      </c>
      <c r="I3174">
        <v>199.81</v>
      </c>
      <c r="J3174">
        <v>-456.23430000000002</v>
      </c>
      <c r="K3174">
        <v>1.107472</v>
      </c>
      <c r="L3174">
        <v>216.0189</v>
      </c>
      <c r="M3174">
        <v>0.99899329999999997</v>
      </c>
      <c r="N3174">
        <v>0</v>
      </c>
      <c r="O3174">
        <v>-4.4857710000000002E-2</v>
      </c>
      <c r="P3174">
        <v>0.99345649999999996</v>
      </c>
      <c r="Q3174">
        <v>6.7358340000000003E-2</v>
      </c>
      <c r="R3174">
        <v>-9.2234120000000003E-2</v>
      </c>
      <c r="S3174">
        <v>3.0028079999999999</v>
      </c>
      <c r="T3174">
        <v>2.3280140000000001E-2</v>
      </c>
      <c r="U3174">
        <v>-0.1690826</v>
      </c>
      <c r="V3174">
        <v>4.7728590000000001E-2</v>
      </c>
      <c r="W3174">
        <v>6.6978640000000006E-2</v>
      </c>
      <c r="X3174">
        <v>0.99661219999999995</v>
      </c>
      <c r="Y3174">
        <v>1.137677E-2</v>
      </c>
      <c r="Z3174">
        <v>-3.0322980000000002E-4</v>
      </c>
      <c r="AA3174">
        <v>0.99993520000000002</v>
      </c>
      <c r="AB3174">
        <v>27</v>
      </c>
      <c r="AC3174">
        <v>287.82049999999998</v>
      </c>
      <c r="AD3174">
        <v>2.2335090000000002</v>
      </c>
      <c r="AE3174">
        <v>-16.2089</v>
      </c>
      <c r="AF3174">
        <v>3.2814172839672699</v>
      </c>
      <c r="AG3174">
        <v>2.2335090000000002</v>
      </c>
      <c r="AH3174">
        <v>288.24056746658101</v>
      </c>
      <c r="AI3174">
        <v>89.556066004806894</v>
      </c>
      <c r="AJ3174">
        <v>89.347755795648297</v>
      </c>
      <c r="AK3174">
        <v>288.26789796177599</v>
      </c>
      <c r="AL3174">
        <v>86.159531538230397</v>
      </c>
      <c r="AM3174">
        <v>87.258152193245294</v>
      </c>
      <c r="AN3174">
        <v>1.00000001685423</v>
      </c>
    </row>
    <row r="3175" spans="1:40" x14ac:dyDescent="0.25">
      <c r="A3175" t="str">
        <f>"20190312154857447"</f>
        <v>20190312154857447</v>
      </c>
      <c r="B3175" t="str">
        <f>"1552376937439406"</f>
        <v>1552376937439406</v>
      </c>
      <c r="C3175" t="s">
        <v>40</v>
      </c>
      <c r="D3175">
        <v>4.2954339999999904</v>
      </c>
      <c r="E3175">
        <v>0.48663440000000002</v>
      </c>
      <c r="F3175" t="s">
        <v>59</v>
      </c>
      <c r="G3175">
        <v>-168.4136</v>
      </c>
      <c r="H3175">
        <v>2.8958159999999999</v>
      </c>
      <c r="I3175">
        <v>199.85329999999999</v>
      </c>
      <c r="J3175">
        <v>-455.97269999999997</v>
      </c>
      <c r="K3175">
        <v>1.10744</v>
      </c>
      <c r="L3175">
        <v>216.006</v>
      </c>
      <c r="M3175">
        <v>0.9989384</v>
      </c>
      <c r="N3175">
        <v>0</v>
      </c>
      <c r="O3175">
        <v>-4.6068339999999999E-2</v>
      </c>
      <c r="P3175">
        <v>0.99346880000000004</v>
      </c>
      <c r="Q3175">
        <v>6.5242510000000004E-2</v>
      </c>
      <c r="R3175">
        <v>-9.3615139999999999E-2</v>
      </c>
      <c r="S3175">
        <v>3.0028380000000001</v>
      </c>
      <c r="T3175">
        <v>1.865816E-2</v>
      </c>
      <c r="U3175">
        <v>-0.16865539999999901</v>
      </c>
      <c r="V3175">
        <v>4.789732E-2</v>
      </c>
      <c r="W3175">
        <v>6.4876069999999994E-2</v>
      </c>
      <c r="X3175">
        <v>0.99674309999999999</v>
      </c>
      <c r="Y3175">
        <v>1.002227E-2</v>
      </c>
      <c r="Z3175">
        <v>-2.5473759999999999E-4</v>
      </c>
      <c r="AA3175">
        <v>0.9999498</v>
      </c>
      <c r="AB3175">
        <v>28</v>
      </c>
      <c r="AC3175">
        <v>287.55909999999898</v>
      </c>
      <c r="AD3175">
        <v>1.78837599999999</v>
      </c>
      <c r="AE3175">
        <v>-16.1526999999999</v>
      </c>
      <c r="AF3175">
        <v>2.8880702353261198</v>
      </c>
      <c r="AG3175">
        <v>1.78837599999999</v>
      </c>
      <c r="AH3175">
        <v>287.98682010276798</v>
      </c>
      <c r="AI3175">
        <v>89.644220079665203</v>
      </c>
      <c r="AJ3175">
        <v>89.425429648391798</v>
      </c>
      <c r="AK3175">
        <v>288.00685372279901</v>
      </c>
      <c r="AL3175">
        <v>86.280262291352997</v>
      </c>
      <c r="AM3175">
        <v>87.248834885447394</v>
      </c>
      <c r="AN3175">
        <v>0.99999993255971598</v>
      </c>
    </row>
    <row r="3176" spans="1:40" x14ac:dyDescent="0.25">
      <c r="A3176" t="str">
        <f>"20190312154857469"</f>
        <v>20190312154857469</v>
      </c>
      <c r="B3176" t="str">
        <f>"1552376937458927"</f>
        <v>1552376937458927</v>
      </c>
      <c r="C3176" t="s">
        <v>40</v>
      </c>
      <c r="D3176">
        <v>4.2681519999999997</v>
      </c>
      <c r="E3176">
        <v>0.48642489999999999</v>
      </c>
      <c r="F3176" t="s">
        <v>59</v>
      </c>
      <c r="G3176">
        <v>-168.4136</v>
      </c>
      <c r="H3176">
        <v>2.4957799999999999</v>
      </c>
      <c r="I3176">
        <v>199.7216</v>
      </c>
      <c r="J3176">
        <v>-455.68720000000002</v>
      </c>
      <c r="K3176">
        <v>1.1074139999999999</v>
      </c>
      <c r="L3176">
        <v>215.9915</v>
      </c>
      <c r="M3176">
        <v>0.99887669999999995</v>
      </c>
      <c r="N3176">
        <v>0</v>
      </c>
      <c r="O3176">
        <v>-4.7387329999999998E-2</v>
      </c>
      <c r="P3176">
        <v>0.99344069999999995</v>
      </c>
      <c r="Q3176">
        <v>6.3202129999999995E-2</v>
      </c>
      <c r="R3176">
        <v>-9.5295469999999993E-2</v>
      </c>
      <c r="S3176">
        <v>3.0027469999999998</v>
      </c>
      <c r="T3176">
        <v>1.4497639999999999E-2</v>
      </c>
      <c r="U3176">
        <v>-0.1700439</v>
      </c>
      <c r="V3176">
        <v>4.8258580000000002E-2</v>
      </c>
      <c r="W3176">
        <v>6.2850809999999993E-2</v>
      </c>
      <c r="X3176">
        <v>0.99685550000000001</v>
      </c>
      <c r="Y3176">
        <v>9.1642970000000001E-3</v>
      </c>
      <c r="Z3176">
        <v>-2.0636130000000001E-4</v>
      </c>
      <c r="AA3176">
        <v>0.99995800000000001</v>
      </c>
      <c r="AB3176">
        <v>28</v>
      </c>
      <c r="AC3176">
        <v>287.27359999999999</v>
      </c>
      <c r="AD3176">
        <v>1.388366</v>
      </c>
      <c r="AE3176">
        <v>-16.2699</v>
      </c>
      <c r="AF3176">
        <v>2.63843341771716</v>
      </c>
      <c r="AG3176">
        <v>1.388366</v>
      </c>
      <c r="AH3176">
        <v>287.71516224627402</v>
      </c>
      <c r="AI3176">
        <v>89.723533686170896</v>
      </c>
      <c r="AJ3176">
        <v>89.4745954267744</v>
      </c>
      <c r="AK3176">
        <v>287.73060921189801</v>
      </c>
      <c r="AL3176">
        <v>86.396538778925304</v>
      </c>
      <c r="AM3176">
        <v>87.228428836836699</v>
      </c>
      <c r="AN3176">
        <v>1.0000000013707599</v>
      </c>
    </row>
    <row r="3177" spans="1:40" x14ac:dyDescent="0.25">
      <c r="A3177" t="str">
        <f>"20190312154857492"</f>
        <v>20190312154857492</v>
      </c>
      <c r="B3177" t="str">
        <f>"1552376937478446"</f>
        <v>1552376937478446</v>
      </c>
      <c r="C3177" t="s">
        <v>40</v>
      </c>
      <c r="D3177">
        <v>4.2304459999999997</v>
      </c>
      <c r="E3177">
        <v>0.48614879999999999</v>
      </c>
      <c r="F3177" t="s">
        <v>59</v>
      </c>
      <c r="G3177">
        <v>-168.4135</v>
      </c>
      <c r="H3177">
        <v>2.0492010000000001</v>
      </c>
      <c r="I3177">
        <v>199.39240000000001</v>
      </c>
      <c r="J3177">
        <v>-455.4049</v>
      </c>
      <c r="K3177">
        <v>1.107394</v>
      </c>
      <c r="L3177">
        <v>215.9768</v>
      </c>
      <c r="M3177">
        <v>0.99881399999999998</v>
      </c>
      <c r="N3177">
        <v>0</v>
      </c>
      <c r="O3177">
        <v>-4.8688559999999999E-2</v>
      </c>
      <c r="P3177">
        <v>0.99332830000000005</v>
      </c>
      <c r="Q3177">
        <v>6.2270829999999999E-2</v>
      </c>
      <c r="R3177">
        <v>-9.7064360000000002E-2</v>
      </c>
      <c r="S3177">
        <v>3.0025629999999999</v>
      </c>
      <c r="T3177">
        <v>9.843826E-3</v>
      </c>
      <c r="U3177">
        <v>-0.17349239999999999</v>
      </c>
      <c r="V3177">
        <v>4.8732039999999997E-2</v>
      </c>
      <c r="W3177">
        <v>6.1935169999999998E-2</v>
      </c>
      <c r="X3177">
        <v>0.99688980000000005</v>
      </c>
      <c r="Y3177">
        <v>9.0095420000000006E-3</v>
      </c>
      <c r="Z3177">
        <v>-1.4463099999999999E-4</v>
      </c>
      <c r="AA3177">
        <v>0.99995940000000005</v>
      </c>
      <c r="AB3177">
        <v>28</v>
      </c>
      <c r="AC3177">
        <v>286.9914</v>
      </c>
      <c r="AD3177">
        <v>0.94180699999999995</v>
      </c>
      <c r="AE3177">
        <v>-16.584399999999899</v>
      </c>
      <c r="AF3177">
        <v>2.59150511021083</v>
      </c>
      <c r="AG3177">
        <v>0.94180699999999995</v>
      </c>
      <c r="AH3177">
        <v>287.45541589313302</v>
      </c>
      <c r="AI3177">
        <v>89.812286784618607</v>
      </c>
      <c r="AJ3177">
        <v>89.483473698186401</v>
      </c>
      <c r="AK3177">
        <v>287.46864007306198</v>
      </c>
      <c r="AL3177">
        <v>86.449103586887205</v>
      </c>
      <c r="AM3177">
        <v>87.201376400655107</v>
      </c>
      <c r="AN3177">
        <v>1.0000000251747601</v>
      </c>
    </row>
    <row r="3178" spans="1:40" x14ac:dyDescent="0.25">
      <c r="A3178" t="str">
        <f>"20190312154857514"</f>
        <v>20190312154857514</v>
      </c>
      <c r="B3178" t="str">
        <f>"1552376937508702"</f>
        <v>1552376937508702</v>
      </c>
      <c r="C3178" t="s">
        <v>40</v>
      </c>
      <c r="D3178">
        <v>4.3034860000000004</v>
      </c>
      <c r="E3178">
        <v>0.4857185</v>
      </c>
      <c r="F3178" t="s">
        <v>59</v>
      </c>
      <c r="G3178">
        <v>-168.4136</v>
      </c>
      <c r="H3178">
        <v>2.0848900000000001</v>
      </c>
      <c r="I3178">
        <v>199.0505</v>
      </c>
      <c r="J3178">
        <v>-455.11340000000001</v>
      </c>
      <c r="K3178">
        <v>1.1073789999999999</v>
      </c>
      <c r="L3178">
        <v>215.96129999999999</v>
      </c>
      <c r="M3178">
        <v>0.99874790000000002</v>
      </c>
      <c r="N3178">
        <v>0</v>
      </c>
      <c r="O3178">
        <v>-5.0026380000000002E-2</v>
      </c>
      <c r="P3178">
        <v>0.9932069</v>
      </c>
      <c r="Q3178">
        <v>6.232149E-2</v>
      </c>
      <c r="R3178">
        <v>-9.8266839999999994E-2</v>
      </c>
      <c r="S3178">
        <v>3.002167</v>
      </c>
      <c r="T3178">
        <v>1.022577E-2</v>
      </c>
      <c r="U3178">
        <v>-0.177063</v>
      </c>
      <c r="V3178">
        <v>4.8605830000000003E-2</v>
      </c>
      <c r="W3178">
        <v>6.2005600000000001E-2</v>
      </c>
      <c r="X3178">
        <v>0.99689159999999999</v>
      </c>
      <c r="Y3178">
        <v>8.8630089999999998E-3</v>
      </c>
      <c r="Z3178">
        <v>-1.550508E-4</v>
      </c>
      <c r="AA3178">
        <v>0.99996070000000004</v>
      </c>
      <c r="AB3178">
        <v>28</v>
      </c>
      <c r="AC3178">
        <v>286.69979999999998</v>
      </c>
      <c r="AD3178">
        <v>0.97751100000000002</v>
      </c>
      <c r="AE3178">
        <v>-16.910799999999899</v>
      </c>
      <c r="AF3178">
        <v>2.5470433319622598</v>
      </c>
      <c r="AG3178">
        <v>0.97751100000000002</v>
      </c>
      <c r="AH3178">
        <v>287.18348146201299</v>
      </c>
      <c r="AI3178">
        <v>89.804985873353104</v>
      </c>
      <c r="AJ3178">
        <v>89.491854454210298</v>
      </c>
      <c r="AK3178">
        <v>287.19643971005701</v>
      </c>
      <c r="AL3178">
        <v>86.445060532958195</v>
      </c>
      <c r="AM3178">
        <v>87.208618045891399</v>
      </c>
      <c r="AN3178">
        <v>1.00000004164595</v>
      </c>
    </row>
    <row r="3179" spans="1:40" x14ac:dyDescent="0.25">
      <c r="A3179" t="str">
        <f>"20190312154857537"</f>
        <v>20190312154857537</v>
      </c>
      <c r="B3179" t="str">
        <f>"1552376937529198"</f>
        <v>1552376937529198</v>
      </c>
      <c r="C3179" t="s">
        <v>40</v>
      </c>
      <c r="D3179">
        <v>4.2669069999999998</v>
      </c>
      <c r="E3179">
        <v>0.4852438</v>
      </c>
      <c r="F3179" t="s">
        <v>59</v>
      </c>
      <c r="G3179">
        <v>-168.41380000000001</v>
      </c>
      <c r="H3179">
        <v>2.4994960000000002</v>
      </c>
      <c r="I3179">
        <v>199.0224</v>
      </c>
      <c r="J3179">
        <v>-454.8245</v>
      </c>
      <c r="K3179">
        <v>1.1073660000000001</v>
      </c>
      <c r="L3179">
        <v>215.94560000000001</v>
      </c>
      <c r="M3179">
        <v>0.99868140000000005</v>
      </c>
      <c r="N3179">
        <v>0</v>
      </c>
      <c r="O3179">
        <v>-5.1339759999999998E-2</v>
      </c>
      <c r="P3179">
        <v>0.99300840000000001</v>
      </c>
      <c r="Q3179">
        <v>6.2463820000000003E-2</v>
      </c>
      <c r="R3179">
        <v>-0.100165</v>
      </c>
      <c r="S3179">
        <v>3.0020449999999999</v>
      </c>
      <c r="T3179">
        <v>1.457727E-2</v>
      </c>
      <c r="U3179">
        <v>-0.1773682</v>
      </c>
      <c r="V3179">
        <v>4.9202320000000001E-2</v>
      </c>
      <c r="W3179">
        <v>6.2166470000000001E-2</v>
      </c>
      <c r="X3179">
        <v>0.99685230000000002</v>
      </c>
      <c r="Y3179">
        <v>7.6519580000000004E-3</v>
      </c>
      <c r="Z3179">
        <v>-2.3033759999999999E-4</v>
      </c>
      <c r="AA3179">
        <v>0.99997069999999999</v>
      </c>
      <c r="AB3179">
        <v>29</v>
      </c>
      <c r="AC3179">
        <v>286.41070000000002</v>
      </c>
      <c r="AD3179">
        <v>1.3921299999999901</v>
      </c>
      <c r="AE3179">
        <v>-16.923200000000001</v>
      </c>
      <c r="AF3179">
        <v>2.1965764142642601</v>
      </c>
      <c r="AG3179">
        <v>1.3921299999999901</v>
      </c>
      <c r="AH3179">
        <v>286.89507299671499</v>
      </c>
      <c r="AI3179">
        <v>89.721988220376602</v>
      </c>
      <c r="AJ3179">
        <v>89.561330567703493</v>
      </c>
      <c r="AK3179">
        <v>286.90685924820798</v>
      </c>
      <c r="AL3179">
        <v>86.435825479149798</v>
      </c>
      <c r="AM3179">
        <v>87.174306212208705</v>
      </c>
      <c r="AN3179">
        <v>1.00000002315046</v>
      </c>
    </row>
    <row r="3180" spans="1:40" x14ac:dyDescent="0.25">
      <c r="A3180" t="str">
        <f>"20190312154857560"</f>
        <v>20190312154857560</v>
      </c>
      <c r="B3180" t="str">
        <f>"1552376937548718"</f>
        <v>1552376937548718</v>
      </c>
      <c r="C3180" t="s">
        <v>40</v>
      </c>
      <c r="D3180">
        <v>4.2344210000000002</v>
      </c>
      <c r="E3180">
        <v>0.4849115</v>
      </c>
      <c r="F3180" t="s">
        <v>59</v>
      </c>
      <c r="G3180">
        <v>-168.41390000000001</v>
      </c>
      <c r="H3180">
        <v>2.78355</v>
      </c>
      <c r="I3180">
        <v>198.8631</v>
      </c>
      <c r="J3180">
        <v>-454.52379999999999</v>
      </c>
      <c r="K3180">
        <v>1.1073649999999999</v>
      </c>
      <c r="L3180">
        <v>215.9288</v>
      </c>
      <c r="M3180">
        <v>0.99861129999999998</v>
      </c>
      <c r="N3180">
        <v>0</v>
      </c>
      <c r="O3180">
        <v>-5.2686379999999998E-2</v>
      </c>
      <c r="P3180">
        <v>0.99281719999999896</v>
      </c>
      <c r="Q3180">
        <v>6.2142370000000002E-2</v>
      </c>
      <c r="R3180">
        <v>-0.1022396</v>
      </c>
      <c r="S3180">
        <v>3.0019529999999999</v>
      </c>
      <c r="T3180">
        <v>1.756895E-2</v>
      </c>
      <c r="U3180">
        <v>-0.1790466</v>
      </c>
      <c r="V3180">
        <v>4.9939369999999997E-2</v>
      </c>
      <c r="W3180">
        <v>6.1865679999999999E-2</v>
      </c>
      <c r="X3180">
        <v>0.99683429999999995</v>
      </c>
      <c r="Y3180">
        <v>6.8627559999999898E-3</v>
      </c>
      <c r="Z3180">
        <v>-2.8777890000000002E-4</v>
      </c>
      <c r="AA3180">
        <v>0.99997639999999999</v>
      </c>
      <c r="AB3180">
        <v>29</v>
      </c>
      <c r="AC3180">
        <v>286.10989999999998</v>
      </c>
      <c r="AD3180">
        <v>1.67618499999999</v>
      </c>
      <c r="AE3180">
        <v>-17.0656999999999</v>
      </c>
      <c r="AF3180">
        <v>1.96783827070996</v>
      </c>
      <c r="AG3180">
        <v>1.67618499999999</v>
      </c>
      <c r="AH3180">
        <v>286.60185223230798</v>
      </c>
      <c r="AI3180">
        <v>89.664918538239803</v>
      </c>
      <c r="AJ3180">
        <v>89.606607371653098</v>
      </c>
      <c r="AK3180">
        <v>286.61350925349501</v>
      </c>
      <c r="AL3180">
        <v>86.453092497218705</v>
      </c>
      <c r="AM3180">
        <v>87.131995810354397</v>
      </c>
      <c r="AN3180">
        <v>0.99999996234717303</v>
      </c>
    </row>
    <row r="3181" spans="1:40" x14ac:dyDescent="0.25">
      <c r="A3181" t="str">
        <f>"20190312154857583"</f>
        <v>20190312154857583</v>
      </c>
      <c r="B3181" t="str">
        <f>"1552376937569214"</f>
        <v>1552376937569214</v>
      </c>
      <c r="C3181" t="s">
        <v>40</v>
      </c>
      <c r="D3181">
        <v>4.2321099999999996</v>
      </c>
      <c r="E3181">
        <v>0.48461120000000002</v>
      </c>
      <c r="F3181" t="s">
        <v>60</v>
      </c>
      <c r="G3181">
        <v>-285.58760000000001</v>
      </c>
      <c r="H3181">
        <v>2.2091720000000001</v>
      </c>
      <c r="I3181">
        <v>205.64330000000001</v>
      </c>
      <c r="J3181">
        <v>-454.22570000000002</v>
      </c>
      <c r="K3181">
        <v>1.1073679999999999</v>
      </c>
      <c r="L3181">
        <v>215.9118</v>
      </c>
      <c r="M3181">
        <v>0.99854149999999997</v>
      </c>
      <c r="N3181">
        <v>0</v>
      </c>
      <c r="O3181">
        <v>-5.3991030000000002E-2</v>
      </c>
      <c r="P3181">
        <v>0.99257169999999895</v>
      </c>
      <c r="Q3181">
        <v>6.235889E-2</v>
      </c>
      <c r="R3181">
        <v>-0.1044655</v>
      </c>
      <c r="S3181">
        <v>3.0016780000000001</v>
      </c>
      <c r="T3181">
        <v>1.9577029999999999E-2</v>
      </c>
      <c r="U3181">
        <v>-0.18275449999999999</v>
      </c>
      <c r="V3181">
        <v>5.0873069999999999E-2</v>
      </c>
      <c r="W3181">
        <v>6.210363E-2</v>
      </c>
      <c r="X3181">
        <v>0.99677229999999994</v>
      </c>
      <c r="Y3181">
        <v>6.7927009999999999E-3</v>
      </c>
      <c r="Z3181">
        <v>-3.2939839999999998E-4</v>
      </c>
      <c r="AA3181">
        <v>0.99997689999999995</v>
      </c>
      <c r="AB3181">
        <v>29</v>
      </c>
      <c r="AC3181">
        <v>168.63810000000001</v>
      </c>
      <c r="AD3181">
        <v>1.101804</v>
      </c>
      <c r="AE3181">
        <v>-10.2684999999999</v>
      </c>
      <c r="AF3181">
        <v>1.1485297390887299</v>
      </c>
      <c r="AG3181">
        <v>1.101804</v>
      </c>
      <c r="AH3181">
        <v>168.93934992792401</v>
      </c>
      <c r="AI3181">
        <v>89.626337112870104</v>
      </c>
      <c r="AJ3181">
        <v>89.610482146888103</v>
      </c>
      <c r="AK3181">
        <v>168.94684680894599</v>
      </c>
      <c r="AL3181">
        <v>86.439432741370098</v>
      </c>
      <c r="AM3181">
        <v>87.0782843183529</v>
      </c>
      <c r="AN3181">
        <v>0.999999974078845</v>
      </c>
    </row>
    <row r="3182" spans="1:40" x14ac:dyDescent="0.25">
      <c r="A3182" t="str">
        <f>"20190312154857606"</f>
        <v>20190312154857606</v>
      </c>
      <c r="B3182" t="str">
        <f>"1552376937599471"</f>
        <v>1552376937599471</v>
      </c>
      <c r="C3182" t="s">
        <v>40</v>
      </c>
      <c r="D3182">
        <v>4.1763320000000004</v>
      </c>
      <c r="E3182">
        <v>0.48413010000000001</v>
      </c>
      <c r="F3182" t="s">
        <v>59</v>
      </c>
      <c r="G3182">
        <v>-168.4144</v>
      </c>
      <c r="H3182">
        <v>3.3570489999999999</v>
      </c>
      <c r="I3182">
        <v>198.10419999999999</v>
      </c>
      <c r="J3182">
        <v>-453.93150000000003</v>
      </c>
      <c r="K3182">
        <v>1.107375</v>
      </c>
      <c r="L3182">
        <v>215.8947</v>
      </c>
      <c r="M3182">
        <v>0.99847330000000001</v>
      </c>
      <c r="N3182">
        <v>0</v>
      </c>
      <c r="O3182">
        <v>-5.5237950000000001E-2</v>
      </c>
      <c r="P3182">
        <v>0.99226959999999997</v>
      </c>
      <c r="Q3182">
        <v>6.3188110000000006E-2</v>
      </c>
      <c r="R3182">
        <v>-0.106811</v>
      </c>
      <c r="S3182">
        <v>3.0012819999999998</v>
      </c>
      <c r="T3182">
        <v>2.3624059999999999E-2</v>
      </c>
      <c r="U3182">
        <v>-0.18699650000000001</v>
      </c>
      <c r="V3182">
        <v>5.1987199999999997E-2</v>
      </c>
      <c r="W3182">
        <v>6.2955510000000006E-2</v>
      </c>
      <c r="X3182">
        <v>0.99666140000000003</v>
      </c>
      <c r="Y3182">
        <v>6.9604589999999996E-3</v>
      </c>
      <c r="Z3182">
        <v>-4.0664839999999999E-4</v>
      </c>
      <c r="AA3182">
        <v>0.99997570000000002</v>
      </c>
      <c r="AB3182">
        <v>29</v>
      </c>
      <c r="AC3182">
        <v>285.51710000000003</v>
      </c>
      <c r="AD3182">
        <v>2.2496740000000002</v>
      </c>
      <c r="AE3182">
        <v>-17.790500000000002</v>
      </c>
      <c r="AF3182">
        <v>1.9918366068474</v>
      </c>
      <c r="AG3182">
        <v>2.2496740000000002</v>
      </c>
      <c r="AH3182">
        <v>286.04619861531597</v>
      </c>
      <c r="AI3182">
        <v>89.549404802648297</v>
      </c>
      <c r="AJ3182">
        <v>89.601036520990903</v>
      </c>
      <c r="AK3182">
        <v>286.06197962757602</v>
      </c>
      <c r="AL3182">
        <v>86.390528023038797</v>
      </c>
      <c r="AM3182">
        <v>87.014081101305294</v>
      </c>
      <c r="AN3182">
        <v>1.0000000057265801</v>
      </c>
    </row>
    <row r="3183" spans="1:40" x14ac:dyDescent="0.25">
      <c r="A3183" t="str">
        <f>"20190312154857626"</f>
        <v>20190312154857626</v>
      </c>
      <c r="B3183" t="str">
        <f>"1552376937618990"</f>
        <v>1552376937618990</v>
      </c>
      <c r="C3183" t="s">
        <v>40</v>
      </c>
      <c r="D3183">
        <v>4.1417989999999998</v>
      </c>
      <c r="E3183">
        <v>0.48398289999999999</v>
      </c>
      <c r="F3183" t="s">
        <v>59</v>
      </c>
      <c r="G3183">
        <v>-168.41470000000001</v>
      </c>
      <c r="H3183">
        <v>3.9200550000000001</v>
      </c>
      <c r="I3183">
        <v>197.78319999999999</v>
      </c>
      <c r="J3183">
        <v>-453.64949999999999</v>
      </c>
      <c r="K3183">
        <v>1.107391</v>
      </c>
      <c r="L3183">
        <v>215.87799999999999</v>
      </c>
      <c r="M3183">
        <v>0.9984092</v>
      </c>
      <c r="N3183">
        <v>0</v>
      </c>
      <c r="O3183">
        <v>-5.6383290000000003E-2</v>
      </c>
      <c r="P3183">
        <v>0.99198299999999995</v>
      </c>
      <c r="Q3183">
        <v>6.3772099999999998E-2</v>
      </c>
      <c r="R3183">
        <v>-0.1091008</v>
      </c>
      <c r="S3183">
        <v>3.0010379999999999</v>
      </c>
      <c r="T3183">
        <v>2.9564139999999999E-2</v>
      </c>
      <c r="U3183">
        <v>-0.1903687</v>
      </c>
      <c r="V3183">
        <v>5.314468E-2</v>
      </c>
      <c r="W3183">
        <v>6.3561779999999998E-2</v>
      </c>
      <c r="X3183">
        <v>0.9965619</v>
      </c>
      <c r="Y3183">
        <v>6.9385219999999999E-3</v>
      </c>
      <c r="Z3183">
        <v>-5.2026799999999995E-4</v>
      </c>
      <c r="AA3183">
        <v>0.99997579999999997</v>
      </c>
      <c r="AB3183">
        <v>30</v>
      </c>
      <c r="AC3183">
        <v>285.23479999999898</v>
      </c>
      <c r="AD3183">
        <v>2.8126639999999998</v>
      </c>
      <c r="AE3183">
        <v>-18.0947999999999</v>
      </c>
      <c r="AF3183">
        <v>1.9833462584391599</v>
      </c>
      <c r="AG3183">
        <v>2.8126639999999998</v>
      </c>
      <c r="AH3183">
        <v>285.77361564067201</v>
      </c>
      <c r="AI3183">
        <v>89.436110671068505</v>
      </c>
      <c r="AJ3183">
        <v>89.602358163183396</v>
      </c>
      <c r="AK3183">
        <v>285.79433888287599</v>
      </c>
      <c r="AL3183">
        <v>86.355721719335904</v>
      </c>
      <c r="AM3183">
        <v>86.947420648314306</v>
      </c>
      <c r="AN3183">
        <v>1.0000000387103301</v>
      </c>
    </row>
    <row r="3184" spans="1:40" x14ac:dyDescent="0.25">
      <c r="A3184" t="str">
        <f>"20190312154857649"</f>
        <v>20190312154857649</v>
      </c>
      <c r="B3184" t="str">
        <f>"1552376937638511"</f>
        <v>1552376937638511</v>
      </c>
      <c r="C3184" t="s">
        <v>40</v>
      </c>
      <c r="D3184">
        <v>4.1879839999999904</v>
      </c>
      <c r="E3184">
        <v>0.50106470000000003</v>
      </c>
      <c r="F3184" t="s">
        <v>59</v>
      </c>
      <c r="G3184">
        <v>-168.41499999999999</v>
      </c>
      <c r="H3184">
        <v>4.5388769999999896</v>
      </c>
      <c r="I3184">
        <v>197.2612</v>
      </c>
      <c r="J3184">
        <v>-453.35410000000002</v>
      </c>
      <c r="K3184">
        <v>1.107407</v>
      </c>
      <c r="L3184">
        <v>215.86019999999999</v>
      </c>
      <c r="M3184">
        <v>0.99834339999999999</v>
      </c>
      <c r="N3184">
        <v>0</v>
      </c>
      <c r="O3184">
        <v>-5.7537079999999997E-2</v>
      </c>
      <c r="P3184">
        <v>0.9918013</v>
      </c>
      <c r="Q3184">
        <v>6.3214820000000005E-2</v>
      </c>
      <c r="R3184">
        <v>-0.1110612</v>
      </c>
      <c r="S3184">
        <v>3.000397</v>
      </c>
      <c r="T3184">
        <v>3.6096330000000003E-2</v>
      </c>
      <c r="U3184">
        <v>-0.19583130000000001</v>
      </c>
      <c r="V3184">
        <v>5.3956049999999998E-2</v>
      </c>
      <c r="W3184">
        <v>6.3030230000000007E-2</v>
      </c>
      <c r="X3184">
        <v>0.99655210000000005</v>
      </c>
      <c r="Y3184">
        <v>7.6106680000000001E-3</v>
      </c>
      <c r="Z3184">
        <v>-6.4510019999999997E-4</v>
      </c>
      <c r="AA3184">
        <v>0.9999709</v>
      </c>
      <c r="AB3184">
        <v>30</v>
      </c>
      <c r="AC3184">
        <v>284.9391</v>
      </c>
      <c r="AD3184">
        <v>3.4314699999999898</v>
      </c>
      <c r="AE3184">
        <v>-18.598999999999901</v>
      </c>
      <c r="AF3184">
        <v>2.1733111826959899</v>
      </c>
      <c r="AG3184">
        <v>3.4314699999999898</v>
      </c>
      <c r="AH3184">
        <v>285.49596381741497</v>
      </c>
      <c r="AI3184">
        <v>89.311396267996301</v>
      </c>
      <c r="AJ3184">
        <v>89.563849689966801</v>
      </c>
      <c r="AK3184">
        <v>285.524856402892</v>
      </c>
      <c r="AL3184">
        <v>86.386238619585797</v>
      </c>
      <c r="AM3184">
        <v>86.900876083224105</v>
      </c>
      <c r="AN3184">
        <v>1.00000007661992</v>
      </c>
    </row>
    <row r="3185" spans="1:40" x14ac:dyDescent="0.25">
      <c r="A3185" t="str">
        <f>"20190312154857670"</f>
        <v>20190312154857670</v>
      </c>
      <c r="B3185" t="str">
        <f>"1552376937659007"</f>
        <v>1552376937659007</v>
      </c>
      <c r="C3185" t="s">
        <v>40</v>
      </c>
      <c r="D3185">
        <v>4.0871740000000001</v>
      </c>
      <c r="E3185">
        <v>0.50946709999999995</v>
      </c>
      <c r="F3185" t="s">
        <v>61</v>
      </c>
      <c r="G3185">
        <v>-256.33499999999998</v>
      </c>
      <c r="H3185">
        <v>2.8070080000000002</v>
      </c>
      <c r="I3185">
        <v>193.61770000000001</v>
      </c>
      <c r="J3185">
        <v>-453.05829999999997</v>
      </c>
      <c r="K3185">
        <v>1.1074250000000001</v>
      </c>
      <c r="L3185">
        <v>215.84209999999999</v>
      </c>
      <c r="M3185">
        <v>0.99827909999999997</v>
      </c>
      <c r="N3185">
        <v>0</v>
      </c>
      <c r="O3185">
        <v>-5.8643550000000003E-2</v>
      </c>
      <c r="P3185">
        <v>0.99166739999999998</v>
      </c>
      <c r="Q3185">
        <v>6.2053230000000001E-2</v>
      </c>
      <c r="R3185">
        <v>-0.1128958</v>
      </c>
      <c r="S3185">
        <v>2.985382</v>
      </c>
      <c r="T3185">
        <v>2.5753620000000001E-2</v>
      </c>
      <c r="U3185">
        <v>-0.33703610000000001</v>
      </c>
      <c r="V3185">
        <v>5.4684879999999998E-2</v>
      </c>
      <c r="W3185">
        <v>6.1896149999999997E-2</v>
      </c>
      <c r="X3185">
        <v>0.99658340000000001</v>
      </c>
      <c r="Y3185">
        <v>5.3716600000000003E-2</v>
      </c>
      <c r="Z3185">
        <v>-2.7269209999999998E-4</v>
      </c>
      <c r="AA3185">
        <v>0.9985562</v>
      </c>
      <c r="AB3185">
        <v>30</v>
      </c>
      <c r="AC3185">
        <v>196.72329999999999</v>
      </c>
      <c r="AD3185">
        <v>1.6995830000000001</v>
      </c>
      <c r="AE3185">
        <v>-22.2243999999999</v>
      </c>
      <c r="AF3185">
        <v>10.648815325296701</v>
      </c>
      <c r="AG3185">
        <v>1.6995830000000001</v>
      </c>
      <c r="AH3185">
        <v>197.673485637982</v>
      </c>
      <c r="AI3185">
        <v>89.508100184866507</v>
      </c>
      <c r="AJ3185">
        <v>86.916415036486299</v>
      </c>
      <c r="AK3185">
        <v>197.96740331295899</v>
      </c>
      <c r="AL3185">
        <v>86.451343552109606</v>
      </c>
      <c r="AM3185">
        <v>86.859195306308607</v>
      </c>
      <c r="AN3185">
        <v>1.00000002132049</v>
      </c>
    </row>
    <row r="3186" spans="1:40" x14ac:dyDescent="0.25">
      <c r="A3186" t="str">
        <f>"20190312154857695"</f>
        <v>20190312154857695</v>
      </c>
      <c r="B3186" t="str">
        <f>"1552376937689263"</f>
        <v>1552376937689263</v>
      </c>
      <c r="C3186" t="s">
        <v>40</v>
      </c>
      <c r="D3186">
        <v>4.0781839999999896</v>
      </c>
      <c r="E3186">
        <v>0.51371729999999904</v>
      </c>
      <c r="F3186" t="s">
        <v>59</v>
      </c>
      <c r="G3186">
        <v>-168.42089999999999</v>
      </c>
      <c r="H3186">
        <v>1.7731209999999999</v>
      </c>
      <c r="I3186">
        <v>176.75880000000001</v>
      </c>
      <c r="J3186">
        <v>-452.73239999999998</v>
      </c>
      <c r="K3186">
        <v>1.1074469999999901</v>
      </c>
      <c r="L3186">
        <v>215.8218</v>
      </c>
      <c r="M3186">
        <v>0.9982105</v>
      </c>
      <c r="N3186">
        <v>0</v>
      </c>
      <c r="O3186">
        <v>-5.9800550000000001E-2</v>
      </c>
      <c r="P3186">
        <v>0.99152839999999998</v>
      </c>
      <c r="Q3186">
        <v>6.1672369999999997E-2</v>
      </c>
      <c r="R3186">
        <v>-0.1143164</v>
      </c>
      <c r="S3186">
        <v>2.9782099999999998</v>
      </c>
      <c r="T3186">
        <v>6.9656369999999898E-3</v>
      </c>
      <c r="U3186">
        <v>-0.40893550000000001</v>
      </c>
      <c r="V3186">
        <v>5.4951199999999902E-2</v>
      </c>
      <c r="W3186">
        <v>6.154681E-2</v>
      </c>
      <c r="X3186">
        <v>0.99659039999999999</v>
      </c>
      <c r="Y3186">
        <v>7.654466E-2</v>
      </c>
      <c r="Z3186" s="1">
        <v>-4.9912169999999998E-5</v>
      </c>
      <c r="AA3186">
        <v>0.99706609999999996</v>
      </c>
      <c r="AB3186">
        <v>30</v>
      </c>
      <c r="AC3186">
        <v>284.31150000000002</v>
      </c>
      <c r="AD3186">
        <v>0.66567399999999999</v>
      </c>
      <c r="AE3186">
        <v>-39.062999999999903</v>
      </c>
      <c r="AF3186">
        <v>21.9909909828094</v>
      </c>
      <c r="AG3186">
        <v>0.66567399999999999</v>
      </c>
      <c r="AH3186">
        <v>286.13712985253699</v>
      </c>
      <c r="AI3186">
        <v>89.867098344115703</v>
      </c>
      <c r="AJ3186">
        <v>85.605187794520205</v>
      </c>
      <c r="AK3186">
        <v>286.98171350545601</v>
      </c>
      <c r="AL3186">
        <v>86.471397541585901</v>
      </c>
      <c r="AM3186">
        <v>86.843952292057196</v>
      </c>
      <c r="AN3186">
        <v>1.0000000347873801</v>
      </c>
    </row>
    <row r="3187" spans="1:40" x14ac:dyDescent="0.25">
      <c r="A3187" t="str">
        <f>"20190312154857717"</f>
        <v>20190312154857717</v>
      </c>
      <c r="B3187" t="str">
        <f>"1552376937708783"</f>
        <v>1552376937708783</v>
      </c>
      <c r="C3187" t="s">
        <v>40</v>
      </c>
      <c r="D3187">
        <v>4.0714059999999996</v>
      </c>
      <c r="E3187">
        <v>0.51454599999999995</v>
      </c>
      <c r="F3187" t="s">
        <v>59</v>
      </c>
      <c r="G3187">
        <v>-169.40450000000001</v>
      </c>
      <c r="H3187">
        <v>1.02556</v>
      </c>
      <c r="I3187">
        <v>173.27860000000001</v>
      </c>
      <c r="J3187">
        <v>-452.42959999999999</v>
      </c>
      <c r="K3187">
        <v>1.107469</v>
      </c>
      <c r="L3187">
        <v>215.80269999999999</v>
      </c>
      <c r="M3187">
        <v>0.99814910000000001</v>
      </c>
      <c r="N3187">
        <v>0</v>
      </c>
      <c r="O3187">
        <v>-6.0815800000000003E-2</v>
      </c>
      <c r="P3187">
        <v>0.99141369999999895</v>
      </c>
      <c r="Q3187">
        <v>6.1417720000000002E-2</v>
      </c>
      <c r="R3187">
        <v>-0.1154433</v>
      </c>
      <c r="S3187">
        <v>2.9742130000000002</v>
      </c>
      <c r="T3187">
        <v>-8.5926060000000002E-4</v>
      </c>
      <c r="U3187">
        <v>-0.4465942</v>
      </c>
      <c r="V3187">
        <v>5.5064219999999997E-2</v>
      </c>
      <c r="W3187">
        <v>6.1323580000000003E-2</v>
      </c>
      <c r="X3187">
        <v>0.99659790000000004</v>
      </c>
      <c r="Y3187">
        <v>8.8074360000000004E-2</v>
      </c>
      <c r="Z3187" s="1">
        <v>4.7925009999999997E-6</v>
      </c>
      <c r="AA3187">
        <v>0.9961139</v>
      </c>
      <c r="AB3187">
        <v>30</v>
      </c>
      <c r="AC3187">
        <v>283.02509999999899</v>
      </c>
      <c r="AD3187">
        <v>-8.1908999999999996E-2</v>
      </c>
      <c r="AE3187">
        <v>-42.524099999999898</v>
      </c>
      <c r="AF3187">
        <v>25.232989836152001</v>
      </c>
      <c r="AG3187">
        <v>-8.1908999999999996E-2</v>
      </c>
      <c r="AH3187">
        <v>285.08733594563898</v>
      </c>
      <c r="AI3187">
        <v>90.016397657979297</v>
      </c>
      <c r="AJ3187">
        <v>84.941949412567496</v>
      </c>
      <c r="AK3187">
        <v>286.20185115008798</v>
      </c>
      <c r="AL3187">
        <v>86.484211803276807</v>
      </c>
      <c r="AM3187">
        <v>86.837498055787705</v>
      </c>
      <c r="AN3187">
        <v>1.0000000120363099</v>
      </c>
    </row>
    <row r="3188" spans="1:40" x14ac:dyDescent="0.25">
      <c r="A3188" t="str">
        <f>"20190312154857738"</f>
        <v>20190312154857738</v>
      </c>
      <c r="B3188" t="str">
        <f>"1552376937729279"</f>
        <v>1552376937729279</v>
      </c>
      <c r="C3188" t="s">
        <v>40</v>
      </c>
      <c r="D3188">
        <v>4.0573629999999996</v>
      </c>
      <c r="E3188">
        <v>0.51470830000000001</v>
      </c>
      <c r="F3188" t="s">
        <v>58</v>
      </c>
      <c r="G3188">
        <v>-342.05419999999998</v>
      </c>
      <c r="H3188">
        <v>0.89940789999999904</v>
      </c>
      <c r="I3188">
        <v>198.86510000000001</v>
      </c>
      <c r="J3188">
        <v>-452.13959999999997</v>
      </c>
      <c r="K3188">
        <v>1.1075010000000001</v>
      </c>
      <c r="L3188">
        <v>215.7842</v>
      </c>
      <c r="M3188">
        <v>0.9980928</v>
      </c>
      <c r="N3188">
        <v>0</v>
      </c>
      <c r="O3188">
        <v>-6.1733660000000003E-2</v>
      </c>
      <c r="P3188">
        <v>0.99129520000000004</v>
      </c>
      <c r="Q3188">
        <v>6.1971720000000001E-2</v>
      </c>
      <c r="R3188">
        <v>-0.1161623</v>
      </c>
      <c r="S3188">
        <v>2.9732059999999998</v>
      </c>
      <c r="T3188">
        <v>-5.6042669999999996E-3</v>
      </c>
      <c r="U3188">
        <v>-0.45625310000000002</v>
      </c>
      <c r="V3188">
        <v>5.4869229999999998E-2</v>
      </c>
      <c r="W3188">
        <v>6.1908030000000003E-2</v>
      </c>
      <c r="X3188">
        <v>0.99657249999999997</v>
      </c>
      <c r="Y3188">
        <v>9.0370679999999995E-2</v>
      </c>
      <c r="Z3188" s="1">
        <v>3.0819679999999998E-5</v>
      </c>
      <c r="AA3188">
        <v>0.99590820000000002</v>
      </c>
      <c r="AB3188">
        <v>30</v>
      </c>
      <c r="AC3188">
        <v>110.08540000000001</v>
      </c>
      <c r="AD3188">
        <v>-0.2080931</v>
      </c>
      <c r="AE3188">
        <v>-16.919099999999901</v>
      </c>
      <c r="AF3188">
        <v>10.0908205897787</v>
      </c>
      <c r="AG3188">
        <v>-0.2080931</v>
      </c>
      <c r="AH3188">
        <v>110.91952025126901</v>
      </c>
      <c r="AI3188">
        <v>90.107048858809094</v>
      </c>
      <c r="AJ3188">
        <v>84.801868156765494</v>
      </c>
      <c r="AK3188">
        <v>111.377771281729</v>
      </c>
      <c r="AL3188">
        <v>86.450661466771805</v>
      </c>
      <c r="AM3188">
        <v>86.848594142910002</v>
      </c>
      <c r="AN3188">
        <v>0.99999999216776103</v>
      </c>
    </row>
    <row r="3189" spans="1:40" x14ac:dyDescent="0.25">
      <c r="A3189" t="str">
        <f>"20190312154857758"</f>
        <v>20190312154857758</v>
      </c>
      <c r="B3189" t="str">
        <f>"1552376937748798"</f>
        <v>1552376937748798</v>
      </c>
      <c r="C3189" t="s">
        <v>40</v>
      </c>
      <c r="D3189">
        <v>4.0297900000000002</v>
      </c>
      <c r="E3189">
        <v>0.51479819999999998</v>
      </c>
      <c r="F3189" t="s">
        <v>58</v>
      </c>
      <c r="G3189">
        <v>-343.2079</v>
      </c>
      <c r="H3189">
        <v>0.78768209999999905</v>
      </c>
      <c r="I3189">
        <v>198.94390000000001</v>
      </c>
      <c r="J3189">
        <v>-451.8571</v>
      </c>
      <c r="K3189">
        <v>1.107521</v>
      </c>
      <c r="L3189">
        <v>215.76589999999999</v>
      </c>
      <c r="M3189">
        <v>0.99804029999999999</v>
      </c>
      <c r="N3189">
        <v>0</v>
      </c>
      <c r="O3189">
        <v>-6.2577610000000006E-2</v>
      </c>
      <c r="P3189">
        <v>0.9912242</v>
      </c>
      <c r="Q3189">
        <v>6.2193970000000001E-2</v>
      </c>
      <c r="R3189">
        <v>-0.11664910000000001</v>
      </c>
      <c r="S3189">
        <v>2.9729920000000001</v>
      </c>
      <c r="T3189">
        <v>-8.7281470000000003E-3</v>
      </c>
      <c r="U3189">
        <v>-0.45961000000000002</v>
      </c>
      <c r="V3189">
        <v>5.4512730000000002E-2</v>
      </c>
      <c r="W3189">
        <v>6.2161699999999903E-2</v>
      </c>
      <c r="X3189">
        <v>0.99657629999999997</v>
      </c>
      <c r="Y3189">
        <v>9.0637690000000007E-2</v>
      </c>
      <c r="Z3189" s="1">
        <v>5.0060569999999998E-5</v>
      </c>
      <c r="AA3189">
        <v>0.99588390000000004</v>
      </c>
      <c r="AB3189">
        <v>31</v>
      </c>
      <c r="AC3189">
        <v>108.64919999999999</v>
      </c>
      <c r="AD3189">
        <v>-0.31983889999999998</v>
      </c>
      <c r="AE3189">
        <v>-16.8219999999999</v>
      </c>
      <c r="AF3189">
        <v>9.9899401313806901</v>
      </c>
      <c r="AG3189">
        <v>-0.31983889999999998</v>
      </c>
      <c r="AH3189">
        <v>109.48801235552899</v>
      </c>
      <c r="AI3189">
        <v>90.166680892251705</v>
      </c>
      <c r="AJ3189">
        <v>84.786635604743196</v>
      </c>
      <c r="AK3189">
        <v>109.943285608149</v>
      </c>
      <c r="AL3189">
        <v>86.436099291950796</v>
      </c>
      <c r="AM3189">
        <v>86.869040710302201</v>
      </c>
      <c r="AN3189">
        <v>1.0000000182003099</v>
      </c>
    </row>
    <row r="3190" spans="1:40" x14ac:dyDescent="0.25">
      <c r="A3190" t="str">
        <f>"20190312154857783"</f>
        <v>20190312154857783</v>
      </c>
      <c r="B3190" t="str">
        <f>"1552376937769295"</f>
        <v>1552376937769295</v>
      </c>
      <c r="C3190" t="s">
        <v>40</v>
      </c>
      <c r="D3190">
        <v>4.0542590000000001</v>
      </c>
      <c r="E3190">
        <v>0.51487280000000002</v>
      </c>
      <c r="F3190" t="s">
        <v>58</v>
      </c>
      <c r="G3190">
        <v>-344.01420000000002</v>
      </c>
      <c r="H3190">
        <v>0.69156039999999996</v>
      </c>
      <c r="I3190">
        <v>199.01169999999999</v>
      </c>
      <c r="J3190">
        <v>-451.50940000000003</v>
      </c>
      <c r="K3190">
        <v>1.1075549999999901</v>
      </c>
      <c r="L3190">
        <v>215.7432</v>
      </c>
      <c r="M3190">
        <v>0.99797829999999998</v>
      </c>
      <c r="N3190">
        <v>0</v>
      </c>
      <c r="O3190">
        <v>-6.3555899999999999E-2</v>
      </c>
      <c r="P3190">
        <v>0.99117759999999999</v>
      </c>
      <c r="Q3190">
        <v>6.1463240000000002E-2</v>
      </c>
      <c r="R3190">
        <v>-0.1174249</v>
      </c>
      <c r="S3190">
        <v>2.972931</v>
      </c>
      <c r="T3190">
        <v>-1.1466499999999999E-2</v>
      </c>
      <c r="U3190">
        <v>-0.46186830000000001</v>
      </c>
      <c r="V3190">
        <v>5.4306350000000003E-2</v>
      </c>
      <c r="W3190">
        <v>6.146923E-2</v>
      </c>
      <c r="X3190">
        <v>0.99663049999999997</v>
      </c>
      <c r="Y3190">
        <v>9.0403239999999996E-2</v>
      </c>
      <c r="Z3190" s="1">
        <v>6.9948040000000005E-5</v>
      </c>
      <c r="AA3190">
        <v>0.99590520000000005</v>
      </c>
      <c r="AB3190">
        <v>31</v>
      </c>
      <c r="AC3190">
        <v>107.4952</v>
      </c>
      <c r="AD3190">
        <v>-0.41599459999999899</v>
      </c>
      <c r="AE3190">
        <v>-16.7315</v>
      </c>
      <c r="AF3190">
        <v>9.8655752963640904</v>
      </c>
      <c r="AG3190">
        <v>-0.41599459999999899</v>
      </c>
      <c r="AH3190">
        <v>108.339676222232</v>
      </c>
      <c r="AI3190">
        <v>90.219092480145207</v>
      </c>
      <c r="AJ3190">
        <v>84.796909409856198</v>
      </c>
      <c r="AK3190">
        <v>108.78873136209199</v>
      </c>
      <c r="AL3190">
        <v>86.475850856416301</v>
      </c>
      <c r="AM3190">
        <v>86.8810400672632</v>
      </c>
      <c r="AN3190">
        <v>0.99999999970868203</v>
      </c>
    </row>
    <row r="3191" spans="1:40" x14ac:dyDescent="0.25">
      <c r="A3191" t="str">
        <f>"20190312154857806"</f>
        <v>20190312154857806</v>
      </c>
      <c r="B3191" t="str">
        <f>"1552376937798575"</f>
        <v>1552376937798575</v>
      </c>
      <c r="C3191" t="s">
        <v>40</v>
      </c>
      <c r="D3191">
        <v>4.0338900000000004</v>
      </c>
      <c r="E3191">
        <v>0.51479949999999997</v>
      </c>
      <c r="F3191" t="s">
        <v>58</v>
      </c>
      <c r="G3191">
        <v>-345.23570000000001</v>
      </c>
      <c r="H3191">
        <v>0.51745989999999997</v>
      </c>
      <c r="I3191">
        <v>199.1345</v>
      </c>
      <c r="J3191">
        <v>-451.19549999999998</v>
      </c>
      <c r="K3191">
        <v>1.1075809999999999</v>
      </c>
      <c r="L3191">
        <v>215.7225</v>
      </c>
      <c r="M3191">
        <v>0.99792530000000002</v>
      </c>
      <c r="N3191">
        <v>0</v>
      </c>
      <c r="O3191">
        <v>-6.4384109999999994E-2</v>
      </c>
      <c r="P3191">
        <v>0.99114869999999999</v>
      </c>
      <c r="Q3191">
        <v>6.1270819999999997E-2</v>
      </c>
      <c r="R3191">
        <v>-0.11777360000000001</v>
      </c>
      <c r="S3191">
        <v>2.9727169999999998</v>
      </c>
      <c r="T3191">
        <v>-1.650596E-2</v>
      </c>
      <c r="U3191">
        <v>-0.46458440000000001</v>
      </c>
      <c r="V3191">
        <v>5.3823639999999999E-2</v>
      </c>
      <c r="W3191">
        <v>6.1311690000000002E-2</v>
      </c>
      <c r="X3191">
        <v>0.99666639999999995</v>
      </c>
      <c r="Y3191">
        <v>9.0475730000000004E-2</v>
      </c>
      <c r="Z3191">
        <v>1.050394E-4</v>
      </c>
      <c r="AA3191">
        <v>0.99589870000000003</v>
      </c>
      <c r="AB3191">
        <v>31</v>
      </c>
      <c r="AC3191">
        <v>105.95979999999901</v>
      </c>
      <c r="AD3191">
        <v>-0.59012109999999995</v>
      </c>
      <c r="AE3191">
        <v>-16.587999999999901</v>
      </c>
      <c r="AF3191">
        <v>9.7311617855802908</v>
      </c>
      <c r="AG3191">
        <v>-0.59012109999999995</v>
      </c>
      <c r="AH3191">
        <v>106.804723660264</v>
      </c>
      <c r="AI3191">
        <v>90.315263547955297</v>
      </c>
      <c r="AJ3191">
        <v>84.794056828243896</v>
      </c>
      <c r="AK3191">
        <v>107.248742411066</v>
      </c>
      <c r="AL3191">
        <v>86.484894328015301</v>
      </c>
      <c r="AM3191">
        <v>86.908820525292796</v>
      </c>
      <c r="AN3191">
        <v>1.0000000102212301</v>
      </c>
    </row>
    <row r="3192" spans="1:40" x14ac:dyDescent="0.25">
      <c r="A3192" t="str">
        <f>"20190312154857848"</f>
        <v>20190312154857848</v>
      </c>
      <c r="B3192" t="str">
        <f>"1552376937838591"</f>
        <v>1552376937838591</v>
      </c>
      <c r="C3192" t="s">
        <v>40</v>
      </c>
      <c r="D3192">
        <v>4.0391469999999998</v>
      </c>
      <c r="E3192">
        <v>0.51465499999999997</v>
      </c>
      <c r="F3192" t="s">
        <v>58</v>
      </c>
      <c r="G3192">
        <v>-345.4135</v>
      </c>
      <c r="H3192">
        <v>0.45917219999999997</v>
      </c>
      <c r="I3192">
        <v>199.1756</v>
      </c>
      <c r="J3192">
        <v>-450.58960000000002</v>
      </c>
      <c r="K3192">
        <v>1.107623</v>
      </c>
      <c r="L3192">
        <v>215.68170000000001</v>
      </c>
      <c r="M3192">
        <v>0.99782879999999996</v>
      </c>
      <c r="N3192">
        <v>0</v>
      </c>
      <c r="O3192">
        <v>-6.5861409999999995E-2</v>
      </c>
      <c r="P3192">
        <v>0.99114029999999997</v>
      </c>
      <c r="Q3192">
        <v>6.1633489999999999E-2</v>
      </c>
      <c r="R3192">
        <v>-0.1176529</v>
      </c>
      <c r="S3192">
        <v>2.9726560000000002</v>
      </c>
      <c r="T3192">
        <v>-1.8221020000000001E-2</v>
      </c>
      <c r="U3192">
        <v>-0.46499629999999997</v>
      </c>
      <c r="V3192">
        <v>5.2221990000000003E-2</v>
      </c>
      <c r="W3192">
        <v>6.1743369999999999E-2</v>
      </c>
      <c r="X3192">
        <v>0.99672499999999997</v>
      </c>
      <c r="Y3192">
        <v>8.9139079999999996E-2</v>
      </c>
      <c r="Z3192">
        <v>1.2898909999999999E-4</v>
      </c>
      <c r="AA3192">
        <v>0.99601919999999999</v>
      </c>
      <c r="AB3192">
        <v>31</v>
      </c>
      <c r="AC3192">
        <v>105.17610000000001</v>
      </c>
      <c r="AD3192">
        <v>-0.64845079999999999</v>
      </c>
      <c r="AE3192">
        <v>-16.5061</v>
      </c>
      <c r="AF3192">
        <v>9.5428615000063601</v>
      </c>
      <c r="AG3192">
        <v>-0.64845079999999999</v>
      </c>
      <c r="AH3192">
        <v>106.03092102178201</v>
      </c>
      <c r="AI3192">
        <v>90.348987540393694</v>
      </c>
      <c r="AJ3192">
        <v>84.857193306101095</v>
      </c>
      <c r="AK3192">
        <v>106.46146207325801</v>
      </c>
      <c r="AL3192">
        <v>86.460114087638303</v>
      </c>
      <c r="AM3192">
        <v>87.000811390000194</v>
      </c>
      <c r="AN3192">
        <v>1.0000000528017501</v>
      </c>
    </row>
    <row r="3193" spans="1:40" x14ac:dyDescent="0.25">
      <c r="A3193" t="str">
        <f>"20190312154857870"</f>
        <v>20190312154857870</v>
      </c>
      <c r="B3193" t="str">
        <f>"1552376937859087"</f>
        <v>1552376937859087</v>
      </c>
      <c r="C3193" t="s">
        <v>40</v>
      </c>
      <c r="D3193">
        <v>4.0733519999999999</v>
      </c>
      <c r="E3193">
        <v>0.51474449999999905</v>
      </c>
      <c r="F3193" t="s">
        <v>58</v>
      </c>
      <c r="G3193">
        <v>-345.06639999999999</v>
      </c>
      <c r="H3193">
        <v>0.39137949999999999</v>
      </c>
      <c r="I3193">
        <v>199.2234</v>
      </c>
      <c r="J3193">
        <v>-450.27010000000001</v>
      </c>
      <c r="K3193">
        <v>1.10765</v>
      </c>
      <c r="L3193">
        <v>215.66</v>
      </c>
      <c r="M3193">
        <v>0.99778020000000001</v>
      </c>
      <c r="N3193">
        <v>0</v>
      </c>
      <c r="O3193">
        <v>-6.6594059999999997E-2</v>
      </c>
      <c r="P3193">
        <v>0.99111499999999997</v>
      </c>
      <c r="Q3193">
        <v>6.2037849999999999E-2</v>
      </c>
      <c r="R3193">
        <v>-0.1176553</v>
      </c>
      <c r="S3193">
        <v>2.9730219999999998</v>
      </c>
      <c r="T3193">
        <v>-2.017915E-2</v>
      </c>
      <c r="U3193">
        <v>-0.46369929999999898</v>
      </c>
      <c r="V3193">
        <v>5.14919E-2</v>
      </c>
      <c r="W3193">
        <v>6.2183120000000001E-2</v>
      </c>
      <c r="X3193">
        <v>0.99673560000000005</v>
      </c>
      <c r="Y3193">
        <v>8.796474E-2</v>
      </c>
      <c r="Z3193">
        <v>1.517232E-4</v>
      </c>
      <c r="AA3193">
        <v>0.9961236</v>
      </c>
      <c r="AB3193">
        <v>32</v>
      </c>
      <c r="AC3193">
        <v>105.2037</v>
      </c>
      <c r="AD3193">
        <v>-0.71627050000000003</v>
      </c>
      <c r="AE3193">
        <v>-16.436599999999999</v>
      </c>
      <c r="AF3193">
        <v>9.3937470058810302</v>
      </c>
      <c r="AG3193">
        <v>-0.71627050000000003</v>
      </c>
      <c r="AH3193">
        <v>106.059944433431</v>
      </c>
      <c r="AI3193">
        <v>90.385429497050495</v>
      </c>
      <c r="AJ3193">
        <v>84.9385109028523</v>
      </c>
      <c r="AK3193">
        <v>106.477543827148</v>
      </c>
      <c r="AL3193">
        <v>86.434869594831895</v>
      </c>
      <c r="AM3193">
        <v>87.042698009752002</v>
      </c>
      <c r="AN3193">
        <v>1.0000000062429499</v>
      </c>
    </row>
    <row r="3194" spans="1:40" x14ac:dyDescent="0.25">
      <c r="A3194" t="str">
        <f>"20190312154857892"</f>
        <v>20190312154857892</v>
      </c>
      <c r="B3194" t="str">
        <f>"1552376937878606"</f>
        <v>1552376937878606</v>
      </c>
      <c r="C3194" t="s">
        <v>40</v>
      </c>
      <c r="D3194">
        <v>4.0964830000000001</v>
      </c>
      <c r="E3194">
        <v>0.51483880000000004</v>
      </c>
      <c r="F3194" t="s">
        <v>58</v>
      </c>
      <c r="G3194">
        <v>-349.39510000000001</v>
      </c>
      <c r="H3194">
        <v>0.31967640000000003</v>
      </c>
      <c r="I3194">
        <v>199.90719999999999</v>
      </c>
      <c r="J3194">
        <v>-449.96260000000001</v>
      </c>
      <c r="K3194">
        <v>1.1076710000000001</v>
      </c>
      <c r="L3194">
        <v>215.6388</v>
      </c>
      <c r="M3194">
        <v>0.99773469999999997</v>
      </c>
      <c r="N3194">
        <v>0</v>
      </c>
      <c r="O3194">
        <v>-6.7274730000000005E-2</v>
      </c>
      <c r="P3194">
        <v>0.99101450000000002</v>
      </c>
      <c r="Q3194">
        <v>6.2787220000000005E-2</v>
      </c>
      <c r="R3194">
        <v>-0.1181027</v>
      </c>
      <c r="S3194">
        <v>2.9732669999999999</v>
      </c>
      <c r="T3194">
        <v>-2.3224950000000001E-2</v>
      </c>
      <c r="U3194">
        <v>-0.46430969999999999</v>
      </c>
      <c r="V3194">
        <v>5.1264129999999998E-2</v>
      </c>
      <c r="W3194">
        <v>6.2965510000000002E-2</v>
      </c>
      <c r="X3194">
        <v>0.99669819999999998</v>
      </c>
      <c r="Y3194">
        <v>8.7472220000000003E-2</v>
      </c>
      <c r="Z3194">
        <v>1.817798E-4</v>
      </c>
      <c r="AA3194">
        <v>0.99616689999999997</v>
      </c>
      <c r="AB3194">
        <v>32</v>
      </c>
      <c r="AC3194">
        <v>100.5675</v>
      </c>
      <c r="AD3194">
        <v>-0.78799459999999899</v>
      </c>
      <c r="AE3194">
        <v>-15.7316</v>
      </c>
      <c r="AF3194">
        <v>8.9297747716595595</v>
      </c>
      <c r="AG3194">
        <v>-0.78799459999999899</v>
      </c>
      <c r="AH3194">
        <v>101.391925999973</v>
      </c>
      <c r="AI3194">
        <v>90.443563690319195</v>
      </c>
      <c r="AJ3194">
        <v>84.966841223333205</v>
      </c>
      <c r="AK3194">
        <v>101.787447511696</v>
      </c>
      <c r="AL3194">
        <v>86.389953848358005</v>
      </c>
      <c r="AM3194">
        <v>87.055646028921501</v>
      </c>
      <c r="AN3194">
        <v>0.99999998417872804</v>
      </c>
    </row>
    <row r="3195" spans="1:40" x14ac:dyDescent="0.25">
      <c r="A3195" t="str">
        <f>"20190312154857914"</f>
        <v>20190312154857914</v>
      </c>
      <c r="B3195" t="str">
        <f>"1552376937908862"</f>
        <v>1552376937908862</v>
      </c>
      <c r="C3195" t="s">
        <v>40</v>
      </c>
      <c r="D3195">
        <v>4.0609409999999997</v>
      </c>
      <c r="E3195">
        <v>0.51496909999999996</v>
      </c>
      <c r="F3195" t="s">
        <v>58</v>
      </c>
      <c r="G3195">
        <v>-349.75049999999999</v>
      </c>
      <c r="H3195">
        <v>0.31719779999999997</v>
      </c>
      <c r="I3195">
        <v>199.90719999999999</v>
      </c>
      <c r="J3195">
        <v>-449.62900000000002</v>
      </c>
      <c r="K3195">
        <v>1.107688</v>
      </c>
      <c r="L3195">
        <v>215.6157</v>
      </c>
      <c r="M3195">
        <v>0.99768659999999998</v>
      </c>
      <c r="N3195">
        <v>0</v>
      </c>
      <c r="O3195">
        <v>-6.7979369999999997E-2</v>
      </c>
      <c r="P3195">
        <v>0.99094660000000001</v>
      </c>
      <c r="Q3195">
        <v>6.3137020000000002E-2</v>
      </c>
      <c r="R3195">
        <v>-0.11848499999999999</v>
      </c>
      <c r="S3195">
        <v>2.9730530000000002</v>
      </c>
      <c r="T3195">
        <v>-2.3451090000000001E-2</v>
      </c>
      <c r="U3195">
        <v>-0.46672059999999999</v>
      </c>
      <c r="V3195">
        <v>5.0943780000000001E-2</v>
      </c>
      <c r="W3195">
        <v>6.3352400000000003E-2</v>
      </c>
      <c r="X3195">
        <v>0.99669019999999997</v>
      </c>
      <c r="Y3195">
        <v>8.7568019999999996E-2</v>
      </c>
      <c r="Z3195">
        <v>1.8867250000000001E-4</v>
      </c>
      <c r="AA3195">
        <v>0.99615849999999995</v>
      </c>
      <c r="AB3195">
        <v>32</v>
      </c>
      <c r="AC3195">
        <v>99.878500000000003</v>
      </c>
      <c r="AD3195">
        <v>-0.79049019999999903</v>
      </c>
      <c r="AE3195">
        <v>-15.708500000000001</v>
      </c>
      <c r="AF3195">
        <v>8.8819406437591404</v>
      </c>
      <c r="AG3195">
        <v>-0.79049019999999903</v>
      </c>
      <c r="AH3195">
        <v>100.70915166939901</v>
      </c>
      <c r="AI3195">
        <v>90.447980241962497</v>
      </c>
      <c r="AJ3195">
        <v>84.959897926356206</v>
      </c>
      <c r="AK3195">
        <v>101.10315017013799</v>
      </c>
      <c r="AL3195">
        <v>86.367742668487296</v>
      </c>
      <c r="AM3195">
        <v>87.0739898048068</v>
      </c>
      <c r="AN3195">
        <v>1.0000000750412401</v>
      </c>
    </row>
    <row r="3196" spans="1:40" x14ac:dyDescent="0.25">
      <c r="A3196" t="str">
        <f>"20190312154857937"</f>
        <v>20190312154857937</v>
      </c>
      <c r="B3196" t="str">
        <f>"1552376937929358"</f>
        <v>1552376937929358</v>
      </c>
      <c r="C3196" t="s">
        <v>40</v>
      </c>
      <c r="D3196">
        <v>4.0914699999999904</v>
      </c>
      <c r="E3196">
        <v>0.51496059999999999</v>
      </c>
      <c r="F3196" t="s">
        <v>58</v>
      </c>
      <c r="G3196">
        <v>-349.96809999999999</v>
      </c>
      <c r="H3196">
        <v>0.28134110000000001</v>
      </c>
      <c r="I3196">
        <v>199.90719999999999</v>
      </c>
      <c r="J3196">
        <v>-449.30180000000001</v>
      </c>
      <c r="K3196">
        <v>1.107715</v>
      </c>
      <c r="L3196">
        <v>215.59280000000001</v>
      </c>
      <c r="M3196">
        <v>0.99764189999999997</v>
      </c>
      <c r="N3196">
        <v>0</v>
      </c>
      <c r="O3196">
        <v>-6.8634520000000004E-2</v>
      </c>
      <c r="P3196">
        <v>0.99087879999999995</v>
      </c>
      <c r="Q3196">
        <v>6.2663969999999999E-2</v>
      </c>
      <c r="R3196">
        <v>-0.1193004</v>
      </c>
      <c r="S3196">
        <v>2.9729610000000002</v>
      </c>
      <c r="T3196">
        <v>-2.465022E-2</v>
      </c>
      <c r="U3196">
        <v>-0.4685974</v>
      </c>
      <c r="V3196">
        <v>5.1103460000000003E-2</v>
      </c>
      <c r="W3196">
        <v>6.2915540000000006E-2</v>
      </c>
      <c r="X3196">
        <v>0.99670959999999997</v>
      </c>
      <c r="Y3196">
        <v>8.7532219999999994E-2</v>
      </c>
      <c r="Z3196">
        <v>2.038354E-4</v>
      </c>
      <c r="AA3196">
        <v>0.99616159999999998</v>
      </c>
      <c r="AB3196">
        <v>32</v>
      </c>
      <c r="AC3196">
        <v>99.333699999999993</v>
      </c>
      <c r="AD3196">
        <v>-0.82637389999999999</v>
      </c>
      <c r="AE3196">
        <v>-15.685600000000001</v>
      </c>
      <c r="AF3196">
        <v>8.83029444701838</v>
      </c>
      <c r="AG3196">
        <v>-0.82637389999999999</v>
      </c>
      <c r="AH3196">
        <v>100.169268010244</v>
      </c>
      <c r="AI3196">
        <v>90.470840706255402</v>
      </c>
      <c r="AJ3196">
        <v>84.962186231548202</v>
      </c>
      <c r="AK3196">
        <v>100.56112194855299</v>
      </c>
      <c r="AL3196">
        <v>86.392822583284598</v>
      </c>
      <c r="AM3196">
        <v>87.064891456931704</v>
      </c>
      <c r="AN3196">
        <v>0.99999997776481098</v>
      </c>
    </row>
    <row r="3197" spans="1:40" x14ac:dyDescent="0.25">
      <c r="A3197" t="str">
        <f>"20190312154857959"</f>
        <v>20190312154857959</v>
      </c>
      <c r="B3197" t="str">
        <f>"1552376937948879"</f>
        <v>1552376937948879</v>
      </c>
      <c r="C3197" t="s">
        <v>40</v>
      </c>
      <c r="D3197">
        <v>4.1029159999999996</v>
      </c>
      <c r="E3197">
        <v>0.51493719999999998</v>
      </c>
      <c r="F3197" t="s">
        <v>58</v>
      </c>
      <c r="G3197">
        <v>-350.28230000000002</v>
      </c>
      <c r="H3197">
        <v>0.19633819999999999</v>
      </c>
      <c r="I3197">
        <v>199.90719999999999</v>
      </c>
      <c r="J3197">
        <v>-448.97609999999997</v>
      </c>
      <c r="K3197">
        <v>1.1077410000000001</v>
      </c>
      <c r="L3197">
        <v>215.56979999999999</v>
      </c>
      <c r="M3197">
        <v>0.99759949999999997</v>
      </c>
      <c r="N3197">
        <v>0</v>
      </c>
      <c r="O3197">
        <v>-6.9247110000000001E-2</v>
      </c>
      <c r="P3197">
        <v>0.99076489999999995</v>
      </c>
      <c r="Q3197">
        <v>6.2176290000000002E-2</v>
      </c>
      <c r="R3197">
        <v>-0.120494699999999</v>
      </c>
      <c r="S3197">
        <v>2.9726870000000001</v>
      </c>
      <c r="T3197">
        <v>-2.736032E-2</v>
      </c>
      <c r="U3197">
        <v>-0.47090149999999997</v>
      </c>
      <c r="V3197">
        <v>5.168623E-2</v>
      </c>
      <c r="W3197">
        <v>6.2464390000000002E-2</v>
      </c>
      <c r="X3197">
        <v>0.99670800000000004</v>
      </c>
      <c r="Y3197">
        <v>8.7687860000000006E-2</v>
      </c>
      <c r="Z3197">
        <v>2.3111369999999999E-4</v>
      </c>
      <c r="AA3197">
        <v>0.99614800000000003</v>
      </c>
      <c r="AB3197">
        <v>33</v>
      </c>
      <c r="AC3197">
        <v>98.693799999999896</v>
      </c>
      <c r="AD3197">
        <v>-0.91140279999999996</v>
      </c>
      <c r="AE3197">
        <v>-15.6625999999999</v>
      </c>
      <c r="AF3197">
        <v>8.7900106488026495</v>
      </c>
      <c r="AG3197">
        <v>-0.91140279999999996</v>
      </c>
      <c r="AH3197">
        <v>99.533199522241304</v>
      </c>
      <c r="AI3197">
        <v>90.522595908932203</v>
      </c>
      <c r="AJ3197">
        <v>84.953168150083002</v>
      </c>
      <c r="AK3197">
        <v>99.924735423238403</v>
      </c>
      <c r="AL3197">
        <v>86.418722784480494</v>
      </c>
      <c r="AM3197">
        <v>87.031475047841596</v>
      </c>
      <c r="AN3197">
        <v>1.0000000518268399</v>
      </c>
    </row>
    <row r="3198" spans="1:40" x14ac:dyDescent="0.25">
      <c r="A3198" t="str">
        <f>"20190312154857984"</f>
        <v>20190312154857984</v>
      </c>
      <c r="B3198" t="str">
        <f>"1552376937969375"</f>
        <v>1552376937969375</v>
      </c>
      <c r="C3198" t="s">
        <v>40</v>
      </c>
      <c r="D3198">
        <v>4.0991759999999999</v>
      </c>
      <c r="E3198">
        <v>0.51493159999999905</v>
      </c>
      <c r="F3198" t="s">
        <v>43</v>
      </c>
      <c r="G3198">
        <v>-334.92570000000001</v>
      </c>
      <c r="H3198">
        <v>-0.05</v>
      </c>
      <c r="I3198">
        <v>197.37100000000001</v>
      </c>
      <c r="J3198">
        <v>-448.62060000000002</v>
      </c>
      <c r="K3198">
        <v>1.1077669999999999</v>
      </c>
      <c r="L3198">
        <v>215.5446</v>
      </c>
      <c r="M3198">
        <v>0.99755629999999995</v>
      </c>
      <c r="N3198">
        <v>0</v>
      </c>
      <c r="O3198">
        <v>-6.9868269999999996E-2</v>
      </c>
      <c r="P3198">
        <v>0.99063219999999996</v>
      </c>
      <c r="Q3198">
        <v>6.211639E-2</v>
      </c>
      <c r="R3198">
        <v>-0.1216124</v>
      </c>
      <c r="S3198">
        <v>2.972137</v>
      </c>
      <c r="T3198">
        <v>-3.0170559999999999E-2</v>
      </c>
      <c r="U3198">
        <v>-0.47425840000000002</v>
      </c>
      <c r="V3198">
        <v>5.218511E-2</v>
      </c>
      <c r="W3198">
        <v>6.2444390000000002E-2</v>
      </c>
      <c r="X3198">
        <v>0.99668319999999999</v>
      </c>
      <c r="Y3198">
        <v>8.8193250000000001E-2</v>
      </c>
      <c r="Z3198">
        <v>2.5855609999999999E-4</v>
      </c>
      <c r="AA3198">
        <v>0.99610330000000002</v>
      </c>
      <c r="AB3198">
        <v>33</v>
      </c>
      <c r="AC3198">
        <v>113.6949</v>
      </c>
      <c r="AD3198">
        <v>-1.157767</v>
      </c>
      <c r="AE3198">
        <v>-18.1736</v>
      </c>
      <c r="AF3198">
        <v>10.184492679279099</v>
      </c>
      <c r="AG3198">
        <v>-1.157767</v>
      </c>
      <c r="AH3198">
        <v>114.675218288555</v>
      </c>
      <c r="AI3198">
        <v>90.576173862576795</v>
      </c>
      <c r="AJ3198">
        <v>84.924784263832095</v>
      </c>
      <c r="AK3198">
        <v>115.13240206426801</v>
      </c>
      <c r="AL3198">
        <v>86.419870735397197</v>
      </c>
      <c r="AM3198">
        <v>87.0028001363481</v>
      </c>
      <c r="AN3198">
        <v>0.99999999435521203</v>
      </c>
    </row>
    <row r="3199" spans="1:40" x14ac:dyDescent="0.25">
      <c r="A3199" t="str">
        <f>"20190312154858026"</f>
        <v>20190312154858026</v>
      </c>
      <c r="B3199" t="str">
        <f>"1552376938019151"</f>
        <v>1552376938019151</v>
      </c>
      <c r="C3199" t="s">
        <v>40</v>
      </c>
      <c r="D3199">
        <v>4.1057670000000002</v>
      </c>
      <c r="E3199">
        <v>0.51496929999999996</v>
      </c>
      <c r="F3199" t="s">
        <v>43</v>
      </c>
      <c r="G3199">
        <v>-339.18560000000002</v>
      </c>
      <c r="H3199">
        <v>-0.05</v>
      </c>
      <c r="I3199">
        <v>197.9701</v>
      </c>
      <c r="J3199">
        <v>-447.97039999999998</v>
      </c>
      <c r="K3199">
        <v>1.107807</v>
      </c>
      <c r="L3199">
        <v>215.49799999999999</v>
      </c>
      <c r="M3199">
        <v>0.99748669999999995</v>
      </c>
      <c r="N3199">
        <v>0</v>
      </c>
      <c r="O3199">
        <v>-7.0854769999999997E-2</v>
      </c>
      <c r="P3199">
        <v>0.99037330000000001</v>
      </c>
      <c r="Q3199">
        <v>6.032063E-2</v>
      </c>
      <c r="R3199">
        <v>-0.12459000000000001</v>
      </c>
      <c r="S3199">
        <v>2.9717099999999999</v>
      </c>
      <c r="T3199">
        <v>-3.1439189999999999E-2</v>
      </c>
      <c r="U3199">
        <v>-0.47723389999999999</v>
      </c>
      <c r="V3199">
        <v>5.417599E-2</v>
      </c>
      <c r="W3199">
        <v>6.0723899999999997E-2</v>
      </c>
      <c r="X3199">
        <v>0.99668330000000005</v>
      </c>
      <c r="Y3199">
        <v>8.8202859999999994E-2</v>
      </c>
      <c r="Z3199">
        <v>2.7970909999999998E-4</v>
      </c>
      <c r="AA3199">
        <v>0.9961025</v>
      </c>
      <c r="AB3199">
        <v>33</v>
      </c>
      <c r="AC3199">
        <v>108.784799999999</v>
      </c>
      <c r="AD3199">
        <v>-1.157807</v>
      </c>
      <c r="AE3199">
        <v>-17.527899999999899</v>
      </c>
      <c r="AF3199">
        <v>9.77484535057134</v>
      </c>
      <c r="AG3199">
        <v>-1.157807</v>
      </c>
      <c r="AH3199">
        <v>109.741203737131</v>
      </c>
      <c r="AI3199">
        <v>90.602084014373403</v>
      </c>
      <c r="AJ3199">
        <v>84.9099950510399</v>
      </c>
      <c r="AK3199">
        <v>110.181758546282</v>
      </c>
      <c r="AL3199">
        <v>86.518635101676693</v>
      </c>
      <c r="AM3199">
        <v>86.888676773725194</v>
      </c>
      <c r="AN3199">
        <v>1.00000001521129</v>
      </c>
    </row>
    <row r="3200" spans="1:40" x14ac:dyDescent="0.25">
      <c r="A3200" t="str">
        <f>"20190312154858048"</f>
        <v>20190312154858048</v>
      </c>
      <c r="B3200" t="str">
        <f>"1552376938038671"</f>
        <v>1552376938038671</v>
      </c>
      <c r="C3200" t="s">
        <v>40</v>
      </c>
      <c r="D3200">
        <v>4.1223210000000003</v>
      </c>
      <c r="E3200">
        <v>0.51507219999999998</v>
      </c>
      <c r="F3200" t="s">
        <v>43</v>
      </c>
      <c r="G3200">
        <v>-359.93790000000001</v>
      </c>
      <c r="H3200">
        <v>-0.05</v>
      </c>
      <c r="I3200">
        <v>201.09030000000001</v>
      </c>
      <c r="J3200">
        <v>-447.65170000000001</v>
      </c>
      <c r="K3200">
        <v>1.1078330000000001</v>
      </c>
      <c r="L3200">
        <v>215.47489999999999</v>
      </c>
      <c r="M3200">
        <v>0.99745669999999997</v>
      </c>
      <c r="N3200">
        <v>0</v>
      </c>
      <c r="O3200">
        <v>-7.1273160000000002E-2</v>
      </c>
      <c r="P3200">
        <v>0.99029630000000002</v>
      </c>
      <c r="Q3200">
        <v>5.8642020000000003E-2</v>
      </c>
      <c r="R3200">
        <v>-0.12599399999999999</v>
      </c>
      <c r="S3200">
        <v>2.9703979999999999</v>
      </c>
      <c r="T3200">
        <v>-3.9066789999999997E-2</v>
      </c>
      <c r="U3200">
        <v>-0.48614499999999999</v>
      </c>
      <c r="V3200">
        <v>5.515755E-2</v>
      </c>
      <c r="W3200">
        <v>5.9082250000000003E-2</v>
      </c>
      <c r="X3200">
        <v>0.99672810000000001</v>
      </c>
      <c r="Y3200">
        <v>9.0764650000000002E-2</v>
      </c>
      <c r="Z3200">
        <v>3.363153E-4</v>
      </c>
      <c r="AA3200">
        <v>0.99587230000000004</v>
      </c>
      <c r="AB3200">
        <v>34</v>
      </c>
      <c r="AC3200">
        <v>87.713799999999907</v>
      </c>
      <c r="AD3200">
        <v>-1.1578329999999999</v>
      </c>
      <c r="AE3200">
        <v>-14.384599999999899</v>
      </c>
      <c r="AF3200">
        <v>8.0950034723418902</v>
      </c>
      <c r="AG3200">
        <v>-1.1578329999999999</v>
      </c>
      <c r="AH3200">
        <v>88.500948436293399</v>
      </c>
      <c r="AI3200">
        <v>90.746426207526696</v>
      </c>
      <c r="AJ3200">
        <v>84.773812869919098</v>
      </c>
      <c r="AK3200">
        <v>88.877936140510002</v>
      </c>
      <c r="AL3200">
        <v>86.612863846199204</v>
      </c>
      <c r="AM3200">
        <v>86.832561709773202</v>
      </c>
      <c r="AN3200">
        <v>0.99999998645833699</v>
      </c>
    </row>
    <row r="3201" spans="1:40" x14ac:dyDescent="0.25">
      <c r="A3201" t="str">
        <f>"20190312154858070"</f>
        <v>20190312154858070</v>
      </c>
      <c r="B3201" t="str">
        <f>"1552376938059167"</f>
        <v>1552376938059167</v>
      </c>
      <c r="C3201" t="s">
        <v>40</v>
      </c>
      <c r="D3201">
        <v>4.1397240000000002</v>
      </c>
      <c r="E3201">
        <v>0.51503739999999998</v>
      </c>
      <c r="F3201" t="s">
        <v>43</v>
      </c>
      <c r="G3201">
        <v>-368.68299999999999</v>
      </c>
      <c r="H3201">
        <v>-0.05</v>
      </c>
      <c r="I3201">
        <v>202.41640000000001</v>
      </c>
      <c r="J3201">
        <v>-447.31009999999998</v>
      </c>
      <c r="K3201">
        <v>1.1078570000000001</v>
      </c>
      <c r="L3201">
        <v>215.45009999999999</v>
      </c>
      <c r="M3201">
        <v>0.99742730000000002</v>
      </c>
      <c r="N3201">
        <v>0</v>
      </c>
      <c r="O3201">
        <v>-7.1684520000000002E-2</v>
      </c>
      <c r="P3201">
        <v>0.99022359999999998</v>
      </c>
      <c r="Q3201">
        <v>5.7058490000000003E-2</v>
      </c>
      <c r="R3201">
        <v>-0.1272867</v>
      </c>
      <c r="S3201">
        <v>2.9694820000000002</v>
      </c>
      <c r="T3201">
        <v>-4.353833E-2</v>
      </c>
      <c r="U3201">
        <v>-0.49104310000000001</v>
      </c>
      <c r="V3201">
        <v>5.6035170000000002E-2</v>
      </c>
      <c r="W3201">
        <v>5.7538970000000002E-2</v>
      </c>
      <c r="X3201">
        <v>0.99676940000000003</v>
      </c>
      <c r="Y3201">
        <v>9.2001700000000006E-2</v>
      </c>
      <c r="Z3201">
        <v>3.7180870000000002E-4</v>
      </c>
      <c r="AA3201">
        <v>0.99575880000000005</v>
      </c>
      <c r="AB3201">
        <v>34</v>
      </c>
      <c r="AC3201">
        <v>78.627099999999899</v>
      </c>
      <c r="AD3201">
        <v>-1.1578569999999999</v>
      </c>
      <c r="AE3201">
        <v>-13.0336999999999</v>
      </c>
      <c r="AF3201">
        <v>7.3622688525694198</v>
      </c>
      <c r="AG3201">
        <v>-1.1578569999999999</v>
      </c>
      <c r="AH3201">
        <v>79.342389492469195</v>
      </c>
      <c r="AI3201">
        <v>90.832491950829706</v>
      </c>
      <c r="AJ3201">
        <v>84.698641146854499</v>
      </c>
      <c r="AK3201">
        <v>79.6916457720924</v>
      </c>
      <c r="AL3201">
        <v>86.701437893130304</v>
      </c>
      <c r="AM3201">
        <v>86.782402243942798</v>
      </c>
      <c r="AN3201">
        <v>0.99999995506097294</v>
      </c>
    </row>
    <row r="3202" spans="1:40" x14ac:dyDescent="0.25">
      <c r="A3202" t="str">
        <f>"20190312154858093"</f>
        <v>20190312154858093</v>
      </c>
      <c r="B3202" t="str">
        <f>"1552376938088447"</f>
        <v>1552376938088447</v>
      </c>
      <c r="C3202" t="s">
        <v>40</v>
      </c>
      <c r="D3202">
        <v>4.1311720000000003</v>
      </c>
      <c r="E3202">
        <v>0.51511589999999996</v>
      </c>
      <c r="F3202" t="s">
        <v>50</v>
      </c>
      <c r="G3202">
        <v>-384.95119999999997</v>
      </c>
      <c r="H3202">
        <v>8.0000420000000003E-2</v>
      </c>
      <c r="I3202">
        <v>205.06729999999999</v>
      </c>
      <c r="J3202">
        <v>-446.97789999999998</v>
      </c>
      <c r="K3202">
        <v>1.1078730000000001</v>
      </c>
      <c r="L3202">
        <v>215.42590000000001</v>
      </c>
      <c r="M3202">
        <v>0.99740180000000001</v>
      </c>
      <c r="N3202">
        <v>0</v>
      </c>
      <c r="O3202">
        <v>-7.2037229999999994E-2</v>
      </c>
      <c r="P3202">
        <v>0.99012160000000005</v>
      </c>
      <c r="Q3202">
        <v>5.5352459999999999E-2</v>
      </c>
      <c r="R3202">
        <v>-0.12882379999999999</v>
      </c>
      <c r="S3202">
        <v>2.9689030000000001</v>
      </c>
      <c r="T3202">
        <v>-4.8936130000000001E-2</v>
      </c>
      <c r="U3202">
        <v>-0.49432369999999998</v>
      </c>
      <c r="V3202">
        <v>5.7217160000000003E-2</v>
      </c>
      <c r="W3202">
        <v>5.5872239999999997E-2</v>
      </c>
      <c r="X3202">
        <v>0.99679709999999999</v>
      </c>
      <c r="Y3202">
        <v>9.2751029999999998E-2</v>
      </c>
      <c r="Z3202">
        <v>4.1754260000000001E-4</v>
      </c>
      <c r="AA3202">
        <v>0.9956893</v>
      </c>
      <c r="AB3202">
        <v>34</v>
      </c>
      <c r="AC3202">
        <v>62.026699999999998</v>
      </c>
      <c r="AD3202">
        <v>-1.0278725799999999</v>
      </c>
      <c r="AE3202">
        <v>-10.358599999999999</v>
      </c>
      <c r="AF3202">
        <v>5.8618893983695202</v>
      </c>
      <c r="AG3202">
        <v>-1.0278725799999999</v>
      </c>
      <c r="AH3202">
        <v>62.5950330452497</v>
      </c>
      <c r="AI3202">
        <v>90.936671458635203</v>
      </c>
      <c r="AJ3202">
        <v>84.6499775706436</v>
      </c>
      <c r="AK3202">
        <v>62.877312532385901</v>
      </c>
      <c r="AL3202">
        <v>86.797088505048904</v>
      </c>
      <c r="AM3202">
        <v>86.714769382383096</v>
      </c>
      <c r="AN3202">
        <v>0.99999998458474604</v>
      </c>
    </row>
    <row r="3203" spans="1:40" x14ac:dyDescent="0.25">
      <c r="A3203" t="str">
        <f>"20190312154858115"</f>
        <v>20190312154858115</v>
      </c>
      <c r="B3203" t="str">
        <f>"1552376938108944"</f>
        <v>1552376938108944</v>
      </c>
      <c r="C3203" t="s">
        <v>40</v>
      </c>
      <c r="D3203">
        <v>4.0848329999999997</v>
      </c>
      <c r="E3203">
        <v>0.51510809999999996</v>
      </c>
      <c r="F3203" t="s">
        <v>50</v>
      </c>
      <c r="G3203">
        <v>-392.66059999999999</v>
      </c>
      <c r="H3203">
        <v>8.0000680000000005E-2</v>
      </c>
      <c r="I3203">
        <v>206.29329999999999</v>
      </c>
      <c r="J3203">
        <v>-446.61540000000002</v>
      </c>
      <c r="K3203">
        <v>1.1079060000000001</v>
      </c>
      <c r="L3203">
        <v>215.39940000000001</v>
      </c>
      <c r="M3203">
        <v>0.99737819999999999</v>
      </c>
      <c r="N3203">
        <v>0</v>
      </c>
      <c r="O3203">
        <v>-7.2362259999999998E-2</v>
      </c>
      <c r="P3203">
        <v>0.99006309999999997</v>
      </c>
      <c r="Q3203">
        <v>5.3731830000000001E-2</v>
      </c>
      <c r="R3203">
        <v>-0.12995599999999999</v>
      </c>
      <c r="S3203">
        <v>2.9681700000000002</v>
      </c>
      <c r="T3203">
        <v>-5.6168080000000002E-2</v>
      </c>
      <c r="U3203">
        <v>-0.499054</v>
      </c>
      <c r="V3203">
        <v>5.8018609999999998E-2</v>
      </c>
      <c r="W3203">
        <v>5.429631E-2</v>
      </c>
      <c r="X3203">
        <v>0.99683790000000005</v>
      </c>
      <c r="Y3203">
        <v>9.4008830000000002E-2</v>
      </c>
      <c r="Z3203">
        <v>4.7353329999999999E-4</v>
      </c>
      <c r="AA3203">
        <v>0.99557130000000005</v>
      </c>
      <c r="AB3203">
        <v>34</v>
      </c>
      <c r="AC3203">
        <v>53.954799999999999</v>
      </c>
      <c r="AD3203">
        <v>-1.0279053199999999</v>
      </c>
      <c r="AE3203">
        <v>-9.1061000000000192</v>
      </c>
      <c r="AF3203">
        <v>5.1761088379603697</v>
      </c>
      <c r="AG3203">
        <v>-1.0279053199999999</v>
      </c>
      <c r="AH3203">
        <v>54.453074632480501</v>
      </c>
      <c r="AI3203">
        <v>91.076586568566796</v>
      </c>
      <c r="AJ3203">
        <v>84.569989533758303</v>
      </c>
      <c r="AK3203">
        <v>54.708189779774202</v>
      </c>
      <c r="AL3203">
        <v>86.887520076643696</v>
      </c>
      <c r="AM3203">
        <v>86.668991575180897</v>
      </c>
      <c r="AN3203">
        <v>1.0000000236311699</v>
      </c>
    </row>
    <row r="3204" spans="1:40" x14ac:dyDescent="0.25">
      <c r="A3204" t="str">
        <f>"20190312154858138"</f>
        <v>20190312154858138</v>
      </c>
      <c r="B3204" t="str">
        <f>"1552376938128463"</f>
        <v>1552376938128463</v>
      </c>
      <c r="C3204" t="s">
        <v>40</v>
      </c>
      <c r="D3204">
        <v>4.1467929999999997</v>
      </c>
      <c r="E3204">
        <v>0.51509519999999998</v>
      </c>
      <c r="F3204" t="s">
        <v>50</v>
      </c>
      <c r="G3204">
        <v>-397.4126</v>
      </c>
      <c r="H3204">
        <v>8.0000749999999995E-2</v>
      </c>
      <c r="I3204">
        <v>207.07669999999999</v>
      </c>
      <c r="J3204">
        <v>-446.27530000000002</v>
      </c>
      <c r="K3204">
        <v>1.107945</v>
      </c>
      <c r="L3204">
        <v>215.37450000000001</v>
      </c>
      <c r="M3204">
        <v>0.99736029999999998</v>
      </c>
      <c r="N3204">
        <v>0</v>
      </c>
      <c r="O3204">
        <v>-7.2609209999999993E-2</v>
      </c>
      <c r="P3204">
        <v>0.98997469999999999</v>
      </c>
      <c r="Q3204">
        <v>5.3040650000000002E-2</v>
      </c>
      <c r="R3204">
        <v>-0.13090869999999999</v>
      </c>
      <c r="S3204">
        <v>2.9675600000000002</v>
      </c>
      <c r="T3204">
        <v>-6.199586E-2</v>
      </c>
      <c r="U3204">
        <v>-0.50196839999999998</v>
      </c>
      <c r="V3204">
        <v>5.8722400000000001E-2</v>
      </c>
      <c r="W3204">
        <v>5.3648750000000002E-2</v>
      </c>
      <c r="X3204">
        <v>0.99683169999999999</v>
      </c>
      <c r="Y3204">
        <v>9.4745570000000001E-2</v>
      </c>
      <c r="Z3204">
        <v>5.2016140000000002E-4</v>
      </c>
      <c r="AA3204">
        <v>0.99550139999999998</v>
      </c>
      <c r="AB3204">
        <v>34</v>
      </c>
      <c r="AC3204">
        <v>48.862699999999997</v>
      </c>
      <c r="AD3204">
        <v>-1.02794425</v>
      </c>
      <c r="AE3204">
        <v>-8.29780000000002</v>
      </c>
      <c r="AF3204">
        <v>4.7259820815894198</v>
      </c>
      <c r="AG3204">
        <v>-1.02794425</v>
      </c>
      <c r="AH3204">
        <v>49.315008400925102</v>
      </c>
      <c r="AI3204">
        <v>91.188681808711394</v>
      </c>
      <c r="AJ3204">
        <v>84.525917339565694</v>
      </c>
      <c r="AK3204">
        <v>49.551605721711198</v>
      </c>
      <c r="AL3204">
        <v>86.924676535428802</v>
      </c>
      <c r="AM3204">
        <v>86.6286567731416</v>
      </c>
      <c r="AN3204">
        <v>0.99999997338160596</v>
      </c>
    </row>
    <row r="3205" spans="1:40" x14ac:dyDescent="0.25">
      <c r="A3205" t="str">
        <f>"20190312154858159"</f>
        <v>20190312154858159</v>
      </c>
      <c r="B3205" t="str">
        <f>"1552376938148959"</f>
        <v>1552376938148959</v>
      </c>
      <c r="C3205" t="s">
        <v>40</v>
      </c>
      <c r="D3205">
        <v>4.1299859999999997</v>
      </c>
      <c r="E3205">
        <v>0.51505479999999904</v>
      </c>
      <c r="F3205" t="s">
        <v>50</v>
      </c>
      <c r="G3205">
        <v>-399.01960000000003</v>
      </c>
      <c r="H3205">
        <v>8.0000269999999998E-2</v>
      </c>
      <c r="I3205">
        <v>207.33779999999999</v>
      </c>
      <c r="J3205">
        <v>-445.93430000000001</v>
      </c>
      <c r="K3205">
        <v>1.1079950000000001</v>
      </c>
      <c r="L3205">
        <v>215.34950000000001</v>
      </c>
      <c r="M3205">
        <v>0.99734659999999997</v>
      </c>
      <c r="N3205">
        <v>0</v>
      </c>
      <c r="O3205">
        <v>-7.2796899999999998E-2</v>
      </c>
      <c r="P3205">
        <v>0.98986949999999996</v>
      </c>
      <c r="Q3205">
        <v>5.3646930000000002E-2</v>
      </c>
      <c r="R3205">
        <v>-0.1314565</v>
      </c>
      <c r="S3205">
        <v>2.9670719999999999</v>
      </c>
      <c r="T3205">
        <v>-6.4542169999999996E-2</v>
      </c>
      <c r="U3205">
        <v>-0.50460819999999995</v>
      </c>
      <c r="V3205">
        <v>5.908302E-2</v>
      </c>
      <c r="W3205">
        <v>5.4299649999999998E-2</v>
      </c>
      <c r="X3205">
        <v>0.99677519999999997</v>
      </c>
      <c r="Y3205">
        <v>9.5445520000000006E-2</v>
      </c>
      <c r="Z3205">
        <v>5.3803089999999998E-4</v>
      </c>
      <c r="AA3205">
        <v>0.9954345</v>
      </c>
      <c r="AB3205">
        <v>35</v>
      </c>
      <c r="AC3205">
        <v>46.914699999999897</v>
      </c>
      <c r="AD3205">
        <v>-1.0279947300000001</v>
      </c>
      <c r="AE3205">
        <v>-8.01170000000001</v>
      </c>
      <c r="AF3205">
        <v>4.5730644065035797</v>
      </c>
      <c r="AG3205">
        <v>-1.0279947300000001</v>
      </c>
      <c r="AH3205">
        <v>47.351361402966901</v>
      </c>
      <c r="AI3205">
        <v>91.237933977138795</v>
      </c>
      <c r="AJ3205">
        <v>84.483639230220703</v>
      </c>
      <c r="AK3205">
        <v>47.582781738201497</v>
      </c>
      <c r="AL3205">
        <v>86.887328437413203</v>
      </c>
      <c r="AM3205">
        <v>86.607809400199898</v>
      </c>
      <c r="AN3205">
        <v>1.0000000272887399</v>
      </c>
    </row>
    <row r="3206" spans="1:40" x14ac:dyDescent="0.25">
      <c r="A3206" t="str">
        <f>"20190312154858185"</f>
        <v>20190312154858185</v>
      </c>
      <c r="B3206" t="str">
        <f>"1552376938179215"</f>
        <v>1552376938179215</v>
      </c>
      <c r="C3206" t="s">
        <v>40</v>
      </c>
      <c r="D3206">
        <v>4.1346869999999996</v>
      </c>
      <c r="E3206">
        <v>0.51498940000000004</v>
      </c>
      <c r="F3206" t="s">
        <v>50</v>
      </c>
      <c r="G3206">
        <v>-397.81139999999999</v>
      </c>
      <c r="H3206">
        <v>8.0000630000000003E-2</v>
      </c>
      <c r="I3206">
        <v>207.14500000000001</v>
      </c>
      <c r="J3206">
        <v>-445.55309999999997</v>
      </c>
      <c r="K3206">
        <v>1.1080479999999999</v>
      </c>
      <c r="L3206">
        <v>215.32159999999999</v>
      </c>
      <c r="M3206">
        <v>0.99733590000000005</v>
      </c>
      <c r="N3206">
        <v>0</v>
      </c>
      <c r="O3206">
        <v>-7.2942519999999997E-2</v>
      </c>
      <c r="P3206">
        <v>0.98982409999999998</v>
      </c>
      <c r="Q3206">
        <v>5.3597110000000003E-2</v>
      </c>
      <c r="R3206">
        <v>-0.13181590000000001</v>
      </c>
      <c r="S3206">
        <v>2.966888</v>
      </c>
      <c r="T3206">
        <v>-6.3378210000000004E-2</v>
      </c>
      <c r="U3206">
        <v>-0.50582890000000003</v>
      </c>
      <c r="V3206">
        <v>5.9292119999999997E-2</v>
      </c>
      <c r="W3206">
        <v>5.4300590000000003E-2</v>
      </c>
      <c r="X3206">
        <v>0.9967627</v>
      </c>
      <c r="Y3206">
        <v>9.5708500000000002E-2</v>
      </c>
      <c r="Z3206">
        <v>5.2862220000000004E-4</v>
      </c>
      <c r="AA3206">
        <v>0.99540930000000005</v>
      </c>
      <c r="AB3206">
        <v>35</v>
      </c>
      <c r="AC3206">
        <v>47.741699999999902</v>
      </c>
      <c r="AD3206">
        <v>-1.0280473699999999</v>
      </c>
      <c r="AE3206">
        <v>-8.1765999999999792</v>
      </c>
      <c r="AF3206">
        <v>4.6703140811696899</v>
      </c>
      <c r="AG3206">
        <v>-1.0280473699999999</v>
      </c>
      <c r="AH3206">
        <v>48.189236739081998</v>
      </c>
      <c r="AI3206">
        <v>91.216439080394395</v>
      </c>
      <c r="AJ3206">
        <v>84.464403349216795</v>
      </c>
      <c r="AK3206">
        <v>48.425935742193197</v>
      </c>
      <c r="AL3206">
        <v>86.887274398701706</v>
      </c>
      <c r="AM3206">
        <v>86.595789732629001</v>
      </c>
      <c r="AN3206">
        <v>0.99999999483986601</v>
      </c>
    </row>
    <row r="3207" spans="1:40" x14ac:dyDescent="0.25">
      <c r="A3207" t="str">
        <f>"20190312154858207"</f>
        <v>20190312154858207</v>
      </c>
      <c r="B3207" t="str">
        <f>"1552376938198735"</f>
        <v>1552376938198735</v>
      </c>
      <c r="C3207" t="s">
        <v>40</v>
      </c>
      <c r="D3207">
        <v>4.1167930000000004</v>
      </c>
      <c r="E3207">
        <v>0.51492289999999996</v>
      </c>
      <c r="F3207" t="s">
        <v>50</v>
      </c>
      <c r="G3207">
        <v>-397.9624</v>
      </c>
      <c r="H3207">
        <v>8.0000589999999996E-2</v>
      </c>
      <c r="I3207">
        <v>207.19569999999999</v>
      </c>
      <c r="J3207">
        <v>-445.19510000000002</v>
      </c>
      <c r="K3207">
        <v>1.108096</v>
      </c>
      <c r="L3207">
        <v>215.29519999999999</v>
      </c>
      <c r="M3207">
        <v>0.99733000000000005</v>
      </c>
      <c r="N3207">
        <v>0</v>
      </c>
      <c r="O3207">
        <v>-7.3024729999999996E-2</v>
      </c>
      <c r="P3207">
        <v>0.98987289999999994</v>
      </c>
      <c r="Q3207">
        <v>5.325336E-2</v>
      </c>
      <c r="R3207">
        <v>-0.1315916</v>
      </c>
      <c r="S3207">
        <v>2.9668580000000002</v>
      </c>
      <c r="T3207">
        <v>-6.408954E-2</v>
      </c>
      <c r="U3207">
        <v>-0.50657649999999999</v>
      </c>
      <c r="V3207">
        <v>5.8976500000000001E-2</v>
      </c>
      <c r="W3207">
        <v>5.4003959999999997E-2</v>
      </c>
      <c r="X3207">
        <v>0.99679759999999995</v>
      </c>
      <c r="Y3207">
        <v>9.5871780000000004E-2</v>
      </c>
      <c r="Z3207">
        <v>5.3454769999999895E-4</v>
      </c>
      <c r="AA3207">
        <v>0.99539359999999999</v>
      </c>
      <c r="AB3207">
        <v>35</v>
      </c>
      <c r="AC3207">
        <v>47.232700000000001</v>
      </c>
      <c r="AD3207">
        <v>-1.0280954099999999</v>
      </c>
      <c r="AE3207">
        <v>-8.0995000000000008</v>
      </c>
      <c r="AF3207">
        <v>4.6265903789774203</v>
      </c>
      <c r="AG3207">
        <v>-1.0280954099999999</v>
      </c>
      <c r="AH3207">
        <v>47.676115710012503</v>
      </c>
      <c r="AI3207">
        <v>91.229569743065298</v>
      </c>
      <c r="AJ3207">
        <v>84.457252763312496</v>
      </c>
      <c r="AK3207">
        <v>47.911108606474599</v>
      </c>
      <c r="AL3207">
        <v>86.904295207844498</v>
      </c>
      <c r="AM3207">
        <v>86.613986808239105</v>
      </c>
      <c r="AN3207">
        <v>1.00000005530684</v>
      </c>
    </row>
    <row r="3208" spans="1:40" x14ac:dyDescent="0.25">
      <c r="A3208" t="str">
        <f>"20190312154858228"</f>
        <v>20190312154858228</v>
      </c>
      <c r="B3208" t="str">
        <f>"1552376938219231"</f>
        <v>1552376938219231</v>
      </c>
      <c r="C3208" t="s">
        <v>40</v>
      </c>
      <c r="D3208">
        <v>4.1325059999999896</v>
      </c>
      <c r="E3208">
        <v>0.51486599999999905</v>
      </c>
      <c r="F3208" t="s">
        <v>50</v>
      </c>
      <c r="G3208">
        <v>-398.58960000000002</v>
      </c>
      <c r="H3208">
        <v>8.0000409999999994E-2</v>
      </c>
      <c r="I3208">
        <v>207.35749999999999</v>
      </c>
      <c r="J3208">
        <v>-444.85590000000002</v>
      </c>
      <c r="K3208">
        <v>1.1081369999999999</v>
      </c>
      <c r="L3208">
        <v>215.2704</v>
      </c>
      <c r="M3208">
        <v>0.99732730000000003</v>
      </c>
      <c r="N3208">
        <v>0</v>
      </c>
      <c r="O3208">
        <v>-7.3059390000000002E-2</v>
      </c>
      <c r="P3208">
        <v>0.98998209999999998</v>
      </c>
      <c r="Q3208">
        <v>5.269973E-2</v>
      </c>
      <c r="R3208">
        <v>-0.13099059999999901</v>
      </c>
      <c r="S3208">
        <v>2.967041</v>
      </c>
      <c r="T3208">
        <v>-6.5451620000000002E-2</v>
      </c>
      <c r="U3208">
        <v>-0.50534060000000003</v>
      </c>
      <c r="V3208">
        <v>5.832934E-2</v>
      </c>
      <c r="W3208">
        <v>5.3494479999999997E-2</v>
      </c>
      <c r="X3208">
        <v>0.9968631</v>
      </c>
      <c r="Y3208">
        <v>9.5423960000000002E-2</v>
      </c>
      <c r="Z3208">
        <v>5.5155649999999998E-4</v>
      </c>
      <c r="AA3208">
        <v>0.99543649999999995</v>
      </c>
      <c r="AB3208">
        <v>35</v>
      </c>
      <c r="AC3208">
        <v>46.266300000000001</v>
      </c>
      <c r="AD3208">
        <v>-1.0281365899999999</v>
      </c>
      <c r="AE3208">
        <v>-7.9128999999999996</v>
      </c>
      <c r="AF3208">
        <v>4.5094012864414896</v>
      </c>
      <c r="AG3208">
        <v>-1.0281365899999999</v>
      </c>
      <c r="AH3208">
        <v>46.698363921829397</v>
      </c>
      <c r="AI3208">
        <v>91.255413587995406</v>
      </c>
      <c r="AJ3208">
        <v>84.4843666641965</v>
      </c>
      <c r="AK3208">
        <v>46.926846876659802</v>
      </c>
      <c r="AL3208">
        <v>86.933528365831407</v>
      </c>
      <c r="AM3208">
        <v>86.651276665131604</v>
      </c>
      <c r="AN3208">
        <v>1.0000000057184499</v>
      </c>
    </row>
    <row r="3209" spans="1:40" x14ac:dyDescent="0.25">
      <c r="A3209" t="str">
        <f>"20190312154858250"</f>
        <v>20190312154858250</v>
      </c>
      <c r="B3209" t="str">
        <f>"1552376938238751"</f>
        <v>1552376938238751</v>
      </c>
      <c r="C3209" t="s">
        <v>40</v>
      </c>
      <c r="D3209">
        <v>4.1432250000000002</v>
      </c>
      <c r="E3209">
        <v>0.51481880000000002</v>
      </c>
      <c r="F3209" t="s">
        <v>50</v>
      </c>
      <c r="G3209">
        <v>-399.3691</v>
      </c>
      <c r="H3209">
        <v>8.0000180000000004E-2</v>
      </c>
      <c r="I3209">
        <v>207.55959999999999</v>
      </c>
      <c r="J3209">
        <v>-444.51260000000002</v>
      </c>
      <c r="K3209">
        <v>1.1081719999999999</v>
      </c>
      <c r="L3209">
        <v>215.24520000000001</v>
      </c>
      <c r="M3209">
        <v>0.99732739999999998</v>
      </c>
      <c r="N3209">
        <v>0</v>
      </c>
      <c r="O3209">
        <v>-7.3057449999999996E-2</v>
      </c>
      <c r="P3209">
        <v>0.99007959999999995</v>
      </c>
      <c r="Q3209">
        <v>5.1802599999999997E-2</v>
      </c>
      <c r="R3209">
        <v>-0.1306107</v>
      </c>
      <c r="S3209">
        <v>2.9673769999999999</v>
      </c>
      <c r="T3209">
        <v>-6.7071560000000002E-2</v>
      </c>
      <c r="U3209">
        <v>-0.50302119999999995</v>
      </c>
      <c r="V3209">
        <v>5.7940600000000002E-2</v>
      </c>
      <c r="W3209">
        <v>5.2641670000000002E-2</v>
      </c>
      <c r="X3209">
        <v>0.99693109999999996</v>
      </c>
      <c r="Y3209">
        <v>9.4650919999999999E-2</v>
      </c>
      <c r="Z3209">
        <v>5.7381999999999995E-4</v>
      </c>
      <c r="AA3209">
        <v>0.99551029999999996</v>
      </c>
      <c r="AB3209">
        <v>35</v>
      </c>
      <c r="AC3209">
        <v>45.143500000000003</v>
      </c>
      <c r="AD3209">
        <v>-1.0281718199999901</v>
      </c>
      <c r="AE3209">
        <v>-7.6856000000000204</v>
      </c>
      <c r="AF3209">
        <v>4.3647915564370496</v>
      </c>
      <c r="AG3209">
        <v>-1.0281718199999901</v>
      </c>
      <c r="AH3209">
        <v>45.561386692983199</v>
      </c>
      <c r="AI3209">
        <v>91.286869594665006</v>
      </c>
      <c r="AJ3209">
        <v>84.527750936673598</v>
      </c>
      <c r="AK3209">
        <v>45.7815301187076</v>
      </c>
      <c r="AL3209">
        <v>86.982459526629896</v>
      </c>
      <c r="AM3209">
        <v>86.673770569222995</v>
      </c>
      <c r="AN3209">
        <v>0.99999993834797696</v>
      </c>
    </row>
    <row r="3210" spans="1:40" x14ac:dyDescent="0.25">
      <c r="A3210" t="str">
        <f>"20190312154858272"</f>
        <v>20190312154858272</v>
      </c>
      <c r="B3210" t="str">
        <f>"1552376938259247"</f>
        <v>1552376938259247</v>
      </c>
      <c r="C3210" t="s">
        <v>40</v>
      </c>
      <c r="D3210">
        <v>4.1100349999999999</v>
      </c>
      <c r="E3210">
        <v>0.51472669999999998</v>
      </c>
      <c r="F3210" t="s">
        <v>51</v>
      </c>
      <c r="G3210">
        <v>-400.66359999999997</v>
      </c>
      <c r="H3210">
        <v>8.0001799999999998E-2</v>
      </c>
      <c r="I3210">
        <v>207.8348</v>
      </c>
      <c r="J3210">
        <v>-444.15969999999999</v>
      </c>
      <c r="K3210">
        <v>1.108201</v>
      </c>
      <c r="L3210">
        <v>215.21940000000001</v>
      </c>
      <c r="M3210">
        <v>0.99733090000000002</v>
      </c>
      <c r="N3210">
        <v>0</v>
      </c>
      <c r="O3210">
        <v>-7.3009980000000002E-2</v>
      </c>
      <c r="P3210">
        <v>0.99016510000000002</v>
      </c>
      <c r="Q3210">
        <v>5.075611E-2</v>
      </c>
      <c r="R3210">
        <v>-0.13037290000000001</v>
      </c>
      <c r="S3210">
        <v>2.9675600000000002</v>
      </c>
      <c r="T3210">
        <v>-6.9583300000000001E-2</v>
      </c>
      <c r="U3210">
        <v>-0.50151060000000003</v>
      </c>
      <c r="V3210">
        <v>5.7739489999999997E-2</v>
      </c>
      <c r="W3210">
        <v>5.1641199999999901E-2</v>
      </c>
      <c r="X3210">
        <v>0.99699519999999997</v>
      </c>
      <c r="Y3210">
        <v>9.4195249999999994E-2</v>
      </c>
      <c r="Z3210">
        <v>5.9950430000000005E-4</v>
      </c>
      <c r="AA3210">
        <v>0.99555360000000004</v>
      </c>
      <c r="AB3210">
        <v>36</v>
      </c>
      <c r="AC3210">
        <v>43.496099999999998</v>
      </c>
      <c r="AD3210">
        <v>-1.0281992</v>
      </c>
      <c r="AE3210">
        <v>-7.3845999999999998</v>
      </c>
      <c r="AF3210">
        <v>4.1869675540661504</v>
      </c>
      <c r="AG3210">
        <v>-1.0281992</v>
      </c>
      <c r="AH3210">
        <v>43.895326280269103</v>
      </c>
      <c r="AI3210">
        <v>91.335783792929107</v>
      </c>
      <c r="AJ3210">
        <v>84.551311383534298</v>
      </c>
      <c r="AK3210">
        <v>44.106547814864904</v>
      </c>
      <c r="AL3210">
        <v>87.039860640403504</v>
      </c>
      <c r="AM3210">
        <v>86.685502656946198</v>
      </c>
      <c r="AN3210">
        <v>1.0000000455329601</v>
      </c>
    </row>
    <row r="3211" spans="1:40" x14ac:dyDescent="0.25">
      <c r="A3211" t="str">
        <f>"20190312154858294"</f>
        <v>20190312154858294</v>
      </c>
      <c r="B3211" t="str">
        <f>"1552376938288527"</f>
        <v>1552376938288527</v>
      </c>
      <c r="C3211" t="s">
        <v>40</v>
      </c>
      <c r="D3211">
        <v>4.1375460000000004</v>
      </c>
      <c r="E3211">
        <v>0.51471060000000002</v>
      </c>
      <c r="F3211" t="s">
        <v>51</v>
      </c>
      <c r="G3211">
        <v>-402.08330000000001</v>
      </c>
      <c r="H3211">
        <v>8.0001559999999999E-2</v>
      </c>
      <c r="I3211">
        <v>208.12899999999999</v>
      </c>
      <c r="J3211">
        <v>-443.81150000000002</v>
      </c>
      <c r="K3211">
        <v>1.1082449999999999</v>
      </c>
      <c r="L3211">
        <v>215.19390000000001</v>
      </c>
      <c r="M3211">
        <v>0.99733839999999996</v>
      </c>
      <c r="N3211">
        <v>0</v>
      </c>
      <c r="O3211">
        <v>-7.2907420000000001E-2</v>
      </c>
      <c r="P3211">
        <v>0.99020220000000003</v>
      </c>
      <c r="Q3211">
        <v>5.0404900000000002E-2</v>
      </c>
      <c r="R3211">
        <v>-0.13022700000000001</v>
      </c>
      <c r="S3211">
        <v>2.9677120000000001</v>
      </c>
      <c r="T3211">
        <v>-7.2520490000000007E-2</v>
      </c>
      <c r="U3211">
        <v>-0.50009159999999997</v>
      </c>
      <c r="V3211">
        <v>5.7687990000000001E-2</v>
      </c>
      <c r="W3211">
        <v>5.1336430000000002E-2</v>
      </c>
      <c r="X3211">
        <v>0.99701390000000001</v>
      </c>
      <c r="Y3211">
        <v>9.3825909999999998E-2</v>
      </c>
      <c r="Z3211">
        <v>6.2680799999999997E-4</v>
      </c>
      <c r="AA3211">
        <v>0.99558840000000004</v>
      </c>
      <c r="AB3211">
        <v>36</v>
      </c>
      <c r="AC3211">
        <v>41.728200000000001</v>
      </c>
      <c r="AD3211">
        <v>-1.02824344</v>
      </c>
      <c r="AE3211">
        <v>-7.06489999999999</v>
      </c>
      <c r="AF3211">
        <v>4.0014399351976602</v>
      </c>
      <c r="AG3211">
        <v>-1.02824344</v>
      </c>
      <c r="AH3211">
        <v>42.1073778257784</v>
      </c>
      <c r="AI3211">
        <v>91.392588117240905</v>
      </c>
      <c r="AJ3211">
        <v>84.571516613792099</v>
      </c>
      <c r="AK3211">
        <v>42.309574253232</v>
      </c>
      <c r="AL3211">
        <v>87.057345806871794</v>
      </c>
      <c r="AM3211">
        <v>86.688514371322995</v>
      </c>
      <c r="AN3211">
        <v>1.00000002501429</v>
      </c>
    </row>
    <row r="3212" spans="1:40" x14ac:dyDescent="0.25">
      <c r="A3212" t="str">
        <f>"20190312154858316"</f>
        <v>20190312154858316</v>
      </c>
      <c r="B3212" t="str">
        <f>"1552376938309023"</f>
        <v>1552376938309023</v>
      </c>
      <c r="C3212" t="s">
        <v>40</v>
      </c>
      <c r="D3212">
        <v>4.1435149999999998</v>
      </c>
      <c r="E3212">
        <v>0.5147081</v>
      </c>
      <c r="F3212" t="s">
        <v>51</v>
      </c>
      <c r="G3212">
        <v>-402.31689999999998</v>
      </c>
      <c r="H3212">
        <v>8.0001530000000001E-2</v>
      </c>
      <c r="I3212">
        <v>208.2098</v>
      </c>
      <c r="J3212">
        <v>-443.44159999999999</v>
      </c>
      <c r="K3212">
        <v>1.1082989999999999</v>
      </c>
      <c r="L3212">
        <v>215.167</v>
      </c>
      <c r="M3212">
        <v>0.99735149999999995</v>
      </c>
      <c r="N3212">
        <v>0</v>
      </c>
      <c r="O3212">
        <v>-7.2727959999999994E-2</v>
      </c>
      <c r="P3212">
        <v>0.99023110000000003</v>
      </c>
      <c r="Q3212">
        <v>4.9907E-2</v>
      </c>
      <c r="R3212">
        <v>-0.13020010000000001</v>
      </c>
      <c r="S3212">
        <v>2.967743</v>
      </c>
      <c r="T3212">
        <v>-7.3541280000000001E-2</v>
      </c>
      <c r="U3212">
        <v>-0.4995117</v>
      </c>
      <c r="V3212">
        <v>5.7831199999999999E-2</v>
      </c>
      <c r="W3212">
        <v>5.089022E-2</v>
      </c>
      <c r="X3212">
        <v>0.99702849999999998</v>
      </c>
      <c r="Y3212">
        <v>9.3814010000000003E-2</v>
      </c>
      <c r="Z3212">
        <v>6.3138889999999996E-4</v>
      </c>
      <c r="AA3212">
        <v>0.99558959999999996</v>
      </c>
      <c r="AB3212">
        <v>36</v>
      </c>
      <c r="AC3212">
        <v>41.124699999999997</v>
      </c>
      <c r="AD3212">
        <v>-1.0282974699999901</v>
      </c>
      <c r="AE3212">
        <v>-6.9572000000000003</v>
      </c>
      <c r="AF3212">
        <v>3.9454614184571</v>
      </c>
      <c r="AG3212">
        <v>-1.0282974699999901</v>
      </c>
      <c r="AH3212">
        <v>41.496554692157702</v>
      </c>
      <c r="AI3212">
        <v>91.413146147776004</v>
      </c>
      <c r="AJ3212">
        <v>84.568687292464304</v>
      </c>
      <c r="AK3212">
        <v>41.696380092408198</v>
      </c>
      <c r="AL3212">
        <v>87.082945279509403</v>
      </c>
      <c r="AM3212">
        <v>86.680360499300505</v>
      </c>
      <c r="AN3212">
        <v>1.00000004599866</v>
      </c>
    </row>
    <row r="3213" spans="1:40" x14ac:dyDescent="0.25">
      <c r="A3213" t="str">
        <f>"20190312154858339"</f>
        <v>20190312154858339</v>
      </c>
      <c r="B3213" t="str">
        <f>"1552376938328543"</f>
        <v>1552376938328543</v>
      </c>
      <c r="C3213" t="s">
        <v>40</v>
      </c>
      <c r="D3213">
        <v>4.1770779999999998</v>
      </c>
      <c r="E3213">
        <v>0.51476750000000004</v>
      </c>
      <c r="F3213" t="s">
        <v>51</v>
      </c>
      <c r="G3213">
        <v>-402.74950000000001</v>
      </c>
      <c r="H3213">
        <v>8.0001439999999993E-2</v>
      </c>
      <c r="I3213">
        <v>208.31989999999999</v>
      </c>
      <c r="J3213">
        <v>-443.07670000000002</v>
      </c>
      <c r="K3213">
        <v>1.1083590000000001</v>
      </c>
      <c r="L3213">
        <v>215.1405</v>
      </c>
      <c r="M3213">
        <v>0.99737010000000004</v>
      </c>
      <c r="N3213">
        <v>0</v>
      </c>
      <c r="O3213">
        <v>-7.2470660000000006E-2</v>
      </c>
      <c r="P3213">
        <v>0.99026449999999999</v>
      </c>
      <c r="Q3213">
        <v>4.942071E-2</v>
      </c>
      <c r="R3213">
        <v>-0.13013069999999999</v>
      </c>
      <c r="S3213">
        <v>2.9677120000000001</v>
      </c>
      <c r="T3213">
        <v>-7.4994679999999994E-2</v>
      </c>
      <c r="U3213">
        <v>-0.4993591</v>
      </c>
      <c r="V3213">
        <v>5.8008549999999999E-2</v>
      </c>
      <c r="W3213">
        <v>5.0456380000000002E-2</v>
      </c>
      <c r="X3213">
        <v>0.99704020000000004</v>
      </c>
      <c r="Y3213">
        <v>9.4022339999999996E-2</v>
      </c>
      <c r="Z3213">
        <v>6.3483609999999998E-4</v>
      </c>
      <c r="AA3213">
        <v>0.99556990000000001</v>
      </c>
      <c r="AB3213">
        <v>36</v>
      </c>
      <c r="AC3213">
        <v>40.327199999999998</v>
      </c>
      <c r="AD3213">
        <v>-1.0283575599999999</v>
      </c>
      <c r="AE3213">
        <v>-6.8206000000000104</v>
      </c>
      <c r="AF3213">
        <v>3.8776740225877799</v>
      </c>
      <c r="AG3213">
        <v>-1.0283575599999999</v>
      </c>
      <c r="AH3213">
        <v>40.689731552104902</v>
      </c>
      <c r="AI3213">
        <v>91.441209622673696</v>
      </c>
      <c r="AJ3213">
        <v>84.556233080406301</v>
      </c>
      <c r="AK3213">
        <v>40.8870166297203</v>
      </c>
      <c r="AL3213">
        <v>87.107834319872893</v>
      </c>
      <c r="AM3213">
        <v>86.670242073183701</v>
      </c>
      <c r="AN3213">
        <v>0.99999999928592298</v>
      </c>
    </row>
    <row r="3214" spans="1:40" x14ac:dyDescent="0.25">
      <c r="A3214" t="str">
        <f>"20190312154858362"</f>
        <v>20190312154858362</v>
      </c>
      <c r="B3214" t="str">
        <f>"1552376938349039"</f>
        <v>1552376938349039</v>
      </c>
      <c r="C3214" t="s">
        <v>40</v>
      </c>
      <c r="D3214">
        <v>4.1521839999999903</v>
      </c>
      <c r="E3214">
        <v>0.52892629999999996</v>
      </c>
      <c r="F3214" t="s">
        <v>51</v>
      </c>
      <c r="G3214">
        <v>-403.14109999999999</v>
      </c>
      <c r="H3214">
        <v>8.0001379999999997E-2</v>
      </c>
      <c r="I3214">
        <v>208.41800000000001</v>
      </c>
      <c r="J3214">
        <v>-442.69799999999998</v>
      </c>
      <c r="K3214">
        <v>1.1084400000000001</v>
      </c>
      <c r="L3214">
        <v>215.11330000000001</v>
      </c>
      <c r="M3214">
        <v>0.99739619999999996</v>
      </c>
      <c r="N3214">
        <v>0</v>
      </c>
      <c r="O3214">
        <v>-7.2111439999999999E-2</v>
      </c>
      <c r="P3214">
        <v>0.99033210000000005</v>
      </c>
      <c r="Q3214">
        <v>4.9032470000000002E-2</v>
      </c>
      <c r="R3214">
        <v>-0.12976379999999901</v>
      </c>
      <c r="S3214">
        <v>2.967651</v>
      </c>
      <c r="T3214">
        <v>-7.6418159999999999E-2</v>
      </c>
      <c r="U3214">
        <v>-0.49955749999999999</v>
      </c>
      <c r="V3214">
        <v>5.7987200000000003E-2</v>
      </c>
      <c r="W3214">
        <v>5.012349E-2</v>
      </c>
      <c r="X3214">
        <v>0.99705820000000001</v>
      </c>
      <c r="Y3214">
        <v>9.4448459999999998E-2</v>
      </c>
      <c r="Z3214">
        <v>6.3230519999999996E-4</v>
      </c>
      <c r="AA3214">
        <v>0.99552949999999996</v>
      </c>
      <c r="AB3214">
        <v>36</v>
      </c>
      <c r="AC3214">
        <v>39.556899999999999</v>
      </c>
      <c r="AD3214">
        <v>-1.02843862</v>
      </c>
      <c r="AE3214">
        <v>-6.6952999999999996</v>
      </c>
      <c r="AF3214">
        <v>3.8228511351523098</v>
      </c>
      <c r="AG3214">
        <v>-1.02843862</v>
      </c>
      <c r="AH3214">
        <v>39.910498620868303</v>
      </c>
      <c r="AI3214">
        <v>91.469384362101806</v>
      </c>
      <c r="AJ3214">
        <v>84.528581729624094</v>
      </c>
      <c r="AK3214">
        <v>40.106355817538201</v>
      </c>
      <c r="AL3214">
        <v>87.126931583530407</v>
      </c>
      <c r="AM3214">
        <v>86.671524787230993</v>
      </c>
      <c r="AN3214">
        <v>0.99999996690042903</v>
      </c>
    </row>
    <row r="3215" spans="1:40" x14ac:dyDescent="0.25">
      <c r="A3215" t="str">
        <f>"20190312154858385"</f>
        <v>20190312154858385</v>
      </c>
      <c r="B3215" t="str">
        <f>"1552376938379295"</f>
        <v>1552376938379295</v>
      </c>
      <c r="C3215" t="s">
        <v>40</v>
      </c>
      <c r="D3215">
        <v>4.1691379999999896</v>
      </c>
      <c r="E3215">
        <v>0.5300416</v>
      </c>
      <c r="F3215" t="s">
        <v>51</v>
      </c>
      <c r="G3215">
        <v>-409.34100000000001</v>
      </c>
      <c r="H3215">
        <v>6.0150889999999999E-2</v>
      </c>
      <c r="I3215">
        <v>208.22370000000001</v>
      </c>
      <c r="J3215">
        <v>-442.32729999999998</v>
      </c>
      <c r="K3215">
        <v>1.108517</v>
      </c>
      <c r="L3215">
        <v>215.08680000000001</v>
      </c>
      <c r="M3215">
        <v>0.99742850000000005</v>
      </c>
      <c r="N3215">
        <v>0</v>
      </c>
      <c r="O3215">
        <v>-7.1659710000000001E-2</v>
      </c>
      <c r="P3215">
        <v>0.99046140000000005</v>
      </c>
      <c r="Q3215">
        <v>4.7813059999999998E-2</v>
      </c>
      <c r="R3215">
        <v>-0.1292295</v>
      </c>
      <c r="S3215">
        <v>2.9539490000000002</v>
      </c>
      <c r="T3215">
        <v>-9.2831849999999994E-2</v>
      </c>
      <c r="U3215">
        <v>-0.61010739999999997</v>
      </c>
      <c r="V3215">
        <v>5.788712E-2</v>
      </c>
      <c r="W3215">
        <v>4.8960959999999998E-2</v>
      </c>
      <c r="X3215">
        <v>0.99712179999999995</v>
      </c>
      <c r="Y3215">
        <v>0.13154350000000001</v>
      </c>
      <c r="Z3215">
        <v>1.77565E-4</v>
      </c>
      <c r="AA3215">
        <v>0.99131040000000004</v>
      </c>
      <c r="AB3215">
        <v>37</v>
      </c>
      <c r="AC3215">
        <v>32.9862999999999</v>
      </c>
      <c r="AD3215">
        <v>-1.0483661099999999</v>
      </c>
      <c r="AE3215">
        <v>-6.8631000000000002</v>
      </c>
      <c r="AF3215">
        <v>4.4773308557939098</v>
      </c>
      <c r="AG3215">
        <v>-1.0483661099999999</v>
      </c>
      <c r="AH3215">
        <v>33.361005423612802</v>
      </c>
      <c r="AI3215">
        <v>91.7839376525652</v>
      </c>
      <c r="AJ3215">
        <v>82.356094195238001</v>
      </c>
      <c r="AK3215">
        <v>33.676434579200397</v>
      </c>
      <c r="AL3215">
        <v>87.193621607849394</v>
      </c>
      <c r="AM3215">
        <v>86.677467975557803</v>
      </c>
      <c r="AN3215">
        <v>0.99999998915062704</v>
      </c>
    </row>
    <row r="3216" spans="1:40" x14ac:dyDescent="0.25">
      <c r="A3216" t="str">
        <f>"20190312154858408"</f>
        <v>20190312154858408</v>
      </c>
      <c r="B3216" t="str">
        <f>"1552376938398815"</f>
        <v>1552376938398815</v>
      </c>
      <c r="C3216" t="s">
        <v>40</v>
      </c>
      <c r="D3216">
        <v>4.1747050000000003</v>
      </c>
      <c r="E3216">
        <v>0.53025599999999995</v>
      </c>
      <c r="F3216" t="s">
        <v>51</v>
      </c>
      <c r="G3216">
        <v>-409.36739999999998</v>
      </c>
      <c r="H3216">
        <v>5.1107659999999999E-2</v>
      </c>
      <c r="I3216">
        <v>208.19479999999999</v>
      </c>
      <c r="J3216">
        <v>-441.94779999999997</v>
      </c>
      <c r="K3216">
        <v>1.1086020000000001</v>
      </c>
      <c r="L3216">
        <v>215.0599</v>
      </c>
      <c r="M3216">
        <v>0.99747030000000003</v>
      </c>
      <c r="N3216">
        <v>0</v>
      </c>
      <c r="O3216">
        <v>-7.1075330000000006E-2</v>
      </c>
      <c r="P3216">
        <v>0.99070219999999998</v>
      </c>
      <c r="Q3216">
        <v>4.5799810000000003E-2</v>
      </c>
      <c r="R3216">
        <v>-0.12810839999999901</v>
      </c>
      <c r="S3216">
        <v>2.9529109999999998</v>
      </c>
      <c r="T3216">
        <v>-9.4734550000000001E-2</v>
      </c>
      <c r="U3216">
        <v>-0.61746219999999996</v>
      </c>
      <c r="V3216">
        <v>5.7326509999999997E-2</v>
      </c>
      <c r="W3216">
        <v>4.7006279999999998E-2</v>
      </c>
      <c r="X3216">
        <v>0.99724820000000003</v>
      </c>
      <c r="Y3216">
        <v>0.1345565</v>
      </c>
      <c r="Z3216">
        <v>1.1492779999999999E-4</v>
      </c>
      <c r="AA3216">
        <v>0.99090590000000001</v>
      </c>
      <c r="AB3216">
        <v>37</v>
      </c>
      <c r="AC3216">
        <v>32.580399999999997</v>
      </c>
      <c r="AD3216">
        <v>-1.0574943400000001</v>
      </c>
      <c r="AE3216">
        <v>-6.8651000000000098</v>
      </c>
      <c r="AF3216">
        <v>4.5275065683296098</v>
      </c>
      <c r="AG3216">
        <v>-1.0574943400000001</v>
      </c>
      <c r="AH3216">
        <v>32.952701520857403</v>
      </c>
      <c r="AI3216">
        <v>91.820968742216294</v>
      </c>
      <c r="AJ3216">
        <v>82.176878951467501</v>
      </c>
      <c r="AK3216">
        <v>33.279079727782701</v>
      </c>
      <c r="AL3216">
        <v>87.305745577547896</v>
      </c>
      <c r="AM3216">
        <v>86.709990257631702</v>
      </c>
      <c r="AN3216">
        <v>0.99999994575572704</v>
      </c>
    </row>
    <row r="3217" spans="1:40" x14ac:dyDescent="0.25">
      <c r="A3217" t="str">
        <f>"20190312154858430"</f>
        <v>20190312154858430</v>
      </c>
      <c r="B3217" t="str">
        <f>"1552376938419311"</f>
        <v>1552376938419311</v>
      </c>
      <c r="C3217" t="s">
        <v>40</v>
      </c>
      <c r="D3217">
        <v>4.2020059999999999</v>
      </c>
      <c r="E3217">
        <v>0.53031600000000001</v>
      </c>
      <c r="F3217" t="s">
        <v>51</v>
      </c>
      <c r="G3217">
        <v>-409.48559999999998</v>
      </c>
      <c r="H3217" s="1">
        <v>5.4057949999999996E-6</v>
      </c>
      <c r="I3217">
        <v>208.29249999999999</v>
      </c>
      <c r="J3217">
        <v>-441.58940000000001</v>
      </c>
      <c r="K3217">
        <v>1.108697</v>
      </c>
      <c r="L3217">
        <v>215.03489999999999</v>
      </c>
      <c r="M3217">
        <v>0.99751690000000004</v>
      </c>
      <c r="N3217">
        <v>0</v>
      </c>
      <c r="O3217">
        <v>-7.0418359999999999E-2</v>
      </c>
      <c r="P3217">
        <v>0.99082239999999999</v>
      </c>
      <c r="Q3217">
        <v>4.4774670000000003E-2</v>
      </c>
      <c r="R3217">
        <v>-0.12753909999999999</v>
      </c>
      <c r="S3217">
        <v>2.953217</v>
      </c>
      <c r="T3217">
        <v>-0.10085330000000001</v>
      </c>
      <c r="U3217">
        <v>-0.61566160000000003</v>
      </c>
      <c r="V3217">
        <v>5.7397570000000002E-2</v>
      </c>
      <c r="W3217">
        <v>4.6037439999999999E-2</v>
      </c>
      <c r="X3217">
        <v>0.99728939999999999</v>
      </c>
      <c r="Y3217">
        <v>0.13460520000000001</v>
      </c>
      <c r="Z3217" s="1">
        <v>9.9464320000000004E-5</v>
      </c>
      <c r="AA3217">
        <v>0.99089930000000004</v>
      </c>
      <c r="AB3217">
        <v>37</v>
      </c>
      <c r="AC3217">
        <v>32.1038</v>
      </c>
      <c r="AD3217">
        <v>-1.108691594205</v>
      </c>
      <c r="AE3217">
        <v>-6.7423999999999999</v>
      </c>
      <c r="AF3217">
        <v>4.4598695674764697</v>
      </c>
      <c r="AG3217">
        <v>-1.108691594205</v>
      </c>
      <c r="AH3217">
        <v>32.461813062492503</v>
      </c>
      <c r="AI3217">
        <v>91.937913544437606</v>
      </c>
      <c r="AJ3217">
        <v>82.177211255500495</v>
      </c>
      <c r="AK3217">
        <v>32.785498942583899</v>
      </c>
      <c r="AL3217">
        <v>87.361316434933798</v>
      </c>
      <c r="AM3217">
        <v>86.706056833444094</v>
      </c>
      <c r="AN3217">
        <v>1.000000037138</v>
      </c>
    </row>
    <row r="3218" spans="1:40" x14ac:dyDescent="0.25">
      <c r="A3218" t="str">
        <f>"20190312154858451"</f>
        <v>20190312154858451</v>
      </c>
      <c r="B3218" t="str">
        <f>"1552376938438831"</f>
        <v>1552376938438831</v>
      </c>
      <c r="C3218" t="s">
        <v>40</v>
      </c>
      <c r="D3218">
        <v>4.3743089999999896</v>
      </c>
      <c r="E3218">
        <v>0.50709709999999997</v>
      </c>
      <c r="F3218" t="s">
        <v>51</v>
      </c>
      <c r="G3218">
        <v>-409.54090000000002</v>
      </c>
      <c r="H3218" s="1">
        <v>5.3695960000000001E-6</v>
      </c>
      <c r="I3218">
        <v>208.37090000000001</v>
      </c>
      <c r="J3218">
        <v>-441.21940000000001</v>
      </c>
      <c r="K3218">
        <v>1.108792</v>
      </c>
      <c r="L3218">
        <v>215.0093</v>
      </c>
      <c r="M3218">
        <v>0.99757119999999999</v>
      </c>
      <c r="N3218">
        <v>0</v>
      </c>
      <c r="O3218">
        <v>-6.9643629999999998E-2</v>
      </c>
      <c r="P3218">
        <v>0.99086540000000001</v>
      </c>
      <c r="Q3218">
        <v>4.4069829999999997E-2</v>
      </c>
      <c r="R3218">
        <v>-0.12745219999999999</v>
      </c>
      <c r="S3218">
        <v>2.9533689999999999</v>
      </c>
      <c r="T3218">
        <v>-0.1021695</v>
      </c>
      <c r="U3218">
        <v>-0.61410520000000002</v>
      </c>
      <c r="V3218">
        <v>5.8072390000000002E-2</v>
      </c>
      <c r="W3218">
        <v>4.539199E-2</v>
      </c>
      <c r="X3218">
        <v>0.9972799</v>
      </c>
      <c r="Y3218">
        <v>0.1348625</v>
      </c>
      <c r="Z3218" s="1">
        <v>7.0004960000000002E-5</v>
      </c>
      <c r="AA3218">
        <v>0.99086430000000003</v>
      </c>
      <c r="AB3218">
        <v>37</v>
      </c>
      <c r="AC3218">
        <v>31.6784999999999</v>
      </c>
      <c r="AD3218">
        <v>-1.1087866304039999</v>
      </c>
      <c r="AE3218">
        <v>-6.6383999999999901</v>
      </c>
      <c r="AF3218">
        <v>4.4108977407307401</v>
      </c>
      <c r="AG3218">
        <v>-1.1087866304039999</v>
      </c>
      <c r="AH3218">
        <v>32.026320486524</v>
      </c>
      <c r="AI3218">
        <v>91.964323095825605</v>
      </c>
      <c r="AJ3218">
        <v>82.158143800721504</v>
      </c>
      <c r="AK3218">
        <v>32.347652628536899</v>
      </c>
      <c r="AL3218">
        <v>87.398336646253895</v>
      </c>
      <c r="AM3218">
        <v>86.667385234857406</v>
      </c>
      <c r="AN3218">
        <v>1.0000000170902399</v>
      </c>
    </row>
    <row r="3219" spans="1:40" x14ac:dyDescent="0.25">
      <c r="A3219" t="str">
        <f>"20190312154858472"</f>
        <v>20190312154858472</v>
      </c>
      <c r="B3219" t="str">
        <f>"1552376938469087"</f>
        <v>1552376938469087</v>
      </c>
      <c r="C3219" t="s">
        <v>40</v>
      </c>
      <c r="D3219">
        <v>4.321682</v>
      </c>
      <c r="E3219">
        <v>0.4820739</v>
      </c>
      <c r="F3219" t="s">
        <v>51</v>
      </c>
      <c r="G3219">
        <v>-403.95150000000001</v>
      </c>
      <c r="H3219">
        <v>4.0226049999999999E-2</v>
      </c>
      <c r="I3219">
        <v>209.6163</v>
      </c>
      <c r="J3219">
        <v>-440.85649999999998</v>
      </c>
      <c r="K3219">
        <v>1.1088830000000001</v>
      </c>
      <c r="L3219">
        <v>214.9846</v>
      </c>
      <c r="M3219">
        <v>0.99763040000000003</v>
      </c>
      <c r="N3219">
        <v>0</v>
      </c>
      <c r="O3219">
        <v>-6.8788810000000006E-2</v>
      </c>
      <c r="P3219">
        <v>0.99088690000000001</v>
      </c>
      <c r="Q3219">
        <v>4.3628199999999999E-2</v>
      </c>
      <c r="R3219">
        <v>-0.1274354</v>
      </c>
      <c r="S3219">
        <v>2.9760740000000001</v>
      </c>
      <c r="T3219">
        <v>-8.5331679999999993E-2</v>
      </c>
      <c r="U3219">
        <v>-0.43066409999999999</v>
      </c>
      <c r="V3219">
        <v>5.8899119999999999E-2</v>
      </c>
      <c r="W3219">
        <v>4.5009489999999999E-2</v>
      </c>
      <c r="X3219">
        <v>0.99724869999999999</v>
      </c>
      <c r="Y3219">
        <v>7.4795570000000006E-2</v>
      </c>
      <c r="Z3219">
        <v>8.9163329999999996E-4</v>
      </c>
      <c r="AA3219">
        <v>0.99719849999999999</v>
      </c>
      <c r="AB3219">
        <v>37</v>
      </c>
      <c r="AC3219">
        <v>36.904999999999902</v>
      </c>
      <c r="AD3219">
        <v>-1.06865695</v>
      </c>
      <c r="AE3219">
        <v>-5.3682999999999996</v>
      </c>
      <c r="AF3219">
        <v>2.81461944350924</v>
      </c>
      <c r="AG3219">
        <v>-1.06865695</v>
      </c>
      <c r="AH3219">
        <v>37.156349956799801</v>
      </c>
      <c r="AI3219">
        <v>91.642730847288405</v>
      </c>
      <c r="AJ3219">
        <v>85.668077836075696</v>
      </c>
      <c r="AK3219">
        <v>37.278122973142601</v>
      </c>
      <c r="AL3219">
        <v>87.420274569795296</v>
      </c>
      <c r="AM3219">
        <v>86.619945196221394</v>
      </c>
      <c r="AN3219">
        <v>0.99999996508926103</v>
      </c>
    </row>
    <row r="3220" spans="1:40" x14ac:dyDescent="0.25">
      <c r="A3220" t="str">
        <f>"20190312154858496"</f>
        <v>20190312154858496</v>
      </c>
      <c r="B3220" t="str">
        <f>"1552376938488607"</f>
        <v>1552376938488607</v>
      </c>
      <c r="C3220" t="s">
        <v>40</v>
      </c>
      <c r="D3220">
        <v>4.3604039999999999</v>
      </c>
      <c r="E3220">
        <v>0.47484910000000002</v>
      </c>
      <c r="F3220" t="s">
        <v>51</v>
      </c>
      <c r="G3220">
        <v>-401.98070000000001</v>
      </c>
      <c r="H3220" s="1">
        <v>8.0696600000000006E-6</v>
      </c>
      <c r="I3220">
        <v>211.97499999999999</v>
      </c>
      <c r="J3220">
        <v>-440.4742</v>
      </c>
      <c r="K3220">
        <v>1.108989</v>
      </c>
      <c r="L3220">
        <v>214.959</v>
      </c>
      <c r="M3220">
        <v>0.99769949999999996</v>
      </c>
      <c r="N3220">
        <v>0</v>
      </c>
      <c r="O3220">
        <v>-6.7780469999999995E-2</v>
      </c>
      <c r="P3220">
        <v>0.99091050000000003</v>
      </c>
      <c r="Q3220">
        <v>4.3290519999999999E-2</v>
      </c>
      <c r="R3220">
        <v>-0.1273688</v>
      </c>
      <c r="S3220">
        <v>3.001465</v>
      </c>
      <c r="T3220">
        <v>-8.5612540000000001E-2</v>
      </c>
      <c r="U3220">
        <v>-0.23236080000000001</v>
      </c>
      <c r="V3220">
        <v>5.9828239999999998E-2</v>
      </c>
      <c r="W3220">
        <v>4.4735110000000002E-2</v>
      </c>
      <c r="X3220">
        <v>0.99720580000000003</v>
      </c>
      <c r="Y3220">
        <v>9.4525600000000005E-3</v>
      </c>
      <c r="Z3220">
        <v>1.7931100000000001E-3</v>
      </c>
      <c r="AA3220">
        <v>0.99995369999999995</v>
      </c>
      <c r="AB3220">
        <v>38</v>
      </c>
      <c r="AC3220">
        <v>38.493499999999898</v>
      </c>
      <c r="AD3220">
        <v>-1.10898093034</v>
      </c>
      <c r="AE3220">
        <v>-2.984</v>
      </c>
      <c r="AF3220">
        <v>0.36772467991666702</v>
      </c>
      <c r="AG3220">
        <v>-1.10898093034</v>
      </c>
      <c r="AH3220">
        <v>38.575405895853798</v>
      </c>
      <c r="AI3220">
        <v>91.646633264628093</v>
      </c>
      <c r="AJ3220">
        <v>89.453837657973196</v>
      </c>
      <c r="AK3220">
        <v>38.593095239614399</v>
      </c>
      <c r="AL3220">
        <v>87.436011398744398</v>
      </c>
      <c r="AM3220">
        <v>86.566604821524194</v>
      </c>
      <c r="AN3220">
        <v>1.00000002796092</v>
      </c>
    </row>
    <row r="3221" spans="1:40" x14ac:dyDescent="0.25">
      <c r="A3221" t="str">
        <f>"20190312154858517"</f>
        <v>20190312154858517</v>
      </c>
      <c r="B3221" t="str">
        <f>"1552376938509104"</f>
        <v>1552376938509104</v>
      </c>
      <c r="C3221" t="s">
        <v>40</v>
      </c>
      <c r="D3221">
        <v>4.3587809999999996</v>
      </c>
      <c r="E3221">
        <v>0.47115079999999998</v>
      </c>
      <c r="F3221" t="s">
        <v>51</v>
      </c>
      <c r="G3221">
        <v>-404.9796</v>
      </c>
      <c r="H3221" s="1">
        <v>6.5488090000000003E-6</v>
      </c>
      <c r="I3221">
        <v>212.89920000000001</v>
      </c>
      <c r="J3221">
        <v>-440.10789999999997</v>
      </c>
      <c r="K3221">
        <v>1.1090930000000001</v>
      </c>
      <c r="L3221">
        <v>214.9348</v>
      </c>
      <c r="M3221">
        <v>0.99777199999999999</v>
      </c>
      <c r="N3221">
        <v>0</v>
      </c>
      <c r="O3221">
        <v>-6.6704100000000002E-2</v>
      </c>
      <c r="P3221">
        <v>0.99092230000000003</v>
      </c>
      <c r="Q3221">
        <v>4.2529049999999999E-2</v>
      </c>
      <c r="R3221">
        <v>-0.12753249999999999</v>
      </c>
      <c r="S3221">
        <v>3.0092159999999999</v>
      </c>
      <c r="T3221">
        <v>-9.4018939999999995E-2</v>
      </c>
      <c r="U3221">
        <v>-0.17462159999999999</v>
      </c>
      <c r="V3221">
        <v>6.1056729999999997E-2</v>
      </c>
      <c r="W3221">
        <v>4.4037229999999997E-2</v>
      </c>
      <c r="X3221">
        <v>0.9971624</v>
      </c>
      <c r="Y3221">
        <v>-8.7530650000000008E-3</v>
      </c>
      <c r="Z3221">
        <v>2.216249E-3</v>
      </c>
      <c r="AA3221">
        <v>0.99995919999999905</v>
      </c>
      <c r="AB3221">
        <v>38</v>
      </c>
      <c r="AC3221">
        <v>35.128299999999903</v>
      </c>
      <c r="AD3221">
        <v>-1.1090864511909999</v>
      </c>
      <c r="AE3221">
        <v>-2.0355999999999801</v>
      </c>
      <c r="AF3221">
        <v>-0.31182740701571299</v>
      </c>
      <c r="AG3221">
        <v>-1.1090864511909999</v>
      </c>
      <c r="AH3221">
        <v>35.1509232841235</v>
      </c>
      <c r="AI3221">
        <v>91.807133189740199</v>
      </c>
      <c r="AJ3221">
        <v>90.508263340975205</v>
      </c>
      <c r="AK3221">
        <v>35.169798361866</v>
      </c>
      <c r="AL3221">
        <v>87.476036421199197</v>
      </c>
      <c r="AM3221">
        <v>86.4961265604489</v>
      </c>
      <c r="AN3221">
        <v>1.0000000269390601</v>
      </c>
    </row>
    <row r="3222" spans="1:40" x14ac:dyDescent="0.25">
      <c r="A3222" t="str">
        <f>"20190312154858541"</f>
        <v>20190312154858541</v>
      </c>
      <c r="B3222" t="str">
        <f>"1552376938528623"</f>
        <v>1552376938528623</v>
      </c>
      <c r="C3222" t="s">
        <v>40</v>
      </c>
      <c r="D3222">
        <v>4.3512690000000003</v>
      </c>
      <c r="E3222">
        <v>0.46927760000000002</v>
      </c>
      <c r="F3222" t="s">
        <v>51</v>
      </c>
      <c r="G3222">
        <v>-404.93259999999998</v>
      </c>
      <c r="H3222" s="1">
        <v>6.5003139999999901E-6</v>
      </c>
      <c r="I3222">
        <v>213.23490000000001</v>
      </c>
      <c r="J3222">
        <v>-439.7115</v>
      </c>
      <c r="K3222">
        <v>1.1092109999999999</v>
      </c>
      <c r="L3222">
        <v>214.9092</v>
      </c>
      <c r="M3222">
        <v>0.9978572</v>
      </c>
      <c r="N3222">
        <v>0</v>
      </c>
      <c r="O3222">
        <v>-6.5413669999999993E-2</v>
      </c>
      <c r="P3222">
        <v>0.99106620000000001</v>
      </c>
      <c r="Q3222">
        <v>4.191698E-2</v>
      </c>
      <c r="R3222">
        <v>-0.12661210000000001</v>
      </c>
      <c r="S3222">
        <v>3.0127869999999999</v>
      </c>
      <c r="T3222">
        <v>-9.4993830000000001E-2</v>
      </c>
      <c r="U3222">
        <v>-0.14559939999999999</v>
      </c>
      <c r="V3222">
        <v>6.1406349999999998E-2</v>
      </c>
      <c r="W3222">
        <v>4.349368E-2</v>
      </c>
      <c r="X3222">
        <v>0.99716479999999996</v>
      </c>
      <c r="Y3222">
        <v>-1.7129209999999999E-2</v>
      </c>
      <c r="Z3222">
        <v>2.3286969999999998E-3</v>
      </c>
      <c r="AA3222">
        <v>0.99985060000000003</v>
      </c>
      <c r="AB3222">
        <v>38</v>
      </c>
      <c r="AC3222">
        <v>34.7789</v>
      </c>
      <c r="AD3222">
        <v>-1.109204499686</v>
      </c>
      <c r="AE3222">
        <v>-1.6742999999999799</v>
      </c>
      <c r="AF3222">
        <v>-0.60369116617838103</v>
      </c>
      <c r="AG3222">
        <v>-1.109204499686</v>
      </c>
      <c r="AH3222">
        <v>34.778639910873302</v>
      </c>
      <c r="AI3222">
        <v>91.826455522742805</v>
      </c>
      <c r="AJ3222">
        <v>90.994446095107804</v>
      </c>
      <c r="AK3222">
        <v>34.801559903205998</v>
      </c>
      <c r="AL3222">
        <v>87.507209441173003</v>
      </c>
      <c r="AM3222">
        <v>86.476121729894004</v>
      </c>
      <c r="AN3222">
        <v>1.00000003918965</v>
      </c>
    </row>
    <row r="3223" spans="1:40" x14ac:dyDescent="0.25">
      <c r="A3223" t="str">
        <f>"20190312154858561"</f>
        <v>20190312154858561</v>
      </c>
      <c r="B3223" t="str">
        <f>"1552376938549119"</f>
        <v>1552376938549119</v>
      </c>
      <c r="C3223" t="s">
        <v>40</v>
      </c>
      <c r="D3223">
        <v>4.3785930000000004</v>
      </c>
      <c r="E3223">
        <v>0.46795639999999999</v>
      </c>
      <c r="F3223" t="s">
        <v>51</v>
      </c>
      <c r="G3223">
        <v>-405.10849999999999</v>
      </c>
      <c r="H3223" s="1">
        <v>6.3795959999999998E-6</v>
      </c>
      <c r="I3223">
        <v>213.44159999999999</v>
      </c>
      <c r="J3223">
        <v>-439.35129999999998</v>
      </c>
      <c r="K3223">
        <v>1.109321</v>
      </c>
      <c r="L3223">
        <v>214.88650000000001</v>
      </c>
      <c r="M3223">
        <v>0.99794079999999996</v>
      </c>
      <c r="N3223">
        <v>0</v>
      </c>
      <c r="O3223">
        <v>-6.4125520000000005E-2</v>
      </c>
      <c r="P3223">
        <v>0.99118170000000005</v>
      </c>
      <c r="Q3223">
        <v>4.1231869999999997E-2</v>
      </c>
      <c r="R3223">
        <v>-0.1259314</v>
      </c>
      <c r="S3223">
        <v>3.0147710000000001</v>
      </c>
      <c r="T3223">
        <v>-9.6638920000000003E-2</v>
      </c>
      <c r="U3223">
        <v>-0.1278687</v>
      </c>
      <c r="V3223">
        <v>6.1996269999999999E-2</v>
      </c>
      <c r="W3223">
        <v>4.2872939999999998E-2</v>
      </c>
      <c r="X3223">
        <v>0.99715509999999996</v>
      </c>
      <c r="Y3223">
        <v>-2.1735290000000001E-2</v>
      </c>
      <c r="Z3223">
        <v>2.4004669999999999E-3</v>
      </c>
      <c r="AA3223">
        <v>0.99976089999999995</v>
      </c>
      <c r="AB3223">
        <v>38</v>
      </c>
      <c r="AC3223">
        <v>34.242799999999903</v>
      </c>
      <c r="AD3223">
        <v>-1.1093146204040001</v>
      </c>
      <c r="AE3223">
        <v>-1.4449000000000101</v>
      </c>
      <c r="AF3223">
        <v>-0.75312449896080302</v>
      </c>
      <c r="AG3223">
        <v>-1.1093146204040001</v>
      </c>
      <c r="AH3223">
        <v>34.2291191177775</v>
      </c>
      <c r="AI3223">
        <v>91.855772111291301</v>
      </c>
      <c r="AJ3223">
        <v>91.260444181736304</v>
      </c>
      <c r="AK3223">
        <v>34.255369958839701</v>
      </c>
      <c r="AL3223">
        <v>87.542808235697805</v>
      </c>
      <c r="AM3223">
        <v>86.442320467656302</v>
      </c>
      <c r="AN3223">
        <v>0.99999995996708202</v>
      </c>
    </row>
    <row r="3224" spans="1:40" x14ac:dyDescent="0.25">
      <c r="A3224" t="str">
        <f>"20190312154858587"</f>
        <v>20190312154858587</v>
      </c>
      <c r="B3224" t="str">
        <f>"1552376938579376"</f>
        <v>1552376938579376</v>
      </c>
      <c r="C3224" t="s">
        <v>40</v>
      </c>
      <c r="D3224">
        <v>4.4153379999999904</v>
      </c>
      <c r="E3224">
        <v>0.4665454</v>
      </c>
      <c r="F3224" t="s">
        <v>51</v>
      </c>
      <c r="G3224">
        <v>-406.72500000000002</v>
      </c>
      <c r="H3224" s="1">
        <v>5.6213660000000004E-6</v>
      </c>
      <c r="I3224">
        <v>213.64169999999999</v>
      </c>
      <c r="J3224">
        <v>-438.93049999999999</v>
      </c>
      <c r="K3224">
        <v>1.1094569999999999</v>
      </c>
      <c r="L3224">
        <v>214.86060000000001</v>
      </c>
      <c r="M3224">
        <v>0.9980445</v>
      </c>
      <c r="N3224">
        <v>0</v>
      </c>
      <c r="O3224">
        <v>-6.2488759999999997E-2</v>
      </c>
      <c r="P3224">
        <v>0.9913651</v>
      </c>
      <c r="Q3224">
        <v>4.0868509999999997E-2</v>
      </c>
      <c r="R3224">
        <v>-0.1245999</v>
      </c>
      <c r="S3224">
        <v>3.0163570000000002</v>
      </c>
      <c r="T3224">
        <v>-0.102558</v>
      </c>
      <c r="U3224">
        <v>-0.1150818</v>
      </c>
      <c r="V3224">
        <v>6.2277730000000003E-2</v>
      </c>
      <c r="W3224">
        <v>4.2584240000000002E-2</v>
      </c>
      <c r="X3224">
        <v>0.99714990000000003</v>
      </c>
      <c r="Y3224">
        <v>-2.4343050000000001E-2</v>
      </c>
      <c r="Z3224">
        <v>2.535172E-3</v>
      </c>
      <c r="AA3224">
        <v>0.99970040000000004</v>
      </c>
      <c r="AB3224">
        <v>38</v>
      </c>
      <c r="AC3224">
        <v>32.205499999999901</v>
      </c>
      <c r="AD3224">
        <v>-1.1094513786339999</v>
      </c>
      <c r="AE3224">
        <v>-1.2189000000000101</v>
      </c>
      <c r="AF3224">
        <v>-0.79502410753263797</v>
      </c>
      <c r="AG3224">
        <v>-1.1094513786339999</v>
      </c>
      <c r="AH3224">
        <v>32.180591797756598</v>
      </c>
      <c r="AI3224">
        <v>91.973933490298606</v>
      </c>
      <c r="AJ3224">
        <v>91.415208966012301</v>
      </c>
      <c r="AK3224">
        <v>32.209523966475402</v>
      </c>
      <c r="AL3224">
        <v>87.559364570860893</v>
      </c>
      <c r="AM3224">
        <v>86.426191955999897</v>
      </c>
      <c r="AN3224">
        <v>0.99999992811016702</v>
      </c>
    </row>
    <row r="3225" spans="1:40" x14ac:dyDescent="0.25">
      <c r="A3225" t="str">
        <f>"20190312154858611"</f>
        <v>20190312154858611</v>
      </c>
      <c r="B3225" t="str">
        <f>"1552376938598895"</f>
        <v>1552376938598895</v>
      </c>
      <c r="C3225" t="s">
        <v>40</v>
      </c>
      <c r="D3225">
        <v>4.4324309999999896</v>
      </c>
      <c r="E3225">
        <v>0.46594039999999998</v>
      </c>
      <c r="F3225" t="s">
        <v>51</v>
      </c>
      <c r="G3225">
        <v>-408.19279999999998</v>
      </c>
      <c r="H3225" s="1">
        <v>4.9283010000000001E-6</v>
      </c>
      <c r="I3225">
        <v>213.8459</v>
      </c>
      <c r="J3225">
        <v>-438.52670000000001</v>
      </c>
      <c r="K3225">
        <v>1.109588</v>
      </c>
      <c r="L3225">
        <v>214.8366</v>
      </c>
      <c r="M3225">
        <v>0.99814950000000002</v>
      </c>
      <c r="N3225">
        <v>0</v>
      </c>
      <c r="O3225">
        <v>-6.078861E-2</v>
      </c>
      <c r="P3225">
        <v>0.99154719999999996</v>
      </c>
      <c r="Q3225">
        <v>4.0908899999999998E-2</v>
      </c>
      <c r="R3225">
        <v>-0.1231314</v>
      </c>
      <c r="S3225">
        <v>3.018097</v>
      </c>
      <c r="T3225">
        <v>-0.1089355</v>
      </c>
      <c r="U3225">
        <v>-9.9639889999999995E-2</v>
      </c>
      <c r="V3225">
        <v>6.2485550000000001E-2</v>
      </c>
      <c r="W3225">
        <v>4.2696199999999997E-2</v>
      </c>
      <c r="X3225">
        <v>0.99713220000000002</v>
      </c>
      <c r="Y3225">
        <v>-2.77629E-2</v>
      </c>
      <c r="Z3225">
        <v>2.691976E-3</v>
      </c>
      <c r="AA3225">
        <v>0.99961089999999997</v>
      </c>
      <c r="AB3225">
        <v>39</v>
      </c>
      <c r="AC3225">
        <v>30.3339</v>
      </c>
      <c r="AD3225">
        <v>-1.1095830716990001</v>
      </c>
      <c r="AE3225">
        <v>-0.99070000000000402</v>
      </c>
      <c r="AF3225">
        <v>-0.85394851523220805</v>
      </c>
      <c r="AG3225">
        <v>-1.1095830716990001</v>
      </c>
      <c r="AH3225">
        <v>30.297530038157301</v>
      </c>
      <c r="AI3225">
        <v>92.096567724472493</v>
      </c>
      <c r="AJ3225">
        <v>91.614477999529598</v>
      </c>
      <c r="AK3225">
        <v>30.329865299283998</v>
      </c>
      <c r="AL3225">
        <v>87.552944112587099</v>
      </c>
      <c r="AM3225">
        <v>86.414233782799798</v>
      </c>
      <c r="AN3225">
        <v>1.00000001686504</v>
      </c>
    </row>
    <row r="3226" spans="1:40" x14ac:dyDescent="0.25">
      <c r="A3226" t="str">
        <f>"20190312154858631"</f>
        <v>20190312154858631</v>
      </c>
      <c r="B3226" t="str">
        <f>"1552376938619391"</f>
        <v>1552376938619391</v>
      </c>
      <c r="C3226" t="s">
        <v>40</v>
      </c>
      <c r="D3226">
        <v>4.4364980000000003</v>
      </c>
      <c r="E3226">
        <v>0.46538889999999999</v>
      </c>
      <c r="F3226" t="s">
        <v>51</v>
      </c>
      <c r="G3226">
        <v>-407.39060000000001</v>
      </c>
      <c r="H3226" s="1">
        <v>5.2718509999999996E-6</v>
      </c>
      <c r="I3226">
        <v>213.9049</v>
      </c>
      <c r="J3226">
        <v>-438.15199999999999</v>
      </c>
      <c r="K3226">
        <v>1.1096980000000001</v>
      </c>
      <c r="L3226">
        <v>214.81489999999999</v>
      </c>
      <c r="M3226">
        <v>0.99824900000000005</v>
      </c>
      <c r="N3226">
        <v>0</v>
      </c>
      <c r="O3226">
        <v>-5.9130630000000003E-2</v>
      </c>
      <c r="P3226">
        <v>0.99166560000000004</v>
      </c>
      <c r="Q3226">
        <v>4.0628909999999997E-2</v>
      </c>
      <c r="R3226">
        <v>-0.12226629999999999</v>
      </c>
      <c r="S3226">
        <v>3.018799</v>
      </c>
      <c r="T3226">
        <v>-0.10757949999999999</v>
      </c>
      <c r="U3226">
        <v>-9.0332029999999994E-2</v>
      </c>
      <c r="V3226">
        <v>6.3261079999999997E-2</v>
      </c>
      <c r="W3226">
        <v>4.2482770000000003E-2</v>
      </c>
      <c r="X3226">
        <v>0.99709239999999999</v>
      </c>
      <c r="Y3226">
        <v>-2.9190839999999999E-2</v>
      </c>
      <c r="Z3226">
        <v>2.624534E-3</v>
      </c>
      <c r="AA3226">
        <v>0.99957039999999997</v>
      </c>
      <c r="AB3226">
        <v>39</v>
      </c>
      <c r="AC3226">
        <v>30.761399999999899</v>
      </c>
      <c r="AD3226">
        <v>-1.1096927281490001</v>
      </c>
      <c r="AE3226">
        <v>-0.90999999999999603</v>
      </c>
      <c r="AF3226">
        <v>-0.90935316126430699</v>
      </c>
      <c r="AG3226">
        <v>-1.1096927281490001</v>
      </c>
      <c r="AH3226">
        <v>30.721439840562301</v>
      </c>
      <c r="AI3226">
        <v>92.067783314744105</v>
      </c>
      <c r="AJ3226">
        <v>91.695457307639998</v>
      </c>
      <c r="AK3226">
        <v>30.754921671174799</v>
      </c>
      <c r="AL3226">
        <v>87.565183820220099</v>
      </c>
      <c r="AM3226">
        <v>86.369703349847398</v>
      </c>
      <c r="AN3226">
        <v>1.0000000020636901</v>
      </c>
    </row>
    <row r="3227" spans="1:40" x14ac:dyDescent="0.25">
      <c r="A3227" t="str">
        <f>"20190312154858653"</f>
        <v>20190312154858653</v>
      </c>
      <c r="B3227" t="str">
        <f>"1552376938638850"</f>
        <v>1552376938638850</v>
      </c>
      <c r="C3227" t="s">
        <v>40</v>
      </c>
      <c r="D3227">
        <v>4.4788040000000002</v>
      </c>
      <c r="E3227">
        <v>0.4649528</v>
      </c>
      <c r="F3227" t="s">
        <v>51</v>
      </c>
      <c r="G3227">
        <v>-407.38819999999998</v>
      </c>
      <c r="H3227" s="1">
        <v>5.260872E-6</v>
      </c>
      <c r="I3227">
        <v>213.96299999999999</v>
      </c>
      <c r="J3227">
        <v>-437.76990000000001</v>
      </c>
      <c r="K3227">
        <v>1.1097969999999999</v>
      </c>
      <c r="L3227">
        <v>214.79349999999999</v>
      </c>
      <c r="M3227">
        <v>0.99835130000000005</v>
      </c>
      <c r="N3227">
        <v>0</v>
      </c>
      <c r="O3227">
        <v>-5.7375000000000002E-2</v>
      </c>
      <c r="P3227">
        <v>0.99187919999999996</v>
      </c>
      <c r="Q3227">
        <v>4.0009009999999998E-2</v>
      </c>
      <c r="R3227">
        <v>-0.1207271</v>
      </c>
      <c r="S3227">
        <v>3.0193479999999999</v>
      </c>
      <c r="T3227">
        <v>-0.1089121</v>
      </c>
      <c r="U3227">
        <v>-8.3618159999999997E-2</v>
      </c>
      <c r="V3227">
        <v>6.3457669999999994E-2</v>
      </c>
      <c r="W3227">
        <v>4.1931080000000003E-2</v>
      </c>
      <c r="X3227">
        <v>0.99710330000000003</v>
      </c>
      <c r="Y3227">
        <v>-2.9658690000000001E-2</v>
      </c>
      <c r="Z3227">
        <v>2.6019060000000002E-3</v>
      </c>
      <c r="AA3227">
        <v>0.99955669999999996</v>
      </c>
      <c r="AB3227">
        <v>39</v>
      </c>
      <c r="AC3227">
        <v>30.381699999999999</v>
      </c>
      <c r="AD3227">
        <v>-1.1097917391280001</v>
      </c>
      <c r="AE3227">
        <v>-0.83050000000000002</v>
      </c>
      <c r="AF3227">
        <v>-0.912803499160591</v>
      </c>
      <c r="AG3227">
        <v>-1.1097917391280001</v>
      </c>
      <c r="AH3227">
        <v>30.338850625261198</v>
      </c>
      <c r="AI3227">
        <v>92.0939923825443</v>
      </c>
      <c r="AJ3227">
        <v>91.723335409769305</v>
      </c>
      <c r="AK3227">
        <v>30.372861327083299</v>
      </c>
      <c r="AL3227">
        <v>87.596821615701501</v>
      </c>
      <c r="AM3227">
        <v>86.358491858304802</v>
      </c>
      <c r="AN3227">
        <v>1.0000000411113401</v>
      </c>
    </row>
    <row r="3228" spans="1:40" x14ac:dyDescent="0.25">
      <c r="A3228" t="str">
        <f>"20190312154858675"</f>
        <v>20190312154858675</v>
      </c>
      <c r="B3228" t="str">
        <f>"1552376938669106"</f>
        <v>1552376938669106</v>
      </c>
      <c r="C3228" t="s">
        <v>40</v>
      </c>
      <c r="D3228">
        <v>4.5166329999999997</v>
      </c>
      <c r="E3228">
        <v>0.46458070000000001</v>
      </c>
      <c r="F3228" t="s">
        <v>51</v>
      </c>
      <c r="G3228">
        <v>-407.03489999999999</v>
      </c>
      <c r="H3228" s="1">
        <v>5.4049760000000001E-6</v>
      </c>
      <c r="I3228">
        <v>214.02379999999999</v>
      </c>
      <c r="J3228">
        <v>-437.37939999999998</v>
      </c>
      <c r="K3228">
        <v>1.109893</v>
      </c>
      <c r="L3228">
        <v>214.7724</v>
      </c>
      <c r="M3228">
        <v>0.99845539999999999</v>
      </c>
      <c r="N3228">
        <v>0</v>
      </c>
      <c r="O3228">
        <v>-5.5534220000000002E-2</v>
      </c>
      <c r="P3228">
        <v>0.99213300000000004</v>
      </c>
      <c r="Q3228">
        <v>3.9471840000000001E-2</v>
      </c>
      <c r="R3228">
        <v>-0.1188051</v>
      </c>
      <c r="S3228">
        <v>3.0197449999999999</v>
      </c>
      <c r="T3228">
        <v>-0.10903839999999999</v>
      </c>
      <c r="U3228">
        <v>-7.5622560000000005E-2</v>
      </c>
      <c r="V3228">
        <v>6.335586E-2</v>
      </c>
      <c r="W3228">
        <v>4.1484670000000001E-2</v>
      </c>
      <c r="X3228">
        <v>0.99712840000000003</v>
      </c>
      <c r="Y3228">
        <v>-3.0464720000000001E-2</v>
      </c>
      <c r="Z3228">
        <v>2.5529210000000001E-3</v>
      </c>
      <c r="AA3228">
        <v>0.99953259999999999</v>
      </c>
      <c r="AB3228">
        <v>39</v>
      </c>
      <c r="AC3228">
        <v>30.344499999999901</v>
      </c>
      <c r="AD3228">
        <v>-1.1098875950239999</v>
      </c>
      <c r="AE3228">
        <v>-0.74860000000001004</v>
      </c>
      <c r="AF3228">
        <v>-0.93646366378472801</v>
      </c>
      <c r="AG3228">
        <v>-1.1098875950239999</v>
      </c>
      <c r="AH3228">
        <v>30.2987351098208</v>
      </c>
      <c r="AI3228">
        <v>92.096890906048401</v>
      </c>
      <c r="AJ3228">
        <v>91.7703161466343</v>
      </c>
      <c r="AK3228">
        <v>30.333515521980999</v>
      </c>
      <c r="AL3228">
        <v>87.622421188438906</v>
      </c>
      <c r="AM3228">
        <v>86.3644097989785</v>
      </c>
      <c r="AN3228">
        <v>0.99999999446395405</v>
      </c>
    </row>
    <row r="3229" spans="1:40" x14ac:dyDescent="0.25">
      <c r="A3229" t="str">
        <f>"20190312154858697"</f>
        <v>20190312154858697</v>
      </c>
      <c r="B3229" t="str">
        <f>"1552376938688626"</f>
        <v>1552376938688626</v>
      </c>
      <c r="C3229" t="s">
        <v>40</v>
      </c>
      <c r="D3229">
        <v>4.5139370000000003</v>
      </c>
      <c r="E3229">
        <v>0.46436690000000003</v>
      </c>
      <c r="F3229" t="s">
        <v>51</v>
      </c>
      <c r="G3229">
        <v>-406.61770000000001</v>
      </c>
      <c r="H3229" s="1">
        <v>5.5768440000000001E-6</v>
      </c>
      <c r="I3229">
        <v>214.0874</v>
      </c>
      <c r="J3229">
        <v>-436.98930000000001</v>
      </c>
      <c r="K3229">
        <v>1.1099969999999999</v>
      </c>
      <c r="L3229">
        <v>214.75200000000001</v>
      </c>
      <c r="M3229">
        <v>0.99855709999999998</v>
      </c>
      <c r="N3229">
        <v>0</v>
      </c>
      <c r="O3229">
        <v>-5.3667369999999999E-2</v>
      </c>
      <c r="P3229">
        <v>0.99239549999999999</v>
      </c>
      <c r="Q3229">
        <v>3.8979939999999998E-2</v>
      </c>
      <c r="R3229">
        <v>-0.1167552</v>
      </c>
      <c r="S3229">
        <v>3.0200809999999998</v>
      </c>
      <c r="T3229">
        <v>-0.1089653</v>
      </c>
      <c r="U3229">
        <v>-6.7245479999999996E-2</v>
      </c>
      <c r="V3229">
        <v>6.3152650000000005E-2</v>
      </c>
      <c r="W3229">
        <v>4.1133540000000003E-2</v>
      </c>
      <c r="X3229">
        <v>0.99715580000000004</v>
      </c>
      <c r="Y3229">
        <v>-3.1370380000000003E-2</v>
      </c>
      <c r="Z3229">
        <v>2.5001509999999999E-3</v>
      </c>
      <c r="AA3229">
        <v>0.99950470000000002</v>
      </c>
      <c r="AB3229">
        <v>39</v>
      </c>
      <c r="AC3229">
        <v>30.371600000000001</v>
      </c>
      <c r="AD3229">
        <v>-1.109991423156</v>
      </c>
      <c r="AE3229">
        <v>-0.66460000000000696</v>
      </c>
      <c r="AF3229">
        <v>-0.96503618528038804</v>
      </c>
      <c r="AG3229">
        <v>-1.109991423156</v>
      </c>
      <c r="AH3229">
        <v>30.323015167433901</v>
      </c>
      <c r="AI3229">
        <v>92.095349031656795</v>
      </c>
      <c r="AJ3229">
        <v>91.822834700685704</v>
      </c>
      <c r="AK3229">
        <v>30.358666384457798</v>
      </c>
      <c r="AL3229">
        <v>87.642556555605694</v>
      </c>
      <c r="AM3229">
        <v>86.376138918792606</v>
      </c>
      <c r="AN3229">
        <v>0.99999995739429604</v>
      </c>
    </row>
    <row r="3230" spans="1:40" x14ac:dyDescent="0.25">
      <c r="A3230" t="str">
        <f>"20190312154858718"</f>
        <v>20190312154858718</v>
      </c>
      <c r="B3230" t="str">
        <f>"1552376938709122"</f>
        <v>1552376938709122</v>
      </c>
      <c r="C3230" t="s">
        <v>40</v>
      </c>
      <c r="D3230">
        <v>4.5310759999999997</v>
      </c>
      <c r="E3230">
        <v>0.46419290000000002</v>
      </c>
      <c r="F3230" t="s">
        <v>51</v>
      </c>
      <c r="G3230">
        <v>-406.22059999999999</v>
      </c>
      <c r="H3230" s="1">
        <v>5.7405079999999997E-6</v>
      </c>
      <c r="I3230">
        <v>214.14760000000001</v>
      </c>
      <c r="J3230">
        <v>-436.60649999999998</v>
      </c>
      <c r="K3230">
        <v>1.110109</v>
      </c>
      <c r="L3230">
        <v>214.73269999999999</v>
      </c>
      <c r="M3230">
        <v>0.99865440000000005</v>
      </c>
      <c r="N3230">
        <v>0</v>
      </c>
      <c r="O3230">
        <v>-5.1819369999999997E-2</v>
      </c>
      <c r="P3230">
        <v>0.99263749999999995</v>
      </c>
      <c r="Q3230">
        <v>3.8964239999999997E-2</v>
      </c>
      <c r="R3230">
        <v>-0.1146865</v>
      </c>
      <c r="S3230">
        <v>3.0202939999999998</v>
      </c>
      <c r="T3230">
        <v>-0.1089581</v>
      </c>
      <c r="U3230">
        <v>-5.9326169999999998E-2</v>
      </c>
      <c r="V3230">
        <v>6.2911229999999999E-2</v>
      </c>
      <c r="W3230">
        <v>4.1330789999999999E-2</v>
      </c>
      <c r="X3230">
        <v>0.99716289999999996</v>
      </c>
      <c r="Y3230">
        <v>-3.2142579999999997E-2</v>
      </c>
      <c r="Z3230">
        <v>2.4472840000000001E-3</v>
      </c>
      <c r="AA3230">
        <v>0.99948029999999999</v>
      </c>
      <c r="AB3230">
        <v>39</v>
      </c>
      <c r="AC3230">
        <v>30.3858999999999</v>
      </c>
      <c r="AD3230">
        <v>-1.1101032594919999</v>
      </c>
      <c r="AE3230">
        <v>-0.58509999999998197</v>
      </c>
      <c r="AF3230">
        <v>-0.98894809999696998</v>
      </c>
      <c r="AG3230">
        <v>-1.1101032594919999</v>
      </c>
      <c r="AH3230">
        <v>30.334922247304402</v>
      </c>
      <c r="AI3230">
        <v>92.094685895338898</v>
      </c>
      <c r="AJ3230">
        <v>91.867237058195698</v>
      </c>
      <c r="AK3230">
        <v>30.3713327883586</v>
      </c>
      <c r="AL3230">
        <v>87.631245333278798</v>
      </c>
      <c r="AM3230">
        <v>86.389981148986706</v>
      </c>
      <c r="AN3230">
        <v>0.99999995309927203</v>
      </c>
    </row>
    <row r="3231" spans="1:40" x14ac:dyDescent="0.25">
      <c r="A3231" t="str">
        <f>"20190312154858743"</f>
        <v>20190312154858743</v>
      </c>
      <c r="B3231" t="str">
        <f>"1552376938728643"</f>
        <v>1552376938728643</v>
      </c>
      <c r="C3231" t="s">
        <v>40</v>
      </c>
      <c r="D3231">
        <v>4.53355</v>
      </c>
      <c r="E3231">
        <v>0.46410859999999898</v>
      </c>
      <c r="F3231" t="s">
        <v>51</v>
      </c>
      <c r="G3231">
        <v>-405.49889999999999</v>
      </c>
      <c r="H3231" s="1">
        <v>6.0493679999999899E-6</v>
      </c>
      <c r="I3231">
        <v>214.20189999999999</v>
      </c>
      <c r="J3231">
        <v>-436.20679999999999</v>
      </c>
      <c r="K3231">
        <v>1.1102399999999999</v>
      </c>
      <c r="L3231">
        <v>214.7133</v>
      </c>
      <c r="M3231">
        <v>0.99875230000000004</v>
      </c>
      <c r="N3231">
        <v>0</v>
      </c>
      <c r="O3231">
        <v>-4.9879670000000001E-2</v>
      </c>
      <c r="P3231">
        <v>0.99284609999999995</v>
      </c>
      <c r="Q3231">
        <v>3.9063510000000003E-2</v>
      </c>
      <c r="R3231">
        <v>-0.112829399999999</v>
      </c>
      <c r="S3231">
        <v>3.0205380000000002</v>
      </c>
      <c r="T3231">
        <v>-0.1077907</v>
      </c>
      <c r="U3231">
        <v>-5.1544189999999997E-2</v>
      </c>
      <c r="V3231">
        <v>6.2973890000000005E-2</v>
      </c>
      <c r="W3231">
        <v>4.174862E-2</v>
      </c>
      <c r="X3231">
        <v>0.99714159999999996</v>
      </c>
      <c r="Y3231">
        <v>-3.277915E-2</v>
      </c>
      <c r="Z3231">
        <v>2.3632179999999998E-3</v>
      </c>
      <c r="AA3231">
        <v>0.99945980000000001</v>
      </c>
      <c r="AB3231">
        <v>40</v>
      </c>
      <c r="AC3231">
        <v>30.707899999999899</v>
      </c>
      <c r="AD3231">
        <v>-1.11023395063199</v>
      </c>
      <c r="AE3231">
        <v>-0.51140000000000896</v>
      </c>
      <c r="AF3231">
        <v>-1.0196085623792399</v>
      </c>
      <c r="AG3231">
        <v>-1.11023395063199</v>
      </c>
      <c r="AH3231">
        <v>30.6551241368478</v>
      </c>
      <c r="AI3231">
        <v>92.073024338929201</v>
      </c>
      <c r="AJ3231">
        <v>91.904991117623794</v>
      </c>
      <c r="AK3231">
        <v>30.692162792660302</v>
      </c>
      <c r="AL3231">
        <v>87.607284901400405</v>
      </c>
      <c r="AM3231">
        <v>86.386318083120301</v>
      </c>
      <c r="AN3231">
        <v>1.00000001427209</v>
      </c>
    </row>
    <row r="3232" spans="1:40" x14ac:dyDescent="0.25">
      <c r="A3232" t="str">
        <f>"20190312154858763"</f>
        <v>20190312154858763</v>
      </c>
      <c r="B3232" t="str">
        <f>"1552376938749138"</f>
        <v>1552376938749138</v>
      </c>
      <c r="C3232" t="s">
        <v>40</v>
      </c>
      <c r="D3232">
        <v>4.5436079999999999</v>
      </c>
      <c r="E3232">
        <v>0.46403810000000001</v>
      </c>
      <c r="F3232" t="s">
        <v>51</v>
      </c>
      <c r="G3232">
        <v>-404.6755</v>
      </c>
      <c r="H3232" s="1">
        <v>6.4058849999999997E-6</v>
      </c>
      <c r="I3232">
        <v>214.24350000000001</v>
      </c>
      <c r="J3232">
        <v>-435.81270000000001</v>
      </c>
      <c r="K3232">
        <v>1.1103889999999901</v>
      </c>
      <c r="L3232">
        <v>214.6951</v>
      </c>
      <c r="M3232">
        <v>0.9988456</v>
      </c>
      <c r="N3232">
        <v>0</v>
      </c>
      <c r="O3232">
        <v>-4.7957859999999998E-2</v>
      </c>
      <c r="P3232">
        <v>0.99301620000000002</v>
      </c>
      <c r="Q3232">
        <v>3.890967E-2</v>
      </c>
      <c r="R3232">
        <v>-0.11137859999999999</v>
      </c>
      <c r="S3232">
        <v>3.0206909999999998</v>
      </c>
      <c r="T3232">
        <v>-0.1063603</v>
      </c>
      <c r="U3232">
        <v>-4.501343E-2</v>
      </c>
      <c r="V3232">
        <v>6.342718E-2</v>
      </c>
      <c r="W3232">
        <v>4.2015879999999999E-2</v>
      </c>
      <c r="X3232">
        <v>0.99710160000000003</v>
      </c>
      <c r="Y3232">
        <v>-3.3019680000000003E-2</v>
      </c>
      <c r="Z3232">
        <v>2.268487E-3</v>
      </c>
      <c r="AA3232">
        <v>0.99945209999999995</v>
      </c>
      <c r="AB3232">
        <v>40</v>
      </c>
      <c r="AC3232">
        <v>31.1372</v>
      </c>
      <c r="AD3232">
        <v>-1.1103825941149901</v>
      </c>
      <c r="AE3232">
        <v>-0.45159999999998401</v>
      </c>
      <c r="AF3232">
        <v>-1.0408753120849601</v>
      </c>
      <c r="AG3232">
        <v>-1.1103825941149901</v>
      </c>
      <c r="AH3232">
        <v>31.083509146602601</v>
      </c>
      <c r="AI3232">
        <v>92.044736974148805</v>
      </c>
      <c r="AJ3232">
        <v>91.917913633325995</v>
      </c>
      <c r="AK3232">
        <v>31.120747288385399</v>
      </c>
      <c r="AL3232">
        <v>87.591958479325299</v>
      </c>
      <c r="AM3232">
        <v>86.360230628581505</v>
      </c>
      <c r="AN3232">
        <v>0.99999997102874205</v>
      </c>
    </row>
    <row r="3233" spans="1:40" x14ac:dyDescent="0.25">
      <c r="A3233" t="str">
        <f>"20190312154858788"</f>
        <v>20190312154858788</v>
      </c>
      <c r="B3233" t="str">
        <f>"1552376938779393"</f>
        <v>1552376938779393</v>
      </c>
      <c r="C3233" t="s">
        <v>40</v>
      </c>
      <c r="D3233">
        <v>4.5863579999999997</v>
      </c>
      <c r="E3233">
        <v>0.46390680000000001</v>
      </c>
      <c r="F3233" t="s">
        <v>51</v>
      </c>
      <c r="G3233">
        <v>-404.4615</v>
      </c>
      <c r="H3233" s="1">
        <v>6.492673E-6</v>
      </c>
      <c r="I3233">
        <v>214.28270000000001</v>
      </c>
      <c r="J3233">
        <v>-435.39460000000003</v>
      </c>
      <c r="K3233">
        <v>1.11056</v>
      </c>
      <c r="L3233">
        <v>214.67660000000001</v>
      </c>
      <c r="M3233">
        <v>0.9989403</v>
      </c>
      <c r="N3233">
        <v>0</v>
      </c>
      <c r="O3233">
        <v>-4.5905880000000003E-2</v>
      </c>
      <c r="P3233">
        <v>0.99316110000000002</v>
      </c>
      <c r="Q3233">
        <v>3.869243E-2</v>
      </c>
      <c r="R3233">
        <v>-0.110157199999999</v>
      </c>
      <c r="S3233">
        <v>3.0208439999999999</v>
      </c>
      <c r="T3233">
        <v>-0.10699119999999999</v>
      </c>
      <c r="U3233">
        <v>-3.9733890000000001E-2</v>
      </c>
      <c r="V3233">
        <v>6.4240720000000001E-2</v>
      </c>
      <c r="W3233">
        <v>4.2370339999999999E-2</v>
      </c>
      <c r="X3233">
        <v>0.99703450000000005</v>
      </c>
      <c r="Y3233">
        <v>-3.271466E-2</v>
      </c>
      <c r="Z3233">
        <v>2.2038880000000002E-3</v>
      </c>
      <c r="AA3233">
        <v>0.99946230000000003</v>
      </c>
      <c r="AB3233">
        <v>40</v>
      </c>
      <c r="AC3233">
        <v>30.9331</v>
      </c>
      <c r="AD3233">
        <v>-1.1105535073270001</v>
      </c>
      <c r="AE3233">
        <v>-0.39390000000000203</v>
      </c>
      <c r="AF3233">
        <v>-1.0252129791531599</v>
      </c>
      <c r="AG3233">
        <v>-1.1105535073270001</v>
      </c>
      <c r="AH3233">
        <v>30.878777065867698</v>
      </c>
      <c r="AI3233">
        <v>92.058618423314996</v>
      </c>
      <c r="AJ3233">
        <v>91.901591094954199</v>
      </c>
      <c r="AK3233">
        <v>30.915744594442799</v>
      </c>
      <c r="AL3233">
        <v>87.571631275821304</v>
      </c>
      <c r="AM3233">
        <v>86.313426138532506</v>
      </c>
      <c r="AN3233">
        <v>0.99999995500404104</v>
      </c>
    </row>
    <row r="3234" spans="1:40" x14ac:dyDescent="0.25">
      <c r="A3234" t="str">
        <f>"20190312154858810"</f>
        <v>20190312154858810</v>
      </c>
      <c r="B3234" t="str">
        <f>"1552376938798913"</f>
        <v>1552376938798913</v>
      </c>
      <c r="C3234" t="s">
        <v>40</v>
      </c>
      <c r="D3234">
        <v>4.7457449999999897</v>
      </c>
      <c r="E3234">
        <v>0.46396890000000002</v>
      </c>
      <c r="F3234" t="s">
        <v>51</v>
      </c>
      <c r="G3234">
        <v>-404.3974</v>
      </c>
      <c r="H3234" s="1">
        <v>6.5142299999999998E-6</v>
      </c>
      <c r="I3234">
        <v>214.316</v>
      </c>
      <c r="J3234">
        <v>-434.98860000000002</v>
      </c>
      <c r="K3234">
        <v>1.1107229999999999</v>
      </c>
      <c r="L3234">
        <v>214.65960000000001</v>
      </c>
      <c r="M3234">
        <v>0.99902789999999997</v>
      </c>
      <c r="N3234">
        <v>0</v>
      </c>
      <c r="O3234">
        <v>-4.390289E-2</v>
      </c>
      <c r="P3234">
        <v>0.99331930000000002</v>
      </c>
      <c r="Q3234">
        <v>3.7910529999999998E-2</v>
      </c>
      <c r="R3234">
        <v>-0.1089941</v>
      </c>
      <c r="S3234">
        <v>3.020966</v>
      </c>
      <c r="T3234">
        <v>-0.10823380000000001</v>
      </c>
      <c r="U3234">
        <v>-3.5140989999999997E-2</v>
      </c>
      <c r="V3234">
        <v>6.5066840000000001E-2</v>
      </c>
      <c r="W3234">
        <v>4.2240750000000001E-2</v>
      </c>
      <c r="X3234">
        <v>0.99698640000000005</v>
      </c>
      <c r="Y3234">
        <v>-3.2231089999999997E-2</v>
      </c>
      <c r="Z3234">
        <v>2.1490839999999999E-3</v>
      </c>
      <c r="AA3234">
        <v>0.99947819999999998</v>
      </c>
      <c r="AB3234">
        <v>40</v>
      </c>
      <c r="AC3234">
        <v>30.591200000000001</v>
      </c>
      <c r="AD3234">
        <v>-1.11071648576999</v>
      </c>
      <c r="AE3234">
        <v>-0.34360000000003699</v>
      </c>
      <c r="AF3234">
        <v>-0.99846788446957901</v>
      </c>
      <c r="AG3234">
        <v>-1.11071648576999</v>
      </c>
      <c r="AH3234">
        <v>30.536537590242698</v>
      </c>
      <c r="AI3234">
        <v>92.082009999978993</v>
      </c>
      <c r="AJ3234">
        <v>91.872760497255001</v>
      </c>
      <c r="AK3234">
        <v>30.573039711948599</v>
      </c>
      <c r="AL3234">
        <v>87.579062824692301</v>
      </c>
      <c r="AM3234">
        <v>86.265971329163094</v>
      </c>
      <c r="AN3234">
        <v>0.99999992820655104</v>
      </c>
    </row>
    <row r="3235" spans="1:40" x14ac:dyDescent="0.25">
      <c r="A3235" t="str">
        <f>"20190312154858831"</f>
        <v>20190312154858831</v>
      </c>
      <c r="B3235" t="str">
        <f>"1552376938819410"</f>
        <v>1552376938819410</v>
      </c>
      <c r="C3235" t="s">
        <v>40</v>
      </c>
      <c r="D3235">
        <v>4.6464749999999997</v>
      </c>
      <c r="E3235">
        <v>0.46545609999999998</v>
      </c>
      <c r="F3235" t="s">
        <v>51</v>
      </c>
      <c r="G3235">
        <v>-405.07229999999998</v>
      </c>
      <c r="H3235" s="1">
        <v>6.2100529999999998E-6</v>
      </c>
      <c r="I3235">
        <v>214.33969999999999</v>
      </c>
      <c r="J3235">
        <v>-434.60570000000001</v>
      </c>
      <c r="K3235">
        <v>1.110857</v>
      </c>
      <c r="L3235">
        <v>214.64429999999999</v>
      </c>
      <c r="M3235">
        <v>0.99910679999999996</v>
      </c>
      <c r="N3235">
        <v>0</v>
      </c>
      <c r="O3235">
        <v>-4.2003980000000003E-2</v>
      </c>
      <c r="P3235">
        <v>0.99346350000000005</v>
      </c>
      <c r="Q3235">
        <v>3.6833100000000001E-2</v>
      </c>
      <c r="R3235">
        <v>-0.1080462</v>
      </c>
      <c r="S3235">
        <v>3.020905</v>
      </c>
      <c r="T3235">
        <v>-0.1121587</v>
      </c>
      <c r="U3235">
        <v>-3.2302860000000003E-2</v>
      </c>
      <c r="V3235">
        <v>6.6007620000000003E-2</v>
      </c>
      <c r="W3235">
        <v>4.1815310000000001E-2</v>
      </c>
      <c r="X3235">
        <v>0.99694260000000001</v>
      </c>
      <c r="Y3235">
        <v>-3.1268520000000001E-2</v>
      </c>
      <c r="Z3235">
        <v>2.1387509999999999E-3</v>
      </c>
      <c r="AA3235">
        <v>0.99950870000000003</v>
      </c>
      <c r="AB3235">
        <v>40</v>
      </c>
      <c r="AC3235">
        <v>29.5334</v>
      </c>
      <c r="AD3235">
        <v>-1.1108507899469999</v>
      </c>
      <c r="AE3235">
        <v>-0.30459999999999299</v>
      </c>
      <c r="AF3235">
        <v>-0.93487987179688703</v>
      </c>
      <c r="AG3235">
        <v>-1.1108507899469999</v>
      </c>
      <c r="AH3235">
        <v>29.478428458646501</v>
      </c>
      <c r="AI3235">
        <v>92.1570017673221</v>
      </c>
      <c r="AJ3235">
        <v>91.816471451991205</v>
      </c>
      <c r="AK3235">
        <v>29.514161588019999</v>
      </c>
      <c r="AL3235">
        <v>87.603460560466999</v>
      </c>
      <c r="AM3235">
        <v>86.211972364461701</v>
      </c>
      <c r="AN3235">
        <v>1.0000000368716</v>
      </c>
    </row>
    <row r="3236" spans="1:40" x14ac:dyDescent="0.25">
      <c r="A3236" t="str">
        <f>"20190312154858853"</f>
        <v>20190312154858853</v>
      </c>
      <c r="B3236" t="str">
        <f>"1552376938839439"</f>
        <v>1552376938839439</v>
      </c>
      <c r="C3236" t="s">
        <v>40</v>
      </c>
      <c r="D3236">
        <v>4.5779670000000001</v>
      </c>
      <c r="E3236">
        <v>0.52522819999999903</v>
      </c>
      <c r="F3236" t="s">
        <v>51</v>
      </c>
      <c r="G3236">
        <v>-407.88380000000001</v>
      </c>
      <c r="H3236" s="1">
        <v>4.974898E-6</v>
      </c>
      <c r="I3236">
        <v>214.2835</v>
      </c>
      <c r="J3236">
        <v>-434.21899999999999</v>
      </c>
      <c r="K3236">
        <v>1.110984</v>
      </c>
      <c r="L3236">
        <v>214.62960000000001</v>
      </c>
      <c r="M3236">
        <v>0.99918189999999996</v>
      </c>
      <c r="N3236">
        <v>0</v>
      </c>
      <c r="O3236">
        <v>-4.0089850000000003E-2</v>
      </c>
      <c r="P3236">
        <v>0.99364090000000005</v>
      </c>
      <c r="Q3236">
        <v>3.5716350000000001E-2</v>
      </c>
      <c r="R3236">
        <v>-0.1067825</v>
      </c>
      <c r="S3236">
        <v>3.0199889999999998</v>
      </c>
      <c r="T3236">
        <v>-0.12554360000000001</v>
      </c>
      <c r="U3236">
        <v>-4.0771479999999999E-2</v>
      </c>
      <c r="V3236">
        <v>6.6647620000000005E-2</v>
      </c>
      <c r="W3236">
        <v>4.1387010000000002E-2</v>
      </c>
      <c r="X3236">
        <v>0.99691779999999997</v>
      </c>
      <c r="Y3236">
        <v>-2.6540790000000002E-2</v>
      </c>
      <c r="Z3236">
        <v>2.2167490000000001E-3</v>
      </c>
      <c r="AA3236">
        <v>0.99964529999999996</v>
      </c>
      <c r="AB3236">
        <v>40</v>
      </c>
      <c r="AC3236">
        <v>26.335199999999901</v>
      </c>
      <c r="AD3236">
        <v>-1.110979025102</v>
      </c>
      <c r="AE3236">
        <v>-0.34610000000000601</v>
      </c>
      <c r="AF3236">
        <v>-0.70870637776831102</v>
      </c>
      <c r="AG3236">
        <v>-1.110979025102</v>
      </c>
      <c r="AH3236">
        <v>26.281139697225999</v>
      </c>
      <c r="AI3236">
        <v>92.419736873186196</v>
      </c>
      <c r="AJ3236">
        <v>91.544683619916498</v>
      </c>
      <c r="AK3236">
        <v>26.314156701464299</v>
      </c>
      <c r="AL3236">
        <v>87.628021386410893</v>
      </c>
      <c r="AM3236">
        <v>86.175257840631701</v>
      </c>
      <c r="AN3236">
        <v>0.99999994490262001</v>
      </c>
    </row>
    <row r="3237" spans="1:40" x14ac:dyDescent="0.25">
      <c r="A3237" t="str">
        <f>"20190312154858874"</f>
        <v>20190312154858874</v>
      </c>
      <c r="B3237" t="str">
        <f>"1552376938868718"</f>
        <v>1552376938868718</v>
      </c>
      <c r="C3237" t="s">
        <v>40</v>
      </c>
      <c r="D3237">
        <v>4.603694</v>
      </c>
      <c r="E3237">
        <v>0.52666659999999998</v>
      </c>
      <c r="F3237" t="s">
        <v>41</v>
      </c>
      <c r="G3237">
        <v>-433.3485</v>
      </c>
      <c r="H3237">
        <v>0.90013120000000002</v>
      </c>
      <c r="I3237">
        <v>214.4873</v>
      </c>
      <c r="J3237">
        <v>-433.83499999999998</v>
      </c>
      <c r="K3237">
        <v>1.111092</v>
      </c>
      <c r="L3237">
        <v>214.61580000000001</v>
      </c>
      <c r="M3237">
        <v>0.99925149999999996</v>
      </c>
      <c r="N3237">
        <v>0</v>
      </c>
      <c r="O3237">
        <v>-3.8208230000000003E-2</v>
      </c>
      <c r="P3237">
        <v>0.99385789999999996</v>
      </c>
      <c r="Q3237">
        <v>3.5147890000000001E-2</v>
      </c>
      <c r="R3237">
        <v>-0.1049349</v>
      </c>
      <c r="S3237">
        <v>2.9927060000000001</v>
      </c>
      <c r="T3237">
        <v>-0.72501059999999995</v>
      </c>
      <c r="U3237">
        <v>-0.48889159999999998</v>
      </c>
      <c r="V3237">
        <v>6.666917E-2</v>
      </c>
      <c r="W3237">
        <v>4.1532800000000002E-2</v>
      </c>
      <c r="X3237">
        <v>0.99691030000000003</v>
      </c>
      <c r="Y3237">
        <v>0.12106509999999999</v>
      </c>
      <c r="Z3237">
        <v>-5.3059509999999997E-3</v>
      </c>
      <c r="AA3237">
        <v>0.99263040000000002</v>
      </c>
      <c r="AB3237">
        <v>40</v>
      </c>
      <c r="AC3237">
        <v>0.48649999999997801</v>
      </c>
      <c r="AD3237">
        <v>-0.210960799999999</v>
      </c>
      <c r="AE3237">
        <v>-0.128500000000002</v>
      </c>
      <c r="AF3237">
        <v>9.3400368743702306E-2</v>
      </c>
      <c r="AG3237">
        <v>-0.210960799999999</v>
      </c>
      <c r="AH3237">
        <v>0.41764446251026999</v>
      </c>
      <c r="AI3237">
        <v>116.240720918587</v>
      </c>
      <c r="AJ3237">
        <v>77.394019725326103</v>
      </c>
      <c r="AK3237">
        <v>0.47713204156039701</v>
      </c>
      <c r="AL3237">
        <v>87.619661055462501</v>
      </c>
      <c r="AM3237">
        <v>86.173996113591301</v>
      </c>
      <c r="AN3237">
        <v>0.99999994897520805</v>
      </c>
    </row>
    <row r="3238" spans="1:40" x14ac:dyDescent="0.25">
      <c r="A3238" t="str">
        <f>"20190312154858897"</f>
        <v>20190312154858897</v>
      </c>
      <c r="B3238" t="str">
        <f>"1552376938889215"</f>
        <v>1552376938889215</v>
      </c>
      <c r="C3238" t="s">
        <v>40</v>
      </c>
      <c r="D3238">
        <v>4.5960999999999999</v>
      </c>
      <c r="E3238">
        <v>0.52695349999999996</v>
      </c>
      <c r="F3238" t="s">
        <v>41</v>
      </c>
      <c r="G3238">
        <v>-432.99149999999997</v>
      </c>
      <c r="H3238">
        <v>0.89946899999999996</v>
      </c>
      <c r="I3238">
        <v>214.4759</v>
      </c>
      <c r="J3238">
        <v>-433.42140000000001</v>
      </c>
      <c r="K3238">
        <v>1.1111930000000001</v>
      </c>
      <c r="L3238">
        <v>214.6018</v>
      </c>
      <c r="M3238">
        <v>0.9993204</v>
      </c>
      <c r="N3238">
        <v>0</v>
      </c>
      <c r="O3238">
        <v>-3.621895E-2</v>
      </c>
      <c r="P3238">
        <v>0.9940504</v>
      </c>
      <c r="Q3238">
        <v>3.5470599999999998E-2</v>
      </c>
      <c r="R3238">
        <v>-0.10298590000000001</v>
      </c>
      <c r="S3238">
        <v>2.9929199999999998</v>
      </c>
      <c r="T3238">
        <v>-0.75112679999999998</v>
      </c>
      <c r="U3238">
        <v>-0.49468990000000002</v>
      </c>
      <c r="V3238">
        <v>6.6694649999999994E-2</v>
      </c>
      <c r="W3238">
        <v>4.2657130000000001E-2</v>
      </c>
      <c r="X3238">
        <v>0.9968612</v>
      </c>
      <c r="Y3238">
        <v>0.124567899999999</v>
      </c>
      <c r="Z3238">
        <v>-6.4078779999999997E-3</v>
      </c>
      <c r="AA3238">
        <v>0.99219040000000003</v>
      </c>
      <c r="AB3238">
        <v>40</v>
      </c>
      <c r="AC3238">
        <v>0.42990000000003098</v>
      </c>
      <c r="AD3238">
        <v>-0.211724</v>
      </c>
      <c r="AE3238">
        <v>-0.12590000000000101</v>
      </c>
      <c r="AF3238">
        <v>9.0115381738180803E-2</v>
      </c>
      <c r="AG3238">
        <v>-0.211724</v>
      </c>
      <c r="AH3238">
        <v>0.35489667349516502</v>
      </c>
      <c r="AI3238">
        <v>120.03777371169301</v>
      </c>
      <c r="AJ3238">
        <v>75.752561768666993</v>
      </c>
      <c r="AK3238">
        <v>0.42296510856068498</v>
      </c>
      <c r="AL3238">
        <v>87.555184731058105</v>
      </c>
      <c r="AM3238">
        <v>86.172350255549006</v>
      </c>
      <c r="AN3238">
        <v>1.00000002957194</v>
      </c>
    </row>
    <row r="3239" spans="1:40" x14ac:dyDescent="0.25">
      <c r="A3239" t="str">
        <f>"20190312154858920"</f>
        <v>20190312154858920</v>
      </c>
      <c r="B3239" t="str">
        <f>"1552376938908734"</f>
        <v>1552376938908734</v>
      </c>
      <c r="C3239" t="s">
        <v>40</v>
      </c>
      <c r="D3239">
        <v>4.6036630000000001</v>
      </c>
      <c r="E3239">
        <v>0.52689790000000003</v>
      </c>
      <c r="F3239" t="s">
        <v>41</v>
      </c>
      <c r="G3239">
        <v>-432.62950000000001</v>
      </c>
      <c r="H3239">
        <v>0.91166320000000001</v>
      </c>
      <c r="I3239">
        <v>214.47139999999999</v>
      </c>
      <c r="J3239">
        <v>-433.03019999999998</v>
      </c>
      <c r="K3239">
        <v>1.1112709999999999</v>
      </c>
      <c r="L3239">
        <v>214.58920000000001</v>
      </c>
      <c r="M3239">
        <v>0.99937940000000003</v>
      </c>
      <c r="N3239">
        <v>0</v>
      </c>
      <c r="O3239">
        <v>-3.4386699999999999E-2</v>
      </c>
      <c r="P3239">
        <v>0.99425730000000001</v>
      </c>
      <c r="Q3239">
        <v>3.5454220000000002E-2</v>
      </c>
      <c r="R3239">
        <v>-0.10097440000000001</v>
      </c>
      <c r="S3239">
        <v>2.9939580000000001</v>
      </c>
      <c r="T3239">
        <v>-0.75434959999999995</v>
      </c>
      <c r="U3239">
        <v>-0.49168400000000001</v>
      </c>
      <c r="V3239">
        <v>6.6504279999999999E-2</v>
      </c>
      <c r="W3239">
        <v>4.3427939999999998E-2</v>
      </c>
      <c r="X3239">
        <v>0.99684059999999997</v>
      </c>
      <c r="Y3239">
        <v>0.1252627</v>
      </c>
      <c r="Z3239">
        <v>-6.9692819999999898E-3</v>
      </c>
      <c r="AA3239">
        <v>0.99209910000000001</v>
      </c>
      <c r="AB3239">
        <v>40</v>
      </c>
      <c r="AC3239">
        <v>0.40069999999997202</v>
      </c>
      <c r="AD3239">
        <v>-0.199607799999999</v>
      </c>
      <c r="AE3239">
        <v>-0.117800000000016</v>
      </c>
      <c r="AF3239">
        <v>8.4622524630255394E-2</v>
      </c>
      <c r="AG3239">
        <v>-0.199607799999999</v>
      </c>
      <c r="AH3239">
        <v>0.32929868936147999</v>
      </c>
      <c r="AI3239">
        <v>120.416569766603</v>
      </c>
      <c r="AJ3239">
        <v>75.588086027284703</v>
      </c>
      <c r="AK3239">
        <v>0.394261172715279</v>
      </c>
      <c r="AL3239">
        <v>87.510979514152396</v>
      </c>
      <c r="AM3239">
        <v>86.183164734700696</v>
      </c>
      <c r="AN3239">
        <v>0.99999999351966096</v>
      </c>
    </row>
    <row r="3240" spans="1:40" x14ac:dyDescent="0.25">
      <c r="A3240" t="str">
        <f>"20190312154858943"</f>
        <v>20190312154858943</v>
      </c>
      <c r="B3240" t="str">
        <f>"1552376938929231"</f>
        <v>1552376938929231</v>
      </c>
      <c r="C3240" t="s">
        <v>40</v>
      </c>
      <c r="D3240">
        <v>4.6096690000000002</v>
      </c>
      <c r="E3240">
        <v>0.52674219999999905</v>
      </c>
      <c r="F3240" t="s">
        <v>41</v>
      </c>
      <c r="G3240">
        <v>-432.26949999999999</v>
      </c>
      <c r="H3240">
        <v>0.91937519999999995</v>
      </c>
      <c r="I3240">
        <v>214.4657</v>
      </c>
      <c r="J3240">
        <v>-432.62310000000002</v>
      </c>
      <c r="K3240">
        <v>1.1113299999999999</v>
      </c>
      <c r="L3240">
        <v>214.57679999999999</v>
      </c>
      <c r="M3240">
        <v>0.9994343</v>
      </c>
      <c r="N3240">
        <v>0</v>
      </c>
      <c r="O3240">
        <v>-3.2541260000000002E-2</v>
      </c>
      <c r="P3240">
        <v>0.99449180000000004</v>
      </c>
      <c r="Q3240">
        <v>3.4540590000000003E-2</v>
      </c>
      <c r="R3240">
        <v>-9.8959389999999994E-2</v>
      </c>
      <c r="S3240">
        <v>2.9950559999999999</v>
      </c>
      <c r="T3240">
        <v>-0.75578389999999995</v>
      </c>
      <c r="U3240">
        <v>-0.48475649999999998</v>
      </c>
      <c r="V3240">
        <v>6.6329260000000001E-2</v>
      </c>
      <c r="W3240">
        <v>4.3337420000000001E-2</v>
      </c>
      <c r="X3240">
        <v>0.99685619999999997</v>
      </c>
      <c r="Y3240">
        <v>0.12474970000000001</v>
      </c>
      <c r="Z3240">
        <v>-7.3723360000000002E-3</v>
      </c>
      <c r="AA3240">
        <v>0.99216090000000001</v>
      </c>
      <c r="AB3240">
        <v>40</v>
      </c>
      <c r="AC3240">
        <v>0.353600000000028</v>
      </c>
      <c r="AD3240">
        <v>-0.19195479999999901</v>
      </c>
      <c r="AE3240">
        <v>-0.111099999999993</v>
      </c>
      <c r="AF3240">
        <v>7.8483524306066796E-2</v>
      </c>
      <c r="AG3240">
        <v>-0.19195479999999901</v>
      </c>
      <c r="AH3240">
        <v>0.28151975466226498</v>
      </c>
      <c r="AI3240">
        <v>123.297136243385</v>
      </c>
      <c r="AJ3240">
        <v>74.422319813072093</v>
      </c>
      <c r="AK3240">
        <v>0.34965651873752202</v>
      </c>
      <c r="AL3240">
        <v>87.516170814548104</v>
      </c>
      <c r="AM3240">
        <v>86.193239363560295</v>
      </c>
      <c r="AN3240">
        <v>0.99999999309142196</v>
      </c>
    </row>
    <row r="3241" spans="1:40" x14ac:dyDescent="0.25">
      <c r="A3241" t="str">
        <f>"20190312154858964"</f>
        <v>20190312154858964</v>
      </c>
      <c r="B3241" t="str">
        <f>"1552376938959017"</f>
        <v>1552376938959017</v>
      </c>
      <c r="C3241" t="s">
        <v>40</v>
      </c>
      <c r="D3241">
        <v>4.6599539999999999</v>
      </c>
      <c r="E3241">
        <v>0.52682980000000001</v>
      </c>
      <c r="F3241" t="s">
        <v>41</v>
      </c>
      <c r="G3241">
        <v>-431.90820000000002</v>
      </c>
      <c r="H3241">
        <v>0.93006599999999995</v>
      </c>
      <c r="I3241">
        <v>214.46270000000001</v>
      </c>
      <c r="J3241">
        <v>-432.23419999999999</v>
      </c>
      <c r="K3241">
        <v>1.111356</v>
      </c>
      <c r="L3241">
        <v>214.56559999999999</v>
      </c>
      <c r="M3241">
        <v>0.99948150000000002</v>
      </c>
      <c r="N3241">
        <v>0</v>
      </c>
      <c r="O3241">
        <v>-3.0844219999999999E-2</v>
      </c>
      <c r="P3241">
        <v>0.99471929999999997</v>
      </c>
      <c r="Q3241">
        <v>3.3001120000000002E-2</v>
      </c>
      <c r="R3241">
        <v>-9.7183720000000001E-2</v>
      </c>
      <c r="S3241">
        <v>2.995514</v>
      </c>
      <c r="T3241">
        <v>-0.75959379999999999</v>
      </c>
      <c r="U3241">
        <v>-0.47732540000000001</v>
      </c>
      <c r="V3241">
        <v>6.6250000000000003E-2</v>
      </c>
      <c r="W3241">
        <v>4.2548030000000001E-2</v>
      </c>
      <c r="X3241">
        <v>0.99689550000000005</v>
      </c>
      <c r="Y3241">
        <v>0.1239538</v>
      </c>
      <c r="Z3241">
        <v>-7.7302219999999897E-3</v>
      </c>
      <c r="AA3241">
        <v>0.99225790000000003</v>
      </c>
      <c r="AB3241">
        <v>40</v>
      </c>
      <c r="AC3241">
        <v>0.32599999999996498</v>
      </c>
      <c r="AD3241">
        <v>-0.18129000000000001</v>
      </c>
      <c r="AE3241">
        <v>-0.102899999999976</v>
      </c>
      <c r="AF3241">
        <v>7.2426663573389796E-2</v>
      </c>
      <c r="AG3241">
        <v>-0.18129000000000001</v>
      </c>
      <c r="AH3241">
        <v>0.25679874363104099</v>
      </c>
      <c r="AI3241">
        <v>124.19434055052299</v>
      </c>
      <c r="AJ3241">
        <v>74.2496016349602</v>
      </c>
      <c r="AK3241">
        <v>0.322579107238603</v>
      </c>
      <c r="AL3241">
        <v>87.561441351728305</v>
      </c>
      <c r="AM3241">
        <v>86.197924345573995</v>
      </c>
      <c r="AN3241">
        <v>1.0000000176385599</v>
      </c>
    </row>
    <row r="3242" spans="1:40" x14ac:dyDescent="0.25">
      <c r="A3242" t="str">
        <f>"20190312154858988"</f>
        <v>20190312154858988</v>
      </c>
      <c r="B3242" t="str">
        <f>"1552376938979513"</f>
        <v>1552376938979513</v>
      </c>
      <c r="C3242" t="s">
        <v>40</v>
      </c>
      <c r="D3242">
        <v>4.6428320000000003</v>
      </c>
      <c r="E3242">
        <v>0.52759809999999996</v>
      </c>
      <c r="F3242" t="s">
        <v>41</v>
      </c>
      <c r="G3242">
        <v>-431.5498</v>
      </c>
      <c r="H3242">
        <v>0.93569139999999995</v>
      </c>
      <c r="I3242">
        <v>214.45769999999999</v>
      </c>
      <c r="J3242">
        <v>-431.82589999999999</v>
      </c>
      <c r="K3242">
        <v>1.1113569999999999</v>
      </c>
      <c r="L3242">
        <v>214.55459999999999</v>
      </c>
      <c r="M3242">
        <v>0.99952540000000001</v>
      </c>
      <c r="N3242">
        <v>0</v>
      </c>
      <c r="O3242">
        <v>-2.9147579999999999E-2</v>
      </c>
      <c r="P3242">
        <v>0.99488540000000003</v>
      </c>
      <c r="Q3242">
        <v>3.1783690000000003E-2</v>
      </c>
      <c r="R3242">
        <v>-9.5880610000000005E-2</v>
      </c>
      <c r="S3242">
        <v>2.9952999999999999</v>
      </c>
      <c r="T3242">
        <v>-0.76878930000000001</v>
      </c>
      <c r="U3242">
        <v>-0.47218320000000003</v>
      </c>
      <c r="V3242">
        <v>6.6644579999999995E-2</v>
      </c>
      <c r="W3242">
        <v>4.2048759999999998E-2</v>
      </c>
      <c r="X3242">
        <v>0.99689039999999995</v>
      </c>
      <c r="Y3242">
        <v>0.1238653</v>
      </c>
      <c r="Z3242">
        <v>-8.2366550000000007E-3</v>
      </c>
      <c r="AA3242">
        <v>0.99226490000000001</v>
      </c>
      <c r="AB3242">
        <v>40</v>
      </c>
      <c r="AC3242">
        <v>0.27609999999998502</v>
      </c>
      <c r="AD3242">
        <v>-0.17566559999999901</v>
      </c>
      <c r="AE3242">
        <v>-9.6900000000005093E-2</v>
      </c>
      <c r="AF3242">
        <v>6.5282472281968096E-2</v>
      </c>
      <c r="AG3242">
        <v>-0.17566559999999901</v>
      </c>
      <c r="AH3242">
        <v>0.20494387018041399</v>
      </c>
      <c r="AI3242">
        <v>129.23874282961799</v>
      </c>
      <c r="AJ3242">
        <v>72.331330427906906</v>
      </c>
      <c r="AK3242">
        <v>0.27770882977523798</v>
      </c>
      <c r="AL3242">
        <v>87.590073079379493</v>
      </c>
      <c r="AM3242">
        <v>86.1753269728828</v>
      </c>
      <c r="AN3242">
        <v>1.00000003393653</v>
      </c>
    </row>
    <row r="3243" spans="1:40" x14ac:dyDescent="0.25">
      <c r="A3243" t="str">
        <f>"20190312154859010"</f>
        <v>20190312154859010</v>
      </c>
      <c r="B3243" t="str">
        <f>"1552376939000008"</f>
        <v>1552376939000008</v>
      </c>
      <c r="C3243" t="s">
        <v>40</v>
      </c>
      <c r="D3243">
        <v>4.6370509999999996</v>
      </c>
      <c r="E3243">
        <v>0.52858640000000001</v>
      </c>
      <c r="F3243" t="s">
        <v>41</v>
      </c>
      <c r="G3243">
        <v>-430.8707</v>
      </c>
      <c r="H3243">
        <v>0.86314449999999998</v>
      </c>
      <c r="I3243">
        <v>214.40299999999999</v>
      </c>
      <c r="J3243">
        <v>-431.42610000000002</v>
      </c>
      <c r="K3243">
        <v>1.111335</v>
      </c>
      <c r="L3243">
        <v>214.5444</v>
      </c>
      <c r="M3243">
        <v>0.99956350000000005</v>
      </c>
      <c r="N3243">
        <v>0</v>
      </c>
      <c r="O3243">
        <v>-2.7571990000000001E-2</v>
      </c>
      <c r="P3243">
        <v>0.99495549999999999</v>
      </c>
      <c r="Q3243">
        <v>3.0968820000000001E-2</v>
      </c>
      <c r="R3243">
        <v>-9.5419870000000004E-2</v>
      </c>
      <c r="S3243">
        <v>2.9945680000000001</v>
      </c>
      <c r="T3243">
        <v>-0.77820590000000001</v>
      </c>
      <c r="U3243">
        <v>-0.47430420000000001</v>
      </c>
      <c r="V3243">
        <v>6.7761669999999996E-2</v>
      </c>
      <c r="W3243">
        <v>4.1865810000000003E-2</v>
      </c>
      <c r="X3243">
        <v>0.99682280000000001</v>
      </c>
      <c r="Y3243">
        <v>0.12595880000000001</v>
      </c>
      <c r="Z3243">
        <v>-9.0016980000000007E-3</v>
      </c>
      <c r="AA3243">
        <v>0.99199459999999995</v>
      </c>
      <c r="AB3243">
        <v>40</v>
      </c>
      <c r="AC3243">
        <v>0.55540000000001999</v>
      </c>
      <c r="AD3243">
        <v>-0.24819050000000001</v>
      </c>
      <c r="AE3243">
        <v>-0.14140000000000399</v>
      </c>
      <c r="AF3243">
        <v>0.10612893829469</v>
      </c>
      <c r="AG3243">
        <v>-0.24819050000000001</v>
      </c>
      <c r="AH3243">
        <v>0.47079660525197597</v>
      </c>
      <c r="AI3243">
        <v>117.21525410629</v>
      </c>
      <c r="AJ3243">
        <v>77.296486021788098</v>
      </c>
      <c r="AK3243">
        <v>0.54268897109725101</v>
      </c>
      <c r="AL3243">
        <v>87.600564600700096</v>
      </c>
      <c r="AM3243">
        <v>86.111150345175702</v>
      </c>
      <c r="AN3243">
        <v>1.0000000422839901</v>
      </c>
    </row>
    <row r="3244" spans="1:40" x14ac:dyDescent="0.25">
      <c r="A3244" t="str">
        <f>"20190312154859033"</f>
        <v>20190312154859033</v>
      </c>
      <c r="B3244" t="str">
        <f>"1552376939029289"</f>
        <v>1552376939029289</v>
      </c>
      <c r="C3244" t="s">
        <v>40</v>
      </c>
      <c r="D3244">
        <v>4.7640169999999999</v>
      </c>
      <c r="E3244">
        <v>0.53063359999999904</v>
      </c>
      <c r="F3244" t="s">
        <v>41</v>
      </c>
      <c r="G3244">
        <v>-430.51260000000002</v>
      </c>
      <c r="H3244">
        <v>0.87159140000000002</v>
      </c>
      <c r="I3244">
        <v>214.39769999999999</v>
      </c>
      <c r="J3244">
        <v>-431.01799999999997</v>
      </c>
      <c r="K3244">
        <v>1.1113040000000001</v>
      </c>
      <c r="L3244">
        <v>214.53469999999999</v>
      </c>
      <c r="M3244">
        <v>0.99959830000000005</v>
      </c>
      <c r="N3244">
        <v>0</v>
      </c>
      <c r="O3244">
        <v>-2.6038289999999999E-2</v>
      </c>
      <c r="P3244">
        <v>0.99499150000000003</v>
      </c>
      <c r="Q3244">
        <v>3.0041910000000002E-2</v>
      </c>
      <c r="R3244">
        <v>-9.5341179999999998E-2</v>
      </c>
      <c r="S3244">
        <v>2.9935299999999998</v>
      </c>
      <c r="T3244">
        <v>-0.7856708</v>
      </c>
      <c r="U3244">
        <v>-0.48092649999999998</v>
      </c>
      <c r="V3244">
        <v>6.9220970000000007E-2</v>
      </c>
      <c r="W3244">
        <v>4.1514210000000003E-2</v>
      </c>
      <c r="X3244">
        <v>0.99673719999999999</v>
      </c>
      <c r="Y3244">
        <v>0.12944539999999999</v>
      </c>
      <c r="Z3244">
        <v>-9.9269240000000002E-3</v>
      </c>
      <c r="AA3244">
        <v>0.99153690000000005</v>
      </c>
      <c r="AB3244">
        <v>40</v>
      </c>
      <c r="AC3244">
        <v>0.50540000000000795</v>
      </c>
      <c r="AD3244">
        <v>-0.2397126</v>
      </c>
      <c r="AE3244">
        <v>-0.13700000000000001</v>
      </c>
      <c r="AF3244">
        <v>0.102345095185954</v>
      </c>
      <c r="AG3244">
        <v>-0.2397126</v>
      </c>
      <c r="AH3244">
        <v>0.42064412177960098</v>
      </c>
      <c r="AI3244">
        <v>118.974026478551</v>
      </c>
      <c r="AJ3244">
        <v>76.3253165371911</v>
      </c>
      <c r="AK3244">
        <v>0.49485162048346798</v>
      </c>
      <c r="AL3244">
        <v>87.620727246611395</v>
      </c>
      <c r="AM3244">
        <v>86.027326207677504</v>
      </c>
      <c r="AN3244">
        <v>1.00000000909175</v>
      </c>
    </row>
    <row r="3245" spans="1:40" x14ac:dyDescent="0.25">
      <c r="A3245" t="str">
        <f>"20190312154859053"</f>
        <v>20190312154859053</v>
      </c>
      <c r="B3245" t="str">
        <f>"1552376939048808"</f>
        <v>1552376939048808</v>
      </c>
      <c r="C3245" t="s">
        <v>40</v>
      </c>
      <c r="D3245">
        <v>4.6775449999999896</v>
      </c>
      <c r="E3245">
        <v>0.53142219999999996</v>
      </c>
      <c r="F3245" t="s">
        <v>41</v>
      </c>
      <c r="G3245">
        <v>-430.15429999999998</v>
      </c>
      <c r="H3245">
        <v>0.88092800000000004</v>
      </c>
      <c r="I3245">
        <v>214.39109999999999</v>
      </c>
      <c r="J3245">
        <v>-430.64870000000002</v>
      </c>
      <c r="K3245">
        <v>1.111267</v>
      </c>
      <c r="L3245">
        <v>214.52629999999999</v>
      </c>
      <c r="M3245">
        <v>0.99962649999999997</v>
      </c>
      <c r="N3245">
        <v>0</v>
      </c>
      <c r="O3245">
        <v>-2.4710900000000001E-2</v>
      </c>
      <c r="P3245">
        <v>0.9949692</v>
      </c>
      <c r="Q3245">
        <v>2.9093730000000002E-2</v>
      </c>
      <c r="R3245">
        <v>-9.5865149999999996E-2</v>
      </c>
      <c r="S3245">
        <v>2.9916079999999998</v>
      </c>
      <c r="T3245">
        <v>-0.79797280000000004</v>
      </c>
      <c r="U3245">
        <v>-0.49642940000000002</v>
      </c>
      <c r="V3245">
        <v>7.1078230000000006E-2</v>
      </c>
      <c r="W3245">
        <v>4.1030160000000003E-2</v>
      </c>
      <c r="X3245">
        <v>0.99662649999999997</v>
      </c>
      <c r="Y3245">
        <v>0.13550519999999999</v>
      </c>
      <c r="Z3245">
        <v>-1.121402E-2</v>
      </c>
      <c r="AA3245">
        <v>0.99071319999999996</v>
      </c>
      <c r="AB3245">
        <v>40</v>
      </c>
      <c r="AC3245">
        <v>0.49440000000004097</v>
      </c>
      <c r="AD3245">
        <v>-0.23033899999999999</v>
      </c>
      <c r="AE3245">
        <v>-0.13519999999999699</v>
      </c>
      <c r="AF3245">
        <v>0.10228391406458801</v>
      </c>
      <c r="AG3245">
        <v>-0.23033899999999999</v>
      </c>
      <c r="AH3245">
        <v>0.413983516535605</v>
      </c>
      <c r="AI3245">
        <v>118.375875872319</v>
      </c>
      <c r="AJ3245">
        <v>76.121735367913701</v>
      </c>
      <c r="AK3245">
        <v>0.48466525144738598</v>
      </c>
      <c r="AL3245">
        <v>87.648484862404004</v>
      </c>
      <c r="AM3245">
        <v>85.920639411136804</v>
      </c>
      <c r="AN3245">
        <v>0.99999998465590401</v>
      </c>
    </row>
    <row r="3246" spans="1:40" x14ac:dyDescent="0.25">
      <c r="A3246" t="str">
        <f>"20190312154859086"</f>
        <v>20190312154859086</v>
      </c>
      <c r="B3246" t="str">
        <f>"1552376939079065"</f>
        <v>1552376939079065</v>
      </c>
      <c r="C3246" t="s">
        <v>40</v>
      </c>
      <c r="D3246">
        <v>4.6439019999999998</v>
      </c>
      <c r="E3246">
        <v>0.53229630000000006</v>
      </c>
      <c r="F3246" t="s">
        <v>41</v>
      </c>
      <c r="G3246">
        <v>-429.7996</v>
      </c>
      <c r="H3246">
        <v>0.88290669999999905</v>
      </c>
      <c r="I3246">
        <v>214.38290000000001</v>
      </c>
      <c r="J3246">
        <v>-430.06790000000001</v>
      </c>
      <c r="K3246">
        <v>1.1111839999999999</v>
      </c>
      <c r="L3246">
        <v>214.51400000000001</v>
      </c>
      <c r="M3246">
        <v>0.99966560000000004</v>
      </c>
      <c r="N3246">
        <v>0</v>
      </c>
      <c r="O3246">
        <v>-2.2739470000000001E-2</v>
      </c>
      <c r="P3246">
        <v>0.99503189999999997</v>
      </c>
      <c r="Q3246">
        <v>2.8311090000000001E-2</v>
      </c>
      <c r="R3246">
        <v>-9.5447030000000002E-2</v>
      </c>
      <c r="S3246">
        <v>2.9901430000000002</v>
      </c>
      <c r="T3246">
        <v>-0.8043013</v>
      </c>
      <c r="U3246">
        <v>-0.50389099999999998</v>
      </c>
      <c r="V3246">
        <v>7.2636919999999994E-2</v>
      </c>
      <c r="W3246">
        <v>4.0870549999999999E-2</v>
      </c>
      <c r="X3246">
        <v>0.99652070000000004</v>
      </c>
      <c r="Y3246">
        <v>0.13966700000000001</v>
      </c>
      <c r="Z3246">
        <v>-1.236634E-2</v>
      </c>
      <c r="AA3246">
        <v>0.99012129999999998</v>
      </c>
      <c r="AB3246">
        <v>40</v>
      </c>
      <c r="AC3246">
        <v>0.26830000000000997</v>
      </c>
      <c r="AD3246">
        <v>-0.22827729999999999</v>
      </c>
      <c r="AE3246">
        <v>-0.13110000000000299</v>
      </c>
      <c r="AF3246">
        <v>7.8872817693628999E-2</v>
      </c>
      <c r="AG3246">
        <v>-0.22827729999999999</v>
      </c>
      <c r="AH3246">
        <v>0.17117845923618499</v>
      </c>
      <c r="AI3246">
        <v>140.45547372028599</v>
      </c>
      <c r="AJ3246">
        <v>65.261466069403596</v>
      </c>
      <c r="AK3246">
        <v>0.29602957955700399</v>
      </c>
      <c r="AL3246">
        <v>87.657637589901199</v>
      </c>
      <c r="AM3246">
        <v>85.831053191884095</v>
      </c>
      <c r="AN3246">
        <v>1.0000000147664301</v>
      </c>
    </row>
    <row r="3247" spans="1:40" x14ac:dyDescent="0.25">
      <c r="A3247" t="str">
        <f>"20190312154859108"</f>
        <v>20190312154859108</v>
      </c>
      <c r="B3247" t="str">
        <f>"1552376939099561"</f>
        <v>1552376939099561</v>
      </c>
      <c r="C3247" t="s">
        <v>40</v>
      </c>
      <c r="D3247">
        <v>3.2036150000000001</v>
      </c>
      <c r="E3247">
        <v>0.53229630000000006</v>
      </c>
      <c r="F3247" t="s">
        <v>41</v>
      </c>
      <c r="G3247">
        <v>-429.1069</v>
      </c>
      <c r="H3247">
        <v>0.84980330000000004</v>
      </c>
      <c r="I3247">
        <v>214.3502</v>
      </c>
      <c r="J3247">
        <v>-429.68029999999999</v>
      </c>
      <c r="K3247">
        <v>1.111124</v>
      </c>
      <c r="L3247">
        <v>214.50640000000001</v>
      </c>
      <c r="M3247">
        <v>0.99968829999999997</v>
      </c>
      <c r="N3247">
        <v>0</v>
      </c>
      <c r="O3247">
        <v>-2.150877E-2</v>
      </c>
      <c r="P3247">
        <v>0.99509460000000005</v>
      </c>
      <c r="Q3247">
        <v>2.835215E-2</v>
      </c>
      <c r="R3247">
        <v>-9.4778109999999999E-2</v>
      </c>
      <c r="S3247">
        <v>2.989258</v>
      </c>
      <c r="T3247">
        <v>-0.81308329999999995</v>
      </c>
      <c r="U3247">
        <v>-0.50907899999999995</v>
      </c>
      <c r="V3247">
        <v>7.3200390000000004E-2</v>
      </c>
      <c r="W3247">
        <v>4.1257420000000003E-2</v>
      </c>
      <c r="X3247">
        <v>0.99646349999999995</v>
      </c>
      <c r="Y3247">
        <v>0.142375799999999</v>
      </c>
      <c r="Z3247">
        <v>-1.318416E-2</v>
      </c>
      <c r="AA3247">
        <v>0.98972490000000002</v>
      </c>
      <c r="AB3247">
        <v>40</v>
      </c>
      <c r="AC3247">
        <v>0.57339999999999203</v>
      </c>
      <c r="AD3247">
        <v>-0.26132069999999902</v>
      </c>
      <c r="AE3247">
        <v>-0.156200000000012</v>
      </c>
      <c r="AF3247">
        <v>0.120526032455404</v>
      </c>
      <c r="AG3247">
        <v>-0.26132069999999902</v>
      </c>
      <c r="AH3247">
        <v>0.48320046472094202</v>
      </c>
      <c r="AI3247">
        <v>117.687561887743</v>
      </c>
      <c r="AJ3247">
        <v>75.994348507646393</v>
      </c>
      <c r="AK3247">
        <v>0.56240352226356605</v>
      </c>
      <c r="AL3247">
        <v>87.6354527992562</v>
      </c>
      <c r="AM3247">
        <v>85.798588265139301</v>
      </c>
      <c r="AN3247">
        <v>0.99999998931672895</v>
      </c>
    </row>
    <row r="3248" spans="1:40" x14ac:dyDescent="0.25">
      <c r="A3248" t="str">
        <f>"20190312154859309"</f>
        <v>20190312154859309</v>
      </c>
      <c r="B3248" t="str">
        <f>"1552376939298666"</f>
        <v>1552376939298666</v>
      </c>
      <c r="C3248" t="s">
        <v>40</v>
      </c>
      <c r="D3248">
        <v>4.6950609999999999</v>
      </c>
      <c r="E3248">
        <v>0.52758099999999997</v>
      </c>
      <c r="F3248" t="s">
        <v>41</v>
      </c>
      <c r="G3248">
        <v>-425.6</v>
      </c>
      <c r="H3248">
        <v>0.84630849999999902</v>
      </c>
      <c r="I3248">
        <v>214.30770000000001</v>
      </c>
      <c r="J3248">
        <v>-426.1628</v>
      </c>
      <c r="K3248">
        <v>1.1106830000000001</v>
      </c>
      <c r="L3248">
        <v>214.45410000000001</v>
      </c>
      <c r="M3248">
        <v>0.99981500000000001</v>
      </c>
      <c r="N3248">
        <v>0</v>
      </c>
      <c r="O3248">
        <v>-1.276646E-2</v>
      </c>
      <c r="P3248">
        <v>0.99557470000000003</v>
      </c>
      <c r="Q3248">
        <v>2.399517E-2</v>
      </c>
      <c r="R3248">
        <v>-9.0858949999999994E-2</v>
      </c>
      <c r="S3248">
        <v>2.9904169999999999</v>
      </c>
      <c r="T3248">
        <v>-0.83261319999999905</v>
      </c>
      <c r="U3248">
        <v>-0.47502139999999998</v>
      </c>
      <c r="V3248">
        <v>7.8053040000000004E-2</v>
      </c>
      <c r="W3248">
        <v>3.8519209999999998E-2</v>
      </c>
      <c r="X3248">
        <v>0.9962048</v>
      </c>
      <c r="Y3248">
        <v>0.13955479999999901</v>
      </c>
      <c r="Z3248">
        <v>-1.548589E-2</v>
      </c>
      <c r="AA3248">
        <v>0.99009320000000001</v>
      </c>
      <c r="AB3248">
        <v>39</v>
      </c>
      <c r="AC3248">
        <v>0.56279999999998098</v>
      </c>
      <c r="AD3248">
        <v>-0.26437450000000001</v>
      </c>
      <c r="AE3248">
        <v>-0.146399999999999</v>
      </c>
      <c r="AF3248">
        <v>0.115359939277691</v>
      </c>
      <c r="AG3248">
        <v>-0.26437450000000001</v>
      </c>
      <c r="AH3248">
        <v>0.46791529401849802</v>
      </c>
      <c r="AI3248">
        <v>118.748250930475</v>
      </c>
      <c r="AJ3248">
        <v>76.150478061379403</v>
      </c>
      <c r="AK3248">
        <v>0.54967855535469101</v>
      </c>
      <c r="AL3248">
        <v>87.792465721043598</v>
      </c>
      <c r="AM3248">
        <v>85.520005301036406</v>
      </c>
      <c r="AN3248">
        <v>1.0000000050676501</v>
      </c>
    </row>
    <row r="3249" spans="1:40" x14ac:dyDescent="0.25">
      <c r="A3249" t="str">
        <f>"20190312154859331"</f>
        <v>20190312154859331</v>
      </c>
      <c r="B3249" t="str">
        <f>"1552376939328922"</f>
        <v>1552376939328922</v>
      </c>
      <c r="C3249" t="s">
        <v>40</v>
      </c>
      <c r="D3249">
        <v>4.5856450000000004</v>
      </c>
      <c r="E3249">
        <v>0.49297370000000001</v>
      </c>
      <c r="F3249" t="s">
        <v>41</v>
      </c>
      <c r="G3249">
        <v>-425.24579999999997</v>
      </c>
      <c r="H3249">
        <v>0.86020869999999905</v>
      </c>
      <c r="I3249">
        <v>214.3143</v>
      </c>
      <c r="J3249">
        <v>-425.77109999999999</v>
      </c>
      <c r="K3249">
        <v>1.1106499999999999</v>
      </c>
      <c r="L3249">
        <v>214.44980000000001</v>
      </c>
      <c r="M3249">
        <v>0.99982329999999997</v>
      </c>
      <c r="N3249">
        <v>0</v>
      </c>
      <c r="O3249">
        <v>-1.199248E-2</v>
      </c>
      <c r="P3249">
        <v>0.99564569999999997</v>
      </c>
      <c r="Q3249">
        <v>2.3169220000000001E-2</v>
      </c>
      <c r="R3249">
        <v>-9.0292109999999995E-2</v>
      </c>
      <c r="S3249">
        <v>2.9915159999999998</v>
      </c>
      <c r="T3249">
        <v>-0.81714799999999999</v>
      </c>
      <c r="U3249">
        <v>-0.45494079999999898</v>
      </c>
      <c r="V3249">
        <v>7.8262029999999996E-2</v>
      </c>
      <c r="W3249">
        <v>3.7769690000000002E-2</v>
      </c>
      <c r="X3249">
        <v>0.99621709999999997</v>
      </c>
      <c r="Y3249">
        <v>0.1341078</v>
      </c>
      <c r="Z3249">
        <v>-1.4690160000000001E-2</v>
      </c>
      <c r="AA3249">
        <v>0.99085780000000001</v>
      </c>
      <c r="AB3249">
        <v>39</v>
      </c>
      <c r="AC3249">
        <v>0.52530000000001498</v>
      </c>
      <c r="AD3249">
        <v>-0.25044129999999998</v>
      </c>
      <c r="AE3249">
        <v>-0.135500000000007</v>
      </c>
      <c r="AF3249">
        <v>0.10649408508680799</v>
      </c>
      <c r="AG3249">
        <v>-0.25044129999999998</v>
      </c>
      <c r="AH3249">
        <v>0.434324735116775</v>
      </c>
      <c r="AI3249">
        <v>119.250275360351</v>
      </c>
      <c r="AJ3249">
        <v>76.223180724828595</v>
      </c>
      <c r="AK3249">
        <v>0.51254249622682402</v>
      </c>
      <c r="AL3249">
        <v>87.835441325221296</v>
      </c>
      <c r="AM3249">
        <v>85.508114204476996</v>
      </c>
      <c r="AN3249">
        <v>1.0000000025774101</v>
      </c>
    </row>
    <row r="3250" spans="1:40" x14ac:dyDescent="0.25">
      <c r="A3250" t="str">
        <f>"20190312154859354"</f>
        <v>20190312154859354</v>
      </c>
      <c r="B3250" t="str">
        <f>"1552376939349418"</f>
        <v>1552376939349418</v>
      </c>
      <c r="C3250" t="s">
        <v>40</v>
      </c>
      <c r="D3250">
        <v>4.6128559999999998</v>
      </c>
      <c r="E3250">
        <v>0.49349340000000003</v>
      </c>
      <c r="F3250" t="s">
        <v>41</v>
      </c>
      <c r="G3250">
        <v>-424.81950000000001</v>
      </c>
      <c r="H3250">
        <v>1.0271319999999999</v>
      </c>
      <c r="I3250">
        <v>214.38589999999999</v>
      </c>
      <c r="J3250">
        <v>-425.38330000000002</v>
      </c>
      <c r="K3250">
        <v>1.1106210000000001</v>
      </c>
      <c r="L3250">
        <v>214.44589999999999</v>
      </c>
      <c r="M3250">
        <v>0.99983080000000002</v>
      </c>
      <c r="N3250">
        <v>0</v>
      </c>
      <c r="O3250">
        <v>-1.124792E-2</v>
      </c>
      <c r="P3250">
        <v>0.99569490000000005</v>
      </c>
      <c r="Q3250">
        <v>2.277264E-2</v>
      </c>
      <c r="R3250">
        <v>-8.9849709999999999E-2</v>
      </c>
      <c r="S3250">
        <v>3.0010680000000001</v>
      </c>
      <c r="T3250">
        <v>-0.26346249999999999</v>
      </c>
      <c r="U3250">
        <v>-0.2009735</v>
      </c>
      <c r="V3250">
        <v>7.8565159999999995E-2</v>
      </c>
      <c r="W3250">
        <v>3.743805E-2</v>
      </c>
      <c r="X3250">
        <v>0.99620569999999997</v>
      </c>
      <c r="Y3250">
        <v>5.5420369999999997E-2</v>
      </c>
      <c r="Z3250">
        <v>-1.440841E-3</v>
      </c>
      <c r="AA3250">
        <v>0.99846210000000002</v>
      </c>
      <c r="AB3250">
        <v>39</v>
      </c>
      <c r="AC3250">
        <v>0.56380000000001396</v>
      </c>
      <c r="AD3250">
        <v>-8.3488999999999897E-2</v>
      </c>
      <c r="AE3250">
        <v>-6.0000000000002197E-2</v>
      </c>
      <c r="AF3250">
        <v>5.2515270806267202E-2</v>
      </c>
      <c r="AG3250">
        <v>-8.3488999999999897E-2</v>
      </c>
      <c r="AH3250">
        <v>0.55246032823372404</v>
      </c>
      <c r="AI3250">
        <v>98.5556433676865</v>
      </c>
      <c r="AJ3250">
        <v>84.569945794221596</v>
      </c>
      <c r="AK3250">
        <v>0.56119576001692095</v>
      </c>
      <c r="AL3250">
        <v>87.854456221414594</v>
      </c>
      <c r="AM3250">
        <v>85.490736142812096</v>
      </c>
      <c r="AN3250">
        <v>0.99999994433305694</v>
      </c>
    </row>
    <row r="3251" spans="1:40" x14ac:dyDescent="0.25">
      <c r="A3251" t="str">
        <f>"20190312154859376"</f>
        <v>20190312154859376</v>
      </c>
      <c r="B3251" t="str">
        <f>"1552376939368936"</f>
        <v>1552376939368936</v>
      </c>
      <c r="C3251" t="s">
        <v>40</v>
      </c>
      <c r="D3251">
        <v>4.6309250000000004</v>
      </c>
      <c r="E3251">
        <v>0.49374489999999999</v>
      </c>
      <c r="F3251" t="s">
        <v>41</v>
      </c>
      <c r="G3251">
        <v>-424.46379999999999</v>
      </c>
      <c r="H3251">
        <v>1.0428839999999999</v>
      </c>
      <c r="I3251">
        <v>214.38239999999999</v>
      </c>
      <c r="J3251">
        <v>-424.99930000000001</v>
      </c>
      <c r="K3251">
        <v>1.1106039999999999</v>
      </c>
      <c r="L3251">
        <v>214.44229999999999</v>
      </c>
      <c r="M3251">
        <v>0.9998378</v>
      </c>
      <c r="N3251">
        <v>0</v>
      </c>
      <c r="O3251">
        <v>-1.0531169999999999E-2</v>
      </c>
      <c r="P3251">
        <v>0.99575049999999998</v>
      </c>
      <c r="Q3251">
        <v>2.2926169999999999E-2</v>
      </c>
      <c r="R3251">
        <v>-8.9193300000000003E-2</v>
      </c>
      <c r="S3251">
        <v>2.9994809999999998</v>
      </c>
      <c r="T3251">
        <v>-0.22112660000000001</v>
      </c>
      <c r="U3251">
        <v>-0.2055054</v>
      </c>
      <c r="V3251">
        <v>7.8624879999999994E-2</v>
      </c>
      <c r="W3251">
        <v>3.7645810000000002E-2</v>
      </c>
      <c r="X3251">
        <v>0.9961932</v>
      </c>
      <c r="Y3251">
        <v>5.771453E-2</v>
      </c>
      <c r="Z3251">
        <v>-1.3476229999999901E-3</v>
      </c>
      <c r="AA3251">
        <v>0.9983322</v>
      </c>
      <c r="AB3251">
        <v>39</v>
      </c>
      <c r="AC3251">
        <v>0.53550000000001297</v>
      </c>
      <c r="AD3251">
        <v>-6.7720000000000197E-2</v>
      </c>
      <c r="AE3251">
        <v>-5.9899999999998899E-2</v>
      </c>
      <c r="AF3251">
        <v>5.3412985552388097E-2</v>
      </c>
      <c r="AG3251">
        <v>-6.7720000000000197E-2</v>
      </c>
      <c r="AH3251">
        <v>0.52776522574683804</v>
      </c>
      <c r="AI3251">
        <v>97.275169630922207</v>
      </c>
      <c r="AJ3251">
        <v>84.221002850448997</v>
      </c>
      <c r="AK3251">
        <v>0.53476637790088399</v>
      </c>
      <c r="AL3251">
        <v>87.842544140442499</v>
      </c>
      <c r="AM3251">
        <v>85.487266262959295</v>
      </c>
      <c r="AN3251">
        <v>0.99999998524590505</v>
      </c>
    </row>
    <row r="3252" spans="1:40" x14ac:dyDescent="0.25">
      <c r="A3252" t="str">
        <f>"20190312154859400"</f>
        <v>20190312154859400</v>
      </c>
      <c r="B3252" t="str">
        <f>"1552376939389433"</f>
        <v>1552376939389433</v>
      </c>
      <c r="C3252" t="s">
        <v>40</v>
      </c>
      <c r="D3252">
        <v>4.6410099999999996</v>
      </c>
      <c r="E3252">
        <v>0.4930987</v>
      </c>
      <c r="F3252" t="s">
        <v>41</v>
      </c>
      <c r="G3252">
        <v>-424.11020000000002</v>
      </c>
      <c r="H3252">
        <v>1.0497749999999999</v>
      </c>
      <c r="I3252">
        <v>214.38120000000001</v>
      </c>
      <c r="J3252">
        <v>-424.58710000000002</v>
      </c>
      <c r="K3252">
        <v>1.1105929999999999</v>
      </c>
      <c r="L3252">
        <v>214.43870000000001</v>
      </c>
      <c r="M3252">
        <v>0.99984470000000003</v>
      </c>
      <c r="N3252">
        <v>0</v>
      </c>
      <c r="O3252">
        <v>-9.7833099999999999E-3</v>
      </c>
      <c r="P3252">
        <v>0.99579499999999999</v>
      </c>
      <c r="Q3252">
        <v>2.360168E-2</v>
      </c>
      <c r="R3252">
        <v>-8.8519319999999999E-2</v>
      </c>
      <c r="S3252">
        <v>2.9991150000000002</v>
      </c>
      <c r="T3252">
        <v>-0.2052283</v>
      </c>
      <c r="U3252">
        <v>-0.20594789999999999</v>
      </c>
      <c r="V3252">
        <v>7.8697610000000001E-2</v>
      </c>
      <c r="W3252">
        <v>3.8369599999999997E-2</v>
      </c>
      <c r="X3252">
        <v>0.99615989999999999</v>
      </c>
      <c r="Y3252">
        <v>5.8629889999999997E-2</v>
      </c>
      <c r="Z3252">
        <v>-1.333409E-3</v>
      </c>
      <c r="AA3252">
        <v>0.99827889999999997</v>
      </c>
      <c r="AB3252">
        <v>39</v>
      </c>
      <c r="AC3252">
        <v>0.47689999999999999</v>
      </c>
      <c r="AD3252">
        <v>-6.0817999999999997E-2</v>
      </c>
      <c r="AE3252">
        <v>-5.7500000000004499E-2</v>
      </c>
      <c r="AF3252">
        <v>5.1997549427031199E-2</v>
      </c>
      <c r="AG3252">
        <v>-6.0817999999999997E-2</v>
      </c>
      <c r="AH3252">
        <v>0.46990702208959301</v>
      </c>
      <c r="AI3252">
        <v>97.330295797962293</v>
      </c>
      <c r="AJ3252">
        <v>83.685625546078796</v>
      </c>
      <c r="AK3252">
        <v>0.47667093857243498</v>
      </c>
      <c r="AL3252">
        <v>87.801044168100304</v>
      </c>
      <c r="AM3252">
        <v>85.482958769027206</v>
      </c>
      <c r="AN3252">
        <v>1.0000000431959399</v>
      </c>
    </row>
    <row r="3253" spans="1:40" x14ac:dyDescent="0.25">
      <c r="A3253" t="str">
        <f>"20190312154859422"</f>
        <v>20190312154859422</v>
      </c>
      <c r="B3253" t="str">
        <f>"1552376939408953"</f>
        <v>1552376939408953</v>
      </c>
      <c r="C3253" t="s">
        <v>40</v>
      </c>
      <c r="D3253">
        <v>4.6614529999999998</v>
      </c>
      <c r="E3253">
        <v>0.49262270000000002</v>
      </c>
      <c r="F3253" t="s">
        <v>51</v>
      </c>
      <c r="G3253">
        <v>-407.7115</v>
      </c>
      <c r="H3253" s="1">
        <v>5.2507959999999997E-6</v>
      </c>
      <c r="I3253">
        <v>213.31800000000001</v>
      </c>
      <c r="J3253">
        <v>-424.20260000000002</v>
      </c>
      <c r="K3253">
        <v>1.1105769999999999</v>
      </c>
      <c r="L3253">
        <v>214.43559999999999</v>
      </c>
      <c r="M3253">
        <v>0.99985040000000003</v>
      </c>
      <c r="N3253">
        <v>0</v>
      </c>
      <c r="O3253">
        <v>-9.1042209999999991E-3</v>
      </c>
      <c r="P3253">
        <v>0.99586980000000003</v>
      </c>
      <c r="Q3253">
        <v>2.3656960000000001E-2</v>
      </c>
      <c r="R3253">
        <v>-8.7657150000000003E-2</v>
      </c>
      <c r="S3253">
        <v>2.9996339999999999</v>
      </c>
      <c r="T3253">
        <v>-0.1974069</v>
      </c>
      <c r="U3253">
        <v>-0.19920350000000001</v>
      </c>
      <c r="V3253">
        <v>7.8514150000000005E-2</v>
      </c>
      <c r="W3253">
        <v>3.846252E-2</v>
      </c>
      <c r="X3253">
        <v>0.99617080000000002</v>
      </c>
      <c r="Y3253">
        <v>5.7072100000000001E-2</v>
      </c>
      <c r="Z3253">
        <v>-1.276019E-3</v>
      </c>
      <c r="AA3253">
        <v>0.99836919999999996</v>
      </c>
      <c r="AB3253">
        <v>39</v>
      </c>
      <c r="AC3253">
        <v>16.491099999999999</v>
      </c>
      <c r="AD3253">
        <v>-1.1105717492039999</v>
      </c>
      <c r="AE3253">
        <v>-1.1176000000000099</v>
      </c>
      <c r="AF3253">
        <v>0.96305117608769697</v>
      </c>
      <c r="AG3253">
        <v>-1.1105717492039999</v>
      </c>
      <c r="AH3253">
        <v>16.426436196659999</v>
      </c>
      <c r="AI3253">
        <v>93.861203078217997</v>
      </c>
      <c r="AJ3253">
        <v>86.644696631407797</v>
      </c>
      <c r="AK3253">
        <v>16.492078198360499</v>
      </c>
      <c r="AL3253">
        <v>87.795716326606097</v>
      </c>
      <c r="AM3253">
        <v>85.493494583923194</v>
      </c>
      <c r="AN3253">
        <v>1.0000000499838</v>
      </c>
    </row>
    <row r="3254" spans="1:40" x14ac:dyDescent="0.25">
      <c r="A3254" t="str">
        <f>"20190312154859446"</f>
        <v>20190312154859446</v>
      </c>
      <c r="B3254" t="str">
        <f>"1552376939439209"</f>
        <v>1552376939439209</v>
      </c>
      <c r="C3254" t="s">
        <v>40</v>
      </c>
      <c r="D3254">
        <v>4.6793449999999996</v>
      </c>
      <c r="E3254">
        <v>0.49219259999999898</v>
      </c>
      <c r="F3254" t="s">
        <v>51</v>
      </c>
      <c r="G3254">
        <v>-407.06189999999998</v>
      </c>
      <c r="H3254" s="1">
        <v>5.5353829999999997E-6</v>
      </c>
      <c r="I3254">
        <v>213.3349</v>
      </c>
      <c r="J3254">
        <v>-423.79790000000003</v>
      </c>
      <c r="K3254">
        <v>1.1105609999999999</v>
      </c>
      <c r="L3254">
        <v>214.4325</v>
      </c>
      <c r="M3254">
        <v>0.99985610000000003</v>
      </c>
      <c r="N3254">
        <v>0</v>
      </c>
      <c r="O3254">
        <v>-8.4073280000000004E-3</v>
      </c>
      <c r="P3254">
        <v>0.99590029999999996</v>
      </c>
      <c r="Q3254">
        <v>2.3488129999999999E-2</v>
      </c>
      <c r="R3254">
        <v>-8.7358580000000005E-2</v>
      </c>
      <c r="S3254">
        <v>3.0000610000000001</v>
      </c>
      <c r="T3254">
        <v>-0.194378</v>
      </c>
      <c r="U3254">
        <v>-0.19264220000000001</v>
      </c>
      <c r="V3254">
        <v>7.8912679999999999E-2</v>
      </c>
      <c r="W3254">
        <v>3.8327199999999999E-2</v>
      </c>
      <c r="X3254">
        <v>0.99614449999999999</v>
      </c>
      <c r="Y3254">
        <v>5.5589060000000003E-2</v>
      </c>
      <c r="Z3254">
        <v>-1.253503E-3</v>
      </c>
      <c r="AA3254">
        <v>0.99845300000000003</v>
      </c>
      <c r="AB3254">
        <v>39</v>
      </c>
      <c r="AC3254">
        <v>16.736000000000001</v>
      </c>
      <c r="AD3254">
        <v>-1.1105554646169999</v>
      </c>
      <c r="AE3254">
        <v>-1.0975999999999999</v>
      </c>
      <c r="AF3254">
        <v>0.95266399354258102</v>
      </c>
      <c r="AG3254">
        <v>-1.1105554646169999</v>
      </c>
      <c r="AH3254">
        <v>16.671542048439001</v>
      </c>
      <c r="AI3254">
        <v>93.804872818712397</v>
      </c>
      <c r="AJ3254">
        <v>86.729496840226403</v>
      </c>
      <c r="AK3254">
        <v>16.7356271587728</v>
      </c>
      <c r="AL3254">
        <v>87.803475257551199</v>
      </c>
      <c r="AM3254">
        <v>85.4705958663872</v>
      </c>
      <c r="AN3254">
        <v>1.0000000251024299</v>
      </c>
    </row>
    <row r="3255" spans="1:40" x14ac:dyDescent="0.25">
      <c r="A3255" t="str">
        <f>"20190312154859466"</f>
        <v>20190312154859466</v>
      </c>
      <c r="B3255" t="str">
        <f>"1552376939458729"</f>
        <v>1552376939458729</v>
      </c>
      <c r="C3255" t="s">
        <v>40</v>
      </c>
      <c r="D3255">
        <v>4.6899309999999996</v>
      </c>
      <c r="E3255">
        <v>0.49190810000000001</v>
      </c>
      <c r="F3255" t="s">
        <v>41</v>
      </c>
      <c r="G3255">
        <v>-422.7303</v>
      </c>
      <c r="H3255">
        <v>1.0432889999999999</v>
      </c>
      <c r="I3255">
        <v>214.36519999999999</v>
      </c>
      <c r="J3255">
        <v>-423.43619999999999</v>
      </c>
      <c r="K3255">
        <v>1.1105499999999999</v>
      </c>
      <c r="L3255">
        <v>214.43010000000001</v>
      </c>
      <c r="M3255">
        <v>0.99986039999999998</v>
      </c>
      <c r="N3255">
        <v>0</v>
      </c>
      <c r="O3255">
        <v>-7.7971780000000001E-3</v>
      </c>
      <c r="P3255">
        <v>0.99590849999999997</v>
      </c>
      <c r="Q3255">
        <v>2.424896E-2</v>
      </c>
      <c r="R3255">
        <v>-8.705367E-2</v>
      </c>
      <c r="S3255">
        <v>3.0002140000000002</v>
      </c>
      <c r="T3255">
        <v>-0.18916259999999999</v>
      </c>
      <c r="U3255">
        <v>-0.18849179999999999</v>
      </c>
      <c r="V3255">
        <v>7.9216670000000003E-2</v>
      </c>
      <c r="W3255">
        <v>3.9112899999999999E-2</v>
      </c>
      <c r="X3255">
        <v>0.99608980000000003</v>
      </c>
      <c r="Y3255">
        <v>5.4824909999999998E-2</v>
      </c>
      <c r="Z3255">
        <v>-1.2342779999999999E-3</v>
      </c>
      <c r="AA3255">
        <v>0.99849520000000003</v>
      </c>
      <c r="AB3255">
        <v>39</v>
      </c>
      <c r="AC3255">
        <v>0.70589999999998498</v>
      </c>
      <c r="AD3255">
        <v>-6.7261000000000001E-2</v>
      </c>
      <c r="AE3255">
        <v>-6.4900000000022801E-2</v>
      </c>
      <c r="AF3255">
        <v>5.8863453131853302E-2</v>
      </c>
      <c r="AG3255">
        <v>-6.7261000000000001E-2</v>
      </c>
      <c r="AH3255">
        <v>0.70008182975561095</v>
      </c>
      <c r="AI3255">
        <v>95.468720963930906</v>
      </c>
      <c r="AJ3255">
        <v>85.193828577117102</v>
      </c>
      <c r="AK3255">
        <v>0.70576449088174598</v>
      </c>
      <c r="AL3255">
        <v>87.758424111481204</v>
      </c>
      <c r="AM3255">
        <v>85.452971931153499</v>
      </c>
      <c r="AN3255">
        <v>0.99999999470816903</v>
      </c>
    </row>
    <row r="3256" spans="1:40" x14ac:dyDescent="0.25">
      <c r="A3256" t="str">
        <f>"20190312154859488"</f>
        <v>20190312154859488</v>
      </c>
      <c r="B3256" t="str">
        <f>"1552376939479226"</f>
        <v>1552376939479226</v>
      </c>
      <c r="C3256" t="s">
        <v>40</v>
      </c>
      <c r="D3256">
        <v>4.6804350000000001</v>
      </c>
      <c r="E3256">
        <v>0.4917434</v>
      </c>
      <c r="F3256" t="s">
        <v>41</v>
      </c>
      <c r="G3256">
        <v>-422.3827</v>
      </c>
      <c r="H3256">
        <v>1.045757</v>
      </c>
      <c r="I3256">
        <v>214.3647</v>
      </c>
      <c r="J3256">
        <v>-423.0557</v>
      </c>
      <c r="K3256">
        <v>1.1105499999999999</v>
      </c>
      <c r="L3256">
        <v>214.42769999999999</v>
      </c>
      <c r="M3256">
        <v>0.9998648</v>
      </c>
      <c r="N3256">
        <v>0</v>
      </c>
      <c r="O3256">
        <v>-7.1659849999999997E-3</v>
      </c>
      <c r="P3256">
        <v>0.99592009999999997</v>
      </c>
      <c r="Q3256">
        <v>2.458987E-2</v>
      </c>
      <c r="R3256">
        <v>-8.6826490000000006E-2</v>
      </c>
      <c r="S3256">
        <v>3.0006409999999999</v>
      </c>
      <c r="T3256">
        <v>-0.1846662</v>
      </c>
      <c r="U3256">
        <v>-0.1855011</v>
      </c>
      <c r="V3256">
        <v>7.9619460000000003E-2</v>
      </c>
      <c r="W3256">
        <v>3.9476450000000003E-2</v>
      </c>
      <c r="X3256">
        <v>0.99604329999999996</v>
      </c>
      <c r="Y3256">
        <v>5.4458880000000001E-2</v>
      </c>
      <c r="Z3256">
        <v>-1.232389E-3</v>
      </c>
      <c r="AA3256">
        <v>0.99851520000000005</v>
      </c>
      <c r="AB3256">
        <v>39</v>
      </c>
      <c r="AC3256">
        <v>0.67300000000000104</v>
      </c>
      <c r="AD3256">
        <v>-6.4792999999999795E-2</v>
      </c>
      <c r="AE3256">
        <v>-6.2999999999988093E-2</v>
      </c>
      <c r="AF3256">
        <v>5.7645479804717799E-2</v>
      </c>
      <c r="AG3256">
        <v>-6.4792999999999795E-2</v>
      </c>
      <c r="AH3256">
        <v>0.66730281951044101</v>
      </c>
      <c r="AI3256">
        <v>95.525404457734794</v>
      </c>
      <c r="AJ3256">
        <v>85.062716101421699</v>
      </c>
      <c r="AK3256">
        <v>0.67291469527533798</v>
      </c>
      <c r="AL3256">
        <v>87.737578033868502</v>
      </c>
      <c r="AM3256">
        <v>85.429737072134699</v>
      </c>
      <c r="AN3256">
        <v>0.99999995199508995</v>
      </c>
    </row>
    <row r="3257" spans="1:40" x14ac:dyDescent="0.25">
      <c r="A3257" t="str">
        <f>"20190312154859511"</f>
        <v>20190312154859511</v>
      </c>
      <c r="B3257" t="str">
        <f>"1552376939498745"</f>
        <v>1552376939498745</v>
      </c>
      <c r="C3257" t="s">
        <v>40</v>
      </c>
      <c r="D3257">
        <v>4.7278419999999999</v>
      </c>
      <c r="E3257">
        <v>0.49160350000000003</v>
      </c>
      <c r="F3257" t="s">
        <v>41</v>
      </c>
      <c r="G3257">
        <v>-422.03469999999999</v>
      </c>
      <c r="H3257">
        <v>1.048651</v>
      </c>
      <c r="I3257">
        <v>214.36529999999999</v>
      </c>
      <c r="J3257">
        <v>-422.66539999999998</v>
      </c>
      <c r="K3257">
        <v>1.1105499999999999</v>
      </c>
      <c r="L3257">
        <v>214.4256</v>
      </c>
      <c r="M3257">
        <v>0.9998688</v>
      </c>
      <c r="N3257">
        <v>0</v>
      </c>
      <c r="O3257">
        <v>-6.5279329999999997E-3</v>
      </c>
      <c r="P3257">
        <v>0.99591189999999996</v>
      </c>
      <c r="Q3257">
        <v>2.4756130000000001E-2</v>
      </c>
      <c r="R3257">
        <v>-8.6872099999999994E-2</v>
      </c>
      <c r="S3257">
        <v>3.0007929999999998</v>
      </c>
      <c r="T3257">
        <v>-0.1819819</v>
      </c>
      <c r="U3257">
        <v>-0.18333440000000001</v>
      </c>
      <c r="V3257">
        <v>8.0302040000000005E-2</v>
      </c>
      <c r="W3257">
        <v>3.9662280000000001E-2</v>
      </c>
      <c r="X3257">
        <v>0.99598120000000001</v>
      </c>
      <c r="Y3257">
        <v>5.4376220000000003E-2</v>
      </c>
      <c r="Z3257">
        <v>-1.2505939999999901E-3</v>
      </c>
      <c r="AA3257">
        <v>0.99851970000000001</v>
      </c>
      <c r="AB3257">
        <v>39</v>
      </c>
      <c r="AC3257">
        <v>0.63069999999999005</v>
      </c>
      <c r="AD3257">
        <v>-6.1898999999999899E-2</v>
      </c>
      <c r="AE3257">
        <v>-6.0300000000012198E-2</v>
      </c>
      <c r="AF3257">
        <v>5.5649924045517003E-2</v>
      </c>
      <c r="AG3257">
        <v>-6.1898999999999899E-2</v>
      </c>
      <c r="AH3257">
        <v>0.62511361112768304</v>
      </c>
      <c r="AI3257">
        <v>95.6328837898144</v>
      </c>
      <c r="AJ3257">
        <v>84.912728905744203</v>
      </c>
      <c r="AK3257">
        <v>0.63063097534482404</v>
      </c>
      <c r="AL3257">
        <v>87.726922596333296</v>
      </c>
      <c r="AM3257">
        <v>85.390438034009307</v>
      </c>
      <c r="AN3257">
        <v>1.0000000324181899</v>
      </c>
    </row>
    <row r="3258" spans="1:40" x14ac:dyDescent="0.25">
      <c r="A3258" t="str">
        <f>"20190312154859532"</f>
        <v>20190312154859532</v>
      </c>
      <c r="B3258" t="str">
        <f>"1552376939519241"</f>
        <v>1552376939519241</v>
      </c>
      <c r="C3258" t="s">
        <v>40</v>
      </c>
      <c r="D3258">
        <v>4.7627800000000002</v>
      </c>
      <c r="E3258">
        <v>0.49155680000000002</v>
      </c>
      <c r="F3258" t="s">
        <v>41</v>
      </c>
      <c r="G3258">
        <v>-421.68689999999998</v>
      </c>
      <c r="H3258">
        <v>1.0518339999999999</v>
      </c>
      <c r="I3258">
        <v>214.36600000000001</v>
      </c>
      <c r="J3258">
        <v>-422.29489999999998</v>
      </c>
      <c r="K3258">
        <v>1.1105480000000001</v>
      </c>
      <c r="L3258">
        <v>214.4238</v>
      </c>
      <c r="M3258">
        <v>0.99987230000000005</v>
      </c>
      <c r="N3258">
        <v>0</v>
      </c>
      <c r="O3258">
        <v>-5.9281840000000004E-3</v>
      </c>
      <c r="P3258">
        <v>0.99587789999999998</v>
      </c>
      <c r="Q3258">
        <v>2.587507E-2</v>
      </c>
      <c r="R3258">
        <v>-8.6937260000000002E-2</v>
      </c>
      <c r="S3258">
        <v>3.0009459999999999</v>
      </c>
      <c r="T3258">
        <v>-0.1801461</v>
      </c>
      <c r="U3258">
        <v>-0.1820679</v>
      </c>
      <c r="V3258">
        <v>8.096457E-2</v>
      </c>
      <c r="W3258">
        <v>4.0796220000000001E-2</v>
      </c>
      <c r="X3258">
        <v>0.99588169999999998</v>
      </c>
      <c r="Y3258">
        <v>5.4552580000000003E-2</v>
      </c>
      <c r="Z3258">
        <v>-1.279175E-3</v>
      </c>
      <c r="AA3258">
        <v>0.99851009999999996</v>
      </c>
      <c r="AB3258">
        <v>39</v>
      </c>
      <c r="AC3258">
        <v>0.60800000000000398</v>
      </c>
      <c r="AD3258">
        <v>-5.8713999999999898E-2</v>
      </c>
      <c r="AE3258">
        <v>-5.78000000000145E-2</v>
      </c>
      <c r="AF3258">
        <v>5.3697971305246402E-2</v>
      </c>
      <c r="AG3258">
        <v>-5.8713999999999898E-2</v>
      </c>
      <c r="AH3258">
        <v>0.60276124405426501</v>
      </c>
      <c r="AI3258">
        <v>95.541727499103501</v>
      </c>
      <c r="AJ3258">
        <v>84.909151103599598</v>
      </c>
      <c r="AK3258">
        <v>0.60799006838281799</v>
      </c>
      <c r="AL3258">
        <v>87.661899851190697</v>
      </c>
      <c r="AM3258">
        <v>85.352110575501598</v>
      </c>
      <c r="AN3258">
        <v>0.99999997677823105</v>
      </c>
    </row>
    <row r="3259" spans="1:40" x14ac:dyDescent="0.25">
      <c r="A3259" t="str">
        <f>"20190312154859555"</f>
        <v>20190312154859555</v>
      </c>
      <c r="B3259" t="str">
        <f>"1552376939549497"</f>
        <v>1552376939549497</v>
      </c>
      <c r="C3259" t="s">
        <v>40</v>
      </c>
      <c r="D3259">
        <v>4.7678120000000002</v>
      </c>
      <c r="E3259">
        <v>0.49164530000000001</v>
      </c>
      <c r="F3259" t="s">
        <v>51</v>
      </c>
      <c r="G3259">
        <v>-403.40730000000002</v>
      </c>
      <c r="H3259" s="1">
        <v>7.1677300000000004E-6</v>
      </c>
      <c r="I3259">
        <v>213.2784</v>
      </c>
      <c r="J3259">
        <v>-421.90300000000002</v>
      </c>
      <c r="K3259">
        <v>1.1105529999999999</v>
      </c>
      <c r="L3259">
        <v>214.422</v>
      </c>
      <c r="M3259">
        <v>0.99987550000000003</v>
      </c>
      <c r="N3259">
        <v>0</v>
      </c>
      <c r="O3259">
        <v>-5.2977619999999897E-3</v>
      </c>
      <c r="P3259">
        <v>0.99590049999999997</v>
      </c>
      <c r="Q3259">
        <v>2.6456319999999998E-2</v>
      </c>
      <c r="R3259">
        <v>-8.6500540000000001E-2</v>
      </c>
      <c r="S3259">
        <v>3.001099</v>
      </c>
      <c r="T3259">
        <v>-0.1764568</v>
      </c>
      <c r="U3259">
        <v>-0.1819916</v>
      </c>
      <c r="V3259">
        <v>8.1156140000000002E-2</v>
      </c>
      <c r="W3259">
        <v>4.1391289999999997E-2</v>
      </c>
      <c r="X3259">
        <v>0.99584159999999999</v>
      </c>
      <c r="Y3259">
        <v>5.5155200000000001E-2</v>
      </c>
      <c r="Z3259">
        <v>-1.307648E-3</v>
      </c>
      <c r="AA3259">
        <v>0.9984769</v>
      </c>
      <c r="AB3259">
        <v>39</v>
      </c>
      <c r="AC3259">
        <v>18.495699999999999</v>
      </c>
      <c r="AD3259">
        <v>-1.1105458322699999</v>
      </c>
      <c r="AE3259">
        <v>-1.14359999999999</v>
      </c>
      <c r="AF3259">
        <v>1.0418455317059401</v>
      </c>
      <c r="AG3259">
        <v>-1.1105458322699999</v>
      </c>
      <c r="AH3259">
        <v>18.435289478886698</v>
      </c>
      <c r="AI3259">
        <v>93.441865508125503</v>
      </c>
      <c r="AJ3259">
        <v>86.765446832794694</v>
      </c>
      <c r="AK3259">
        <v>18.498071584028899</v>
      </c>
      <c r="AL3259">
        <v>87.627776140547397</v>
      </c>
      <c r="AM3259">
        <v>85.340974799103293</v>
      </c>
      <c r="AN3259">
        <v>1.0000000251190599</v>
      </c>
    </row>
    <row r="3260" spans="1:40" x14ac:dyDescent="0.25">
      <c r="A3260" t="str">
        <f>"20190312154859577"</f>
        <v>20190312154859577</v>
      </c>
      <c r="B3260" t="str">
        <f>"1552376939569018"</f>
        <v>1552376939569018</v>
      </c>
      <c r="C3260" t="s">
        <v>40</v>
      </c>
      <c r="D3260">
        <v>4.7798999999999996</v>
      </c>
      <c r="E3260">
        <v>0.49165039999999999</v>
      </c>
      <c r="F3260" t="s">
        <v>51</v>
      </c>
      <c r="G3260">
        <v>-403.06939999999997</v>
      </c>
      <c r="H3260" s="1">
        <v>7.3161850000000002E-6</v>
      </c>
      <c r="I3260">
        <v>213.2852</v>
      </c>
      <c r="J3260">
        <v>-421.51949999999999</v>
      </c>
      <c r="K3260">
        <v>1.1105529999999999</v>
      </c>
      <c r="L3260">
        <v>214.42060000000001</v>
      </c>
      <c r="M3260">
        <v>0.99987859999999995</v>
      </c>
      <c r="N3260">
        <v>0</v>
      </c>
      <c r="O3260">
        <v>-4.6830279999999997E-3</v>
      </c>
      <c r="P3260">
        <v>0.99591169999999996</v>
      </c>
      <c r="Q3260">
        <v>2.699497E-2</v>
      </c>
      <c r="R3260">
        <v>-8.6206580000000005E-2</v>
      </c>
      <c r="S3260">
        <v>3.0012509999999999</v>
      </c>
      <c r="T3260">
        <v>-0.17697160000000001</v>
      </c>
      <c r="U3260">
        <v>-0.18116760000000001</v>
      </c>
      <c r="V3260">
        <v>8.1474770000000002E-2</v>
      </c>
      <c r="W3260">
        <v>4.1940610000000003E-2</v>
      </c>
      <c r="X3260">
        <v>0.99579260000000003</v>
      </c>
      <c r="Y3260">
        <v>5.5490739999999997E-2</v>
      </c>
      <c r="Z3260">
        <v>-1.35746E-3</v>
      </c>
      <c r="AA3260">
        <v>0.99845830000000002</v>
      </c>
      <c r="AB3260">
        <v>39</v>
      </c>
      <c r="AC3260">
        <v>18.450099999999999</v>
      </c>
      <c r="AD3260">
        <v>-1.1105456838150001</v>
      </c>
      <c r="AE3260">
        <v>-1.1354</v>
      </c>
      <c r="AF3260">
        <v>1.0452031236333501</v>
      </c>
      <c r="AG3260">
        <v>-1.1105456838150001</v>
      </c>
      <c r="AH3260">
        <v>18.3888428319407</v>
      </c>
      <c r="AI3260">
        <v>93.450474288287694</v>
      </c>
      <c r="AJ3260">
        <v>86.746866420886406</v>
      </c>
      <c r="AK3260">
        <v>18.4519728479995</v>
      </c>
      <c r="AL3260">
        <v>87.596275073601205</v>
      </c>
      <c r="AM3260">
        <v>85.32253470226</v>
      </c>
      <c r="AN3260">
        <v>1.00000002756424</v>
      </c>
    </row>
    <row r="3261" spans="1:40" x14ac:dyDescent="0.25">
      <c r="A3261" t="str">
        <f>"20190312154859602"</f>
        <v>20190312154859602</v>
      </c>
      <c r="B3261" t="str">
        <f>"1552376939589513"</f>
        <v>1552376939589513</v>
      </c>
      <c r="C3261" t="s">
        <v>40</v>
      </c>
      <c r="D3261">
        <v>4.7996759999999998</v>
      </c>
      <c r="E3261">
        <v>0.4917221</v>
      </c>
      <c r="F3261" t="s">
        <v>51</v>
      </c>
      <c r="G3261">
        <v>-402.52980000000002</v>
      </c>
      <c r="H3261" s="1">
        <v>7.556707E-6</v>
      </c>
      <c r="I3261">
        <v>213.279</v>
      </c>
      <c r="J3261">
        <v>-421.11250000000001</v>
      </c>
      <c r="K3261">
        <v>1.1105590000000001</v>
      </c>
      <c r="L3261">
        <v>214.41929999999999</v>
      </c>
      <c r="M3261">
        <v>0.99988109999999997</v>
      </c>
      <c r="N3261">
        <v>0</v>
      </c>
      <c r="O3261">
        <v>-4.0335910000000004E-3</v>
      </c>
      <c r="P3261">
        <v>0.9958861</v>
      </c>
      <c r="Q3261">
        <v>2.7658160000000001E-2</v>
      </c>
      <c r="R3261">
        <v>-8.6291099999999996E-2</v>
      </c>
      <c r="S3261">
        <v>3.0015260000000001</v>
      </c>
      <c r="T3261">
        <v>-0.1755341</v>
      </c>
      <c r="U3261">
        <v>-0.18043519999999999</v>
      </c>
      <c r="V3261">
        <v>8.220624E-2</v>
      </c>
      <c r="W3261">
        <v>4.2612829999999997E-2</v>
      </c>
      <c r="X3261">
        <v>0.99570389999999998</v>
      </c>
      <c r="Y3261">
        <v>5.5890639999999998E-2</v>
      </c>
      <c r="Z3261">
        <v>-1.3959279999999901E-3</v>
      </c>
      <c r="AA3261">
        <v>0.99843590000000004</v>
      </c>
      <c r="AB3261">
        <v>38</v>
      </c>
      <c r="AC3261">
        <v>18.5826999999999</v>
      </c>
      <c r="AD3261">
        <v>-1.1105514432929999</v>
      </c>
      <c r="AE3261">
        <v>-1.1402999999999599</v>
      </c>
      <c r="AF3261">
        <v>1.06155022398427</v>
      </c>
      <c r="AG3261">
        <v>-1.1105514432929999</v>
      </c>
      <c r="AH3261">
        <v>18.5212469467365</v>
      </c>
      <c r="AI3261">
        <v>93.425791722103199</v>
      </c>
      <c r="AJ3261">
        <v>86.719665936302107</v>
      </c>
      <c r="AK3261">
        <v>18.5848540981154</v>
      </c>
      <c r="AL3261">
        <v>87.557725142045399</v>
      </c>
      <c r="AM3261">
        <v>85.280311350688706</v>
      </c>
      <c r="AN3261">
        <v>0.99999998782537802</v>
      </c>
    </row>
    <row r="3262" spans="1:40" x14ac:dyDescent="0.25">
      <c r="A3262" t="str">
        <f>"20190312154859623"</f>
        <v>20190312154859623</v>
      </c>
      <c r="B3262" t="str">
        <f>"1552376939609034"</f>
        <v>1552376939609034</v>
      </c>
      <c r="C3262" t="s">
        <v>40</v>
      </c>
      <c r="D3262">
        <v>4.8177560000000001</v>
      </c>
      <c r="E3262">
        <v>0.49168600000000001</v>
      </c>
      <c r="F3262" t="s">
        <v>51</v>
      </c>
      <c r="G3262">
        <v>-402.21629999999999</v>
      </c>
      <c r="H3262" s="1">
        <v>7.6958190000000004E-6</v>
      </c>
      <c r="I3262">
        <v>213.27869999999999</v>
      </c>
      <c r="J3262">
        <v>-420.73570000000001</v>
      </c>
      <c r="K3262">
        <v>1.1105590000000001</v>
      </c>
      <c r="L3262">
        <v>214.41839999999999</v>
      </c>
      <c r="M3262">
        <v>0.99988319999999997</v>
      </c>
      <c r="N3262">
        <v>0</v>
      </c>
      <c r="O3262">
        <v>-3.438857E-3</v>
      </c>
      <c r="P3262">
        <v>0.99590409999999996</v>
      </c>
      <c r="Q3262">
        <v>2.8534219999999999E-2</v>
      </c>
      <c r="R3262">
        <v>-8.5797470000000001E-2</v>
      </c>
      <c r="S3262">
        <v>3.0015559999999999</v>
      </c>
      <c r="T3262">
        <v>-0.17640500000000001</v>
      </c>
      <c r="U3262">
        <v>-0.18118290000000001</v>
      </c>
      <c r="V3262">
        <v>8.2304749999999996E-2</v>
      </c>
      <c r="W3262">
        <v>4.3494159999999997E-2</v>
      </c>
      <c r="X3262">
        <v>0.99565769999999998</v>
      </c>
      <c r="Y3262">
        <v>5.6728340000000002E-2</v>
      </c>
      <c r="Z3262">
        <v>-1.4622820000000001E-3</v>
      </c>
      <c r="AA3262">
        <v>0.99838859999999996</v>
      </c>
      <c r="AB3262">
        <v>38</v>
      </c>
      <c r="AC3262">
        <v>18.519400000000001</v>
      </c>
      <c r="AD3262">
        <v>-1.110551304181</v>
      </c>
      <c r="AE3262">
        <v>-1.1396999999999999</v>
      </c>
      <c r="AF3262">
        <v>1.0721596560706399</v>
      </c>
      <c r="AG3262">
        <v>-1.110551304181</v>
      </c>
      <c r="AH3262">
        <v>18.457088332329199</v>
      </c>
      <c r="AI3262">
        <v>93.4375185033403</v>
      </c>
      <c r="AJ3262">
        <v>86.675463343191197</v>
      </c>
      <c r="AK3262">
        <v>18.521526941230402</v>
      </c>
      <c r="AL3262">
        <v>87.507181901945899</v>
      </c>
      <c r="AM3262">
        <v>85.274462944621902</v>
      </c>
      <c r="AN3262">
        <v>1.0000000346979701</v>
      </c>
    </row>
    <row r="3263" spans="1:40" x14ac:dyDescent="0.25">
      <c r="A3263" t="str">
        <f>"20190312154859648"</f>
        <v>20190312154859648</v>
      </c>
      <c r="B3263" t="str">
        <f>"1552376939639289"</f>
        <v>1552376939639289</v>
      </c>
      <c r="C3263" t="s">
        <v>40</v>
      </c>
      <c r="D3263">
        <v>4.8728350000000002</v>
      </c>
      <c r="E3263">
        <v>0.50760810000000001</v>
      </c>
      <c r="F3263" t="s">
        <v>51</v>
      </c>
      <c r="G3263">
        <v>-401.70650000000001</v>
      </c>
      <c r="H3263" s="1">
        <v>7.9213720000000002E-6</v>
      </c>
      <c r="I3263">
        <v>213.28110000000001</v>
      </c>
      <c r="J3263">
        <v>-420.32929999999999</v>
      </c>
      <c r="K3263">
        <v>1.1105529999999999</v>
      </c>
      <c r="L3263">
        <v>214.41759999999999</v>
      </c>
      <c r="M3263">
        <v>0.99988500000000002</v>
      </c>
      <c r="N3263">
        <v>0</v>
      </c>
      <c r="O3263">
        <v>-2.812125E-3</v>
      </c>
      <c r="P3263">
        <v>0.995946</v>
      </c>
      <c r="Q3263">
        <v>2.8963349999999999E-2</v>
      </c>
      <c r="R3263">
        <v>-8.5162630000000003E-2</v>
      </c>
      <c r="S3263">
        <v>3.0019230000000001</v>
      </c>
      <c r="T3263">
        <v>-0.17519370000000001</v>
      </c>
      <c r="U3263">
        <v>-0.17941279999999901</v>
      </c>
      <c r="V3263">
        <v>8.2295119999999999E-2</v>
      </c>
      <c r="W3263">
        <v>4.3927670000000002E-2</v>
      </c>
      <c r="X3263">
        <v>0.99563939999999995</v>
      </c>
      <c r="Y3263">
        <v>5.6760400000000003E-2</v>
      </c>
      <c r="Z3263">
        <v>-1.4895570000000001E-3</v>
      </c>
      <c r="AA3263">
        <v>0.99838669999999996</v>
      </c>
      <c r="AB3263">
        <v>38</v>
      </c>
      <c r="AC3263">
        <v>18.622799999999899</v>
      </c>
      <c r="AD3263">
        <v>-1.110545078628</v>
      </c>
      <c r="AE3263">
        <v>-1.1364999999999801</v>
      </c>
      <c r="AF3263">
        <v>1.0802925990924701</v>
      </c>
      <c r="AG3263">
        <v>-1.110545078628</v>
      </c>
      <c r="AH3263">
        <v>18.560164502360799</v>
      </c>
      <c r="AI3263">
        <v>93.418431256266103</v>
      </c>
      <c r="AJ3263">
        <v>86.668862996944398</v>
      </c>
      <c r="AK3263">
        <v>18.624716073701901</v>
      </c>
      <c r="AL3263">
        <v>87.482319685884605</v>
      </c>
      <c r="AM3263">
        <v>85.274926895962494</v>
      </c>
      <c r="AN3263">
        <v>0.999999970899901</v>
      </c>
    </row>
    <row r="3264" spans="1:40" x14ac:dyDescent="0.25">
      <c r="A3264" t="str">
        <f>"20190312154859668"</f>
        <v>20190312154859668</v>
      </c>
      <c r="B3264" t="str">
        <f>"1552376939658809"</f>
        <v>1552376939658809</v>
      </c>
      <c r="C3264" t="s">
        <v>40</v>
      </c>
      <c r="D3264">
        <v>4.8436560000000002</v>
      </c>
      <c r="E3264">
        <v>0.53485249999999995</v>
      </c>
      <c r="F3264" t="s">
        <v>41</v>
      </c>
      <c r="G3264">
        <v>-419.32580000000002</v>
      </c>
      <c r="H3264">
        <v>0.97558370000000005</v>
      </c>
      <c r="I3264">
        <v>214.31909999999999</v>
      </c>
      <c r="J3264">
        <v>-419.97059999999999</v>
      </c>
      <c r="K3264">
        <v>1.110544</v>
      </c>
      <c r="L3264">
        <v>214.4171</v>
      </c>
      <c r="M3264">
        <v>0.99988639999999995</v>
      </c>
      <c r="N3264">
        <v>0</v>
      </c>
      <c r="O3264">
        <v>-2.2781670000000002E-3</v>
      </c>
      <c r="P3264">
        <v>0.99604579999999998</v>
      </c>
      <c r="Q3264">
        <v>2.8676719999999999E-2</v>
      </c>
      <c r="R3264">
        <v>-8.4085649999999998E-2</v>
      </c>
      <c r="S3264">
        <v>2.9988100000000002</v>
      </c>
      <c r="T3264">
        <v>-0.40340670000000001</v>
      </c>
      <c r="U3264">
        <v>-0.29376219999999997</v>
      </c>
      <c r="V3264">
        <v>8.1752190000000002E-2</v>
      </c>
      <c r="W3264">
        <v>4.3642309999999997E-2</v>
      </c>
      <c r="X3264">
        <v>0.99569669999999999</v>
      </c>
      <c r="Y3264">
        <v>9.4403210000000001E-2</v>
      </c>
      <c r="Z3264">
        <v>-6.0019089999999997E-3</v>
      </c>
      <c r="AA3264">
        <v>0.99551590000000001</v>
      </c>
      <c r="AB3264">
        <v>38</v>
      </c>
      <c r="AC3264">
        <v>0.64479999999997495</v>
      </c>
      <c r="AD3264">
        <v>-0.13496030000000001</v>
      </c>
      <c r="AE3264">
        <v>-9.8000000000013202E-2</v>
      </c>
      <c r="AF3264">
        <v>9.2566927558725698E-2</v>
      </c>
      <c r="AG3264">
        <v>-0.13496030000000001</v>
      </c>
      <c r="AH3264">
        <v>0.61853605100369602</v>
      </c>
      <c r="AI3264">
        <v>102.177137183608</v>
      </c>
      <c r="AJ3264">
        <v>81.488575155244604</v>
      </c>
      <c r="AK3264">
        <v>0.63982010365805098</v>
      </c>
      <c r="AL3264">
        <v>87.498685365605695</v>
      </c>
      <c r="AM3264">
        <v>85.306229037974703</v>
      </c>
      <c r="AN3264">
        <v>0.99999999509141102</v>
      </c>
    </row>
    <row r="3265" spans="1:40" x14ac:dyDescent="0.25">
      <c r="A3265" t="str">
        <f>"20190312154859691"</f>
        <v>20190312154859691</v>
      </c>
      <c r="B3265" t="str">
        <f>"1552376939679305"</f>
        <v>1552376939679305</v>
      </c>
      <c r="C3265" t="s">
        <v>40</v>
      </c>
      <c r="D3265">
        <v>4.8692060000000001</v>
      </c>
      <c r="E3265">
        <v>0.53492249999999997</v>
      </c>
      <c r="F3265" t="s">
        <v>41</v>
      </c>
      <c r="G3265">
        <v>-419.03840000000002</v>
      </c>
      <c r="H3265">
        <v>0.85199210000000003</v>
      </c>
      <c r="I3265">
        <v>214.2647</v>
      </c>
      <c r="J3265">
        <v>-419.58370000000002</v>
      </c>
      <c r="K3265">
        <v>1.1105259999999999</v>
      </c>
      <c r="L3265">
        <v>214.41679999999999</v>
      </c>
      <c r="M3265">
        <v>0.99988739999999998</v>
      </c>
      <c r="N3265">
        <v>0</v>
      </c>
      <c r="O3265">
        <v>-1.722704E-3</v>
      </c>
      <c r="P3265">
        <v>0.99616769999999999</v>
      </c>
      <c r="Q3265">
        <v>2.8308900000000001E-2</v>
      </c>
      <c r="R3265">
        <v>-8.2758139999999994E-2</v>
      </c>
      <c r="S3265">
        <v>2.9945979999999999</v>
      </c>
      <c r="T3265">
        <v>-0.83055699999999999</v>
      </c>
      <c r="U3265">
        <v>-0.48828129999999997</v>
      </c>
      <c r="V3265">
        <v>8.0980369999999996E-2</v>
      </c>
      <c r="W3265">
        <v>4.3274060000000003E-2</v>
      </c>
      <c r="X3265">
        <v>0.99577579999999999</v>
      </c>
      <c r="Y3265">
        <v>0.15363959999999999</v>
      </c>
      <c r="Z3265">
        <v>-2.03155E-2</v>
      </c>
      <c r="AA3265">
        <v>0.98791810000000002</v>
      </c>
      <c r="AB3265">
        <v>38</v>
      </c>
      <c r="AC3265">
        <v>0.54529999999999701</v>
      </c>
      <c r="AD3265">
        <v>-0.25853389999999998</v>
      </c>
      <c r="AE3265">
        <v>-0.15209999999998999</v>
      </c>
      <c r="AF3265">
        <v>0.12507498637522399</v>
      </c>
      <c r="AG3265">
        <v>-0.25853389999999998</v>
      </c>
      <c r="AH3265">
        <v>0.45141531444421501</v>
      </c>
      <c r="AI3265">
        <v>118.895391766027</v>
      </c>
      <c r="AJ3265">
        <v>74.513385063841795</v>
      </c>
      <c r="AK3265">
        <v>0.53503206986193097</v>
      </c>
      <c r="AL3265">
        <v>87.519804387586902</v>
      </c>
      <c r="AM3265">
        <v>85.350715300249803</v>
      </c>
      <c r="AN3265">
        <v>0.99999995422992904</v>
      </c>
    </row>
    <row r="3266" spans="1:40" x14ac:dyDescent="0.25">
      <c r="A3266" t="str">
        <f>"20190312154859713"</f>
        <v>20190312154859713</v>
      </c>
      <c r="B3266" t="str">
        <f>"1552376939698825"</f>
        <v>1552376939698825</v>
      </c>
      <c r="C3266" t="s">
        <v>40</v>
      </c>
      <c r="D3266">
        <v>4.8857080000000002</v>
      </c>
      <c r="E3266">
        <v>0.53516759999999997</v>
      </c>
      <c r="F3266" t="s">
        <v>41</v>
      </c>
      <c r="G3266">
        <v>-418.69389999999999</v>
      </c>
      <c r="H3266">
        <v>0.86000669999999901</v>
      </c>
      <c r="I3266">
        <v>214.27250000000001</v>
      </c>
      <c r="J3266">
        <v>-419.20890000000003</v>
      </c>
      <c r="K3266">
        <v>1.110506</v>
      </c>
      <c r="L3266">
        <v>214.41669999999999</v>
      </c>
      <c r="M3266">
        <v>0.99988809999999995</v>
      </c>
      <c r="N3266">
        <v>0</v>
      </c>
      <c r="O3266">
        <v>-1.214864E-3</v>
      </c>
      <c r="P3266">
        <v>0.99624279999999998</v>
      </c>
      <c r="Q3266">
        <v>2.8624480000000001E-2</v>
      </c>
      <c r="R3266">
        <v>-8.1738920000000007E-2</v>
      </c>
      <c r="S3266">
        <v>2.9952390000000002</v>
      </c>
      <c r="T3266">
        <v>-0.84336499999999903</v>
      </c>
      <c r="U3266">
        <v>-0.48458859999999898</v>
      </c>
      <c r="V3266">
        <v>8.0469559999999996E-2</v>
      </c>
      <c r="W3266">
        <v>4.3587050000000002E-2</v>
      </c>
      <c r="X3266">
        <v>0.99580360000000001</v>
      </c>
      <c r="Y3266">
        <v>0.15276500000000001</v>
      </c>
      <c r="Z3266">
        <v>-2.063444E-2</v>
      </c>
      <c r="AA3266">
        <v>0.98804709999999996</v>
      </c>
      <c r="AB3266">
        <v>38</v>
      </c>
      <c r="AC3266">
        <v>0.51500000000004298</v>
      </c>
      <c r="AD3266">
        <v>-0.25049929999999998</v>
      </c>
      <c r="AE3266">
        <v>-0.14419999999998301</v>
      </c>
      <c r="AF3266">
        <v>0.11774252532199</v>
      </c>
      <c r="AG3266">
        <v>-0.25049929999999998</v>
      </c>
      <c r="AH3266">
        <v>0.42248536079855398</v>
      </c>
      <c r="AI3266">
        <v>119.732968873451</v>
      </c>
      <c r="AJ3266">
        <v>74.427367878269095</v>
      </c>
      <c r="AK3266">
        <v>0.50508126243088303</v>
      </c>
      <c r="AL3266">
        <v>87.501854546859306</v>
      </c>
      <c r="AM3266">
        <v>85.380043236218398</v>
      </c>
      <c r="AN3266">
        <v>0.99999999539362805</v>
      </c>
    </row>
    <row r="3267" spans="1:40" x14ac:dyDescent="0.25">
      <c r="A3267" t="str">
        <f>"20190312154859734"</f>
        <v>20190312154859734</v>
      </c>
      <c r="B3267" t="str">
        <f>"1552376939729082"</f>
        <v>1552376939729082</v>
      </c>
      <c r="C3267" t="s">
        <v>40</v>
      </c>
      <c r="D3267">
        <v>4.8947469999999997</v>
      </c>
      <c r="E3267">
        <v>0.53569690000000003</v>
      </c>
      <c r="F3267" t="s">
        <v>41</v>
      </c>
      <c r="G3267">
        <v>-418.34930000000003</v>
      </c>
      <c r="H3267">
        <v>0.86879580000000001</v>
      </c>
      <c r="I3267">
        <v>214.27709999999999</v>
      </c>
      <c r="J3267">
        <v>-418.83019999999999</v>
      </c>
      <c r="K3267">
        <v>1.110473</v>
      </c>
      <c r="L3267">
        <v>214.41669999999999</v>
      </c>
      <c r="M3267">
        <v>0.99988849999999996</v>
      </c>
      <c r="N3267">
        <v>0</v>
      </c>
      <c r="O3267">
        <v>-7.4482170000000002E-4</v>
      </c>
      <c r="P3267">
        <v>0.99632419999999999</v>
      </c>
      <c r="Q3267">
        <v>2.9153169999999999E-2</v>
      </c>
      <c r="R3267">
        <v>-8.0550979999999994E-2</v>
      </c>
      <c r="S3267">
        <v>2.9957579999999999</v>
      </c>
      <c r="T3267">
        <v>-0.84243789999999996</v>
      </c>
      <c r="U3267">
        <v>-0.4843597</v>
      </c>
      <c r="V3267">
        <v>7.9752669999999998E-2</v>
      </c>
      <c r="W3267">
        <v>4.4110589999999998E-2</v>
      </c>
      <c r="X3267">
        <v>0.99583820000000001</v>
      </c>
      <c r="Y3267">
        <v>0.15311179999999999</v>
      </c>
      <c r="Z3267">
        <v>-2.078574E-2</v>
      </c>
      <c r="AA3267">
        <v>0.98799029999999999</v>
      </c>
      <c r="AB3267">
        <v>38</v>
      </c>
      <c r="AC3267">
        <v>0.48089999999996202</v>
      </c>
      <c r="AD3267">
        <v>-0.24167720000000001</v>
      </c>
      <c r="AE3267">
        <v>-0.139600000000001</v>
      </c>
      <c r="AF3267">
        <v>0.112935645831338</v>
      </c>
      <c r="AG3267">
        <v>-0.24167720000000001</v>
      </c>
      <c r="AH3267">
        <v>0.39013073478671201</v>
      </c>
      <c r="AI3267">
        <v>120.754620375901</v>
      </c>
      <c r="AJ3267">
        <v>73.855245927652604</v>
      </c>
      <c r="AK3267">
        <v>0.47261434523763801</v>
      </c>
      <c r="AL3267">
        <v>87.471828987100594</v>
      </c>
      <c r="AM3267">
        <v>85.421184277186896</v>
      </c>
      <c r="AN3267">
        <v>0.99999997655075801</v>
      </c>
    </row>
    <row r="3268" spans="1:40" x14ac:dyDescent="0.25">
      <c r="A3268" t="str">
        <f>"20190312154859757"</f>
        <v>20190312154859757</v>
      </c>
      <c r="B3268" t="str">
        <f>"1552376939748601"</f>
        <v>1552376939748601</v>
      </c>
      <c r="C3268" t="s">
        <v>40</v>
      </c>
      <c r="D3268">
        <v>4.897958</v>
      </c>
      <c r="E3268">
        <v>0.53606940000000003</v>
      </c>
      <c r="F3268" t="s">
        <v>41</v>
      </c>
      <c r="G3268">
        <v>-418.00459999999998</v>
      </c>
      <c r="H3268">
        <v>0.8788108</v>
      </c>
      <c r="I3268">
        <v>214.28270000000001</v>
      </c>
      <c r="J3268">
        <v>-418.44909999999999</v>
      </c>
      <c r="K3268">
        <v>1.11043</v>
      </c>
      <c r="L3268">
        <v>214.41679999999999</v>
      </c>
      <c r="M3268">
        <v>0.99988880000000002</v>
      </c>
      <c r="N3268">
        <v>0</v>
      </c>
      <c r="O3268">
        <v>-3.27635E-4</v>
      </c>
      <c r="P3268">
        <v>0.99638070000000001</v>
      </c>
      <c r="Q3268">
        <v>2.926875E-2</v>
      </c>
      <c r="R3268">
        <v>-7.9806409999999994E-2</v>
      </c>
      <c r="S3268">
        <v>2.996429</v>
      </c>
      <c r="T3268">
        <v>-0.84084820000000005</v>
      </c>
      <c r="U3268">
        <v>-0.48524479999999998</v>
      </c>
      <c r="V3268">
        <v>7.9428520000000002E-2</v>
      </c>
      <c r="W3268">
        <v>4.4218250000000001E-2</v>
      </c>
      <c r="X3268">
        <v>0.99585939999999995</v>
      </c>
      <c r="Y3268">
        <v>0.15375720000000001</v>
      </c>
      <c r="Z3268">
        <v>-2.0945519999999999E-2</v>
      </c>
      <c r="AA3268">
        <v>0.98788659999999995</v>
      </c>
      <c r="AB3268">
        <v>38</v>
      </c>
      <c r="AC3268">
        <v>0.444500000000005</v>
      </c>
      <c r="AD3268">
        <v>-0.2316192</v>
      </c>
      <c r="AE3268">
        <v>-0.13409999999998901</v>
      </c>
      <c r="AF3268">
        <v>0.10726032812608501</v>
      </c>
      <c r="AG3268">
        <v>-0.2316192</v>
      </c>
      <c r="AH3268">
        <v>0.35595655485435601</v>
      </c>
      <c r="AI3268">
        <v>121.92391383342</v>
      </c>
      <c r="AJ3268">
        <v>73.230878953449505</v>
      </c>
      <c r="AK3268">
        <v>0.438015183232428</v>
      </c>
      <c r="AL3268">
        <v>87.465654669773301</v>
      </c>
      <c r="AM3268">
        <v>85.439812617108601</v>
      </c>
      <c r="AN3268">
        <v>1.0000000439954</v>
      </c>
    </row>
    <row r="3269" spans="1:40" x14ac:dyDescent="0.25">
      <c r="A3269" t="str">
        <f>"20190312154859779"</f>
        <v>20190312154859779</v>
      </c>
      <c r="B3269" t="str">
        <f>"1552376939769098"</f>
        <v>1552376939769098</v>
      </c>
      <c r="C3269" t="s">
        <v>40</v>
      </c>
      <c r="D3269">
        <v>4.8655019999999896</v>
      </c>
      <c r="E3269">
        <v>0.53633980000000003</v>
      </c>
      <c r="F3269" t="s">
        <v>41</v>
      </c>
      <c r="G3269">
        <v>-417.66039999999998</v>
      </c>
      <c r="H3269">
        <v>0.8888606</v>
      </c>
      <c r="I3269">
        <v>214.2885</v>
      </c>
      <c r="J3269">
        <v>-418.07589999999999</v>
      </c>
      <c r="K3269">
        <v>1.1103809999999901</v>
      </c>
      <c r="L3269">
        <v>214.417</v>
      </c>
      <c r="M3269">
        <v>0.99988889999999997</v>
      </c>
      <c r="N3269">
        <v>0</v>
      </c>
      <c r="O3269" s="1">
        <v>1.6446449999999999E-5</v>
      </c>
      <c r="P3269">
        <v>0.99637679999999995</v>
      </c>
      <c r="Q3269">
        <v>2.9810360000000001E-2</v>
      </c>
      <c r="R3269">
        <v>-7.9656920000000006E-2</v>
      </c>
      <c r="S3269">
        <v>2.9967350000000001</v>
      </c>
      <c r="T3269">
        <v>-0.84198359999999906</v>
      </c>
      <c r="U3269">
        <v>-0.4858093</v>
      </c>
      <c r="V3269">
        <v>7.9626959999999997E-2</v>
      </c>
      <c r="W3269">
        <v>4.4749869999999997E-2</v>
      </c>
      <c r="X3269">
        <v>0.99581969999999997</v>
      </c>
      <c r="Y3269">
        <v>0.15421799999999999</v>
      </c>
      <c r="Z3269">
        <v>-2.1127819999999999E-2</v>
      </c>
      <c r="AA3269">
        <v>0.98781090000000005</v>
      </c>
      <c r="AB3269">
        <v>38</v>
      </c>
      <c r="AC3269">
        <v>0.41550000000000797</v>
      </c>
      <c r="AD3269">
        <v>-0.22152039999999901</v>
      </c>
      <c r="AE3269">
        <v>-0.128500000000002</v>
      </c>
      <c r="AF3269">
        <v>0.102035943627522</v>
      </c>
      <c r="AG3269">
        <v>-0.22152039999999901</v>
      </c>
      <c r="AH3269">
        <v>0.32991022740596299</v>
      </c>
      <c r="AI3269">
        <v>122.679216269706</v>
      </c>
      <c r="AJ3269">
        <v>72.814000190323796</v>
      </c>
      <c r="AK3269">
        <v>0.41027232365243999</v>
      </c>
      <c r="AL3269">
        <v>87.4351646376643</v>
      </c>
      <c r="AM3269">
        <v>85.428286439374403</v>
      </c>
      <c r="AN3269">
        <v>0.99999993926597197</v>
      </c>
    </row>
    <row r="3270" spans="1:40" x14ac:dyDescent="0.25">
      <c r="A3270" t="str">
        <f>"20190312154859801"</f>
        <v>20190312154859801</v>
      </c>
      <c r="B3270" t="str">
        <f>"1552376939788617"</f>
        <v>1552376939788617</v>
      </c>
      <c r="C3270" t="s">
        <v>40</v>
      </c>
      <c r="D3270">
        <v>4.8979460000000001</v>
      </c>
      <c r="E3270">
        <v>0.53652449999999996</v>
      </c>
      <c r="F3270" t="s">
        <v>41</v>
      </c>
      <c r="G3270">
        <v>-417.31700000000001</v>
      </c>
      <c r="H3270">
        <v>0.89734340000000001</v>
      </c>
      <c r="I3270">
        <v>214.29339999999999</v>
      </c>
      <c r="J3270">
        <v>-417.71080000000001</v>
      </c>
      <c r="K3270">
        <v>1.110325</v>
      </c>
      <c r="L3270">
        <v>214.41730000000001</v>
      </c>
      <c r="M3270">
        <v>0.99988880000000002</v>
      </c>
      <c r="N3270">
        <v>0</v>
      </c>
      <c r="O3270">
        <v>2.8458550000000002E-4</v>
      </c>
      <c r="P3270">
        <v>0.99633769999999999</v>
      </c>
      <c r="Q3270">
        <v>3.0205070000000001E-2</v>
      </c>
      <c r="R3270">
        <v>-7.9993229999999999E-2</v>
      </c>
      <c r="S3270">
        <v>2.9970699999999999</v>
      </c>
      <c r="T3270">
        <v>-0.84148120000000004</v>
      </c>
      <c r="U3270">
        <v>-0.48770140000000001</v>
      </c>
      <c r="V3270">
        <v>8.0236790000000002E-2</v>
      </c>
      <c r="W3270">
        <v>4.5131909999999997E-2</v>
      </c>
      <c r="X3270">
        <v>0.99575360000000002</v>
      </c>
      <c r="Y3270">
        <v>0.15504039999999999</v>
      </c>
      <c r="Z3270">
        <v>-2.1298379999999999E-2</v>
      </c>
      <c r="AA3270">
        <v>0.98767850000000001</v>
      </c>
      <c r="AB3270">
        <v>38</v>
      </c>
      <c r="AC3270">
        <v>0.39380000000005499</v>
      </c>
      <c r="AD3270">
        <v>-0.21298159999999899</v>
      </c>
      <c r="AE3270">
        <v>-0.12390000000001999</v>
      </c>
      <c r="AF3270">
        <v>9.7943627557161003E-2</v>
      </c>
      <c r="AG3270">
        <v>-0.21298159999999899</v>
      </c>
      <c r="AH3270">
        <v>0.31099184810863401</v>
      </c>
      <c r="AI3270">
        <v>123.153241781948</v>
      </c>
      <c r="AJ3270">
        <v>72.518724476312599</v>
      </c>
      <c r="AK3270">
        <v>0.38944838644888402</v>
      </c>
      <c r="AL3270">
        <v>87.413253457973994</v>
      </c>
      <c r="AM3270">
        <v>85.393119218246795</v>
      </c>
      <c r="AN3270">
        <v>1.00000003184135</v>
      </c>
    </row>
    <row r="3271" spans="1:40" x14ac:dyDescent="0.25">
      <c r="A3271" t="str">
        <f>"20190312154859825"</f>
        <v>20190312154859825</v>
      </c>
      <c r="B3271" t="str">
        <f>"1552376939818873"</f>
        <v>1552376939818873</v>
      </c>
      <c r="C3271" t="s">
        <v>40</v>
      </c>
      <c r="D3271">
        <v>5.0256619999999996</v>
      </c>
      <c r="E3271">
        <v>0.53719030000000001</v>
      </c>
      <c r="F3271" t="s">
        <v>41</v>
      </c>
      <c r="G3271">
        <v>-416.97500000000002</v>
      </c>
      <c r="H3271">
        <v>0.90368380000000004</v>
      </c>
      <c r="I3271">
        <v>214.29679999999999</v>
      </c>
      <c r="J3271">
        <v>-417.30329999999998</v>
      </c>
      <c r="K3271">
        <v>1.11026</v>
      </c>
      <c r="L3271">
        <v>214.41759999999999</v>
      </c>
      <c r="M3271">
        <v>0.99988880000000002</v>
      </c>
      <c r="N3271">
        <v>0</v>
      </c>
      <c r="O3271">
        <v>5.0332399999999998E-4</v>
      </c>
      <c r="P3271">
        <v>0.99631029999999998</v>
      </c>
      <c r="Q3271">
        <v>3.088043E-2</v>
      </c>
      <c r="R3271">
        <v>-8.007968E-2</v>
      </c>
      <c r="S3271">
        <v>2.9971619999999999</v>
      </c>
      <c r="T3271">
        <v>-0.84171459999999998</v>
      </c>
      <c r="U3271">
        <v>-0.4904327</v>
      </c>
      <c r="V3271">
        <v>8.0548549999999997E-2</v>
      </c>
      <c r="W3271">
        <v>4.5791169999999999E-2</v>
      </c>
      <c r="X3271">
        <v>0.99569830000000004</v>
      </c>
      <c r="Y3271">
        <v>0.15607889999999999</v>
      </c>
      <c r="Z3271">
        <v>-2.1504059999999998E-2</v>
      </c>
      <c r="AA3271">
        <v>0.98751049999999996</v>
      </c>
      <c r="AB3271">
        <v>38</v>
      </c>
      <c r="AC3271">
        <v>0.32829999999995602</v>
      </c>
      <c r="AD3271">
        <v>-0.20657619999999999</v>
      </c>
      <c r="AE3271">
        <v>-0.120800000000002</v>
      </c>
      <c r="AF3271">
        <v>8.9689124660960198E-2</v>
      </c>
      <c r="AG3271">
        <v>-0.20657619999999999</v>
      </c>
      <c r="AH3271">
        <v>0.24337140984963901</v>
      </c>
      <c r="AI3271">
        <v>128.535494655854</v>
      </c>
      <c r="AJ3271">
        <v>69.769756698436296</v>
      </c>
      <c r="AK3271">
        <v>0.33158333586157501</v>
      </c>
      <c r="AL3271">
        <v>87.375441471414504</v>
      </c>
      <c r="AM3271">
        <v>85.375040945743294</v>
      </c>
      <c r="AN3271">
        <v>1.00000000238998</v>
      </c>
    </row>
    <row r="3272" spans="1:40" x14ac:dyDescent="0.25">
      <c r="A3272" t="str">
        <f>"20190312154859849"</f>
        <v>20190312154859849</v>
      </c>
      <c r="B3272" t="str">
        <f>"1552376939839370"</f>
        <v>1552376939839370</v>
      </c>
      <c r="C3272" t="s">
        <v>40</v>
      </c>
      <c r="D3272">
        <v>4.8923899999999998</v>
      </c>
      <c r="E3272">
        <v>0.53728880000000001</v>
      </c>
      <c r="F3272" t="s">
        <v>41</v>
      </c>
      <c r="G3272">
        <v>-416.62869999999998</v>
      </c>
      <c r="H3272">
        <v>0.92069020000000001</v>
      </c>
      <c r="I3272">
        <v>214.3056</v>
      </c>
      <c r="J3272">
        <v>-416.90870000000001</v>
      </c>
      <c r="K3272">
        <v>1.110195</v>
      </c>
      <c r="L3272">
        <v>214.41800000000001</v>
      </c>
      <c r="M3272">
        <v>0.99988869999999996</v>
      </c>
      <c r="N3272">
        <v>0</v>
      </c>
      <c r="O3272">
        <v>6.3375289999999999E-4</v>
      </c>
      <c r="P3272">
        <v>0.99632019999999999</v>
      </c>
      <c r="Q3272">
        <v>3.101719E-2</v>
      </c>
      <c r="R3272">
        <v>-7.9899860000000003E-2</v>
      </c>
      <c r="S3272">
        <v>2.9973450000000001</v>
      </c>
      <c r="T3272">
        <v>-0.84222149999999996</v>
      </c>
      <c r="U3272">
        <v>-0.49629210000000001</v>
      </c>
      <c r="V3272">
        <v>8.050641E-2</v>
      </c>
      <c r="W3272">
        <v>4.591311E-2</v>
      </c>
      <c r="X3272">
        <v>0.99569609999999997</v>
      </c>
      <c r="Y3272">
        <v>0.15799589999999999</v>
      </c>
      <c r="Z3272">
        <v>-2.1810329999999999E-2</v>
      </c>
      <c r="AA3272">
        <v>0.98719889999999999</v>
      </c>
      <c r="AB3272">
        <v>38</v>
      </c>
      <c r="AC3272">
        <v>0.280000000000029</v>
      </c>
      <c r="AD3272">
        <v>-0.1895048</v>
      </c>
      <c r="AE3272">
        <v>-0.11240000000000799</v>
      </c>
      <c r="AF3272">
        <v>8.0730091259818296E-2</v>
      </c>
      <c r="AG3272">
        <v>-0.1895048</v>
      </c>
      <c r="AH3272">
        <v>0.200738869740472</v>
      </c>
      <c r="AI3272">
        <v>131.21383640248399</v>
      </c>
      <c r="AJ3272">
        <v>68.0917485831325</v>
      </c>
      <c r="AK3272">
        <v>0.28762042813844202</v>
      </c>
      <c r="AL3272">
        <v>87.368447487129998</v>
      </c>
      <c r="AM3272">
        <v>85.377439894049999</v>
      </c>
      <c r="AN3272">
        <v>1.0000000096380799</v>
      </c>
    </row>
    <row r="3273" spans="1:40" x14ac:dyDescent="0.25">
      <c r="A3273" t="str">
        <f>"20190312154859869"</f>
        <v>20190312154859869</v>
      </c>
      <c r="B3273" t="str">
        <f>"1552376939858889"</f>
        <v>1552376939858889</v>
      </c>
      <c r="C3273" t="s">
        <v>40</v>
      </c>
      <c r="D3273">
        <v>4.8777749999999997</v>
      </c>
      <c r="E3273">
        <v>0.53701980000000005</v>
      </c>
      <c r="F3273" t="s">
        <v>41</v>
      </c>
      <c r="G3273">
        <v>-415.98070000000001</v>
      </c>
      <c r="H3273">
        <v>0.84879919999999998</v>
      </c>
      <c r="I3273">
        <v>214.26419999999999</v>
      </c>
      <c r="J3273">
        <v>-416.55700000000002</v>
      </c>
      <c r="K3273">
        <v>1.11015</v>
      </c>
      <c r="L3273">
        <v>214.41829999999999</v>
      </c>
      <c r="M3273">
        <v>0.99988869999999996</v>
      </c>
      <c r="N3273">
        <v>0</v>
      </c>
      <c r="O3273">
        <v>7.0496899999999995E-4</v>
      </c>
      <c r="P3273">
        <v>0.99631630000000004</v>
      </c>
      <c r="Q3273">
        <v>3.086564E-2</v>
      </c>
      <c r="R3273">
        <v>-8.0009330000000004E-2</v>
      </c>
      <c r="S3273">
        <v>2.99762</v>
      </c>
      <c r="T3273">
        <v>-0.84438489999999999</v>
      </c>
      <c r="U3273">
        <v>-0.4961853</v>
      </c>
      <c r="V3273">
        <v>8.0692570000000005E-2</v>
      </c>
      <c r="W3273">
        <v>4.5749249999999998E-2</v>
      </c>
      <c r="X3273">
        <v>0.99568860000000003</v>
      </c>
      <c r="Y3273">
        <v>0.15798579999999901</v>
      </c>
      <c r="Z3273">
        <v>-2.188062E-2</v>
      </c>
      <c r="AA3273">
        <v>0.98719889999999999</v>
      </c>
      <c r="AB3273">
        <v>38</v>
      </c>
      <c r="AC3273">
        <v>0.57629999999994597</v>
      </c>
      <c r="AD3273">
        <v>-0.26135079999999999</v>
      </c>
      <c r="AE3273">
        <v>-0.15409999999999899</v>
      </c>
      <c r="AF3273">
        <v>0.12962624184865501</v>
      </c>
      <c r="AG3273">
        <v>-0.26135079999999999</v>
      </c>
      <c r="AH3273">
        <v>0.48340754036103101</v>
      </c>
      <c r="AI3273">
        <v>117.57331453180601</v>
      </c>
      <c r="AJ3273">
        <v>74.989209448446502</v>
      </c>
      <c r="AK3273">
        <v>0.56461496022895796</v>
      </c>
      <c r="AL3273">
        <v>87.377845919638105</v>
      </c>
      <c r="AM3273">
        <v>85.3667625955609</v>
      </c>
      <c r="AN3273">
        <v>1.00000003644936</v>
      </c>
    </row>
    <row r="3274" spans="1:40" x14ac:dyDescent="0.25">
      <c r="A3274" t="str">
        <f>"20190312154859891"</f>
        <v>20190312154859891</v>
      </c>
      <c r="B3274" t="str">
        <f>"1552376939879385"</f>
        <v>1552376939879385</v>
      </c>
      <c r="C3274" t="s">
        <v>40</v>
      </c>
      <c r="D3274">
        <v>4.8974029999999997</v>
      </c>
      <c r="E3274">
        <v>0.53683080000000005</v>
      </c>
      <c r="F3274" t="s">
        <v>41</v>
      </c>
      <c r="G3274">
        <v>-415.64139999999998</v>
      </c>
      <c r="H3274">
        <v>0.85223400000000005</v>
      </c>
      <c r="I3274">
        <v>214.26689999999999</v>
      </c>
      <c r="J3274">
        <v>-416.18920000000003</v>
      </c>
      <c r="K3274">
        <v>1.1101049999999999</v>
      </c>
      <c r="L3274">
        <v>214.4186</v>
      </c>
      <c r="M3274">
        <v>0.99988869999999996</v>
      </c>
      <c r="N3274">
        <v>0</v>
      </c>
      <c r="O3274">
        <v>7.4415970000000001E-4</v>
      </c>
      <c r="P3274">
        <v>0.99632069999999995</v>
      </c>
      <c r="Q3274">
        <v>3.064066E-2</v>
      </c>
      <c r="R3274">
        <v>-8.0043450000000002E-2</v>
      </c>
      <c r="S3274">
        <v>2.997528</v>
      </c>
      <c r="T3274">
        <v>-0.84438060000000004</v>
      </c>
      <c r="U3274">
        <v>-0.49418640000000003</v>
      </c>
      <c r="V3274">
        <v>8.077057E-2</v>
      </c>
      <c r="W3274">
        <v>4.551442E-2</v>
      </c>
      <c r="X3274">
        <v>0.99569300000000005</v>
      </c>
      <c r="Y3274">
        <v>0.15740779999999999</v>
      </c>
      <c r="Z3274">
        <v>-2.1813679999999998E-2</v>
      </c>
      <c r="AA3274">
        <v>0.98729270000000002</v>
      </c>
      <c r="AB3274">
        <v>38</v>
      </c>
      <c r="AC3274">
        <v>0.54780000000005202</v>
      </c>
      <c r="AD3274">
        <v>-0.25787099999999902</v>
      </c>
      <c r="AE3274">
        <v>-0.151700000000005</v>
      </c>
      <c r="AF3274">
        <v>0.12614539371004599</v>
      </c>
      <c r="AG3274">
        <v>-0.25787099999999902</v>
      </c>
      <c r="AH3274">
        <v>0.45420584525309998</v>
      </c>
      <c r="AI3274">
        <v>118.680208863397</v>
      </c>
      <c r="AJ3274">
        <v>74.478570435695701</v>
      </c>
      <c r="AK3274">
        <v>0.53732026097788799</v>
      </c>
      <c r="AL3274">
        <v>87.3913146189755</v>
      </c>
      <c r="AM3274">
        <v>85.362323892961399</v>
      </c>
      <c r="AN3274">
        <v>0.99999999882752999</v>
      </c>
    </row>
    <row r="3275" spans="1:40" x14ac:dyDescent="0.25">
      <c r="A3275" t="str">
        <f>"20190312154859913"</f>
        <v>20190312154859913</v>
      </c>
      <c r="B3275" t="str">
        <f>"1552376939908665"</f>
        <v>1552376939908665</v>
      </c>
      <c r="C3275" t="s">
        <v>40</v>
      </c>
      <c r="D3275">
        <v>4.879111</v>
      </c>
      <c r="E3275">
        <v>0.53652349999999904</v>
      </c>
      <c r="F3275" t="s">
        <v>41</v>
      </c>
      <c r="G3275">
        <v>-415.30079999999998</v>
      </c>
      <c r="H3275">
        <v>0.85978790000000005</v>
      </c>
      <c r="I3275">
        <v>214.2722</v>
      </c>
      <c r="J3275">
        <v>-415.80529999999999</v>
      </c>
      <c r="K3275">
        <v>1.11007099999999</v>
      </c>
      <c r="L3275">
        <v>214.41900000000001</v>
      </c>
      <c r="M3275">
        <v>0.99988869999999996</v>
      </c>
      <c r="N3275">
        <v>0</v>
      </c>
      <c r="O3275">
        <v>7.597913E-4</v>
      </c>
      <c r="P3275">
        <v>0.9963206</v>
      </c>
      <c r="Q3275">
        <v>3.0930829999999999E-2</v>
      </c>
      <c r="R3275">
        <v>-7.9929479999999997E-2</v>
      </c>
      <c r="S3275">
        <v>2.9974669999999999</v>
      </c>
      <c r="T3275">
        <v>-0.84451830000000006</v>
      </c>
      <c r="U3275">
        <v>-0.49304199999999998</v>
      </c>
      <c r="V3275">
        <v>8.0675860000000002E-2</v>
      </c>
      <c r="W3275">
        <v>4.5794979999999999E-2</v>
      </c>
      <c r="X3275">
        <v>0.99568780000000001</v>
      </c>
      <c r="Y3275">
        <v>0.15706909999999999</v>
      </c>
      <c r="Z3275">
        <v>-2.1775949999999999E-2</v>
      </c>
      <c r="AA3275">
        <v>0.98734750000000004</v>
      </c>
      <c r="AB3275">
        <v>38</v>
      </c>
      <c r="AC3275">
        <v>0.50450000000000705</v>
      </c>
      <c r="AD3275">
        <v>-0.25028309999999898</v>
      </c>
      <c r="AE3275">
        <v>-0.146800000000013</v>
      </c>
      <c r="AF3275">
        <v>0.11996314109723499</v>
      </c>
      <c r="AG3275">
        <v>-0.25028309999999898</v>
      </c>
      <c r="AH3275">
        <v>0.41110641786855701</v>
      </c>
      <c r="AI3275">
        <v>120.303283895901</v>
      </c>
      <c r="AJ3275">
        <v>73.732461135666497</v>
      </c>
      <c r="AK3275">
        <v>0.49602547533392</v>
      </c>
      <c r="AL3275">
        <v>87.375222899111506</v>
      </c>
      <c r="AM3275">
        <v>85.367714175195403</v>
      </c>
      <c r="AN3275">
        <v>0.99999998482438901</v>
      </c>
    </row>
    <row r="3276" spans="1:40" x14ac:dyDescent="0.25">
      <c r="A3276" t="str">
        <f>"20190312154859935"</f>
        <v>20190312154859935</v>
      </c>
      <c r="B3276" t="str">
        <f>"1552376939929162"</f>
        <v>1552376939929162</v>
      </c>
      <c r="C3276" t="s">
        <v>40</v>
      </c>
      <c r="D3276">
        <v>4.8414080000000004</v>
      </c>
      <c r="E3276">
        <v>0.53631649999999997</v>
      </c>
      <c r="F3276" t="s">
        <v>41</v>
      </c>
      <c r="G3276">
        <v>-414.95870000000002</v>
      </c>
      <c r="H3276">
        <v>0.87182859999999995</v>
      </c>
      <c r="I3276">
        <v>214.2799</v>
      </c>
      <c r="J3276">
        <v>-415.42649999999998</v>
      </c>
      <c r="K3276">
        <v>1.110053</v>
      </c>
      <c r="L3276">
        <v>214.41929999999999</v>
      </c>
      <c r="M3276">
        <v>0.99988880000000002</v>
      </c>
      <c r="N3276">
        <v>0</v>
      </c>
      <c r="O3276">
        <v>7.6067769999999999E-4</v>
      </c>
      <c r="P3276">
        <v>0.99630059999999998</v>
      </c>
      <c r="Q3276">
        <v>3.1251340000000002E-2</v>
      </c>
      <c r="R3276">
        <v>-8.0054600000000004E-2</v>
      </c>
      <c r="S3276">
        <v>2.9978940000000001</v>
      </c>
      <c r="T3276">
        <v>-0.84361369999999902</v>
      </c>
      <c r="U3276">
        <v>-0.49069210000000002</v>
      </c>
      <c r="V3276">
        <v>8.0804589999999996E-2</v>
      </c>
      <c r="W3276">
        <v>4.6107929999999998E-2</v>
      </c>
      <c r="X3276">
        <v>0.99566290000000002</v>
      </c>
      <c r="Y3276">
        <v>0.1563348</v>
      </c>
      <c r="Z3276">
        <v>-2.1651360000000001E-2</v>
      </c>
      <c r="AA3276">
        <v>0.98746679999999998</v>
      </c>
      <c r="AB3276">
        <v>38</v>
      </c>
      <c r="AC3276">
        <v>0.46779999999995397</v>
      </c>
      <c r="AD3276">
        <v>-0.2382244</v>
      </c>
      <c r="AE3276">
        <v>-0.139399999999994</v>
      </c>
      <c r="AF3276">
        <v>0.112872028588712</v>
      </c>
      <c r="AG3276">
        <v>-0.2382244</v>
      </c>
      <c r="AH3276">
        <v>0.37772695593835598</v>
      </c>
      <c r="AI3276">
        <v>121.14359587389499</v>
      </c>
      <c r="AJ3276">
        <v>73.362849915509102</v>
      </c>
      <c r="AK3276">
        <v>0.46061764277494599</v>
      </c>
      <c r="AL3276">
        <v>87.357273175939298</v>
      </c>
      <c r="AM3276">
        <v>85.360239413715107</v>
      </c>
      <c r="AN3276">
        <v>0.99999996670518099</v>
      </c>
    </row>
    <row r="3277" spans="1:40" x14ac:dyDescent="0.25">
      <c r="A3277" t="str">
        <f>"20190312154859957"</f>
        <v>20190312154859957</v>
      </c>
      <c r="B3277" t="str">
        <f>"1552376939948681"</f>
        <v>1552376939948681</v>
      </c>
      <c r="C3277" t="s">
        <v>40</v>
      </c>
      <c r="D3277">
        <v>4.8458649999999999</v>
      </c>
      <c r="E3277">
        <v>0.53643909999999995</v>
      </c>
      <c r="F3277" t="s">
        <v>41</v>
      </c>
      <c r="G3277">
        <v>-414.61750000000001</v>
      </c>
      <c r="H3277">
        <v>0.88256409999999996</v>
      </c>
      <c r="I3277">
        <v>214.28710000000001</v>
      </c>
      <c r="J3277">
        <v>-415.06479999999999</v>
      </c>
      <c r="K3277">
        <v>1.1100369999999999</v>
      </c>
      <c r="L3277">
        <v>214.4196</v>
      </c>
      <c r="M3277">
        <v>0.99988880000000002</v>
      </c>
      <c r="N3277">
        <v>0</v>
      </c>
      <c r="O3277">
        <v>7.5601899999999905E-4</v>
      </c>
      <c r="P3277">
        <v>0.99624650000000003</v>
      </c>
      <c r="Q3277">
        <v>3.1908249999999999E-2</v>
      </c>
      <c r="R3277">
        <v>-8.0470479999999997E-2</v>
      </c>
      <c r="S3277">
        <v>2.998291</v>
      </c>
      <c r="T3277">
        <v>-0.8431902</v>
      </c>
      <c r="U3277">
        <v>-0.48925780000000002</v>
      </c>
      <c r="V3277">
        <v>8.1217609999999996E-2</v>
      </c>
      <c r="W3277">
        <v>4.6757640000000003E-2</v>
      </c>
      <c r="X3277">
        <v>0.99559900000000001</v>
      </c>
      <c r="Y3277">
        <v>0.1558737</v>
      </c>
      <c r="Z3277">
        <v>-2.157446E-2</v>
      </c>
      <c r="AA3277">
        <v>0.98754140000000001</v>
      </c>
      <c r="AB3277">
        <v>38</v>
      </c>
      <c r="AC3277">
        <v>0.44729999999998399</v>
      </c>
      <c r="AD3277">
        <v>-0.22747290000000001</v>
      </c>
      <c r="AE3277">
        <v>-0.13249999999999301</v>
      </c>
      <c r="AF3277">
        <v>0.10732167603109299</v>
      </c>
      <c r="AG3277">
        <v>-0.22747290000000001</v>
      </c>
      <c r="AH3277">
        <v>0.36129842197280199</v>
      </c>
      <c r="AI3277">
        <v>121.11243475339199</v>
      </c>
      <c r="AJ3277">
        <v>73.456242345970097</v>
      </c>
      <c r="AK3277">
        <v>0.44022541055755698</v>
      </c>
      <c r="AL3277">
        <v>87.320007355527494</v>
      </c>
      <c r="AM3277">
        <v>85.336330350825193</v>
      </c>
      <c r="AN3277">
        <v>0.99999997293674003</v>
      </c>
    </row>
    <row r="3278" spans="1:40" x14ac:dyDescent="0.25">
      <c r="A3278" t="str">
        <f>"20190312154859980"</f>
        <v>20190312154859980</v>
      </c>
      <c r="B3278" t="str">
        <f>"1552376939969178"</f>
        <v>1552376939969178</v>
      </c>
      <c r="C3278" t="s">
        <v>40</v>
      </c>
      <c r="D3278">
        <v>4.8016730000000001</v>
      </c>
      <c r="E3278">
        <v>0.5365626</v>
      </c>
      <c r="F3278" t="s">
        <v>41</v>
      </c>
      <c r="G3278">
        <v>-414.2783</v>
      </c>
      <c r="H3278">
        <v>0.88918199999999903</v>
      </c>
      <c r="I3278">
        <v>214.29050000000001</v>
      </c>
      <c r="J3278">
        <v>-414.6825</v>
      </c>
      <c r="K3278">
        <v>1.1100270000000001</v>
      </c>
      <c r="L3278">
        <v>214.41990000000001</v>
      </c>
      <c r="M3278">
        <v>0.99988880000000002</v>
      </c>
      <c r="N3278">
        <v>0</v>
      </c>
      <c r="O3278">
        <v>7.5116919999999995E-4</v>
      </c>
      <c r="P3278">
        <v>0.99620649999999999</v>
      </c>
      <c r="Q3278">
        <v>3.2117199999999999E-2</v>
      </c>
      <c r="R3278">
        <v>-8.08783E-2</v>
      </c>
      <c r="S3278">
        <v>2.998535</v>
      </c>
      <c r="T3278">
        <v>-0.84208850000000002</v>
      </c>
      <c r="U3278">
        <v>-0.49134830000000002</v>
      </c>
      <c r="V3278">
        <v>8.1622449999999999E-2</v>
      </c>
      <c r="W3278">
        <v>4.696007E-2</v>
      </c>
      <c r="X3278">
        <v>0.99555640000000001</v>
      </c>
      <c r="Y3278">
        <v>0.1565194</v>
      </c>
      <c r="Z3278">
        <v>-2.1631560000000001E-2</v>
      </c>
      <c r="AA3278">
        <v>0.98743800000000004</v>
      </c>
      <c r="AB3278">
        <v>38</v>
      </c>
      <c r="AC3278">
        <v>0.404200000000003</v>
      </c>
      <c r="AD3278">
        <v>-0.22084500000000001</v>
      </c>
      <c r="AE3278">
        <v>-0.12940000000000301</v>
      </c>
      <c r="AF3278">
        <v>0.102066558900409</v>
      </c>
      <c r="AG3278">
        <v>-0.22084500000000001</v>
      </c>
      <c r="AH3278">
        <v>0.31799705699090802</v>
      </c>
      <c r="AI3278">
        <v>123.47510360181199</v>
      </c>
      <c r="AJ3278">
        <v>72.2050843542428</v>
      </c>
      <c r="AK3278">
        <v>0.40039009069362602</v>
      </c>
      <c r="AL3278">
        <v>87.308396313220896</v>
      </c>
      <c r="AM3278">
        <v>85.312987318604698</v>
      </c>
      <c r="AN3278">
        <v>1.0000000090496799</v>
      </c>
    </row>
    <row r="3279" spans="1:40" x14ac:dyDescent="0.25">
      <c r="A3279" t="str">
        <f>"20190312154900002"</f>
        <v>20190312154900002</v>
      </c>
      <c r="B3279" t="str">
        <f>"1552376939988697"</f>
        <v>1552376939988697</v>
      </c>
      <c r="C3279" t="s">
        <v>40</v>
      </c>
      <c r="D3279">
        <v>4.7946609999999996</v>
      </c>
      <c r="E3279">
        <v>0.53664519999999905</v>
      </c>
      <c r="F3279" t="s">
        <v>41</v>
      </c>
      <c r="G3279">
        <v>-413.9375</v>
      </c>
      <c r="H3279">
        <v>0.90088440000000003</v>
      </c>
      <c r="I3279">
        <v>214.2971</v>
      </c>
      <c r="J3279">
        <v>-414.31009999999998</v>
      </c>
      <c r="K3279">
        <v>1.110023</v>
      </c>
      <c r="L3279">
        <v>214.42019999999999</v>
      </c>
      <c r="M3279">
        <v>0.99988880000000002</v>
      </c>
      <c r="N3279">
        <v>0</v>
      </c>
      <c r="O3279">
        <v>7.4864129999999997E-4</v>
      </c>
      <c r="P3279">
        <v>0.99619690000000005</v>
      </c>
      <c r="Q3279">
        <v>3.2550839999999998E-2</v>
      </c>
      <c r="R3279">
        <v>-8.0821920000000005E-2</v>
      </c>
      <c r="S3279">
        <v>2.9985050000000002</v>
      </c>
      <c r="T3279">
        <v>-0.84182309999999905</v>
      </c>
      <c r="U3279">
        <v>-0.4936218</v>
      </c>
      <c r="V3279">
        <v>8.1565040000000005E-2</v>
      </c>
      <c r="W3279">
        <v>4.7387789999999999E-2</v>
      </c>
      <c r="X3279">
        <v>0.99554089999999995</v>
      </c>
      <c r="Y3279">
        <v>0.15722549999999999</v>
      </c>
      <c r="Z3279">
        <v>-2.1719869999999999E-2</v>
      </c>
      <c r="AA3279">
        <v>0.98732390000000003</v>
      </c>
      <c r="AB3279">
        <v>38</v>
      </c>
      <c r="AC3279">
        <v>0.37259999999997701</v>
      </c>
      <c r="AD3279">
        <v>-0.20913859999999901</v>
      </c>
      <c r="AE3279">
        <v>-0.12309999999999301</v>
      </c>
      <c r="AF3279">
        <v>9.6085924466626796E-2</v>
      </c>
      <c r="AG3279">
        <v>-0.20913859999999901</v>
      </c>
      <c r="AH3279">
        <v>0.290104205161826</v>
      </c>
      <c r="AI3279">
        <v>124.38571780563301</v>
      </c>
      <c r="AJ3279">
        <v>71.674522181029701</v>
      </c>
      <c r="AK3279">
        <v>0.37031325758490102</v>
      </c>
      <c r="AL3279">
        <v>87.283862616998206</v>
      </c>
      <c r="AM3279">
        <v>85.316196707108602</v>
      </c>
      <c r="AN3279">
        <v>1.00000007098204</v>
      </c>
    </row>
    <row r="3280" spans="1:40" x14ac:dyDescent="0.25">
      <c r="A3280" t="str">
        <f>"20190312154900026"</f>
        <v>20190312154900026</v>
      </c>
      <c r="B3280" t="str">
        <f>"1552376940018953"</f>
        <v>1552376940018953</v>
      </c>
      <c r="C3280" t="s">
        <v>40</v>
      </c>
      <c r="D3280">
        <v>4.8517929999999998</v>
      </c>
      <c r="E3280">
        <v>0.48664000000000002</v>
      </c>
      <c r="F3280" t="s">
        <v>41</v>
      </c>
      <c r="G3280">
        <v>-413.59789999999998</v>
      </c>
      <c r="H3280">
        <v>0.91038110000000005</v>
      </c>
      <c r="I3280">
        <v>214.3021</v>
      </c>
      <c r="J3280">
        <v>-413.91840000000002</v>
      </c>
      <c r="K3280">
        <v>1.1100190000000001</v>
      </c>
      <c r="L3280">
        <v>214.4205</v>
      </c>
      <c r="M3280">
        <v>0.99988900000000003</v>
      </c>
      <c r="N3280">
        <v>0</v>
      </c>
      <c r="O3280">
        <v>7.4829710000000002E-4</v>
      </c>
      <c r="P3280">
        <v>0.9961911</v>
      </c>
      <c r="Q3280">
        <v>3.3413270000000002E-2</v>
      </c>
      <c r="R3280">
        <v>-8.0541310000000005E-2</v>
      </c>
      <c r="S3280">
        <v>2.9987490000000001</v>
      </c>
      <c r="T3280">
        <v>-0.84061929999999996</v>
      </c>
      <c r="U3280">
        <v>-0.49548340000000002</v>
      </c>
      <c r="V3280">
        <v>8.1285350000000006E-2</v>
      </c>
      <c r="W3280">
        <v>4.8244160000000001E-2</v>
      </c>
      <c r="X3280">
        <v>0.99552260000000004</v>
      </c>
      <c r="Y3280">
        <v>0.15780549999999999</v>
      </c>
      <c r="Z3280">
        <v>-2.1766400000000002E-2</v>
      </c>
      <c r="AA3280">
        <v>0.98723030000000001</v>
      </c>
      <c r="AB3280">
        <v>38</v>
      </c>
      <c r="AC3280">
        <v>0.32050000000003798</v>
      </c>
      <c r="AD3280">
        <v>-0.19963790000000001</v>
      </c>
      <c r="AE3280">
        <v>-0.118400000000008</v>
      </c>
      <c r="AF3280">
        <v>8.8444402520002297E-2</v>
      </c>
      <c r="AG3280">
        <v>-0.19963790000000001</v>
      </c>
      <c r="AH3280">
        <v>0.238862344408201</v>
      </c>
      <c r="AI3280">
        <v>128.08872319621099</v>
      </c>
      <c r="AJ3280">
        <v>69.681742758780999</v>
      </c>
      <c r="AK3280">
        <v>0.32362466381552601</v>
      </c>
      <c r="AL3280">
        <v>87.2347399225864</v>
      </c>
      <c r="AM3280">
        <v>85.332101149337603</v>
      </c>
      <c r="AN3280">
        <v>1.00000002710474</v>
      </c>
    </row>
    <row r="3281" spans="1:40" x14ac:dyDescent="0.25">
      <c r="A3281" t="str">
        <f>"20190312154900049"</f>
        <v>20190312154900049</v>
      </c>
      <c r="B3281" t="str">
        <f>"1552376940039450"</f>
        <v>1552376940039450</v>
      </c>
      <c r="C3281" t="s">
        <v>40</v>
      </c>
      <c r="D3281">
        <v>4.8236679999999996</v>
      </c>
      <c r="E3281">
        <v>0.4806144</v>
      </c>
      <c r="F3281" t="s">
        <v>41</v>
      </c>
      <c r="G3281">
        <v>-412.8777</v>
      </c>
      <c r="H3281">
        <v>1.0151239999999999</v>
      </c>
      <c r="I3281">
        <v>214.37870000000001</v>
      </c>
      <c r="J3281">
        <v>-413.5335</v>
      </c>
      <c r="K3281">
        <v>1.110012</v>
      </c>
      <c r="L3281">
        <v>214.42080000000001</v>
      </c>
      <c r="M3281">
        <v>0.99988909999999998</v>
      </c>
      <c r="N3281">
        <v>0</v>
      </c>
      <c r="O3281">
        <v>7.4967169999999995E-4</v>
      </c>
      <c r="P3281">
        <v>0.99624380000000001</v>
      </c>
      <c r="Q3281">
        <v>3.3457720000000003E-2</v>
      </c>
      <c r="R3281">
        <v>-7.9871139999999993E-2</v>
      </c>
      <c r="S3281">
        <v>3.0109859999999999</v>
      </c>
      <c r="T3281">
        <v>-0.27463710000000002</v>
      </c>
      <c r="U3281">
        <v>-0.12016300000000001</v>
      </c>
      <c r="V3281">
        <v>8.0617320000000006E-2</v>
      </c>
      <c r="W3281">
        <v>4.8284180000000003E-2</v>
      </c>
      <c r="X3281">
        <v>0.99557499999999999</v>
      </c>
      <c r="Y3281">
        <v>4.0454799999999999E-2</v>
      </c>
      <c r="Z3281">
        <v>-1.908643E-3</v>
      </c>
      <c r="AA3281">
        <v>0.9991795</v>
      </c>
      <c r="AB3281">
        <v>38</v>
      </c>
      <c r="AC3281">
        <v>0.65579999999999905</v>
      </c>
      <c r="AD3281">
        <v>-9.4888E-2</v>
      </c>
      <c r="AE3281">
        <v>-4.2100000000004897E-2</v>
      </c>
      <c r="AF3281">
        <v>4.1721802561985703E-2</v>
      </c>
      <c r="AG3281">
        <v>-9.4888E-2</v>
      </c>
      <c r="AH3281">
        <v>0.64237511307918504</v>
      </c>
      <c r="AI3281">
        <v>98.385228963187203</v>
      </c>
      <c r="AJ3281">
        <v>86.283899720669197</v>
      </c>
      <c r="AK3281">
        <v>0.65068442985560804</v>
      </c>
      <c r="AL3281">
        <v>87.232444326628595</v>
      </c>
      <c r="AM3281">
        <v>85.370538655521301</v>
      </c>
      <c r="AN3281">
        <v>1.0000000474736199</v>
      </c>
    </row>
    <row r="3282" spans="1:40" x14ac:dyDescent="0.25">
      <c r="A3282" t="str">
        <f>"20190312154900071"</f>
        <v>20190312154900071</v>
      </c>
      <c r="B3282" t="str">
        <f>"1552376940058969"</f>
        <v>1552376940058969</v>
      </c>
      <c r="C3282" t="s">
        <v>40</v>
      </c>
      <c r="D3282">
        <v>4.8392390000000001</v>
      </c>
      <c r="E3282">
        <v>0.47887439999999998</v>
      </c>
      <c r="F3282" t="s">
        <v>50</v>
      </c>
      <c r="G3282">
        <v>-394.39830000000001</v>
      </c>
      <c r="H3282" s="1">
        <v>8.0376430000000003E-7</v>
      </c>
      <c r="I3282">
        <v>213.94980000000001</v>
      </c>
      <c r="J3282">
        <v>-413.15629999999999</v>
      </c>
      <c r="K3282">
        <v>1.1100049999999999</v>
      </c>
      <c r="L3282">
        <v>214.4211</v>
      </c>
      <c r="M3282">
        <v>0.99988900000000003</v>
      </c>
      <c r="N3282">
        <v>0</v>
      </c>
      <c r="O3282">
        <v>7.5132629999999996E-4</v>
      </c>
      <c r="P3282">
        <v>0.9963069</v>
      </c>
      <c r="Q3282">
        <v>3.3547649999999998E-2</v>
      </c>
      <c r="R3282">
        <v>-7.9039419999999999E-2</v>
      </c>
      <c r="S3282">
        <v>3.0112299999999999</v>
      </c>
      <c r="T3282">
        <v>-0.174678</v>
      </c>
      <c r="U3282">
        <v>-7.4127199999999893E-2</v>
      </c>
      <c r="V3282">
        <v>7.9787979999999994E-2</v>
      </c>
      <c r="W3282">
        <v>4.8370379999999998E-2</v>
      </c>
      <c r="X3282">
        <v>0.99563760000000001</v>
      </c>
      <c r="Y3282">
        <v>2.531684E-2</v>
      </c>
      <c r="Z3282">
        <v>-7.7711800000000004E-4</v>
      </c>
      <c r="AA3282">
        <v>0.99967910000000004</v>
      </c>
      <c r="AB3282">
        <v>37</v>
      </c>
      <c r="AC3282">
        <v>18.7579999999999</v>
      </c>
      <c r="AD3282">
        <v>-1.1100041962356999</v>
      </c>
      <c r="AE3282">
        <v>-0.47129999999998501</v>
      </c>
      <c r="AF3282">
        <v>0.48370210590278001</v>
      </c>
      <c r="AG3282">
        <v>-1.1100041962356999</v>
      </c>
      <c r="AH3282">
        <v>18.692227700917801</v>
      </c>
      <c r="AI3282">
        <v>93.397280892132997</v>
      </c>
      <c r="AJ3282">
        <v>88.517677716600303</v>
      </c>
      <c r="AK3282">
        <v>18.7314028696698</v>
      </c>
      <c r="AL3282">
        <v>87.227499585106997</v>
      </c>
      <c r="AM3282">
        <v>85.418246648461604</v>
      </c>
      <c r="AN3282">
        <v>1.00000002297379</v>
      </c>
    </row>
    <row r="3283" spans="1:40" x14ac:dyDescent="0.25">
      <c r="A3283" t="str">
        <f>"20190312154900094"</f>
        <v>20190312154900094</v>
      </c>
      <c r="B3283" t="str">
        <f>"1552376940079466"</f>
        <v>1552376940079466</v>
      </c>
      <c r="C3283" t="s">
        <v>40</v>
      </c>
      <c r="D3283">
        <v>4.8258789999999996</v>
      </c>
      <c r="E3283">
        <v>0.47886319999999999</v>
      </c>
      <c r="F3283" t="s">
        <v>50</v>
      </c>
      <c r="G3283">
        <v>-388.64120000000003</v>
      </c>
      <c r="H3283" s="1">
        <v>3.091242E-6</v>
      </c>
      <c r="I3283">
        <v>213.93870000000001</v>
      </c>
      <c r="J3283">
        <v>-412.78789999999998</v>
      </c>
      <c r="K3283">
        <v>1.1100080000000001</v>
      </c>
      <c r="L3283">
        <v>214.42140000000001</v>
      </c>
      <c r="M3283">
        <v>0.99988909999999998</v>
      </c>
      <c r="N3283">
        <v>0</v>
      </c>
      <c r="O3283">
        <v>7.5259109999999997E-4</v>
      </c>
      <c r="P3283">
        <v>0.99636599999999997</v>
      </c>
      <c r="Q3283">
        <v>3.3182059999999999E-2</v>
      </c>
      <c r="R3283">
        <v>-7.8445970000000004E-2</v>
      </c>
      <c r="S3283">
        <v>3.0109859999999999</v>
      </c>
      <c r="T3283">
        <v>-0.1363326</v>
      </c>
      <c r="U3283">
        <v>-5.9249879999999998E-2</v>
      </c>
      <c r="V3283">
        <v>7.9196459999999996E-2</v>
      </c>
      <c r="W3283">
        <v>4.8001740000000001E-2</v>
      </c>
      <c r="X3283">
        <v>0.99570259999999999</v>
      </c>
      <c r="Y3283">
        <v>2.040494E-2</v>
      </c>
      <c r="Z3283">
        <v>-4.9572959999999997E-4</v>
      </c>
      <c r="AA3283">
        <v>0.99979169999999995</v>
      </c>
      <c r="AB3283">
        <v>37</v>
      </c>
      <c r="AC3283">
        <v>24.1466999999999</v>
      </c>
      <c r="AD3283">
        <v>-1.110004908758</v>
      </c>
      <c r="AE3283">
        <v>-0.48269999999999402</v>
      </c>
      <c r="AF3283">
        <v>0.49981868576365102</v>
      </c>
      <c r="AG3283">
        <v>-1.110004908758</v>
      </c>
      <c r="AH3283">
        <v>24.095432463217701</v>
      </c>
      <c r="AI3283">
        <v>92.637014936774094</v>
      </c>
      <c r="AJ3283">
        <v>88.811667111714996</v>
      </c>
      <c r="AK3283">
        <v>24.126164121252099</v>
      </c>
      <c r="AL3283">
        <v>87.248645482967405</v>
      </c>
      <c r="AM3283">
        <v>85.452366774947194</v>
      </c>
      <c r="AN3283">
        <v>0.99999995698315802</v>
      </c>
    </row>
    <row r="3284" spans="1:40" x14ac:dyDescent="0.25">
      <c r="A3284" t="str">
        <f>"20190312154900126"</f>
        <v>20190312154900126</v>
      </c>
      <c r="B3284" t="str">
        <f>"1552376940119482"</f>
        <v>1552376940119482</v>
      </c>
      <c r="C3284" t="s">
        <v>40</v>
      </c>
      <c r="D3284">
        <v>4.8182029999999996</v>
      </c>
      <c r="E3284">
        <v>0.47901189999999999</v>
      </c>
      <c r="F3284" t="s">
        <v>50</v>
      </c>
      <c r="G3284">
        <v>-386.01580000000001</v>
      </c>
      <c r="H3284" s="1">
        <v>1.6955959999999901E-6</v>
      </c>
      <c r="I3284">
        <v>213.9058</v>
      </c>
      <c r="J3284">
        <v>-412.24979999999999</v>
      </c>
      <c r="K3284">
        <v>1.1100049999999999</v>
      </c>
      <c r="L3284">
        <v>214.42189999999999</v>
      </c>
      <c r="M3284">
        <v>0.99988909999999998</v>
      </c>
      <c r="N3284">
        <v>0</v>
      </c>
      <c r="O3284">
        <v>7.5392729999999896E-4</v>
      </c>
      <c r="P3284">
        <v>0.99638579999999999</v>
      </c>
      <c r="Q3284">
        <v>3.2480660000000001E-2</v>
      </c>
      <c r="R3284">
        <v>-7.8487269999999998E-2</v>
      </c>
      <c r="S3284">
        <v>3.0104980000000001</v>
      </c>
      <c r="T3284">
        <v>-0.12481920000000001</v>
      </c>
      <c r="U3284">
        <v>-5.7983399999999997E-2</v>
      </c>
      <c r="V3284">
        <v>7.9239500000000004E-2</v>
      </c>
      <c r="W3284">
        <v>4.729444E-2</v>
      </c>
      <c r="X3284">
        <v>0.99573310000000004</v>
      </c>
      <c r="Y3284">
        <v>1.9992880000000001E-2</v>
      </c>
      <c r="Z3284">
        <v>-4.4549500000000002E-4</v>
      </c>
      <c r="AA3284">
        <v>0.99980000000000002</v>
      </c>
      <c r="AB3284">
        <v>37</v>
      </c>
      <c r="AC3284">
        <v>26.233999999999899</v>
      </c>
      <c r="AD3284">
        <v>-1.1100033044040001</v>
      </c>
      <c r="AE3284">
        <v>-0.51609999999999401</v>
      </c>
      <c r="AF3284">
        <v>0.53492328136642797</v>
      </c>
      <c r="AG3284">
        <v>-1.1100033044040001</v>
      </c>
      <c r="AH3284">
        <v>26.186740093836299</v>
      </c>
      <c r="AI3284">
        <v>92.426694361822797</v>
      </c>
      <c r="AJ3284">
        <v>88.829767112453496</v>
      </c>
      <c r="AK3284">
        <v>26.215712978953501</v>
      </c>
      <c r="AL3284">
        <v>87.289217082106106</v>
      </c>
      <c r="AM3284">
        <v>85.450044486831601</v>
      </c>
      <c r="AN3284">
        <v>1.0000000344253801</v>
      </c>
    </row>
    <row r="3285" spans="1:40" x14ac:dyDescent="0.25">
      <c r="A3285" t="str">
        <f>"20190312154900148"</f>
        <v>20190312154900148</v>
      </c>
      <c r="B3285" t="str">
        <f>"1552376940139002"</f>
        <v>1552376940139002</v>
      </c>
      <c r="C3285" t="s">
        <v>40</v>
      </c>
      <c r="D3285">
        <v>4.8196640000000004</v>
      </c>
      <c r="E3285">
        <v>0.47920410000000002</v>
      </c>
      <c r="F3285" t="s">
        <v>50</v>
      </c>
      <c r="G3285">
        <v>-383.72859999999997</v>
      </c>
      <c r="H3285" s="1">
        <v>4.8060279999999999E-7</v>
      </c>
      <c r="I3285">
        <v>213.8562</v>
      </c>
      <c r="J3285">
        <v>-411.88080000000002</v>
      </c>
      <c r="K3285">
        <v>1.110004</v>
      </c>
      <c r="L3285">
        <v>214.4221</v>
      </c>
      <c r="M3285">
        <v>0.99988929999999998</v>
      </c>
      <c r="N3285">
        <v>0</v>
      </c>
      <c r="O3285">
        <v>7.5428029999999996E-4</v>
      </c>
      <c r="P3285">
        <v>0.99636199999999997</v>
      </c>
      <c r="Q3285">
        <v>3.2400089999999999E-2</v>
      </c>
      <c r="R3285">
        <v>-7.8822699999999996E-2</v>
      </c>
      <c r="S3285">
        <v>3.0100099999999999</v>
      </c>
      <c r="T3285">
        <v>-0.1171451</v>
      </c>
      <c r="U3285">
        <v>-5.9692380000000003E-2</v>
      </c>
      <c r="V3285">
        <v>7.9575549999999995E-2</v>
      </c>
      <c r="W3285">
        <v>4.7209180000000003E-2</v>
      </c>
      <c r="X3285">
        <v>0.99571030000000005</v>
      </c>
      <c r="Y3285">
        <v>2.0565469999999999E-2</v>
      </c>
      <c r="Z3285">
        <v>-4.2934260000000003E-4</v>
      </c>
      <c r="AA3285">
        <v>0.99978840000000002</v>
      </c>
      <c r="AB3285">
        <v>37</v>
      </c>
      <c r="AC3285">
        <v>28.152200000000001</v>
      </c>
      <c r="AD3285">
        <v>-1.1100035193972</v>
      </c>
      <c r="AE3285">
        <v>-0.56589999999999896</v>
      </c>
      <c r="AF3285">
        <v>0.58622584387499999</v>
      </c>
      <c r="AG3285">
        <v>-1.1100035193972</v>
      </c>
      <c r="AH3285">
        <v>28.108085375204201</v>
      </c>
      <c r="AI3285">
        <v>92.2609751010623</v>
      </c>
      <c r="AJ3285">
        <v>88.805205069488807</v>
      </c>
      <c r="AK3285">
        <v>28.136101933510002</v>
      </c>
      <c r="AL3285">
        <v>87.294107457515693</v>
      </c>
      <c r="AM3285">
        <v>85.430725748485102</v>
      </c>
      <c r="AN3285">
        <v>0.99999998818008196</v>
      </c>
    </row>
    <row r="3286" spans="1:40" x14ac:dyDescent="0.25">
      <c r="A3286" t="str">
        <f>"20190312154900170"</f>
        <v>20190312154900170</v>
      </c>
      <c r="B3286" t="str">
        <f>"1552376940159497"</f>
        <v>1552376940159497</v>
      </c>
      <c r="C3286" t="s">
        <v>40</v>
      </c>
      <c r="D3286">
        <v>4.793107</v>
      </c>
      <c r="E3286">
        <v>0.47909020000000002</v>
      </c>
      <c r="F3286" t="s">
        <v>50</v>
      </c>
      <c r="G3286">
        <v>-382.81360000000001</v>
      </c>
      <c r="H3286" s="1">
        <v>-4.555119E-9</v>
      </c>
      <c r="I3286">
        <v>213.81569999999999</v>
      </c>
      <c r="J3286">
        <v>-411.50510000000003</v>
      </c>
      <c r="K3286">
        <v>1.109999</v>
      </c>
      <c r="L3286">
        <v>214.42240000000001</v>
      </c>
      <c r="M3286">
        <v>0.99988929999999998</v>
      </c>
      <c r="N3286">
        <v>0</v>
      </c>
      <c r="O3286">
        <v>7.5493719999999997E-4</v>
      </c>
      <c r="P3286">
        <v>0.9962801</v>
      </c>
      <c r="Q3286">
        <v>3.3160460000000003E-2</v>
      </c>
      <c r="R3286">
        <v>-7.9540769999999997E-2</v>
      </c>
      <c r="S3286">
        <v>3.009735</v>
      </c>
      <c r="T3286">
        <v>-0.1149342</v>
      </c>
      <c r="U3286">
        <v>-6.2789919999999999E-2</v>
      </c>
      <c r="V3286">
        <v>8.0294199999999996E-2</v>
      </c>
      <c r="W3286">
        <v>4.7964109999999997E-2</v>
      </c>
      <c r="X3286">
        <v>0.99561659999999996</v>
      </c>
      <c r="Y3286">
        <v>2.1596299999999999E-2</v>
      </c>
      <c r="Z3286">
        <v>-4.4097789999999998E-4</v>
      </c>
      <c r="AA3286">
        <v>0.99976659999999995</v>
      </c>
      <c r="AB3286">
        <v>37</v>
      </c>
      <c r="AC3286">
        <v>28.691500000000001</v>
      </c>
      <c r="AD3286">
        <v>-1.10999900455511</v>
      </c>
      <c r="AE3286">
        <v>-0.606700000000017</v>
      </c>
      <c r="AF3286">
        <v>0.62742384561011</v>
      </c>
      <c r="AG3286">
        <v>-1.10999900455511</v>
      </c>
      <c r="AH3286">
        <v>28.648174805515598</v>
      </c>
      <c r="AI3286">
        <v>92.218334590102799</v>
      </c>
      <c r="AJ3286">
        <v>88.745365365712104</v>
      </c>
      <c r="AK3286">
        <v>28.6765353234928</v>
      </c>
      <c r="AL3286">
        <v>87.250804304787096</v>
      </c>
      <c r="AM3286">
        <v>85.389205527642105</v>
      </c>
      <c r="AN3286">
        <v>1.00000006429864</v>
      </c>
    </row>
    <row r="3287" spans="1:40" x14ac:dyDescent="0.25">
      <c r="A3287" t="str">
        <f>"20190312154900191"</f>
        <v>20190312154900191</v>
      </c>
      <c r="B3287" t="str">
        <f>"1552376940179018"</f>
        <v>1552376940179018</v>
      </c>
      <c r="C3287" t="s">
        <v>40</v>
      </c>
      <c r="D3287">
        <v>4.7572269999999897</v>
      </c>
      <c r="E3287">
        <v>0.47895929999999998</v>
      </c>
      <c r="F3287" t="s">
        <v>50</v>
      </c>
      <c r="G3287">
        <v>-382.47199999999998</v>
      </c>
      <c r="H3287" s="1">
        <v>-1.8593090000000001E-7</v>
      </c>
      <c r="I3287">
        <v>213.80699999999999</v>
      </c>
      <c r="J3287">
        <v>-411.15440000000001</v>
      </c>
      <c r="K3287">
        <v>1.1100080000000001</v>
      </c>
      <c r="L3287">
        <v>214.42269999999999</v>
      </c>
      <c r="M3287">
        <v>0.99988929999999998</v>
      </c>
      <c r="N3287">
        <v>0</v>
      </c>
      <c r="O3287">
        <v>7.5530369999999897E-4</v>
      </c>
      <c r="P3287">
        <v>0.99623550000000005</v>
      </c>
      <c r="Q3287">
        <v>3.4360040000000001E-2</v>
      </c>
      <c r="R3287">
        <v>-7.9590510000000003E-2</v>
      </c>
      <c r="S3287">
        <v>3.0099179999999999</v>
      </c>
      <c r="T3287">
        <v>-0.11507589999999999</v>
      </c>
      <c r="U3287">
        <v>-6.3797000000000006E-2</v>
      </c>
      <c r="V3287">
        <v>8.0344380000000007E-2</v>
      </c>
      <c r="W3287">
        <v>4.9159090000000003E-2</v>
      </c>
      <c r="X3287">
        <v>0.99555419999999994</v>
      </c>
      <c r="Y3287">
        <v>2.192947E-2</v>
      </c>
      <c r="Z3287">
        <v>-4.4787290000000002E-4</v>
      </c>
      <c r="AA3287">
        <v>0.99975939999999996</v>
      </c>
      <c r="AB3287">
        <v>37</v>
      </c>
      <c r="AC3287">
        <v>28.682400000000001</v>
      </c>
      <c r="AD3287">
        <v>-1.1100081859308999</v>
      </c>
      <c r="AE3287">
        <v>-0.61569999999997505</v>
      </c>
      <c r="AF3287">
        <v>0.63641342962895298</v>
      </c>
      <c r="AG3287">
        <v>-1.1100081859308999</v>
      </c>
      <c r="AH3287">
        <v>28.639054109088899</v>
      </c>
      <c r="AI3287">
        <v>92.219043009898797</v>
      </c>
      <c r="AJ3287">
        <v>88.726989966275795</v>
      </c>
      <c r="AK3287">
        <v>28.667622163157599</v>
      </c>
      <c r="AL3287">
        <v>87.182255940233503</v>
      </c>
      <c r="AM3287">
        <v>85.386048509876503</v>
      </c>
      <c r="AN3287">
        <v>1.0000000003324201</v>
      </c>
    </row>
    <row r="3288" spans="1:40" x14ac:dyDescent="0.25">
      <c r="A3288" t="str">
        <f>"20190312154900214"</f>
        <v>20190312154900214</v>
      </c>
      <c r="B3288" t="str">
        <f>"1552376940209274"</f>
        <v>1552376940209274</v>
      </c>
      <c r="C3288" t="s">
        <v>40</v>
      </c>
      <c r="D3288">
        <v>4.7770029999999997</v>
      </c>
      <c r="E3288">
        <v>0.47913539999999999</v>
      </c>
      <c r="F3288" t="s">
        <v>50</v>
      </c>
      <c r="G3288">
        <v>-381.73160000000001</v>
      </c>
      <c r="H3288" s="1">
        <v>-5.8002419999999996E-7</v>
      </c>
      <c r="I3288">
        <v>213.8083</v>
      </c>
      <c r="J3288">
        <v>-410.7851</v>
      </c>
      <c r="K3288">
        <v>1.1100139999999901</v>
      </c>
      <c r="L3288">
        <v>214.423</v>
      </c>
      <c r="M3288">
        <v>0.99988929999999998</v>
      </c>
      <c r="N3288">
        <v>0</v>
      </c>
      <c r="O3288">
        <v>7.5579460000000005E-4</v>
      </c>
      <c r="P3288">
        <v>0.99622120000000003</v>
      </c>
      <c r="Q3288">
        <v>3.4813520000000001E-2</v>
      </c>
      <c r="R3288">
        <v>-7.957198E-2</v>
      </c>
      <c r="S3288">
        <v>3.0101930000000001</v>
      </c>
      <c r="T3288">
        <v>-0.11356280000000001</v>
      </c>
      <c r="U3288">
        <v>-6.2850950000000003E-2</v>
      </c>
      <c r="V3288">
        <v>8.0326620000000001E-2</v>
      </c>
      <c r="W3288">
        <v>4.9608670000000001E-2</v>
      </c>
      <c r="X3288">
        <v>0.99553329999999995</v>
      </c>
      <c r="Y3288">
        <v>2.1614629999999999E-2</v>
      </c>
      <c r="Z3288">
        <v>-4.3603160000000001E-4</v>
      </c>
      <c r="AA3288">
        <v>0.9997663</v>
      </c>
      <c r="AB3288">
        <v>37</v>
      </c>
      <c r="AC3288">
        <v>29.0534999999999</v>
      </c>
      <c r="AD3288">
        <v>-1.1100145800241901</v>
      </c>
      <c r="AE3288">
        <v>-0.61469999999999902</v>
      </c>
      <c r="AF3288">
        <v>0.63573316985724204</v>
      </c>
      <c r="AG3288">
        <v>-1.1100145800241901</v>
      </c>
      <c r="AH3288">
        <v>29.010699399458399</v>
      </c>
      <c r="AI3288">
        <v>92.190671030454197</v>
      </c>
      <c r="AJ3288">
        <v>88.744635620250094</v>
      </c>
      <c r="AK3288">
        <v>29.0388871804148</v>
      </c>
      <c r="AL3288">
        <v>87.156465345767799</v>
      </c>
      <c r="AM3288">
        <v>85.386967589559305</v>
      </c>
      <c r="AN3288">
        <v>0.99999996871434105</v>
      </c>
    </row>
    <row r="3289" spans="1:40" x14ac:dyDescent="0.25">
      <c r="A3289" t="str">
        <f>"20190312154900237"</f>
        <v>20190312154900237</v>
      </c>
      <c r="B3289" t="str">
        <f>"1552376940228793"</f>
        <v>1552376940228793</v>
      </c>
      <c r="C3289" t="s">
        <v>40</v>
      </c>
      <c r="D3289">
        <v>4.7782330000000002</v>
      </c>
      <c r="E3289">
        <v>0.47925899999999999</v>
      </c>
      <c r="F3289" t="s">
        <v>50</v>
      </c>
      <c r="G3289">
        <v>-380.62939999999998</v>
      </c>
      <c r="H3289" s="1">
        <v>-1.1652239999999999E-6</v>
      </c>
      <c r="I3289">
        <v>213.77879999999999</v>
      </c>
      <c r="J3289">
        <v>-410.38749999999999</v>
      </c>
      <c r="K3289">
        <v>1.110012</v>
      </c>
      <c r="L3289">
        <v>214.42320000000001</v>
      </c>
      <c r="M3289">
        <v>0.99988949999999999</v>
      </c>
      <c r="N3289">
        <v>0</v>
      </c>
      <c r="O3289">
        <v>7.559938E-4</v>
      </c>
      <c r="P3289">
        <v>0.99622460000000002</v>
      </c>
      <c r="Q3289">
        <v>3.537245E-2</v>
      </c>
      <c r="R3289">
        <v>-7.928019E-2</v>
      </c>
      <c r="S3289">
        <v>3.010132</v>
      </c>
      <c r="T3289">
        <v>-0.1108016</v>
      </c>
      <c r="U3289">
        <v>-6.4300540000000003E-2</v>
      </c>
      <c r="V3289">
        <v>8.0035309999999998E-2</v>
      </c>
      <c r="W3289">
        <v>5.0163020000000003E-2</v>
      </c>
      <c r="X3289">
        <v>0.995529</v>
      </c>
      <c r="Y3289">
        <v>2.2096919999999999E-2</v>
      </c>
      <c r="Z3289">
        <v>-4.3432319999999998E-4</v>
      </c>
      <c r="AA3289">
        <v>0.99975570000000002</v>
      </c>
      <c r="AB3289">
        <v>37</v>
      </c>
      <c r="AC3289">
        <v>29.758099999999999</v>
      </c>
      <c r="AD3289">
        <v>-1.110013165224</v>
      </c>
      <c r="AE3289">
        <v>-0.64440000000001796</v>
      </c>
      <c r="AF3289">
        <v>0.665973047175487</v>
      </c>
      <c r="AG3289">
        <v>-1.110013165224</v>
      </c>
      <c r="AH3289">
        <v>29.716277013973901</v>
      </c>
      <c r="AI3289">
        <v>92.138678783070105</v>
      </c>
      <c r="AJ3289">
        <v>88.7161561820228</v>
      </c>
      <c r="AK3289">
        <v>29.744457784565</v>
      </c>
      <c r="AL3289">
        <v>87.124663879562306</v>
      </c>
      <c r="AM3289">
        <v>85.403605487250104</v>
      </c>
      <c r="AN3289">
        <v>0.99999998463165796</v>
      </c>
    </row>
    <row r="3290" spans="1:40" x14ac:dyDescent="0.25">
      <c r="A3290" t="str">
        <f>"20190312154900260"</f>
        <v>20190312154900260</v>
      </c>
      <c r="B3290" t="str">
        <f>"1552376940249289"</f>
        <v>1552376940249289</v>
      </c>
      <c r="C3290" t="s">
        <v>40</v>
      </c>
      <c r="D3290">
        <v>4.7670589999999997</v>
      </c>
      <c r="E3290">
        <v>0.47936800000000002</v>
      </c>
      <c r="F3290" t="s">
        <v>50</v>
      </c>
      <c r="G3290">
        <v>-379.56580000000002</v>
      </c>
      <c r="H3290" s="1">
        <v>3.5536550000000002E-6</v>
      </c>
      <c r="I3290">
        <v>213.76089999999999</v>
      </c>
      <c r="J3290">
        <v>-410.02120000000002</v>
      </c>
      <c r="K3290">
        <v>1.1100179999999999</v>
      </c>
      <c r="L3290">
        <v>214.42349999999999</v>
      </c>
      <c r="M3290">
        <v>0.99988949999999999</v>
      </c>
      <c r="N3290">
        <v>0</v>
      </c>
      <c r="O3290">
        <v>7.5637419999999896E-4</v>
      </c>
      <c r="P3290">
        <v>0.99621669999999996</v>
      </c>
      <c r="Q3290">
        <v>3.6102229999999999E-2</v>
      </c>
      <c r="R3290">
        <v>-7.9051170000000004E-2</v>
      </c>
      <c r="S3290">
        <v>3.0100709999999999</v>
      </c>
      <c r="T3290">
        <v>-0.1084043</v>
      </c>
      <c r="U3290">
        <v>-6.4682009999999998E-2</v>
      </c>
      <c r="V3290">
        <v>7.9806489999999994E-2</v>
      </c>
      <c r="W3290">
        <v>5.0888790000000003E-2</v>
      </c>
      <c r="X3290">
        <v>0.99551060000000002</v>
      </c>
      <c r="Y3290">
        <v>2.2224959999999998E-2</v>
      </c>
      <c r="Z3290">
        <v>-4.2725860000000001E-4</v>
      </c>
      <c r="AA3290">
        <v>0.99975290000000006</v>
      </c>
      <c r="AB3290">
        <v>37</v>
      </c>
      <c r="AC3290">
        <v>30.455400000000001</v>
      </c>
      <c r="AD3290">
        <v>-1.1100144463449999</v>
      </c>
      <c r="AE3290">
        <v>-0.66259999999999697</v>
      </c>
      <c r="AF3290">
        <v>0.68472886534560096</v>
      </c>
      <c r="AG3290">
        <v>-1.1100144463449999</v>
      </c>
      <c r="AH3290">
        <v>30.4145065626813</v>
      </c>
      <c r="AI3290">
        <v>92.089622529247706</v>
      </c>
      <c r="AJ3290">
        <v>88.710304642714405</v>
      </c>
      <c r="AK3290">
        <v>30.442457114062201</v>
      </c>
      <c r="AL3290">
        <v>87.083027329730399</v>
      </c>
      <c r="AM3290">
        <v>85.416606104449201</v>
      </c>
      <c r="AN3290">
        <v>1.0000000497530701</v>
      </c>
    </row>
    <row r="3291" spans="1:40" x14ac:dyDescent="0.25">
      <c r="A3291" t="str">
        <f>"20190312154900281"</f>
        <v>20190312154900281</v>
      </c>
      <c r="B3291" t="str">
        <f>"1552376940268809"</f>
        <v>1552376940268809</v>
      </c>
      <c r="C3291" t="s">
        <v>40</v>
      </c>
      <c r="D3291">
        <v>4.7341639999999998</v>
      </c>
      <c r="E3291">
        <v>0.47949950000000002</v>
      </c>
      <c r="F3291" t="s">
        <v>50</v>
      </c>
      <c r="G3291">
        <v>-378.21390000000002</v>
      </c>
      <c r="H3291" s="1">
        <v>2.8342439999999998E-6</v>
      </c>
      <c r="I3291">
        <v>213.74160000000001</v>
      </c>
      <c r="J3291">
        <v>-409.66989999999998</v>
      </c>
      <c r="K3291">
        <v>1.11002</v>
      </c>
      <c r="L3291">
        <v>214.4238</v>
      </c>
      <c r="M3291">
        <v>0.99988949999999999</v>
      </c>
      <c r="N3291">
        <v>0</v>
      </c>
      <c r="O3291">
        <v>7.5639800000000003E-4</v>
      </c>
      <c r="P3291">
        <v>0.99619190000000002</v>
      </c>
      <c r="Q3291">
        <v>3.7039849999999999E-2</v>
      </c>
      <c r="R3291">
        <v>-7.8929979999999997E-2</v>
      </c>
      <c r="S3291">
        <v>3.0100709999999999</v>
      </c>
      <c r="T3291">
        <v>-0.105045899999999</v>
      </c>
      <c r="U3291">
        <v>-6.4529420000000004E-2</v>
      </c>
      <c r="V3291">
        <v>7.968546E-2</v>
      </c>
      <c r="W3291">
        <v>5.1821680000000002E-2</v>
      </c>
      <c r="X3291">
        <v>0.99547209999999997</v>
      </c>
      <c r="Y3291">
        <v>2.217527E-2</v>
      </c>
      <c r="Z3291">
        <v>-4.1316459999999998E-4</v>
      </c>
      <c r="AA3291">
        <v>0.99975400000000003</v>
      </c>
      <c r="AB3291">
        <v>37</v>
      </c>
      <c r="AC3291">
        <v>31.4559999999999</v>
      </c>
      <c r="AD3291">
        <v>-1.1100171657560001</v>
      </c>
      <c r="AE3291">
        <v>-0.68219999999999403</v>
      </c>
      <c r="AF3291">
        <v>0.70511805584963205</v>
      </c>
      <c r="AG3291">
        <v>-1.1100171657560001</v>
      </c>
      <c r="AH3291">
        <v>31.416372455767199</v>
      </c>
      <c r="AI3291">
        <v>92.023048980231707</v>
      </c>
      <c r="AJ3291">
        <v>88.714252992211101</v>
      </c>
      <c r="AK3291">
        <v>31.443883154923</v>
      </c>
      <c r="AL3291">
        <v>87.029505840640397</v>
      </c>
      <c r="AM3291">
        <v>85.423351227328297</v>
      </c>
      <c r="AN3291">
        <v>0.99999998046592098</v>
      </c>
    </row>
    <row r="3292" spans="1:40" x14ac:dyDescent="0.25">
      <c r="A3292" t="str">
        <f>"20190312154900303"</f>
        <v>20190312154900303</v>
      </c>
      <c r="B3292" t="str">
        <f>"1552376940299066"</f>
        <v>1552376940299066</v>
      </c>
      <c r="C3292" t="s">
        <v>40</v>
      </c>
      <c r="D3292">
        <v>4.6870500000000002</v>
      </c>
      <c r="E3292">
        <v>0.47971009999999997</v>
      </c>
      <c r="F3292" t="s">
        <v>50</v>
      </c>
      <c r="G3292">
        <v>-376.68380000000002</v>
      </c>
      <c r="H3292" s="1">
        <v>2.0199809999999998E-6</v>
      </c>
      <c r="I3292">
        <v>213.70670000000001</v>
      </c>
      <c r="J3292">
        <v>-409.29820000000001</v>
      </c>
      <c r="K3292">
        <v>1.1100289999999999</v>
      </c>
      <c r="L3292">
        <v>214.42410000000001</v>
      </c>
      <c r="M3292">
        <v>0.99988960000000005</v>
      </c>
      <c r="N3292">
        <v>0</v>
      </c>
      <c r="O3292">
        <v>7.5654360000000003E-4</v>
      </c>
      <c r="P3292">
        <v>0.99618019999999996</v>
      </c>
      <c r="Q3292">
        <v>3.7264369999999998E-2</v>
      </c>
      <c r="R3292">
        <v>-7.8973080000000001E-2</v>
      </c>
      <c r="S3292">
        <v>3.01004</v>
      </c>
      <c r="T3292">
        <v>-0.1012911</v>
      </c>
      <c r="U3292">
        <v>-6.5429689999999999E-2</v>
      </c>
      <c r="V3292">
        <v>7.972862E-2</v>
      </c>
      <c r="W3292">
        <v>5.204168E-2</v>
      </c>
      <c r="X3292">
        <v>0.99545720000000004</v>
      </c>
      <c r="Y3292">
        <v>2.2475309999999998E-2</v>
      </c>
      <c r="Z3292">
        <v>-4.0345849999999999E-4</v>
      </c>
      <c r="AA3292">
        <v>0.99974730000000001</v>
      </c>
      <c r="AB3292">
        <v>37</v>
      </c>
      <c r="AC3292">
        <v>32.614399999999897</v>
      </c>
      <c r="AD3292">
        <v>-1.1100269800189999</v>
      </c>
      <c r="AE3292">
        <v>-0.71739999999999704</v>
      </c>
      <c r="AF3292">
        <v>0.74121853548269701</v>
      </c>
      <c r="AG3292">
        <v>-1.1100269800189999</v>
      </c>
      <c r="AH3292">
        <v>32.576130811417201</v>
      </c>
      <c r="AI3292">
        <v>91.951085765486198</v>
      </c>
      <c r="AJ3292">
        <v>88.696549711161794</v>
      </c>
      <c r="AK3292">
        <v>32.603463979403799</v>
      </c>
      <c r="AL3292">
        <v>87.016883834754907</v>
      </c>
      <c r="AM3292">
        <v>85.420814669531197</v>
      </c>
      <c r="AN3292">
        <v>1.00000001316808</v>
      </c>
    </row>
    <row r="3293" spans="1:40" x14ac:dyDescent="0.25">
      <c r="A3293" t="str">
        <f>"20190312154900326"</f>
        <v>20190312154900326</v>
      </c>
      <c r="B3293" t="str">
        <f>"1552376940319562"</f>
        <v>1552376940319562</v>
      </c>
      <c r="C3293" t="s">
        <v>40</v>
      </c>
      <c r="D3293">
        <v>4.6319080000000001</v>
      </c>
      <c r="E3293">
        <v>0.47989690000000002</v>
      </c>
      <c r="F3293" t="s">
        <v>50</v>
      </c>
      <c r="G3293">
        <v>-375.60829999999999</v>
      </c>
      <c r="H3293" s="1">
        <v>1.4476680000000001E-6</v>
      </c>
      <c r="I3293">
        <v>213.67259999999999</v>
      </c>
      <c r="J3293">
        <v>-408.93720000000002</v>
      </c>
      <c r="K3293">
        <v>1.1100350000000001</v>
      </c>
      <c r="L3293">
        <v>214.42429999999999</v>
      </c>
      <c r="M3293">
        <v>0.99988969999999999</v>
      </c>
      <c r="N3293">
        <v>0</v>
      </c>
      <c r="O3293">
        <v>7.5657009999999995E-4</v>
      </c>
      <c r="P3293">
        <v>0.99615929999999997</v>
      </c>
      <c r="Q3293">
        <v>3.7260519999999998E-2</v>
      </c>
      <c r="R3293">
        <v>-7.9237829999999995E-2</v>
      </c>
      <c r="S3293">
        <v>3.0098880000000001</v>
      </c>
      <c r="T3293">
        <v>-9.9170800000000003E-2</v>
      </c>
      <c r="U3293">
        <v>-6.7138669999999998E-2</v>
      </c>
      <c r="V3293">
        <v>7.9993430000000004E-2</v>
      </c>
      <c r="W3293">
        <v>5.2033580000000003E-2</v>
      </c>
      <c r="X3293">
        <v>0.9954364</v>
      </c>
      <c r="Y3293">
        <v>2.3044039999999998E-2</v>
      </c>
      <c r="Z3293">
        <v>-4.0440199999999999E-4</v>
      </c>
      <c r="AA3293">
        <v>0.99973429999999996</v>
      </c>
      <c r="AB3293">
        <v>37</v>
      </c>
      <c r="AC3293">
        <v>33.328899999999997</v>
      </c>
      <c r="AD3293">
        <v>-1.110033552332</v>
      </c>
      <c r="AE3293">
        <v>-0.75169999999999904</v>
      </c>
      <c r="AF3293">
        <v>0.77605780233884403</v>
      </c>
      <c r="AG3293">
        <v>-1.110033552332</v>
      </c>
      <c r="AH3293">
        <v>33.291411890373702</v>
      </c>
      <c r="AI3293">
        <v>91.909183973088105</v>
      </c>
      <c r="AJ3293">
        <v>88.664617008017501</v>
      </c>
      <c r="AK3293">
        <v>33.318951752034302</v>
      </c>
      <c r="AL3293">
        <v>87.017348623496602</v>
      </c>
      <c r="AM3293">
        <v>85.4055748153271</v>
      </c>
      <c r="AN3293">
        <v>1.0000000343678701</v>
      </c>
    </row>
    <row r="3294" spans="1:40" x14ac:dyDescent="0.25">
      <c r="A3294" t="str">
        <f>"20190312154900347"</f>
        <v>20190312154900347</v>
      </c>
      <c r="B3294" t="str">
        <f>"1552376940339082"</f>
        <v>1552376940339082</v>
      </c>
      <c r="C3294" t="s">
        <v>40</v>
      </c>
      <c r="D3294">
        <v>4.5977509999999997</v>
      </c>
      <c r="E3294">
        <v>0.48570150000000001</v>
      </c>
      <c r="F3294" t="s">
        <v>50</v>
      </c>
      <c r="G3294">
        <v>-374.36329999999998</v>
      </c>
      <c r="H3294" s="1">
        <v>7.8515730000000002E-7</v>
      </c>
      <c r="I3294">
        <v>213.62289999999999</v>
      </c>
      <c r="J3294">
        <v>-408.57170000000002</v>
      </c>
      <c r="K3294">
        <v>1.110036</v>
      </c>
      <c r="L3294">
        <v>214.4246</v>
      </c>
      <c r="M3294">
        <v>0.99988969999999999</v>
      </c>
      <c r="N3294">
        <v>0</v>
      </c>
      <c r="O3294">
        <v>7.567772E-4</v>
      </c>
      <c r="P3294">
        <v>0.99614000000000003</v>
      </c>
      <c r="Q3294">
        <v>3.7184479999999999E-2</v>
      </c>
      <c r="R3294">
        <v>-7.9513959999999995E-2</v>
      </c>
      <c r="S3294">
        <v>3.0096440000000002</v>
      </c>
      <c r="T3294">
        <v>-9.6628069999999996E-2</v>
      </c>
      <c r="U3294">
        <v>-6.9763179999999994E-2</v>
      </c>
      <c r="V3294">
        <v>8.0269770000000004E-2</v>
      </c>
      <c r="W3294">
        <v>5.1953100000000002E-2</v>
      </c>
      <c r="X3294">
        <v>0.99541829999999998</v>
      </c>
      <c r="Y3294">
        <v>2.3917600000000001E-2</v>
      </c>
      <c r="Z3294">
        <v>-4.080911E-4</v>
      </c>
      <c r="AA3294">
        <v>0.99971379999999999</v>
      </c>
      <c r="AB3294">
        <v>37</v>
      </c>
      <c r="AC3294">
        <v>34.208399999999997</v>
      </c>
      <c r="AD3294">
        <v>-1.1100352148427</v>
      </c>
      <c r="AE3294">
        <v>-0.80170000000001096</v>
      </c>
      <c r="AF3294">
        <v>0.826720737668596</v>
      </c>
      <c r="AG3294">
        <v>-1.1100352148427</v>
      </c>
      <c r="AH3294">
        <v>34.171821938489103</v>
      </c>
      <c r="AI3294">
        <v>91.859994229045299</v>
      </c>
      <c r="AJ3294">
        <v>88.614110451819499</v>
      </c>
      <c r="AK3294">
        <v>34.199840057405098</v>
      </c>
      <c r="AL3294">
        <v>87.021965859878605</v>
      </c>
      <c r="AM3294">
        <v>85.389688051281297</v>
      </c>
      <c r="AN3294">
        <v>0.99999997627517601</v>
      </c>
    </row>
    <row r="3295" spans="1:40" x14ac:dyDescent="0.25">
      <c r="A3295" t="str">
        <f>"20190312154900370"</f>
        <v>20190312154900370</v>
      </c>
      <c r="B3295" t="str">
        <f>"1552376940359334"</f>
        <v>1552376940359334</v>
      </c>
      <c r="C3295" t="s">
        <v>40</v>
      </c>
      <c r="D3295">
        <v>4.5584239999999996</v>
      </c>
      <c r="E3295">
        <v>0.4856568</v>
      </c>
      <c r="F3295" t="s">
        <v>59</v>
      </c>
      <c r="G3295">
        <v>-168.41130000000001</v>
      </c>
      <c r="H3295">
        <v>0.72714999999999996</v>
      </c>
      <c r="I3295">
        <v>204.7878</v>
      </c>
      <c r="J3295">
        <v>-408.2013</v>
      </c>
      <c r="K3295">
        <v>1.110031</v>
      </c>
      <c r="L3295">
        <v>214.42490000000001</v>
      </c>
      <c r="M3295">
        <v>0.9998899</v>
      </c>
      <c r="N3295">
        <v>0</v>
      </c>
      <c r="O3295">
        <v>7.5680690000000004E-4</v>
      </c>
      <c r="P3295">
        <v>0.99608200000000002</v>
      </c>
      <c r="Q3295">
        <v>3.7527409999999997E-2</v>
      </c>
      <c r="R3295">
        <v>-8.0077999999999996E-2</v>
      </c>
      <c r="S3295">
        <v>3.0022280000000001</v>
      </c>
      <c r="T3295">
        <v>-4.7860150000000002E-3</v>
      </c>
      <c r="U3295">
        <v>-0.12046809999999999</v>
      </c>
      <c r="V3295">
        <v>8.0833879999999997E-2</v>
      </c>
      <c r="W3295">
        <v>5.2290730000000001E-2</v>
      </c>
      <c r="X3295">
        <v>0.99535499999999999</v>
      </c>
      <c r="Y3295">
        <v>4.0850200000000003E-2</v>
      </c>
      <c r="Z3295" s="1">
        <v>-3.3753759999999999E-5</v>
      </c>
      <c r="AA3295">
        <v>0.99916530000000003</v>
      </c>
      <c r="AB3295">
        <v>37</v>
      </c>
      <c r="AC3295">
        <v>239.79</v>
      </c>
      <c r="AD3295">
        <v>-0.38288099999999903</v>
      </c>
      <c r="AE3295">
        <v>-9.6371000000000002</v>
      </c>
      <c r="AF3295">
        <v>9.8185669039957499</v>
      </c>
      <c r="AG3295">
        <v>-0.38288099999999903</v>
      </c>
      <c r="AH3295">
        <v>239.78202673628499</v>
      </c>
      <c r="AI3295">
        <v>90.091412515594101</v>
      </c>
      <c r="AJ3295">
        <v>87.655168961513695</v>
      </c>
      <c r="AK3295">
        <v>239.98327274972499</v>
      </c>
      <c r="AL3295">
        <v>87.002594844826405</v>
      </c>
      <c r="AM3295">
        <v>85.357135451851903</v>
      </c>
      <c r="AN3295">
        <v>1.0000000063123899</v>
      </c>
    </row>
    <row r="3296" spans="1:40" x14ac:dyDescent="0.25">
      <c r="A3296" t="str">
        <f>"20190312154900392"</f>
        <v>20190312154900392</v>
      </c>
      <c r="B3296" t="str">
        <f>"1552376940378854"</f>
        <v>1552376940378854</v>
      </c>
      <c r="C3296" t="s">
        <v>40</v>
      </c>
      <c r="D3296">
        <v>4.5500870000000004</v>
      </c>
      <c r="E3296">
        <v>0.48566179999999898</v>
      </c>
      <c r="F3296" t="s">
        <v>59</v>
      </c>
      <c r="G3296">
        <v>-168.41139999999999</v>
      </c>
      <c r="H3296">
        <v>1.0698620000000001</v>
      </c>
      <c r="I3296">
        <v>204.70240000000001</v>
      </c>
      <c r="J3296">
        <v>-407.83359999999999</v>
      </c>
      <c r="K3296">
        <v>1.110033</v>
      </c>
      <c r="L3296">
        <v>214.42509999999999</v>
      </c>
      <c r="M3296">
        <v>0.9998899</v>
      </c>
      <c r="N3296">
        <v>0</v>
      </c>
      <c r="O3296">
        <v>7.5683599999999999E-4</v>
      </c>
      <c r="P3296">
        <v>0.99602789999999997</v>
      </c>
      <c r="Q3296">
        <v>3.7836580000000002E-2</v>
      </c>
      <c r="R3296">
        <v>-8.0603729999999998E-2</v>
      </c>
      <c r="S3296">
        <v>3.0020449999999999</v>
      </c>
      <c r="T3296">
        <v>-5.024672E-4</v>
      </c>
      <c r="U3296">
        <v>-0.12171940000000001</v>
      </c>
      <c r="V3296">
        <v>8.1359650000000006E-2</v>
      </c>
      <c r="W3296">
        <v>5.2595009999999998E-2</v>
      </c>
      <c r="X3296">
        <v>0.99529610000000002</v>
      </c>
      <c r="Y3296">
        <v>4.1268489999999998E-2</v>
      </c>
      <c r="Z3296" s="1">
        <v>-3.5788759999999999E-6</v>
      </c>
      <c r="AA3296">
        <v>0.99914809999999998</v>
      </c>
      <c r="AB3296">
        <v>37</v>
      </c>
      <c r="AC3296">
        <v>239.4222</v>
      </c>
      <c r="AD3296">
        <v>-4.0170999999999901E-2</v>
      </c>
      <c r="AE3296">
        <v>-9.7226999999999695</v>
      </c>
      <c r="AF3296">
        <v>9.9039201773850607</v>
      </c>
      <c r="AG3296">
        <v>-4.0170999999999901E-2</v>
      </c>
      <c r="AH3296">
        <v>239.41476538808399</v>
      </c>
      <c r="AI3296">
        <v>90.009605347152004</v>
      </c>
      <c r="AJ3296">
        <v>87.631184216831599</v>
      </c>
      <c r="AK3296">
        <v>239.61952995200701</v>
      </c>
      <c r="AL3296">
        <v>86.985136773749403</v>
      </c>
      <c r="AM3296">
        <v>85.326794738571607</v>
      </c>
      <c r="AN3296">
        <v>0.99999997720011602</v>
      </c>
    </row>
    <row r="3297" spans="1:40" x14ac:dyDescent="0.25">
      <c r="A3297" t="str">
        <f>"20190312154900415"</f>
        <v>20190312154900415</v>
      </c>
      <c r="B3297" t="str">
        <f>"1552376940409112"</f>
        <v>1552376940409112</v>
      </c>
      <c r="C3297" t="s">
        <v>40</v>
      </c>
      <c r="D3297">
        <v>4.4821580000000001</v>
      </c>
      <c r="E3297">
        <v>0.48566490000000001</v>
      </c>
      <c r="F3297" t="s">
        <v>59</v>
      </c>
      <c r="G3297">
        <v>-168.41159999999999</v>
      </c>
      <c r="H3297">
        <v>1.52837</v>
      </c>
      <c r="I3297">
        <v>204.5719</v>
      </c>
      <c r="J3297">
        <v>-407.45310000000001</v>
      </c>
      <c r="K3297">
        <v>1.110036</v>
      </c>
      <c r="L3297">
        <v>214.4254</v>
      </c>
      <c r="M3297">
        <v>0.99988999999999995</v>
      </c>
      <c r="N3297">
        <v>0</v>
      </c>
      <c r="O3297">
        <v>7.5686679999999998E-4</v>
      </c>
      <c r="P3297">
        <v>0.99607040000000002</v>
      </c>
      <c r="Q3297">
        <v>3.7782669999999997E-2</v>
      </c>
      <c r="R3297">
        <v>-8.0103670000000002E-2</v>
      </c>
      <c r="S3297">
        <v>3.00177</v>
      </c>
      <c r="T3297">
        <v>5.2453279999999996E-3</v>
      </c>
      <c r="U3297">
        <v>-0.123535199999999</v>
      </c>
      <c r="V3297">
        <v>8.0859689999999998E-2</v>
      </c>
      <c r="W3297">
        <v>5.2537390000000003E-2</v>
      </c>
      <c r="X3297">
        <v>0.99533990000000006</v>
      </c>
      <c r="Y3297">
        <v>4.1875530000000001E-2</v>
      </c>
      <c r="Z3297" s="1">
        <v>3.7893540000000002E-5</v>
      </c>
      <c r="AA3297">
        <v>0.99912290000000004</v>
      </c>
      <c r="AB3297">
        <v>37</v>
      </c>
      <c r="AC3297">
        <v>239.04150000000001</v>
      </c>
      <c r="AD3297">
        <v>0.41833399999999998</v>
      </c>
      <c r="AE3297">
        <v>-9.8534999999999897</v>
      </c>
      <c r="AF3297">
        <v>10.034408924193301</v>
      </c>
      <c r="AG3297">
        <v>0.41833399999999998</v>
      </c>
      <c r="AH3297">
        <v>239.03324207518901</v>
      </c>
      <c r="AI3297">
        <v>89.899814534472995</v>
      </c>
      <c r="AJ3297">
        <v>87.596184069253695</v>
      </c>
      <c r="AK3297">
        <v>239.24413301640101</v>
      </c>
      <c r="AL3297">
        <v>86.988442770942299</v>
      </c>
      <c r="AM3297">
        <v>85.355589334508394</v>
      </c>
      <c r="AN3297">
        <v>0.99999999167345899</v>
      </c>
    </row>
    <row r="3298" spans="1:40" x14ac:dyDescent="0.25">
      <c r="A3298" t="str">
        <f>"20190312154900438"</f>
        <v>20190312154900438</v>
      </c>
      <c r="B3298" t="str">
        <f>"1552376940428631"</f>
        <v>1552376940428631</v>
      </c>
      <c r="C3298" t="s">
        <v>40</v>
      </c>
      <c r="D3298">
        <v>4.4662169999999897</v>
      </c>
      <c r="E3298">
        <v>0.48563289999999998</v>
      </c>
      <c r="F3298" t="s">
        <v>59</v>
      </c>
      <c r="G3298">
        <v>-168.4117</v>
      </c>
      <c r="H3298">
        <v>1.8122370000000001</v>
      </c>
      <c r="I3298">
        <v>204.69810000000001</v>
      </c>
      <c r="J3298">
        <v>-407.08510000000001</v>
      </c>
      <c r="K3298">
        <v>1.110034</v>
      </c>
      <c r="L3298">
        <v>214.42570000000001</v>
      </c>
      <c r="M3298">
        <v>0.99988999999999995</v>
      </c>
      <c r="N3298">
        <v>0</v>
      </c>
      <c r="O3298">
        <v>7.5689660000000005E-4</v>
      </c>
      <c r="P3298">
        <v>0.99607239999999997</v>
      </c>
      <c r="Q3298">
        <v>3.7237369999999999E-2</v>
      </c>
      <c r="R3298">
        <v>-8.0332860000000006E-2</v>
      </c>
      <c r="S3298">
        <v>3.0016780000000001</v>
      </c>
      <c r="T3298">
        <v>8.8180299999999993E-3</v>
      </c>
      <c r="U3298">
        <v>-0.12214659999999999</v>
      </c>
      <c r="V3298">
        <v>8.1088800000000003E-2</v>
      </c>
      <c r="W3298">
        <v>5.1988340000000001E-2</v>
      </c>
      <c r="X3298">
        <v>0.99535010000000002</v>
      </c>
      <c r="Y3298">
        <v>4.1415279999999999E-2</v>
      </c>
      <c r="Z3298" s="1">
        <v>6.3030399999999999E-5</v>
      </c>
      <c r="AA3298">
        <v>0.99914199999999997</v>
      </c>
      <c r="AB3298">
        <v>37</v>
      </c>
      <c r="AC3298">
        <v>238.67339999999999</v>
      </c>
      <c r="AD3298">
        <v>0.70220299999999902</v>
      </c>
      <c r="AE3298">
        <v>-9.72759999999999</v>
      </c>
      <c r="AF3298">
        <v>9.9081824969543693</v>
      </c>
      <c r="AG3298">
        <v>0.70220299999999902</v>
      </c>
      <c r="AH3298">
        <v>238.663905573515</v>
      </c>
      <c r="AI3298">
        <v>89.831568473471904</v>
      </c>
      <c r="AJ3298">
        <v>87.622718731415503</v>
      </c>
      <c r="AK3298">
        <v>238.87051930502</v>
      </c>
      <c r="AL3298">
        <v>87.019944098840199</v>
      </c>
      <c r="AM3298">
        <v>85.342535069833801</v>
      </c>
      <c r="AN3298">
        <v>1.0000000012757</v>
      </c>
    </row>
    <row r="3299" spans="1:40" x14ac:dyDescent="0.25">
      <c r="A3299" t="str">
        <f>"20190312154900461"</f>
        <v>20190312154900461</v>
      </c>
      <c r="B3299" t="str">
        <f>"1552376940448846"</f>
        <v>1552376940448846</v>
      </c>
      <c r="C3299" t="s">
        <v>40</v>
      </c>
      <c r="D3299">
        <v>4.4445329999999998</v>
      </c>
      <c r="E3299">
        <v>0.48554639999999999</v>
      </c>
      <c r="F3299" t="s">
        <v>59</v>
      </c>
      <c r="G3299">
        <v>-168.4117</v>
      </c>
      <c r="H3299">
        <v>1.75292599999999</v>
      </c>
      <c r="I3299">
        <v>204.6721</v>
      </c>
      <c r="J3299">
        <v>-406.70620000000002</v>
      </c>
      <c r="K3299">
        <v>1.1100350000000001</v>
      </c>
      <c r="L3299">
        <v>214.42590000000001</v>
      </c>
      <c r="M3299">
        <v>0.9998901</v>
      </c>
      <c r="N3299">
        <v>0</v>
      </c>
      <c r="O3299">
        <v>7.5692719999999997E-4</v>
      </c>
      <c r="P3299">
        <v>0.99608039999999998</v>
      </c>
      <c r="Q3299">
        <v>3.6854709999999999E-2</v>
      </c>
      <c r="R3299">
        <v>-8.0410229999999999E-2</v>
      </c>
      <c r="S3299">
        <v>3.0016780000000001</v>
      </c>
      <c r="T3299">
        <v>8.0857280000000004E-3</v>
      </c>
      <c r="U3299">
        <v>-0.12266539999999999</v>
      </c>
      <c r="V3299">
        <v>8.1166260000000004E-2</v>
      </c>
      <c r="W3299">
        <v>5.1601199999999903E-2</v>
      </c>
      <c r="X3299">
        <v>0.99536400000000003</v>
      </c>
      <c r="Y3299">
        <v>4.1587739999999998E-2</v>
      </c>
      <c r="Z3299" s="1">
        <v>5.8028049999999997E-5</v>
      </c>
      <c r="AA3299">
        <v>0.99913479999999999</v>
      </c>
      <c r="AB3299">
        <v>37</v>
      </c>
      <c r="AC3299">
        <v>238.2945</v>
      </c>
      <c r="AD3299">
        <v>0.64289099999999899</v>
      </c>
      <c r="AE3299">
        <v>-9.7538000000000107</v>
      </c>
      <c r="AF3299">
        <v>9.9341163818902203</v>
      </c>
      <c r="AG3299">
        <v>0.64289099999999899</v>
      </c>
      <c r="AH3299">
        <v>238.285316517268</v>
      </c>
      <c r="AI3299">
        <v>89.845551192821404</v>
      </c>
      <c r="AJ3299">
        <v>87.612721017612401</v>
      </c>
      <c r="AK3299">
        <v>238.49316980756799</v>
      </c>
      <c r="AL3299">
        <v>87.042155600793706</v>
      </c>
      <c r="AM3299">
        <v>85.338170446829906</v>
      </c>
      <c r="AN3299">
        <v>1.00000006904991</v>
      </c>
    </row>
    <row r="3300" spans="1:40" x14ac:dyDescent="0.25">
      <c r="A3300" t="str">
        <f>"20190312154900483"</f>
        <v>20190312154900483</v>
      </c>
      <c r="B3300" t="str">
        <f>"1552376940469341"</f>
        <v>1552376940469341</v>
      </c>
      <c r="C3300" t="s">
        <v>40</v>
      </c>
      <c r="D3300">
        <v>4.453767</v>
      </c>
      <c r="E3300">
        <v>0.485514</v>
      </c>
      <c r="F3300" t="s">
        <v>59</v>
      </c>
      <c r="G3300">
        <v>-168.41159999999999</v>
      </c>
      <c r="H3300">
        <v>1.6536329999999999</v>
      </c>
      <c r="I3300">
        <v>204.73269999999999</v>
      </c>
      <c r="J3300">
        <v>-406.36040000000003</v>
      </c>
      <c r="K3300">
        <v>1.110033</v>
      </c>
      <c r="L3300">
        <v>214.42619999999999</v>
      </c>
      <c r="M3300">
        <v>0.99989019999999995</v>
      </c>
      <c r="N3300">
        <v>0</v>
      </c>
      <c r="O3300">
        <v>7.5695489999999999E-4</v>
      </c>
      <c r="P3300">
        <v>0.99610279999999995</v>
      </c>
      <c r="Q3300">
        <v>3.6917169999999999E-2</v>
      </c>
      <c r="R3300">
        <v>-8.0106159999999996E-2</v>
      </c>
      <c r="S3300">
        <v>3.0016780000000001</v>
      </c>
      <c r="T3300">
        <v>6.8478580000000001E-3</v>
      </c>
      <c r="U3300">
        <v>-0.1221008</v>
      </c>
      <c r="V3300">
        <v>8.0862080000000003E-2</v>
      </c>
      <c r="W3300">
        <v>5.1660249999999998E-2</v>
      </c>
      <c r="X3300">
        <v>0.99538559999999998</v>
      </c>
      <c r="Y3300">
        <v>4.1400190000000003E-2</v>
      </c>
      <c r="Z3300" s="1">
        <v>4.8930800000000003E-5</v>
      </c>
      <c r="AA3300">
        <v>0.99914259999999999</v>
      </c>
      <c r="AB3300">
        <v>37</v>
      </c>
      <c r="AC3300">
        <v>237.94880000000001</v>
      </c>
      <c r="AD3300">
        <v>0.54359999999999997</v>
      </c>
      <c r="AE3300">
        <v>-9.6935000000000002</v>
      </c>
      <c r="AF3300">
        <v>9.8735820143631692</v>
      </c>
      <c r="AG3300">
        <v>0.54359999999999997</v>
      </c>
      <c r="AH3300">
        <v>237.94015370381399</v>
      </c>
      <c r="AI3300">
        <v>89.869214378993206</v>
      </c>
      <c r="AJ3300">
        <v>87.623813389604905</v>
      </c>
      <c r="AK3300">
        <v>238.14554345472999</v>
      </c>
      <c r="AL3300">
        <v>87.038767488100802</v>
      </c>
      <c r="AM3300">
        <v>85.355664965433206</v>
      </c>
      <c r="AN3300">
        <v>0.99999997504967397</v>
      </c>
    </row>
    <row r="3301" spans="1:40" x14ac:dyDescent="0.25">
      <c r="A3301" t="str">
        <f>"20190312154900504"</f>
        <v>20190312154900504</v>
      </c>
      <c r="B3301" t="str">
        <f>"1552376940498622"</f>
        <v>1552376940498622</v>
      </c>
      <c r="C3301" t="s">
        <v>40</v>
      </c>
      <c r="D3301">
        <v>4.3735169999999997</v>
      </c>
      <c r="E3301">
        <v>0.48542809999999997</v>
      </c>
      <c r="F3301" t="s">
        <v>59</v>
      </c>
      <c r="G3301">
        <v>-168.41159999999999</v>
      </c>
      <c r="H3301">
        <v>1.6694359999999999</v>
      </c>
      <c r="I3301">
        <v>204.8295</v>
      </c>
      <c r="J3301">
        <v>-406.0043</v>
      </c>
      <c r="K3301">
        <v>1.1100380000000001</v>
      </c>
      <c r="L3301">
        <v>214.4265</v>
      </c>
      <c r="M3301">
        <v>0.9998901</v>
      </c>
      <c r="N3301">
        <v>0</v>
      </c>
      <c r="O3301">
        <v>7.5716240000000005E-4</v>
      </c>
      <c r="P3301">
        <v>0.99610540000000003</v>
      </c>
      <c r="Q3301">
        <v>3.639614E-2</v>
      </c>
      <c r="R3301">
        <v>-8.0309169999999999E-2</v>
      </c>
      <c r="S3301">
        <v>3.0017399999999999</v>
      </c>
      <c r="T3301">
        <v>7.0573090000000003E-3</v>
      </c>
      <c r="U3301">
        <v>-0.1210632</v>
      </c>
      <c r="V3301">
        <v>8.1065330000000005E-2</v>
      </c>
      <c r="W3301">
        <v>5.1135460000000001E-2</v>
      </c>
      <c r="X3301">
        <v>0.99539619999999995</v>
      </c>
      <c r="Y3301">
        <v>4.1054769999999997E-2</v>
      </c>
      <c r="Z3301" s="1">
        <v>5.0021320000000003E-5</v>
      </c>
      <c r="AA3301">
        <v>0.99915690000000001</v>
      </c>
      <c r="AB3301">
        <v>37</v>
      </c>
      <c r="AC3301">
        <v>237.59270000000001</v>
      </c>
      <c r="AD3301">
        <v>0.55939799999999995</v>
      </c>
      <c r="AE3301">
        <v>-9.5969999999999995</v>
      </c>
      <c r="AF3301">
        <v>9.7768591198974697</v>
      </c>
      <c r="AG3301">
        <v>0.55939799999999995</v>
      </c>
      <c r="AH3301">
        <v>237.58404971923099</v>
      </c>
      <c r="AI3301">
        <v>89.865209883175993</v>
      </c>
      <c r="AJ3301">
        <v>87.643541795778404</v>
      </c>
      <c r="AK3301">
        <v>237.78578717274701</v>
      </c>
      <c r="AL3301">
        <v>87.0688756360003</v>
      </c>
      <c r="AM3301">
        <v>85.344091870856801</v>
      </c>
      <c r="AN3301">
        <v>1.00000000898593</v>
      </c>
    </row>
    <row r="3302" spans="1:40" x14ac:dyDescent="0.25">
      <c r="A3302" t="str">
        <f>"20190312154900526"</f>
        <v>20190312154900526</v>
      </c>
      <c r="B3302" t="str">
        <f>"1552376940519117"</f>
        <v>1552376940519117</v>
      </c>
      <c r="C3302" t="s">
        <v>40</v>
      </c>
      <c r="D3302">
        <v>4.3635089999999996</v>
      </c>
      <c r="E3302">
        <v>0.48561399999999999</v>
      </c>
      <c r="F3302" t="s">
        <v>59</v>
      </c>
      <c r="G3302">
        <v>-168.41159999999999</v>
      </c>
      <c r="H3302">
        <v>1.7267760000000001</v>
      </c>
      <c r="I3302">
        <v>204.8475</v>
      </c>
      <c r="J3302">
        <v>-405.65109999999999</v>
      </c>
      <c r="K3302">
        <v>1.110042</v>
      </c>
      <c r="L3302">
        <v>214.42670000000001</v>
      </c>
      <c r="M3302">
        <v>0.9998901</v>
      </c>
      <c r="N3302">
        <v>0</v>
      </c>
      <c r="O3302">
        <v>7.5719109999999997E-4</v>
      </c>
      <c r="P3302">
        <v>0.99606130000000004</v>
      </c>
      <c r="Q3302">
        <v>3.6594160000000001E-2</v>
      </c>
      <c r="R3302">
        <v>-8.0764489999999994E-2</v>
      </c>
      <c r="S3302">
        <v>3.0016780000000001</v>
      </c>
      <c r="T3302">
        <v>7.7921149999999996E-3</v>
      </c>
      <c r="U3302">
        <v>-0.1210175</v>
      </c>
      <c r="V3302">
        <v>8.1520759999999998E-2</v>
      </c>
      <c r="W3302">
        <v>5.132929E-2</v>
      </c>
      <c r="X3302">
        <v>0.99534900000000004</v>
      </c>
      <c r="Y3302">
        <v>4.104037E-2</v>
      </c>
      <c r="Z3302" s="1">
        <v>5.5212050000000003E-5</v>
      </c>
      <c r="AA3302">
        <v>0.99915750000000003</v>
      </c>
      <c r="AB3302">
        <v>37</v>
      </c>
      <c r="AC3302">
        <v>237.23949999999999</v>
      </c>
      <c r="AD3302">
        <v>0.61673399999999901</v>
      </c>
      <c r="AE3302">
        <v>-9.5792000000000108</v>
      </c>
      <c r="AF3302">
        <v>9.7587867408394899</v>
      </c>
      <c r="AG3302">
        <v>0.61673399999999901</v>
      </c>
      <c r="AH3302">
        <v>237.23057728775601</v>
      </c>
      <c r="AI3302">
        <v>89.851172996920099</v>
      </c>
      <c r="AJ3302">
        <v>87.644392093444196</v>
      </c>
      <c r="AK3302">
        <v>237.43201359496999</v>
      </c>
      <c r="AL3302">
        <v>87.057755309353794</v>
      </c>
      <c r="AM3302">
        <v>85.317829623223503</v>
      </c>
      <c r="AN3302">
        <v>0.99999998106193999</v>
      </c>
    </row>
    <row r="3303" spans="1:40" x14ac:dyDescent="0.25">
      <c r="A3303" t="str">
        <f>"20190312154900550"</f>
        <v>20190312154900550</v>
      </c>
      <c r="B3303" t="str">
        <f>"1552376940539613"</f>
        <v>1552376940539613</v>
      </c>
      <c r="C3303" t="s">
        <v>40</v>
      </c>
      <c r="D3303">
        <v>4.3606959999999999</v>
      </c>
      <c r="E3303">
        <v>0.48576849999999999</v>
      </c>
      <c r="F3303" t="s">
        <v>59</v>
      </c>
      <c r="G3303">
        <v>-168.4117</v>
      </c>
      <c r="H3303">
        <v>1.93449</v>
      </c>
      <c r="I3303">
        <v>204.63810000000001</v>
      </c>
      <c r="J3303">
        <v>-405.27089999999998</v>
      </c>
      <c r="K3303">
        <v>1.1100429999999999</v>
      </c>
      <c r="L3303">
        <v>214.42699999999999</v>
      </c>
      <c r="M3303">
        <v>0.99989019999999995</v>
      </c>
      <c r="N3303">
        <v>0</v>
      </c>
      <c r="O3303">
        <v>7.5740050000000004E-4</v>
      </c>
      <c r="P3303">
        <v>0.99603640000000004</v>
      </c>
      <c r="Q3303">
        <v>3.6216459999999999E-2</v>
      </c>
      <c r="R3303">
        <v>-8.1241759999999996E-2</v>
      </c>
      <c r="S3303">
        <v>3.0014340000000002</v>
      </c>
      <c r="T3303">
        <v>1.043093E-2</v>
      </c>
      <c r="U3303">
        <v>-0.1238403</v>
      </c>
      <c r="V3303">
        <v>8.1997920000000002E-2</v>
      </c>
      <c r="W3303">
        <v>5.0946409999999998E-2</v>
      </c>
      <c r="X3303">
        <v>0.99532949999999998</v>
      </c>
      <c r="Y3303">
        <v>4.1981879999999999E-2</v>
      </c>
      <c r="Z3303" s="1">
        <v>7.5550269999999904E-5</v>
      </c>
      <c r="AA3303">
        <v>0.99911839999999996</v>
      </c>
      <c r="AB3303">
        <v>36</v>
      </c>
      <c r="AC3303">
        <v>236.85919999999999</v>
      </c>
      <c r="AD3303">
        <v>0.82444699999999904</v>
      </c>
      <c r="AE3303">
        <v>-9.7889000000000106</v>
      </c>
      <c r="AF3303">
        <v>9.96819355194385</v>
      </c>
      <c r="AG3303">
        <v>0.82444699999999904</v>
      </c>
      <c r="AH3303">
        <v>236.84885244415301</v>
      </c>
      <c r="AI3303">
        <v>89.800736365460907</v>
      </c>
      <c r="AJ3303">
        <v>87.590030283360093</v>
      </c>
      <c r="AK3303">
        <v>237.05995760494201</v>
      </c>
      <c r="AL3303">
        <v>87.079721527101896</v>
      </c>
      <c r="AM3303">
        <v>85.290454853785604</v>
      </c>
      <c r="AN3303">
        <v>1.00000000457323</v>
      </c>
    </row>
    <row r="3304" spans="1:40" x14ac:dyDescent="0.25">
      <c r="A3304" t="str">
        <f>"20190312154900570"</f>
        <v>20190312154900570</v>
      </c>
      <c r="B3304" t="str">
        <f>"1552376940559133"</f>
        <v>1552376940559133</v>
      </c>
      <c r="C3304" t="s">
        <v>40</v>
      </c>
      <c r="D3304">
        <v>4.3777140000000001</v>
      </c>
      <c r="E3304">
        <v>0.48586170000000001</v>
      </c>
      <c r="F3304" t="s">
        <v>59</v>
      </c>
      <c r="G3304">
        <v>-168.4118</v>
      </c>
      <c r="H3304">
        <v>2.0680290000000001</v>
      </c>
      <c r="I3304">
        <v>204.43770000000001</v>
      </c>
      <c r="J3304">
        <v>-404.9264</v>
      </c>
      <c r="K3304">
        <v>1.1100449999999999</v>
      </c>
      <c r="L3304">
        <v>214.4272</v>
      </c>
      <c r="M3304">
        <v>0.99989039999999996</v>
      </c>
      <c r="N3304">
        <v>0</v>
      </c>
      <c r="O3304">
        <v>7.5724880000000003E-4</v>
      </c>
      <c r="P3304">
        <v>0.99600140000000004</v>
      </c>
      <c r="Q3304">
        <v>3.5421800000000003E-2</v>
      </c>
      <c r="R3304">
        <v>-8.2016809999999996E-2</v>
      </c>
      <c r="S3304">
        <v>3.00116</v>
      </c>
      <c r="T3304">
        <v>1.213872E-2</v>
      </c>
      <c r="U3304">
        <v>-0.12657169999999901</v>
      </c>
      <c r="V3304">
        <v>8.2773120000000006E-2</v>
      </c>
      <c r="W3304">
        <v>5.0148249999999998E-2</v>
      </c>
      <c r="X3304">
        <v>0.99530580000000002</v>
      </c>
      <c r="Y3304">
        <v>4.289308E-2</v>
      </c>
      <c r="Z3304" s="1">
        <v>8.9767239999999999E-5</v>
      </c>
      <c r="AA3304">
        <v>0.99907959999999996</v>
      </c>
      <c r="AB3304">
        <v>36</v>
      </c>
      <c r="AC3304">
        <v>236.5146</v>
      </c>
      <c r="AD3304">
        <v>0.95798399999999995</v>
      </c>
      <c r="AE3304">
        <v>-9.9894999999999907</v>
      </c>
      <c r="AF3304">
        <v>10.168450586749801</v>
      </c>
      <c r="AG3304">
        <v>0.95798399999999995</v>
      </c>
      <c r="AH3304">
        <v>236.50309366786999</v>
      </c>
      <c r="AI3304">
        <v>89.768132088695793</v>
      </c>
      <c r="AJ3304">
        <v>87.538084202635503</v>
      </c>
      <c r="AK3304">
        <v>236.72352742208099</v>
      </c>
      <c r="AL3304">
        <v>87.125511064598001</v>
      </c>
      <c r="AM3304">
        <v>85.246021720885693</v>
      </c>
      <c r="AN3304">
        <v>0.99999993594311598</v>
      </c>
    </row>
    <row r="3305" spans="1:40" x14ac:dyDescent="0.25">
      <c r="A3305" t="str">
        <f>"20190312154900593"</f>
        <v>20190312154900593</v>
      </c>
      <c r="B3305" t="str">
        <f>"1552376940589389"</f>
        <v>1552376940589389</v>
      </c>
      <c r="C3305" t="s">
        <v>40</v>
      </c>
      <c r="D3305">
        <v>4.356687</v>
      </c>
      <c r="E3305">
        <v>0.48590990000000001</v>
      </c>
      <c r="F3305" t="s">
        <v>59</v>
      </c>
      <c r="G3305">
        <v>-168.4119</v>
      </c>
      <c r="H3305">
        <v>2.046646</v>
      </c>
      <c r="I3305">
        <v>204.2003</v>
      </c>
      <c r="J3305">
        <v>-404.55399999999997</v>
      </c>
      <c r="K3305">
        <v>1.1100410000000001</v>
      </c>
      <c r="L3305">
        <v>214.42760000000001</v>
      </c>
      <c r="M3305">
        <v>0.99989039999999996</v>
      </c>
      <c r="N3305">
        <v>0</v>
      </c>
      <c r="O3305">
        <v>7.5811809999999896E-4</v>
      </c>
      <c r="P3305">
        <v>0.99594119999999997</v>
      </c>
      <c r="Q3305">
        <v>3.4506540000000002E-2</v>
      </c>
      <c r="R3305">
        <v>-8.3131720000000006E-2</v>
      </c>
      <c r="S3305">
        <v>3.0009160000000001</v>
      </c>
      <c r="T3305">
        <v>1.188409E-2</v>
      </c>
      <c r="U3305">
        <v>-0.12976070000000001</v>
      </c>
      <c r="V3305">
        <v>8.3888500000000005E-2</v>
      </c>
      <c r="W3305">
        <v>4.9227670000000001E-2</v>
      </c>
      <c r="X3305">
        <v>0.99525850000000005</v>
      </c>
      <c r="Y3305">
        <v>4.395715E-2</v>
      </c>
      <c r="Z3305" s="1">
        <v>8.9998770000000001E-5</v>
      </c>
      <c r="AA3305">
        <v>0.99903339999999996</v>
      </c>
      <c r="AB3305">
        <v>36</v>
      </c>
      <c r="AC3305">
        <v>236.1421</v>
      </c>
      <c r="AD3305">
        <v>0.93660500000000002</v>
      </c>
      <c r="AE3305">
        <v>-10.2273</v>
      </c>
      <c r="AF3305">
        <v>10.4061768354191</v>
      </c>
      <c r="AG3305">
        <v>0.93660500000000002</v>
      </c>
      <c r="AH3305">
        <v>236.130570076895</v>
      </c>
      <c r="AI3305">
        <v>89.7729595197804</v>
      </c>
      <c r="AJ3305">
        <v>87.476631351083995</v>
      </c>
      <c r="AK3305">
        <v>236.36161251374</v>
      </c>
      <c r="AL3305">
        <v>87.178322009158904</v>
      </c>
      <c r="AM3305">
        <v>85.1820328131422</v>
      </c>
      <c r="AN3305">
        <v>1.00000006287406</v>
      </c>
    </row>
    <row r="3306" spans="1:40" x14ac:dyDescent="0.25">
      <c r="A3306" t="str">
        <f>"20190312154900615"</f>
        <v>20190312154900615</v>
      </c>
      <c r="B3306" t="str">
        <f>"1552376940608909"</f>
        <v>1552376940608909</v>
      </c>
      <c r="C3306" t="s">
        <v>40</v>
      </c>
      <c r="D3306">
        <v>4.39445</v>
      </c>
      <c r="E3306">
        <v>0.48587429999999898</v>
      </c>
      <c r="F3306" t="s">
        <v>60</v>
      </c>
      <c r="G3306">
        <v>-234.54560000000001</v>
      </c>
      <c r="H3306">
        <v>1.660779</v>
      </c>
      <c r="I3306">
        <v>206.87620000000001</v>
      </c>
      <c r="J3306">
        <v>-404.19510000000002</v>
      </c>
      <c r="K3306">
        <v>1.110042</v>
      </c>
      <c r="L3306">
        <v>214.42779999999999</v>
      </c>
      <c r="M3306">
        <v>0.99989059999999996</v>
      </c>
      <c r="N3306">
        <v>0</v>
      </c>
      <c r="O3306">
        <v>7.6325160000000004E-4</v>
      </c>
      <c r="P3306">
        <v>0.99592460000000005</v>
      </c>
      <c r="Q3306">
        <v>3.4239360000000003E-2</v>
      </c>
      <c r="R3306">
        <v>-8.3439600000000003E-2</v>
      </c>
      <c r="S3306">
        <v>3.0007630000000001</v>
      </c>
      <c r="T3306">
        <v>9.7217559999999998E-3</v>
      </c>
      <c r="U3306">
        <v>-0.1332855</v>
      </c>
      <c r="V3306">
        <v>8.4201499999999999E-2</v>
      </c>
      <c r="W3306">
        <v>4.895762E-2</v>
      </c>
      <c r="X3306">
        <v>0.9952453</v>
      </c>
      <c r="Y3306">
        <v>4.5135790000000002E-2</v>
      </c>
      <c r="Z3306" s="1">
        <v>7.5550199999999994E-5</v>
      </c>
      <c r="AA3306">
        <v>0.99898089999999995</v>
      </c>
      <c r="AB3306">
        <v>36</v>
      </c>
      <c r="AC3306">
        <v>169.64949999999999</v>
      </c>
      <c r="AD3306">
        <v>0.55073700000000003</v>
      </c>
      <c r="AE3306">
        <v>-7.5515999999999703</v>
      </c>
      <c r="AF3306">
        <v>7.6810163945724996</v>
      </c>
      <c r="AG3306">
        <v>0.55073700000000003</v>
      </c>
      <c r="AH3306">
        <v>169.64190192001601</v>
      </c>
      <c r="AI3306">
        <v>89.814182112841706</v>
      </c>
      <c r="AJ3306">
        <v>87.407542321848197</v>
      </c>
      <c r="AK3306">
        <v>169.816595805996</v>
      </c>
      <c r="AL3306">
        <v>87.193813163438307</v>
      </c>
      <c r="AM3306">
        <v>85.164077547262806</v>
      </c>
      <c r="AN3306">
        <v>0.99999997416520103</v>
      </c>
    </row>
    <row r="3307" spans="1:40" x14ac:dyDescent="0.25">
      <c r="A3307" t="str">
        <f>"20190312154900640"</f>
        <v>20190312154900640</v>
      </c>
      <c r="B3307" t="str">
        <f>"1552376940629405"</f>
        <v>1552376940629405</v>
      </c>
      <c r="C3307" t="s">
        <v>40</v>
      </c>
      <c r="D3307">
        <v>4.3023290000000003</v>
      </c>
      <c r="E3307">
        <v>0.50305749999999905</v>
      </c>
      <c r="F3307" t="s">
        <v>60</v>
      </c>
      <c r="G3307">
        <v>-234.53059999999999</v>
      </c>
      <c r="H3307">
        <v>1.5910759999999999</v>
      </c>
      <c r="I3307">
        <v>206.8451</v>
      </c>
      <c r="J3307">
        <v>-403.81180000000001</v>
      </c>
      <c r="K3307">
        <v>1.110047</v>
      </c>
      <c r="L3307">
        <v>214.4281</v>
      </c>
      <c r="M3307">
        <v>0.99989050000000002</v>
      </c>
      <c r="N3307">
        <v>0</v>
      </c>
      <c r="O3307">
        <v>7.78052E-4</v>
      </c>
      <c r="P3307">
        <v>0.99593290000000001</v>
      </c>
      <c r="Q3307">
        <v>3.3594409999999998E-2</v>
      </c>
      <c r="R3307">
        <v>-8.3602319999999994E-2</v>
      </c>
      <c r="S3307">
        <v>3.0007320000000002</v>
      </c>
      <c r="T3307">
        <v>8.5085630000000002E-3</v>
      </c>
      <c r="U3307">
        <v>-0.13410949999999999</v>
      </c>
      <c r="V3307">
        <v>8.4378199999999903E-2</v>
      </c>
      <c r="W3307">
        <v>4.8310369999999998E-2</v>
      </c>
      <c r="X3307">
        <v>0.99526199999999998</v>
      </c>
      <c r="Y3307">
        <v>4.5424850000000003E-2</v>
      </c>
      <c r="Z3307" s="1">
        <v>6.6574019999999896E-5</v>
      </c>
      <c r="AA3307">
        <v>0.99896779999999996</v>
      </c>
      <c r="AB3307">
        <v>36</v>
      </c>
      <c r="AC3307">
        <v>169.28120000000001</v>
      </c>
      <c r="AD3307">
        <v>0.48102899999999899</v>
      </c>
      <c r="AE3307">
        <v>-7.5829999999999904</v>
      </c>
      <c r="AF3307">
        <v>7.7146594957574202</v>
      </c>
      <c r="AG3307">
        <v>0.48102899999999899</v>
      </c>
      <c r="AH3307">
        <v>169.27388404328801</v>
      </c>
      <c r="AI3307">
        <v>89.837350698962794</v>
      </c>
      <c r="AJ3307">
        <v>87.390549774651504</v>
      </c>
      <c r="AK3307">
        <v>169.45027347022699</v>
      </c>
      <c r="AL3307">
        <v>87.230941894740894</v>
      </c>
      <c r="AM3307">
        <v>85.154058388480706</v>
      </c>
      <c r="AN3307">
        <v>1.00000001056438</v>
      </c>
    </row>
    <row r="3308" spans="1:40" x14ac:dyDescent="0.25">
      <c r="A3308" t="str">
        <f>"20190312154900663"</f>
        <v>20190312154900663</v>
      </c>
      <c r="B3308" t="str">
        <f>"1552376940649432"</f>
        <v>1552376940649432</v>
      </c>
      <c r="C3308" t="s">
        <v>40</v>
      </c>
      <c r="D3308">
        <v>4.3319919999999996</v>
      </c>
      <c r="E3308">
        <v>0.52921779999999996</v>
      </c>
      <c r="F3308" t="s">
        <v>41</v>
      </c>
      <c r="G3308">
        <v>-402.98340000000002</v>
      </c>
      <c r="H3308">
        <v>1.050926</v>
      </c>
      <c r="I3308">
        <v>214.3553</v>
      </c>
      <c r="J3308">
        <v>-403.43869999999998</v>
      </c>
      <c r="K3308">
        <v>1.110058</v>
      </c>
      <c r="L3308">
        <v>214.42850000000001</v>
      </c>
      <c r="M3308">
        <v>0.99989059999999996</v>
      </c>
      <c r="N3308">
        <v>0</v>
      </c>
      <c r="O3308">
        <v>8.0368629999999996E-4</v>
      </c>
      <c r="P3308">
        <v>0.99595250000000002</v>
      </c>
      <c r="Q3308">
        <v>3.3129180000000001E-2</v>
      </c>
      <c r="R3308">
        <v>-8.3554039999999996E-2</v>
      </c>
      <c r="S3308">
        <v>2.9974669999999999</v>
      </c>
      <c r="T3308">
        <v>-0.2140447</v>
      </c>
      <c r="U3308">
        <v>-0.26205440000000002</v>
      </c>
      <c r="V3308">
        <v>8.4354449999999997E-2</v>
      </c>
      <c r="W3308">
        <v>4.7843139999999999E-2</v>
      </c>
      <c r="X3308">
        <v>0.99528660000000002</v>
      </c>
      <c r="Y3308">
        <v>8.7670219999999993E-2</v>
      </c>
      <c r="Z3308">
        <v>-3.177507E-3</v>
      </c>
      <c r="AA3308">
        <v>0.99614449999999999</v>
      </c>
      <c r="AB3308">
        <v>36</v>
      </c>
      <c r="AC3308">
        <v>0.45529999999996501</v>
      </c>
      <c r="AD3308">
        <v>-5.91319999999999E-2</v>
      </c>
      <c r="AE3308">
        <v>-7.3200000000014101E-2</v>
      </c>
      <c r="AF3308">
        <v>7.2375896780420099E-2</v>
      </c>
      <c r="AG3308">
        <v>-5.91319999999999E-2</v>
      </c>
      <c r="AH3308">
        <v>0.447876819509267</v>
      </c>
      <c r="AI3308">
        <v>97.425873554214405</v>
      </c>
      <c r="AJ3308">
        <v>80.8204847952873</v>
      </c>
      <c r="AK3308">
        <v>0.45752432647074198</v>
      </c>
      <c r="AL3308">
        <v>87.257743240654307</v>
      </c>
      <c r="AM3308">
        <v>85.155535058116897</v>
      </c>
      <c r="AN3308">
        <v>1.0000000277097101</v>
      </c>
    </row>
    <row r="3309" spans="1:40" x14ac:dyDescent="0.25">
      <c r="A3309" t="str">
        <f>"20190312154900685"</f>
        <v>20190312154900685</v>
      </c>
      <c r="B3309" t="str">
        <f>"1552376940679689"</f>
        <v>1552376940679689</v>
      </c>
      <c r="C3309" t="s">
        <v>40</v>
      </c>
      <c r="D3309">
        <v>4.3159989999999997</v>
      </c>
      <c r="E3309">
        <v>0.52929110000000001</v>
      </c>
      <c r="F3309" t="s">
        <v>41</v>
      </c>
      <c r="G3309">
        <v>-402.71789999999999</v>
      </c>
      <c r="H3309">
        <v>0.93867140000000004</v>
      </c>
      <c r="I3309">
        <v>214.32040000000001</v>
      </c>
      <c r="J3309">
        <v>-403.07760000000002</v>
      </c>
      <c r="K3309">
        <v>1.1100699999999999</v>
      </c>
      <c r="L3309">
        <v>214.4288</v>
      </c>
      <c r="M3309">
        <v>0.99989059999999996</v>
      </c>
      <c r="N3309">
        <v>0</v>
      </c>
      <c r="O3309">
        <v>8.3856909999999998E-4</v>
      </c>
      <c r="P3309">
        <v>0.99603439999999999</v>
      </c>
      <c r="Q3309">
        <v>3.2275430000000001E-2</v>
      </c>
      <c r="R3309">
        <v>-8.2910780000000003E-2</v>
      </c>
      <c r="S3309">
        <v>2.9981689999999999</v>
      </c>
      <c r="T3309">
        <v>-0.71293090000000003</v>
      </c>
      <c r="U3309">
        <v>-0.4497681</v>
      </c>
      <c r="V3309">
        <v>8.3744750000000007E-2</v>
      </c>
      <c r="W3309">
        <v>4.6988639999999998E-2</v>
      </c>
      <c r="X3309">
        <v>0.99537880000000001</v>
      </c>
      <c r="Y3309">
        <v>0.14519989999999999</v>
      </c>
      <c r="Z3309">
        <v>-1.7130780000000002E-2</v>
      </c>
      <c r="AA3309">
        <v>0.98925399999999997</v>
      </c>
      <c r="AB3309">
        <v>36</v>
      </c>
      <c r="AC3309">
        <v>0.35970000000003199</v>
      </c>
      <c r="AD3309">
        <v>-0.17139860000000001</v>
      </c>
      <c r="AE3309">
        <v>-0.10839999999998801</v>
      </c>
      <c r="AF3309">
        <v>8.9973459519270493E-2</v>
      </c>
      <c r="AG3309">
        <v>-0.17139860000000001</v>
      </c>
      <c r="AH3309">
        <v>0.29765205010850798</v>
      </c>
      <c r="AI3309">
        <v>118.863713696483</v>
      </c>
      <c r="AJ3309">
        <v>73.181124535201604</v>
      </c>
      <c r="AK3309">
        <v>0.35506259509222199</v>
      </c>
      <c r="AL3309">
        <v>87.306757634989197</v>
      </c>
      <c r="AM3309">
        <v>85.190828613154494</v>
      </c>
      <c r="AN3309">
        <v>1.0000000354655201</v>
      </c>
    </row>
    <row r="3310" spans="1:40" x14ac:dyDescent="0.25">
      <c r="A3310" t="str">
        <f>"20190312154900707"</f>
        <v>20190312154900707</v>
      </c>
      <c r="B3310" t="str">
        <f>"1552376940699209"</f>
        <v>1552376940699209</v>
      </c>
      <c r="C3310" t="s">
        <v>40</v>
      </c>
      <c r="D3310">
        <v>4.3396359999999996</v>
      </c>
      <c r="E3310">
        <v>0.528653699999999</v>
      </c>
      <c r="F3310" t="s">
        <v>41</v>
      </c>
      <c r="G3310">
        <v>-402.39550000000003</v>
      </c>
      <c r="H3310">
        <v>0.93791740000000001</v>
      </c>
      <c r="I3310">
        <v>214.32679999999999</v>
      </c>
      <c r="J3310">
        <v>-402.72340000000003</v>
      </c>
      <c r="K3310">
        <v>1.1100749999999999</v>
      </c>
      <c r="L3310">
        <v>214.42910000000001</v>
      </c>
      <c r="M3310">
        <v>0.99989059999999996</v>
      </c>
      <c r="N3310">
        <v>0</v>
      </c>
      <c r="O3310">
        <v>8.8170789999999903E-4</v>
      </c>
      <c r="P3310">
        <v>0.99611700000000003</v>
      </c>
      <c r="Q3310">
        <v>3.1647179999999997E-2</v>
      </c>
      <c r="R3310">
        <v>-8.2157839999999996E-2</v>
      </c>
      <c r="S3310">
        <v>2.999298</v>
      </c>
      <c r="T3310">
        <v>-0.7569224</v>
      </c>
      <c r="U3310">
        <v>-0.44682309999999997</v>
      </c>
      <c r="V3310">
        <v>8.303402E-2</v>
      </c>
      <c r="W3310">
        <v>4.6358959999999998E-2</v>
      </c>
      <c r="X3310">
        <v>0.99546780000000001</v>
      </c>
      <c r="Y3310">
        <v>0.1437831</v>
      </c>
      <c r="Z3310">
        <v>-1.7987320000000001E-2</v>
      </c>
      <c r="AA3310">
        <v>0.98944569999999998</v>
      </c>
      <c r="AB3310">
        <v>36</v>
      </c>
      <c r="AC3310">
        <v>0.32789999999999903</v>
      </c>
      <c r="AD3310">
        <v>-0.17215759999999899</v>
      </c>
      <c r="AE3310">
        <v>-0.10230000000001301</v>
      </c>
      <c r="AF3310">
        <v>8.1992162578503003E-2</v>
      </c>
      <c r="AG3310">
        <v>-0.17215759999999899</v>
      </c>
      <c r="AH3310">
        <v>0.26199491247671602</v>
      </c>
      <c r="AI3310">
        <v>122.092257363903</v>
      </c>
      <c r="AJ3310">
        <v>72.622318898117001</v>
      </c>
      <c r="AK3310">
        <v>0.324040565555829</v>
      </c>
      <c r="AL3310">
        <v>87.342874831254704</v>
      </c>
      <c r="AM3310">
        <v>85.231878733142096</v>
      </c>
      <c r="AN3310">
        <v>0.99999997124324003</v>
      </c>
    </row>
    <row r="3311" spans="1:40" x14ac:dyDescent="0.25">
      <c r="A3311" t="str">
        <f>"20190312154900727"</f>
        <v>20190312154900727</v>
      </c>
      <c r="B3311" t="str">
        <f>"1552376940718729"</f>
        <v>1552376940718729</v>
      </c>
      <c r="C3311" t="s">
        <v>40</v>
      </c>
      <c r="D3311">
        <v>4.401211</v>
      </c>
      <c r="E3311">
        <v>0.52834559999999997</v>
      </c>
      <c r="F3311" t="s">
        <v>41</v>
      </c>
      <c r="G3311">
        <v>-401.77879999999999</v>
      </c>
      <c r="H3311">
        <v>0.87083140000000003</v>
      </c>
      <c r="I3311">
        <v>214.2901</v>
      </c>
      <c r="J3311">
        <v>-402.39139999999998</v>
      </c>
      <c r="K3311">
        <v>1.110079</v>
      </c>
      <c r="L3311">
        <v>214.42949999999999</v>
      </c>
      <c r="M3311">
        <v>0.99989070000000002</v>
      </c>
      <c r="N3311">
        <v>0</v>
      </c>
      <c r="O3311">
        <v>9.2767160000000002E-4</v>
      </c>
      <c r="P3311">
        <v>0.99619000000000002</v>
      </c>
      <c r="Q3311">
        <v>3.0431679999999999E-2</v>
      </c>
      <c r="R3311">
        <v>-8.1729280000000001E-2</v>
      </c>
      <c r="S3311">
        <v>2.9995419999999999</v>
      </c>
      <c r="T3311">
        <v>-0.75977249999999996</v>
      </c>
      <c r="U3311">
        <v>-0.44010929999999998</v>
      </c>
      <c r="V3311">
        <v>8.2650849999999998E-2</v>
      </c>
      <c r="W3311">
        <v>4.5142870000000002E-2</v>
      </c>
      <c r="X3311">
        <v>0.99555559999999998</v>
      </c>
      <c r="Y3311">
        <v>0.14167879999999899</v>
      </c>
      <c r="Z3311">
        <v>-1.7804779999999999E-2</v>
      </c>
      <c r="AA3311">
        <v>0.98975250000000004</v>
      </c>
      <c r="AB3311">
        <v>36</v>
      </c>
      <c r="AC3311">
        <v>0.61259999999998604</v>
      </c>
      <c r="AD3311">
        <v>-0.2392476</v>
      </c>
      <c r="AE3311">
        <v>-0.139399999999994</v>
      </c>
      <c r="AF3311">
        <v>0.122241346616753</v>
      </c>
      <c r="AG3311">
        <v>-0.2392476</v>
      </c>
      <c r="AH3311">
        <v>0.53490119210152898</v>
      </c>
      <c r="AI3311">
        <v>113.558794875921</v>
      </c>
      <c r="AJ3311">
        <v>77.127215890712904</v>
      </c>
      <c r="AK3311">
        <v>0.59858303203488294</v>
      </c>
      <c r="AL3311">
        <v>87.412624765892204</v>
      </c>
      <c r="AM3311">
        <v>85.254197691752594</v>
      </c>
      <c r="AN3311">
        <v>0.99999999720445898</v>
      </c>
    </row>
    <row r="3312" spans="1:40" x14ac:dyDescent="0.25">
      <c r="A3312" t="str">
        <f>"20190312154900750"</f>
        <v>20190312154900750</v>
      </c>
      <c r="B3312" t="str">
        <f>"1552376940739230"</f>
        <v>1552376940739230</v>
      </c>
      <c r="C3312" t="s">
        <v>40</v>
      </c>
      <c r="D3312">
        <v>4.387429</v>
      </c>
      <c r="E3312">
        <v>0.52817919999999996</v>
      </c>
      <c r="F3312" t="s">
        <v>41</v>
      </c>
      <c r="G3312">
        <v>-401.45650000000001</v>
      </c>
      <c r="H3312">
        <v>0.87234349999999905</v>
      </c>
      <c r="I3312">
        <v>214.29339999999999</v>
      </c>
      <c r="J3312">
        <v>-402.02510000000001</v>
      </c>
      <c r="K3312">
        <v>1.1100810000000001</v>
      </c>
      <c r="L3312">
        <v>214.4298</v>
      </c>
      <c r="M3312">
        <v>0.99989059999999996</v>
      </c>
      <c r="N3312">
        <v>0</v>
      </c>
      <c r="O3312">
        <v>9.8392440000000009E-4</v>
      </c>
      <c r="P3312">
        <v>0.99625710000000001</v>
      </c>
      <c r="Q3312">
        <v>2.992102E-2</v>
      </c>
      <c r="R3312">
        <v>-8.1097740000000001E-2</v>
      </c>
      <c r="S3312">
        <v>2.9989620000000001</v>
      </c>
      <c r="T3312">
        <v>-0.76256880000000005</v>
      </c>
      <c r="U3312">
        <v>-0.43634030000000001</v>
      </c>
      <c r="V3312">
        <v>8.2074880000000003E-2</v>
      </c>
      <c r="W3312">
        <v>4.4629830000000002E-2</v>
      </c>
      <c r="X3312">
        <v>0.99562640000000002</v>
      </c>
      <c r="Y3312">
        <v>0.140543</v>
      </c>
      <c r="Z3312">
        <v>-1.7745759999999999E-2</v>
      </c>
      <c r="AA3312">
        <v>0.98991549999999995</v>
      </c>
      <c r="AB3312">
        <v>36</v>
      </c>
      <c r="AC3312">
        <v>0.56860000000000299</v>
      </c>
      <c r="AD3312">
        <v>-0.23773749999999999</v>
      </c>
      <c r="AE3312">
        <v>-0.13640000000000799</v>
      </c>
      <c r="AF3312">
        <v>0.11753113082576799</v>
      </c>
      <c r="AG3312">
        <v>-0.23773749999999999</v>
      </c>
      <c r="AH3312">
        <v>0.48782607753215801</v>
      </c>
      <c r="AI3312">
        <v>115.350841295072</v>
      </c>
      <c r="AJ3312">
        <v>76.453983825494504</v>
      </c>
      <c r="AK3312">
        <v>0.555253966703386</v>
      </c>
      <c r="AL3312">
        <v>87.442049503431804</v>
      </c>
      <c r="AM3312">
        <v>85.287453958128594</v>
      </c>
      <c r="AN3312">
        <v>1.0000000180149</v>
      </c>
    </row>
    <row r="3313" spans="1:40" x14ac:dyDescent="0.25">
      <c r="A3313" t="str">
        <f>"20190312154900771"</f>
        <v>20190312154900771</v>
      </c>
      <c r="B3313" t="str">
        <f>"1552376940759251"</f>
        <v>1552376940759251</v>
      </c>
      <c r="C3313" t="s">
        <v>40</v>
      </c>
      <c r="D3313">
        <v>4.4302739999999998</v>
      </c>
      <c r="E3313">
        <v>0.52810649999999904</v>
      </c>
      <c r="F3313" t="s">
        <v>41</v>
      </c>
      <c r="G3313">
        <v>-401.13069999999999</v>
      </c>
      <c r="H3313">
        <v>0.88300599999999996</v>
      </c>
      <c r="I3313">
        <v>214.3004</v>
      </c>
      <c r="J3313">
        <v>-401.67410000000001</v>
      </c>
      <c r="K3313">
        <v>1.110082</v>
      </c>
      <c r="L3313">
        <v>214.43029999999999</v>
      </c>
      <c r="M3313">
        <v>0.99989050000000002</v>
      </c>
      <c r="N3313">
        <v>0</v>
      </c>
      <c r="O3313">
        <v>1.0404450000000001E-3</v>
      </c>
      <c r="P3313">
        <v>0.99631499999999995</v>
      </c>
      <c r="Q3313">
        <v>2.9041339999999999E-2</v>
      </c>
      <c r="R3313">
        <v>-8.0704029999999996E-2</v>
      </c>
      <c r="S3313">
        <v>2.998901</v>
      </c>
      <c r="T3313">
        <v>-0.7613318</v>
      </c>
      <c r="U3313">
        <v>-0.43299870000000001</v>
      </c>
      <c r="V3313">
        <v>8.1737180000000006E-2</v>
      </c>
      <c r="W3313">
        <v>4.3747590000000003E-2</v>
      </c>
      <c r="X3313">
        <v>0.9956933</v>
      </c>
      <c r="Y3313">
        <v>0.13956299999999999</v>
      </c>
      <c r="Z3313">
        <v>-1.7611740000000001E-2</v>
      </c>
      <c r="AA3313">
        <v>0.99005659999999895</v>
      </c>
      <c r="AB3313">
        <v>36</v>
      </c>
      <c r="AC3313">
        <v>0.54340000000001898</v>
      </c>
      <c r="AD3313">
        <v>-0.227076</v>
      </c>
      <c r="AE3313">
        <v>-0.12989999999999199</v>
      </c>
      <c r="AF3313">
        <v>0.111969734092934</v>
      </c>
      <c r="AG3313">
        <v>-0.227076</v>
      </c>
      <c r="AH3313">
        <v>0.46624775756475501</v>
      </c>
      <c r="AI3313">
        <v>115.34056154975001</v>
      </c>
      <c r="AJ3313">
        <v>76.496101767767001</v>
      </c>
      <c r="AK3313">
        <v>0.53055414668345102</v>
      </c>
      <c r="AL3313">
        <v>87.492647468783503</v>
      </c>
      <c r="AM3313">
        <v>85.307071028547298</v>
      </c>
      <c r="AN3313">
        <v>0.99999998294502501</v>
      </c>
    </row>
    <row r="3314" spans="1:40" x14ac:dyDescent="0.25">
      <c r="A3314" t="str">
        <f>"20190312154900794"</f>
        <v>20190312154900794</v>
      </c>
      <c r="B3314" t="str">
        <f>"1552376940789507"</f>
        <v>1552376940789507</v>
      </c>
      <c r="C3314" t="s">
        <v>40</v>
      </c>
      <c r="D3314">
        <v>4.4427989999999999</v>
      </c>
      <c r="E3314">
        <v>0.52784759999999997</v>
      </c>
      <c r="F3314" t="s">
        <v>41</v>
      </c>
      <c r="G3314">
        <v>-400.80709999999999</v>
      </c>
      <c r="H3314">
        <v>0.88936899999999997</v>
      </c>
      <c r="I3314">
        <v>214.30539999999999</v>
      </c>
      <c r="J3314">
        <v>-401.3152</v>
      </c>
      <c r="K3314">
        <v>1.1100810000000001</v>
      </c>
      <c r="L3314">
        <v>214.4307</v>
      </c>
      <c r="M3314">
        <v>0.99989059999999996</v>
      </c>
      <c r="N3314">
        <v>0</v>
      </c>
      <c r="O3314">
        <v>1.0988040000000001E-3</v>
      </c>
      <c r="P3314">
        <v>0.99634599999999995</v>
      </c>
      <c r="Q3314">
        <v>2.8150069999999999E-2</v>
      </c>
      <c r="R3314">
        <v>-8.0639500000000003E-2</v>
      </c>
      <c r="S3314">
        <v>2.9984130000000002</v>
      </c>
      <c r="T3314">
        <v>-0.76320619999999995</v>
      </c>
      <c r="U3314">
        <v>-0.43116759999999899</v>
      </c>
      <c r="V3314">
        <v>8.173068E-2</v>
      </c>
      <c r="W3314">
        <v>4.2853879999999997E-2</v>
      </c>
      <c r="X3314">
        <v>0.99573270000000003</v>
      </c>
      <c r="Y3314">
        <v>0.13904259999999999</v>
      </c>
      <c r="Z3314">
        <v>-1.760695E-2</v>
      </c>
      <c r="AA3314">
        <v>0.99012990000000001</v>
      </c>
      <c r="AB3314">
        <v>36</v>
      </c>
      <c r="AC3314">
        <v>0.50810000000001299</v>
      </c>
      <c r="AD3314">
        <v>-0.22071199999999899</v>
      </c>
      <c r="AE3314">
        <v>-0.12530000000000899</v>
      </c>
      <c r="AF3314">
        <v>0.106852014387791</v>
      </c>
      <c r="AG3314">
        <v>-0.22071199999999899</v>
      </c>
      <c r="AH3314">
        <v>0.431252989751991</v>
      </c>
      <c r="AI3314">
        <v>116.416853296279</v>
      </c>
      <c r="AJ3314">
        <v>76.084015496339703</v>
      </c>
      <c r="AK3314">
        <v>0.49609503232017899</v>
      </c>
      <c r="AL3314">
        <v>87.5439013580976</v>
      </c>
      <c r="AM3314">
        <v>85.307627408418497</v>
      </c>
      <c r="AN3314">
        <v>0.99999998446680305</v>
      </c>
    </row>
    <row r="3315" spans="1:40" x14ac:dyDescent="0.25">
      <c r="A3315" t="str">
        <f>"20190312154900817"</f>
        <v>20190312154900817</v>
      </c>
      <c r="B3315" t="str">
        <f>"1552376940809027"</f>
        <v>1552376940809027</v>
      </c>
      <c r="C3315" t="s">
        <v>40</v>
      </c>
      <c r="D3315">
        <v>4.4232750000000003</v>
      </c>
      <c r="E3315">
        <v>0.52784719999999996</v>
      </c>
      <c r="F3315" t="s">
        <v>41</v>
      </c>
      <c r="G3315">
        <v>-400.4828</v>
      </c>
      <c r="H3315">
        <v>0.89814139999999998</v>
      </c>
      <c r="I3315">
        <v>214.31110000000001</v>
      </c>
      <c r="J3315">
        <v>-400.95549999999997</v>
      </c>
      <c r="K3315">
        <v>1.110085</v>
      </c>
      <c r="L3315">
        <v>214.43109999999999</v>
      </c>
      <c r="M3315">
        <v>0.99989059999999996</v>
      </c>
      <c r="N3315">
        <v>0</v>
      </c>
      <c r="O3315">
        <v>1.157454E-3</v>
      </c>
      <c r="P3315">
        <v>0.99637869999999995</v>
      </c>
      <c r="Q3315">
        <v>2.7778959999999998E-2</v>
      </c>
      <c r="R3315">
        <v>-8.0361849999999999E-2</v>
      </c>
      <c r="S3315">
        <v>2.9977719999999999</v>
      </c>
      <c r="T3315">
        <v>-0.76335319999999995</v>
      </c>
      <c r="U3315">
        <v>-0.42959589999999998</v>
      </c>
      <c r="V3315">
        <v>8.1511680000000003E-2</v>
      </c>
      <c r="W3315">
        <v>4.2479429999999999E-2</v>
      </c>
      <c r="X3315">
        <v>0.9957667</v>
      </c>
      <c r="Y3315">
        <v>0.138629</v>
      </c>
      <c r="Z3315">
        <v>-1.7577530000000001E-2</v>
      </c>
      <c r="AA3315">
        <v>0.99018839999999997</v>
      </c>
      <c r="AB3315">
        <v>36</v>
      </c>
      <c r="AC3315">
        <v>0.47269999999997397</v>
      </c>
      <c r="AD3315">
        <v>-0.21194359999999901</v>
      </c>
      <c r="AE3315">
        <v>-0.119999999999976</v>
      </c>
      <c r="AF3315">
        <v>0.10139700202608</v>
      </c>
      <c r="AG3315">
        <v>-0.21194359999999901</v>
      </c>
      <c r="AH3315">
        <v>0.39748980031458497</v>
      </c>
      <c r="AI3315">
        <v>117.323582777979</v>
      </c>
      <c r="AJ3315">
        <v>75.689426629565403</v>
      </c>
      <c r="AK3315">
        <v>0.46173540361874499</v>
      </c>
      <c r="AL3315">
        <v>87.565375327720503</v>
      </c>
      <c r="AM3315">
        <v>85.320303932780305</v>
      </c>
      <c r="AN3315">
        <v>0.999999988389218</v>
      </c>
    </row>
    <row r="3316" spans="1:40" x14ac:dyDescent="0.25">
      <c r="A3316" t="str">
        <f>"20190312154900841"</f>
        <v>20190312154900841</v>
      </c>
      <c r="B3316" t="str">
        <f>"1552376940828551"</f>
        <v>1552376940828551</v>
      </c>
      <c r="C3316" t="s">
        <v>40</v>
      </c>
      <c r="D3316">
        <v>4.4827680000000001</v>
      </c>
      <c r="E3316">
        <v>0.52799160000000001</v>
      </c>
      <c r="F3316" t="s">
        <v>41</v>
      </c>
      <c r="G3316">
        <v>-400.15879999999999</v>
      </c>
      <c r="H3316">
        <v>0.90695970000000004</v>
      </c>
      <c r="I3316">
        <v>214.3167</v>
      </c>
      <c r="J3316">
        <v>-400.57749999999999</v>
      </c>
      <c r="K3316">
        <v>1.110079</v>
      </c>
      <c r="L3316">
        <v>214.43170000000001</v>
      </c>
      <c r="M3316">
        <v>0.99989059999999996</v>
      </c>
      <c r="N3316">
        <v>0</v>
      </c>
      <c r="O3316">
        <v>1.2186650000000001E-3</v>
      </c>
      <c r="P3316">
        <v>0.99642039999999998</v>
      </c>
      <c r="Q3316">
        <v>2.6941329999999999E-2</v>
      </c>
      <c r="R3316">
        <v>-8.0131250000000001E-2</v>
      </c>
      <c r="S3316">
        <v>2.99762</v>
      </c>
      <c r="T3316">
        <v>-0.76432060000000002</v>
      </c>
      <c r="U3316">
        <v>-0.42959589999999998</v>
      </c>
      <c r="V3316">
        <v>8.1341830000000004E-2</v>
      </c>
      <c r="W3316">
        <v>4.1638080000000001E-2</v>
      </c>
      <c r="X3316">
        <v>0.99581609999999998</v>
      </c>
      <c r="Y3316">
        <v>0.13868179999999999</v>
      </c>
      <c r="Z3316">
        <v>-1.7621870000000001E-2</v>
      </c>
      <c r="AA3316">
        <v>0.99018019999999995</v>
      </c>
      <c r="AB3316">
        <v>36</v>
      </c>
      <c r="AC3316">
        <v>0.41870000000000102</v>
      </c>
      <c r="AD3316">
        <v>-0.2031193</v>
      </c>
      <c r="AE3316">
        <v>-0.115000000000009</v>
      </c>
      <c r="AF3316">
        <v>9.4771233134179705E-2</v>
      </c>
      <c r="AG3316">
        <v>-0.2031193</v>
      </c>
      <c r="AH3316">
        <v>0.34341031297804803</v>
      </c>
      <c r="AI3316">
        <v>119.69021270150699</v>
      </c>
      <c r="AJ3316">
        <v>74.572047353596503</v>
      </c>
      <c r="AK3316">
        <v>0.410084966466638</v>
      </c>
      <c r="AL3316">
        <v>87.613623768822094</v>
      </c>
      <c r="AM3316">
        <v>85.330242718765007</v>
      </c>
      <c r="AN3316">
        <v>0.99999996401652202</v>
      </c>
    </row>
    <row r="3317" spans="1:40" x14ac:dyDescent="0.25">
      <c r="A3317" t="str">
        <f>"20190312154900863"</f>
        <v>20190312154900863</v>
      </c>
      <c r="B3317" t="str">
        <f>"1552376940849043"</f>
        <v>1552376940849043</v>
      </c>
      <c r="C3317" t="s">
        <v>40</v>
      </c>
      <c r="D3317">
        <v>4.4629620000000001</v>
      </c>
      <c r="E3317">
        <v>0.52803279999999997</v>
      </c>
      <c r="F3317" t="s">
        <v>41</v>
      </c>
      <c r="G3317">
        <v>-399.83339999999998</v>
      </c>
      <c r="H3317">
        <v>0.91970050000000003</v>
      </c>
      <c r="I3317">
        <v>214.32470000000001</v>
      </c>
      <c r="J3317">
        <v>-400.21699999999998</v>
      </c>
      <c r="K3317">
        <v>1.1100749999999999</v>
      </c>
      <c r="L3317">
        <v>214.43209999999999</v>
      </c>
      <c r="M3317">
        <v>0.99989050000000002</v>
      </c>
      <c r="N3317">
        <v>0</v>
      </c>
      <c r="O3317">
        <v>1.276349E-3</v>
      </c>
      <c r="P3317">
        <v>0.9964615</v>
      </c>
      <c r="Q3317">
        <v>2.551573E-2</v>
      </c>
      <c r="R3317">
        <v>-8.0084580000000002E-2</v>
      </c>
      <c r="S3317">
        <v>2.996918</v>
      </c>
      <c r="T3317">
        <v>-0.76684319999999995</v>
      </c>
      <c r="U3317">
        <v>-0.42990109999999898</v>
      </c>
      <c r="V3317">
        <v>8.1352729999999998E-2</v>
      </c>
      <c r="W3317">
        <v>4.0209729999999999E-2</v>
      </c>
      <c r="X3317">
        <v>0.99587389999999998</v>
      </c>
      <c r="Y3317">
        <v>0.13883309999999999</v>
      </c>
      <c r="Z3317">
        <v>-1.771551E-2</v>
      </c>
      <c r="AA3317">
        <v>0.99015730000000002</v>
      </c>
      <c r="AB3317">
        <v>36</v>
      </c>
      <c r="AC3317">
        <v>0.383600000000001</v>
      </c>
      <c r="AD3317">
        <v>-0.1903745</v>
      </c>
      <c r="AE3317">
        <v>-0.10739999999998399</v>
      </c>
      <c r="AF3317">
        <v>8.7829760374808497E-2</v>
      </c>
      <c r="AG3317">
        <v>-0.1903745</v>
      </c>
      <c r="AH3317">
        <v>0.31216573234589901</v>
      </c>
      <c r="AI3317">
        <v>120.415368396807</v>
      </c>
      <c r="AJ3317">
        <v>74.285724205775196</v>
      </c>
      <c r="AK3317">
        <v>0.37603718101910799</v>
      </c>
      <c r="AL3317">
        <v>87.695530805310398</v>
      </c>
      <c r="AM3317">
        <v>85.329889595524406</v>
      </c>
      <c r="AN3317">
        <v>0.99999995688316701</v>
      </c>
    </row>
    <row r="3318" spans="1:40" x14ac:dyDescent="0.25">
      <c r="A3318" t="str">
        <f>"20190312154900886"</f>
        <v>20190312154900886</v>
      </c>
      <c r="B3318" t="str">
        <f>"1552376940879299"</f>
        <v>1552376940879299</v>
      </c>
      <c r="C3318" t="s">
        <v>40</v>
      </c>
      <c r="D3318">
        <v>4.4915839999999996</v>
      </c>
      <c r="E3318">
        <v>0.5281074</v>
      </c>
      <c r="F3318" t="s">
        <v>41</v>
      </c>
      <c r="G3318">
        <v>-399.51</v>
      </c>
      <c r="H3318">
        <v>0.9279771</v>
      </c>
      <c r="I3318">
        <v>214.33019999999999</v>
      </c>
      <c r="J3318">
        <v>-399.8596</v>
      </c>
      <c r="K3318">
        <v>1.1100719999999999</v>
      </c>
      <c r="L3318">
        <v>214.43270000000001</v>
      </c>
      <c r="M3318">
        <v>0.99989050000000002</v>
      </c>
      <c r="N3318">
        <v>0</v>
      </c>
      <c r="O3318">
        <v>1.333309E-3</v>
      </c>
      <c r="P3318">
        <v>0.99649319999999997</v>
      </c>
      <c r="Q3318">
        <v>2.378624E-2</v>
      </c>
      <c r="R3318">
        <v>-8.0222580000000002E-2</v>
      </c>
      <c r="S3318">
        <v>2.9958499999999999</v>
      </c>
      <c r="T3318">
        <v>-0.77157759999999997</v>
      </c>
      <c r="U3318">
        <v>-0.43040469999999997</v>
      </c>
      <c r="V3318">
        <v>8.1547679999999997E-2</v>
      </c>
      <c r="W3318">
        <v>3.8478239999999997E-2</v>
      </c>
      <c r="X3318">
        <v>0.99592639999999999</v>
      </c>
      <c r="Y3318">
        <v>0.13903689999999999</v>
      </c>
      <c r="Z3318">
        <v>-1.7867439999999998E-2</v>
      </c>
      <c r="AA3318">
        <v>0.99012599999999995</v>
      </c>
      <c r="AB3318">
        <v>36</v>
      </c>
      <c r="AC3318">
        <v>0.34960000000000901</v>
      </c>
      <c r="AD3318">
        <v>-0.182094899999999</v>
      </c>
      <c r="AE3318">
        <v>-0.10250000000002001</v>
      </c>
      <c r="AF3318">
        <v>8.23843132630247E-2</v>
      </c>
      <c r="AG3318">
        <v>-0.182094899999999</v>
      </c>
      <c r="AH3318">
        <v>0.27960925474557402</v>
      </c>
      <c r="AI3318">
        <v>121.992859517253</v>
      </c>
      <c r="AJ3318">
        <v>73.582872083539201</v>
      </c>
      <c r="AK3318">
        <v>0.34369617835699801</v>
      </c>
      <c r="AL3318">
        <v>87.794814852072804</v>
      </c>
      <c r="AM3318">
        <v>85.318993707349904</v>
      </c>
      <c r="AN3318">
        <v>0.99999999664191996</v>
      </c>
    </row>
    <row r="3319" spans="1:40" x14ac:dyDescent="0.25">
      <c r="A3319" t="str">
        <f>"20190312154900906"</f>
        <v>20190312154900906</v>
      </c>
      <c r="B3319" t="str">
        <f>"1552376940898819"</f>
        <v>1552376940898819</v>
      </c>
      <c r="C3319" t="s">
        <v>40</v>
      </c>
      <c r="D3319">
        <v>4.4751019999999997</v>
      </c>
      <c r="E3319">
        <v>0.52817460000000005</v>
      </c>
      <c r="F3319" t="s">
        <v>41</v>
      </c>
      <c r="G3319">
        <v>-398.89960000000002</v>
      </c>
      <c r="H3319">
        <v>0.86068519999999904</v>
      </c>
      <c r="I3319">
        <v>214.2945</v>
      </c>
      <c r="J3319">
        <v>-399.52820000000003</v>
      </c>
      <c r="K3319">
        <v>1.1100680000000001</v>
      </c>
      <c r="L3319">
        <v>214.4332</v>
      </c>
      <c r="M3319">
        <v>0.99989059999999996</v>
      </c>
      <c r="N3319">
        <v>0</v>
      </c>
      <c r="O3319">
        <v>1.3860910000000001E-3</v>
      </c>
      <c r="P3319">
        <v>0.99650039999999995</v>
      </c>
      <c r="Q3319">
        <v>2.2990529999999999E-2</v>
      </c>
      <c r="R3319">
        <v>-8.0365599999999995E-2</v>
      </c>
      <c r="S3319">
        <v>2.994415</v>
      </c>
      <c r="T3319">
        <v>-0.77794790000000003</v>
      </c>
      <c r="U3319">
        <v>-0.4311371</v>
      </c>
      <c r="V3319">
        <v>8.1743369999999996E-2</v>
      </c>
      <c r="W3319">
        <v>3.7679160000000003E-2</v>
      </c>
      <c r="X3319">
        <v>0.99594090000000002</v>
      </c>
      <c r="Y3319">
        <v>0.1393054</v>
      </c>
      <c r="Z3319">
        <v>-1.806584E-2</v>
      </c>
      <c r="AA3319">
        <v>0.99008459999999998</v>
      </c>
      <c r="AB3319">
        <v>36</v>
      </c>
      <c r="AC3319">
        <v>0.62860000000000504</v>
      </c>
      <c r="AD3319">
        <v>-0.24938279999999999</v>
      </c>
      <c r="AE3319">
        <v>-0.13869999999999999</v>
      </c>
      <c r="AF3319">
        <v>0.12135728757868</v>
      </c>
      <c r="AG3319">
        <v>-0.24938279999999999</v>
      </c>
      <c r="AH3319">
        <v>0.54640034906574497</v>
      </c>
      <c r="AI3319">
        <v>114.015512922632</v>
      </c>
      <c r="AJ3319">
        <v>77.477688853823196</v>
      </c>
      <c r="AK3319">
        <v>0.61275828321081305</v>
      </c>
      <c r="AL3319">
        <v>87.840631973228497</v>
      </c>
      <c r="AM3319">
        <v>85.307878800713794</v>
      </c>
      <c r="AN3319">
        <v>0.999999986965036</v>
      </c>
    </row>
    <row r="3320" spans="1:40" x14ac:dyDescent="0.25">
      <c r="A3320" t="str">
        <f>"20190312154900929"</f>
        <v>20190312154900929</v>
      </c>
      <c r="B3320" t="str">
        <f>"1552376940919318"</f>
        <v>1552376940919318</v>
      </c>
      <c r="C3320" t="s">
        <v>40</v>
      </c>
      <c r="D3320">
        <v>4.4225909999999997</v>
      </c>
      <c r="E3320">
        <v>0.52829869999999901</v>
      </c>
      <c r="F3320" t="s">
        <v>41</v>
      </c>
      <c r="G3320">
        <v>-398.58010000000002</v>
      </c>
      <c r="H3320">
        <v>0.86284089999999902</v>
      </c>
      <c r="I3320">
        <v>214.29560000000001</v>
      </c>
      <c r="J3320">
        <v>-399.17090000000002</v>
      </c>
      <c r="K3320">
        <v>1.110063</v>
      </c>
      <c r="L3320">
        <v>214.43369999999999</v>
      </c>
      <c r="M3320">
        <v>0.99989050000000002</v>
      </c>
      <c r="N3320">
        <v>0</v>
      </c>
      <c r="O3320">
        <v>1.4430420000000001E-3</v>
      </c>
      <c r="P3320">
        <v>0.99649600000000005</v>
      </c>
      <c r="Q3320">
        <v>2.2787370000000001E-2</v>
      </c>
      <c r="R3320">
        <v>-8.0477060000000003E-2</v>
      </c>
      <c r="S3320">
        <v>2.9935610000000001</v>
      </c>
      <c r="T3320">
        <v>-0.78057549999999998</v>
      </c>
      <c r="U3320">
        <v>-0.43328860000000002</v>
      </c>
      <c r="V3320">
        <v>8.1911559999999994E-2</v>
      </c>
      <c r="W3320">
        <v>3.747284E-2</v>
      </c>
      <c r="X3320">
        <v>0.99593489999999996</v>
      </c>
      <c r="Y3320">
        <v>0.1400402</v>
      </c>
      <c r="Z3320">
        <v>-1.8237300000000001E-2</v>
      </c>
      <c r="AA3320">
        <v>0.98997780000000002</v>
      </c>
      <c r="AB3320">
        <v>36</v>
      </c>
      <c r="AC3320">
        <v>0.59080000000000099</v>
      </c>
      <c r="AD3320">
        <v>-0.2472221</v>
      </c>
      <c r="AE3320">
        <v>-0.13809999999997999</v>
      </c>
      <c r="AF3320">
        <v>0.119167054063511</v>
      </c>
      <c r="AG3320">
        <v>-0.2472221</v>
      </c>
      <c r="AH3320">
        <v>0.50650454381535204</v>
      </c>
      <c r="AI3320">
        <v>115.41341146367201</v>
      </c>
      <c r="AJ3320">
        <v>76.760604003708394</v>
      </c>
      <c r="AK3320">
        <v>0.57607847243946098</v>
      </c>
      <c r="AL3320">
        <v>87.8524616666285</v>
      </c>
      <c r="AM3320">
        <v>85.298239627932105</v>
      </c>
      <c r="AN3320">
        <v>1.0000000212186499</v>
      </c>
    </row>
    <row r="3321" spans="1:40" x14ac:dyDescent="0.25">
      <c r="A3321" t="str">
        <f>"20190312154900950"</f>
        <v>20190312154900950</v>
      </c>
      <c r="B3321" t="str">
        <f>"1552376940938835"</f>
        <v>1552376940938835</v>
      </c>
      <c r="C3321" t="s">
        <v>40</v>
      </c>
      <c r="D3321">
        <v>4.4811649999999998</v>
      </c>
      <c r="E3321">
        <v>0.52842029999999995</v>
      </c>
      <c r="F3321" t="s">
        <v>41</v>
      </c>
      <c r="G3321">
        <v>-398.25830000000002</v>
      </c>
      <c r="H3321">
        <v>0.87183860000000002</v>
      </c>
      <c r="I3321">
        <v>214.30080000000001</v>
      </c>
      <c r="J3321">
        <v>-398.82150000000001</v>
      </c>
      <c r="K3321">
        <v>1.1100650000000001</v>
      </c>
      <c r="L3321">
        <v>214.43430000000001</v>
      </c>
      <c r="M3321">
        <v>0.99989039999999996</v>
      </c>
      <c r="N3321">
        <v>0</v>
      </c>
      <c r="O3321">
        <v>1.4986789999999999E-3</v>
      </c>
      <c r="P3321">
        <v>0.99648380000000003</v>
      </c>
      <c r="Q3321">
        <v>2.3177699999999999E-2</v>
      </c>
      <c r="R3321">
        <v>-8.0517489999999997E-2</v>
      </c>
      <c r="S3321">
        <v>2.9932560000000001</v>
      </c>
      <c r="T3321">
        <v>-0.78132100000000004</v>
      </c>
      <c r="U3321">
        <v>-0.43560789999999999</v>
      </c>
      <c r="V3321">
        <v>8.2007250000000004E-2</v>
      </c>
      <c r="W3321">
        <v>3.7858799999999998E-2</v>
      </c>
      <c r="X3321">
        <v>0.99591240000000003</v>
      </c>
      <c r="Y3321">
        <v>0.14082420000000001</v>
      </c>
      <c r="Z3321">
        <v>-1.8369320000000001E-2</v>
      </c>
      <c r="AA3321">
        <v>0.98986419999999997</v>
      </c>
      <c r="AB3321">
        <v>36</v>
      </c>
      <c r="AC3321">
        <v>0.56319999999999404</v>
      </c>
      <c r="AD3321">
        <v>-0.23822639999999901</v>
      </c>
      <c r="AE3321">
        <v>-0.13349999999999701</v>
      </c>
      <c r="AF3321">
        <v>0.114882836763731</v>
      </c>
      <c r="AG3321">
        <v>-0.23822639999999901</v>
      </c>
      <c r="AH3321">
        <v>0.481442822965019</v>
      </c>
      <c r="AI3321">
        <v>115.701720766205</v>
      </c>
      <c r="AJ3321">
        <v>76.578944980955796</v>
      </c>
      <c r="AK3321">
        <v>0.54930599452797602</v>
      </c>
      <c r="AL3321">
        <v>87.830332023585797</v>
      </c>
      <c r="AM3321">
        <v>85.292665777705807</v>
      </c>
      <c r="AN3321">
        <v>0.99999999313188104</v>
      </c>
    </row>
    <row r="3322" spans="1:40" x14ac:dyDescent="0.25">
      <c r="A3322" t="str">
        <f>"20190312154900972"</f>
        <v>20190312154900972</v>
      </c>
      <c r="B3322" t="str">
        <f>"1552376940969091"</f>
        <v>1552376940969091</v>
      </c>
      <c r="C3322" t="s">
        <v>40</v>
      </c>
      <c r="D3322">
        <v>4.4242679999999996</v>
      </c>
      <c r="E3322">
        <v>0.52870569999999995</v>
      </c>
      <c r="F3322" t="s">
        <v>41</v>
      </c>
      <c r="G3322">
        <v>-397.93720000000002</v>
      </c>
      <c r="H3322">
        <v>0.87963530000000001</v>
      </c>
      <c r="I3322">
        <v>214.3049</v>
      </c>
      <c r="J3322">
        <v>-398.45830000000001</v>
      </c>
      <c r="K3322">
        <v>1.110069</v>
      </c>
      <c r="L3322">
        <v>214.4349</v>
      </c>
      <c r="M3322">
        <v>0.99989039999999996</v>
      </c>
      <c r="N3322">
        <v>0</v>
      </c>
      <c r="O3322">
        <v>1.556464E-3</v>
      </c>
      <c r="P3322">
        <v>0.99649399999999999</v>
      </c>
      <c r="Q3322">
        <v>2.3518710000000002E-2</v>
      </c>
      <c r="R3322">
        <v>-8.0291860000000007E-2</v>
      </c>
      <c r="S3322">
        <v>2.9934080000000001</v>
      </c>
      <c r="T3322">
        <v>-0.78009669999999998</v>
      </c>
      <c r="U3322">
        <v>-0.43699650000000001</v>
      </c>
      <c r="V3322">
        <v>8.1839140000000005E-2</v>
      </c>
      <c r="W3322">
        <v>3.8196630000000002E-2</v>
      </c>
      <c r="X3322">
        <v>0.9959133</v>
      </c>
      <c r="Y3322">
        <v>0.141320899999999</v>
      </c>
      <c r="Z3322">
        <v>-1.841806E-2</v>
      </c>
      <c r="AA3322">
        <v>0.98979249999999996</v>
      </c>
      <c r="AB3322">
        <v>36</v>
      </c>
      <c r="AC3322">
        <v>0.52109999999998902</v>
      </c>
      <c r="AD3322">
        <v>-0.23043369999999899</v>
      </c>
      <c r="AE3322">
        <v>-0.12999999999999501</v>
      </c>
      <c r="AF3322">
        <v>0.110473930231269</v>
      </c>
      <c r="AG3322">
        <v>-0.23043369999999899</v>
      </c>
      <c r="AH3322">
        <v>0.43991359952666798</v>
      </c>
      <c r="AI3322">
        <v>116.93243882945499</v>
      </c>
      <c r="AJ3322">
        <v>75.903029604212406</v>
      </c>
      <c r="AK3322">
        <v>0.50875156452333703</v>
      </c>
      <c r="AL3322">
        <v>87.810961716117703</v>
      </c>
      <c r="AM3322">
        <v>85.302276527168303</v>
      </c>
      <c r="AN3322">
        <v>0.99999996424809201</v>
      </c>
    </row>
    <row r="3323" spans="1:40" x14ac:dyDescent="0.25">
      <c r="A3323" t="str">
        <f>"20190312154900998"</f>
        <v>20190312154900998</v>
      </c>
      <c r="B3323" t="str">
        <f>"1552376940988611"</f>
        <v>1552376940988611</v>
      </c>
      <c r="C3323" t="s">
        <v>40</v>
      </c>
      <c r="D3323">
        <v>4.4005570000000001</v>
      </c>
      <c r="E3323">
        <v>0.528692099999999</v>
      </c>
      <c r="F3323" t="s">
        <v>41</v>
      </c>
      <c r="G3323">
        <v>-397.6155</v>
      </c>
      <c r="H3323">
        <v>0.89012789999999997</v>
      </c>
      <c r="I3323">
        <v>214.31129999999999</v>
      </c>
      <c r="J3323">
        <v>-398.0752</v>
      </c>
      <c r="K3323">
        <v>1.1100719999999999</v>
      </c>
      <c r="L3323">
        <v>214.43549999999999</v>
      </c>
      <c r="M3323">
        <v>0.99989030000000001</v>
      </c>
      <c r="N3323">
        <v>0</v>
      </c>
      <c r="O3323">
        <v>1.6173509999999999E-3</v>
      </c>
      <c r="P3323">
        <v>0.99649469999999996</v>
      </c>
      <c r="Q3323">
        <v>2.4500149999999998E-2</v>
      </c>
      <c r="R3323">
        <v>-7.9988379999999998E-2</v>
      </c>
      <c r="S3323">
        <v>2.993652</v>
      </c>
      <c r="T3323">
        <v>-0.78130869999999997</v>
      </c>
      <c r="U3323">
        <v>-0.43865969999999999</v>
      </c>
      <c r="V3323">
        <v>8.1596130000000003E-2</v>
      </c>
      <c r="W3323">
        <v>3.917342E-2</v>
      </c>
      <c r="X3323">
        <v>0.99589530000000004</v>
      </c>
      <c r="Y3323">
        <v>0.14187469999999999</v>
      </c>
      <c r="Z3323">
        <v>-1.852989E-2</v>
      </c>
      <c r="AA3323">
        <v>0.98971120000000001</v>
      </c>
      <c r="AB3323">
        <v>36</v>
      </c>
      <c r="AC3323">
        <v>0.459699999999998</v>
      </c>
      <c r="AD3323">
        <v>-0.219944099999999</v>
      </c>
      <c r="AE3323">
        <v>-0.124200000000001</v>
      </c>
      <c r="AF3323">
        <v>0.102974543768524</v>
      </c>
      <c r="AG3323">
        <v>-0.219944099999999</v>
      </c>
      <c r="AH3323">
        <v>0.37870462262826499</v>
      </c>
      <c r="AI3323">
        <v>119.267637191877</v>
      </c>
      <c r="AJ3323">
        <v>74.788338163406195</v>
      </c>
      <c r="AK3323">
        <v>0.44988482413742598</v>
      </c>
      <c r="AL3323">
        <v>87.754953848937703</v>
      </c>
      <c r="AM3323">
        <v>85.316079331636303</v>
      </c>
      <c r="AN3323">
        <v>0.99999996691378101</v>
      </c>
    </row>
    <row r="3324" spans="1:40" x14ac:dyDescent="0.25">
      <c r="A3324" t="str">
        <f>"20190312154901185"</f>
        <v>20190312154901185</v>
      </c>
      <c r="B3324" t="str">
        <f>"1552376941178932"</f>
        <v>1552376941178932</v>
      </c>
      <c r="C3324" t="s">
        <v>40</v>
      </c>
      <c r="D3324">
        <v>4.5876270000000003</v>
      </c>
      <c r="E3324">
        <v>0.4804486</v>
      </c>
      <c r="F3324" t="s">
        <v>41</v>
      </c>
      <c r="G3324">
        <v>-394.75279999999998</v>
      </c>
      <c r="H3324">
        <v>0.92730369999999995</v>
      </c>
      <c r="I3324">
        <v>214.34540000000001</v>
      </c>
      <c r="J3324">
        <v>-395.09859999999998</v>
      </c>
      <c r="K3324">
        <v>1.1098669999999999</v>
      </c>
      <c r="L3324">
        <v>214.4417</v>
      </c>
      <c r="M3324">
        <v>0.99990690000000004</v>
      </c>
      <c r="N3324">
        <v>0</v>
      </c>
      <c r="O3324">
        <v>2.2537070000000002E-3</v>
      </c>
      <c r="P3324">
        <v>0.99686509999999995</v>
      </c>
      <c r="Q3324">
        <v>2.2313400000000001E-2</v>
      </c>
      <c r="R3324">
        <v>-7.5908989999999996E-2</v>
      </c>
      <c r="S3324">
        <v>2.9970400000000001</v>
      </c>
      <c r="T3324">
        <v>-0.78354669999999904</v>
      </c>
      <c r="U3324">
        <v>-0.40727229999999998</v>
      </c>
      <c r="V3324">
        <v>7.8148560000000006E-2</v>
      </c>
      <c r="W3324">
        <v>3.57407E-2</v>
      </c>
      <c r="X3324">
        <v>0.99630090000000004</v>
      </c>
      <c r="Y3324">
        <v>0.13244020000000001</v>
      </c>
      <c r="Z3324">
        <v>-1.7529340000000001E-2</v>
      </c>
      <c r="AA3324">
        <v>0.99103600000000003</v>
      </c>
      <c r="AB3324">
        <v>35</v>
      </c>
      <c r="AC3324">
        <v>0.345799999999997</v>
      </c>
      <c r="AD3324">
        <v>-0.18256329999999901</v>
      </c>
      <c r="AE3324">
        <v>-9.6299999999985106E-2</v>
      </c>
      <c r="AF3324">
        <v>7.7128656439480497E-2</v>
      </c>
      <c r="AG3324">
        <v>-0.18256329999999901</v>
      </c>
      <c r="AH3324">
        <v>0.27456234003232</v>
      </c>
      <c r="AI3324">
        <v>122.62519044921601</v>
      </c>
      <c r="AJ3324">
        <v>74.309155331097301</v>
      </c>
      <c r="AK3324">
        <v>0.33861876308774203</v>
      </c>
      <c r="AL3324">
        <v>87.951772588733803</v>
      </c>
      <c r="AM3324">
        <v>85.5149760055765</v>
      </c>
      <c r="AN3324">
        <v>1.0000000392036801</v>
      </c>
    </row>
    <row r="3325" spans="1:40" x14ac:dyDescent="0.25">
      <c r="A3325" t="str">
        <f>"20190312154901207"</f>
        <v>20190312154901207</v>
      </c>
      <c r="B3325" t="str">
        <f>"1552376941199429"</f>
        <v>1552376941199429</v>
      </c>
      <c r="C3325" t="s">
        <v>40</v>
      </c>
      <c r="D3325">
        <v>4.5122339999999896</v>
      </c>
      <c r="E3325">
        <v>0.4819889</v>
      </c>
      <c r="F3325" t="s">
        <v>41</v>
      </c>
      <c r="G3325">
        <v>-394.09219999999999</v>
      </c>
      <c r="H3325">
        <v>0.98203669999999998</v>
      </c>
      <c r="I3325">
        <v>214.42160000000001</v>
      </c>
      <c r="J3325">
        <v>-394.76260000000002</v>
      </c>
      <c r="K3325">
        <v>1.1098250000000001</v>
      </c>
      <c r="L3325">
        <v>214.4426</v>
      </c>
      <c r="M3325">
        <v>0.9999112</v>
      </c>
      <c r="N3325">
        <v>0</v>
      </c>
      <c r="O3325">
        <v>2.4048059999999998E-3</v>
      </c>
      <c r="P3325">
        <v>0.99686900000000001</v>
      </c>
      <c r="Q3325">
        <v>2.1173770000000001E-2</v>
      </c>
      <c r="R3325">
        <v>-7.6184879999999996E-2</v>
      </c>
      <c r="S3325">
        <v>3.0135190000000001</v>
      </c>
      <c r="T3325">
        <v>-0.3828956</v>
      </c>
      <c r="U3325">
        <v>-5.9082030000000001E-2</v>
      </c>
      <c r="V3325">
        <v>7.8573470000000006E-2</v>
      </c>
      <c r="W3325">
        <v>3.4258160000000003E-2</v>
      </c>
      <c r="X3325">
        <v>0.99631950000000002</v>
      </c>
      <c r="Y3325">
        <v>2.1811759999999999E-2</v>
      </c>
      <c r="Z3325">
        <v>-1.6843429999999901E-3</v>
      </c>
      <c r="AA3325">
        <v>0.99976069999999995</v>
      </c>
      <c r="AB3325">
        <v>35</v>
      </c>
      <c r="AC3325">
        <v>0.67040000000002897</v>
      </c>
      <c r="AD3325">
        <v>-0.12778829999999999</v>
      </c>
      <c r="AE3325">
        <v>-2.0999999999986502E-2</v>
      </c>
      <c r="AF3325">
        <v>2.1820219290145E-2</v>
      </c>
      <c r="AG3325">
        <v>-0.12778829999999999</v>
      </c>
      <c r="AH3325">
        <v>0.64686726806651496</v>
      </c>
      <c r="AI3325">
        <v>101.168672893896</v>
      </c>
      <c r="AJ3325">
        <v>88.068023112400397</v>
      </c>
      <c r="AK3325">
        <v>0.65972966742643602</v>
      </c>
      <c r="AL3325">
        <v>88.036767833650998</v>
      </c>
      <c r="AM3325">
        <v>85.490774135627106</v>
      </c>
      <c r="AN3325">
        <v>0.99999997889733805</v>
      </c>
    </row>
    <row r="3326" spans="1:40" x14ac:dyDescent="0.25">
      <c r="A3326" t="str">
        <f>"20190312154901229"</f>
        <v>20190312154901229</v>
      </c>
      <c r="B3326" t="str">
        <f>"1552376941218947"</f>
        <v>1552376941218947</v>
      </c>
      <c r="C3326" t="s">
        <v>40</v>
      </c>
      <c r="D3326">
        <v>4.5222119999999997</v>
      </c>
      <c r="E3326">
        <v>0.48324129999999899</v>
      </c>
      <c r="F3326" t="s">
        <v>41</v>
      </c>
      <c r="G3326">
        <v>-393.7577</v>
      </c>
      <c r="H3326">
        <v>1.017109</v>
      </c>
      <c r="I3326">
        <v>214.41759999999999</v>
      </c>
      <c r="J3326">
        <v>-394.40190000000001</v>
      </c>
      <c r="K3326">
        <v>1.1097870000000001</v>
      </c>
      <c r="L3326">
        <v>214.44370000000001</v>
      </c>
      <c r="M3326">
        <v>0.99991569999999996</v>
      </c>
      <c r="N3326">
        <v>0</v>
      </c>
      <c r="O3326">
        <v>2.600345E-3</v>
      </c>
      <c r="P3326">
        <v>0.99685199999999996</v>
      </c>
      <c r="Q3326">
        <v>2.124939E-2</v>
      </c>
      <c r="R3326">
        <v>-7.63847E-2</v>
      </c>
      <c r="S3326">
        <v>3.0095830000000001</v>
      </c>
      <c r="T3326">
        <v>-0.27771259999999998</v>
      </c>
      <c r="U3326">
        <v>-7.5027469999999999E-2</v>
      </c>
      <c r="V3326">
        <v>7.8965809999999997E-2</v>
      </c>
      <c r="W3326">
        <v>3.394983E-2</v>
      </c>
      <c r="X3326">
        <v>0.99629900000000005</v>
      </c>
      <c r="Y3326">
        <v>2.7394100000000001E-2</v>
      </c>
      <c r="Z3326">
        <v>-1.5004619999999999E-3</v>
      </c>
      <c r="AA3326">
        <v>0.99962359999999995</v>
      </c>
      <c r="AB3326">
        <v>35</v>
      </c>
      <c r="AC3326">
        <v>0.64420000000001199</v>
      </c>
      <c r="AD3326">
        <v>-9.2677999999999996E-2</v>
      </c>
      <c r="AE3326">
        <v>-2.6100000000013699E-2</v>
      </c>
      <c r="AF3326">
        <v>2.7212881774704299E-2</v>
      </c>
      <c r="AG3326">
        <v>-9.2677999999999996E-2</v>
      </c>
      <c r="AH3326">
        <v>0.631089558019434</v>
      </c>
      <c r="AI3326">
        <v>98.346749533456602</v>
      </c>
      <c r="AJ3326">
        <v>87.530908312543005</v>
      </c>
      <c r="AK3326">
        <v>0.63843855057448395</v>
      </c>
      <c r="AL3326">
        <v>88.054444055873802</v>
      </c>
      <c r="AM3326">
        <v>85.468258965636196</v>
      </c>
      <c r="AN3326">
        <v>0.99999994375348999</v>
      </c>
    </row>
    <row r="3327" spans="1:40" x14ac:dyDescent="0.25">
      <c r="A3327" t="str">
        <f>"20190312154901253"</f>
        <v>20190312154901253</v>
      </c>
      <c r="B3327" t="str">
        <f>"1552376941249203"</f>
        <v>1552376941249203</v>
      </c>
      <c r="C3327" t="s">
        <v>40</v>
      </c>
      <c r="D3327">
        <v>4.5197209999999997</v>
      </c>
      <c r="E3327">
        <v>0.48367919999999998</v>
      </c>
      <c r="F3327" t="s">
        <v>41</v>
      </c>
      <c r="G3327">
        <v>-393.43040000000002</v>
      </c>
      <c r="H3327">
        <v>1.0363230000000001</v>
      </c>
      <c r="I3327">
        <v>214.4153</v>
      </c>
      <c r="J3327">
        <v>-394.03320000000002</v>
      </c>
      <c r="K3327">
        <v>1.1097619999999999</v>
      </c>
      <c r="L3327">
        <v>214.44479999999999</v>
      </c>
      <c r="M3327">
        <v>0.99992020000000004</v>
      </c>
      <c r="N3327">
        <v>0</v>
      </c>
      <c r="O3327">
        <v>2.8405430000000001E-3</v>
      </c>
      <c r="P3327">
        <v>0.99686220000000003</v>
      </c>
      <c r="Q3327">
        <v>2.14875E-2</v>
      </c>
      <c r="R3327">
        <v>-7.6184940000000007E-2</v>
      </c>
      <c r="S3327">
        <v>3.00766</v>
      </c>
      <c r="T3327">
        <v>-0.2275858</v>
      </c>
      <c r="U3327">
        <v>-8.6914060000000001E-2</v>
      </c>
      <c r="V3327">
        <v>7.9002810000000007E-2</v>
      </c>
      <c r="W3327">
        <v>3.3786370000000003E-2</v>
      </c>
      <c r="X3327">
        <v>0.99630169999999996</v>
      </c>
      <c r="Y3327">
        <v>3.1626509999999997E-2</v>
      </c>
      <c r="Z3327">
        <v>-1.4092200000000001E-3</v>
      </c>
      <c r="AA3327">
        <v>0.99949880000000002</v>
      </c>
      <c r="AB3327">
        <v>36</v>
      </c>
      <c r="AC3327">
        <v>0.602800000000002</v>
      </c>
      <c r="AD3327">
        <v>-7.3439000000000199E-2</v>
      </c>
      <c r="AE3327">
        <v>-2.94999999999845E-2</v>
      </c>
      <c r="AF3327">
        <v>3.07568719030413E-2</v>
      </c>
      <c r="AG3327">
        <v>-7.3439000000000199E-2</v>
      </c>
      <c r="AH3327">
        <v>0.59391957646529103</v>
      </c>
      <c r="AI3327">
        <v>97.0395863696276</v>
      </c>
      <c r="AJ3327">
        <v>87.035514205869703</v>
      </c>
      <c r="AK3327">
        <v>0.59923262194157201</v>
      </c>
      <c r="AL3327">
        <v>88.063815148421099</v>
      </c>
      <c r="AM3327">
        <v>85.466156672084395</v>
      </c>
      <c r="AN3327">
        <v>1.00000002010428</v>
      </c>
    </row>
    <row r="3328" spans="1:40" x14ac:dyDescent="0.25">
      <c r="A3328" t="str">
        <f>"20190312154901277"</f>
        <v>20190312154901277</v>
      </c>
      <c r="B3328" t="str">
        <f>"1552376941269700"</f>
        <v>1552376941269700</v>
      </c>
      <c r="C3328" t="s">
        <v>40</v>
      </c>
      <c r="D3328">
        <v>4.5828259999999998</v>
      </c>
      <c r="E3328">
        <v>0.48383939999999998</v>
      </c>
      <c r="F3328" t="s">
        <v>41</v>
      </c>
      <c r="G3328">
        <v>-393.09370000000001</v>
      </c>
      <c r="H3328">
        <v>1.0509520000000001</v>
      </c>
      <c r="I3328">
        <v>214.41659999999999</v>
      </c>
      <c r="J3328">
        <v>-393.65809999999999</v>
      </c>
      <c r="K3328">
        <v>1.1097410000000001</v>
      </c>
      <c r="L3328">
        <v>214.4462</v>
      </c>
      <c r="M3328">
        <v>0.99992460000000005</v>
      </c>
      <c r="N3328">
        <v>0</v>
      </c>
      <c r="O3328">
        <v>3.1339029999999999E-3</v>
      </c>
      <c r="P3328">
        <v>0.99691180000000001</v>
      </c>
      <c r="Q3328">
        <v>2.0916089999999998E-2</v>
      </c>
      <c r="R3328">
        <v>-7.5695189999999996E-2</v>
      </c>
      <c r="S3328">
        <v>3.0065919999999999</v>
      </c>
      <c r="T3328">
        <v>-0.18816579999999999</v>
      </c>
      <c r="U3328">
        <v>-9.0652469999999999E-2</v>
      </c>
      <c r="V3328">
        <v>7.8803120000000004E-2</v>
      </c>
      <c r="W3328">
        <v>3.2794139999999999E-2</v>
      </c>
      <c r="X3328">
        <v>0.99635059999999998</v>
      </c>
      <c r="Y3328">
        <v>3.3199069999999997E-2</v>
      </c>
      <c r="Z3328">
        <v>-1.233535E-3</v>
      </c>
      <c r="AA3328">
        <v>0.999448</v>
      </c>
      <c r="AB3328">
        <v>36</v>
      </c>
      <c r="AC3328">
        <v>0.56439999999997703</v>
      </c>
      <c r="AD3328">
        <v>-5.8788999999999897E-2</v>
      </c>
      <c r="AE3328">
        <v>-2.96000000000162E-2</v>
      </c>
      <c r="AF3328">
        <v>3.1032978883881301E-2</v>
      </c>
      <c r="AG3328">
        <v>-5.8788999999999897E-2</v>
      </c>
      <c r="AH3328">
        <v>0.55826406863044697</v>
      </c>
      <c r="AI3328">
        <v>96.002280026140994</v>
      </c>
      <c r="AJ3328">
        <v>86.8182966362955</v>
      </c>
      <c r="AK3328">
        <v>0.56220811326699005</v>
      </c>
      <c r="AL3328">
        <v>88.120697142552999</v>
      </c>
      <c r="AM3328">
        <v>85.477789995578405</v>
      </c>
      <c r="AN3328">
        <v>0.99999995273021502</v>
      </c>
    </row>
    <row r="3329" spans="1:40" x14ac:dyDescent="0.25">
      <c r="A3329" t="str">
        <f>"20190312154901298"</f>
        <v>20190312154901298</v>
      </c>
      <c r="B3329" t="str">
        <f>"1552376941289220"</f>
        <v>1552376941289220</v>
      </c>
      <c r="C3329" t="s">
        <v>40</v>
      </c>
      <c r="D3329">
        <v>4.6080189999999996</v>
      </c>
      <c r="E3329">
        <v>0.48343439999999999</v>
      </c>
      <c r="F3329" t="s">
        <v>50</v>
      </c>
      <c r="G3329">
        <v>-374.64229999999998</v>
      </c>
      <c r="H3329" s="1">
        <v>9.3361830000000005E-7</v>
      </c>
      <c r="I3329">
        <v>213.87190000000001</v>
      </c>
      <c r="J3329">
        <v>-393.31659999999999</v>
      </c>
      <c r="K3329">
        <v>1.109721</v>
      </c>
      <c r="L3329">
        <v>214.44749999999999</v>
      </c>
      <c r="M3329">
        <v>0.99992820000000004</v>
      </c>
      <c r="N3329">
        <v>0</v>
      </c>
      <c r="O3329">
        <v>3.448553E-3</v>
      </c>
      <c r="P3329">
        <v>0.99694229999999995</v>
      </c>
      <c r="Q3329">
        <v>2.100368E-2</v>
      </c>
      <c r="R3329">
        <v>-7.5265890000000002E-2</v>
      </c>
      <c r="S3329">
        <v>3.0060730000000002</v>
      </c>
      <c r="T3329">
        <v>-0.17543149999999999</v>
      </c>
      <c r="U3329">
        <v>-9.0774540000000001E-2</v>
      </c>
      <c r="V3329">
        <v>7.8684669999999998E-2</v>
      </c>
      <c r="W3329">
        <v>3.2487700000000001E-2</v>
      </c>
      <c r="X3329">
        <v>0.99637010000000004</v>
      </c>
      <c r="Y3329">
        <v>3.3567399999999997E-2</v>
      </c>
      <c r="Z3329">
        <v>-1.1794780000000001E-3</v>
      </c>
      <c r="AA3329">
        <v>0.99943579999999999</v>
      </c>
      <c r="AB3329">
        <v>36</v>
      </c>
      <c r="AC3329">
        <v>18.674299999999999</v>
      </c>
      <c r="AD3329">
        <v>-1.1097200663817</v>
      </c>
      <c r="AE3329">
        <v>-0.57559999999998002</v>
      </c>
      <c r="AF3329">
        <v>0.637750163137629</v>
      </c>
      <c r="AG3329">
        <v>-1.1097200663817</v>
      </c>
      <c r="AH3329">
        <v>18.6065602993339</v>
      </c>
      <c r="AI3329">
        <v>93.411155143859105</v>
      </c>
      <c r="AJ3329">
        <v>88.036923921536101</v>
      </c>
      <c r="AK3329">
        <v>18.650530557307501</v>
      </c>
      <c r="AL3329">
        <v>88.138264407854294</v>
      </c>
      <c r="AM3329">
        <v>85.484647263595406</v>
      </c>
      <c r="AN3329">
        <v>1.0000000520591501</v>
      </c>
    </row>
    <row r="3330" spans="1:40" x14ac:dyDescent="0.25">
      <c r="A3330" t="str">
        <f>"20190312154901320"</f>
        <v>20190312154901320</v>
      </c>
      <c r="B3330" t="str">
        <f>"1552376941309716"</f>
        <v>1552376941309716</v>
      </c>
      <c r="C3330" t="s">
        <v>40</v>
      </c>
      <c r="D3330">
        <v>4.5528810000000002</v>
      </c>
      <c r="E3330">
        <v>0.4830874</v>
      </c>
      <c r="F3330" t="s">
        <v>50</v>
      </c>
      <c r="G3330">
        <v>-372.87509999999997</v>
      </c>
      <c r="H3330" s="1">
        <v>-6.8249620000000002E-9</v>
      </c>
      <c r="I3330">
        <v>213.85740000000001</v>
      </c>
      <c r="J3330">
        <v>-392.95830000000001</v>
      </c>
      <c r="K3330">
        <v>1.1096950000000001</v>
      </c>
      <c r="L3330">
        <v>214.44909999999999</v>
      </c>
      <c r="M3330">
        <v>0.99993189999999998</v>
      </c>
      <c r="N3330">
        <v>0</v>
      </c>
      <c r="O3330">
        <v>3.8281560000000001E-3</v>
      </c>
      <c r="P3330">
        <v>0.99699249999999995</v>
      </c>
      <c r="Q3330">
        <v>2.0940500000000001E-2</v>
      </c>
      <c r="R3330">
        <v>-7.4617039999999996E-2</v>
      </c>
      <c r="S3330">
        <v>3.0061040000000001</v>
      </c>
      <c r="T3330">
        <v>-0.1631938</v>
      </c>
      <c r="U3330">
        <v>-8.6776729999999996E-2</v>
      </c>
      <c r="V3330">
        <v>7.8411759999999997E-2</v>
      </c>
      <c r="W3330">
        <v>3.199776E-2</v>
      </c>
      <c r="X3330">
        <v>0.99640740000000005</v>
      </c>
      <c r="Y3330">
        <v>3.2627780000000002E-2</v>
      </c>
      <c r="Z3330">
        <v>-1.092445E-3</v>
      </c>
      <c r="AA3330">
        <v>0.99946699999999999</v>
      </c>
      <c r="AB3330">
        <v>36</v>
      </c>
      <c r="AC3330">
        <v>20.083200000000001</v>
      </c>
      <c r="AD3330">
        <v>-1.10969500682496</v>
      </c>
      <c r="AE3330">
        <v>-0.59169999999997402</v>
      </c>
      <c r="AF3330">
        <v>0.66654868222646702</v>
      </c>
      <c r="AG3330">
        <v>-1.10969500682496</v>
      </c>
      <c r="AH3330">
        <v>20.0197183174086</v>
      </c>
      <c r="AI3330">
        <v>93.170910715164197</v>
      </c>
      <c r="AJ3330">
        <v>88.093063880902804</v>
      </c>
      <c r="AK3330">
        <v>20.061526154865</v>
      </c>
      <c r="AL3330">
        <v>88.166350378473595</v>
      </c>
      <c r="AM3330">
        <v>85.500411644223206</v>
      </c>
      <c r="AN3330">
        <v>0.999999983763037</v>
      </c>
    </row>
    <row r="3331" spans="1:40" x14ac:dyDescent="0.25">
      <c r="A3331" t="str">
        <f>"20190312154901342"</f>
        <v>20190312154901342</v>
      </c>
      <c r="B3331" t="str">
        <f>"1552376941329239"</f>
        <v>1552376941329239</v>
      </c>
      <c r="C3331" t="s">
        <v>40</v>
      </c>
      <c r="D3331">
        <v>4.5964390000000002</v>
      </c>
      <c r="E3331">
        <v>0.48296280000000003</v>
      </c>
      <c r="F3331" t="s">
        <v>50</v>
      </c>
      <c r="G3331">
        <v>-371.68729999999999</v>
      </c>
      <c r="H3331" s="1">
        <v>-6.3887899999999999E-7</v>
      </c>
      <c r="I3331">
        <v>213.8665</v>
      </c>
      <c r="J3331">
        <v>-392.60559999999998</v>
      </c>
      <c r="K3331">
        <v>1.109672</v>
      </c>
      <c r="L3331">
        <v>214.45079999999999</v>
      </c>
      <c r="M3331">
        <v>0.99993480000000001</v>
      </c>
      <c r="N3331">
        <v>0</v>
      </c>
      <c r="O3331">
        <v>4.2518269999999997E-3</v>
      </c>
      <c r="P3331">
        <v>0.99706090000000003</v>
      </c>
      <c r="Q3331">
        <v>2.0086590000000001E-2</v>
      </c>
      <c r="R3331">
        <v>-7.3934150000000004E-2</v>
      </c>
      <c r="S3331">
        <v>3.0062259999999998</v>
      </c>
      <c r="T3331">
        <v>-0.15683359999999999</v>
      </c>
      <c r="U3331">
        <v>-8.2336430000000002E-2</v>
      </c>
      <c r="V3331">
        <v>7.8149040000000003E-2</v>
      </c>
      <c r="W3331">
        <v>3.0709980000000001E-2</v>
      </c>
      <c r="X3331">
        <v>0.99646860000000004</v>
      </c>
      <c r="Y3331">
        <v>3.1579900000000001E-2</v>
      </c>
      <c r="Z3331">
        <v>-1.044681E-3</v>
      </c>
      <c r="AA3331">
        <v>0.99950070000000002</v>
      </c>
      <c r="AB3331">
        <v>36</v>
      </c>
      <c r="AC3331">
        <v>20.918299999999899</v>
      </c>
      <c r="AD3331">
        <v>-1.1096726388789999</v>
      </c>
      <c r="AE3331">
        <v>-0.58429999999998405</v>
      </c>
      <c r="AF3331">
        <v>0.67135293552242903</v>
      </c>
      <c r="AG3331">
        <v>-1.1096726388789999</v>
      </c>
      <c r="AH3331">
        <v>20.856978892802999</v>
      </c>
      <c r="AI3331">
        <v>93.043914053595799</v>
      </c>
      <c r="AJ3331">
        <v>88.156376648099894</v>
      </c>
      <c r="AK3331">
        <v>20.897264334461099</v>
      </c>
      <c r="AL3331">
        <v>88.240171107083498</v>
      </c>
      <c r="AM3331">
        <v>85.515700300060601</v>
      </c>
      <c r="AN3331">
        <v>1.0000000230552399</v>
      </c>
    </row>
    <row r="3332" spans="1:40" x14ac:dyDescent="0.25">
      <c r="A3332" t="str">
        <f>"20190312154901365"</f>
        <v>20190312154901365</v>
      </c>
      <c r="B3332" t="str">
        <f>"1552376941359492"</f>
        <v>1552376941359492</v>
      </c>
      <c r="C3332" t="s">
        <v>40</v>
      </c>
      <c r="D3332">
        <v>4.6048869999999997</v>
      </c>
      <c r="E3332">
        <v>0.4828519</v>
      </c>
      <c r="F3332" t="s">
        <v>50</v>
      </c>
      <c r="G3332">
        <v>-370.8168</v>
      </c>
      <c r="H3332" s="1">
        <v>-1.102108E-6</v>
      </c>
      <c r="I3332">
        <v>213.87280000000001</v>
      </c>
      <c r="J3332">
        <v>-392.24059999999997</v>
      </c>
      <c r="K3332">
        <v>1.1096429999999999</v>
      </c>
      <c r="L3332">
        <v>214.4528</v>
      </c>
      <c r="M3332">
        <v>0.99993750000000003</v>
      </c>
      <c r="N3332">
        <v>0</v>
      </c>
      <c r="O3332">
        <v>4.7380180000000001E-3</v>
      </c>
      <c r="P3332">
        <v>0.99712310000000004</v>
      </c>
      <c r="Q3332">
        <v>1.8849129999999999E-2</v>
      </c>
      <c r="R3332">
        <v>-7.3419590000000007E-2</v>
      </c>
      <c r="S3332">
        <v>3.0060120000000001</v>
      </c>
      <c r="T3332">
        <v>-0.15309249999999999</v>
      </c>
      <c r="U3332">
        <v>-7.9742430000000003E-2</v>
      </c>
      <c r="V3332">
        <v>7.8117629999999993E-2</v>
      </c>
      <c r="W3332">
        <v>2.901225E-2</v>
      </c>
      <c r="X3332">
        <v>0.99652189999999996</v>
      </c>
      <c r="Y3332">
        <v>3.1208059999999999E-2</v>
      </c>
      <c r="Z3332">
        <v>-1.035158E-3</v>
      </c>
      <c r="AA3332">
        <v>0.99951239999999997</v>
      </c>
      <c r="AB3332">
        <v>36</v>
      </c>
      <c r="AC3332">
        <v>21.4237999999999</v>
      </c>
      <c r="AD3332">
        <v>-1.1096441021079999</v>
      </c>
      <c r="AE3332">
        <v>-0.57999999999998397</v>
      </c>
      <c r="AF3332">
        <v>0.67968298442008901</v>
      </c>
      <c r="AG3332">
        <v>-1.1096441021079999</v>
      </c>
      <c r="AH3332">
        <v>21.363541013564902</v>
      </c>
      <c r="AI3332">
        <v>92.971828277430504</v>
      </c>
      <c r="AJ3332">
        <v>88.177744269686897</v>
      </c>
      <c r="AK3332">
        <v>21.403134434725299</v>
      </c>
      <c r="AL3332">
        <v>88.3374872160677</v>
      </c>
      <c r="AM3332">
        <v>85.517734076736801</v>
      </c>
      <c r="AN3332">
        <v>0.99999998597324402</v>
      </c>
    </row>
    <row r="3333" spans="1:40" x14ac:dyDescent="0.25">
      <c r="A3333" t="str">
        <f>"20190312154901386"</f>
        <v>20190312154901386</v>
      </c>
      <c r="B3333" t="str">
        <f>"1552376941379012"</f>
        <v>1552376941379012</v>
      </c>
      <c r="C3333" t="s">
        <v>40</v>
      </c>
      <c r="D3333">
        <v>4.6087870000000004</v>
      </c>
      <c r="E3333">
        <v>0.48294510000000002</v>
      </c>
      <c r="F3333" t="s">
        <v>50</v>
      </c>
      <c r="G3333">
        <v>-370.17380000000003</v>
      </c>
      <c r="H3333" s="1">
        <v>-1.4443089999999999E-6</v>
      </c>
      <c r="I3333">
        <v>213.88229999999999</v>
      </c>
      <c r="J3333">
        <v>-391.88799999999998</v>
      </c>
      <c r="K3333">
        <v>1.1096269999999999</v>
      </c>
      <c r="L3333">
        <v>214.45490000000001</v>
      </c>
      <c r="M3333">
        <v>0.99993949999999998</v>
      </c>
      <c r="N3333">
        <v>0</v>
      </c>
      <c r="O3333">
        <v>5.2522300000000001E-3</v>
      </c>
      <c r="P3333">
        <v>0.99717210000000001</v>
      </c>
      <c r="Q3333">
        <v>1.8513410000000001E-2</v>
      </c>
      <c r="R3333">
        <v>-7.2835979999999995E-2</v>
      </c>
      <c r="S3333">
        <v>3.0057680000000002</v>
      </c>
      <c r="T3333">
        <v>-0.1511469</v>
      </c>
      <c r="U3333">
        <v>-7.7697749999999996E-2</v>
      </c>
      <c r="V3333">
        <v>7.8044859999999994E-2</v>
      </c>
      <c r="W3333">
        <v>2.822245E-2</v>
      </c>
      <c r="X3333">
        <v>0.9965503</v>
      </c>
      <c r="Y3333">
        <v>3.104546E-2</v>
      </c>
      <c r="Z3333">
        <v>-1.043864E-3</v>
      </c>
      <c r="AA3333">
        <v>0.9995174</v>
      </c>
      <c r="AB3333">
        <v>36</v>
      </c>
      <c r="AC3333">
        <v>21.714200000000002</v>
      </c>
      <c r="AD3333">
        <v>-1.1096284443089901</v>
      </c>
      <c r="AE3333">
        <v>-0.57260000000002198</v>
      </c>
      <c r="AF3333">
        <v>0.68485822931265306</v>
      </c>
      <c r="AG3333">
        <v>-1.1096284443089901</v>
      </c>
      <c r="AH3333">
        <v>21.654384702182501</v>
      </c>
      <c r="AI3333">
        <v>92.931959436523101</v>
      </c>
      <c r="AJ3333">
        <v>88.188523416465998</v>
      </c>
      <c r="AK3333">
        <v>21.693609264223198</v>
      </c>
      <c r="AL3333">
        <v>88.382757994225301</v>
      </c>
      <c r="AM3333">
        <v>85.522019612360907</v>
      </c>
      <c r="AN3333">
        <v>1.0000000036432499</v>
      </c>
    </row>
    <row r="3334" spans="1:40" x14ac:dyDescent="0.25">
      <c r="A3334" t="str">
        <f>"20190312154901409"</f>
        <v>20190312154901409</v>
      </c>
      <c r="B3334" t="str">
        <f>"1552376941399511"</f>
        <v>1552376941399511</v>
      </c>
      <c r="C3334" t="s">
        <v>40</v>
      </c>
      <c r="D3334">
        <v>4.6379469999999996</v>
      </c>
      <c r="E3334">
        <v>0.48303410000000002</v>
      </c>
      <c r="F3334" t="s">
        <v>50</v>
      </c>
      <c r="G3334">
        <v>-369.2448</v>
      </c>
      <c r="H3334" s="1">
        <v>3.3828189999999999E-6</v>
      </c>
      <c r="I3334">
        <v>213.87559999999999</v>
      </c>
      <c r="J3334">
        <v>-391.53140000000002</v>
      </c>
      <c r="K3334">
        <v>1.1096109999999999</v>
      </c>
      <c r="L3334">
        <v>214.4572</v>
      </c>
      <c r="M3334">
        <v>0.99994090000000002</v>
      </c>
      <c r="N3334">
        <v>0</v>
      </c>
      <c r="O3334">
        <v>5.8076869999999997E-3</v>
      </c>
      <c r="P3334">
        <v>0.99719970000000002</v>
      </c>
      <c r="Q3334">
        <v>1.992089E-2</v>
      </c>
      <c r="R3334">
        <v>-7.2086070000000002E-2</v>
      </c>
      <c r="S3334">
        <v>3.005646</v>
      </c>
      <c r="T3334">
        <v>-0.14729059999999999</v>
      </c>
      <c r="U3334">
        <v>-7.6889040000000006E-2</v>
      </c>
      <c r="V3334">
        <v>7.7845159999999997E-2</v>
      </c>
      <c r="W3334">
        <v>2.9173359999999999E-2</v>
      </c>
      <c r="X3334">
        <v>0.99653849999999999</v>
      </c>
      <c r="Y3334">
        <v>3.1334229999999998E-2</v>
      </c>
      <c r="Z3334">
        <v>-1.0515780000000001E-3</v>
      </c>
      <c r="AA3334">
        <v>0.99950839999999996</v>
      </c>
      <c r="AB3334">
        <v>36</v>
      </c>
      <c r="AC3334">
        <v>22.2866</v>
      </c>
      <c r="AD3334">
        <v>-1.1096076171809901</v>
      </c>
      <c r="AE3334">
        <v>-0.581600000000008</v>
      </c>
      <c r="AF3334">
        <v>0.70927226756319794</v>
      </c>
      <c r="AG3334">
        <v>-1.1096076171809901</v>
      </c>
      <c r="AH3334">
        <v>22.227784248553402</v>
      </c>
      <c r="AI3334">
        <v>92.856372902740503</v>
      </c>
      <c r="AJ3334">
        <v>88.172353898850503</v>
      </c>
      <c r="AK3334">
        <v>22.2667619741596</v>
      </c>
      <c r="AL3334">
        <v>88.328252353743096</v>
      </c>
      <c r="AM3334">
        <v>85.533378700781597</v>
      </c>
      <c r="AN3334">
        <v>0.99999996792568202</v>
      </c>
    </row>
    <row r="3335" spans="1:40" x14ac:dyDescent="0.25">
      <c r="A3335" t="str">
        <f>"20190312154901431"</f>
        <v>20190312154901431</v>
      </c>
      <c r="B3335" t="str">
        <f>"1552376941419027"</f>
        <v>1552376941419027</v>
      </c>
      <c r="C3335" t="s">
        <v>40</v>
      </c>
      <c r="D3335">
        <v>4.6549719999999999</v>
      </c>
      <c r="E3335">
        <v>0.48308069999999997</v>
      </c>
      <c r="F3335" t="s">
        <v>50</v>
      </c>
      <c r="G3335">
        <v>-367.56509999999997</v>
      </c>
      <c r="H3335" s="1">
        <v>2.4889910000000002E-6</v>
      </c>
      <c r="I3335">
        <v>213.85659999999999</v>
      </c>
      <c r="J3335">
        <v>-391.15960000000001</v>
      </c>
      <c r="K3335">
        <v>1.1095919999999999</v>
      </c>
      <c r="L3335">
        <v>214.4599</v>
      </c>
      <c r="M3335">
        <v>0.99994130000000003</v>
      </c>
      <c r="N3335">
        <v>0</v>
      </c>
      <c r="O3335">
        <v>6.4136740000000003E-3</v>
      </c>
      <c r="P3335">
        <v>0.99723249999999997</v>
      </c>
      <c r="Q3335">
        <v>2.1459909999999999E-2</v>
      </c>
      <c r="R3335">
        <v>-7.1180729999999998E-2</v>
      </c>
      <c r="S3335">
        <v>3.0057680000000002</v>
      </c>
      <c r="T3335">
        <v>-0.13916339999999999</v>
      </c>
      <c r="U3335">
        <v>-7.5332640000000006E-2</v>
      </c>
      <c r="V3335">
        <v>7.7540860000000003E-2</v>
      </c>
      <c r="W3335">
        <v>3.0257679999999999E-2</v>
      </c>
      <c r="X3335">
        <v>0.99652989999999997</v>
      </c>
      <c r="Y3335">
        <v>3.1425710000000003E-2</v>
      </c>
      <c r="Z3335">
        <v>-1.0237379999999999E-3</v>
      </c>
      <c r="AA3335">
        <v>0.99950559999999999</v>
      </c>
      <c r="AB3335">
        <v>36</v>
      </c>
      <c r="AC3335">
        <v>23.5945</v>
      </c>
      <c r="AD3335">
        <v>-1.1095895110089999</v>
      </c>
      <c r="AE3335">
        <v>-0.60330000000001804</v>
      </c>
      <c r="AF3335">
        <v>0.75295665454397598</v>
      </c>
      <c r="AG3335">
        <v>-1.1095895110089999</v>
      </c>
      <c r="AH3335">
        <v>23.538122672606701</v>
      </c>
      <c r="AI3335">
        <v>92.697553123894707</v>
      </c>
      <c r="AJ3335">
        <v>88.167800684911199</v>
      </c>
      <c r="AK3335">
        <v>23.576287908770698</v>
      </c>
      <c r="AL3335">
        <v>88.266097956975102</v>
      </c>
      <c r="AM3335">
        <v>85.550730425271794</v>
      </c>
      <c r="AN3335">
        <v>0.99999997688126496</v>
      </c>
    </row>
    <row r="3336" spans="1:40" x14ac:dyDescent="0.25">
      <c r="A3336" t="str">
        <f>"20190312154901453"</f>
        <v>20190312154901453</v>
      </c>
      <c r="B3336" t="str">
        <f>"1552376941439524"</f>
        <v>1552376941439524</v>
      </c>
      <c r="C3336" t="s">
        <v>40</v>
      </c>
      <c r="D3336">
        <v>4.6502860000000004</v>
      </c>
      <c r="E3336">
        <v>0.48320839999999998</v>
      </c>
      <c r="F3336" t="s">
        <v>50</v>
      </c>
      <c r="G3336">
        <v>-365.64280000000002</v>
      </c>
      <c r="H3336" s="1">
        <v>1.4660199999999999E-6</v>
      </c>
      <c r="I3336">
        <v>213.8365</v>
      </c>
      <c r="J3336">
        <v>-390.8048</v>
      </c>
      <c r="K3336">
        <v>1.109578</v>
      </c>
      <c r="L3336">
        <v>214.46260000000001</v>
      </c>
      <c r="M3336">
        <v>0.99994090000000002</v>
      </c>
      <c r="N3336">
        <v>0</v>
      </c>
      <c r="O3336">
        <v>7.0112689999999997E-3</v>
      </c>
      <c r="P3336">
        <v>0.9972628</v>
      </c>
      <c r="Q3336">
        <v>2.2310719999999999E-2</v>
      </c>
      <c r="R3336">
        <v>-7.0493429999999996E-2</v>
      </c>
      <c r="S3336">
        <v>3.00589</v>
      </c>
      <c r="T3336">
        <v>-0.1307101</v>
      </c>
      <c r="U3336">
        <v>-7.3440549999999993E-2</v>
      </c>
      <c r="V3336">
        <v>7.7446730000000005E-2</v>
      </c>
      <c r="W3336">
        <v>3.069378E-2</v>
      </c>
      <c r="X3336">
        <v>0.99652390000000002</v>
      </c>
      <c r="Y3336">
        <v>3.1397469999999997E-2</v>
      </c>
      <c r="Z3336">
        <v>-9.8693879999999998E-4</v>
      </c>
      <c r="AA3336">
        <v>0.99950649999999996</v>
      </c>
      <c r="AB3336">
        <v>36</v>
      </c>
      <c r="AC3336">
        <v>25.1619999999999</v>
      </c>
      <c r="AD3336">
        <v>-1.1095765339799999</v>
      </c>
      <c r="AE3336">
        <v>-0.62610000000000798</v>
      </c>
      <c r="AF3336">
        <v>0.80095170539729998</v>
      </c>
      <c r="AG3336">
        <v>-1.1095765339799999</v>
      </c>
      <c r="AH3336">
        <v>25.1081970808244</v>
      </c>
      <c r="AI3336">
        <v>92.529072739312696</v>
      </c>
      <c r="AJ3336">
        <v>88.172883731057695</v>
      </c>
      <c r="AK3336">
        <v>25.1454617052195</v>
      </c>
      <c r="AL3336">
        <v>88.241099684800602</v>
      </c>
      <c r="AM3336">
        <v>85.556083277279697</v>
      </c>
      <c r="AN3336">
        <v>0.99999999369479498</v>
      </c>
    </row>
    <row r="3337" spans="1:40" x14ac:dyDescent="0.25">
      <c r="A3337" t="str">
        <f>"20190312154901477"</f>
        <v>20190312154901477</v>
      </c>
      <c r="B3337" t="str">
        <f>"1552376941468804"</f>
        <v>1552376941468804</v>
      </c>
      <c r="C3337" t="s">
        <v>40</v>
      </c>
      <c r="D3337">
        <v>4.7213659999999997</v>
      </c>
      <c r="E3337">
        <v>0.48330190000000001</v>
      </c>
      <c r="F3337" t="s">
        <v>50</v>
      </c>
      <c r="G3337">
        <v>-364.12729999999999</v>
      </c>
      <c r="H3337" s="1">
        <v>6.5954619999999903E-7</v>
      </c>
      <c r="I3337">
        <v>213.81979999999999</v>
      </c>
      <c r="J3337">
        <v>-390.41269999999997</v>
      </c>
      <c r="K3337">
        <v>1.1095539999999999</v>
      </c>
      <c r="L3337">
        <v>214.4659</v>
      </c>
      <c r="M3337">
        <v>0.99993960000000004</v>
      </c>
      <c r="N3337">
        <v>0</v>
      </c>
      <c r="O3337">
        <v>7.68588E-3</v>
      </c>
      <c r="P3337">
        <v>0.99731780000000003</v>
      </c>
      <c r="Q3337">
        <v>2.2418170000000001E-2</v>
      </c>
      <c r="R3337">
        <v>-6.9677959999999997E-2</v>
      </c>
      <c r="S3337">
        <v>3.005951</v>
      </c>
      <c r="T3337">
        <v>-0.125024</v>
      </c>
      <c r="U3337">
        <v>-7.243347E-2</v>
      </c>
      <c r="V3337">
        <v>7.7302599999999999E-2</v>
      </c>
      <c r="W3337">
        <v>3.0362529999999999E-2</v>
      </c>
      <c r="X3337">
        <v>0.99654529999999997</v>
      </c>
      <c r="Y3337">
        <v>3.1738809999999999E-2</v>
      </c>
      <c r="Z3337">
        <v>-9.7916470000000005E-4</v>
      </c>
      <c r="AA3337">
        <v>0.99949569999999999</v>
      </c>
      <c r="AB3337">
        <v>37</v>
      </c>
      <c r="AC3337">
        <v>26.2853999999999</v>
      </c>
      <c r="AD3337">
        <v>-1.1095533404538001</v>
      </c>
      <c r="AE3337">
        <v>-0.64610000000001799</v>
      </c>
      <c r="AF3337">
        <v>0.84660598015778399</v>
      </c>
      <c r="AG3337">
        <v>-1.1095533404538001</v>
      </c>
      <c r="AH3337">
        <v>26.232943044798699</v>
      </c>
      <c r="AI3337">
        <v>92.4206903861634</v>
      </c>
      <c r="AJ3337">
        <v>88.151556245599195</v>
      </c>
      <c r="AK3337">
        <v>26.270042845275398</v>
      </c>
      <c r="AL3337">
        <v>88.260087869002504</v>
      </c>
      <c r="AM3337">
        <v>85.564415337007105</v>
      </c>
      <c r="AN3337">
        <v>1.00000005507342</v>
      </c>
    </row>
    <row r="3338" spans="1:40" x14ac:dyDescent="0.25">
      <c r="A3338" t="str">
        <f>"20190312154901500"</f>
        <v>20190312154901500</v>
      </c>
      <c r="B3338" t="str">
        <f>"1552376941489301"</f>
        <v>1552376941489301</v>
      </c>
      <c r="C3338" t="s">
        <v>40</v>
      </c>
      <c r="D3338">
        <v>4.7207489999999996</v>
      </c>
      <c r="E3338">
        <v>0.48340640000000001</v>
      </c>
      <c r="F3338" t="s">
        <v>50</v>
      </c>
      <c r="G3338">
        <v>-362.74220000000003</v>
      </c>
      <c r="H3338" s="1">
        <v>-7.7557640000000003E-8</v>
      </c>
      <c r="I3338">
        <v>213.8133</v>
      </c>
      <c r="J3338">
        <v>-390.02890000000002</v>
      </c>
      <c r="K3338">
        <v>1.109526</v>
      </c>
      <c r="L3338">
        <v>214.46940000000001</v>
      </c>
      <c r="M3338">
        <v>0.99993750000000003</v>
      </c>
      <c r="N3338">
        <v>0</v>
      </c>
      <c r="O3338">
        <v>8.3542849999999995E-3</v>
      </c>
      <c r="P3338">
        <v>0.99734820000000002</v>
      </c>
      <c r="Q3338">
        <v>2.2823429999999999E-2</v>
      </c>
      <c r="R3338">
        <v>-6.9107440000000006E-2</v>
      </c>
      <c r="S3338">
        <v>3.0058289999999999</v>
      </c>
      <c r="T3338">
        <v>-0.12052980000000001</v>
      </c>
      <c r="U3338">
        <v>-7.0892330000000003E-2</v>
      </c>
      <c r="V3338">
        <v>7.7397270000000004E-2</v>
      </c>
      <c r="W3338">
        <v>3.0354430000000002E-2</v>
      </c>
      <c r="X3338">
        <v>0.99653820000000004</v>
      </c>
      <c r="Y3338">
        <v>3.1897439999999999E-2</v>
      </c>
      <c r="Z3338">
        <v>-9.7400600000000003E-4</v>
      </c>
      <c r="AA3338">
        <v>0.99949069999999995</v>
      </c>
      <c r="AB3338">
        <v>37</v>
      </c>
      <c r="AC3338">
        <v>27.2867</v>
      </c>
      <c r="AD3338">
        <v>-1.1095260775576301</v>
      </c>
      <c r="AE3338">
        <v>-0.65610000000000901</v>
      </c>
      <c r="AF3338">
        <v>0.88258585541930901</v>
      </c>
      <c r="AG3338">
        <v>-1.1095260775576301</v>
      </c>
      <c r="AH3338">
        <v>27.235262056819401</v>
      </c>
      <c r="AI3338">
        <v>92.331636464876198</v>
      </c>
      <c r="AJ3338">
        <v>88.143922604797197</v>
      </c>
      <c r="AK3338">
        <v>27.272137892226102</v>
      </c>
      <c r="AL3338">
        <v>88.260552181183598</v>
      </c>
      <c r="AM3338">
        <v>85.558973422942003</v>
      </c>
      <c r="AN3338">
        <v>1.00000005644165</v>
      </c>
    </row>
    <row r="3339" spans="1:40" x14ac:dyDescent="0.25">
      <c r="A3339" t="str">
        <f>"20190312154901521"</f>
        <v>20190312154901521</v>
      </c>
      <c r="B3339" t="str">
        <f>"1552376941508820"</f>
        <v>1552376941508820</v>
      </c>
      <c r="C3339" t="s">
        <v>40</v>
      </c>
      <c r="D3339">
        <v>4.7118229999999999</v>
      </c>
      <c r="E3339">
        <v>0.48350029999999999</v>
      </c>
      <c r="F3339" t="s">
        <v>50</v>
      </c>
      <c r="G3339">
        <v>-361.53960000000001</v>
      </c>
      <c r="H3339" s="1">
        <v>-7.174629E-7</v>
      </c>
      <c r="I3339">
        <v>213.8083</v>
      </c>
      <c r="J3339">
        <v>-389.69150000000002</v>
      </c>
      <c r="K3339">
        <v>1.109502</v>
      </c>
      <c r="L3339">
        <v>214.4727</v>
      </c>
      <c r="M3339">
        <v>0.99993480000000001</v>
      </c>
      <c r="N3339">
        <v>0</v>
      </c>
      <c r="O3339">
        <v>8.9446249999999995E-3</v>
      </c>
      <c r="P3339">
        <v>0.99733839999999996</v>
      </c>
      <c r="Q3339">
        <v>2.3398019999999999E-2</v>
      </c>
      <c r="R3339">
        <v>-6.9057839999999995E-2</v>
      </c>
      <c r="S3339">
        <v>3.005798</v>
      </c>
      <c r="T3339">
        <v>-0.11706229999999999</v>
      </c>
      <c r="U3339">
        <v>-6.9747920000000005E-2</v>
      </c>
      <c r="V3339">
        <v>7.7934439999999994E-2</v>
      </c>
      <c r="W3339">
        <v>3.058369E-2</v>
      </c>
      <c r="X3339">
        <v>0.99648930000000002</v>
      </c>
      <c r="Y3339">
        <v>3.2108629999999999E-2</v>
      </c>
      <c r="Z3339">
        <v>-9.7311070000000003E-4</v>
      </c>
      <c r="AA3339">
        <v>0.99948389999999998</v>
      </c>
      <c r="AB3339">
        <v>37</v>
      </c>
      <c r="AC3339">
        <v>28.151900000000001</v>
      </c>
      <c r="AD3339">
        <v>-1.10950271746289</v>
      </c>
      <c r="AE3339">
        <v>-0.66439999999999999</v>
      </c>
      <c r="AF3339">
        <v>0.91476788093630601</v>
      </c>
      <c r="AG3339">
        <v>-1.10950271746289</v>
      </c>
      <c r="AH3339">
        <v>28.101206899913301</v>
      </c>
      <c r="AI3339">
        <v>92.259803983335203</v>
      </c>
      <c r="AJ3339">
        <v>88.135530710590302</v>
      </c>
      <c r="AK3339">
        <v>28.137974798975598</v>
      </c>
      <c r="AL3339">
        <v>88.247410407107907</v>
      </c>
      <c r="AM3339">
        <v>85.528056845014007</v>
      </c>
      <c r="AN3339">
        <v>1.0000000320233</v>
      </c>
    </row>
    <row r="3340" spans="1:40" x14ac:dyDescent="0.25">
      <c r="A3340" t="str">
        <f>"20190312154901543"</f>
        <v>20190312154901543</v>
      </c>
      <c r="B3340" t="str">
        <f>"1552376941529317"</f>
        <v>1552376941529317</v>
      </c>
      <c r="C3340" t="s">
        <v>40</v>
      </c>
      <c r="D3340">
        <v>4.7617099999999999</v>
      </c>
      <c r="E3340">
        <v>0.48354799999999998</v>
      </c>
      <c r="F3340" t="s">
        <v>50</v>
      </c>
      <c r="G3340">
        <v>-360.33600000000001</v>
      </c>
      <c r="H3340" s="1">
        <v>-1.35800099999999E-6</v>
      </c>
      <c r="I3340">
        <v>213.7861</v>
      </c>
      <c r="J3340">
        <v>-389.32010000000002</v>
      </c>
      <c r="K3340">
        <v>1.109475</v>
      </c>
      <c r="L3340">
        <v>214.47649999999999</v>
      </c>
      <c r="M3340">
        <v>0.99993120000000002</v>
      </c>
      <c r="N3340">
        <v>0</v>
      </c>
      <c r="O3340">
        <v>9.5959640000000002E-3</v>
      </c>
      <c r="P3340">
        <v>0.9973611</v>
      </c>
      <c r="Q3340">
        <v>2.3659599999999999E-2</v>
      </c>
      <c r="R3340">
        <v>-6.8639039999999998E-2</v>
      </c>
      <c r="S3340">
        <v>3.0057680000000002</v>
      </c>
      <c r="T3340">
        <v>-0.1136042</v>
      </c>
      <c r="U3340">
        <v>-7.0297239999999997E-2</v>
      </c>
      <c r="V3340">
        <v>7.8164230000000001E-2</v>
      </c>
      <c r="W3340">
        <v>3.04836E-2</v>
      </c>
      <c r="X3340">
        <v>0.99647430000000004</v>
      </c>
      <c r="Y3340">
        <v>3.2943180000000002E-2</v>
      </c>
      <c r="Z3340">
        <v>-9.847616E-4</v>
      </c>
      <c r="AA3340">
        <v>0.99945680000000003</v>
      </c>
      <c r="AB3340">
        <v>37</v>
      </c>
      <c r="AC3340">
        <v>28.984100000000002</v>
      </c>
      <c r="AD3340">
        <v>-1.1094763580010001</v>
      </c>
      <c r="AE3340">
        <v>-0.69039999999998203</v>
      </c>
      <c r="AF3340">
        <v>0.96708868197763798</v>
      </c>
      <c r="AG3340">
        <v>-1.1094763580010001</v>
      </c>
      <c r="AH3340">
        <v>28.9337686141753</v>
      </c>
      <c r="AI3340">
        <v>92.194728174557795</v>
      </c>
      <c r="AJ3340">
        <v>88.085645871926999</v>
      </c>
      <c r="AK3340">
        <v>28.971178169456699</v>
      </c>
      <c r="AL3340">
        <v>88.253147697133301</v>
      </c>
      <c r="AM3340">
        <v>85.514857784251404</v>
      </c>
      <c r="AN3340">
        <v>0.99999996364047095</v>
      </c>
    </row>
    <row r="3341" spans="1:40" x14ac:dyDescent="0.25">
      <c r="A3341" t="str">
        <f>"20190312154901566"</f>
        <v>20190312154901566</v>
      </c>
      <c r="B3341" t="str">
        <f>"1552376941559572"</f>
        <v>1552376941559572</v>
      </c>
      <c r="C3341" t="s">
        <v>40</v>
      </c>
      <c r="D3341">
        <v>4.7487959999999996</v>
      </c>
      <c r="E3341">
        <v>0.48364109999999999</v>
      </c>
      <c r="F3341" t="s">
        <v>50</v>
      </c>
      <c r="G3341">
        <v>-359.44889999999998</v>
      </c>
      <c r="H3341" s="1">
        <v>3.527627E-6</v>
      </c>
      <c r="I3341">
        <v>213.78790000000001</v>
      </c>
      <c r="J3341">
        <v>-388.94600000000003</v>
      </c>
      <c r="K3341">
        <v>1.1094459999999999</v>
      </c>
      <c r="L3341">
        <v>214.48050000000001</v>
      </c>
      <c r="M3341">
        <v>0.99992700000000001</v>
      </c>
      <c r="N3341">
        <v>0</v>
      </c>
      <c r="O3341">
        <v>1.025068E-2</v>
      </c>
      <c r="P3341">
        <v>0.99734069999999997</v>
      </c>
      <c r="Q3341">
        <v>2.380993E-2</v>
      </c>
      <c r="R3341">
        <v>-6.8879480000000007E-2</v>
      </c>
      <c r="S3341">
        <v>3.0058289999999999</v>
      </c>
      <c r="T3341">
        <v>-0.1116419</v>
      </c>
      <c r="U3341">
        <v>-6.9290160000000003E-2</v>
      </c>
      <c r="V3341">
        <v>7.9056470000000004E-2</v>
      </c>
      <c r="W3341">
        <v>3.0294379999999999E-2</v>
      </c>
      <c r="X3341">
        <v>0.99640969999999995</v>
      </c>
      <c r="Y3341">
        <v>3.3262779999999999E-2</v>
      </c>
      <c r="Z3341">
        <v>-9.9798570000000008E-4</v>
      </c>
      <c r="AA3341">
        <v>0.99944619999999995</v>
      </c>
      <c r="AB3341">
        <v>37</v>
      </c>
      <c r="AC3341">
        <v>29.4970999999999</v>
      </c>
      <c r="AD3341">
        <v>-1.1094424723730001</v>
      </c>
      <c r="AE3341">
        <v>-0.692599999999998</v>
      </c>
      <c r="AF3341">
        <v>0.99353039936129695</v>
      </c>
      <c r="AG3341">
        <v>-1.1094424723730001</v>
      </c>
      <c r="AH3341">
        <v>29.446816234626301</v>
      </c>
      <c r="AI3341">
        <v>92.156437555698503</v>
      </c>
      <c r="AJ3341">
        <v>88.067583528456794</v>
      </c>
      <c r="AK3341">
        <v>29.4844527100269</v>
      </c>
      <c r="AL3341">
        <v>88.263994247320795</v>
      </c>
      <c r="AM3341">
        <v>85.463579762642695</v>
      </c>
      <c r="AN3341">
        <v>0.99999998258126699</v>
      </c>
    </row>
    <row r="3342" spans="1:40" x14ac:dyDescent="0.25">
      <c r="A3342" t="str">
        <f>"20190312154901587"</f>
        <v>20190312154901587</v>
      </c>
      <c r="B3342" t="str">
        <f>"1552376941579092"</f>
        <v>1552376941579092</v>
      </c>
      <c r="C3342" t="s">
        <v>40</v>
      </c>
      <c r="D3342">
        <v>4.7353319999999997</v>
      </c>
      <c r="E3342">
        <v>0.48368679999999997</v>
      </c>
      <c r="F3342" t="s">
        <v>50</v>
      </c>
      <c r="G3342">
        <v>-358.29320000000001</v>
      </c>
      <c r="H3342" s="1">
        <v>2.9139090000000002E-6</v>
      </c>
      <c r="I3342">
        <v>213.7594</v>
      </c>
      <c r="J3342">
        <v>-388.57310000000001</v>
      </c>
      <c r="K3342">
        <v>1.109416</v>
      </c>
      <c r="L3342">
        <v>214.48490000000001</v>
      </c>
      <c r="M3342">
        <v>0.99992199999999998</v>
      </c>
      <c r="N3342">
        <v>0</v>
      </c>
      <c r="O3342">
        <v>1.090196E-2</v>
      </c>
      <c r="P3342">
        <v>0.9973263</v>
      </c>
      <c r="Q3342">
        <v>2.4344230000000001E-2</v>
      </c>
      <c r="R3342">
        <v>-6.8903339999999993E-2</v>
      </c>
      <c r="S3342">
        <v>3.0057070000000001</v>
      </c>
      <c r="T3342">
        <v>-0.1087883</v>
      </c>
      <c r="U3342">
        <v>-7.0709229999999998E-2</v>
      </c>
      <c r="V3342">
        <v>7.9728030000000005E-2</v>
      </c>
      <c r="W3342">
        <v>3.0520289999999999E-2</v>
      </c>
      <c r="X3342">
        <v>0.99634929999999999</v>
      </c>
      <c r="Y3342">
        <v>3.4386590000000002E-2</v>
      </c>
      <c r="Z3342">
        <v>-1.0164180000000001E-3</v>
      </c>
      <c r="AA3342">
        <v>0.99940810000000002</v>
      </c>
      <c r="AB3342">
        <v>37</v>
      </c>
      <c r="AC3342">
        <v>30.279900000000001</v>
      </c>
      <c r="AD3342">
        <v>-1.1094130860910001</v>
      </c>
      <c r="AE3342">
        <v>-0.72550000000001003</v>
      </c>
      <c r="AF3342">
        <v>1.05415899510954</v>
      </c>
      <c r="AG3342">
        <v>-1.1094130860910001</v>
      </c>
      <c r="AH3342">
        <v>30.229634354557302</v>
      </c>
      <c r="AI3342">
        <v>92.100508760307605</v>
      </c>
      <c r="AJ3342">
        <v>88.002807572952193</v>
      </c>
      <c r="AK3342">
        <v>30.2683471929471</v>
      </c>
      <c r="AL3342">
        <v>88.251044577608496</v>
      </c>
      <c r="AM3342">
        <v>85.424931027506702</v>
      </c>
      <c r="AN3342">
        <v>0.999999987239927</v>
      </c>
    </row>
    <row r="3343" spans="1:40" x14ac:dyDescent="0.25">
      <c r="A3343" t="str">
        <f>"20190312154901610"</f>
        <v>20190312154901610</v>
      </c>
      <c r="B3343" t="str">
        <f>"1552376941599588"</f>
        <v>1552376941599588</v>
      </c>
      <c r="C3343" t="s">
        <v>40</v>
      </c>
      <c r="D3343">
        <v>4.7629469999999996</v>
      </c>
      <c r="E3343">
        <v>0.48376570000000002</v>
      </c>
      <c r="F3343" t="s">
        <v>50</v>
      </c>
      <c r="G3343">
        <v>-357.16340000000002</v>
      </c>
      <c r="H3343" s="1">
        <v>2.313525E-6</v>
      </c>
      <c r="I3343">
        <v>213.74010000000001</v>
      </c>
      <c r="J3343">
        <v>-388.19760000000002</v>
      </c>
      <c r="K3343">
        <v>1.109397</v>
      </c>
      <c r="L3343">
        <v>214.48949999999999</v>
      </c>
      <c r="M3343">
        <v>0.99991640000000004</v>
      </c>
      <c r="N3343">
        <v>0</v>
      </c>
      <c r="O3343">
        <v>1.155574E-2</v>
      </c>
      <c r="P3343">
        <v>0.99731729999999996</v>
      </c>
      <c r="Q3343">
        <v>2.480713E-2</v>
      </c>
      <c r="R3343">
        <v>-6.8869390000000003E-2</v>
      </c>
      <c r="S3343">
        <v>3.0057070000000001</v>
      </c>
      <c r="T3343">
        <v>-0.10616390000000001</v>
      </c>
      <c r="U3343">
        <v>-7.1273799999999998E-2</v>
      </c>
      <c r="V3343">
        <v>8.0344360000000004E-2</v>
      </c>
      <c r="W3343">
        <v>3.0705699999999999E-2</v>
      </c>
      <c r="X3343">
        <v>0.99629409999999896</v>
      </c>
      <c r="Y3343">
        <v>3.5228099999999998E-2</v>
      </c>
      <c r="Z3343">
        <v>-1.0298480000000001E-3</v>
      </c>
      <c r="AA3343">
        <v>0.99937869999999995</v>
      </c>
      <c r="AB3343">
        <v>38</v>
      </c>
      <c r="AC3343">
        <v>31.034199999999998</v>
      </c>
      <c r="AD3343">
        <v>-1.1093946864749999</v>
      </c>
      <c r="AE3343">
        <v>-0.74939999999997997</v>
      </c>
      <c r="AF3343">
        <v>1.10656590517484</v>
      </c>
      <c r="AG3343">
        <v>-1.1093946864749999</v>
      </c>
      <c r="AH3343">
        <v>30.983897047955502</v>
      </c>
      <c r="AI3343">
        <v>92.049323981990298</v>
      </c>
      <c r="AJ3343">
        <v>87.954594921401906</v>
      </c>
      <c r="AK3343">
        <v>31.023493048836102</v>
      </c>
      <c r="AL3343">
        <v>88.240416399239606</v>
      </c>
      <c r="AM3343">
        <v>85.389461435564002</v>
      </c>
      <c r="AN3343">
        <v>0.99999999494555403</v>
      </c>
    </row>
    <row r="3344" spans="1:40" x14ac:dyDescent="0.25">
      <c r="A3344" t="str">
        <f>"20190312154901631"</f>
        <v>20190312154901631</v>
      </c>
      <c r="B3344" t="str">
        <f>"1552376941619112"</f>
        <v>1552376941619112</v>
      </c>
      <c r="C3344" t="s">
        <v>40</v>
      </c>
      <c r="D3344">
        <v>4.7520230000000003</v>
      </c>
      <c r="E3344">
        <v>0.4838384</v>
      </c>
      <c r="F3344" t="s">
        <v>50</v>
      </c>
      <c r="G3344">
        <v>-356.08850000000001</v>
      </c>
      <c r="H3344" s="1">
        <v>1.7422229999999901E-6</v>
      </c>
      <c r="I3344">
        <v>213.7235</v>
      </c>
      <c r="J3344">
        <v>-387.8329</v>
      </c>
      <c r="K3344">
        <v>1.109381</v>
      </c>
      <c r="L3344">
        <v>214.4941</v>
      </c>
      <c r="M3344">
        <v>0.99991030000000003</v>
      </c>
      <c r="N3344">
        <v>0</v>
      </c>
      <c r="O3344">
        <v>1.2189119999999999E-2</v>
      </c>
      <c r="P3344">
        <v>0.99729210000000001</v>
      </c>
      <c r="Q3344">
        <v>2.5320949999999998E-2</v>
      </c>
      <c r="R3344">
        <v>-6.9046609999999994E-2</v>
      </c>
      <c r="S3344">
        <v>3.0057070000000001</v>
      </c>
      <c r="T3344">
        <v>-0.1038496</v>
      </c>
      <c r="U3344">
        <v>-7.1701050000000002E-2</v>
      </c>
      <c r="V3344">
        <v>8.1151310000000004E-2</v>
      </c>
      <c r="W3344">
        <v>3.0981180000000001E-2</v>
      </c>
      <c r="X3344">
        <v>0.9962202</v>
      </c>
      <c r="Y3344">
        <v>3.6003510000000002E-2</v>
      </c>
      <c r="Z3344">
        <v>-1.0426739999999999E-3</v>
      </c>
      <c r="AA3344">
        <v>0.99935110000000005</v>
      </c>
      <c r="AB3344">
        <v>38</v>
      </c>
      <c r="AC3344">
        <v>31.744399999999899</v>
      </c>
      <c r="AD3344">
        <v>-1.1093792577770001</v>
      </c>
      <c r="AE3344">
        <v>-0.77060000000000095</v>
      </c>
      <c r="AF3344">
        <v>1.1560739206702899</v>
      </c>
      <c r="AG3344">
        <v>-1.1093792577770001</v>
      </c>
      <c r="AH3344">
        <v>31.693963201777901</v>
      </c>
      <c r="AI3344">
        <v>92.003366299123101</v>
      </c>
      <c r="AJ3344">
        <v>87.910996405639096</v>
      </c>
      <c r="AK3344">
        <v>31.7344376456129</v>
      </c>
      <c r="AL3344">
        <v>88.224625102957702</v>
      </c>
      <c r="AM3344">
        <v>85.343013565620595</v>
      </c>
      <c r="AN3344">
        <v>1.00000002775847</v>
      </c>
    </row>
    <row r="3345" spans="1:40" x14ac:dyDescent="0.25">
      <c r="A3345" t="str">
        <f>"20190312154901656"</f>
        <v>20190312154901656</v>
      </c>
      <c r="B3345" t="str">
        <f>"1552376941649364"</f>
        <v>1552376941649364</v>
      </c>
      <c r="C3345" t="s">
        <v>40</v>
      </c>
      <c r="D3345">
        <v>4.7126729999999997</v>
      </c>
      <c r="E3345">
        <v>0.48386750000000001</v>
      </c>
      <c r="F3345" t="s">
        <v>50</v>
      </c>
      <c r="G3345">
        <v>-354.96730000000002</v>
      </c>
      <c r="H3345" s="1">
        <v>1.1466590000000001E-6</v>
      </c>
      <c r="I3345">
        <v>213.69839999999999</v>
      </c>
      <c r="J3345">
        <v>-387.42160000000001</v>
      </c>
      <c r="K3345">
        <v>1.1093710000000001</v>
      </c>
      <c r="L3345">
        <v>214.49969999999999</v>
      </c>
      <c r="M3345">
        <v>0.99990270000000003</v>
      </c>
      <c r="N3345">
        <v>0</v>
      </c>
      <c r="O3345">
        <v>1.290197E-2</v>
      </c>
      <c r="P3345">
        <v>0.99731190000000003</v>
      </c>
      <c r="Q3345">
        <v>2.5204770000000001E-2</v>
      </c>
      <c r="R3345">
        <v>-6.8801109999999999E-2</v>
      </c>
      <c r="S3345">
        <v>3.0056759999999998</v>
      </c>
      <c r="T3345">
        <v>-0.10145659999999999</v>
      </c>
      <c r="U3345">
        <v>-7.2769169999999994E-2</v>
      </c>
      <c r="V3345">
        <v>8.1616359999999999E-2</v>
      </c>
      <c r="W3345">
        <v>3.0629920000000001E-2</v>
      </c>
      <c r="X3345">
        <v>0.99619310000000005</v>
      </c>
      <c r="Y3345">
        <v>3.7071399999999997E-2</v>
      </c>
      <c r="Z3345">
        <v>-1.0607360000000001E-3</v>
      </c>
      <c r="AA3345">
        <v>0.99931199999999998</v>
      </c>
      <c r="AB3345">
        <v>38</v>
      </c>
      <c r="AC3345">
        <v>32.454299999999897</v>
      </c>
      <c r="AD3345">
        <v>-1.1093698533409999</v>
      </c>
      <c r="AE3345">
        <v>-0.80129999999999701</v>
      </c>
      <c r="AF3345">
        <v>1.2185406670338099</v>
      </c>
      <c r="AG3345">
        <v>-1.1093698533409999</v>
      </c>
      <c r="AH3345">
        <v>32.403421587373501</v>
      </c>
      <c r="AI3345">
        <v>91.9594396928523</v>
      </c>
      <c r="AJ3345">
        <v>87.8463893327568</v>
      </c>
      <c r="AK3345">
        <v>32.445296629831901</v>
      </c>
      <c r="AL3345">
        <v>88.244760426248106</v>
      </c>
      <c r="AM3345">
        <v>85.316317539178399</v>
      </c>
      <c r="AN3345">
        <v>1.0000000573532299</v>
      </c>
    </row>
    <row r="3346" spans="1:40" x14ac:dyDescent="0.25">
      <c r="A3346" t="str">
        <f>"20190312154901678"</f>
        <v>20190312154901678</v>
      </c>
      <c r="B3346" t="str">
        <f>"1552376941668884"</f>
        <v>1552376941668884</v>
      </c>
      <c r="C3346" t="s">
        <v>40</v>
      </c>
      <c r="D3346">
        <v>4.691478</v>
      </c>
      <c r="E3346">
        <v>0.48374850000000003</v>
      </c>
      <c r="F3346" t="s">
        <v>50</v>
      </c>
      <c r="G3346">
        <v>-354.4178</v>
      </c>
      <c r="H3346" s="1">
        <v>8.5398480000000002E-7</v>
      </c>
      <c r="I3346">
        <v>213.7054</v>
      </c>
      <c r="J3346">
        <v>-387.036</v>
      </c>
      <c r="K3346">
        <v>1.109359</v>
      </c>
      <c r="L3346">
        <v>214.5052</v>
      </c>
      <c r="M3346">
        <v>0.99989490000000003</v>
      </c>
      <c r="N3346">
        <v>0</v>
      </c>
      <c r="O3346">
        <v>1.356886E-2</v>
      </c>
      <c r="P3346">
        <v>0.99728320000000004</v>
      </c>
      <c r="Q3346">
        <v>2.5365019999999999E-2</v>
      </c>
      <c r="R3346">
        <v>-6.9159929999999994E-2</v>
      </c>
      <c r="S3346">
        <v>3.0056759999999998</v>
      </c>
      <c r="T3346">
        <v>-0.1010312</v>
      </c>
      <c r="U3346">
        <v>-7.2341920000000004E-2</v>
      </c>
      <c r="V3346">
        <v>8.2638539999999996E-2</v>
      </c>
      <c r="W3346">
        <v>3.060179E-2</v>
      </c>
      <c r="X3346">
        <v>0.99610960000000004</v>
      </c>
      <c r="Y3346">
        <v>3.7595480000000001E-2</v>
      </c>
      <c r="Z3346">
        <v>-1.0875030000000001E-3</v>
      </c>
      <c r="AA3346">
        <v>0.99929239999999997</v>
      </c>
      <c r="AB3346">
        <v>38</v>
      </c>
      <c r="AC3346">
        <v>32.618200000000002</v>
      </c>
      <c r="AD3346">
        <v>-1.1093581460152</v>
      </c>
      <c r="AE3346">
        <v>-0.79980000000000395</v>
      </c>
      <c r="AF3346">
        <v>1.2408894434400499</v>
      </c>
      <c r="AG3346">
        <v>-1.1093581460152</v>
      </c>
      <c r="AH3346">
        <v>32.566697025284903</v>
      </c>
      <c r="AI3346">
        <v>91.949566295001802</v>
      </c>
      <c r="AJ3346">
        <v>87.817913485984405</v>
      </c>
      <c r="AK3346">
        <v>32.609204793181803</v>
      </c>
      <c r="AL3346">
        <v>88.246372753004096</v>
      </c>
      <c r="AM3346">
        <v>85.257528313819904</v>
      </c>
      <c r="AN3346">
        <v>0.999999966528347</v>
      </c>
    </row>
    <row r="3347" spans="1:40" x14ac:dyDescent="0.25">
      <c r="A3347" t="str">
        <f>"20190312154901702"</f>
        <v>20190312154901702</v>
      </c>
      <c r="B3347" t="str">
        <f>"1552376941689380"</f>
        <v>1552376941689380</v>
      </c>
      <c r="C3347" t="s">
        <v>40</v>
      </c>
      <c r="D3347">
        <v>4.6795939999999998</v>
      </c>
      <c r="E3347">
        <v>0.48358669999999998</v>
      </c>
      <c r="F3347" t="s">
        <v>50</v>
      </c>
      <c r="G3347">
        <v>-352.9316</v>
      </c>
      <c r="H3347" s="1">
        <v>6.4024660000000003E-8</v>
      </c>
      <c r="I3347">
        <v>213.684</v>
      </c>
      <c r="J3347">
        <v>-386.64359999999999</v>
      </c>
      <c r="K3347">
        <v>1.1093470000000001</v>
      </c>
      <c r="L3347">
        <v>214.511</v>
      </c>
      <c r="M3347">
        <v>0.99988619999999995</v>
      </c>
      <c r="N3347">
        <v>0</v>
      </c>
      <c r="O3347">
        <v>1.4247549999999999E-2</v>
      </c>
      <c r="P3347">
        <v>0.99726780000000004</v>
      </c>
      <c r="Q3347">
        <v>2.4766639999999999E-2</v>
      </c>
      <c r="R3347">
        <v>-6.9595299999999999E-2</v>
      </c>
      <c r="S3347">
        <v>3.005646</v>
      </c>
      <c r="T3347">
        <v>-9.7768549999999996E-2</v>
      </c>
      <c r="U3347">
        <v>-7.2372439999999996E-2</v>
      </c>
      <c r="V3347">
        <v>8.3750489999999997E-2</v>
      </c>
      <c r="W3347">
        <v>2.9840149999999999E-2</v>
      </c>
      <c r="X3347">
        <v>0.99603989999999998</v>
      </c>
      <c r="Y3347">
        <v>3.8285239999999998E-2</v>
      </c>
      <c r="Z3347">
        <v>-1.085695E-3</v>
      </c>
      <c r="AA3347">
        <v>0.99926630000000005</v>
      </c>
      <c r="AB3347">
        <v>38</v>
      </c>
      <c r="AC3347">
        <v>33.711999999999897</v>
      </c>
      <c r="AD3347">
        <v>-1.1093469359753301</v>
      </c>
      <c r="AE3347">
        <v>-0.82699999999996898</v>
      </c>
      <c r="AF3347">
        <v>1.30582221757729</v>
      </c>
      <c r="AG3347">
        <v>-1.1093469359753301</v>
      </c>
      <c r="AH3347">
        <v>33.660368235244</v>
      </c>
      <c r="AI3347">
        <v>91.886199705118997</v>
      </c>
      <c r="AJ3347">
        <v>87.778378359511606</v>
      </c>
      <c r="AK3347">
        <v>33.703949501809198</v>
      </c>
      <c r="AL3347">
        <v>88.290031564352802</v>
      </c>
      <c r="AM3347">
        <v>85.193677773218695</v>
      </c>
      <c r="AN3347">
        <v>1.00000003075963</v>
      </c>
    </row>
    <row r="3348" spans="1:40" x14ac:dyDescent="0.25">
      <c r="A3348" t="str">
        <f>"20190312154901723"</f>
        <v>20190312154901723</v>
      </c>
      <c r="B3348" t="str">
        <f>"1552376941719635"</f>
        <v>1552376941719635</v>
      </c>
      <c r="C3348" t="s">
        <v>40</v>
      </c>
      <c r="D3348">
        <v>4.6727819999999998</v>
      </c>
      <c r="E3348">
        <v>0.48334110000000002</v>
      </c>
      <c r="F3348" t="s">
        <v>50</v>
      </c>
      <c r="G3348">
        <v>-352.3109</v>
      </c>
      <c r="H3348" s="1">
        <v>-2.663865E-7</v>
      </c>
      <c r="I3348">
        <v>213.68620000000001</v>
      </c>
      <c r="J3348">
        <v>-386.27440000000001</v>
      </c>
      <c r="K3348">
        <v>1.109334</v>
      </c>
      <c r="L3348">
        <v>214.51669999999999</v>
      </c>
      <c r="M3348">
        <v>0.99987760000000003</v>
      </c>
      <c r="N3348">
        <v>0</v>
      </c>
      <c r="O3348">
        <v>1.4885270000000001E-2</v>
      </c>
      <c r="P3348">
        <v>0.99728559999999999</v>
      </c>
      <c r="Q3348">
        <v>2.4297760000000002E-2</v>
      </c>
      <c r="R3348">
        <v>-6.9508459999999994E-2</v>
      </c>
      <c r="S3348">
        <v>3.0056150000000001</v>
      </c>
      <c r="T3348">
        <v>-9.7116350000000004E-2</v>
      </c>
      <c r="U3348">
        <v>-7.2204589999999999E-2</v>
      </c>
      <c r="V3348">
        <v>8.4299739999999998E-2</v>
      </c>
      <c r="W3348">
        <v>2.9240559999999999E-2</v>
      </c>
      <c r="X3348">
        <v>0.99601130000000004</v>
      </c>
      <c r="Y3348">
        <v>3.886676E-2</v>
      </c>
      <c r="Z3348">
        <v>-1.108457E-3</v>
      </c>
      <c r="AA3348">
        <v>0.99924380000000002</v>
      </c>
      <c r="AB3348">
        <v>38</v>
      </c>
      <c r="AC3348">
        <v>33.963500000000003</v>
      </c>
      <c r="AD3348">
        <v>-1.1093342663865</v>
      </c>
      <c r="AE3348">
        <v>-0.83049999999997204</v>
      </c>
      <c r="AF3348">
        <v>1.3345468215868499</v>
      </c>
      <c r="AG3348">
        <v>-1.1093342663865</v>
      </c>
      <c r="AH3348">
        <v>33.911218393741102</v>
      </c>
      <c r="AI3348">
        <v>91.872194710642304</v>
      </c>
      <c r="AJ3348">
        <v>87.746336868586596</v>
      </c>
      <c r="AK3348">
        <v>33.955594099965197</v>
      </c>
      <c r="AL3348">
        <v>88.324400459419195</v>
      </c>
      <c r="AM3348">
        <v>85.162167950504397</v>
      </c>
      <c r="AN3348">
        <v>0.99999998312043503</v>
      </c>
    </row>
    <row r="3349" spans="1:40" x14ac:dyDescent="0.25">
      <c r="A3349" t="str">
        <f>"20190312154901745"</f>
        <v>20190312154901745</v>
      </c>
      <c r="B3349" t="str">
        <f>"1552376941739157"</f>
        <v>1552376941739157</v>
      </c>
      <c r="C3349" t="s">
        <v>40</v>
      </c>
      <c r="D3349">
        <v>4.6370500000000003</v>
      </c>
      <c r="E3349">
        <v>0.48323949999999999</v>
      </c>
      <c r="F3349" t="s">
        <v>50</v>
      </c>
      <c r="G3349">
        <v>-351.6354</v>
      </c>
      <c r="H3349" s="1">
        <v>-6.2688090000000005E-7</v>
      </c>
      <c r="I3349">
        <v>213.70959999999999</v>
      </c>
      <c r="J3349">
        <v>-385.88740000000001</v>
      </c>
      <c r="K3349">
        <v>1.109318</v>
      </c>
      <c r="L3349">
        <v>214.523</v>
      </c>
      <c r="M3349">
        <v>0.99986799999999998</v>
      </c>
      <c r="N3349">
        <v>0</v>
      </c>
      <c r="O3349">
        <v>1.5553829999999999E-2</v>
      </c>
      <c r="P3349">
        <v>0.9972917</v>
      </c>
      <c r="Q3349">
        <v>2.3443499999999999E-2</v>
      </c>
      <c r="R3349">
        <v>-6.9712259999999998E-2</v>
      </c>
      <c r="S3349">
        <v>3.005646</v>
      </c>
      <c r="T3349">
        <v>-9.6257570000000001E-2</v>
      </c>
      <c r="U3349">
        <v>-7.0037840000000004E-2</v>
      </c>
      <c r="V3349">
        <v>8.5170869999999996E-2</v>
      </c>
      <c r="W3349">
        <v>2.8271069999999999E-2</v>
      </c>
      <c r="X3349">
        <v>0.99596519999999999</v>
      </c>
      <c r="Y3349">
        <v>3.8814870000000001E-2</v>
      </c>
      <c r="Z3349">
        <v>-1.119229E-3</v>
      </c>
      <c r="AA3349">
        <v>0.99924579999999996</v>
      </c>
      <c r="AB3349">
        <v>38</v>
      </c>
      <c r="AC3349">
        <v>34.252000000000002</v>
      </c>
      <c r="AD3349">
        <v>-1.1093186268808899</v>
      </c>
      <c r="AE3349">
        <v>-0.81340000000000101</v>
      </c>
      <c r="AF3349">
        <v>1.3446476365259099</v>
      </c>
      <c r="AG3349">
        <v>-1.1093186268808899</v>
      </c>
      <c r="AH3349">
        <v>34.199352850991801</v>
      </c>
      <c r="AI3349">
        <v>91.856408770113205</v>
      </c>
      <c r="AJ3349">
        <v>87.748408527756993</v>
      </c>
      <c r="AK3349">
        <v>34.243749802102499</v>
      </c>
      <c r="AL3349">
        <v>88.379971163720001</v>
      </c>
      <c r="AM3349">
        <v>85.112190953980402</v>
      </c>
      <c r="AN3349">
        <v>1.00000000505327</v>
      </c>
    </row>
    <row r="3350" spans="1:40" x14ac:dyDescent="0.25">
      <c r="A3350" t="str">
        <f>"20190312154901767"</f>
        <v>20190312154901767</v>
      </c>
      <c r="B3350" t="str">
        <f>"1552376941759654"</f>
        <v>1552376941759654</v>
      </c>
      <c r="C3350" t="s">
        <v>40</v>
      </c>
      <c r="D3350">
        <v>4.6533749999999996</v>
      </c>
      <c r="E3350">
        <v>0.48311730000000003</v>
      </c>
      <c r="F3350" t="s">
        <v>50</v>
      </c>
      <c r="G3350">
        <v>-351.3279</v>
      </c>
      <c r="H3350" s="1">
        <v>-7.9091600000000004E-7</v>
      </c>
      <c r="I3350">
        <v>213.71899999999999</v>
      </c>
      <c r="J3350">
        <v>-385.51280000000003</v>
      </c>
      <c r="K3350">
        <v>1.109308</v>
      </c>
      <c r="L3350">
        <v>214.52930000000001</v>
      </c>
      <c r="M3350">
        <v>0.99985809999999997</v>
      </c>
      <c r="N3350">
        <v>0</v>
      </c>
      <c r="O3350">
        <v>1.6200050000000001E-2</v>
      </c>
      <c r="P3350">
        <v>0.99730680000000005</v>
      </c>
      <c r="Q3350">
        <v>2.252322E-2</v>
      </c>
      <c r="R3350">
        <v>-6.9800029999999999E-2</v>
      </c>
      <c r="S3350">
        <v>3.0055540000000001</v>
      </c>
      <c r="T3350">
        <v>-9.6474889999999994E-2</v>
      </c>
      <c r="U3350">
        <v>-6.9915770000000002E-2</v>
      </c>
      <c r="V3350">
        <v>8.5903809999999997E-2</v>
      </c>
      <c r="W3350">
        <v>2.725961E-2</v>
      </c>
      <c r="X3350">
        <v>0.99593039999999999</v>
      </c>
      <c r="Y3350">
        <v>3.9420049999999998E-2</v>
      </c>
      <c r="Z3350">
        <v>-1.1522329999999999E-3</v>
      </c>
      <c r="AA3350">
        <v>0.99922200000000005</v>
      </c>
      <c r="AB3350">
        <v>39</v>
      </c>
      <c r="AC3350">
        <v>34.184899999999999</v>
      </c>
      <c r="AD3350">
        <v>-1.109308790916</v>
      </c>
      <c r="AE3350">
        <v>-0.81029999999998303</v>
      </c>
      <c r="AF3350">
        <v>1.36256266148024</v>
      </c>
      <c r="AG3350">
        <v>-1.109308790916</v>
      </c>
      <c r="AH3350">
        <v>34.131365998263497</v>
      </c>
      <c r="AI3350">
        <v>91.860043153961797</v>
      </c>
      <c r="AJ3350">
        <v>87.713901734015593</v>
      </c>
      <c r="AK3350">
        <v>34.176560504349801</v>
      </c>
      <c r="AL3350">
        <v>88.437945829922995</v>
      </c>
      <c r="AM3350">
        <v>85.070163787118105</v>
      </c>
      <c r="AN3350">
        <v>0.99999995627701299</v>
      </c>
    </row>
    <row r="3351" spans="1:40" x14ac:dyDescent="0.25">
      <c r="A3351" t="str">
        <f>"20190312154901788"</f>
        <v>20190312154901788</v>
      </c>
      <c r="B3351" t="str">
        <f>"1552376941779172"</f>
        <v>1552376941779172</v>
      </c>
      <c r="C3351" t="s">
        <v>40</v>
      </c>
      <c r="D3351">
        <v>4.654731</v>
      </c>
      <c r="E3351">
        <v>0.48303430000000003</v>
      </c>
      <c r="F3351" t="s">
        <v>50</v>
      </c>
      <c r="G3351">
        <v>-351.17410000000001</v>
      </c>
      <c r="H3351" s="1">
        <v>-8.7362999999999997E-7</v>
      </c>
      <c r="I3351">
        <v>213.73849999999999</v>
      </c>
      <c r="J3351">
        <v>-385.13029999999998</v>
      </c>
      <c r="K3351">
        <v>1.1092979999999999</v>
      </c>
      <c r="L3351">
        <v>214.536</v>
      </c>
      <c r="M3351">
        <v>0.9998475</v>
      </c>
      <c r="N3351">
        <v>0</v>
      </c>
      <c r="O3351">
        <v>1.6859889999999999E-2</v>
      </c>
      <c r="P3351">
        <v>0.99734540000000005</v>
      </c>
      <c r="Q3351">
        <v>2.191802E-2</v>
      </c>
      <c r="R3351">
        <v>-6.9439589999999995E-2</v>
      </c>
      <c r="S3351">
        <v>3.005493</v>
      </c>
      <c r="T3351">
        <v>-9.7092269999999994E-2</v>
      </c>
      <c r="U3351">
        <v>-6.9213869999999997E-2</v>
      </c>
      <c r="V3351">
        <v>8.6202039999999994E-2</v>
      </c>
      <c r="W3351">
        <v>2.6577509999999999E-2</v>
      </c>
      <c r="X3351">
        <v>0.99592309999999995</v>
      </c>
      <c r="Y3351">
        <v>3.9845770000000003E-2</v>
      </c>
      <c r="Z3351">
        <v>-1.187811E-3</v>
      </c>
      <c r="AA3351">
        <v>0.99920509999999996</v>
      </c>
      <c r="AB3351">
        <v>39</v>
      </c>
      <c r="AC3351">
        <v>33.956199999999903</v>
      </c>
      <c r="AD3351">
        <v>-1.10929887362999</v>
      </c>
      <c r="AE3351">
        <v>-0.797499999999985</v>
      </c>
      <c r="AF3351">
        <v>1.3684307423717501</v>
      </c>
      <c r="AG3351">
        <v>-1.10929887362999</v>
      </c>
      <c r="AH3351">
        <v>33.901766415271602</v>
      </c>
      <c r="AI3351">
        <v>91.872581362716701</v>
      </c>
      <c r="AJ3351">
        <v>87.688534432168197</v>
      </c>
      <c r="AK3351">
        <v>33.947502305226301</v>
      </c>
      <c r="AL3351">
        <v>88.477041499655201</v>
      </c>
      <c r="AM3351">
        <v>85.053097705876993</v>
      </c>
      <c r="AN3351">
        <v>0.99999998842578497</v>
      </c>
    </row>
    <row r="3352" spans="1:40" x14ac:dyDescent="0.25">
      <c r="A3352" t="str">
        <f>"20190312154901812"</f>
        <v>20190312154901812</v>
      </c>
      <c r="B3352" t="str">
        <f>"1552376941798691"</f>
        <v>1552376941798691</v>
      </c>
      <c r="C3352" t="s">
        <v>40</v>
      </c>
      <c r="D3352">
        <v>4.679214</v>
      </c>
      <c r="E3352">
        <v>0.49773679999999898</v>
      </c>
      <c r="F3352" t="s">
        <v>50</v>
      </c>
      <c r="G3352">
        <v>-350.72809999999998</v>
      </c>
      <c r="H3352" s="1">
        <v>-1.112074E-6</v>
      </c>
      <c r="I3352">
        <v>213.76400000000001</v>
      </c>
      <c r="J3352">
        <v>-384.72500000000002</v>
      </c>
      <c r="K3352">
        <v>1.109286</v>
      </c>
      <c r="L3352">
        <v>214.54339999999999</v>
      </c>
      <c r="M3352">
        <v>0.99983580000000005</v>
      </c>
      <c r="N3352">
        <v>0</v>
      </c>
      <c r="O3352">
        <v>1.7558089999999998E-2</v>
      </c>
      <c r="P3352">
        <v>0.99735399999999996</v>
      </c>
      <c r="Q3352">
        <v>2.1490530000000001E-2</v>
      </c>
      <c r="R3352">
        <v>-6.9449259999999999E-2</v>
      </c>
      <c r="S3352">
        <v>3.0054319999999999</v>
      </c>
      <c r="T3352">
        <v>-9.6910239999999995E-2</v>
      </c>
      <c r="U3352">
        <v>-6.744385E-2</v>
      </c>
      <c r="V3352">
        <v>8.6907899999999996E-2</v>
      </c>
      <c r="W3352">
        <v>2.6088920000000002E-2</v>
      </c>
      <c r="X3352">
        <v>0.9958747</v>
      </c>
      <c r="Y3352">
        <v>3.9955499999999998E-2</v>
      </c>
      <c r="Z3352">
        <v>-1.209889E-3</v>
      </c>
      <c r="AA3352">
        <v>0.99920070000000005</v>
      </c>
      <c r="AB3352">
        <v>39</v>
      </c>
      <c r="AC3352">
        <v>33.996899999999997</v>
      </c>
      <c r="AD3352">
        <v>-1.109287112074</v>
      </c>
      <c r="AE3352">
        <v>-0.779399999999981</v>
      </c>
      <c r="AF3352">
        <v>1.374743613948</v>
      </c>
      <c r="AG3352">
        <v>-1.109287112074</v>
      </c>
      <c r="AH3352">
        <v>33.941856766773299</v>
      </c>
      <c r="AI3352">
        <v>91.870340886735704</v>
      </c>
      <c r="AJ3352">
        <v>87.680622546644997</v>
      </c>
      <c r="AK3352">
        <v>33.987793083359499</v>
      </c>
      <c r="AL3352">
        <v>88.505045398253202</v>
      </c>
      <c r="AM3352">
        <v>85.012552618844794</v>
      </c>
      <c r="AN3352">
        <v>1.0000000164646301</v>
      </c>
    </row>
    <row r="3353" spans="1:40" x14ac:dyDescent="0.25">
      <c r="A3353" t="str">
        <f>"20190312154901833"</f>
        <v>20190312154901833</v>
      </c>
      <c r="B3353" t="str">
        <f>"1552376941819188"</f>
        <v>1552376941819188</v>
      </c>
      <c r="C3353" t="s">
        <v>40</v>
      </c>
      <c r="D3353">
        <v>4.6295970000000004</v>
      </c>
      <c r="E3353">
        <v>0.52073539999999996</v>
      </c>
      <c r="F3353" t="s">
        <v>41</v>
      </c>
      <c r="G3353">
        <v>-383.77789999999999</v>
      </c>
      <c r="H3353">
        <v>1.0263960000000001</v>
      </c>
      <c r="I3353">
        <v>214.48699999999999</v>
      </c>
      <c r="J3353">
        <v>-384.3526</v>
      </c>
      <c r="K3353">
        <v>1.1092740000000001</v>
      </c>
      <c r="L3353">
        <v>214.55029999999999</v>
      </c>
      <c r="M3353">
        <v>0.99982459999999995</v>
      </c>
      <c r="N3353">
        <v>0</v>
      </c>
      <c r="O3353">
        <v>1.8199570000000002E-2</v>
      </c>
      <c r="P3353">
        <v>0.99738990000000005</v>
      </c>
      <c r="Q3353">
        <v>2.1061139999999999E-2</v>
      </c>
      <c r="R3353">
        <v>-6.9062250000000006E-2</v>
      </c>
      <c r="S3353">
        <v>3.0012210000000001</v>
      </c>
      <c r="T3353">
        <v>-0.26271870000000003</v>
      </c>
      <c r="U3353">
        <v>-0.17843629999999999</v>
      </c>
      <c r="V3353">
        <v>8.7161160000000001E-2</v>
      </c>
      <c r="W3353">
        <v>2.5621290000000001E-2</v>
      </c>
      <c r="X3353">
        <v>0.99586470000000005</v>
      </c>
      <c r="Y3353">
        <v>7.7144180000000007E-2</v>
      </c>
      <c r="Z3353">
        <v>-4.9559649999999997E-3</v>
      </c>
      <c r="AA3353">
        <v>0.99700759999999999</v>
      </c>
      <c r="AB3353">
        <v>39</v>
      </c>
      <c r="AC3353">
        <v>0.57470000000000698</v>
      </c>
      <c r="AD3353">
        <v>-8.2877999999999993E-2</v>
      </c>
      <c r="AE3353">
        <v>-6.3299999999998094E-2</v>
      </c>
      <c r="AF3353">
        <v>7.2264064649886106E-2</v>
      </c>
      <c r="AG3353">
        <v>-8.2877999999999993E-2</v>
      </c>
      <c r="AH3353">
        <v>0.56190698320959998</v>
      </c>
      <c r="AI3353">
        <v>98.322727898175401</v>
      </c>
      <c r="AJ3353">
        <v>82.671699413603307</v>
      </c>
      <c r="AK3353">
        <v>0.57256468254987203</v>
      </c>
      <c r="AL3353">
        <v>88.531847573164001</v>
      </c>
      <c r="AM3353">
        <v>84.998042255723803</v>
      </c>
      <c r="AN3353">
        <v>1.0000000095099399</v>
      </c>
    </row>
    <row r="3354" spans="1:40" x14ac:dyDescent="0.25">
      <c r="A3354" t="str">
        <f>"20190312154901856"</f>
        <v>20190312154901856</v>
      </c>
      <c r="B3354" t="str">
        <f>"1552376941848468"</f>
        <v>1552376941848468</v>
      </c>
      <c r="C3354" t="s">
        <v>40</v>
      </c>
      <c r="D3354">
        <v>4.6298890000000004</v>
      </c>
      <c r="E3354">
        <v>0.52352549999999998</v>
      </c>
      <c r="F3354" t="s">
        <v>41</v>
      </c>
      <c r="G3354">
        <v>-383.47329999999999</v>
      </c>
      <c r="H3354">
        <v>0.92491020000000002</v>
      </c>
      <c r="I3354">
        <v>214.44829999999999</v>
      </c>
      <c r="J3354">
        <v>-383.94850000000002</v>
      </c>
      <c r="K3354">
        <v>1.109264</v>
      </c>
      <c r="L3354">
        <v>214.5582</v>
      </c>
      <c r="M3354">
        <v>0.99981180000000003</v>
      </c>
      <c r="N3354">
        <v>0</v>
      </c>
      <c r="O3354">
        <v>1.8894729999999998E-2</v>
      </c>
      <c r="P3354">
        <v>0.99743499999999996</v>
      </c>
      <c r="Q3354">
        <v>2.1200460000000001E-2</v>
      </c>
      <c r="R3354">
        <v>-6.8366199999999905E-2</v>
      </c>
      <c r="S3354">
        <v>2.9970699999999999</v>
      </c>
      <c r="T3354">
        <v>-0.62849519999999903</v>
      </c>
      <c r="U3354">
        <v>-0.34718320000000003</v>
      </c>
      <c r="V3354">
        <v>8.7157879999999993E-2</v>
      </c>
      <c r="W3354">
        <v>2.57357E-2</v>
      </c>
      <c r="X3354">
        <v>0.99586200000000002</v>
      </c>
      <c r="Y3354">
        <v>0.13060919999999901</v>
      </c>
      <c r="Z3354">
        <v>-1.7411449999999998E-2</v>
      </c>
      <c r="AA3354">
        <v>0.99128099999999997</v>
      </c>
      <c r="AB3354">
        <v>39</v>
      </c>
      <c r="AC3354">
        <v>0.47520000000002899</v>
      </c>
      <c r="AD3354">
        <v>-0.18435380000000001</v>
      </c>
      <c r="AE3354">
        <v>-0.10990000000001</v>
      </c>
      <c r="AF3354">
        <v>0.104001224501826</v>
      </c>
      <c r="AG3354">
        <v>-0.18435380000000001</v>
      </c>
      <c r="AH3354">
        <v>0.41390634822655897</v>
      </c>
      <c r="AI3354">
        <v>113.36299853187001</v>
      </c>
      <c r="AJ3354">
        <v>75.895424996655905</v>
      </c>
      <c r="AK3354">
        <v>0.46488820524354502</v>
      </c>
      <c r="AL3354">
        <v>88.525290146478596</v>
      </c>
      <c r="AM3354">
        <v>84.998216039617404</v>
      </c>
      <c r="AN3354">
        <v>0.99999997267229102</v>
      </c>
    </row>
    <row r="3355" spans="1:40" x14ac:dyDescent="0.25">
      <c r="A3355" t="str">
        <f>"20190312154901879"</f>
        <v>20190312154901879</v>
      </c>
      <c r="B3355" t="str">
        <f>"1552376941869400"</f>
        <v>1552376941869400</v>
      </c>
      <c r="C3355" t="s">
        <v>40</v>
      </c>
      <c r="D3355">
        <v>4.6728180000000004</v>
      </c>
      <c r="E3355">
        <v>0.5238758</v>
      </c>
      <c r="F3355" t="s">
        <v>41</v>
      </c>
      <c r="G3355">
        <v>-383.1259</v>
      </c>
      <c r="H3355">
        <v>0.91351309999999997</v>
      </c>
      <c r="I3355">
        <v>214.458</v>
      </c>
      <c r="J3355">
        <v>-383.55090000000001</v>
      </c>
      <c r="K3355">
        <v>1.109262</v>
      </c>
      <c r="L3355">
        <v>214.56620000000001</v>
      </c>
      <c r="M3355">
        <v>0.99979879999999999</v>
      </c>
      <c r="N3355">
        <v>0</v>
      </c>
      <c r="O3355">
        <v>1.9575619999999998E-2</v>
      </c>
      <c r="P3355">
        <v>0.99750700000000003</v>
      </c>
      <c r="Q3355">
        <v>2.1248179999999998E-2</v>
      </c>
      <c r="R3355">
        <v>-6.7296449999999994E-2</v>
      </c>
      <c r="S3355">
        <v>2.997833</v>
      </c>
      <c r="T3355">
        <v>-0.71341869999999996</v>
      </c>
      <c r="U3355">
        <v>-0.36451719999999999</v>
      </c>
      <c r="V3355">
        <v>8.6767549999999999E-2</v>
      </c>
      <c r="W3355">
        <v>2.5773359999999999E-2</v>
      </c>
      <c r="X3355">
        <v>0.99589510000000003</v>
      </c>
      <c r="Y3355">
        <v>0.13583390000000001</v>
      </c>
      <c r="Z3355">
        <v>-2.0463430000000001E-2</v>
      </c>
      <c r="AA3355">
        <v>0.99052030000000002</v>
      </c>
      <c r="AB3355">
        <v>39</v>
      </c>
      <c r="AC3355">
        <v>0.42500000000001098</v>
      </c>
      <c r="AD3355">
        <v>-0.1957489</v>
      </c>
      <c r="AE3355">
        <v>-0.10820000000001</v>
      </c>
      <c r="AF3355">
        <v>9.7145124989221995E-2</v>
      </c>
      <c r="AG3355">
        <v>-0.1957489</v>
      </c>
      <c r="AH3355">
        <v>0.35256104136859201</v>
      </c>
      <c r="AI3355">
        <v>118.15889008594399</v>
      </c>
      <c r="AJ3355">
        <v>74.5949194880981</v>
      </c>
      <c r="AK3355">
        <v>0.414794039315041</v>
      </c>
      <c r="AL3355">
        <v>88.523131655642203</v>
      </c>
      <c r="AM3355">
        <v>85.020667946298701</v>
      </c>
      <c r="AN3355">
        <v>0.99999996201135</v>
      </c>
    </row>
    <row r="3356" spans="1:40" x14ac:dyDescent="0.25">
      <c r="A3356" t="str">
        <f>"20190312154901903"</f>
        <v>20190312154901903</v>
      </c>
      <c r="B3356" t="str">
        <f>"1552376941888921"</f>
        <v>1552376941888921</v>
      </c>
      <c r="C3356" t="s">
        <v>40</v>
      </c>
      <c r="D3356">
        <v>4.6539449999999896</v>
      </c>
      <c r="E3356">
        <v>0.52357100000000001</v>
      </c>
      <c r="F3356" t="s">
        <v>41</v>
      </c>
      <c r="G3356">
        <v>-382.76990000000001</v>
      </c>
      <c r="H3356">
        <v>0.9201473</v>
      </c>
      <c r="I3356">
        <v>214.47120000000001</v>
      </c>
      <c r="J3356">
        <v>-383.12470000000002</v>
      </c>
      <c r="K3356">
        <v>1.1092630000000001</v>
      </c>
      <c r="L3356">
        <v>214.57509999999999</v>
      </c>
      <c r="M3356">
        <v>0.99978429999999996</v>
      </c>
      <c r="N3356">
        <v>0</v>
      </c>
      <c r="O3356">
        <v>2.0298980000000001E-2</v>
      </c>
      <c r="P3356">
        <v>0.99758729999999995</v>
      </c>
      <c r="Q3356">
        <v>2.139566E-2</v>
      </c>
      <c r="R3356">
        <v>-6.6046259999999996E-2</v>
      </c>
      <c r="S3356">
        <v>2.9984440000000001</v>
      </c>
      <c r="T3356">
        <v>-0.7260877</v>
      </c>
      <c r="U3356">
        <v>-0.36390689999999998</v>
      </c>
      <c r="V3356">
        <v>8.6239490000000002E-2</v>
      </c>
      <c r="W3356">
        <v>2.592351E-2</v>
      </c>
      <c r="X3356">
        <v>0.99593710000000002</v>
      </c>
      <c r="Y3356">
        <v>0.13614809999999999</v>
      </c>
      <c r="Z3356">
        <v>-2.1022470000000001E-2</v>
      </c>
      <c r="AA3356">
        <v>0.99046540000000005</v>
      </c>
      <c r="AB3356">
        <v>39</v>
      </c>
      <c r="AC3356">
        <v>0.354800000000011</v>
      </c>
      <c r="AD3356">
        <v>-0.189115699999999</v>
      </c>
      <c r="AE3356">
        <v>-0.10389999999998099</v>
      </c>
      <c r="AF3356">
        <v>8.8042548571861098E-2</v>
      </c>
      <c r="AG3356">
        <v>-0.189115699999999</v>
      </c>
      <c r="AH3356">
        <v>0.279484732061556</v>
      </c>
      <c r="AI3356">
        <v>122.837901983962</v>
      </c>
      <c r="AJ3356">
        <v>72.514666671280295</v>
      </c>
      <c r="AK3356">
        <v>0.348751994691124</v>
      </c>
      <c r="AL3356">
        <v>88.514525863995004</v>
      </c>
      <c r="AM3356">
        <v>85.051028446865999</v>
      </c>
      <c r="AN3356">
        <v>0.99999999258129502</v>
      </c>
    </row>
    <row r="3357" spans="1:40" x14ac:dyDescent="0.25">
      <c r="A3357" t="str">
        <f>"20190312154901923"</f>
        <v>20190312154901923</v>
      </c>
      <c r="B3357" t="str">
        <f>"1552376941909417"</f>
        <v>1552376941909417</v>
      </c>
      <c r="C3357" t="s">
        <v>40</v>
      </c>
      <c r="D3357">
        <v>4.6208910000000003</v>
      </c>
      <c r="E3357">
        <v>0.52350589999999997</v>
      </c>
      <c r="F3357" t="s">
        <v>41</v>
      </c>
      <c r="G3357">
        <v>-382.40890000000002</v>
      </c>
      <c r="H3357">
        <v>0.93539539999999999</v>
      </c>
      <c r="I3357">
        <v>214.4896</v>
      </c>
      <c r="J3357">
        <v>-382.77190000000002</v>
      </c>
      <c r="K3357">
        <v>1.1092599999999999</v>
      </c>
      <c r="L3357">
        <v>214.58269999999999</v>
      </c>
      <c r="M3357">
        <v>0.9997722</v>
      </c>
      <c r="N3357">
        <v>0</v>
      </c>
      <c r="O3357">
        <v>2.0887909999999999E-2</v>
      </c>
      <c r="P3357">
        <v>0.99764929999999996</v>
      </c>
      <c r="Q3357">
        <v>2.1151449999999999E-2</v>
      </c>
      <c r="R3357">
        <v>-6.5180799999999997E-2</v>
      </c>
      <c r="S3357">
        <v>2.9991759999999998</v>
      </c>
      <c r="T3357">
        <v>-0.72862959999999999</v>
      </c>
      <c r="U3357">
        <v>-0.3574524</v>
      </c>
      <c r="V3357">
        <v>8.596268E-2</v>
      </c>
      <c r="W3357">
        <v>2.5690890000000001E-2</v>
      </c>
      <c r="X3357">
        <v>0.99596709999999999</v>
      </c>
      <c r="Y3357">
        <v>0.13459839999999901</v>
      </c>
      <c r="Z3357">
        <v>-2.1047300000000001E-2</v>
      </c>
      <c r="AA3357">
        <v>0.99067669999999997</v>
      </c>
      <c r="AB3357">
        <v>40</v>
      </c>
      <c r="AC3357">
        <v>0.36299999999999899</v>
      </c>
      <c r="AD3357">
        <v>-0.17386460000000001</v>
      </c>
      <c r="AE3357">
        <v>-9.3099999999992605E-2</v>
      </c>
      <c r="AF3357">
        <v>8.2832437413205798E-2</v>
      </c>
      <c r="AG3357">
        <v>-0.17386460000000001</v>
      </c>
      <c r="AH3357">
        <v>0.29703870731759002</v>
      </c>
      <c r="AI3357">
        <v>119.41494434623201</v>
      </c>
      <c r="AJ3357">
        <v>74.418300064442406</v>
      </c>
      <c r="AK3357">
        <v>0.35400862343434097</v>
      </c>
      <c r="AL3357">
        <v>88.527858510251093</v>
      </c>
      <c r="AM3357">
        <v>85.066982914435798</v>
      </c>
      <c r="AN3357">
        <v>1.0000000342320901</v>
      </c>
    </row>
    <row r="3358" spans="1:40" x14ac:dyDescent="0.25">
      <c r="A3358" t="str">
        <f>"20190312154901946"</f>
        <v>20190312154901946</v>
      </c>
      <c r="B3358" t="str">
        <f>"1552376941938696"</f>
        <v>1552376941938696</v>
      </c>
      <c r="C3358" t="s">
        <v>40</v>
      </c>
      <c r="D3358">
        <v>4.7002309999999996</v>
      </c>
      <c r="E3358">
        <v>0.52395040000000004</v>
      </c>
      <c r="F3358" t="s">
        <v>41</v>
      </c>
      <c r="G3358">
        <v>-382.05329999999998</v>
      </c>
      <c r="H3358">
        <v>0.93465379999999998</v>
      </c>
      <c r="I3358">
        <v>214.49709999999999</v>
      </c>
      <c r="J3358">
        <v>-382.3544</v>
      </c>
      <c r="K3358">
        <v>1.109248</v>
      </c>
      <c r="L3358">
        <v>214.59190000000001</v>
      </c>
      <c r="M3358">
        <v>0.99975760000000002</v>
      </c>
      <c r="N3358">
        <v>0</v>
      </c>
      <c r="O3358">
        <v>2.156986E-2</v>
      </c>
      <c r="P3358">
        <v>0.99772780000000005</v>
      </c>
      <c r="Q3358">
        <v>2.1143269999999999E-2</v>
      </c>
      <c r="R3358">
        <v>-6.3972710000000002E-2</v>
      </c>
      <c r="S3358">
        <v>2.99939</v>
      </c>
      <c r="T3358">
        <v>-0.729016199999999</v>
      </c>
      <c r="U3358">
        <v>-0.35455320000000001</v>
      </c>
      <c r="V3358">
        <v>8.5436310000000001E-2</v>
      </c>
      <c r="W3358">
        <v>2.570281E-2</v>
      </c>
      <c r="X3358">
        <v>0.99601200000000001</v>
      </c>
      <c r="Y3358">
        <v>0.13430539999999999</v>
      </c>
      <c r="Z3358">
        <v>-2.1185760000000001E-2</v>
      </c>
      <c r="AA3358">
        <v>0.99071350000000002</v>
      </c>
      <c r="AB3358">
        <v>40</v>
      </c>
      <c r="AC3358">
        <v>0.30110000000001902</v>
      </c>
      <c r="AD3358">
        <v>-0.17459419999999901</v>
      </c>
      <c r="AE3358">
        <v>-9.4800000000020604E-2</v>
      </c>
      <c r="AF3358">
        <v>7.7549674436318897E-2</v>
      </c>
      <c r="AG3358">
        <v>-0.17459419999999901</v>
      </c>
      <c r="AH3358">
        <v>0.228948169393697</v>
      </c>
      <c r="AI3358">
        <v>125.839938706943</v>
      </c>
      <c r="AJ3358">
        <v>71.287652868750996</v>
      </c>
      <c r="AK3358">
        <v>0.29818509511299202</v>
      </c>
      <c r="AL3358">
        <v>88.527175196110903</v>
      </c>
      <c r="AM3358">
        <v>85.097261207940605</v>
      </c>
      <c r="AN3358">
        <v>0.999999950826154</v>
      </c>
    </row>
    <row r="3359" spans="1:40" x14ac:dyDescent="0.25">
      <c r="A3359" t="str">
        <f>"20190312154901967"</f>
        <v>20190312154901967</v>
      </c>
      <c r="B3359" t="str">
        <f>"1552376941959193"</f>
        <v>1552376941959193</v>
      </c>
      <c r="C3359" t="s">
        <v>40</v>
      </c>
      <c r="D3359">
        <v>4.6835750000000003</v>
      </c>
      <c r="E3359">
        <v>0.52426649999999997</v>
      </c>
      <c r="F3359" t="s">
        <v>41</v>
      </c>
      <c r="G3359">
        <v>-381.3646</v>
      </c>
      <c r="H3359">
        <v>0.86739709999999903</v>
      </c>
      <c r="I3359">
        <v>214.4743</v>
      </c>
      <c r="J3359">
        <v>-381.97739999999999</v>
      </c>
      <c r="K3359">
        <v>1.1092390000000001</v>
      </c>
      <c r="L3359">
        <v>214.60050000000001</v>
      </c>
      <c r="M3359">
        <v>0.99974419999999997</v>
      </c>
      <c r="N3359">
        <v>0</v>
      </c>
      <c r="O3359">
        <v>2.2167860000000001E-2</v>
      </c>
      <c r="P3359">
        <v>0.99776319999999996</v>
      </c>
      <c r="Q3359">
        <v>2.16452E-2</v>
      </c>
      <c r="R3359">
        <v>-6.3242580000000007E-2</v>
      </c>
      <c r="S3359">
        <v>2.9996640000000001</v>
      </c>
      <c r="T3359">
        <v>-0.73298739999999996</v>
      </c>
      <c r="U3359">
        <v>-0.35467530000000003</v>
      </c>
      <c r="V3359">
        <v>8.530285E-2</v>
      </c>
      <c r="W3359">
        <v>2.6229539999999999E-2</v>
      </c>
      <c r="X3359">
        <v>0.99600979999999995</v>
      </c>
      <c r="Y3359">
        <v>0.13484640000000001</v>
      </c>
      <c r="Z3359">
        <v>-2.1504490000000001E-2</v>
      </c>
      <c r="AA3359">
        <v>0.99063310000000004</v>
      </c>
      <c r="AB3359">
        <v>40</v>
      </c>
      <c r="AC3359">
        <v>0.61279999999999202</v>
      </c>
      <c r="AD3359">
        <v>-0.241841899999999</v>
      </c>
      <c r="AE3359">
        <v>-0.126200000000011</v>
      </c>
      <c r="AF3359">
        <v>0.121586991062215</v>
      </c>
      <c r="AG3359">
        <v>-0.241841899999999</v>
      </c>
      <c r="AH3359">
        <v>0.53057703736025597</v>
      </c>
      <c r="AI3359">
        <v>113.95522455136501</v>
      </c>
      <c r="AJ3359">
        <v>77.092958635153906</v>
      </c>
      <c r="AK3359">
        <v>0.59563654485362105</v>
      </c>
      <c r="AL3359">
        <v>88.496985748153193</v>
      </c>
      <c r="AM3359">
        <v>85.104871770305806</v>
      </c>
      <c r="AN3359">
        <v>1.00000004334138</v>
      </c>
    </row>
    <row r="3360" spans="1:40" x14ac:dyDescent="0.25">
      <c r="A3360" t="str">
        <f>"20190312154901992"</f>
        <v>20190312154901992</v>
      </c>
      <c r="B3360" t="str">
        <f>"1552376941979695"</f>
        <v>1552376941979695</v>
      </c>
      <c r="C3360" t="s">
        <v>40</v>
      </c>
      <c r="D3360">
        <v>4.6972060000000004</v>
      </c>
      <c r="E3360">
        <v>0.52463119999999996</v>
      </c>
      <c r="F3360" t="s">
        <v>41</v>
      </c>
      <c r="G3360">
        <v>-381.00389999999999</v>
      </c>
      <c r="H3360">
        <v>0.87113249999999998</v>
      </c>
      <c r="I3360">
        <v>214.48509999999999</v>
      </c>
      <c r="J3360">
        <v>-381.53649999999999</v>
      </c>
      <c r="K3360">
        <v>1.109227</v>
      </c>
      <c r="L3360">
        <v>214.61080000000001</v>
      </c>
      <c r="M3360">
        <v>0.99972890000000003</v>
      </c>
      <c r="N3360">
        <v>0</v>
      </c>
      <c r="O3360">
        <v>2.2847610000000001E-2</v>
      </c>
      <c r="P3360">
        <v>0.99782720000000003</v>
      </c>
      <c r="Q3360">
        <v>2.1561589999999999E-2</v>
      </c>
      <c r="R3360">
        <v>-6.2257710000000001E-2</v>
      </c>
      <c r="S3360">
        <v>3.0000610000000001</v>
      </c>
      <c r="T3360">
        <v>-0.73380509999999999</v>
      </c>
      <c r="U3360">
        <v>-0.35528559999999998</v>
      </c>
      <c r="V3360">
        <v>8.4997680000000006E-2</v>
      </c>
      <c r="W3360">
        <v>2.6182819999999999E-2</v>
      </c>
      <c r="X3360">
        <v>0.99603710000000001</v>
      </c>
      <c r="Y3360">
        <v>0.1356511</v>
      </c>
      <c r="Z3360">
        <v>-2.1784850000000001E-2</v>
      </c>
      <c r="AA3360">
        <v>0.99051710000000004</v>
      </c>
      <c r="AB3360">
        <v>40</v>
      </c>
      <c r="AC3360">
        <v>0.53260000000000196</v>
      </c>
      <c r="AD3360">
        <v>-0.23809449999999899</v>
      </c>
      <c r="AE3360">
        <v>-0.12570000000002299</v>
      </c>
      <c r="AF3360">
        <v>0.11589650606669299</v>
      </c>
      <c r="AG3360">
        <v>-0.23809449999999899</v>
      </c>
      <c r="AH3360">
        <v>0.44529395836908398</v>
      </c>
      <c r="AI3360">
        <v>117.359377985744</v>
      </c>
      <c r="AJ3360">
        <v>75.411312814434396</v>
      </c>
      <c r="AK3360">
        <v>0.51808078560078297</v>
      </c>
      <c r="AL3360">
        <v>88.499663499174105</v>
      </c>
      <c r="AM3360">
        <v>85.122432442564204</v>
      </c>
      <c r="AN3360">
        <v>1.0000000251224701</v>
      </c>
    </row>
    <row r="3361" spans="1:40" x14ac:dyDescent="0.25">
      <c r="A3361" t="str">
        <f>"20190312154902011"</f>
        <v>20190312154902011</v>
      </c>
      <c r="B3361" t="str">
        <f>"1552376941999208"</f>
        <v>1552376941999208</v>
      </c>
      <c r="C3361" t="s">
        <v>40</v>
      </c>
      <c r="D3361">
        <v>4.6929550000000004</v>
      </c>
      <c r="E3361">
        <v>0.52494259999999904</v>
      </c>
      <c r="F3361" t="s">
        <v>41</v>
      </c>
      <c r="G3361">
        <v>-380.63709999999998</v>
      </c>
      <c r="H3361">
        <v>0.88809839999999995</v>
      </c>
      <c r="I3361">
        <v>214.5042</v>
      </c>
      <c r="J3361">
        <v>-381.17559999999997</v>
      </c>
      <c r="K3361">
        <v>1.10921</v>
      </c>
      <c r="L3361">
        <v>214.61940000000001</v>
      </c>
      <c r="M3361">
        <v>0.9997163</v>
      </c>
      <c r="N3361">
        <v>0</v>
      </c>
      <c r="O3361">
        <v>2.3387410000000001E-2</v>
      </c>
      <c r="P3361">
        <v>0.99788750000000004</v>
      </c>
      <c r="Q3361">
        <v>2.0641650000000001E-2</v>
      </c>
      <c r="R3361">
        <v>-6.1604600000000002E-2</v>
      </c>
      <c r="S3361">
        <v>3.0002749999999998</v>
      </c>
      <c r="T3361">
        <v>-0.73769609999999997</v>
      </c>
      <c r="U3361">
        <v>-0.35467530000000003</v>
      </c>
      <c r="V3361">
        <v>8.4885730000000006E-2</v>
      </c>
      <c r="W3361">
        <v>2.5300489999999998E-2</v>
      </c>
      <c r="X3361">
        <v>0.99606939999999999</v>
      </c>
      <c r="Y3361">
        <v>0.13590749999999999</v>
      </c>
      <c r="Z3361">
        <v>-2.2057159999999999E-2</v>
      </c>
      <c r="AA3361">
        <v>0.99047600000000002</v>
      </c>
      <c r="AB3361">
        <v>40</v>
      </c>
      <c r="AC3361">
        <v>0.53849999999999898</v>
      </c>
      <c r="AD3361">
        <v>-0.22111159999999999</v>
      </c>
      <c r="AE3361">
        <v>-0.115200000000015</v>
      </c>
      <c r="AF3361">
        <v>0.110024624496368</v>
      </c>
      <c r="AG3361">
        <v>-0.22111159999999999</v>
      </c>
      <c r="AH3361">
        <v>0.46128957890656003</v>
      </c>
      <c r="AI3361">
        <v>114.997500488757</v>
      </c>
      <c r="AJ3361">
        <v>76.584727560209998</v>
      </c>
      <c r="AK3361">
        <v>0.52324356972438602</v>
      </c>
      <c r="AL3361">
        <v>88.550233970767707</v>
      </c>
      <c r="AM3361">
        <v>85.128982929121094</v>
      </c>
      <c r="AN3361">
        <v>0.99999997578411604</v>
      </c>
    </row>
    <row r="3362" spans="1:40" x14ac:dyDescent="0.25">
      <c r="A3362" t="str">
        <f>"20190312154902035"</f>
        <v>20190312154902035</v>
      </c>
      <c r="B3362" t="str">
        <f>"1552376942029465"</f>
        <v>1552376942029465</v>
      </c>
      <c r="C3362" t="s">
        <v>40</v>
      </c>
      <c r="D3362">
        <v>4.7144789999999999</v>
      </c>
      <c r="E3362">
        <v>0.52513279999999996</v>
      </c>
      <c r="F3362" t="s">
        <v>41</v>
      </c>
      <c r="G3362">
        <v>-380.27640000000002</v>
      </c>
      <c r="H3362">
        <v>0.88658359999999903</v>
      </c>
      <c r="I3362">
        <v>214.5128</v>
      </c>
      <c r="J3362">
        <v>-380.74740000000003</v>
      </c>
      <c r="K3362">
        <v>1.109197</v>
      </c>
      <c r="L3362">
        <v>214.62989999999999</v>
      </c>
      <c r="M3362">
        <v>0.99970139999999996</v>
      </c>
      <c r="N3362">
        <v>0</v>
      </c>
      <c r="O3362">
        <v>2.4005120000000001E-2</v>
      </c>
      <c r="P3362">
        <v>0.99795659999999997</v>
      </c>
      <c r="Q3362">
        <v>1.9424239999999999E-2</v>
      </c>
      <c r="R3362">
        <v>-6.0878759999999997E-2</v>
      </c>
      <c r="S3362">
        <v>2.9997560000000001</v>
      </c>
      <c r="T3362">
        <v>-0.74268040000000002</v>
      </c>
      <c r="U3362">
        <v>-0.35551450000000001</v>
      </c>
      <c r="V3362">
        <v>8.477991E-2</v>
      </c>
      <c r="W3362">
        <v>2.4144510000000001E-2</v>
      </c>
      <c r="X3362">
        <v>0.99610710000000002</v>
      </c>
      <c r="Y3362">
        <v>0.1367061</v>
      </c>
      <c r="Z3362">
        <v>-2.2452550000000002E-2</v>
      </c>
      <c r="AA3362">
        <v>0.99035720000000005</v>
      </c>
      <c r="AB3362">
        <v>40</v>
      </c>
      <c r="AC3362">
        <v>0.47100000000000303</v>
      </c>
      <c r="AD3362">
        <v>-0.22261339999999999</v>
      </c>
      <c r="AE3362">
        <v>-0.117099999999993</v>
      </c>
      <c r="AF3362">
        <v>0.106059530646576</v>
      </c>
      <c r="AG3362">
        <v>-0.22261339999999999</v>
      </c>
      <c r="AH3362">
        <v>0.38669806347899599</v>
      </c>
      <c r="AI3362">
        <v>119.037937725749</v>
      </c>
      <c r="AJ3362">
        <v>74.662661515463498</v>
      </c>
      <c r="AK3362">
        <v>0.458629199025681</v>
      </c>
      <c r="AL3362">
        <v>88.616486996933503</v>
      </c>
      <c r="AM3362">
        <v>85.135209302611301</v>
      </c>
      <c r="AN3362">
        <v>0.99999997258657802</v>
      </c>
    </row>
    <row r="3363" spans="1:40" x14ac:dyDescent="0.25">
      <c r="A3363" t="str">
        <f>"20190312154902056"</f>
        <v>20190312154902056</v>
      </c>
      <c r="B3363" t="str">
        <f>"1552376942048984"</f>
        <v>1552376942048984</v>
      </c>
      <c r="C3363" t="s">
        <v>40</v>
      </c>
      <c r="D3363">
        <v>4.7179570000000002</v>
      </c>
      <c r="E3363">
        <v>0.52535799999999999</v>
      </c>
      <c r="F3363" t="s">
        <v>41</v>
      </c>
      <c r="G3363">
        <v>-379.90879999999999</v>
      </c>
      <c r="H3363">
        <v>0.90024190000000004</v>
      </c>
      <c r="I3363">
        <v>214.53039999999999</v>
      </c>
      <c r="J3363">
        <v>-380.36930000000001</v>
      </c>
      <c r="K3363">
        <v>1.109186</v>
      </c>
      <c r="L3363">
        <v>214.63939999999999</v>
      </c>
      <c r="M3363">
        <v>0.99968820000000003</v>
      </c>
      <c r="N3363">
        <v>0</v>
      </c>
      <c r="O3363">
        <v>2.452814E-2</v>
      </c>
      <c r="P3363">
        <v>0.9980272</v>
      </c>
      <c r="Q3363">
        <v>1.859326E-2</v>
      </c>
      <c r="R3363">
        <v>-5.9967260000000001E-2</v>
      </c>
      <c r="S3363">
        <v>2.998993</v>
      </c>
      <c r="T3363">
        <v>-0.74730059999999998</v>
      </c>
      <c r="U3363">
        <v>-0.355224599999999</v>
      </c>
      <c r="V3363">
        <v>8.4393650000000001E-2</v>
      </c>
      <c r="W3363">
        <v>2.3393710000000002E-2</v>
      </c>
      <c r="X3363">
        <v>0.99615779999999998</v>
      </c>
      <c r="Y3363">
        <v>0.13707079999999999</v>
      </c>
      <c r="Z3363">
        <v>-2.2766399999999999E-2</v>
      </c>
      <c r="AA3363">
        <v>0.99029959999999995</v>
      </c>
      <c r="AB3363">
        <v>40</v>
      </c>
      <c r="AC3363">
        <v>0.460500000000024</v>
      </c>
      <c r="AD3363">
        <v>-0.20894409999999999</v>
      </c>
      <c r="AE3363">
        <v>-0.10900000000000799</v>
      </c>
      <c r="AF3363">
        <v>0.100642208543995</v>
      </c>
      <c r="AG3363">
        <v>-0.20894409999999999</v>
      </c>
      <c r="AH3363">
        <v>0.38301799907329398</v>
      </c>
      <c r="AI3363">
        <v>117.81659081398099</v>
      </c>
      <c r="AJ3363">
        <v>75.277704558740297</v>
      </c>
      <c r="AK3363">
        <v>0.44776029153949398</v>
      </c>
      <c r="AL3363">
        <v>88.659516808059905</v>
      </c>
      <c r="AM3363">
        <v>85.157513099438901</v>
      </c>
      <c r="AN3363">
        <v>0.99999995816436205</v>
      </c>
    </row>
    <row r="3364" spans="1:40" x14ac:dyDescent="0.25">
      <c r="A3364" t="str">
        <f>"20190312154902081"</f>
        <v>20190312154902081</v>
      </c>
      <c r="B3364" t="str">
        <f>"1552376942069480"</f>
        <v>1552376942069480</v>
      </c>
      <c r="C3364" t="s">
        <v>40</v>
      </c>
      <c r="D3364">
        <v>4.7195489999999998</v>
      </c>
      <c r="E3364">
        <v>0.52555609999999997</v>
      </c>
      <c r="F3364" t="s">
        <v>41</v>
      </c>
      <c r="G3364">
        <v>-379.54450000000003</v>
      </c>
      <c r="H3364">
        <v>0.90264420000000001</v>
      </c>
      <c r="I3364">
        <v>214.54169999999999</v>
      </c>
      <c r="J3364">
        <v>-379.92989999999998</v>
      </c>
      <c r="K3364">
        <v>1.1091930000000001</v>
      </c>
      <c r="L3364">
        <v>214.6506</v>
      </c>
      <c r="M3364">
        <v>0.99967289999999998</v>
      </c>
      <c r="N3364">
        <v>0</v>
      </c>
      <c r="O3364">
        <v>2.5110690000000001E-2</v>
      </c>
      <c r="P3364">
        <v>0.99810940000000004</v>
      </c>
      <c r="Q3364">
        <v>1.803159E-2</v>
      </c>
      <c r="R3364">
        <v>-5.8758619999999998E-2</v>
      </c>
      <c r="S3364">
        <v>2.998596</v>
      </c>
      <c r="T3364">
        <v>-0.75101450000000003</v>
      </c>
      <c r="U3364">
        <v>-0.35478209999999999</v>
      </c>
      <c r="V3364">
        <v>8.3769460000000004E-2</v>
      </c>
      <c r="W3364">
        <v>2.2983259999999998E-2</v>
      </c>
      <c r="X3364">
        <v>0.99622010000000005</v>
      </c>
      <c r="Y3364">
        <v>0.13744049999999999</v>
      </c>
      <c r="Z3364">
        <v>-2.3068020000000002E-2</v>
      </c>
      <c r="AA3364">
        <v>0.99024129999999999</v>
      </c>
      <c r="AB3364">
        <v>41</v>
      </c>
      <c r="AC3364">
        <v>0.38539999999994701</v>
      </c>
      <c r="AD3364">
        <v>-0.2065488</v>
      </c>
      <c r="AE3364">
        <v>-0.10890000000000501</v>
      </c>
      <c r="AF3364">
        <v>9.3637109592267495E-2</v>
      </c>
      <c r="AG3364">
        <v>-0.2065488</v>
      </c>
      <c r="AH3364">
        <v>0.302170288047935</v>
      </c>
      <c r="AI3364">
        <v>123.14134470449901</v>
      </c>
      <c r="AJ3364">
        <v>72.782736242423795</v>
      </c>
      <c r="AK3364">
        <v>0.37780576762829599</v>
      </c>
      <c r="AL3364">
        <v>88.683040268745799</v>
      </c>
      <c r="AM3364">
        <v>85.193459720492996</v>
      </c>
      <c r="AN3364">
        <v>1.0000000201564601</v>
      </c>
    </row>
    <row r="3365" spans="1:40" x14ac:dyDescent="0.25">
      <c r="A3365" t="str">
        <f>"20190312154902102"</f>
        <v>20190312154902102</v>
      </c>
      <c r="B3365" t="str">
        <f>"1552376942089000"</f>
        <v>1552376942089000</v>
      </c>
      <c r="C3365" t="s">
        <v>40</v>
      </c>
      <c r="D3365">
        <v>4.7267679999999999</v>
      </c>
      <c r="E3365">
        <v>0.52567259999999905</v>
      </c>
      <c r="F3365" t="s">
        <v>41</v>
      </c>
      <c r="G3365">
        <v>-379.17419999999998</v>
      </c>
      <c r="H3365">
        <v>0.91914300000000004</v>
      </c>
      <c r="I3365">
        <v>214.56139999999999</v>
      </c>
      <c r="J3365">
        <v>-379.53089999999997</v>
      </c>
      <c r="K3365">
        <v>1.109218</v>
      </c>
      <c r="L3365">
        <v>214.6609</v>
      </c>
      <c r="M3365">
        <v>0.99965890000000002</v>
      </c>
      <c r="N3365">
        <v>0</v>
      </c>
      <c r="O3365">
        <v>2.561685E-2</v>
      </c>
      <c r="P3365">
        <v>0.99817460000000002</v>
      </c>
      <c r="Q3365">
        <v>1.799539E-2</v>
      </c>
      <c r="R3365">
        <v>-5.7651800000000003E-2</v>
      </c>
      <c r="S3365">
        <v>2.9985050000000002</v>
      </c>
      <c r="T3365">
        <v>-0.75414989999999904</v>
      </c>
      <c r="U3365">
        <v>-0.35321039999999998</v>
      </c>
      <c r="V3365">
        <v>8.3169660000000006E-2</v>
      </c>
      <c r="W3365">
        <v>2.3170130000000001E-2</v>
      </c>
      <c r="X3365">
        <v>0.99626599999999998</v>
      </c>
      <c r="Y3365">
        <v>0.1373781</v>
      </c>
      <c r="Z3365">
        <v>-2.328011E-2</v>
      </c>
      <c r="AA3365">
        <v>0.99024500000000004</v>
      </c>
      <c r="AB3365">
        <v>41</v>
      </c>
      <c r="AC3365">
        <v>0.35669999999998903</v>
      </c>
      <c r="AD3365">
        <v>-0.19007499999999999</v>
      </c>
      <c r="AE3365">
        <v>-9.9500000000006097E-2</v>
      </c>
      <c r="AF3365">
        <v>8.5958951024206198E-2</v>
      </c>
      <c r="AG3365">
        <v>-0.19007499999999999</v>
      </c>
      <c r="AH3365">
        <v>0.280211732885428</v>
      </c>
      <c r="AI3365">
        <v>122.96336877668701</v>
      </c>
      <c r="AJ3365">
        <v>72.945856996998501</v>
      </c>
      <c r="AK3365">
        <v>0.34933660291019702</v>
      </c>
      <c r="AL3365">
        <v>88.672330521217106</v>
      </c>
      <c r="AM3365">
        <v>85.2279344931259</v>
      </c>
      <c r="AN3365">
        <v>0.99999999501236603</v>
      </c>
    </row>
    <row r="3366" spans="1:40" x14ac:dyDescent="0.25">
      <c r="A3366" t="str">
        <f>"20190312154902124"</f>
        <v>20190312154902124</v>
      </c>
      <c r="B3366" t="str">
        <f>"1552376942109497"</f>
        <v>1552376942109497</v>
      </c>
      <c r="C3366" t="s">
        <v>40</v>
      </c>
      <c r="D3366">
        <v>4.7402899999999999</v>
      </c>
      <c r="E3366">
        <v>0.52586029999999995</v>
      </c>
      <c r="F3366" t="s">
        <v>41</v>
      </c>
      <c r="G3366">
        <v>-378.80619999999999</v>
      </c>
      <c r="H3366">
        <v>0.92671619999999999</v>
      </c>
      <c r="I3366">
        <v>214.5761</v>
      </c>
      <c r="J3366">
        <v>-379.14069999999998</v>
      </c>
      <c r="K3366">
        <v>1.1092679999999999</v>
      </c>
      <c r="L3366">
        <v>214.6713</v>
      </c>
      <c r="M3366">
        <v>0.99964509999999995</v>
      </c>
      <c r="N3366">
        <v>0</v>
      </c>
      <c r="O3366">
        <v>2.609334E-2</v>
      </c>
      <c r="P3366">
        <v>0.9982181</v>
      </c>
      <c r="Q3366">
        <v>1.7562620000000001E-2</v>
      </c>
      <c r="R3366">
        <v>-5.7030980000000002E-2</v>
      </c>
      <c r="S3366">
        <v>2.9988100000000002</v>
      </c>
      <c r="T3366">
        <v>-0.75519689999999995</v>
      </c>
      <c r="U3366">
        <v>-0.35078429999999999</v>
      </c>
      <c r="V3366">
        <v>8.3026069999999993E-2</v>
      </c>
      <c r="W3366">
        <v>2.3060489999999999E-2</v>
      </c>
      <c r="X3366">
        <v>0.99628059999999996</v>
      </c>
      <c r="Y3366">
        <v>0.13703070000000001</v>
      </c>
      <c r="Z3366">
        <v>-2.3385110000000001E-2</v>
      </c>
      <c r="AA3366">
        <v>0.99029080000000003</v>
      </c>
      <c r="AB3366">
        <v>41</v>
      </c>
      <c r="AC3366">
        <v>0.33449999999999103</v>
      </c>
      <c r="AD3366">
        <v>-0.18255179999999999</v>
      </c>
      <c r="AE3366">
        <v>-9.5200000000005502E-2</v>
      </c>
      <c r="AF3366">
        <v>8.1453727823780603E-2</v>
      </c>
      <c r="AG3366">
        <v>-0.18255179999999999</v>
      </c>
      <c r="AH3366">
        <v>0.26020897074660299</v>
      </c>
      <c r="AI3366">
        <v>123.803179126998</v>
      </c>
      <c r="AJ3366">
        <v>72.618211425832698</v>
      </c>
      <c r="AK3366">
        <v>0.32812890442116999</v>
      </c>
      <c r="AL3366">
        <v>88.678614214136601</v>
      </c>
      <c r="AM3366">
        <v>85.236204865546696</v>
      </c>
      <c r="AN3366">
        <v>1.0000000742175099</v>
      </c>
    </row>
    <row r="3367" spans="1:40" x14ac:dyDescent="0.25">
      <c r="A3367" t="str">
        <f>"20190312154902146"</f>
        <v>20190312154902146</v>
      </c>
      <c r="B3367" t="str">
        <f>"1552376942138776"</f>
        <v>1552376942138776</v>
      </c>
      <c r="C3367" t="s">
        <v>40</v>
      </c>
      <c r="D3367">
        <v>4.7718949999999998</v>
      </c>
      <c r="E3367">
        <v>0.5260804</v>
      </c>
      <c r="F3367" t="s">
        <v>41</v>
      </c>
      <c r="G3367">
        <v>-378.43889999999999</v>
      </c>
      <c r="H3367">
        <v>0.93181899999999995</v>
      </c>
      <c r="I3367">
        <v>214.5891</v>
      </c>
      <c r="J3367">
        <v>-378.72930000000002</v>
      </c>
      <c r="K3367">
        <v>1.109351</v>
      </c>
      <c r="L3367">
        <v>214.6824</v>
      </c>
      <c r="M3367">
        <v>0.99962949999999995</v>
      </c>
      <c r="N3367">
        <v>0</v>
      </c>
      <c r="O3367">
        <v>2.6580630000000001E-2</v>
      </c>
      <c r="P3367">
        <v>0.9982396</v>
      </c>
      <c r="Q3367">
        <v>1.6762900000000001E-2</v>
      </c>
      <c r="R3367">
        <v>-5.689429E-2</v>
      </c>
      <c r="S3367">
        <v>2.9987180000000002</v>
      </c>
      <c r="T3367">
        <v>-0.75821939999999999</v>
      </c>
      <c r="U3367">
        <v>-0.3499756</v>
      </c>
      <c r="V3367">
        <v>8.3376919999999993E-2</v>
      </c>
      <c r="W3367">
        <v>2.2734420000000002E-2</v>
      </c>
      <c r="X3367">
        <v>0.99625870000000005</v>
      </c>
      <c r="Y3367">
        <v>0.137192799999999</v>
      </c>
      <c r="Z3367">
        <v>-2.3618009999999998E-2</v>
      </c>
      <c r="AA3367">
        <v>0.99026270000000005</v>
      </c>
      <c r="AB3367">
        <v>41</v>
      </c>
      <c r="AC3367">
        <v>0.29040000000003302</v>
      </c>
      <c r="AD3367">
        <v>-0.177531999999999</v>
      </c>
      <c r="AE3367">
        <v>-9.3299999999999203E-2</v>
      </c>
      <c r="AF3367">
        <v>7.5432394768239402E-2</v>
      </c>
      <c r="AG3367">
        <v>-0.177531999999999</v>
      </c>
      <c r="AH3367">
        <v>0.21498737401964699</v>
      </c>
      <c r="AI3367">
        <v>127.925963888073</v>
      </c>
      <c r="AJ3367">
        <v>70.665611841303601</v>
      </c>
      <c r="AK3367">
        <v>0.28883771947641301</v>
      </c>
      <c r="AL3367">
        <v>88.697301425646799</v>
      </c>
      <c r="AM3367">
        <v>85.216062670007105</v>
      </c>
      <c r="AN3367">
        <v>0.99999998098355602</v>
      </c>
    </row>
    <row r="3368" spans="1:40" x14ac:dyDescent="0.25">
      <c r="A3368" t="str">
        <f>"20190312154902168"</f>
        <v>20190312154902168</v>
      </c>
      <c r="B3368" t="str">
        <f>"1552376942159275"</f>
        <v>1552376942159275</v>
      </c>
      <c r="C3368" t="s">
        <v>40</v>
      </c>
      <c r="D3368">
        <v>4.7637169999999998</v>
      </c>
      <c r="E3368">
        <v>0.52623640000000005</v>
      </c>
      <c r="F3368" t="s">
        <v>41</v>
      </c>
      <c r="G3368">
        <v>-377.7373</v>
      </c>
      <c r="H3368">
        <v>0.85711800000000005</v>
      </c>
      <c r="I3368">
        <v>214.566</v>
      </c>
      <c r="J3368">
        <v>-378.33749999999998</v>
      </c>
      <c r="K3368">
        <v>1.109448</v>
      </c>
      <c r="L3368">
        <v>214.69319999999999</v>
      </c>
      <c r="M3368">
        <v>0.99961359999999999</v>
      </c>
      <c r="N3368">
        <v>0</v>
      </c>
      <c r="O3368">
        <v>2.703672E-2</v>
      </c>
      <c r="P3368">
        <v>0.99821360000000003</v>
      </c>
      <c r="Q3368">
        <v>1.5950519999999999E-2</v>
      </c>
      <c r="R3368">
        <v>-5.7580819999999998E-2</v>
      </c>
      <c r="S3368">
        <v>2.9980470000000001</v>
      </c>
      <c r="T3368">
        <v>-0.76232169999999999</v>
      </c>
      <c r="U3368">
        <v>-0.35099789999999997</v>
      </c>
      <c r="V3368">
        <v>8.451757E-2</v>
      </c>
      <c r="W3368">
        <v>2.2495580000000001E-2</v>
      </c>
      <c r="X3368">
        <v>0.99616800000000005</v>
      </c>
      <c r="Y3368">
        <v>0.1379098</v>
      </c>
      <c r="Z3368">
        <v>-2.3949890000000001E-2</v>
      </c>
      <c r="AA3368">
        <v>0.99015520000000001</v>
      </c>
      <c r="AB3368">
        <v>41</v>
      </c>
      <c r="AC3368">
        <v>0.60019999999997198</v>
      </c>
      <c r="AD3368">
        <v>-0.252329999999999</v>
      </c>
      <c r="AE3368">
        <v>-0.12720000000001599</v>
      </c>
      <c r="AF3368">
        <v>0.122637471813778</v>
      </c>
      <c r="AG3368">
        <v>-0.252329999999999</v>
      </c>
      <c r="AH3368">
        <v>0.51023631445824102</v>
      </c>
      <c r="AI3368">
        <v>115.68017488081</v>
      </c>
      <c r="AJ3368">
        <v>76.485076123991405</v>
      </c>
      <c r="AK3368">
        <v>0.58228126793226298</v>
      </c>
      <c r="AL3368">
        <v>88.710989446153306</v>
      </c>
      <c r="AM3368">
        <v>85.150485906096904</v>
      </c>
      <c r="AN3368">
        <v>0.99999997749112002</v>
      </c>
    </row>
    <row r="3369" spans="1:40" x14ac:dyDescent="0.25">
      <c r="A3369" t="str">
        <f>"20190312154902201"</f>
        <v>20190312154902201</v>
      </c>
      <c r="B3369" t="str">
        <f>"1552376942189532"</f>
        <v>1552376942189532</v>
      </c>
      <c r="C3369" t="s">
        <v>40</v>
      </c>
      <c r="D3369">
        <v>4.7701310000000001</v>
      </c>
      <c r="E3369">
        <v>0.52625949999999999</v>
      </c>
      <c r="F3369" t="s">
        <v>41</v>
      </c>
      <c r="G3369">
        <v>-377.37009999999998</v>
      </c>
      <c r="H3369">
        <v>0.86226069999999999</v>
      </c>
      <c r="I3369">
        <v>214.5788</v>
      </c>
      <c r="J3369">
        <v>-377.73</v>
      </c>
      <c r="K3369">
        <v>1.1096200000000001</v>
      </c>
      <c r="L3369">
        <v>214.71029999999999</v>
      </c>
      <c r="M3369">
        <v>0.99958829999999999</v>
      </c>
      <c r="N3369">
        <v>0</v>
      </c>
      <c r="O3369">
        <v>2.7711670000000001E-2</v>
      </c>
      <c r="P3369">
        <v>0.99816859999999996</v>
      </c>
      <c r="Q3369">
        <v>1.53645E-2</v>
      </c>
      <c r="R3369">
        <v>-5.8511470000000003E-2</v>
      </c>
      <c r="S3369">
        <v>2.997223</v>
      </c>
      <c r="T3369">
        <v>-0.76589700000000005</v>
      </c>
      <c r="U3369">
        <v>-0.3541107</v>
      </c>
      <c r="V3369">
        <v>8.6119230000000005E-2</v>
      </c>
      <c r="W3369">
        <v>2.2913179999999998E-2</v>
      </c>
      <c r="X3369">
        <v>0.9960213</v>
      </c>
      <c r="Y3369">
        <v>0.13950170000000001</v>
      </c>
      <c r="Z3369">
        <v>-2.443261E-2</v>
      </c>
      <c r="AA3369">
        <v>0.98992040000000003</v>
      </c>
      <c r="AB3369">
        <v>41</v>
      </c>
      <c r="AC3369">
        <v>0.35990000000003802</v>
      </c>
      <c r="AD3369">
        <v>-0.2473593</v>
      </c>
      <c r="AE3369">
        <v>-0.13149999999998799</v>
      </c>
      <c r="AF3369">
        <v>9.9822615859570293E-2</v>
      </c>
      <c r="AG3369">
        <v>-0.2473593</v>
      </c>
      <c r="AH3369">
        <v>0.25136320665706102</v>
      </c>
      <c r="AI3369">
        <v>132.445758617031</v>
      </c>
      <c r="AJ3369">
        <v>68.340735292458803</v>
      </c>
      <c r="AK3369">
        <v>0.36651690219478</v>
      </c>
      <c r="AL3369">
        <v>88.6870565655543</v>
      </c>
      <c r="AM3369">
        <v>85.058311247042099</v>
      </c>
      <c r="AN3369">
        <v>0.99999998282359703</v>
      </c>
    </row>
    <row r="3370" spans="1:40" x14ac:dyDescent="0.25">
      <c r="A3370" t="str">
        <f>"20190312154902224"</f>
        <v>20190312154902224</v>
      </c>
      <c r="B3370" t="str">
        <f>"1552376942218808"</f>
        <v>1552376942218808</v>
      </c>
      <c r="C3370" t="s">
        <v>40</v>
      </c>
      <c r="D3370">
        <v>4.7558759999999998</v>
      </c>
      <c r="E3370">
        <v>0.5263504</v>
      </c>
      <c r="F3370" t="s">
        <v>41</v>
      </c>
      <c r="G3370">
        <v>-376.98390000000001</v>
      </c>
      <c r="H3370">
        <v>0.91843209999999997</v>
      </c>
      <c r="I3370">
        <v>214.62110000000001</v>
      </c>
      <c r="J3370">
        <v>-377.29579999999999</v>
      </c>
      <c r="K3370">
        <v>1.109723</v>
      </c>
      <c r="L3370">
        <v>214.72280000000001</v>
      </c>
      <c r="M3370">
        <v>0.99956860000000003</v>
      </c>
      <c r="N3370">
        <v>0</v>
      </c>
      <c r="O3370">
        <v>2.818557E-2</v>
      </c>
      <c r="P3370">
        <v>0.99817310000000004</v>
      </c>
      <c r="Q3370">
        <v>1.48977999999999E-2</v>
      </c>
      <c r="R3370">
        <v>-5.8555129999999997E-2</v>
      </c>
      <c r="S3370">
        <v>2.9963679999999999</v>
      </c>
      <c r="T3370">
        <v>-0.76792669999999996</v>
      </c>
      <c r="U3370">
        <v>-0.35713200000000001</v>
      </c>
      <c r="V3370">
        <v>8.6635729999999994E-2</v>
      </c>
      <c r="W3370">
        <v>2.3231149999999999E-2</v>
      </c>
      <c r="X3370">
        <v>0.9959692</v>
      </c>
      <c r="Y3370">
        <v>0.1408983</v>
      </c>
      <c r="Z3370">
        <v>-2.479547E-2</v>
      </c>
      <c r="AA3370">
        <v>0.98971350000000002</v>
      </c>
      <c r="AB3370">
        <v>41</v>
      </c>
      <c r="AC3370">
        <v>0.31189999999998003</v>
      </c>
      <c r="AD3370">
        <v>-0.19129090000000001</v>
      </c>
      <c r="AE3370">
        <v>-0.101699999999993</v>
      </c>
      <c r="AF3370">
        <v>8.2426167738191003E-2</v>
      </c>
      <c r="AG3370">
        <v>-0.19129090000000001</v>
      </c>
      <c r="AH3370">
        <v>0.23052967638499899</v>
      </c>
      <c r="AI3370">
        <v>128.00213360228099</v>
      </c>
      <c r="AJ3370">
        <v>70.325427776345407</v>
      </c>
      <c r="AK3370">
        <v>0.31069311747283201</v>
      </c>
      <c r="AL3370">
        <v>88.668833453561604</v>
      </c>
      <c r="AM3370">
        <v>85.028562807091603</v>
      </c>
      <c r="AN3370">
        <v>1.0000000416957899</v>
      </c>
    </row>
    <row r="3371" spans="1:40" x14ac:dyDescent="0.25">
      <c r="A3371" t="str">
        <f>"20190312154902247"</f>
        <v>20190312154902247</v>
      </c>
      <c r="B3371" t="str">
        <f>"1552376942239305"</f>
        <v>1552376942239305</v>
      </c>
      <c r="C3371" t="s">
        <v>40</v>
      </c>
      <c r="D3371">
        <v>4.7873979999999996</v>
      </c>
      <c r="E3371">
        <v>0.52640569999999998</v>
      </c>
      <c r="F3371" t="s">
        <v>41</v>
      </c>
      <c r="G3371">
        <v>-376.61279999999999</v>
      </c>
      <c r="H3371">
        <v>0.93405260000000001</v>
      </c>
      <c r="I3371">
        <v>214.64089999999999</v>
      </c>
      <c r="J3371">
        <v>-376.90609999999998</v>
      </c>
      <c r="K3371">
        <v>1.1098059999999901</v>
      </c>
      <c r="L3371">
        <v>214.73419999999999</v>
      </c>
      <c r="M3371">
        <v>0.9995503</v>
      </c>
      <c r="N3371">
        <v>0</v>
      </c>
      <c r="O3371">
        <v>2.8614580000000001E-2</v>
      </c>
      <c r="P3371">
        <v>0.99821439999999995</v>
      </c>
      <c r="Q3371">
        <v>1.378774E-2</v>
      </c>
      <c r="R3371">
        <v>-5.8120489999999997E-2</v>
      </c>
      <c r="S3371">
        <v>2.9959410000000002</v>
      </c>
      <c r="T3371">
        <v>-0.77055240000000003</v>
      </c>
      <c r="U3371">
        <v>-0.3581085</v>
      </c>
      <c r="V3371">
        <v>8.6631479999999997E-2</v>
      </c>
      <c r="W3371">
        <v>2.2839769999999999E-2</v>
      </c>
      <c r="X3371">
        <v>0.99597860000000005</v>
      </c>
      <c r="Y3371">
        <v>0.14158419999999999</v>
      </c>
      <c r="Z3371">
        <v>-2.5075389999999999E-2</v>
      </c>
      <c r="AA3371">
        <v>0.98960859999999995</v>
      </c>
      <c r="AB3371">
        <v>41</v>
      </c>
      <c r="AC3371">
        <v>0.29329999999998702</v>
      </c>
      <c r="AD3371">
        <v>-0.175753399999999</v>
      </c>
      <c r="AE3371">
        <v>-9.3299999999999203E-2</v>
      </c>
      <c r="AF3371">
        <v>7.6658249461236797E-2</v>
      </c>
      <c r="AG3371">
        <v>-0.175753399999999</v>
      </c>
      <c r="AH3371">
        <v>0.21907469507414001</v>
      </c>
      <c r="AI3371">
        <v>127.134199036669</v>
      </c>
      <c r="AJ3371">
        <v>70.714123032014399</v>
      </c>
      <c r="AK3371">
        <v>0.29113479153795502</v>
      </c>
      <c r="AL3371">
        <v>88.691263798539097</v>
      </c>
      <c r="AM3371">
        <v>85.028852146452195</v>
      </c>
      <c r="AN3371">
        <v>1.0000000200393</v>
      </c>
    </row>
    <row r="3372" spans="1:40" x14ac:dyDescent="0.25">
      <c r="A3372" t="str">
        <f>"20190312154902269"</f>
        <v>20190312154902269</v>
      </c>
      <c r="B3372" t="str">
        <f>"1552376942258825"</f>
        <v>1552376942258825</v>
      </c>
      <c r="C3372" t="s">
        <v>40</v>
      </c>
      <c r="D3372">
        <v>4.7940180000000003</v>
      </c>
      <c r="E3372">
        <v>0.52645159999999902</v>
      </c>
      <c r="F3372" t="s">
        <v>41</v>
      </c>
      <c r="G3372">
        <v>-375.91669999999999</v>
      </c>
      <c r="H3372">
        <v>0.85384749999999998</v>
      </c>
      <c r="I3372">
        <v>214.6163</v>
      </c>
      <c r="J3372">
        <v>-376.48509999999999</v>
      </c>
      <c r="K3372">
        <v>1.1098809999999999</v>
      </c>
      <c r="L3372">
        <v>214.7467</v>
      </c>
      <c r="M3372">
        <v>0.99952980000000002</v>
      </c>
      <c r="N3372">
        <v>0</v>
      </c>
      <c r="O3372">
        <v>2.9081630000000001E-2</v>
      </c>
      <c r="P3372">
        <v>0.99828170000000005</v>
      </c>
      <c r="Q3372">
        <v>1.252704E-2</v>
      </c>
      <c r="R3372">
        <v>-5.724696E-2</v>
      </c>
      <c r="S3372">
        <v>2.9953310000000002</v>
      </c>
      <c r="T3372">
        <v>-0.77483840000000004</v>
      </c>
      <c r="U3372">
        <v>-0.35716249999999999</v>
      </c>
      <c r="V3372">
        <v>8.6227499999999999E-2</v>
      </c>
      <c r="W3372">
        <v>2.231586E-2</v>
      </c>
      <c r="X3372">
        <v>0.99602550000000001</v>
      </c>
      <c r="Y3372">
        <v>0.14168129999999901</v>
      </c>
      <c r="Z3372">
        <v>-2.5346750000000001E-2</v>
      </c>
      <c r="AA3372">
        <v>0.98958780000000002</v>
      </c>
      <c r="AB3372">
        <v>41</v>
      </c>
      <c r="AC3372">
        <v>0.56839999999999602</v>
      </c>
      <c r="AD3372">
        <v>-0.25603349999999903</v>
      </c>
      <c r="AE3372">
        <v>-0.13040000000000801</v>
      </c>
      <c r="AF3372">
        <v>0.123139652131961</v>
      </c>
      <c r="AG3372">
        <v>-0.25603349999999903</v>
      </c>
      <c r="AH3372">
        <v>0.47316207920555597</v>
      </c>
      <c r="AI3372">
        <v>117.639626438718</v>
      </c>
      <c r="AJ3372">
        <v>75.412456004831498</v>
      </c>
      <c r="AK3372">
        <v>0.55190477461927701</v>
      </c>
      <c r="AL3372">
        <v>88.721289242996306</v>
      </c>
      <c r="AM3372">
        <v>85.052150086784195</v>
      </c>
      <c r="AN3372">
        <v>0.99999998800701895</v>
      </c>
    </row>
    <row r="3373" spans="1:40" x14ac:dyDescent="0.25">
      <c r="A3373" t="str">
        <f>"20190312154902292"</f>
        <v>20190312154902292</v>
      </c>
      <c r="B3373" t="str">
        <f>"1552376942279322"</f>
        <v>1552376942279322</v>
      </c>
      <c r="C3373" t="s">
        <v>40</v>
      </c>
      <c r="D3373">
        <v>4.8162669999999999</v>
      </c>
      <c r="E3373">
        <v>0.52649539999999995</v>
      </c>
      <c r="F3373" t="s">
        <v>41</v>
      </c>
      <c r="G3373">
        <v>-375.5489</v>
      </c>
      <c r="H3373">
        <v>0.86630260000000003</v>
      </c>
      <c r="I3373">
        <v>214.63550000000001</v>
      </c>
      <c r="J3373">
        <v>-376.07420000000002</v>
      </c>
      <c r="K3373">
        <v>1.1099330000000001</v>
      </c>
      <c r="L3373">
        <v>214.75909999999999</v>
      </c>
      <c r="M3373">
        <v>0.99950989999999995</v>
      </c>
      <c r="N3373">
        <v>0</v>
      </c>
      <c r="O3373">
        <v>2.9533509999999999E-2</v>
      </c>
      <c r="P3373">
        <v>0.99835640000000003</v>
      </c>
      <c r="Q3373">
        <v>1.190007E-2</v>
      </c>
      <c r="R3373">
        <v>-5.6061409999999999E-2</v>
      </c>
      <c r="S3373">
        <v>2.9945369999999998</v>
      </c>
      <c r="T3373">
        <v>-0.77905429999999998</v>
      </c>
      <c r="U3373">
        <v>-0.35528559999999998</v>
      </c>
      <c r="V3373">
        <v>8.549619E-2</v>
      </c>
      <c r="W3373">
        <v>2.2347800000000001E-2</v>
      </c>
      <c r="X3373">
        <v>0.99608779999999997</v>
      </c>
      <c r="Y3373">
        <v>0.14147670000000001</v>
      </c>
      <c r="Z3373">
        <v>-2.5576930000000001E-2</v>
      </c>
      <c r="AA3373">
        <v>0.98961109999999997</v>
      </c>
      <c r="AB3373">
        <v>41</v>
      </c>
      <c r="AC3373">
        <v>0.52530000000001498</v>
      </c>
      <c r="AD3373">
        <v>-0.2436304</v>
      </c>
      <c r="AE3373">
        <v>-0.123599999999981</v>
      </c>
      <c r="AF3373">
        <v>0.11551635785131199</v>
      </c>
      <c r="AG3373">
        <v>-0.2436304</v>
      </c>
      <c r="AH3373">
        <v>0.43313819839642498</v>
      </c>
      <c r="AI3373">
        <v>118.52324858773601</v>
      </c>
      <c r="AJ3373">
        <v>75.066997325592993</v>
      </c>
      <c r="AK3373">
        <v>0.51020437046882905</v>
      </c>
      <c r="AL3373">
        <v>88.719458728517793</v>
      </c>
      <c r="AM3373">
        <v>85.094213302442995</v>
      </c>
      <c r="AN3373">
        <v>0.99999996398909696</v>
      </c>
    </row>
    <row r="3374" spans="1:40" x14ac:dyDescent="0.25">
      <c r="A3374" t="str">
        <f>"20190312154902315"</f>
        <v>20190312154902315</v>
      </c>
      <c r="B3374" t="str">
        <f>"1552376942309577"</f>
        <v>1552376942309577</v>
      </c>
      <c r="C3374" t="s">
        <v>40</v>
      </c>
      <c r="D3374">
        <v>4.8262510000000001</v>
      </c>
      <c r="E3374">
        <v>0.52658380000000005</v>
      </c>
      <c r="F3374" t="s">
        <v>41</v>
      </c>
      <c r="G3374">
        <v>-375.18220000000002</v>
      </c>
      <c r="H3374">
        <v>0.87698279999999995</v>
      </c>
      <c r="I3374">
        <v>214.6542</v>
      </c>
      <c r="J3374">
        <v>-375.66390000000001</v>
      </c>
      <c r="K3374">
        <v>1.1099749999999999</v>
      </c>
      <c r="L3374">
        <v>214.77160000000001</v>
      </c>
      <c r="M3374">
        <v>0.99949049999999995</v>
      </c>
      <c r="N3374">
        <v>0</v>
      </c>
      <c r="O3374">
        <v>2.9973840000000002E-2</v>
      </c>
      <c r="P3374">
        <v>0.99843159999999997</v>
      </c>
      <c r="Q3374">
        <v>1.1462679999999999E-2</v>
      </c>
      <c r="R3374">
        <v>-5.4804150000000003E-2</v>
      </c>
      <c r="S3374">
        <v>2.994507</v>
      </c>
      <c r="T3374">
        <v>-0.78205469999999999</v>
      </c>
      <c r="U3374">
        <v>-0.3517151</v>
      </c>
      <c r="V3374">
        <v>8.4681240000000005E-2</v>
      </c>
      <c r="W3374">
        <v>2.2504639999999999E-2</v>
      </c>
      <c r="X3374">
        <v>0.99615390000000004</v>
      </c>
      <c r="Y3374">
        <v>0.1407168</v>
      </c>
      <c r="Z3374">
        <v>-2.5689759999999999E-2</v>
      </c>
      <c r="AA3374">
        <v>0.9897165</v>
      </c>
      <c r="AB3374">
        <v>41</v>
      </c>
      <c r="AC3374">
        <v>0.48169999999998903</v>
      </c>
      <c r="AD3374">
        <v>-0.23299219999999901</v>
      </c>
      <c r="AE3374">
        <v>-0.117400000000003</v>
      </c>
      <c r="AF3374">
        <v>0.107947767423987</v>
      </c>
      <c r="AG3374">
        <v>-0.23299219999999901</v>
      </c>
      <c r="AH3374">
        <v>0.391505846486424</v>
      </c>
      <c r="AI3374">
        <v>119.843308860364</v>
      </c>
      <c r="AJ3374">
        <v>74.585161793887494</v>
      </c>
      <c r="AK3374">
        <v>0.468203923078091</v>
      </c>
      <c r="AL3374">
        <v>88.7104702205623</v>
      </c>
      <c r="AM3374">
        <v>85.141071194907894</v>
      </c>
      <c r="AN3374">
        <v>0.99999998185733796</v>
      </c>
    </row>
    <row r="3375" spans="1:40" x14ac:dyDescent="0.25">
      <c r="A3375" t="str">
        <f>"20190312154902335"</f>
        <v>20190312154902335</v>
      </c>
      <c r="B3375" t="str">
        <f>"1552376942329097"</f>
        <v>1552376942329097</v>
      </c>
      <c r="C3375" t="s">
        <v>40</v>
      </c>
      <c r="D3375">
        <v>4.8379070000000004</v>
      </c>
      <c r="E3375">
        <v>0.52663950000000004</v>
      </c>
      <c r="F3375" t="s">
        <v>41</v>
      </c>
      <c r="G3375">
        <v>-374.8159</v>
      </c>
      <c r="H3375">
        <v>0.88773359999999901</v>
      </c>
      <c r="I3375">
        <v>214.67250000000001</v>
      </c>
      <c r="J3375">
        <v>-375.2747</v>
      </c>
      <c r="K3375">
        <v>1.1100000000000001</v>
      </c>
      <c r="L3375">
        <v>214.78370000000001</v>
      </c>
      <c r="M3375">
        <v>0.99947240000000004</v>
      </c>
      <c r="N3375">
        <v>0</v>
      </c>
      <c r="O3375">
        <v>3.037898E-2</v>
      </c>
      <c r="P3375">
        <v>0.99850139999999998</v>
      </c>
      <c r="Q3375">
        <v>1.134077E-2</v>
      </c>
      <c r="R3375">
        <v>-5.3540740000000003E-2</v>
      </c>
      <c r="S3375">
        <v>2.9945680000000001</v>
      </c>
      <c r="T3375">
        <v>-0.78495749999999997</v>
      </c>
      <c r="U3375">
        <v>-0.3483887</v>
      </c>
      <c r="V3375">
        <v>8.3824490000000001E-2</v>
      </c>
      <c r="W3375">
        <v>2.28884E-2</v>
      </c>
      <c r="X3375">
        <v>0.99621760000000004</v>
      </c>
      <c r="Y3375">
        <v>0.1399994</v>
      </c>
      <c r="Z3375">
        <v>-2.5795120000000001E-2</v>
      </c>
      <c r="AA3375">
        <v>0.98981549999999996</v>
      </c>
      <c r="AB3375">
        <v>41</v>
      </c>
      <c r="AC3375">
        <v>0.45879999999999599</v>
      </c>
      <c r="AD3375">
        <v>-0.2222664</v>
      </c>
      <c r="AE3375">
        <v>-0.111199999999996</v>
      </c>
      <c r="AF3375">
        <v>0.102390424691076</v>
      </c>
      <c r="AG3375">
        <v>-0.2222664</v>
      </c>
      <c r="AH3375">
        <v>0.372612312052225</v>
      </c>
      <c r="AI3375">
        <v>119.90697224208699</v>
      </c>
      <c r="AJ3375">
        <v>74.634894412908693</v>
      </c>
      <c r="AK3375">
        <v>0.44578704190485802</v>
      </c>
      <c r="AL3375">
        <v>88.688476704409396</v>
      </c>
      <c r="AM3375">
        <v>85.190304993023403</v>
      </c>
      <c r="AN3375">
        <v>0.999999965264039</v>
      </c>
    </row>
    <row r="3376" spans="1:40" x14ac:dyDescent="0.25">
      <c r="A3376" t="str">
        <f>"20190312154902359"</f>
        <v>20190312154902359</v>
      </c>
      <c r="B3376" t="str">
        <f>"1552376942349592"</f>
        <v>1552376942349592</v>
      </c>
      <c r="C3376" t="s">
        <v>40</v>
      </c>
      <c r="D3376">
        <v>4.8423069999999999</v>
      </c>
      <c r="E3376">
        <v>0.52665019999999996</v>
      </c>
      <c r="F3376" t="s">
        <v>41</v>
      </c>
      <c r="G3376">
        <v>-374.45190000000002</v>
      </c>
      <c r="H3376">
        <v>0.89394470000000004</v>
      </c>
      <c r="I3376">
        <v>214.68879999999999</v>
      </c>
      <c r="J3376">
        <v>-374.87079999999997</v>
      </c>
      <c r="K3376">
        <v>1.110012</v>
      </c>
      <c r="L3376">
        <v>214.79640000000001</v>
      </c>
      <c r="M3376">
        <v>0.99945439999999997</v>
      </c>
      <c r="N3376">
        <v>0</v>
      </c>
      <c r="O3376">
        <v>3.078469E-2</v>
      </c>
      <c r="P3376">
        <v>0.99851449999999997</v>
      </c>
      <c r="Q3376">
        <v>1.1398749999999999E-2</v>
      </c>
      <c r="R3376">
        <v>-5.3281929999999998E-2</v>
      </c>
      <c r="S3376">
        <v>2.9949949999999999</v>
      </c>
      <c r="T3376">
        <v>-0.78648200000000001</v>
      </c>
      <c r="U3376">
        <v>-0.34458919999999998</v>
      </c>
      <c r="V3376">
        <v>8.3971169999999998E-2</v>
      </c>
      <c r="W3376">
        <v>2.341325E-2</v>
      </c>
      <c r="X3376">
        <v>0.99619310000000005</v>
      </c>
      <c r="Y3376">
        <v>0.13913989999999901</v>
      </c>
      <c r="Z3376">
        <v>-2.5835710000000001E-2</v>
      </c>
      <c r="AA3376">
        <v>0.98993560000000003</v>
      </c>
      <c r="AB3376">
        <v>41</v>
      </c>
      <c r="AC3376">
        <v>0.41889999999995098</v>
      </c>
      <c r="AD3376">
        <v>-0.21606729999999999</v>
      </c>
      <c r="AE3376">
        <v>-0.107600000000019</v>
      </c>
      <c r="AF3376">
        <v>9.6388928119547801E-2</v>
      </c>
      <c r="AG3376">
        <v>-0.21606729999999999</v>
      </c>
      <c r="AH3376">
        <v>0.33242284566570801</v>
      </c>
      <c r="AI3376">
        <v>121.975049237158</v>
      </c>
      <c r="AJ3376">
        <v>73.830018676858799</v>
      </c>
      <c r="AK3376">
        <v>0.40802065133251803</v>
      </c>
      <c r="AL3376">
        <v>88.658397018119501</v>
      </c>
      <c r="AM3376">
        <v>85.181810414035397</v>
      </c>
      <c r="AN3376">
        <v>1.00000001507717</v>
      </c>
    </row>
    <row r="3377" spans="1:40" x14ac:dyDescent="0.25">
      <c r="A3377" t="str">
        <f>"20190312154902380"</f>
        <v>20190312154902380</v>
      </c>
      <c r="B3377" t="str">
        <f>"1552376942368875"</f>
        <v>1552376942368875</v>
      </c>
      <c r="C3377" t="s">
        <v>40</v>
      </c>
      <c r="D3377">
        <v>4.8613759999999999</v>
      </c>
      <c r="E3377">
        <v>0.52671330000000005</v>
      </c>
      <c r="F3377" t="s">
        <v>41</v>
      </c>
      <c r="G3377">
        <v>-374.08659999999998</v>
      </c>
      <c r="H3377">
        <v>0.90397490000000003</v>
      </c>
      <c r="I3377">
        <v>214.70599999999999</v>
      </c>
      <c r="J3377">
        <v>-374.47309999999999</v>
      </c>
      <c r="K3377">
        <v>1.1100129999999999</v>
      </c>
      <c r="L3377">
        <v>214.809</v>
      </c>
      <c r="M3377">
        <v>0.99943769999999998</v>
      </c>
      <c r="N3377">
        <v>0</v>
      </c>
      <c r="O3377">
        <v>3.1168459999999999E-2</v>
      </c>
      <c r="P3377">
        <v>0.99853049999999999</v>
      </c>
      <c r="Q3377">
        <v>1.119469E-2</v>
      </c>
      <c r="R3377">
        <v>-5.3026049999999998E-2</v>
      </c>
      <c r="S3377">
        <v>2.9950869999999998</v>
      </c>
      <c r="T3377">
        <v>-0.78696659999999996</v>
      </c>
      <c r="U3377">
        <v>-0.34356690000000001</v>
      </c>
      <c r="V3377">
        <v>8.4099320000000005E-2</v>
      </c>
      <c r="W3377">
        <v>2.3615850000000001E-2</v>
      </c>
      <c r="X3377">
        <v>0.99617750000000005</v>
      </c>
      <c r="Y3377">
        <v>0.13916249999999999</v>
      </c>
      <c r="Z3377">
        <v>-2.5952659999999999E-2</v>
      </c>
      <c r="AA3377">
        <v>0.98992939999999996</v>
      </c>
      <c r="AB3377">
        <v>40</v>
      </c>
      <c r="AC3377">
        <v>0.386500000000012</v>
      </c>
      <c r="AD3377">
        <v>-0.206038099999999</v>
      </c>
      <c r="AE3377">
        <v>-0.10300000000003701</v>
      </c>
      <c r="AF3377">
        <v>9.0882842007430298E-2</v>
      </c>
      <c r="AG3377">
        <v>-0.206038099999999</v>
      </c>
      <c r="AH3377">
        <v>0.30276630015511502</v>
      </c>
      <c r="AI3377">
        <v>123.095794993064</v>
      </c>
      <c r="AJ3377">
        <v>73.291562925194498</v>
      </c>
      <c r="AK3377">
        <v>0.37733118362066898</v>
      </c>
      <c r="AL3377">
        <v>88.646785672834298</v>
      </c>
      <c r="AM3377">
        <v>85.174416769132804</v>
      </c>
      <c r="AN3377">
        <v>1.0000000077509601</v>
      </c>
    </row>
    <row r="3378" spans="1:40" x14ac:dyDescent="0.25">
      <c r="A3378" t="str">
        <f>"20190312154902403"</f>
        <v>20190312154902403</v>
      </c>
      <c r="B3378" t="str">
        <f>"1552376942389371"</f>
        <v>1552376942389371</v>
      </c>
      <c r="C3378" t="s">
        <v>40</v>
      </c>
      <c r="D3378">
        <v>4.8887839999999896</v>
      </c>
      <c r="E3378">
        <v>0.5267752</v>
      </c>
      <c r="F3378" t="s">
        <v>41</v>
      </c>
      <c r="G3378">
        <v>-373.72250000000003</v>
      </c>
      <c r="H3378">
        <v>0.91227499999999995</v>
      </c>
      <c r="I3378">
        <v>214.72290000000001</v>
      </c>
      <c r="J3378">
        <v>-374.07330000000002</v>
      </c>
      <c r="K3378">
        <v>1.1100099999999999</v>
      </c>
      <c r="L3378">
        <v>214.8218</v>
      </c>
      <c r="M3378">
        <v>0.99942140000000002</v>
      </c>
      <c r="N3378">
        <v>0</v>
      </c>
      <c r="O3378">
        <v>3.1537320000000001E-2</v>
      </c>
      <c r="P3378">
        <v>0.99854609999999999</v>
      </c>
      <c r="Q3378">
        <v>1.081269E-2</v>
      </c>
      <c r="R3378">
        <v>-5.2809000000000002E-2</v>
      </c>
      <c r="S3378">
        <v>2.9950559999999999</v>
      </c>
      <c r="T3378">
        <v>-0.788991</v>
      </c>
      <c r="U3378">
        <v>-0.34284969999999998</v>
      </c>
      <c r="V3378">
        <v>8.4251899999999894E-2</v>
      </c>
      <c r="W3378">
        <v>2.3592019999999998E-2</v>
      </c>
      <c r="X3378">
        <v>0.99616519999999997</v>
      </c>
      <c r="Y3378">
        <v>0.13925029999999999</v>
      </c>
      <c r="Z3378">
        <v>-2.612451E-2</v>
      </c>
      <c r="AA3378">
        <v>0.98991260000000003</v>
      </c>
      <c r="AB3378">
        <v>40</v>
      </c>
      <c r="AC3378">
        <v>0.35079999999999201</v>
      </c>
      <c r="AD3378">
        <v>-0.19773499999999999</v>
      </c>
      <c r="AE3378">
        <v>-9.8899999999986193E-2</v>
      </c>
      <c r="AF3378">
        <v>8.4920477329199898E-2</v>
      </c>
      <c r="AG3378">
        <v>-0.19773499999999999</v>
      </c>
      <c r="AH3378">
        <v>0.268483778004665</v>
      </c>
      <c r="AI3378">
        <v>125.07651499689599</v>
      </c>
      <c r="AJ3378">
        <v>72.448019685325704</v>
      </c>
      <c r="AK3378">
        <v>0.34408451977163601</v>
      </c>
      <c r="AL3378">
        <v>88.648151449788401</v>
      </c>
      <c r="AM3378">
        <v>85.165643840669603</v>
      </c>
      <c r="AN3378">
        <v>1.00000003587616</v>
      </c>
    </row>
    <row r="3379" spans="1:40" x14ac:dyDescent="0.25">
      <c r="A3379" t="str">
        <f>"20190312154902426"</f>
        <v>20190312154902426</v>
      </c>
      <c r="B3379" t="str">
        <f>"1552376942419627"</f>
        <v>1552376942419627</v>
      </c>
      <c r="C3379" t="s">
        <v>40</v>
      </c>
      <c r="D3379">
        <v>4.8206910000000001</v>
      </c>
      <c r="E3379">
        <v>0.5104533</v>
      </c>
      <c r="F3379" t="s">
        <v>41</v>
      </c>
      <c r="G3379">
        <v>-373.35820000000001</v>
      </c>
      <c r="H3379">
        <v>0.92111900000000002</v>
      </c>
      <c r="I3379">
        <v>214.73929999999999</v>
      </c>
      <c r="J3379">
        <v>-373.66649999999998</v>
      </c>
      <c r="K3379">
        <v>1.110001</v>
      </c>
      <c r="L3379">
        <v>214.83500000000001</v>
      </c>
      <c r="M3379">
        <v>0.99940609999999996</v>
      </c>
      <c r="N3379">
        <v>0</v>
      </c>
      <c r="O3379">
        <v>3.1889299999999898E-2</v>
      </c>
      <c r="P3379">
        <v>0.99856020000000001</v>
      </c>
      <c r="Q3379">
        <v>1.062805E-2</v>
      </c>
      <c r="R3379">
        <v>-5.2580710000000003E-2</v>
      </c>
      <c r="S3379">
        <v>2.9947810000000001</v>
      </c>
      <c r="T3379">
        <v>-0.79120900000000005</v>
      </c>
      <c r="U3379">
        <v>-0.34313959999999999</v>
      </c>
      <c r="V3379">
        <v>8.4376469999999995E-2</v>
      </c>
      <c r="W3379">
        <v>2.3725019999999999E-2</v>
      </c>
      <c r="X3379">
        <v>0.99615140000000002</v>
      </c>
      <c r="Y3379">
        <v>0.13964550000000001</v>
      </c>
      <c r="Z3379">
        <v>-2.6340100000000002E-2</v>
      </c>
      <c r="AA3379">
        <v>0.98985120000000004</v>
      </c>
      <c r="AB3379">
        <v>40</v>
      </c>
      <c r="AC3379">
        <v>0.30829999999997398</v>
      </c>
      <c r="AD3379">
        <v>-0.18888199999999999</v>
      </c>
      <c r="AE3379">
        <v>-9.5700000000022101E-2</v>
      </c>
      <c r="AF3379">
        <v>7.8580746226992099E-2</v>
      </c>
      <c r="AG3379">
        <v>-0.18888199999999999</v>
      </c>
      <c r="AH3379">
        <v>0.227279694232948</v>
      </c>
      <c r="AI3379">
        <v>128.14733116961801</v>
      </c>
      <c r="AJ3379">
        <v>70.927445413878203</v>
      </c>
      <c r="AK3379">
        <v>0.305789802008198</v>
      </c>
      <c r="AL3379">
        <v>88.640528845421599</v>
      </c>
      <c r="AM3379">
        <v>85.158463239827995</v>
      </c>
      <c r="AN3379">
        <v>0.99999993849280799</v>
      </c>
    </row>
    <row r="3380" spans="1:40" x14ac:dyDescent="0.25">
      <c r="A3380" t="str">
        <f>"20190312154902447"</f>
        <v>20190312154902447</v>
      </c>
      <c r="B3380" t="str">
        <f>"1552376942439147"</f>
        <v>1552376942439147</v>
      </c>
      <c r="C3380" t="s">
        <v>40</v>
      </c>
      <c r="D3380">
        <v>4.9189720000000001</v>
      </c>
      <c r="E3380">
        <v>0.50540030000000002</v>
      </c>
      <c r="F3380" t="s">
        <v>41</v>
      </c>
      <c r="G3380">
        <v>-372.62759999999997</v>
      </c>
      <c r="H3380">
        <v>0.94313910000000001</v>
      </c>
      <c r="I3380">
        <v>214.75739999999999</v>
      </c>
      <c r="J3380">
        <v>-373.26690000000002</v>
      </c>
      <c r="K3380">
        <v>1.1099840000000001</v>
      </c>
      <c r="L3380">
        <v>214.84800000000001</v>
      </c>
      <c r="M3380">
        <v>0.99939239999999996</v>
      </c>
      <c r="N3380">
        <v>0</v>
      </c>
      <c r="O3380">
        <v>3.2204579999999997E-2</v>
      </c>
      <c r="P3380">
        <v>0.99857289999999999</v>
      </c>
      <c r="Q3380">
        <v>1.118121E-2</v>
      </c>
      <c r="R3380">
        <v>-5.2226309999999998E-2</v>
      </c>
      <c r="S3380">
        <v>2.997681</v>
      </c>
      <c r="T3380">
        <v>-0.481514</v>
      </c>
      <c r="U3380">
        <v>-0.22315979999999999</v>
      </c>
      <c r="V3380">
        <v>8.4337990000000002E-2</v>
      </c>
      <c r="W3380">
        <v>2.4544940000000001E-2</v>
      </c>
      <c r="X3380">
        <v>0.99613490000000005</v>
      </c>
      <c r="Y3380">
        <v>0.1045741</v>
      </c>
      <c r="Z3380">
        <v>-1.34684E-2</v>
      </c>
      <c r="AA3380">
        <v>0.99442589999999997</v>
      </c>
      <c r="AB3380">
        <v>40</v>
      </c>
      <c r="AC3380">
        <v>0.63930000000004805</v>
      </c>
      <c r="AD3380">
        <v>-0.16684489999999999</v>
      </c>
      <c r="AE3380">
        <v>-9.0599999999994907E-2</v>
      </c>
      <c r="AF3380">
        <v>0.104186682505403</v>
      </c>
      <c r="AG3380">
        <v>-0.16684489999999999</v>
      </c>
      <c r="AH3380">
        <v>0.59623950113525503</v>
      </c>
      <c r="AI3380">
        <v>105.41097217956801</v>
      </c>
      <c r="AJ3380">
        <v>80.088228761124597</v>
      </c>
      <c r="AK3380">
        <v>0.62784841178544804</v>
      </c>
      <c r="AL3380">
        <v>88.593537346998005</v>
      </c>
      <c r="AM3380">
        <v>85.160580962357201</v>
      </c>
      <c r="AN3380">
        <v>1.00000004481742</v>
      </c>
    </row>
    <row r="3381" spans="1:40" x14ac:dyDescent="0.25">
      <c r="A3381" t="str">
        <f>"20190312154902470"</f>
        <v>20190312154902470</v>
      </c>
      <c r="B3381" t="str">
        <f>"1552376942459643"</f>
        <v>1552376942459643</v>
      </c>
      <c r="C3381" t="s">
        <v>40</v>
      </c>
      <c r="D3381">
        <v>4.8535820000000003</v>
      </c>
      <c r="E3381">
        <v>0.50321570000000004</v>
      </c>
      <c r="F3381" t="s">
        <v>41</v>
      </c>
      <c r="G3381">
        <v>-372.24590000000001</v>
      </c>
      <c r="H3381">
        <v>0.99088880000000001</v>
      </c>
      <c r="I3381">
        <v>214.78460000000001</v>
      </c>
      <c r="J3381">
        <v>-372.87</v>
      </c>
      <c r="K3381">
        <v>1.1099699999999999</v>
      </c>
      <c r="L3381">
        <v>214.86109999999999</v>
      </c>
      <c r="M3381">
        <v>0.99937989999999999</v>
      </c>
      <c r="N3381">
        <v>0</v>
      </c>
      <c r="O3381">
        <v>3.2491619999999999E-2</v>
      </c>
      <c r="P3381">
        <v>0.99858610000000003</v>
      </c>
      <c r="Q3381">
        <v>1.1390310000000001E-2</v>
      </c>
      <c r="R3381">
        <v>-5.1926949999999999E-2</v>
      </c>
      <c r="S3381">
        <v>2.9984440000000001</v>
      </c>
      <c r="T3381">
        <v>-0.34981760000000001</v>
      </c>
      <c r="U3381">
        <v>-0.1859894</v>
      </c>
      <c r="V3381">
        <v>8.4326890000000002E-2</v>
      </c>
      <c r="W3381">
        <v>2.4984920000000001E-2</v>
      </c>
      <c r="X3381">
        <v>0.99612489999999998</v>
      </c>
      <c r="Y3381">
        <v>9.3457860000000004E-2</v>
      </c>
      <c r="Z3381">
        <v>-9.2031809999999995E-3</v>
      </c>
      <c r="AA3381">
        <v>0.99558069999999999</v>
      </c>
      <c r="AB3381">
        <v>40</v>
      </c>
      <c r="AC3381">
        <v>0.62409999999999799</v>
      </c>
      <c r="AD3381">
        <v>-0.119081199999999</v>
      </c>
      <c r="AE3381">
        <v>-7.6499999999981499E-2</v>
      </c>
      <c r="AF3381">
        <v>9.3389827047522703E-2</v>
      </c>
      <c r="AG3381">
        <v>-0.119081199999999</v>
      </c>
      <c r="AH3381">
        <v>0.59977224123661499</v>
      </c>
      <c r="AI3381">
        <v>101.099330244603</v>
      </c>
      <c r="AJ3381">
        <v>81.149611786088101</v>
      </c>
      <c r="AK3381">
        <v>0.61856990983024596</v>
      </c>
      <c r="AL3381">
        <v>88.568320615052698</v>
      </c>
      <c r="AM3381">
        <v>85.161166524365399</v>
      </c>
      <c r="AN3381">
        <v>1.00000004350224</v>
      </c>
    </row>
    <row r="3382" spans="1:40" x14ac:dyDescent="0.25">
      <c r="A3382" t="str">
        <f>"20190312154902494"</f>
        <v>20190312154902494</v>
      </c>
      <c r="B3382" t="str">
        <f>"1552376942488923"</f>
        <v>1552376942488923</v>
      </c>
      <c r="C3382" t="s">
        <v>40</v>
      </c>
      <c r="D3382">
        <v>4.9722289999999996</v>
      </c>
      <c r="E3382">
        <v>0.50258619999999998</v>
      </c>
      <c r="F3382" t="s">
        <v>41</v>
      </c>
      <c r="G3382">
        <v>-371.87830000000002</v>
      </c>
      <c r="H3382">
        <v>1.009309</v>
      </c>
      <c r="I3382">
        <v>214.80459999999999</v>
      </c>
      <c r="J3382">
        <v>-372.43830000000003</v>
      </c>
      <c r="K3382">
        <v>1.1099509999999999</v>
      </c>
      <c r="L3382">
        <v>214.87540000000001</v>
      </c>
      <c r="M3382">
        <v>0.99936769999999997</v>
      </c>
      <c r="N3382">
        <v>0</v>
      </c>
      <c r="O3382">
        <v>3.2771519999999998E-2</v>
      </c>
      <c r="P3382">
        <v>0.99857010000000002</v>
      </c>
      <c r="Q3382">
        <v>1.154759E-2</v>
      </c>
      <c r="R3382">
        <v>-5.219244E-2</v>
      </c>
      <c r="S3382">
        <v>2.998901</v>
      </c>
      <c r="T3382">
        <v>-0.30455989999999999</v>
      </c>
      <c r="U3382">
        <v>-0.16952509999999901</v>
      </c>
      <c r="V3382">
        <v>8.4872630000000004E-2</v>
      </c>
      <c r="W3382">
        <v>2.5357689999999999E-2</v>
      </c>
      <c r="X3382">
        <v>0.99606910000000004</v>
      </c>
      <c r="Y3382">
        <v>8.8508959999999998E-2</v>
      </c>
      <c r="Z3382">
        <v>-7.7969349999999996E-3</v>
      </c>
      <c r="AA3382">
        <v>0.99604490000000001</v>
      </c>
      <c r="AB3382">
        <v>40</v>
      </c>
      <c r="AC3382">
        <v>0.56000000000000205</v>
      </c>
      <c r="AD3382">
        <v>-0.100642</v>
      </c>
      <c r="AE3382">
        <v>-7.0800000000019694E-2</v>
      </c>
      <c r="AF3382">
        <v>8.6370026233919706E-2</v>
      </c>
      <c r="AG3382">
        <v>-0.100642</v>
      </c>
      <c r="AH3382">
        <v>0.54020537908078203</v>
      </c>
      <c r="AI3382">
        <v>100.423963237685</v>
      </c>
      <c r="AJ3382">
        <v>80.916221251118699</v>
      </c>
      <c r="AK3382">
        <v>0.55624674847001099</v>
      </c>
      <c r="AL3382">
        <v>88.546955655643004</v>
      </c>
      <c r="AM3382">
        <v>85.129729573573201</v>
      </c>
      <c r="AN3382">
        <v>1.00000001387003</v>
      </c>
    </row>
    <row r="3383" spans="1:40" x14ac:dyDescent="0.25">
      <c r="A3383" t="str">
        <f>"20190312154902516"</f>
        <v>20190312154902516</v>
      </c>
      <c r="B3383" t="str">
        <f>"1552376942509419"</f>
        <v>1552376942509419</v>
      </c>
      <c r="C3383" t="s">
        <v>40</v>
      </c>
      <c r="D3383">
        <v>4.9639850000000001</v>
      </c>
      <c r="E3383">
        <v>0.50245949999999995</v>
      </c>
      <c r="F3383" t="s">
        <v>41</v>
      </c>
      <c r="G3383">
        <v>-371.51080000000002</v>
      </c>
      <c r="H3383">
        <v>1.027944</v>
      </c>
      <c r="I3383">
        <v>214.82380000000001</v>
      </c>
      <c r="J3383">
        <v>-372.04349999999999</v>
      </c>
      <c r="K3383">
        <v>1.109936</v>
      </c>
      <c r="L3383">
        <v>214.88849999999999</v>
      </c>
      <c r="M3383">
        <v>0.99935779999999996</v>
      </c>
      <c r="N3383">
        <v>0</v>
      </c>
      <c r="O3383">
        <v>3.2995160000000003E-2</v>
      </c>
      <c r="P3383">
        <v>0.99855439999999995</v>
      </c>
      <c r="Q3383">
        <v>1.091227E-2</v>
      </c>
      <c r="R3383">
        <v>-5.263437E-2</v>
      </c>
      <c r="S3383">
        <v>2.9986269999999999</v>
      </c>
      <c r="T3383">
        <v>-0.26518429999999998</v>
      </c>
      <c r="U3383">
        <v>-0.16635129999999901</v>
      </c>
      <c r="V3383">
        <v>8.5538619999999996E-2</v>
      </c>
      <c r="W3383">
        <v>2.489102E-2</v>
      </c>
      <c r="X3383">
        <v>0.99602389999999996</v>
      </c>
      <c r="Y3383">
        <v>8.7837890000000002E-2</v>
      </c>
      <c r="Z3383">
        <v>-6.7840369999999997E-3</v>
      </c>
      <c r="AA3383">
        <v>0.99611170000000004</v>
      </c>
      <c r="AB3383">
        <v>40</v>
      </c>
      <c r="AC3383">
        <v>0.53269999999997697</v>
      </c>
      <c r="AD3383">
        <v>-8.1991999999999995E-2</v>
      </c>
      <c r="AE3383">
        <v>-6.4699999999987698E-2</v>
      </c>
      <c r="AF3383">
        <v>8.0366738406788499E-2</v>
      </c>
      <c r="AG3383">
        <v>-8.1991999999999995E-2</v>
      </c>
      <c r="AH3383">
        <v>0.51817738262836799</v>
      </c>
      <c r="AI3383">
        <v>98.886928908119302</v>
      </c>
      <c r="AJ3383">
        <v>81.183949831464503</v>
      </c>
      <c r="AK3383">
        <v>0.53074410083742896</v>
      </c>
      <c r="AL3383">
        <v>88.573702319978395</v>
      </c>
      <c r="AM3383">
        <v>85.091477203737497</v>
      </c>
      <c r="AN3383">
        <v>1.0000000138796701</v>
      </c>
    </row>
    <row r="3384" spans="1:40" x14ac:dyDescent="0.25">
      <c r="A3384" t="str">
        <f>"20190312154902536"</f>
        <v>20190312154902536</v>
      </c>
      <c r="B3384" t="str">
        <f>"1552376942528939"</f>
        <v>1552376942528939</v>
      </c>
      <c r="C3384" t="s">
        <v>40</v>
      </c>
      <c r="D3384">
        <v>4.9077029999999997</v>
      </c>
      <c r="E3384">
        <v>0.50290809999999997</v>
      </c>
      <c r="F3384" t="s">
        <v>41</v>
      </c>
      <c r="G3384">
        <v>-371.14960000000002</v>
      </c>
      <c r="H3384">
        <v>1.034632</v>
      </c>
      <c r="I3384">
        <v>214.83840000000001</v>
      </c>
      <c r="J3384">
        <v>-371.67360000000002</v>
      </c>
      <c r="K3384">
        <v>1.109917</v>
      </c>
      <c r="L3384">
        <v>214.90090000000001</v>
      </c>
      <c r="M3384">
        <v>0.99934999999999996</v>
      </c>
      <c r="N3384">
        <v>0</v>
      </c>
      <c r="O3384">
        <v>3.31744E-2</v>
      </c>
      <c r="P3384">
        <v>0.9985349</v>
      </c>
      <c r="Q3384">
        <v>1.060203E-2</v>
      </c>
      <c r="R3384">
        <v>-5.306669E-2</v>
      </c>
      <c r="S3384">
        <v>2.998291</v>
      </c>
      <c r="T3384">
        <v>-0.25270930000000003</v>
      </c>
      <c r="U3384">
        <v>-0.16712949999999999</v>
      </c>
      <c r="V3384">
        <v>8.6150699999999997E-2</v>
      </c>
      <c r="W3384">
        <v>2.4717019999999999E-2</v>
      </c>
      <c r="X3384">
        <v>0.99597550000000001</v>
      </c>
      <c r="Y3384">
        <v>8.8321220000000006E-2</v>
      </c>
      <c r="Z3384">
        <v>-6.5021209999999996E-3</v>
      </c>
      <c r="AA3384">
        <v>0.99607080000000003</v>
      </c>
      <c r="AB3384">
        <v>40</v>
      </c>
      <c r="AC3384">
        <v>0.52400000000000002</v>
      </c>
      <c r="AD3384">
        <v>-7.5285000000000005E-2</v>
      </c>
      <c r="AE3384">
        <v>-6.25E-2</v>
      </c>
      <c r="AF3384">
        <v>7.8257956577765395E-2</v>
      </c>
      <c r="AG3384">
        <v>-7.5285000000000005E-2</v>
      </c>
      <c r="AH3384">
        <v>0.51123300638443103</v>
      </c>
      <c r="AI3384">
        <v>98.282146526938604</v>
      </c>
      <c r="AJ3384">
        <v>81.296899421612096</v>
      </c>
      <c r="AK3384">
        <v>0.52263881008741697</v>
      </c>
      <c r="AL3384">
        <v>88.583674884185399</v>
      </c>
      <c r="AM3384">
        <v>85.056288184344893</v>
      </c>
      <c r="AN3384">
        <v>1.0000000353942</v>
      </c>
    </row>
    <row r="3385" spans="1:40" x14ac:dyDescent="0.25">
      <c r="A3385" t="str">
        <f>"20190312154902559"</f>
        <v>20190312154902559</v>
      </c>
      <c r="B3385" t="str">
        <f>"1552376942549439"</f>
        <v>1552376942549439</v>
      </c>
      <c r="C3385" t="s">
        <v>40</v>
      </c>
      <c r="D3385">
        <v>4.9275270000000004</v>
      </c>
      <c r="E3385">
        <v>0.50313129999999995</v>
      </c>
      <c r="F3385" t="s">
        <v>41</v>
      </c>
      <c r="G3385">
        <v>-370.79090000000002</v>
      </c>
      <c r="H3385">
        <v>1.0367729999999999</v>
      </c>
      <c r="I3385">
        <v>214.8503</v>
      </c>
      <c r="J3385">
        <v>-371.26659999999998</v>
      </c>
      <c r="K3385">
        <v>1.109893</v>
      </c>
      <c r="L3385">
        <v>214.91460000000001</v>
      </c>
      <c r="M3385">
        <v>0.99934259999999997</v>
      </c>
      <c r="N3385">
        <v>0</v>
      </c>
      <c r="O3385">
        <v>3.3338930000000003E-2</v>
      </c>
      <c r="P3385">
        <v>0.99850329999999998</v>
      </c>
      <c r="Q3385">
        <v>1.040048E-2</v>
      </c>
      <c r="R3385">
        <v>-5.3695859999999998E-2</v>
      </c>
      <c r="S3385">
        <v>2.9978639999999999</v>
      </c>
      <c r="T3385">
        <v>-0.2483351</v>
      </c>
      <c r="U3385">
        <v>-0.1721039</v>
      </c>
      <c r="V3385">
        <v>8.6944859999999999E-2</v>
      </c>
      <c r="W3385">
        <v>2.464409E-2</v>
      </c>
      <c r="X3385">
        <v>0.99590829999999997</v>
      </c>
      <c r="Y3385">
        <v>9.0148350000000002E-2</v>
      </c>
      <c r="Z3385">
        <v>-6.479678E-3</v>
      </c>
      <c r="AA3385">
        <v>0.99590719999999999</v>
      </c>
      <c r="AB3385">
        <v>40</v>
      </c>
      <c r="AC3385">
        <v>0.47569999999995999</v>
      </c>
      <c r="AD3385">
        <v>-7.3120000000000004E-2</v>
      </c>
      <c r="AE3385">
        <v>-6.4300000000002897E-2</v>
      </c>
      <c r="AF3385">
        <v>7.8308206888040299E-2</v>
      </c>
      <c r="AG3385">
        <v>-7.3120000000000004E-2</v>
      </c>
      <c r="AH3385">
        <v>0.46255887496876702</v>
      </c>
      <c r="AI3385">
        <v>98.858815051238906</v>
      </c>
      <c r="AJ3385">
        <v>80.391302224622294</v>
      </c>
      <c r="AK3385">
        <v>0.47480461505591098</v>
      </c>
      <c r="AL3385">
        <v>88.587854746288897</v>
      </c>
      <c r="AM3385">
        <v>85.010609761447</v>
      </c>
      <c r="AN3385">
        <v>1.00000004093061</v>
      </c>
    </row>
    <row r="3386" spans="1:40" x14ac:dyDescent="0.25">
      <c r="A3386" t="str">
        <f>"20190312154902581"</f>
        <v>20190312154902581</v>
      </c>
      <c r="B3386" t="str">
        <f>"1552376942569467"</f>
        <v>1552376942569467</v>
      </c>
      <c r="C3386" t="s">
        <v>40</v>
      </c>
      <c r="D3386">
        <v>4.9118069999999996</v>
      </c>
      <c r="E3386">
        <v>0.50312730000000006</v>
      </c>
      <c r="F3386" t="s">
        <v>41</v>
      </c>
      <c r="G3386">
        <v>-370.43130000000002</v>
      </c>
      <c r="H3386">
        <v>1.0415840000000001</v>
      </c>
      <c r="I3386">
        <v>214.86529999999999</v>
      </c>
      <c r="J3386">
        <v>-370.87670000000003</v>
      </c>
      <c r="K3386">
        <v>1.109872</v>
      </c>
      <c r="L3386">
        <v>214.92769999999999</v>
      </c>
      <c r="M3386">
        <v>0.99933669999999997</v>
      </c>
      <c r="N3386">
        <v>0</v>
      </c>
      <c r="O3386">
        <v>3.3466540000000003E-2</v>
      </c>
      <c r="P3386">
        <v>0.99848570000000003</v>
      </c>
      <c r="Q3386">
        <v>1.0469279999999999E-2</v>
      </c>
      <c r="R3386">
        <v>-5.4008590000000002E-2</v>
      </c>
      <c r="S3386">
        <v>2.99762</v>
      </c>
      <c r="T3386">
        <v>-0.2451895</v>
      </c>
      <c r="U3386">
        <v>-0.17591860000000001</v>
      </c>
      <c r="V3386">
        <v>8.7385899999999905E-2</v>
      </c>
      <c r="W3386">
        <v>2.481761E-2</v>
      </c>
      <c r="X3386">
        <v>0.99586529999999995</v>
      </c>
      <c r="Y3386">
        <v>9.1548699999999997E-2</v>
      </c>
      <c r="Z3386">
        <v>-6.4657169999999898E-3</v>
      </c>
      <c r="AA3386">
        <v>0.99577959999999999</v>
      </c>
      <c r="AB3386">
        <v>40</v>
      </c>
      <c r="AC3386">
        <v>0.44540000000000601</v>
      </c>
      <c r="AD3386">
        <v>-6.8287999999999904E-2</v>
      </c>
      <c r="AE3386">
        <v>-6.2399999999996597E-2</v>
      </c>
      <c r="AF3386">
        <v>7.5531272504921698E-2</v>
      </c>
      <c r="AG3386">
        <v>-6.8287999999999904E-2</v>
      </c>
      <c r="AH3386">
        <v>0.433077740407874</v>
      </c>
      <c r="AI3386">
        <v>98.829528243473604</v>
      </c>
      <c r="AJ3386">
        <v>80.106790974037494</v>
      </c>
      <c r="AK3386">
        <v>0.44488712423153198</v>
      </c>
      <c r="AL3386">
        <v>88.5779096155389</v>
      </c>
      <c r="AM3386">
        <v>84.985213685537104</v>
      </c>
      <c r="AN3386">
        <v>0.99999995251450402</v>
      </c>
    </row>
    <row r="3387" spans="1:40" x14ac:dyDescent="0.25">
      <c r="A3387" t="str">
        <f>"20190312154902604"</f>
        <v>20190312154902604</v>
      </c>
      <c r="B3387" t="str">
        <f>"1552376942598744"</f>
        <v>1552376942598744</v>
      </c>
      <c r="C3387" t="s">
        <v>40</v>
      </c>
      <c r="D3387">
        <v>4.9063249999999998</v>
      </c>
      <c r="E3387">
        <v>0.50342319999999996</v>
      </c>
      <c r="F3387" t="s">
        <v>41</v>
      </c>
      <c r="G3387">
        <v>-370.07310000000001</v>
      </c>
      <c r="H3387">
        <v>1.0442899999999999</v>
      </c>
      <c r="I3387">
        <v>214.88030000000001</v>
      </c>
      <c r="J3387">
        <v>-370.4597</v>
      </c>
      <c r="K3387">
        <v>1.109847</v>
      </c>
      <c r="L3387">
        <v>214.9418</v>
      </c>
      <c r="M3387">
        <v>0.99933150000000004</v>
      </c>
      <c r="N3387">
        <v>0</v>
      </c>
      <c r="O3387">
        <v>3.3573560000000002E-2</v>
      </c>
      <c r="P3387">
        <v>0.99845839999999997</v>
      </c>
      <c r="Q3387">
        <v>1.0490940000000001E-2</v>
      </c>
      <c r="R3387">
        <v>-5.4505619999999998E-2</v>
      </c>
      <c r="S3387">
        <v>2.9975589999999999</v>
      </c>
      <c r="T3387">
        <v>-0.24467839999999999</v>
      </c>
      <c r="U3387">
        <v>-0.17677309999999999</v>
      </c>
      <c r="V3387">
        <v>8.7990490000000005E-2</v>
      </c>
      <c r="W3387">
        <v>2.4934870000000001E-2</v>
      </c>
      <c r="X3387">
        <v>0.99580919999999895</v>
      </c>
      <c r="Y3387">
        <v>9.1939530000000005E-2</v>
      </c>
      <c r="Z3387">
        <v>-6.4769919999999896E-3</v>
      </c>
      <c r="AA3387">
        <v>0.9957435</v>
      </c>
      <c r="AB3387">
        <v>40</v>
      </c>
      <c r="AC3387">
        <v>0.38659999999998701</v>
      </c>
      <c r="AD3387">
        <v>-6.5557000000000004E-2</v>
      </c>
      <c r="AE3387">
        <v>-6.1499999999995197E-2</v>
      </c>
      <c r="AF3387">
        <v>7.2415306679591299E-2</v>
      </c>
      <c r="AG3387">
        <v>-6.5557000000000004E-2</v>
      </c>
      <c r="AH3387">
        <v>0.37383274775358</v>
      </c>
      <c r="AI3387">
        <v>99.768515548703206</v>
      </c>
      <c r="AJ3387">
        <v>79.036987851273494</v>
      </c>
      <c r="AK3387">
        <v>0.386384031998594</v>
      </c>
      <c r="AL3387">
        <v>88.571189126560597</v>
      </c>
      <c r="AM3387">
        <v>84.950414035942501</v>
      </c>
      <c r="AN3387">
        <v>1.0000000184384901</v>
      </c>
    </row>
    <row r="3388" spans="1:40" x14ac:dyDescent="0.25">
      <c r="A3388" t="str">
        <f>"20190312154902625"</f>
        <v>20190312154902625</v>
      </c>
      <c r="B3388" t="str">
        <f>"1552376942619240"</f>
        <v>1552376942619240</v>
      </c>
      <c r="C3388" t="s">
        <v>40</v>
      </c>
      <c r="D3388">
        <v>4.9302229999999998</v>
      </c>
      <c r="E3388">
        <v>0.50359169999999998</v>
      </c>
      <c r="F3388" t="s">
        <v>41</v>
      </c>
      <c r="G3388">
        <v>-369.71199999999999</v>
      </c>
      <c r="H3388">
        <v>1.0497110000000001</v>
      </c>
      <c r="I3388">
        <v>214.8964</v>
      </c>
      <c r="J3388">
        <v>-370.09309999999999</v>
      </c>
      <c r="K3388">
        <v>1.1098330000000001</v>
      </c>
      <c r="L3388">
        <v>214.95419999999999</v>
      </c>
      <c r="M3388">
        <v>0.99932810000000005</v>
      </c>
      <c r="N3388">
        <v>0</v>
      </c>
      <c r="O3388">
        <v>3.3641459999999998E-2</v>
      </c>
      <c r="P3388">
        <v>0.9984615</v>
      </c>
      <c r="Q3388">
        <v>1.1019040000000001E-2</v>
      </c>
      <c r="R3388">
        <v>-5.4347140000000002E-2</v>
      </c>
      <c r="S3388">
        <v>2.9972530000000002</v>
      </c>
      <c r="T3388">
        <v>-0.24129220000000001</v>
      </c>
      <c r="U3388">
        <v>-0.18084720000000001</v>
      </c>
      <c r="V3388">
        <v>8.7901469999999995E-2</v>
      </c>
      <c r="W3388">
        <v>2.5533589999999998E-2</v>
      </c>
      <c r="X3388">
        <v>0.99580190000000002</v>
      </c>
      <c r="Y3388">
        <v>9.3368309999999996E-2</v>
      </c>
      <c r="Z3388">
        <v>-6.4508760000000004E-3</v>
      </c>
      <c r="AA3388">
        <v>0.99561069999999996</v>
      </c>
      <c r="AB3388">
        <v>40</v>
      </c>
      <c r="AC3388">
        <v>0.38110000000000299</v>
      </c>
      <c r="AD3388">
        <v>-6.0122000000000002E-2</v>
      </c>
      <c r="AE3388">
        <v>-5.7799999999986001E-2</v>
      </c>
      <c r="AF3388">
        <v>6.8912859027948595E-2</v>
      </c>
      <c r="AG3388">
        <v>-6.0122000000000002E-2</v>
      </c>
      <c r="AH3388">
        <v>0.36993954754994901</v>
      </c>
      <c r="AI3388">
        <v>99.077428158796707</v>
      </c>
      <c r="AJ3388">
        <v>79.447808625333494</v>
      </c>
      <c r="AK3388">
        <v>0.38107598437170898</v>
      </c>
      <c r="AL3388">
        <v>88.536874084990899</v>
      </c>
      <c r="AM3388">
        <v>84.955459541384101</v>
      </c>
      <c r="AN3388">
        <v>1.0000000283450201</v>
      </c>
    </row>
    <row r="3389" spans="1:40" x14ac:dyDescent="0.25">
      <c r="A3389" t="str">
        <f>"20190312154902649"</f>
        <v>20190312154902649</v>
      </c>
      <c r="B3389" t="str">
        <f>"1552376942638759"</f>
        <v>1552376942638759</v>
      </c>
      <c r="C3389" t="s">
        <v>40</v>
      </c>
      <c r="D3389">
        <v>4.9181720000000002</v>
      </c>
      <c r="E3389">
        <v>0.50369609999999998</v>
      </c>
      <c r="F3389" t="s">
        <v>41</v>
      </c>
      <c r="G3389">
        <v>-369.01420000000002</v>
      </c>
      <c r="H3389">
        <v>1.0240499999999999</v>
      </c>
      <c r="I3389">
        <v>214.88820000000001</v>
      </c>
      <c r="J3389">
        <v>-369.67110000000002</v>
      </c>
      <c r="K3389">
        <v>1.109818</v>
      </c>
      <c r="L3389">
        <v>214.96850000000001</v>
      </c>
      <c r="M3389">
        <v>0.99932529999999997</v>
      </c>
      <c r="N3389">
        <v>0</v>
      </c>
      <c r="O3389">
        <v>3.369254E-2</v>
      </c>
      <c r="P3389">
        <v>0.99846420000000002</v>
      </c>
      <c r="Q3389">
        <v>1.1221470000000001E-2</v>
      </c>
      <c r="R3389">
        <v>-5.4253709999999997E-2</v>
      </c>
      <c r="S3389">
        <v>2.9973450000000001</v>
      </c>
      <c r="T3389">
        <v>-0.2385263</v>
      </c>
      <c r="U3389">
        <v>-0.18190000000000001</v>
      </c>
      <c r="V3389">
        <v>8.7860740000000007E-2</v>
      </c>
      <c r="W3389">
        <v>2.58053E-2</v>
      </c>
      <c r="X3389">
        <v>0.99579850000000003</v>
      </c>
      <c r="Y3389">
        <v>9.3773800000000004E-2</v>
      </c>
      <c r="Z3389">
        <v>-6.3970609999999999E-3</v>
      </c>
      <c r="AA3389">
        <v>0.99557300000000004</v>
      </c>
      <c r="AB3389">
        <v>40</v>
      </c>
      <c r="AC3389">
        <v>0.65690000000000703</v>
      </c>
      <c r="AD3389">
        <v>-8.5767999999999997E-2</v>
      </c>
      <c r="AE3389">
        <v>-8.0299999999994001E-2</v>
      </c>
      <c r="AF3389">
        <v>0.100698052545196</v>
      </c>
      <c r="AG3389">
        <v>-8.5767999999999997E-2</v>
      </c>
      <c r="AH3389">
        <v>0.64302086901248301</v>
      </c>
      <c r="AI3389">
        <v>97.507003649810201</v>
      </c>
      <c r="AJ3389">
        <v>81.099680672884702</v>
      </c>
      <c r="AK3389">
        <v>0.65648464231538906</v>
      </c>
      <c r="AL3389">
        <v>88.521301131704902</v>
      </c>
      <c r="AM3389">
        <v>84.957767798703102</v>
      </c>
      <c r="AN3389">
        <v>1.0000000378718401</v>
      </c>
    </row>
    <row r="3390" spans="1:40" x14ac:dyDescent="0.25">
      <c r="A3390" t="str">
        <f>"20190312154902671"</f>
        <v>20190312154902671</v>
      </c>
      <c r="B3390" t="str">
        <f>"1552376942659258"</f>
        <v>1552376942659258</v>
      </c>
      <c r="C3390" t="s">
        <v>40</v>
      </c>
      <c r="D3390">
        <v>4.9003410000000001</v>
      </c>
      <c r="E3390">
        <v>0.50377959999999899</v>
      </c>
      <c r="F3390" t="s">
        <v>41</v>
      </c>
      <c r="G3390">
        <v>-368.65629999999999</v>
      </c>
      <c r="H3390">
        <v>1.02983</v>
      </c>
      <c r="I3390">
        <v>214.9066</v>
      </c>
      <c r="J3390">
        <v>-369.27620000000002</v>
      </c>
      <c r="K3390">
        <v>1.109802</v>
      </c>
      <c r="L3390">
        <v>214.98179999999999</v>
      </c>
      <c r="M3390">
        <v>0.99932350000000003</v>
      </c>
      <c r="N3390">
        <v>0</v>
      </c>
      <c r="O3390">
        <v>3.3722189999999999E-2</v>
      </c>
      <c r="P3390">
        <v>0.9984748</v>
      </c>
      <c r="Q3390">
        <v>1.141825E-2</v>
      </c>
      <c r="R3390">
        <v>-5.401831E-2</v>
      </c>
      <c r="S3390">
        <v>2.9973139999999998</v>
      </c>
      <c r="T3390">
        <v>-0.23628379999999999</v>
      </c>
      <c r="U3390">
        <v>-0.1823883</v>
      </c>
      <c r="V3390">
        <v>8.7657230000000003E-2</v>
      </c>
      <c r="W3390">
        <v>2.605698E-2</v>
      </c>
      <c r="X3390">
        <v>0.99580990000000003</v>
      </c>
      <c r="Y3390">
        <v>9.3972340000000001E-2</v>
      </c>
      <c r="Z3390">
        <v>-6.3472779999999996E-3</v>
      </c>
      <c r="AA3390">
        <v>0.99555459999999996</v>
      </c>
      <c r="AB3390">
        <v>40</v>
      </c>
      <c r="AC3390">
        <v>0.61990000000002898</v>
      </c>
      <c r="AD3390">
        <v>-7.9971999999999904E-2</v>
      </c>
      <c r="AE3390">
        <v>-7.5199999999995201E-2</v>
      </c>
      <c r="AF3390">
        <v>9.4513675112390796E-2</v>
      </c>
      <c r="AG3390">
        <v>-7.9971999999999904E-2</v>
      </c>
      <c r="AH3390">
        <v>0.607054463571431</v>
      </c>
      <c r="AI3390">
        <v>97.4164652206493</v>
      </c>
      <c r="AJ3390">
        <v>81.150538639657398</v>
      </c>
      <c r="AK3390">
        <v>0.61955102881784396</v>
      </c>
      <c r="AL3390">
        <v>88.506876107641105</v>
      </c>
      <c r="AM3390">
        <v>84.969444311088196</v>
      </c>
      <c r="AN3390">
        <v>1.0000000565580001</v>
      </c>
    </row>
    <row r="3391" spans="1:40" x14ac:dyDescent="0.25">
      <c r="A3391" t="str">
        <f>"20190312154902695"</f>
        <v>20190312154902695</v>
      </c>
      <c r="B3391" t="str">
        <f>"1552376942689512"</f>
        <v>1552376942689512</v>
      </c>
      <c r="C3391" t="s">
        <v>40</v>
      </c>
      <c r="D3391">
        <v>4.884423</v>
      </c>
      <c r="E3391">
        <v>0.50389609999999996</v>
      </c>
      <c r="F3391" t="s">
        <v>41</v>
      </c>
      <c r="G3391">
        <v>-368.2998</v>
      </c>
      <c r="H3391">
        <v>1.033434</v>
      </c>
      <c r="I3391">
        <v>214.922</v>
      </c>
      <c r="J3391">
        <v>-368.86619999999999</v>
      </c>
      <c r="K3391">
        <v>1.1097939999999999</v>
      </c>
      <c r="L3391">
        <v>214.9957</v>
      </c>
      <c r="M3391">
        <v>0.99932209999999999</v>
      </c>
      <c r="N3391">
        <v>0</v>
      </c>
      <c r="O3391">
        <v>3.3739959999999999E-2</v>
      </c>
      <c r="P3391">
        <v>0.99848150000000002</v>
      </c>
      <c r="Q3391">
        <v>1.0956509999999999E-2</v>
      </c>
      <c r="R3391">
        <v>-5.3989500000000003E-2</v>
      </c>
      <c r="S3391">
        <v>2.9974059999999998</v>
      </c>
      <c r="T3391">
        <v>-0.23458979999999999</v>
      </c>
      <c r="U3391">
        <v>-0.1824036</v>
      </c>
      <c r="V3391">
        <v>8.7647699999999995E-2</v>
      </c>
      <c r="W3391">
        <v>2.564466E-2</v>
      </c>
      <c r="X3391">
        <v>0.99582139999999997</v>
      </c>
      <c r="Y3391">
        <v>9.3998799999999993E-2</v>
      </c>
      <c r="Z3391">
        <v>-6.3041420000000004E-3</v>
      </c>
      <c r="AA3391">
        <v>0.9955524</v>
      </c>
      <c r="AB3391">
        <v>40</v>
      </c>
      <c r="AC3391">
        <v>0.56639999999998702</v>
      </c>
      <c r="AD3391">
        <v>-7.63599999999999E-2</v>
      </c>
      <c r="AE3391">
        <v>-7.3700000000002305E-2</v>
      </c>
      <c r="AF3391">
        <v>9.1141458735504305E-2</v>
      </c>
      <c r="AG3391">
        <v>-7.63599999999999E-2</v>
      </c>
      <c r="AH3391">
        <v>0.55369444599418904</v>
      </c>
      <c r="AI3391">
        <v>97.749142388519502</v>
      </c>
      <c r="AJ3391">
        <v>80.652589428622306</v>
      </c>
      <c r="AK3391">
        <v>0.56631718552878796</v>
      </c>
      <c r="AL3391">
        <v>88.530508137737598</v>
      </c>
      <c r="AM3391">
        <v>84.970046211641005</v>
      </c>
      <c r="AN3391">
        <v>1.0000000142998799</v>
      </c>
    </row>
    <row r="3392" spans="1:40" x14ac:dyDescent="0.25">
      <c r="A3392" t="str">
        <f>"20190312154902717"</f>
        <v>20190312154902717</v>
      </c>
      <c r="B3392" t="str">
        <f>"1552376942709031"</f>
        <v>1552376942709031</v>
      </c>
      <c r="C3392" t="s">
        <v>40</v>
      </c>
      <c r="D3392">
        <v>4.8730460000000004</v>
      </c>
      <c r="E3392">
        <v>0.50394340000000004</v>
      </c>
      <c r="F3392" t="s">
        <v>41</v>
      </c>
      <c r="G3392">
        <v>-367.94349999999997</v>
      </c>
      <c r="H3392">
        <v>1.037725</v>
      </c>
      <c r="I3392">
        <v>214.9392</v>
      </c>
      <c r="J3392">
        <v>-368.45949999999999</v>
      </c>
      <c r="K3392">
        <v>1.1097889999999999</v>
      </c>
      <c r="L3392">
        <v>215.0095</v>
      </c>
      <c r="M3392">
        <v>0.99932100000000001</v>
      </c>
      <c r="N3392">
        <v>0</v>
      </c>
      <c r="O3392">
        <v>3.3749639999999997E-2</v>
      </c>
      <c r="P3392">
        <v>0.99849520000000003</v>
      </c>
      <c r="Q3392">
        <v>1.078259E-2</v>
      </c>
      <c r="R3392">
        <v>-5.3770800000000001E-2</v>
      </c>
      <c r="S3392">
        <v>2.9972530000000002</v>
      </c>
      <c r="T3392">
        <v>-0.2341094</v>
      </c>
      <c r="U3392">
        <v>-0.18333440000000001</v>
      </c>
      <c r="V3392">
        <v>8.7440069999999995E-2</v>
      </c>
      <c r="W3392">
        <v>2.551262E-2</v>
      </c>
      <c r="X3392">
        <v>0.99584309999999998</v>
      </c>
      <c r="Y3392">
        <v>9.4320109999999999E-2</v>
      </c>
      <c r="Z3392">
        <v>-6.3048080000000003E-3</v>
      </c>
      <c r="AA3392">
        <v>0.99552200000000002</v>
      </c>
      <c r="AB3392">
        <v>40</v>
      </c>
      <c r="AC3392">
        <v>0.516000000000019</v>
      </c>
      <c r="AD3392">
        <v>-7.2063999999999906E-2</v>
      </c>
      <c r="AE3392">
        <v>-7.0300000000003096E-2</v>
      </c>
      <c r="AF3392">
        <v>8.6029270093158194E-2</v>
      </c>
      <c r="AG3392">
        <v>-7.2063999999999906E-2</v>
      </c>
      <c r="AH3392">
        <v>0.50368791246571698</v>
      </c>
      <c r="AI3392">
        <v>98.027506165504903</v>
      </c>
      <c r="AJ3392">
        <v>80.307480546967895</v>
      </c>
      <c r="AK3392">
        <v>0.51603853399996502</v>
      </c>
      <c r="AL3392">
        <v>88.538076029487002</v>
      </c>
      <c r="AM3392">
        <v>84.982009624764999</v>
      </c>
      <c r="AN3392">
        <v>1.0000000697192299</v>
      </c>
    </row>
    <row r="3393" spans="1:40" x14ac:dyDescent="0.25">
      <c r="A3393" t="str">
        <f>"20190312154902739"</f>
        <v>20190312154902739</v>
      </c>
      <c r="B3393" t="str">
        <f>"1552376942729527"</f>
        <v>1552376942729527</v>
      </c>
      <c r="C3393" t="s">
        <v>40</v>
      </c>
      <c r="D3393">
        <v>4.9320190000000004</v>
      </c>
      <c r="E3393">
        <v>0.50385639999999998</v>
      </c>
      <c r="F3393" t="s">
        <v>41</v>
      </c>
      <c r="G3393">
        <v>-367.58760000000001</v>
      </c>
      <c r="H3393">
        <v>1.0417989999999999</v>
      </c>
      <c r="I3393">
        <v>214.95599999999999</v>
      </c>
      <c r="J3393">
        <v>-368.07690000000002</v>
      </c>
      <c r="K3393">
        <v>1.1097889999999999</v>
      </c>
      <c r="L3393">
        <v>215.0224</v>
      </c>
      <c r="M3393">
        <v>0.99932030000000005</v>
      </c>
      <c r="N3393">
        <v>0</v>
      </c>
      <c r="O3393">
        <v>3.375392E-2</v>
      </c>
      <c r="P3393">
        <v>0.99849770000000004</v>
      </c>
      <c r="Q3393">
        <v>1.076072E-2</v>
      </c>
      <c r="R3393">
        <v>-5.3725469999999997E-2</v>
      </c>
      <c r="S3393">
        <v>2.9971920000000001</v>
      </c>
      <c r="T3393">
        <v>-0.23388400000000001</v>
      </c>
      <c r="U3393">
        <v>-0.18305969999999999</v>
      </c>
      <c r="V3393">
        <v>8.7399989999999997E-2</v>
      </c>
      <c r="W3393">
        <v>2.5524060000000001E-2</v>
      </c>
      <c r="X3393">
        <v>0.99584629999999996</v>
      </c>
      <c r="Y3393">
        <v>9.423571E-2</v>
      </c>
      <c r="Z3393">
        <v>-6.2959490000000003E-3</v>
      </c>
      <c r="AA3393">
        <v>0.99553000000000003</v>
      </c>
      <c r="AB3393">
        <v>40</v>
      </c>
      <c r="AC3393">
        <v>0.489300000000014</v>
      </c>
      <c r="AD3393">
        <v>-6.7989999999999995E-2</v>
      </c>
      <c r="AE3393">
        <v>-6.6400000000015696E-2</v>
      </c>
      <c r="AF3393">
        <v>8.1337683874840999E-2</v>
      </c>
      <c r="AG3393">
        <v>-6.7989999999999995E-2</v>
      </c>
      <c r="AH3393">
        <v>0.47772249277293499</v>
      </c>
      <c r="AI3393">
        <v>97.986582887956601</v>
      </c>
      <c r="AJ3393">
        <v>80.337400806834594</v>
      </c>
      <c r="AK3393">
        <v>0.489343681903946</v>
      </c>
      <c r="AL3393">
        <v>88.537420315487196</v>
      </c>
      <c r="AM3393">
        <v>84.984314025801595</v>
      </c>
      <c r="AN3393">
        <v>1.0000000445572801</v>
      </c>
    </row>
    <row r="3394" spans="1:40" x14ac:dyDescent="0.25">
      <c r="A3394" t="str">
        <f>"20190312154902760"</f>
        <v>20190312154902760</v>
      </c>
      <c r="B3394" t="str">
        <f>"1552376942749047"</f>
        <v>1552376942749047</v>
      </c>
      <c r="C3394" t="s">
        <v>40</v>
      </c>
      <c r="D3394">
        <v>4.8207399999999998</v>
      </c>
      <c r="E3394">
        <v>0.5040424</v>
      </c>
      <c r="F3394" t="s">
        <v>41</v>
      </c>
      <c r="G3394">
        <v>-367.23309999999998</v>
      </c>
      <c r="H3394">
        <v>1.0434030000000001</v>
      </c>
      <c r="I3394">
        <v>214.97120000000001</v>
      </c>
      <c r="J3394">
        <v>-367.69240000000002</v>
      </c>
      <c r="K3394">
        <v>1.109791</v>
      </c>
      <c r="L3394">
        <v>215.03540000000001</v>
      </c>
      <c r="M3394">
        <v>0.99931999999999999</v>
      </c>
      <c r="N3394">
        <v>0</v>
      </c>
      <c r="O3394">
        <v>3.3755710000000001E-2</v>
      </c>
      <c r="P3394">
        <v>0.99852600000000002</v>
      </c>
      <c r="Q3394">
        <v>1.011012E-2</v>
      </c>
      <c r="R3394">
        <v>-5.3330099999999901E-2</v>
      </c>
      <c r="S3394">
        <v>2.9972530000000002</v>
      </c>
      <c r="T3394">
        <v>-0.23572899999999999</v>
      </c>
      <c r="U3394">
        <v>-0.18190000000000001</v>
      </c>
      <c r="V3394">
        <v>8.7008070000000007E-2</v>
      </c>
      <c r="W3394">
        <v>2.4902939999999998E-2</v>
      </c>
      <c r="X3394">
        <v>0.99589629999999996</v>
      </c>
      <c r="Y3394">
        <v>9.3847589999999995E-2</v>
      </c>
      <c r="Z3394">
        <v>-6.3303209999999999E-3</v>
      </c>
      <c r="AA3394">
        <v>0.99556639999999996</v>
      </c>
      <c r="AB3394">
        <v>40</v>
      </c>
      <c r="AC3394">
        <v>0.45930000000004101</v>
      </c>
      <c r="AD3394">
        <v>-6.6387999999999794E-2</v>
      </c>
      <c r="AE3394">
        <v>-6.4199999999999494E-2</v>
      </c>
      <c r="AF3394">
        <v>7.8069318054516501E-2</v>
      </c>
      <c r="AG3394">
        <v>-6.6387999999999794E-2</v>
      </c>
      <c r="AH3394">
        <v>0.44769666849766199</v>
      </c>
      <c r="AI3394">
        <v>98.311177015322201</v>
      </c>
      <c r="AJ3394">
        <v>80.108229278143696</v>
      </c>
      <c r="AK3394">
        <v>0.45927605200946697</v>
      </c>
      <c r="AL3394">
        <v>88.573019123443601</v>
      </c>
      <c r="AM3394">
        <v>85.006940883511703</v>
      </c>
      <c r="AN3394">
        <v>1.00000000050972</v>
      </c>
    </row>
    <row r="3395" spans="1:40" x14ac:dyDescent="0.25">
      <c r="A3395" t="str">
        <f>"20190312154902783"</f>
        <v>20190312154902783</v>
      </c>
      <c r="B3395" t="str">
        <f>"1552376942779304"</f>
        <v>1552376942779304</v>
      </c>
      <c r="C3395" t="s">
        <v>40</v>
      </c>
      <c r="D3395">
        <v>4.7785950000000001</v>
      </c>
      <c r="E3395">
        <v>0.50426599999999999</v>
      </c>
      <c r="F3395" t="s">
        <v>41</v>
      </c>
      <c r="G3395">
        <v>-366.87810000000002</v>
      </c>
      <c r="H3395">
        <v>1.0454730000000001</v>
      </c>
      <c r="I3395">
        <v>214.98560000000001</v>
      </c>
      <c r="J3395">
        <v>-367.31220000000002</v>
      </c>
      <c r="K3395">
        <v>1.1097939999999999</v>
      </c>
      <c r="L3395">
        <v>215.04830000000001</v>
      </c>
      <c r="M3395">
        <v>0.99931939999999997</v>
      </c>
      <c r="N3395">
        <v>0</v>
      </c>
      <c r="O3395">
        <v>3.3756330000000001E-2</v>
      </c>
      <c r="P3395">
        <v>0.99853610000000004</v>
      </c>
      <c r="Q3395">
        <v>9.6786530000000006E-3</v>
      </c>
      <c r="R3395">
        <v>-5.3218500000000002E-2</v>
      </c>
      <c r="S3395">
        <v>2.9971009999999998</v>
      </c>
      <c r="T3395">
        <v>-0.2368922</v>
      </c>
      <c r="U3395">
        <v>-0.1822357</v>
      </c>
      <c r="V3395">
        <v>8.6898100000000006E-2</v>
      </c>
      <c r="W3395">
        <v>2.4495840000000001E-2</v>
      </c>
      <c r="X3395">
        <v>0.99591600000000002</v>
      </c>
      <c r="Y3395">
        <v>9.3958089999999994E-2</v>
      </c>
      <c r="Z3395">
        <v>-6.3661710000000003E-3</v>
      </c>
      <c r="AA3395">
        <v>0.99555579999999999</v>
      </c>
      <c r="AB3395">
        <v>40</v>
      </c>
      <c r="AC3395">
        <v>0.43409999999999999</v>
      </c>
      <c r="AD3395">
        <v>-6.4321000000000003E-2</v>
      </c>
      <c r="AE3395">
        <v>-6.2700000000006598E-2</v>
      </c>
      <c r="AF3395">
        <v>7.5691680282724105E-2</v>
      </c>
      <c r="AG3395">
        <v>-6.4321000000000003E-2</v>
      </c>
      <c r="AH3395">
        <v>0.42264637345988199</v>
      </c>
      <c r="AI3395">
        <v>98.519724161820804</v>
      </c>
      <c r="AJ3395">
        <v>79.846544861306697</v>
      </c>
      <c r="AK3395">
        <v>0.43416169626512602</v>
      </c>
      <c r="AL3395">
        <v>88.596351356353296</v>
      </c>
      <c r="AM3395">
        <v>85.013317942714195</v>
      </c>
      <c r="AN3395">
        <v>1.0000000025084499</v>
      </c>
    </row>
    <row r="3396" spans="1:40" x14ac:dyDescent="0.25">
      <c r="A3396" t="str">
        <f>"20190312154902804"</f>
        <v>20190312154902804</v>
      </c>
      <c r="B3396" t="str">
        <f>"1552376942798823"</f>
        <v>1552376942798823</v>
      </c>
      <c r="C3396" t="s">
        <v>40</v>
      </c>
      <c r="D3396">
        <v>4.7817480000000003</v>
      </c>
      <c r="E3396">
        <v>0.50428279999999903</v>
      </c>
      <c r="F3396" t="s">
        <v>41</v>
      </c>
      <c r="G3396">
        <v>-366.52350000000001</v>
      </c>
      <c r="H3396">
        <v>1.047614</v>
      </c>
      <c r="I3396">
        <v>214.99979999999999</v>
      </c>
      <c r="J3396">
        <v>-366.91140000000001</v>
      </c>
      <c r="K3396">
        <v>1.109799</v>
      </c>
      <c r="L3396">
        <v>215.06180000000001</v>
      </c>
      <c r="M3396">
        <v>0.99931930000000002</v>
      </c>
      <c r="N3396">
        <v>0</v>
      </c>
      <c r="O3396">
        <v>3.375454E-2</v>
      </c>
      <c r="P3396">
        <v>0.99856690000000004</v>
      </c>
      <c r="Q3396">
        <v>9.0592789999999999E-3</v>
      </c>
      <c r="R3396">
        <v>-5.2750039999999998E-2</v>
      </c>
      <c r="S3396">
        <v>2.9968569999999999</v>
      </c>
      <c r="T3396">
        <v>-0.2363577</v>
      </c>
      <c r="U3396">
        <v>-0.18402099999999999</v>
      </c>
      <c r="V3396">
        <v>8.6429619999999999E-2</v>
      </c>
      <c r="W3396">
        <v>2.389902E-2</v>
      </c>
      <c r="X3396">
        <v>0.9959713</v>
      </c>
      <c r="Y3396">
        <v>9.4551999999999997E-2</v>
      </c>
      <c r="Z3396">
        <v>-6.3754800000000002E-3</v>
      </c>
      <c r="AA3396">
        <v>0.99549949999999998</v>
      </c>
      <c r="AB3396">
        <v>40</v>
      </c>
      <c r="AC3396">
        <v>0.38790000000000102</v>
      </c>
      <c r="AD3396">
        <v>-6.21849999999999E-2</v>
      </c>
      <c r="AE3396">
        <v>-6.2000000000011803E-2</v>
      </c>
      <c r="AF3396">
        <v>7.3224513387978904E-2</v>
      </c>
      <c r="AG3396">
        <v>-6.21849999999999E-2</v>
      </c>
      <c r="AH3396">
        <v>0.37615944713798899</v>
      </c>
      <c r="AI3396">
        <v>99.217024960527198</v>
      </c>
      <c r="AJ3396">
        <v>78.984366101543998</v>
      </c>
      <c r="AK3396">
        <v>0.38823283382148899</v>
      </c>
      <c r="AL3396">
        <v>88.630556685652394</v>
      </c>
      <c r="AM3396">
        <v>85.040341404949004</v>
      </c>
      <c r="AN3396">
        <v>1.0000000363969901</v>
      </c>
    </row>
    <row r="3397" spans="1:40" x14ac:dyDescent="0.25">
      <c r="A3397" t="str">
        <f>"20190312154902827"</f>
        <v>20190312154902827</v>
      </c>
      <c r="B3397" t="str">
        <f>"1552376942819320"</f>
        <v>1552376942819320</v>
      </c>
      <c r="C3397" t="s">
        <v>40</v>
      </c>
      <c r="D3397">
        <v>4.790667</v>
      </c>
      <c r="E3397">
        <v>0.51762319999999995</v>
      </c>
      <c r="F3397" t="s">
        <v>41</v>
      </c>
      <c r="G3397">
        <v>-366.16849999999999</v>
      </c>
      <c r="H3397">
        <v>1.0507879999999901</v>
      </c>
      <c r="I3397">
        <v>215.0162</v>
      </c>
      <c r="J3397">
        <v>-366.53140000000002</v>
      </c>
      <c r="K3397">
        <v>1.1097980000000001</v>
      </c>
      <c r="L3397">
        <v>215.0746</v>
      </c>
      <c r="M3397">
        <v>0.99931910000000002</v>
      </c>
      <c r="N3397">
        <v>0</v>
      </c>
      <c r="O3397">
        <v>3.3746320000000003E-2</v>
      </c>
      <c r="P3397">
        <v>0.99859430000000005</v>
      </c>
      <c r="Q3397">
        <v>8.56937199999999E-3</v>
      </c>
      <c r="R3397">
        <v>-5.2307310000000003E-2</v>
      </c>
      <c r="S3397">
        <v>2.9968870000000001</v>
      </c>
      <c r="T3397">
        <v>-0.23816979999999999</v>
      </c>
      <c r="U3397">
        <v>-0.18258669999999999</v>
      </c>
      <c r="V3397">
        <v>8.5980360000000006E-2</v>
      </c>
      <c r="W3397">
        <v>2.3425649999999999E-2</v>
      </c>
      <c r="X3397">
        <v>0.99602139999999995</v>
      </c>
      <c r="Y3397">
        <v>9.4063960000000002E-2</v>
      </c>
      <c r="Z3397">
        <v>-6.4042329999999996E-3</v>
      </c>
      <c r="AA3397">
        <v>0.99554560000000003</v>
      </c>
      <c r="AB3397">
        <v>39</v>
      </c>
      <c r="AC3397">
        <v>0.36290000000002398</v>
      </c>
      <c r="AD3397">
        <v>-5.9010000000000201E-2</v>
      </c>
      <c r="AE3397">
        <v>-5.8400000000005899E-2</v>
      </c>
      <c r="AF3397">
        <v>6.8840374369968205E-2</v>
      </c>
      <c r="AG3397">
        <v>-5.9010000000000201E-2</v>
      </c>
      <c r="AH3397">
        <v>0.35165877390709999</v>
      </c>
      <c r="AI3397">
        <v>99.351479541361996</v>
      </c>
      <c r="AJ3397">
        <v>78.923901818920697</v>
      </c>
      <c r="AK3397">
        <v>0.36315984154259401</v>
      </c>
      <c r="AL3397">
        <v>88.657686343792804</v>
      </c>
      <c r="AM3397">
        <v>85.066241005687104</v>
      </c>
      <c r="AN3397">
        <v>1.0000000063208001</v>
      </c>
    </row>
    <row r="3398" spans="1:40" x14ac:dyDescent="0.25">
      <c r="A3398" t="str">
        <f>"20190312154902849"</f>
        <v>20190312154902849</v>
      </c>
      <c r="B3398" t="str">
        <f>"1552376942838839"</f>
        <v>1552376942838839</v>
      </c>
      <c r="C3398" t="s">
        <v>40</v>
      </c>
      <c r="D3398">
        <v>4.7490220000000001</v>
      </c>
      <c r="E3398">
        <v>0.52170059999999996</v>
      </c>
      <c r="F3398" t="s">
        <v>41</v>
      </c>
      <c r="G3398">
        <v>-365.52859999999998</v>
      </c>
      <c r="H3398">
        <v>0.92058050000000002</v>
      </c>
      <c r="I3398">
        <v>214.9821</v>
      </c>
      <c r="J3398">
        <v>-366.13580000000002</v>
      </c>
      <c r="K3398">
        <v>1.109796</v>
      </c>
      <c r="L3398">
        <v>215.08799999999999</v>
      </c>
      <c r="M3398">
        <v>0.99931970000000003</v>
      </c>
      <c r="N3398">
        <v>0</v>
      </c>
      <c r="O3398">
        <v>3.3727090000000001E-2</v>
      </c>
      <c r="P3398">
        <v>0.99861699999999998</v>
      </c>
      <c r="Q3398">
        <v>8.686582E-3</v>
      </c>
      <c r="R3398">
        <v>-5.1851710000000002E-2</v>
      </c>
      <c r="S3398">
        <v>2.9946899999999999</v>
      </c>
      <c r="T3398">
        <v>-0.56519019999999898</v>
      </c>
      <c r="U3398">
        <v>-0.2753448</v>
      </c>
      <c r="V3398">
        <v>8.5507490000000005E-2</v>
      </c>
      <c r="W3398">
        <v>2.355674E-2</v>
      </c>
      <c r="X3398">
        <v>0.99605900000000003</v>
      </c>
      <c r="Y3398">
        <v>0.1223605</v>
      </c>
      <c r="Z3398">
        <v>-1.7721029999999999E-2</v>
      </c>
      <c r="AA3398">
        <v>0.99232750000000003</v>
      </c>
      <c r="AB3398">
        <v>39</v>
      </c>
      <c r="AC3398">
        <v>0.60720000000003405</v>
      </c>
      <c r="AD3398">
        <v>-0.18921550000000001</v>
      </c>
      <c r="AE3398">
        <v>-0.105899999999991</v>
      </c>
      <c r="AF3398">
        <v>0.115441836964151</v>
      </c>
      <c r="AG3398">
        <v>-0.18921550000000001</v>
      </c>
      <c r="AH3398">
        <v>0.55132533007671303</v>
      </c>
      <c r="AI3398">
        <v>108.56803435643</v>
      </c>
      <c r="AJ3398">
        <v>78.173716508710697</v>
      </c>
      <c r="AK3398">
        <v>0.59421287662428202</v>
      </c>
      <c r="AL3398">
        <v>88.650173346382104</v>
      </c>
      <c r="AM3398">
        <v>85.093426899612595</v>
      </c>
      <c r="AN3398">
        <v>0.99999999116326299</v>
      </c>
    </row>
    <row r="3399" spans="1:40" x14ac:dyDescent="0.25">
      <c r="A3399" t="str">
        <f>"20190312154902871"</f>
        <v>20190312154902871</v>
      </c>
      <c r="B3399" t="str">
        <f>"1552376942859336"</f>
        <v>1552376942859336</v>
      </c>
      <c r="C3399" t="s">
        <v>40</v>
      </c>
      <c r="D3399">
        <v>4.7904169999999997</v>
      </c>
      <c r="E3399">
        <v>0.52350350000000001</v>
      </c>
      <c r="F3399" t="s">
        <v>41</v>
      </c>
      <c r="G3399">
        <v>-365.18630000000002</v>
      </c>
      <c r="H3399">
        <v>0.89973780000000003</v>
      </c>
      <c r="I3399">
        <v>214.99180000000001</v>
      </c>
      <c r="J3399">
        <v>-365.7432</v>
      </c>
      <c r="K3399">
        <v>1.1097939999999999</v>
      </c>
      <c r="L3399">
        <v>215.10120000000001</v>
      </c>
      <c r="M3399">
        <v>0.99932030000000005</v>
      </c>
      <c r="N3399">
        <v>0</v>
      </c>
      <c r="O3399">
        <v>3.3698579999999999E-2</v>
      </c>
      <c r="P3399">
        <v>0.99864869999999994</v>
      </c>
      <c r="Q3399">
        <v>8.4601820000000001E-3</v>
      </c>
      <c r="R3399">
        <v>-5.1276000000000002E-2</v>
      </c>
      <c r="S3399">
        <v>2.994202</v>
      </c>
      <c r="T3399">
        <v>-0.66244530000000001</v>
      </c>
      <c r="U3399">
        <v>-0.30284119999999998</v>
      </c>
      <c r="V3399">
        <v>8.4905170000000002E-2</v>
      </c>
      <c r="W3399">
        <v>2.3341750000000001E-2</v>
      </c>
      <c r="X3399">
        <v>0.99611559999999999</v>
      </c>
      <c r="Y3399">
        <v>0.13017690000000001</v>
      </c>
      <c r="Z3399">
        <v>-2.154464E-2</v>
      </c>
      <c r="AA3399">
        <v>0.99125669999999999</v>
      </c>
      <c r="AB3399">
        <v>39</v>
      </c>
      <c r="AC3399">
        <v>0.55689999999998396</v>
      </c>
      <c r="AD3399">
        <v>-0.210056199999999</v>
      </c>
      <c r="AE3399">
        <v>-0.109399999999993</v>
      </c>
      <c r="AF3399">
        <v>0.11267229947294299</v>
      </c>
      <c r="AG3399">
        <v>-0.210056199999999</v>
      </c>
      <c r="AH3399">
        <v>0.48628321071620401</v>
      </c>
      <c r="AI3399">
        <v>112.822066843195</v>
      </c>
      <c r="AJ3399">
        <v>76.954707190163404</v>
      </c>
      <c r="AK3399">
        <v>0.54156256817787995</v>
      </c>
      <c r="AL3399">
        <v>88.662494775204294</v>
      </c>
      <c r="AM3399">
        <v>85.1280976507107</v>
      </c>
      <c r="AN3399">
        <v>1.00000000687457</v>
      </c>
    </row>
    <row r="3400" spans="1:40" x14ac:dyDescent="0.25">
      <c r="A3400" t="str">
        <f>"20190312154902895"</f>
        <v>20190312154902895</v>
      </c>
      <c r="B3400" t="str">
        <f>"1552376942889593"</f>
        <v>1552376942889593</v>
      </c>
      <c r="C3400" t="s">
        <v>40</v>
      </c>
      <c r="D3400">
        <v>4.7737889999999998</v>
      </c>
      <c r="E3400">
        <v>0.52391969999999999</v>
      </c>
      <c r="F3400" t="s">
        <v>41</v>
      </c>
      <c r="G3400">
        <v>-364.8365</v>
      </c>
      <c r="H3400">
        <v>0.89781949999999999</v>
      </c>
      <c r="I3400">
        <v>215.00579999999999</v>
      </c>
      <c r="J3400">
        <v>-365.32130000000001</v>
      </c>
      <c r="K3400">
        <v>1.1097939999999999</v>
      </c>
      <c r="L3400">
        <v>215.11539999999999</v>
      </c>
      <c r="M3400">
        <v>0.99932160000000003</v>
      </c>
      <c r="N3400">
        <v>0</v>
      </c>
      <c r="O3400">
        <v>3.3654209999999997E-2</v>
      </c>
      <c r="P3400">
        <v>0.99867019999999995</v>
      </c>
      <c r="Q3400">
        <v>8.3607679999999993E-3</v>
      </c>
      <c r="R3400">
        <v>-5.0870529999999997E-2</v>
      </c>
      <c r="S3400">
        <v>2.9938349999999998</v>
      </c>
      <c r="T3400">
        <v>-0.69993349999999999</v>
      </c>
      <c r="U3400">
        <v>-0.3141022</v>
      </c>
      <c r="V3400">
        <v>8.4457249999999998E-2</v>
      </c>
      <c r="W3400">
        <v>2.3251649999999999E-2</v>
      </c>
      <c r="X3400">
        <v>0.99615580000000004</v>
      </c>
      <c r="Y3400">
        <v>0.13330120000000001</v>
      </c>
      <c r="Z3400">
        <v>-2.3080710000000001E-2</v>
      </c>
      <c r="AA3400">
        <v>0.99080679999999999</v>
      </c>
      <c r="AB3400">
        <v>39</v>
      </c>
      <c r="AC3400">
        <v>0.484800000000007</v>
      </c>
      <c r="AD3400">
        <v>-0.21197449999999901</v>
      </c>
      <c r="AE3400">
        <v>-0.1096</v>
      </c>
      <c r="AF3400">
        <v>0.106487011770468</v>
      </c>
      <c r="AG3400">
        <v>-0.21197449999999901</v>
      </c>
      <c r="AH3400">
        <v>0.406838937278025</v>
      </c>
      <c r="AI3400">
        <v>116.750302536305</v>
      </c>
      <c r="AJ3400">
        <v>75.332311144191394</v>
      </c>
      <c r="AK3400">
        <v>0.470946486568874</v>
      </c>
      <c r="AL3400">
        <v>88.667658546647303</v>
      </c>
      <c r="AM3400">
        <v>85.153871437117701</v>
      </c>
      <c r="AN3400">
        <v>1.00000002208946</v>
      </c>
    </row>
    <row r="3401" spans="1:40" x14ac:dyDescent="0.25">
      <c r="A3401" t="str">
        <f>"20190312154902917"</f>
        <v>20190312154902917</v>
      </c>
      <c r="B3401" t="str">
        <f>"1552376942909112"</f>
        <v>1552376942909112</v>
      </c>
      <c r="C3401" t="s">
        <v>40</v>
      </c>
      <c r="D3401">
        <v>4.7457900000000004</v>
      </c>
      <c r="E3401">
        <v>0.52433409999999903</v>
      </c>
      <c r="F3401" t="s">
        <v>41</v>
      </c>
      <c r="G3401">
        <v>-364.48399999999998</v>
      </c>
      <c r="H3401">
        <v>0.90437940000000006</v>
      </c>
      <c r="I3401">
        <v>215.0273</v>
      </c>
      <c r="J3401">
        <v>-364.9325</v>
      </c>
      <c r="K3401">
        <v>1.109788</v>
      </c>
      <c r="L3401">
        <v>215.1284</v>
      </c>
      <c r="M3401">
        <v>0.99932350000000003</v>
      </c>
      <c r="N3401">
        <v>0</v>
      </c>
      <c r="O3401">
        <v>3.3597870000000002E-2</v>
      </c>
      <c r="P3401">
        <v>0.99865110000000001</v>
      </c>
      <c r="Q3401">
        <v>8.8954059999999998E-3</v>
      </c>
      <c r="R3401">
        <v>-5.1153999999999998E-2</v>
      </c>
      <c r="S3401">
        <v>2.99411</v>
      </c>
      <c r="T3401">
        <v>-0.73453840000000004</v>
      </c>
      <c r="U3401">
        <v>-0.3150482</v>
      </c>
      <c r="V3401">
        <v>8.4684599999999999E-2</v>
      </c>
      <c r="W3401">
        <v>2.3791759999999999E-2</v>
      </c>
      <c r="X3401">
        <v>0.99612369999999995</v>
      </c>
      <c r="Y3401">
        <v>0.1331087</v>
      </c>
      <c r="Z3401">
        <v>-2.4150629999999999E-2</v>
      </c>
      <c r="AA3401">
        <v>0.9908072</v>
      </c>
      <c r="AB3401">
        <v>39</v>
      </c>
      <c r="AC3401">
        <v>0.44849999999996698</v>
      </c>
      <c r="AD3401">
        <v>-0.2054086</v>
      </c>
      <c r="AE3401">
        <v>-0.10110000000000199</v>
      </c>
      <c r="AF3401">
        <v>9.6792324244453706E-2</v>
      </c>
      <c r="AG3401">
        <v>-0.2054086</v>
      </c>
      <c r="AH3401">
        <v>0.370827889070175</v>
      </c>
      <c r="AI3401">
        <v>118.189629129225</v>
      </c>
      <c r="AJ3401">
        <v>75.371225662961095</v>
      </c>
      <c r="AK3401">
        <v>0.43482728789583203</v>
      </c>
      <c r="AL3401">
        <v>88.636703898380404</v>
      </c>
      <c r="AM3401">
        <v>85.140732713285104</v>
      </c>
      <c r="AN3401">
        <v>0.99999997751137304</v>
      </c>
    </row>
    <row r="3402" spans="1:40" x14ac:dyDescent="0.25">
      <c r="A3402" t="str">
        <f>"20190312154902940"</f>
        <v>20190312154902940</v>
      </c>
      <c r="B3402" t="str">
        <f>"1552376942929607"</f>
        <v>1552376942929607</v>
      </c>
      <c r="C3402" t="s">
        <v>40</v>
      </c>
      <c r="D3402">
        <v>4.741466</v>
      </c>
      <c r="E3402">
        <v>0.52466069999999998</v>
      </c>
      <c r="F3402" t="s">
        <v>41</v>
      </c>
      <c r="G3402">
        <v>-364.1311</v>
      </c>
      <c r="H3402">
        <v>0.91176760000000001</v>
      </c>
      <c r="I3402">
        <v>215.04259999999999</v>
      </c>
      <c r="J3402">
        <v>-364.55079999999998</v>
      </c>
      <c r="K3402">
        <v>1.109775</v>
      </c>
      <c r="L3402">
        <v>215.1412</v>
      </c>
      <c r="M3402">
        <v>0.99932580000000004</v>
      </c>
      <c r="N3402">
        <v>0</v>
      </c>
      <c r="O3402">
        <v>3.352749E-2</v>
      </c>
      <c r="P3402">
        <v>0.99861739999999999</v>
      </c>
      <c r="Q3402">
        <v>9.36414E-3</v>
      </c>
      <c r="R3402">
        <v>-5.1730640000000001E-2</v>
      </c>
      <c r="S3402">
        <v>2.9943240000000002</v>
      </c>
      <c r="T3402">
        <v>-0.73990059999999902</v>
      </c>
      <c r="U3402">
        <v>-0.31907649999999999</v>
      </c>
      <c r="V3402">
        <v>8.5190290000000002E-2</v>
      </c>
      <c r="W3402">
        <v>2.426321E-2</v>
      </c>
      <c r="X3402">
        <v>0.99606930000000005</v>
      </c>
      <c r="Y3402">
        <v>0.1342487</v>
      </c>
      <c r="Z3402">
        <v>-2.4439849999999999E-2</v>
      </c>
      <c r="AA3402">
        <v>0.99064620000000003</v>
      </c>
      <c r="AB3402">
        <v>39</v>
      </c>
      <c r="AC3402">
        <v>0.41969999999997698</v>
      </c>
      <c r="AD3402">
        <v>-0.1980074</v>
      </c>
      <c r="AE3402">
        <v>-9.8600000000004601E-2</v>
      </c>
      <c r="AF3402">
        <v>9.3000368431106206E-2</v>
      </c>
      <c r="AG3402">
        <v>-0.1980074</v>
      </c>
      <c r="AH3402">
        <v>0.34366585462068999</v>
      </c>
      <c r="AI3402">
        <v>119.080984545425</v>
      </c>
      <c r="AJ3402">
        <v>74.857706409881004</v>
      </c>
      <c r="AK3402">
        <v>0.40738460772990698</v>
      </c>
      <c r="AL3402">
        <v>88.609684129688205</v>
      </c>
      <c r="AM3402">
        <v>85.111590343488203</v>
      </c>
      <c r="AN3402">
        <v>1.00000006963613</v>
      </c>
    </row>
    <row r="3403" spans="1:40" x14ac:dyDescent="0.25">
      <c r="A3403" t="str">
        <f>"20190312154902961"</f>
        <v>20190312154902961</v>
      </c>
      <c r="B3403" t="str">
        <f>"1552376942949128"</f>
        <v>1552376942949128</v>
      </c>
      <c r="C3403" t="s">
        <v>40</v>
      </c>
      <c r="D3403">
        <v>4.765021</v>
      </c>
      <c r="E3403">
        <v>0.52500019999999903</v>
      </c>
      <c r="F3403" t="s">
        <v>41</v>
      </c>
      <c r="G3403">
        <v>-363.77859999999998</v>
      </c>
      <c r="H3403">
        <v>0.91825769999999995</v>
      </c>
      <c r="I3403">
        <v>215.05760000000001</v>
      </c>
      <c r="J3403">
        <v>-364.17059999999998</v>
      </c>
      <c r="K3403">
        <v>1.109764</v>
      </c>
      <c r="L3403">
        <v>215.15389999999999</v>
      </c>
      <c r="M3403">
        <v>0.99932849999999995</v>
      </c>
      <c r="N3403">
        <v>0</v>
      </c>
      <c r="O3403">
        <v>3.3444300000000003E-2</v>
      </c>
      <c r="P3403">
        <v>0.99860349999999998</v>
      </c>
      <c r="Q3403">
        <v>8.7953159999999992E-3</v>
      </c>
      <c r="R3403">
        <v>-5.2094910000000001E-2</v>
      </c>
      <c r="S3403">
        <v>2.994354</v>
      </c>
      <c r="T3403">
        <v>-0.74276279999999995</v>
      </c>
      <c r="U3403">
        <v>-0.32363890000000001</v>
      </c>
      <c r="V3403">
        <v>8.5471759999999994E-2</v>
      </c>
      <c r="W3403">
        <v>2.3696419999999999E-2</v>
      </c>
      <c r="X3403">
        <v>0.99605880000000002</v>
      </c>
      <c r="Y3403">
        <v>0.1355827</v>
      </c>
      <c r="Z3403">
        <v>-2.4671789999999999E-2</v>
      </c>
      <c r="AA3403">
        <v>0.99045879999999997</v>
      </c>
      <c r="AB3403">
        <v>39</v>
      </c>
      <c r="AC3403">
        <v>0.39199999999999502</v>
      </c>
      <c r="AD3403">
        <v>-0.19150629999999999</v>
      </c>
      <c r="AE3403">
        <v>-9.6299999999985106E-2</v>
      </c>
      <c r="AF3403">
        <v>8.9265513762397802E-2</v>
      </c>
      <c r="AG3403">
        <v>-0.19150629999999999</v>
      </c>
      <c r="AH3403">
        <v>0.317169778053427</v>
      </c>
      <c r="AI3403">
        <v>120.165873058936</v>
      </c>
      <c r="AJ3403">
        <v>74.281064991113197</v>
      </c>
      <c r="AK3403">
        <v>0.38110321829842198</v>
      </c>
      <c r="AL3403">
        <v>88.642168100189096</v>
      </c>
      <c r="AM3403">
        <v>85.095466168344402</v>
      </c>
      <c r="AN3403">
        <v>1.0000000375678699</v>
      </c>
    </row>
    <row r="3404" spans="1:40" x14ac:dyDescent="0.25">
      <c r="A3404" t="str">
        <f>"20190312154902984"</f>
        <v>20190312154902984</v>
      </c>
      <c r="B3404" t="str">
        <f>"1552376942979384"</f>
        <v>1552376942979384</v>
      </c>
      <c r="C3404" t="s">
        <v>40</v>
      </c>
      <c r="D3404">
        <v>4.7403950000000004</v>
      </c>
      <c r="E3404">
        <v>0.52558280000000002</v>
      </c>
      <c r="F3404" t="s">
        <v>41</v>
      </c>
      <c r="G3404">
        <v>-363.42680000000001</v>
      </c>
      <c r="H3404">
        <v>0.92393230000000004</v>
      </c>
      <c r="I3404">
        <v>215.07230000000001</v>
      </c>
      <c r="J3404">
        <v>-363.77760000000001</v>
      </c>
      <c r="K3404">
        <v>1.1097600000000001</v>
      </c>
      <c r="L3404">
        <v>215.167</v>
      </c>
      <c r="M3404">
        <v>0.99933170000000004</v>
      </c>
      <c r="N3404">
        <v>0</v>
      </c>
      <c r="O3404">
        <v>3.3347120000000001E-2</v>
      </c>
      <c r="P3404">
        <v>0.99856599999999995</v>
      </c>
      <c r="Q3404">
        <v>8.5364719999999998E-3</v>
      </c>
      <c r="R3404">
        <v>-5.2856739999999999E-2</v>
      </c>
      <c r="S3404">
        <v>2.9937130000000001</v>
      </c>
      <c r="T3404">
        <v>-0.74803909999999996</v>
      </c>
      <c r="U3404">
        <v>-0.32679750000000002</v>
      </c>
      <c r="V3404">
        <v>8.6135399999999904E-2</v>
      </c>
      <c r="W3404">
        <v>2.343804E-2</v>
      </c>
      <c r="X3404">
        <v>0.99600770000000005</v>
      </c>
      <c r="Y3404">
        <v>0.13644589999999901</v>
      </c>
      <c r="Z3404">
        <v>-2.4927749999999999E-2</v>
      </c>
      <c r="AA3404">
        <v>0.99033389999999999</v>
      </c>
      <c r="AB3404">
        <v>39</v>
      </c>
      <c r="AC3404">
        <v>0.35079999999999201</v>
      </c>
      <c r="AD3404">
        <v>-0.18582770000000001</v>
      </c>
      <c r="AE3404">
        <v>-9.4699999999988904E-2</v>
      </c>
      <c r="AF3404">
        <v>8.4298612672733794E-2</v>
      </c>
      <c r="AG3404">
        <v>-0.18582770000000001</v>
      </c>
      <c r="AH3404">
        <v>0.27541270789161598</v>
      </c>
      <c r="AI3404">
        <v>122.829258476498</v>
      </c>
      <c r="AJ3404">
        <v>72.981642811277993</v>
      </c>
      <c r="AK3404">
        <v>0.34276865354642599</v>
      </c>
      <c r="AL3404">
        <v>88.656976237111905</v>
      </c>
      <c r="AM3404">
        <v>85.057320822336607</v>
      </c>
      <c r="AN3404">
        <v>0.99999999365574499</v>
      </c>
    </row>
    <row r="3405" spans="1:40" x14ac:dyDescent="0.25">
      <c r="A3405" t="str">
        <f>"20190312154903004"</f>
        <v>20190312154903004</v>
      </c>
      <c r="B3405" t="str">
        <f>"1552376942998903"</f>
        <v>1552376942998903</v>
      </c>
      <c r="C3405" t="s">
        <v>40</v>
      </c>
      <c r="D3405">
        <v>4.7868830000000004</v>
      </c>
      <c r="E3405">
        <v>0.52584869999999995</v>
      </c>
      <c r="F3405" t="s">
        <v>41</v>
      </c>
      <c r="G3405">
        <v>-363.07420000000002</v>
      </c>
      <c r="H3405">
        <v>0.93239499999999997</v>
      </c>
      <c r="I3405">
        <v>215.08840000000001</v>
      </c>
      <c r="J3405">
        <v>-363.40800000000002</v>
      </c>
      <c r="K3405">
        <v>1.1097549999999901</v>
      </c>
      <c r="L3405">
        <v>215.17920000000001</v>
      </c>
      <c r="M3405">
        <v>0.99933510000000003</v>
      </c>
      <c r="N3405">
        <v>0</v>
      </c>
      <c r="O3405">
        <v>3.324564E-2</v>
      </c>
      <c r="P3405">
        <v>0.99854149999999997</v>
      </c>
      <c r="Q3405">
        <v>8.4739389999999998E-3</v>
      </c>
      <c r="R3405">
        <v>-5.3323509999999998E-2</v>
      </c>
      <c r="S3405">
        <v>2.993134</v>
      </c>
      <c r="T3405">
        <v>-0.75472969999999995</v>
      </c>
      <c r="U3405">
        <v>-0.33369450000000001</v>
      </c>
      <c r="V3405">
        <v>8.6500720000000003E-2</v>
      </c>
      <c r="W3405">
        <v>2.3375590000000002E-2</v>
      </c>
      <c r="X3405">
        <v>0.99597749999999996</v>
      </c>
      <c r="Y3405">
        <v>0.13846889999999901</v>
      </c>
      <c r="Z3405">
        <v>-2.5371029999999999E-2</v>
      </c>
      <c r="AA3405">
        <v>0.99004170000000002</v>
      </c>
      <c r="AB3405">
        <v>39</v>
      </c>
      <c r="AC3405">
        <v>0.33379999999999599</v>
      </c>
      <c r="AD3405">
        <v>-0.17735999999999899</v>
      </c>
      <c r="AE3405">
        <v>-9.0800000000001505E-2</v>
      </c>
      <c r="AF3405">
        <v>8.0648559628184499E-2</v>
      </c>
      <c r="AG3405">
        <v>-0.17735999999999899</v>
      </c>
      <c r="AH3405">
        <v>0.26178235757357898</v>
      </c>
      <c r="AI3405">
        <v>122.922232320256</v>
      </c>
      <c r="AJ3405">
        <v>72.8772509234051</v>
      </c>
      <c r="AK3405">
        <v>0.32632922410792797</v>
      </c>
      <c r="AL3405">
        <v>88.660555329754999</v>
      </c>
      <c r="AM3405">
        <v>85.036312538382703</v>
      </c>
      <c r="AN3405">
        <v>0.99999998663730805</v>
      </c>
    </row>
    <row r="3406" spans="1:40" x14ac:dyDescent="0.25">
      <c r="A3406" t="str">
        <f>"20190312154903028"</f>
        <v>20190312154903028</v>
      </c>
      <c r="B3406" t="str">
        <f>"1552376943019403"</f>
        <v>1552376943019403</v>
      </c>
      <c r="C3406" t="s">
        <v>40</v>
      </c>
      <c r="D3406">
        <v>4.8148710000000001</v>
      </c>
      <c r="E3406">
        <v>0.52621700000000005</v>
      </c>
      <c r="F3406" t="s">
        <v>41</v>
      </c>
      <c r="G3406">
        <v>-362.72410000000002</v>
      </c>
      <c r="H3406">
        <v>0.93614889999999995</v>
      </c>
      <c r="I3406">
        <v>215.1018</v>
      </c>
      <c r="J3406">
        <v>-363.01089999999999</v>
      </c>
      <c r="K3406">
        <v>1.1097589999999999</v>
      </c>
      <c r="L3406">
        <v>215.19229999999999</v>
      </c>
      <c r="M3406">
        <v>0.99933890000000003</v>
      </c>
      <c r="N3406">
        <v>0</v>
      </c>
      <c r="O3406">
        <v>3.3128209999999998E-2</v>
      </c>
      <c r="P3406">
        <v>0.99853369999999997</v>
      </c>
      <c r="Q3406">
        <v>9.2886619999999996E-3</v>
      </c>
      <c r="R3406">
        <v>-5.3335519999999997E-2</v>
      </c>
      <c r="S3406">
        <v>2.9928590000000002</v>
      </c>
      <c r="T3406">
        <v>-0.75974770000000003</v>
      </c>
      <c r="U3406">
        <v>-0.33729550000000003</v>
      </c>
      <c r="V3406">
        <v>8.6396249999999994E-2</v>
      </c>
      <c r="W3406">
        <v>2.4190280000000002E-2</v>
      </c>
      <c r="X3406">
        <v>0.99596709999999999</v>
      </c>
      <c r="Y3406">
        <v>0.13944219999999999</v>
      </c>
      <c r="Z3406">
        <v>-2.5627230000000001E-2</v>
      </c>
      <c r="AA3406">
        <v>0.98989859999999996</v>
      </c>
      <c r="AB3406">
        <v>39</v>
      </c>
      <c r="AC3406">
        <v>0.28679999999997102</v>
      </c>
      <c r="AD3406">
        <v>-0.17361009999999999</v>
      </c>
      <c r="AE3406">
        <v>-9.0499999999991601E-2</v>
      </c>
      <c r="AF3406">
        <v>7.4969197676792707E-2</v>
      </c>
      <c r="AG3406">
        <v>-0.17361009999999999</v>
      </c>
      <c r="AH3406">
        <v>0.21274665585586</v>
      </c>
      <c r="AI3406">
        <v>127.58378647286899</v>
      </c>
      <c r="AJ3406">
        <v>70.588194884259394</v>
      </c>
      <c r="AK3406">
        <v>0.28464361401612998</v>
      </c>
      <c r="AL3406">
        <v>88.613863803399397</v>
      </c>
      <c r="AM3406">
        <v>85.042225953342495</v>
      </c>
      <c r="AN3406">
        <v>0.99999997297147503</v>
      </c>
    </row>
    <row r="3407" spans="1:40" x14ac:dyDescent="0.25">
      <c r="A3407" t="str">
        <f>"20190312154903049"</f>
        <v>20190312154903049</v>
      </c>
      <c r="B3407" t="str">
        <f>"1552376943038920"</f>
        <v>1552376943038920</v>
      </c>
      <c r="C3407" t="s">
        <v>40</v>
      </c>
      <c r="D3407">
        <v>4.8098799999999997</v>
      </c>
      <c r="E3407">
        <v>0.52655659999999904</v>
      </c>
      <c r="F3407" t="s">
        <v>41</v>
      </c>
      <c r="G3407">
        <v>-362.05590000000001</v>
      </c>
      <c r="H3407">
        <v>0.86680559999999995</v>
      </c>
      <c r="I3407">
        <v>215.08320000000001</v>
      </c>
      <c r="J3407">
        <v>-362.63200000000001</v>
      </c>
      <c r="K3407">
        <v>1.109756</v>
      </c>
      <c r="L3407">
        <v>215.20480000000001</v>
      </c>
      <c r="M3407">
        <v>0.99934270000000003</v>
      </c>
      <c r="N3407">
        <v>0</v>
      </c>
      <c r="O3407">
        <v>3.3010400000000002E-2</v>
      </c>
      <c r="P3407">
        <v>0.99856230000000001</v>
      </c>
      <c r="Q3407">
        <v>9.1434610000000003E-3</v>
      </c>
      <c r="R3407">
        <v>-5.2821149999999997E-2</v>
      </c>
      <c r="S3407">
        <v>2.9933169999999998</v>
      </c>
      <c r="T3407">
        <v>-0.76158800000000004</v>
      </c>
      <c r="U3407">
        <v>-0.34045409999999998</v>
      </c>
      <c r="V3407">
        <v>8.5766019999999998E-2</v>
      </c>
      <c r="W3407">
        <v>2.4045360000000002E-2</v>
      </c>
      <c r="X3407">
        <v>0.9960251</v>
      </c>
      <c r="Y3407">
        <v>0.14029349999999999</v>
      </c>
      <c r="Z3407">
        <v>-2.5759049999999999E-2</v>
      </c>
      <c r="AA3407">
        <v>0.98977479999999995</v>
      </c>
      <c r="AB3407">
        <v>39</v>
      </c>
      <c r="AC3407">
        <v>0.57609999999993899</v>
      </c>
      <c r="AD3407">
        <v>-0.24295039999999901</v>
      </c>
      <c r="AE3407">
        <v>-0.1216</v>
      </c>
      <c r="AF3407">
        <v>0.120104335691143</v>
      </c>
      <c r="AG3407">
        <v>-0.24295039999999901</v>
      </c>
      <c r="AH3407">
        <v>0.48858552213532203</v>
      </c>
      <c r="AI3407">
        <v>115.77482646781699</v>
      </c>
      <c r="AJ3407">
        <v>76.189358784393406</v>
      </c>
      <c r="AK3407">
        <v>0.55871796172327903</v>
      </c>
      <c r="AL3407">
        <v>88.622169553853197</v>
      </c>
      <c r="AM3407">
        <v>85.0784980566862</v>
      </c>
      <c r="AN3407">
        <v>0.99999999467709</v>
      </c>
    </row>
    <row r="3408" spans="1:40" x14ac:dyDescent="0.25">
      <c r="A3408" t="str">
        <f>"20190312154903073"</f>
        <v>20190312154903073</v>
      </c>
      <c r="B3408" t="str">
        <f>"1552376943059416"</f>
        <v>1552376943059416</v>
      </c>
      <c r="C3408" t="s">
        <v>40</v>
      </c>
      <c r="D3408">
        <v>4.8248470000000001</v>
      </c>
      <c r="E3408">
        <v>0.52680819999999995</v>
      </c>
      <c r="F3408" t="s">
        <v>41</v>
      </c>
      <c r="G3408">
        <v>-361.7063</v>
      </c>
      <c r="H3408">
        <v>0.872829999999999</v>
      </c>
      <c r="I3408">
        <v>215.0992</v>
      </c>
      <c r="J3408">
        <v>-362.23590000000002</v>
      </c>
      <c r="K3408">
        <v>1.109756</v>
      </c>
      <c r="L3408">
        <v>215.21770000000001</v>
      </c>
      <c r="M3408">
        <v>0.99934690000000004</v>
      </c>
      <c r="N3408">
        <v>0</v>
      </c>
      <c r="O3408">
        <v>3.2883799999999998E-2</v>
      </c>
      <c r="P3408">
        <v>0.99857790000000002</v>
      </c>
      <c r="Q3408">
        <v>8.5341029999999995E-3</v>
      </c>
      <c r="R3408">
        <v>-5.2627689999999998E-2</v>
      </c>
      <c r="S3408">
        <v>2.9933169999999998</v>
      </c>
      <c r="T3408">
        <v>-0.76616619999999902</v>
      </c>
      <c r="U3408">
        <v>-0.3410492</v>
      </c>
      <c r="V3408">
        <v>8.544707E-2</v>
      </c>
      <c r="W3408">
        <v>2.3435649999999999E-2</v>
      </c>
      <c r="X3408">
        <v>0.99606700000000004</v>
      </c>
      <c r="Y3408">
        <v>0.1403016</v>
      </c>
      <c r="Z3408">
        <v>-2.587805E-2</v>
      </c>
      <c r="AA3408">
        <v>0.98977059999999994</v>
      </c>
      <c r="AB3408">
        <v>39</v>
      </c>
      <c r="AC3408">
        <v>0.52960000000001595</v>
      </c>
      <c r="AD3408">
        <v>-0.236926</v>
      </c>
      <c r="AE3408">
        <v>-0.118500000000011</v>
      </c>
      <c r="AF3408">
        <v>0.114105164950461</v>
      </c>
      <c r="AG3408">
        <v>-0.236926</v>
      </c>
      <c r="AH3408">
        <v>0.44130544916579401</v>
      </c>
      <c r="AI3408">
        <v>117.464574875059</v>
      </c>
      <c r="AJ3408">
        <v>75.5029431024644</v>
      </c>
      <c r="AK3408">
        <v>0.513716281236828</v>
      </c>
      <c r="AL3408">
        <v>88.657113152982006</v>
      </c>
      <c r="AM3408">
        <v>85.096916187915795</v>
      </c>
      <c r="AN3408">
        <v>0.99999994997575203</v>
      </c>
    </row>
    <row r="3409" spans="1:40" x14ac:dyDescent="0.25">
      <c r="A3409" t="str">
        <f>"20190312154903095"</f>
        <v>20190312154903095</v>
      </c>
      <c r="B3409" t="str">
        <f>"1552376943089672"</f>
        <v>1552376943089672</v>
      </c>
      <c r="C3409" t="s">
        <v>40</v>
      </c>
      <c r="D3409">
        <v>4.8300199999999904</v>
      </c>
      <c r="E3409">
        <v>0.52702890000000002</v>
      </c>
      <c r="F3409" t="s">
        <v>41</v>
      </c>
      <c r="G3409">
        <v>-361.35559999999998</v>
      </c>
      <c r="H3409">
        <v>0.88273819999999903</v>
      </c>
      <c r="I3409">
        <v>215.11689999999999</v>
      </c>
      <c r="J3409">
        <v>-361.84129999999999</v>
      </c>
      <c r="K3409">
        <v>1.10975</v>
      </c>
      <c r="L3409">
        <v>215.23060000000001</v>
      </c>
      <c r="M3409">
        <v>0.99935099999999999</v>
      </c>
      <c r="N3409">
        <v>0</v>
      </c>
      <c r="O3409">
        <v>3.2755020000000003E-2</v>
      </c>
      <c r="P3409">
        <v>0.99859790000000004</v>
      </c>
      <c r="Q3409">
        <v>8.1553279999999999E-3</v>
      </c>
      <c r="R3409">
        <v>-5.2302800000000003E-2</v>
      </c>
      <c r="S3409">
        <v>2.9929199999999998</v>
      </c>
      <c r="T3409">
        <v>-0.77191189999999998</v>
      </c>
      <c r="U3409">
        <v>-0.34202579999999999</v>
      </c>
      <c r="V3409">
        <v>8.499495E-2</v>
      </c>
      <c r="W3409">
        <v>2.305668E-2</v>
      </c>
      <c r="X3409">
        <v>0.99611459999999996</v>
      </c>
      <c r="Y3409">
        <v>0.14042479999999999</v>
      </c>
      <c r="Z3409">
        <v>-2.6051910000000001E-2</v>
      </c>
      <c r="AA3409">
        <v>0.98974850000000003</v>
      </c>
      <c r="AB3409">
        <v>39</v>
      </c>
      <c r="AC3409">
        <v>0.48570000000000801</v>
      </c>
      <c r="AD3409">
        <v>-0.22701180000000001</v>
      </c>
      <c r="AE3409">
        <v>-0.11370000000002201</v>
      </c>
      <c r="AF3409">
        <v>0.107322801535914</v>
      </c>
      <c r="AG3409">
        <v>-0.22701180000000001</v>
      </c>
      <c r="AH3409">
        <v>0.39906611751701798</v>
      </c>
      <c r="AI3409">
        <v>118.781693870867</v>
      </c>
      <c r="AJ3409">
        <v>74.947319999385599</v>
      </c>
      <c r="AK3409">
        <v>0.47149369796304202</v>
      </c>
      <c r="AL3409">
        <v>88.678832502972099</v>
      </c>
      <c r="AM3409">
        <v>85.122965990500603</v>
      </c>
      <c r="AN3409">
        <v>1.0000000241756399</v>
      </c>
    </row>
    <row r="3410" spans="1:40" x14ac:dyDescent="0.25">
      <c r="A3410" t="str">
        <f>"20190312154903117"</f>
        <v>20190312154903117</v>
      </c>
      <c r="B3410" t="str">
        <f>"1552376943109192"</f>
        <v>1552376943109192</v>
      </c>
      <c r="C3410" t="s">
        <v>40</v>
      </c>
      <c r="D3410">
        <v>4.8236140000000001</v>
      </c>
      <c r="E3410">
        <v>0.52717939999999996</v>
      </c>
      <c r="F3410" t="s">
        <v>41</v>
      </c>
      <c r="G3410">
        <v>-361.00529999999998</v>
      </c>
      <c r="H3410">
        <v>0.89253930000000004</v>
      </c>
      <c r="I3410">
        <v>215.13489999999999</v>
      </c>
      <c r="J3410">
        <v>-361.44830000000002</v>
      </c>
      <c r="K3410">
        <v>1.1097459999999999</v>
      </c>
      <c r="L3410">
        <v>215.24340000000001</v>
      </c>
      <c r="M3410">
        <v>0.99935529999999995</v>
      </c>
      <c r="N3410">
        <v>0</v>
      </c>
      <c r="O3410">
        <v>3.2625139999999997E-2</v>
      </c>
      <c r="P3410">
        <v>0.99858690000000006</v>
      </c>
      <c r="Q3410">
        <v>8.2924750000000005E-3</v>
      </c>
      <c r="R3410">
        <v>-5.249185E-2</v>
      </c>
      <c r="S3410">
        <v>2.9926149999999998</v>
      </c>
      <c r="T3410">
        <v>-0.77758169999999904</v>
      </c>
      <c r="U3410">
        <v>-0.34239199999999997</v>
      </c>
      <c r="V3410">
        <v>8.5054420000000006E-2</v>
      </c>
      <c r="W3410">
        <v>2.319206E-2</v>
      </c>
      <c r="X3410">
        <v>0.99610639999999995</v>
      </c>
      <c r="Y3410">
        <v>0.14035159999999999</v>
      </c>
      <c r="Z3410">
        <v>-2.6197149999999999E-2</v>
      </c>
      <c r="AA3410">
        <v>0.9897551</v>
      </c>
      <c r="AB3410">
        <v>39</v>
      </c>
      <c r="AC3410">
        <v>0.44300000000003997</v>
      </c>
      <c r="AD3410">
        <v>-0.217206699999999</v>
      </c>
      <c r="AE3410">
        <v>-0.10850000000002</v>
      </c>
      <c r="AF3410">
        <v>0.10017689440222401</v>
      </c>
      <c r="AG3410">
        <v>-0.217206699999999</v>
      </c>
      <c r="AH3410">
        <v>0.35802469970073098</v>
      </c>
      <c r="AI3410">
        <v>120.295241359733</v>
      </c>
      <c r="AJ3410">
        <v>74.368145164062696</v>
      </c>
      <c r="AK3410">
        <v>0.43057617943026399</v>
      </c>
      <c r="AL3410">
        <v>88.671073750901996</v>
      </c>
      <c r="AM3410">
        <v>85.119530079647802</v>
      </c>
      <c r="AN3410">
        <v>1.00000004306476</v>
      </c>
    </row>
    <row r="3411" spans="1:40" x14ac:dyDescent="0.25">
      <c r="A3411" t="str">
        <f>"20190312154903141"</f>
        <v>20190312154903141</v>
      </c>
      <c r="B3411" t="str">
        <f>"1552376943128712"</f>
        <v>1552376943128712</v>
      </c>
      <c r="C3411" t="s">
        <v>40</v>
      </c>
      <c r="D3411">
        <v>4.8326279999999997</v>
      </c>
      <c r="E3411">
        <v>0.52723969999999998</v>
      </c>
      <c r="F3411" t="s">
        <v>41</v>
      </c>
      <c r="G3411">
        <v>-360.65519999999998</v>
      </c>
      <c r="H3411">
        <v>0.90300239999999998</v>
      </c>
      <c r="I3411">
        <v>215.15209999999999</v>
      </c>
      <c r="J3411">
        <v>-361.05549999999999</v>
      </c>
      <c r="K3411">
        <v>1.109739</v>
      </c>
      <c r="L3411">
        <v>215.2561</v>
      </c>
      <c r="M3411">
        <v>0.99935969999999996</v>
      </c>
      <c r="N3411">
        <v>0</v>
      </c>
      <c r="O3411">
        <v>3.2494429999999998E-2</v>
      </c>
      <c r="P3411">
        <v>0.99858219999999998</v>
      </c>
      <c r="Q3411">
        <v>8.5844570000000002E-3</v>
      </c>
      <c r="R3411">
        <v>-5.2536260000000001E-2</v>
      </c>
      <c r="S3411">
        <v>2.9925839999999999</v>
      </c>
      <c r="T3411">
        <v>-0.78001399999999999</v>
      </c>
      <c r="U3411">
        <v>-0.34440609999999999</v>
      </c>
      <c r="V3411">
        <v>8.4968459999999996E-2</v>
      </c>
      <c r="W3411">
        <v>2.3482369999999999E-2</v>
      </c>
      <c r="X3411">
        <v>0.99610690000000002</v>
      </c>
      <c r="Y3411">
        <v>0.1408346</v>
      </c>
      <c r="Z3411">
        <v>-2.63041E-2</v>
      </c>
      <c r="AA3411">
        <v>0.9896836</v>
      </c>
      <c r="AB3411">
        <v>39</v>
      </c>
      <c r="AC3411">
        <v>0.40030000000001498</v>
      </c>
      <c r="AD3411">
        <v>-0.20673659999999999</v>
      </c>
      <c r="AE3411">
        <v>-0.104000000000013</v>
      </c>
      <c r="AF3411">
        <v>9.3573740499328303E-2</v>
      </c>
      <c r="AG3411">
        <v>-0.20673659999999999</v>
      </c>
      <c r="AH3411">
        <v>0.31740263635536298</v>
      </c>
      <c r="AI3411">
        <v>121.995265246542</v>
      </c>
      <c r="AJ3411">
        <v>73.573911241757898</v>
      </c>
      <c r="AK3411">
        <v>0.39018008695464002</v>
      </c>
      <c r="AL3411">
        <v>88.654435635998894</v>
      </c>
      <c r="AM3411">
        <v>85.124441159494907</v>
      </c>
      <c r="AN3411">
        <v>1.0000000085615901</v>
      </c>
    </row>
    <row r="3412" spans="1:40" x14ac:dyDescent="0.25">
      <c r="A3412" t="str">
        <f>"20190312154903161"</f>
        <v>20190312154903161</v>
      </c>
      <c r="B3412" t="str">
        <f>"1552376943149208"</f>
        <v>1552376943149208</v>
      </c>
      <c r="C3412" t="s">
        <v>40</v>
      </c>
      <c r="D3412">
        <v>4.8627589999999996</v>
      </c>
      <c r="E3412">
        <v>0.52732999999999997</v>
      </c>
      <c r="F3412" t="s">
        <v>41</v>
      </c>
      <c r="G3412">
        <v>-360.30520000000001</v>
      </c>
      <c r="H3412">
        <v>0.91373490000000002</v>
      </c>
      <c r="I3412">
        <v>215.1694</v>
      </c>
      <c r="J3412">
        <v>-360.69189999999998</v>
      </c>
      <c r="K3412">
        <v>1.109737</v>
      </c>
      <c r="L3412">
        <v>215.26779999999999</v>
      </c>
      <c r="M3412">
        <v>0.99936369999999997</v>
      </c>
      <c r="N3412">
        <v>0</v>
      </c>
      <c r="O3412">
        <v>3.2372989999999997E-2</v>
      </c>
      <c r="P3412">
        <v>0.9985636</v>
      </c>
      <c r="Q3412">
        <v>8.3155580000000007E-3</v>
      </c>
      <c r="R3412">
        <v>-5.2934219999999997E-2</v>
      </c>
      <c r="S3412">
        <v>2.9928279999999998</v>
      </c>
      <c r="T3412">
        <v>-0.78189419999999898</v>
      </c>
      <c r="U3412">
        <v>-0.34498600000000001</v>
      </c>
      <c r="V3412">
        <v>8.5244589999999995E-2</v>
      </c>
      <c r="W3412">
        <v>2.321113E-2</v>
      </c>
      <c r="X3412">
        <v>0.99608960000000002</v>
      </c>
      <c r="Y3412">
        <v>0.1408712</v>
      </c>
      <c r="Z3412">
        <v>-2.6336680000000001E-2</v>
      </c>
      <c r="AA3412">
        <v>0.98967749999999999</v>
      </c>
      <c r="AB3412">
        <v>39</v>
      </c>
      <c r="AC3412">
        <v>0.38669999999996202</v>
      </c>
      <c r="AD3412">
        <v>-0.19600210000000001</v>
      </c>
      <c r="AE3412">
        <v>-9.8399999999998003E-2</v>
      </c>
      <c r="AF3412">
        <v>8.9317682355640901E-2</v>
      </c>
      <c r="AG3412">
        <v>-0.19600210000000001</v>
      </c>
      <c r="AH3412">
        <v>0.30880278589348897</v>
      </c>
      <c r="AI3412">
        <v>121.37165930191701</v>
      </c>
      <c r="AJ3412">
        <v>73.8680904669678</v>
      </c>
      <c r="AK3412">
        <v>0.376501835535198</v>
      </c>
      <c r="AL3412">
        <v>88.669980694383199</v>
      </c>
      <c r="AM3412">
        <v>85.108588804876405</v>
      </c>
      <c r="AN3412">
        <v>0.99999994395415004</v>
      </c>
    </row>
    <row r="3413" spans="1:40" x14ac:dyDescent="0.25">
      <c r="A3413" t="str">
        <f>"20190312154903184"</f>
        <v>20190312154903184</v>
      </c>
      <c r="B3413" t="str">
        <f>"1552376943179465"</f>
        <v>1552376943179465</v>
      </c>
      <c r="C3413" t="s">
        <v>40</v>
      </c>
      <c r="D3413">
        <v>4.8832449999999996</v>
      </c>
      <c r="E3413">
        <v>0.52746649999999995</v>
      </c>
      <c r="F3413" t="s">
        <v>41</v>
      </c>
      <c r="G3413">
        <v>-359.95839999999998</v>
      </c>
      <c r="H3413">
        <v>0.91718469999999996</v>
      </c>
      <c r="I3413">
        <v>215.1825</v>
      </c>
      <c r="J3413">
        <v>-360.30189999999999</v>
      </c>
      <c r="K3413">
        <v>1.109731</v>
      </c>
      <c r="L3413">
        <v>215.28030000000001</v>
      </c>
      <c r="M3413">
        <v>0.99936800000000003</v>
      </c>
      <c r="N3413">
        <v>0</v>
      </c>
      <c r="O3413">
        <v>3.2240810000000002E-2</v>
      </c>
      <c r="P3413">
        <v>0.99856409999999995</v>
      </c>
      <c r="Q3413">
        <v>7.8234369999999904E-3</v>
      </c>
      <c r="R3413">
        <v>-5.2999619999999997E-2</v>
      </c>
      <c r="S3413">
        <v>2.9924930000000001</v>
      </c>
      <c r="T3413">
        <v>-0.78559939999999995</v>
      </c>
      <c r="U3413">
        <v>-0.34651179999999998</v>
      </c>
      <c r="V3413">
        <v>8.5178229999999994E-2</v>
      </c>
      <c r="W3413">
        <v>2.2716299999999998E-2</v>
      </c>
      <c r="X3413">
        <v>0.99610670000000001</v>
      </c>
      <c r="Y3413">
        <v>0.14119019999999999</v>
      </c>
      <c r="Z3413">
        <v>-2.646658E-2</v>
      </c>
      <c r="AA3413">
        <v>0.98962870000000003</v>
      </c>
      <c r="AB3413">
        <v>39</v>
      </c>
      <c r="AC3413">
        <v>0.34350000000000502</v>
      </c>
      <c r="AD3413">
        <v>-0.1925463</v>
      </c>
      <c r="AE3413">
        <v>-9.7800000000006507E-2</v>
      </c>
      <c r="AF3413">
        <v>8.4318260579573798E-2</v>
      </c>
      <c r="AG3413">
        <v>-0.1925463</v>
      </c>
      <c r="AH3413">
        <v>0.26356385306647001</v>
      </c>
      <c r="AI3413">
        <v>124.830561805279</v>
      </c>
      <c r="AJ3413">
        <v>72.259700785382904</v>
      </c>
      <c r="AK3413">
        <v>0.33711949121060703</v>
      </c>
      <c r="AL3413">
        <v>88.698339865369704</v>
      </c>
      <c r="AM3413">
        <v>85.112461646828706</v>
      </c>
      <c r="AN3413">
        <v>0.99999995946825504</v>
      </c>
    </row>
    <row r="3414" spans="1:40" x14ac:dyDescent="0.25">
      <c r="A3414" t="str">
        <f>"20190312154903206"</f>
        <v>20190312154903206</v>
      </c>
      <c r="B3414" t="str">
        <f>"1552376943198984"</f>
        <v>1552376943198984</v>
      </c>
      <c r="C3414" t="s">
        <v>40</v>
      </c>
      <c r="D3414">
        <v>4.8597039999999998</v>
      </c>
      <c r="E3414">
        <v>0.52753909999999904</v>
      </c>
      <c r="F3414" t="s">
        <v>41</v>
      </c>
      <c r="G3414">
        <v>-359.60930000000002</v>
      </c>
      <c r="H3414">
        <v>0.92652500000000004</v>
      </c>
      <c r="I3414">
        <v>215.1996</v>
      </c>
      <c r="J3414">
        <v>-359.92809999999997</v>
      </c>
      <c r="K3414">
        <v>1.109726</v>
      </c>
      <c r="L3414">
        <v>215.29220000000001</v>
      </c>
      <c r="M3414">
        <v>0.99937220000000004</v>
      </c>
      <c r="N3414">
        <v>0</v>
      </c>
      <c r="O3414">
        <v>3.2111559999999997E-2</v>
      </c>
      <c r="P3414">
        <v>0.99852839999999998</v>
      </c>
      <c r="Q3414">
        <v>7.79279E-3</v>
      </c>
      <c r="R3414">
        <v>-5.3674659999999999E-2</v>
      </c>
      <c r="S3414">
        <v>2.9920650000000002</v>
      </c>
      <c r="T3414">
        <v>-0.79148009999999902</v>
      </c>
      <c r="U3414">
        <v>-0.34750370000000003</v>
      </c>
      <c r="V3414">
        <v>8.5723179999999996E-2</v>
      </c>
      <c r="W3414">
        <v>2.2681980000000001E-2</v>
      </c>
      <c r="X3414">
        <v>0.99606079999999997</v>
      </c>
      <c r="Y3414">
        <v>0.1413151</v>
      </c>
      <c r="Z3414">
        <v>-2.6644049999999999E-2</v>
      </c>
      <c r="AA3414">
        <v>0.98960610000000004</v>
      </c>
      <c r="AB3414">
        <v>39</v>
      </c>
      <c r="AC3414">
        <v>0.31879999999995301</v>
      </c>
      <c r="AD3414">
        <v>-0.183200999999999</v>
      </c>
      <c r="AE3414">
        <v>-9.2600000000004401E-2</v>
      </c>
      <c r="AF3414">
        <v>7.8794585939693906E-2</v>
      </c>
      <c r="AG3414">
        <v>-0.183200999999999</v>
      </c>
      <c r="AH3414">
        <v>0.24197198092330799</v>
      </c>
      <c r="AI3414">
        <v>125.750458399846</v>
      </c>
      <c r="AJ3414">
        <v>71.962928973758196</v>
      </c>
      <c r="AK3414">
        <v>0.31356280507476902</v>
      </c>
      <c r="AL3414">
        <v>88.700306850593094</v>
      </c>
      <c r="AM3414">
        <v>85.081119714416403</v>
      </c>
      <c r="AN3414">
        <v>1.00000002655133</v>
      </c>
    </row>
    <row r="3415" spans="1:40" x14ac:dyDescent="0.25">
      <c r="A3415" t="str">
        <f>"20190312154903239"</f>
        <v>20190312154903239</v>
      </c>
      <c r="B3415" t="str">
        <f>"1552376943229243"</f>
        <v>1552376943229243</v>
      </c>
      <c r="C3415" t="s">
        <v>40</v>
      </c>
      <c r="D3415">
        <v>4.8857989999999996</v>
      </c>
      <c r="E3415">
        <v>0.52768210000000004</v>
      </c>
      <c r="F3415" t="s">
        <v>41</v>
      </c>
      <c r="G3415">
        <v>-358.95049999999998</v>
      </c>
      <c r="H3415">
        <v>0.85027359999999896</v>
      </c>
      <c r="I3415">
        <v>215.17769999999999</v>
      </c>
      <c r="J3415">
        <v>-359.35930000000002</v>
      </c>
      <c r="K3415">
        <v>1.109721</v>
      </c>
      <c r="L3415">
        <v>215.31030000000001</v>
      </c>
      <c r="M3415">
        <v>0.99937860000000001</v>
      </c>
      <c r="N3415">
        <v>0</v>
      </c>
      <c r="O3415">
        <v>3.1911019999999998E-2</v>
      </c>
      <c r="P3415">
        <v>0.99846310000000005</v>
      </c>
      <c r="Q3415">
        <v>8.3711710000000002E-3</v>
      </c>
      <c r="R3415">
        <v>-5.4785180000000003E-2</v>
      </c>
      <c r="S3415">
        <v>2.9918819999999999</v>
      </c>
      <c r="T3415">
        <v>-0.794099</v>
      </c>
      <c r="U3415">
        <v>-0.34971619999999998</v>
      </c>
      <c r="V3415">
        <v>8.6631509999999995E-2</v>
      </c>
      <c r="W3415">
        <v>2.3253079999999999E-2</v>
      </c>
      <c r="X3415">
        <v>0.99596899999999999</v>
      </c>
      <c r="Y3415">
        <v>0.14179739999999999</v>
      </c>
      <c r="Z3415">
        <v>-2.674033E-2</v>
      </c>
      <c r="AA3415">
        <v>0.98953440000000004</v>
      </c>
      <c r="AB3415">
        <v>39</v>
      </c>
      <c r="AC3415">
        <v>0.40880000000004202</v>
      </c>
      <c r="AD3415">
        <v>-0.25944739999999999</v>
      </c>
      <c r="AE3415">
        <v>-0.132600000000024</v>
      </c>
      <c r="AF3415">
        <v>0.106694813330503</v>
      </c>
      <c r="AG3415">
        <v>-0.25944739999999999</v>
      </c>
      <c r="AH3415">
        <v>0.29635497199459698</v>
      </c>
      <c r="AI3415">
        <v>129.47843992334199</v>
      </c>
      <c r="AJ3415">
        <v>70.1999215730809</v>
      </c>
      <c r="AK3415">
        <v>0.40807230484842899</v>
      </c>
      <c r="AL3415">
        <v>88.667576544240703</v>
      </c>
      <c r="AM3415">
        <v>85.028802757522499</v>
      </c>
      <c r="AN3415">
        <v>0.99999998660768297</v>
      </c>
    </row>
    <row r="3416" spans="1:40" x14ac:dyDescent="0.25">
      <c r="A3416" t="str">
        <f>"20190312154903261"</f>
        <v>20190312154903261</v>
      </c>
      <c r="B3416" t="str">
        <f>"1552376943248760"</f>
        <v>1552376943248760</v>
      </c>
      <c r="C3416" t="s">
        <v>40</v>
      </c>
      <c r="D3416">
        <v>4.9031589999999996</v>
      </c>
      <c r="E3416">
        <v>0.5277927</v>
      </c>
      <c r="F3416" t="s">
        <v>41</v>
      </c>
      <c r="G3416">
        <v>-358.58589999999998</v>
      </c>
      <c r="H3416">
        <v>0.90396880000000002</v>
      </c>
      <c r="I3416">
        <v>215.21850000000001</v>
      </c>
      <c r="J3416">
        <v>-358.97500000000002</v>
      </c>
      <c r="K3416">
        <v>1.10972</v>
      </c>
      <c r="L3416">
        <v>215.32239999999999</v>
      </c>
      <c r="M3416">
        <v>0.99938320000000003</v>
      </c>
      <c r="N3416">
        <v>0</v>
      </c>
      <c r="O3416">
        <v>3.1772359999999999E-2</v>
      </c>
      <c r="P3416">
        <v>0.99844719999999998</v>
      </c>
      <c r="Q3416">
        <v>8.6405219999999994E-3</v>
      </c>
      <c r="R3416">
        <v>-5.5034800000000002E-2</v>
      </c>
      <c r="S3416">
        <v>2.991943</v>
      </c>
      <c r="T3416">
        <v>-0.79597320000000005</v>
      </c>
      <c r="U3416">
        <v>-0.35371399999999997</v>
      </c>
      <c r="V3416">
        <v>8.6742399999999997E-2</v>
      </c>
      <c r="W3416">
        <v>2.3519080000000001E-2</v>
      </c>
      <c r="X3416">
        <v>0.99595310000000004</v>
      </c>
      <c r="Y3416">
        <v>0.14290239999999901</v>
      </c>
      <c r="Z3416">
        <v>-2.6906719999999999E-2</v>
      </c>
      <c r="AA3416">
        <v>0.989371</v>
      </c>
      <c r="AB3416">
        <v>39</v>
      </c>
      <c r="AC3416">
        <v>0.38910000000004102</v>
      </c>
      <c r="AD3416">
        <v>-0.2057512</v>
      </c>
      <c r="AE3416">
        <v>-0.10389999999998099</v>
      </c>
      <c r="AF3416">
        <v>9.2157826959056596E-2</v>
      </c>
      <c r="AG3416">
        <v>-0.2057512</v>
      </c>
      <c r="AH3416">
        <v>0.30578926644433202</v>
      </c>
      <c r="AI3416">
        <v>122.79091197558</v>
      </c>
      <c r="AJ3416">
        <v>73.228405569061294</v>
      </c>
      <c r="AK3416">
        <v>0.37991274898826199</v>
      </c>
      <c r="AL3416">
        <v>88.652331694110302</v>
      </c>
      <c r="AM3416">
        <v>85.022392411863507</v>
      </c>
      <c r="AN3416">
        <v>0.99999998424070802</v>
      </c>
    </row>
    <row r="3417" spans="1:40" x14ac:dyDescent="0.25">
      <c r="A3417" t="str">
        <f>"20190312154903283"</f>
        <v>20190312154903283</v>
      </c>
      <c r="B3417" t="str">
        <f>"1552376943279016"</f>
        <v>1552376943279016</v>
      </c>
      <c r="C3417" t="s">
        <v>40</v>
      </c>
      <c r="D3417">
        <v>4.8393959999999998</v>
      </c>
      <c r="E3417">
        <v>0.51521459999999997</v>
      </c>
      <c r="F3417" t="s">
        <v>41</v>
      </c>
      <c r="G3417">
        <v>-358.23869999999999</v>
      </c>
      <c r="H3417">
        <v>0.91347869999999998</v>
      </c>
      <c r="I3417">
        <v>215.23490000000001</v>
      </c>
      <c r="J3417">
        <v>-358.58210000000003</v>
      </c>
      <c r="K3417">
        <v>1.109715</v>
      </c>
      <c r="L3417">
        <v>215.3348</v>
      </c>
      <c r="M3417">
        <v>0.99938769999999999</v>
      </c>
      <c r="N3417">
        <v>0</v>
      </c>
      <c r="O3417">
        <v>3.1626840000000003E-2</v>
      </c>
      <c r="P3417">
        <v>0.99839990000000001</v>
      </c>
      <c r="Q3417">
        <v>8.8491339999999998E-3</v>
      </c>
      <c r="R3417">
        <v>-5.5854939999999999E-2</v>
      </c>
      <c r="S3417">
        <v>2.9919739999999999</v>
      </c>
      <c r="T3417">
        <v>-0.79749539999999997</v>
      </c>
      <c r="U3417">
        <v>-0.35520940000000001</v>
      </c>
      <c r="V3417">
        <v>8.7415900000000005E-2</v>
      </c>
      <c r="W3417">
        <v>2.3722159999999999E-2</v>
      </c>
      <c r="X3417">
        <v>0.99588940000000004</v>
      </c>
      <c r="Y3417">
        <v>0.14321700000000001</v>
      </c>
      <c r="Z3417">
        <v>-2.6958510000000001E-2</v>
      </c>
      <c r="AA3417">
        <v>0.98932410000000004</v>
      </c>
      <c r="AB3417">
        <v>38</v>
      </c>
      <c r="AC3417">
        <v>0.34340000000003101</v>
      </c>
      <c r="AD3417">
        <v>-0.1962363</v>
      </c>
      <c r="AE3417">
        <v>-9.9899999999990996E-2</v>
      </c>
      <c r="AF3417">
        <v>8.50925643596981E-2</v>
      </c>
      <c r="AG3417">
        <v>-0.1962363</v>
      </c>
      <c r="AH3417">
        <v>0.26137467700016298</v>
      </c>
      <c r="AI3417">
        <v>125.523245587617</v>
      </c>
      <c r="AJ3417">
        <v>71.966936874286205</v>
      </c>
      <c r="AK3417">
        <v>0.33773680836405501</v>
      </c>
      <c r="AL3417">
        <v>88.640692825807506</v>
      </c>
      <c r="AM3417">
        <v>84.983621645773198</v>
      </c>
      <c r="AN3417">
        <v>0.99999998874011697</v>
      </c>
    </row>
    <row r="3418" spans="1:40" x14ac:dyDescent="0.25">
      <c r="A3418" t="str">
        <f>"20190312154903307"</f>
        <v>20190312154903307</v>
      </c>
      <c r="B3418" t="str">
        <f>"1552376943299512"</f>
        <v>1552376943299512</v>
      </c>
      <c r="C3418" t="s">
        <v>40</v>
      </c>
      <c r="D3418">
        <v>4.8843629999999996</v>
      </c>
      <c r="E3418">
        <v>0.51040090000000005</v>
      </c>
      <c r="F3418" t="s">
        <v>41</v>
      </c>
      <c r="G3418">
        <v>-357.86610000000002</v>
      </c>
      <c r="H3418">
        <v>0.97735349999999999</v>
      </c>
      <c r="I3418">
        <v>215.2706</v>
      </c>
      <c r="J3418">
        <v>-358.1943</v>
      </c>
      <c r="K3418">
        <v>1.1097140000000001</v>
      </c>
      <c r="L3418">
        <v>215.34690000000001</v>
      </c>
      <c r="M3418">
        <v>0.99939250000000002</v>
      </c>
      <c r="N3418">
        <v>0</v>
      </c>
      <c r="O3418">
        <v>3.1478449999999998E-2</v>
      </c>
      <c r="P3418">
        <v>0.99837359999999997</v>
      </c>
      <c r="Q3418">
        <v>8.5513469999999904E-3</v>
      </c>
      <c r="R3418">
        <v>-5.6368540000000002E-2</v>
      </c>
      <c r="S3418">
        <v>2.9947810000000001</v>
      </c>
      <c r="T3418">
        <v>-0.55382739999999997</v>
      </c>
      <c r="U3418">
        <v>-0.26646419999999998</v>
      </c>
      <c r="V3418">
        <v>8.7780839999999999E-2</v>
      </c>
      <c r="W3418">
        <v>2.3419929999999999E-2</v>
      </c>
      <c r="X3418">
        <v>0.99586450000000004</v>
      </c>
      <c r="Y3418">
        <v>0.1174333</v>
      </c>
      <c r="Z3418">
        <v>-1.650975E-2</v>
      </c>
      <c r="AA3418">
        <v>0.99294349999999998</v>
      </c>
      <c r="AB3418">
        <v>38</v>
      </c>
      <c r="AC3418">
        <v>0.32819999999998101</v>
      </c>
      <c r="AD3418">
        <v>-0.13236049999999899</v>
      </c>
      <c r="AE3418">
        <v>-7.6300000000003296E-2</v>
      </c>
      <c r="AF3418">
        <v>7.5018796678984895E-2</v>
      </c>
      <c r="AG3418">
        <v>-0.13236049999999899</v>
      </c>
      <c r="AH3418">
        <v>0.282105057291473</v>
      </c>
      <c r="AI3418">
        <v>114.390970554079</v>
      </c>
      <c r="AJ3418">
        <v>75.108261541600299</v>
      </c>
      <c r="AK3418">
        <v>0.32051581109960497</v>
      </c>
      <c r="AL3418">
        <v>88.658014204989698</v>
      </c>
      <c r="AM3418">
        <v>84.962661715831402</v>
      </c>
      <c r="AN3418">
        <v>1.0000000356762699</v>
      </c>
    </row>
    <row r="3419" spans="1:40" x14ac:dyDescent="0.25">
      <c r="A3419" t="str">
        <f>"20190312154903329"</f>
        <v>20190312154903329</v>
      </c>
      <c r="B3419" t="str">
        <f>"1552376943319032"</f>
        <v>1552376943319032</v>
      </c>
      <c r="C3419" t="s">
        <v>40</v>
      </c>
      <c r="D3419">
        <v>4.9363580000000002</v>
      </c>
      <c r="E3419">
        <v>0.50736689999999995</v>
      </c>
      <c r="F3419" t="s">
        <v>41</v>
      </c>
      <c r="G3419">
        <v>-357.17619999999999</v>
      </c>
      <c r="H3419">
        <v>0.98480080000000003</v>
      </c>
      <c r="I3419">
        <v>215.2662</v>
      </c>
      <c r="J3419">
        <v>-357.80579999999998</v>
      </c>
      <c r="K3419">
        <v>1.10971</v>
      </c>
      <c r="L3419">
        <v>215.35900000000001</v>
      </c>
      <c r="M3419">
        <v>0.99939739999999999</v>
      </c>
      <c r="N3419">
        <v>0</v>
      </c>
      <c r="O3419">
        <v>3.1325949999999998E-2</v>
      </c>
      <c r="P3419">
        <v>0.99834219999999896</v>
      </c>
      <c r="Q3419">
        <v>8.9362799999999996E-3</v>
      </c>
      <c r="R3419">
        <v>-5.6864650000000003E-2</v>
      </c>
      <c r="S3419">
        <v>2.994659</v>
      </c>
      <c r="T3419">
        <v>-0.36747619999999998</v>
      </c>
      <c r="U3419">
        <v>-0.2368469</v>
      </c>
      <c r="V3419">
        <v>8.8123809999999997E-2</v>
      </c>
      <c r="W3419">
        <v>2.3799379999999998E-2</v>
      </c>
      <c r="X3419">
        <v>0.99582519999999997</v>
      </c>
      <c r="Y3419">
        <v>0.1089902</v>
      </c>
      <c r="Z3419">
        <v>-1.047676E-2</v>
      </c>
      <c r="AA3419">
        <v>0.99398759999999997</v>
      </c>
      <c r="AB3419">
        <v>38</v>
      </c>
      <c r="AC3419">
        <v>0.62959999999998195</v>
      </c>
      <c r="AD3419">
        <v>-0.124909199999999</v>
      </c>
      <c r="AE3419">
        <v>-9.2800000000011096E-2</v>
      </c>
      <c r="AF3419">
        <v>0.10830710427825201</v>
      </c>
      <c r="AG3419">
        <v>-0.124909199999999</v>
      </c>
      <c r="AH3419">
        <v>0.60314820987518403</v>
      </c>
      <c r="AI3419">
        <v>101.521058613373</v>
      </c>
      <c r="AJ3419">
        <v>79.819912282686303</v>
      </c>
      <c r="AK3419">
        <v>0.62539627449915303</v>
      </c>
      <c r="AL3419">
        <v>88.636267242462793</v>
      </c>
      <c r="AM3419">
        <v>84.942883565098995</v>
      </c>
      <c r="AN3419">
        <v>1.0000000226661601</v>
      </c>
    </row>
    <row r="3420" spans="1:40" x14ac:dyDescent="0.25">
      <c r="A3420" t="str">
        <f>"20190312154903351"</f>
        <v>20190312154903351</v>
      </c>
      <c r="B3420" t="str">
        <f>"1552376943339528"</f>
        <v>1552376943339528</v>
      </c>
      <c r="C3420" t="s">
        <v>40</v>
      </c>
      <c r="D3420">
        <v>4.9272400000000003</v>
      </c>
      <c r="E3420">
        <v>0.50609589999999904</v>
      </c>
      <c r="F3420" t="s">
        <v>41</v>
      </c>
      <c r="G3420">
        <v>-356.81599999999997</v>
      </c>
      <c r="H3420">
        <v>1.0227109999999999</v>
      </c>
      <c r="I3420">
        <v>215.2868</v>
      </c>
      <c r="J3420">
        <v>-357.44529999999997</v>
      </c>
      <c r="K3420">
        <v>1.1097140000000001</v>
      </c>
      <c r="L3420">
        <v>215.37010000000001</v>
      </c>
      <c r="M3420">
        <v>0.99940189999999995</v>
      </c>
      <c r="N3420">
        <v>0</v>
      </c>
      <c r="O3420">
        <v>3.118193E-2</v>
      </c>
      <c r="P3420">
        <v>0.99834780000000001</v>
      </c>
      <c r="Q3420">
        <v>9.6728030000000007E-3</v>
      </c>
      <c r="R3420">
        <v>-5.6645500000000001E-2</v>
      </c>
      <c r="S3420">
        <v>2.9949650000000001</v>
      </c>
      <c r="T3420">
        <v>-0.2633258</v>
      </c>
      <c r="U3420">
        <v>-0.21792600000000001</v>
      </c>
      <c r="V3420">
        <v>8.7761919999999993E-2</v>
      </c>
      <c r="W3420">
        <v>2.4532539999999999E-2</v>
      </c>
      <c r="X3420">
        <v>0.99583940000000004</v>
      </c>
      <c r="Y3420">
        <v>0.10312449999999999</v>
      </c>
      <c r="Z3420">
        <v>-7.2523119999999899E-3</v>
      </c>
      <c r="AA3420">
        <v>0.99464200000000003</v>
      </c>
      <c r="AB3420">
        <v>38</v>
      </c>
      <c r="AC3420">
        <v>0.62929999999999997</v>
      </c>
      <c r="AD3420">
        <v>-8.7002999999999706E-2</v>
      </c>
      <c r="AE3420">
        <v>-8.3300000000008298E-2</v>
      </c>
      <c r="AF3420">
        <v>0.10098742564205899</v>
      </c>
      <c r="AG3420">
        <v>-8.7002999999999706E-2</v>
      </c>
      <c r="AH3420">
        <v>0.61484633482913598</v>
      </c>
      <c r="AI3420">
        <v>97.948969938331601</v>
      </c>
      <c r="AJ3420">
        <v>80.672551308100694</v>
      </c>
      <c r="AK3420">
        <v>0.62912955549682503</v>
      </c>
      <c r="AL3420">
        <v>88.594248043451202</v>
      </c>
      <c r="AM3420">
        <v>84.963615577755505</v>
      </c>
      <c r="AN3420">
        <v>1.0000000553566399</v>
      </c>
    </row>
    <row r="3421" spans="1:40" x14ac:dyDescent="0.25">
      <c r="A3421" t="str">
        <f>"20190312154903373"</f>
        <v>20190312154903373</v>
      </c>
      <c r="B3421" t="str">
        <f>"1552376943368807"</f>
        <v>1552376943368807</v>
      </c>
      <c r="C3421" t="s">
        <v>40</v>
      </c>
      <c r="D3421">
        <v>4.9365209999999999</v>
      </c>
      <c r="E3421">
        <v>0.50528790000000001</v>
      </c>
      <c r="F3421" t="s">
        <v>41</v>
      </c>
      <c r="G3421">
        <v>-356.46589999999998</v>
      </c>
      <c r="H3421">
        <v>1.040327</v>
      </c>
      <c r="I3421">
        <v>215.3014</v>
      </c>
      <c r="J3421">
        <v>-357.05070000000001</v>
      </c>
      <c r="K3421">
        <v>1.1097189999999999</v>
      </c>
      <c r="L3421">
        <v>215.38229999999999</v>
      </c>
      <c r="M3421">
        <v>0.99940700000000005</v>
      </c>
      <c r="N3421">
        <v>0</v>
      </c>
      <c r="O3421">
        <v>3.1021779999999999E-2</v>
      </c>
      <c r="P3421">
        <v>0.99835030000000002</v>
      </c>
      <c r="Q3421">
        <v>1.068098E-2</v>
      </c>
      <c r="R3421">
        <v>-5.6417500000000002E-2</v>
      </c>
      <c r="S3421">
        <v>2.9951479999999999</v>
      </c>
      <c r="T3421">
        <v>-0.2123939</v>
      </c>
      <c r="U3421">
        <v>-0.20892330000000001</v>
      </c>
      <c r="V3421">
        <v>8.7375040000000001E-2</v>
      </c>
      <c r="W3421">
        <v>2.5536920000000001E-2</v>
      </c>
      <c r="X3421">
        <v>0.99584810000000001</v>
      </c>
      <c r="Y3421">
        <v>0.1001734</v>
      </c>
      <c r="Z3421">
        <v>-5.738033E-3</v>
      </c>
      <c r="AA3421">
        <v>0.99495350000000005</v>
      </c>
      <c r="AB3421">
        <v>38</v>
      </c>
      <c r="AC3421">
        <v>0.58480000000002896</v>
      </c>
      <c r="AD3421">
        <v>-6.9392000000000106E-2</v>
      </c>
      <c r="AE3421">
        <v>-8.0899999999985497E-2</v>
      </c>
      <c r="AF3421">
        <v>9.7655444070385095E-2</v>
      </c>
      <c r="AG3421">
        <v>-6.9392000000000106E-2</v>
      </c>
      <c r="AH3421">
        <v>0.574077284349646</v>
      </c>
      <c r="AI3421">
        <v>96.795543170048305</v>
      </c>
      <c r="AJ3421">
        <v>80.345911033860006</v>
      </c>
      <c r="AK3421">
        <v>0.58644399888382304</v>
      </c>
      <c r="AL3421">
        <v>88.536683164500602</v>
      </c>
      <c r="AM3421">
        <v>84.985747565781494</v>
      </c>
      <c r="AN3421">
        <v>0.99999998508584897</v>
      </c>
    </row>
    <row r="3422" spans="1:40" x14ac:dyDescent="0.25">
      <c r="A3422" t="str">
        <f>"20190312154903396"</f>
        <v>20190312154903396</v>
      </c>
      <c r="B3422" t="str">
        <f>"1552376943389304"</f>
        <v>1552376943389304</v>
      </c>
      <c r="C3422" t="s">
        <v>40</v>
      </c>
      <c r="D3422">
        <v>4.9304030000000001</v>
      </c>
      <c r="E3422">
        <v>0.50501070000000003</v>
      </c>
      <c r="F3422" t="s">
        <v>50</v>
      </c>
      <c r="G3422">
        <v>-337.75720000000001</v>
      </c>
      <c r="H3422" s="1">
        <v>2.6149510000000001E-6</v>
      </c>
      <c r="I3422">
        <v>214.0728</v>
      </c>
      <c r="J3422">
        <v>-356.67320000000001</v>
      </c>
      <c r="K3422">
        <v>1.109721</v>
      </c>
      <c r="L3422">
        <v>215.3939</v>
      </c>
      <c r="M3422">
        <v>0.99941170000000001</v>
      </c>
      <c r="N3422">
        <v>0</v>
      </c>
      <c r="O3422">
        <v>3.0867169999999999E-2</v>
      </c>
      <c r="P3422">
        <v>0.99831539999999996</v>
      </c>
      <c r="Q3422">
        <v>1.154383E-2</v>
      </c>
      <c r="R3422">
        <v>-5.6861019999999998E-2</v>
      </c>
      <c r="S3422">
        <v>2.9953310000000002</v>
      </c>
      <c r="T3422">
        <v>-0.17228450000000001</v>
      </c>
      <c r="U3422">
        <v>-0.20330809999999999</v>
      </c>
      <c r="V3422">
        <v>8.7663580000000005E-2</v>
      </c>
      <c r="W3422">
        <v>2.6395419999999999E-2</v>
      </c>
      <c r="X3422">
        <v>0.99580040000000003</v>
      </c>
      <c r="Y3422">
        <v>9.8274120000000006E-2</v>
      </c>
      <c r="Z3422">
        <v>-4.5930379999999998E-3</v>
      </c>
      <c r="AA3422">
        <v>0.99514879999999994</v>
      </c>
      <c r="AB3422">
        <v>38</v>
      </c>
      <c r="AC3422">
        <v>18.916</v>
      </c>
      <c r="AD3422">
        <v>-1.109718385049</v>
      </c>
      <c r="AE3422">
        <v>-1.3210999999999999</v>
      </c>
      <c r="AF3422">
        <v>1.89791871886133</v>
      </c>
      <c r="AG3422">
        <v>-1.109718385049</v>
      </c>
      <c r="AH3422">
        <v>18.801806073578401</v>
      </c>
      <c r="AI3422">
        <v>93.360747885181297</v>
      </c>
      <c r="AJ3422">
        <v>84.235892743621406</v>
      </c>
      <c r="AK3422">
        <v>18.929909719435301</v>
      </c>
      <c r="AL3422">
        <v>88.487478211206593</v>
      </c>
      <c r="AM3422">
        <v>84.969034012480705</v>
      </c>
      <c r="AN3422">
        <v>1.00000002904777</v>
      </c>
    </row>
    <row r="3423" spans="1:40" x14ac:dyDescent="0.25">
      <c r="A3423" t="str">
        <f>"20190312154903418"</f>
        <v>20190312154903418</v>
      </c>
      <c r="B3423" t="str">
        <f>"1552376943408824"</f>
        <v>1552376943408824</v>
      </c>
      <c r="C3423" t="s">
        <v>40</v>
      </c>
      <c r="D3423">
        <v>4.9452290000000003</v>
      </c>
      <c r="E3423">
        <v>0.5049437</v>
      </c>
      <c r="F3423" t="s">
        <v>50</v>
      </c>
      <c r="G3423">
        <v>-335.23140000000001</v>
      </c>
      <c r="H3423" s="1">
        <v>1.2765589999999999E-6</v>
      </c>
      <c r="I3423">
        <v>213.94280000000001</v>
      </c>
      <c r="J3423">
        <v>-356.29480000000001</v>
      </c>
      <c r="K3423">
        <v>1.1097250000000001</v>
      </c>
      <c r="L3423">
        <v>215.40539999999999</v>
      </c>
      <c r="M3423">
        <v>0.99941659999999999</v>
      </c>
      <c r="N3423">
        <v>0</v>
      </c>
      <c r="O3423">
        <v>3.071115E-2</v>
      </c>
      <c r="P3423">
        <v>0.99828709999999998</v>
      </c>
      <c r="Q3423">
        <v>1.2233569999999999E-2</v>
      </c>
      <c r="R3423">
        <v>-5.7214109999999999E-2</v>
      </c>
      <c r="S3423">
        <v>2.9953310000000002</v>
      </c>
      <c r="T3423">
        <v>-0.15502379999999999</v>
      </c>
      <c r="U3423">
        <v>-0.202713</v>
      </c>
      <c r="V3423">
        <v>8.7860579999999994E-2</v>
      </c>
      <c r="W3423">
        <v>2.7080389999999999E-2</v>
      </c>
      <c r="X3423">
        <v>0.9957646</v>
      </c>
      <c r="Y3423">
        <v>9.7962980000000005E-2</v>
      </c>
      <c r="Z3423">
        <v>-4.1174489999999996E-3</v>
      </c>
      <c r="AA3423">
        <v>0.9951816</v>
      </c>
      <c r="AB3423">
        <v>38</v>
      </c>
      <c r="AC3423">
        <v>21.063400000000001</v>
      </c>
      <c r="AD3423">
        <v>-1.109723723441</v>
      </c>
      <c r="AE3423">
        <v>-1.4625999999999799</v>
      </c>
      <c r="AF3423">
        <v>2.1030539684281</v>
      </c>
      <c r="AG3423">
        <v>-1.109723723441</v>
      </c>
      <c r="AH3423">
        <v>20.9506653091034</v>
      </c>
      <c r="AI3423">
        <v>93.016900227281397</v>
      </c>
      <c r="AJ3423">
        <v>84.267779951168293</v>
      </c>
      <c r="AK3423">
        <v>21.085177249209</v>
      </c>
      <c r="AL3423">
        <v>88.448218215019494</v>
      </c>
      <c r="AM3423">
        <v>84.957606160146398</v>
      </c>
      <c r="AN3423">
        <v>0.99999998382682398</v>
      </c>
    </row>
    <row r="3424" spans="1:40" x14ac:dyDescent="0.25">
      <c r="A3424" t="str">
        <f>"20190312154903441"</f>
        <v>20190312154903441</v>
      </c>
      <c r="B3424" t="str">
        <f>"1552376943429320"</f>
        <v>1552376943429320</v>
      </c>
      <c r="C3424" t="s">
        <v>40</v>
      </c>
      <c r="D3424">
        <v>4.9520720000000003</v>
      </c>
      <c r="E3424">
        <v>0.50491229999999998</v>
      </c>
      <c r="F3424" t="s">
        <v>50</v>
      </c>
      <c r="G3424">
        <v>-332.91239999999999</v>
      </c>
      <c r="H3424" s="1">
        <v>4.8096350000000002E-8</v>
      </c>
      <c r="I3424">
        <v>213.81440000000001</v>
      </c>
      <c r="J3424">
        <v>-355.91469999999998</v>
      </c>
      <c r="K3424">
        <v>1.109729</v>
      </c>
      <c r="L3424">
        <v>215.417</v>
      </c>
      <c r="M3424">
        <v>0.99942149999999996</v>
      </c>
      <c r="N3424">
        <v>0</v>
      </c>
      <c r="O3424">
        <v>3.0553819999999999E-2</v>
      </c>
      <c r="P3424">
        <v>0.99825220000000003</v>
      </c>
      <c r="Q3424">
        <v>1.2851929999999999E-2</v>
      </c>
      <c r="R3424">
        <v>-5.7686189999999998E-2</v>
      </c>
      <c r="S3424">
        <v>2.9951780000000001</v>
      </c>
      <c r="T3424">
        <v>-0.14215050000000001</v>
      </c>
      <c r="U3424">
        <v>-0.20379639999999999</v>
      </c>
      <c r="V3424">
        <v>8.8174710000000003E-2</v>
      </c>
      <c r="W3424">
        <v>2.7693849999999999E-2</v>
      </c>
      <c r="X3424">
        <v>0.99572000000000005</v>
      </c>
      <c r="Y3424">
        <v>9.8195249999999998E-2</v>
      </c>
      <c r="Z3424">
        <v>-3.7741279999999999E-3</v>
      </c>
      <c r="AA3424">
        <v>0.99516000000000004</v>
      </c>
      <c r="AB3424">
        <v>38</v>
      </c>
      <c r="AC3424">
        <v>23.002299999999899</v>
      </c>
      <c r="AD3424">
        <v>-1.10972895190365</v>
      </c>
      <c r="AE3424">
        <v>-1.60259999999999</v>
      </c>
      <c r="AF3424">
        <v>2.2994121229509599</v>
      </c>
      <c r="AG3424">
        <v>-1.10972895190365</v>
      </c>
      <c r="AH3424">
        <v>22.889569028796899</v>
      </c>
      <c r="AI3424">
        <v>92.761754255819895</v>
      </c>
      <c r="AJ3424">
        <v>84.263496281485402</v>
      </c>
      <c r="AK3424">
        <v>23.031525454948198</v>
      </c>
      <c r="AL3424">
        <v>88.413056419014495</v>
      </c>
      <c r="AM3424">
        <v>84.939445925780802</v>
      </c>
      <c r="AN3424">
        <v>1.0000000236057001</v>
      </c>
    </row>
    <row r="3425" spans="1:40" x14ac:dyDescent="0.25">
      <c r="A3425" t="str">
        <f>"20190312154903463"</f>
        <v>20190312154903463</v>
      </c>
      <c r="B3425" t="str">
        <f>"1552376943448840"</f>
        <v>1552376943448840</v>
      </c>
      <c r="C3425" t="s">
        <v>40</v>
      </c>
      <c r="D3425">
        <v>4.9398710000000001</v>
      </c>
      <c r="E3425">
        <v>0.50492950000000003</v>
      </c>
      <c r="F3425" t="s">
        <v>50</v>
      </c>
      <c r="G3425">
        <v>-330.77350000000001</v>
      </c>
      <c r="H3425" s="1">
        <v>-1.0848260000000001E-6</v>
      </c>
      <c r="I3425">
        <v>213.69309999999999</v>
      </c>
      <c r="J3425">
        <v>-355.53109999999998</v>
      </c>
      <c r="K3425">
        <v>1.1097319999999999</v>
      </c>
      <c r="L3425">
        <v>215.42850000000001</v>
      </c>
      <c r="M3425">
        <v>0.99942640000000005</v>
      </c>
      <c r="N3425">
        <v>0</v>
      </c>
      <c r="O3425">
        <v>3.0394830000000001E-2</v>
      </c>
      <c r="P3425">
        <v>0.99819199999999997</v>
      </c>
      <c r="Q3425">
        <v>1.34953E-2</v>
      </c>
      <c r="R3425">
        <v>-5.857619E-2</v>
      </c>
      <c r="S3425">
        <v>2.995117</v>
      </c>
      <c r="T3425">
        <v>-0.13220419999999999</v>
      </c>
      <c r="U3425">
        <v>-0.20536799999999999</v>
      </c>
      <c r="V3425">
        <v>8.8904300000000006E-2</v>
      </c>
      <c r="W3425">
        <v>2.8332079999999999E-2</v>
      </c>
      <c r="X3425">
        <v>0.99563710000000005</v>
      </c>
      <c r="Y3425">
        <v>9.8577339999999999E-2</v>
      </c>
      <c r="Z3425">
        <v>-3.511737E-3</v>
      </c>
      <c r="AA3425">
        <v>0.99512319999999999</v>
      </c>
      <c r="AB3425">
        <v>38</v>
      </c>
      <c r="AC3425">
        <v>24.757599999999901</v>
      </c>
      <c r="AD3425">
        <v>-1.1097330848260001</v>
      </c>
      <c r="AE3425">
        <v>-1.73540000000002</v>
      </c>
      <c r="AF3425">
        <v>2.48222212620959</v>
      </c>
      <c r="AG3425">
        <v>-1.1097330848260001</v>
      </c>
      <c r="AH3425">
        <v>24.644133099809501</v>
      </c>
      <c r="AI3425">
        <v>92.5653428025105</v>
      </c>
      <c r="AJ3425">
        <v>84.248415569345099</v>
      </c>
      <c r="AK3425">
        <v>24.793673193871999</v>
      </c>
      <c r="AL3425">
        <v>88.376474071189406</v>
      </c>
      <c r="AM3425">
        <v>84.897370571912305</v>
      </c>
      <c r="AN3425">
        <v>0.99999995810601205</v>
      </c>
    </row>
    <row r="3426" spans="1:40" x14ac:dyDescent="0.25">
      <c r="A3426" t="str">
        <f>"20190312154903485"</f>
        <v>20190312154903485</v>
      </c>
      <c r="B3426" t="str">
        <f>"1552376943479097"</f>
        <v>1552376943479097</v>
      </c>
      <c r="C3426" t="s">
        <v>40</v>
      </c>
      <c r="D3426">
        <v>4.9321960000000002</v>
      </c>
      <c r="E3426">
        <v>0.50496750000000001</v>
      </c>
      <c r="F3426" t="s">
        <v>50</v>
      </c>
      <c r="G3426">
        <v>-328.7731</v>
      </c>
      <c r="H3426" s="1">
        <v>3.1318280000000002E-6</v>
      </c>
      <c r="I3426">
        <v>213.5658</v>
      </c>
      <c r="J3426">
        <v>-355.15269999999998</v>
      </c>
      <c r="K3426">
        <v>1.1097330000000001</v>
      </c>
      <c r="L3426">
        <v>215.43989999999999</v>
      </c>
      <c r="M3426">
        <v>0.99943110000000002</v>
      </c>
      <c r="N3426">
        <v>0</v>
      </c>
      <c r="O3426">
        <v>3.023816E-2</v>
      </c>
      <c r="P3426">
        <v>0.99813739999999995</v>
      </c>
      <c r="Q3426">
        <v>1.361294E-2</v>
      </c>
      <c r="R3426">
        <v>-5.9468920000000002E-2</v>
      </c>
      <c r="S3426">
        <v>2.994904</v>
      </c>
      <c r="T3426">
        <v>-0.1242071</v>
      </c>
      <c r="U3426">
        <v>-0.20848079999999999</v>
      </c>
      <c r="V3426">
        <v>8.963902E-2</v>
      </c>
      <c r="W3426">
        <v>2.8444569999999999E-2</v>
      </c>
      <c r="X3426">
        <v>0.99556800000000001</v>
      </c>
      <c r="Y3426">
        <v>9.9469569999999993E-2</v>
      </c>
      <c r="Z3426">
        <v>-3.3116040000000001E-3</v>
      </c>
      <c r="AA3426">
        <v>0.99503509999999995</v>
      </c>
      <c r="AB3426">
        <v>38</v>
      </c>
      <c r="AC3426">
        <v>26.3795999999999</v>
      </c>
      <c r="AD3426">
        <v>-1.109729868172</v>
      </c>
      <c r="AE3426">
        <v>-1.8740999999999901</v>
      </c>
      <c r="AF3426">
        <v>2.6663075448490798</v>
      </c>
      <c r="AG3426">
        <v>-1.109729868172</v>
      </c>
      <c r="AH3426">
        <v>26.2646119398111</v>
      </c>
      <c r="AI3426">
        <v>92.407059948479201</v>
      </c>
      <c r="AJ3426">
        <v>84.203356388215795</v>
      </c>
      <c r="AK3426">
        <v>26.422916883888799</v>
      </c>
      <c r="AL3426">
        <v>88.370026248730497</v>
      </c>
      <c r="AM3426">
        <v>84.855071798026799</v>
      </c>
      <c r="AN3426">
        <v>0.99999994504652101</v>
      </c>
    </row>
    <row r="3427" spans="1:40" x14ac:dyDescent="0.25">
      <c r="A3427" t="str">
        <f>"20190312154903508"</f>
        <v>20190312154903508</v>
      </c>
      <c r="B3427" t="str">
        <f>"1552376943499595"</f>
        <v>1552376943499595</v>
      </c>
      <c r="C3427" t="s">
        <v>40</v>
      </c>
      <c r="D3427">
        <v>4.885777</v>
      </c>
      <c r="E3427">
        <v>0.50497539999999996</v>
      </c>
      <c r="F3427" t="s">
        <v>50</v>
      </c>
      <c r="G3427">
        <v>-326.5967</v>
      </c>
      <c r="H3427" s="1">
        <v>1.9736699999999999E-6</v>
      </c>
      <c r="I3427">
        <v>213.42009999999999</v>
      </c>
      <c r="J3427">
        <v>-354.77449999999999</v>
      </c>
      <c r="K3427">
        <v>1.1097360000000001</v>
      </c>
      <c r="L3427">
        <v>215.4512</v>
      </c>
      <c r="M3427">
        <v>0.99943599999999999</v>
      </c>
      <c r="N3427">
        <v>0</v>
      </c>
      <c r="O3427">
        <v>3.0081799999999999E-2</v>
      </c>
      <c r="P3427">
        <v>0.99812690000000004</v>
      </c>
      <c r="Q3427">
        <v>1.376986E-2</v>
      </c>
      <c r="R3427">
        <v>-5.9608340000000003E-2</v>
      </c>
      <c r="S3427">
        <v>2.9945369999999998</v>
      </c>
      <c r="T3427">
        <v>-0.11637260000000001</v>
      </c>
      <c r="U3427">
        <v>-0.2118073</v>
      </c>
      <c r="V3427">
        <v>8.9622430000000003E-2</v>
      </c>
      <c r="W3427">
        <v>2.8597569999999999E-2</v>
      </c>
      <c r="X3427">
        <v>0.99556520000000004</v>
      </c>
      <c r="Y3427">
        <v>0.1004351</v>
      </c>
      <c r="Z3427">
        <v>-3.115806E-3</v>
      </c>
      <c r="AA3427">
        <v>0.99493869999999895</v>
      </c>
      <c r="AB3427">
        <v>38</v>
      </c>
      <c r="AC3427">
        <v>28.177799999999898</v>
      </c>
      <c r="AD3427">
        <v>-1.10973402633</v>
      </c>
      <c r="AE3427">
        <v>-2.0310999999999999</v>
      </c>
      <c r="AF3427">
        <v>2.8734801219288002</v>
      </c>
      <c r="AG3427">
        <v>-1.10973402633</v>
      </c>
      <c r="AH3427">
        <v>28.060640795700099</v>
      </c>
      <c r="AI3427">
        <v>92.252966974092402</v>
      </c>
      <c r="AJ3427">
        <v>84.153148610004806</v>
      </c>
      <c r="AK3427">
        <v>28.2292040179249</v>
      </c>
      <c r="AL3427">
        <v>88.361256572492294</v>
      </c>
      <c r="AM3427">
        <v>84.856004500336894</v>
      </c>
      <c r="AN3427">
        <v>1.0000000342100199</v>
      </c>
    </row>
    <row r="3428" spans="1:40" x14ac:dyDescent="0.25">
      <c r="A3428" t="str">
        <f>"20190312154903530"</f>
        <v>20190312154903530</v>
      </c>
      <c r="B3428" t="str">
        <f>"1552376943519112"</f>
        <v>1552376943519112</v>
      </c>
      <c r="C3428" t="s">
        <v>40</v>
      </c>
      <c r="D3428">
        <v>4.8662390000000002</v>
      </c>
      <c r="E3428">
        <v>0.50501890000000005</v>
      </c>
      <c r="F3428" t="s">
        <v>50</v>
      </c>
      <c r="G3428">
        <v>-325.4323</v>
      </c>
      <c r="H3428" s="1">
        <v>1.3540390000000001E-6</v>
      </c>
      <c r="I3428">
        <v>213.37010000000001</v>
      </c>
      <c r="J3428">
        <v>-354.38310000000001</v>
      </c>
      <c r="K3428">
        <v>1.109737</v>
      </c>
      <c r="L3428">
        <v>215.46279999999999</v>
      </c>
      <c r="M3428">
        <v>0.99944100000000002</v>
      </c>
      <c r="N3428">
        <v>0</v>
      </c>
      <c r="O3428">
        <v>2.9919950000000001E-2</v>
      </c>
      <c r="P3428">
        <v>0.99812590000000001</v>
      </c>
      <c r="Q3428">
        <v>1.389396E-2</v>
      </c>
      <c r="R3428">
        <v>-5.9598039999999998E-2</v>
      </c>
      <c r="S3428">
        <v>2.9945369999999998</v>
      </c>
      <c r="T3428">
        <v>-0.1132548</v>
      </c>
      <c r="U3428">
        <v>-0.2123871</v>
      </c>
      <c r="V3428">
        <v>8.945082E-2</v>
      </c>
      <c r="W3428">
        <v>2.8717690000000001E-2</v>
      </c>
      <c r="X3428">
        <v>0.99557720000000005</v>
      </c>
      <c r="Y3428">
        <v>0.100471</v>
      </c>
      <c r="Z3428">
        <v>-3.0269329999999999E-3</v>
      </c>
      <c r="AA3428">
        <v>0.99493540000000003</v>
      </c>
      <c r="AB3428">
        <v>38</v>
      </c>
      <c r="AC3428">
        <v>28.950800000000001</v>
      </c>
      <c r="AD3428">
        <v>-1.1097356459609999</v>
      </c>
      <c r="AE3428">
        <v>-2.0926999999999798</v>
      </c>
      <c r="AF3428">
        <v>2.9537482909641999</v>
      </c>
      <c r="AG3428">
        <v>-1.1097356459609999</v>
      </c>
      <c r="AH3428">
        <v>28.8330703934521</v>
      </c>
      <c r="AI3428">
        <v>92.1926645554625</v>
      </c>
      <c r="AJ3428">
        <v>84.150848881706096</v>
      </c>
      <c r="AK3428">
        <v>29.005207988981098</v>
      </c>
      <c r="AL3428">
        <v>88.354371415064506</v>
      </c>
      <c r="AM3428">
        <v>84.865863139282794</v>
      </c>
      <c r="AN3428">
        <v>1.0000000580387201</v>
      </c>
    </row>
    <row r="3429" spans="1:40" x14ac:dyDescent="0.25">
      <c r="A3429" t="str">
        <f>"20190312154903554"</f>
        <v>20190312154903554</v>
      </c>
      <c r="B3429" t="str">
        <f>"1552376943539608"</f>
        <v>1552376943539608</v>
      </c>
      <c r="C3429" t="s">
        <v>40</v>
      </c>
      <c r="D3429">
        <v>4.8065499999999997</v>
      </c>
      <c r="E3429">
        <v>0.50506110000000004</v>
      </c>
      <c r="F3429" t="s">
        <v>50</v>
      </c>
      <c r="G3429">
        <v>-324.20609999999999</v>
      </c>
      <c r="H3429" s="1">
        <v>7.0147049999999895E-7</v>
      </c>
      <c r="I3429">
        <v>213.32060000000001</v>
      </c>
      <c r="J3429">
        <v>-353.99579999999997</v>
      </c>
      <c r="K3429">
        <v>1.1097330000000001</v>
      </c>
      <c r="L3429">
        <v>215.4742</v>
      </c>
      <c r="M3429">
        <v>0.9994459</v>
      </c>
      <c r="N3429">
        <v>0</v>
      </c>
      <c r="O3429">
        <v>2.9760129999999999E-2</v>
      </c>
      <c r="P3429">
        <v>0.99815359999999997</v>
      </c>
      <c r="Q3429">
        <v>1.3846539999999999E-2</v>
      </c>
      <c r="R3429">
        <v>-5.9145709999999997E-2</v>
      </c>
      <c r="S3429">
        <v>2.994507</v>
      </c>
      <c r="T3429">
        <v>-0.1101207</v>
      </c>
      <c r="U3429">
        <v>-0.21257019999999999</v>
      </c>
      <c r="V3429">
        <v>8.8840000000000002E-2</v>
      </c>
      <c r="W3429">
        <v>2.8667640000000001E-2</v>
      </c>
      <c r="X3429">
        <v>0.99563330000000005</v>
      </c>
      <c r="Y3429">
        <v>0.1003783</v>
      </c>
      <c r="Z3429">
        <v>-2.9356790000000001E-3</v>
      </c>
      <c r="AA3429">
        <v>0.99494499999999997</v>
      </c>
      <c r="AB3429">
        <v>38</v>
      </c>
      <c r="AC3429">
        <v>29.7896999999999</v>
      </c>
      <c r="AD3429">
        <v>-1.1097322985294999</v>
      </c>
      <c r="AE3429">
        <v>-2.15359999999998</v>
      </c>
      <c r="AF3429">
        <v>3.0350997676904599</v>
      </c>
      <c r="AG3429">
        <v>-1.1097322985294999</v>
      </c>
      <c r="AH3429">
        <v>29.671441957826499</v>
      </c>
      <c r="AI3429">
        <v>92.130794918617596</v>
      </c>
      <c r="AJ3429">
        <v>84.159513049735807</v>
      </c>
      <c r="AK3429">
        <v>29.846906108186499</v>
      </c>
      <c r="AL3429">
        <v>88.357240193270101</v>
      </c>
      <c r="AM3429">
        <v>84.901022226696995</v>
      </c>
      <c r="AN3429">
        <v>1.00000002362602</v>
      </c>
    </row>
    <row r="3430" spans="1:40" x14ac:dyDescent="0.25">
      <c r="A3430" t="str">
        <f>"20190312154903574"</f>
        <v>20190312154903574</v>
      </c>
      <c r="B3430" t="str">
        <f>"1552376943569864"</f>
        <v>1552376943569864</v>
      </c>
      <c r="C3430" t="s">
        <v>40</v>
      </c>
      <c r="D3430">
        <v>4.7817819999999998</v>
      </c>
      <c r="E3430">
        <v>0.5050945</v>
      </c>
      <c r="F3430" t="s">
        <v>50</v>
      </c>
      <c r="G3430">
        <v>-323.35129999999998</v>
      </c>
      <c r="H3430" s="1">
        <v>2.4659500000000002E-7</v>
      </c>
      <c r="I3430">
        <v>213.30590000000001</v>
      </c>
      <c r="J3430">
        <v>-353.64870000000002</v>
      </c>
      <c r="K3430">
        <v>1.1097319999999999</v>
      </c>
      <c r="L3430">
        <v>215.48439999999999</v>
      </c>
      <c r="M3430">
        <v>0.99945010000000001</v>
      </c>
      <c r="N3430">
        <v>0</v>
      </c>
      <c r="O3430">
        <v>2.9616989999999999E-2</v>
      </c>
      <c r="P3430">
        <v>0.99817250000000002</v>
      </c>
      <c r="Q3430">
        <v>1.350933E-2</v>
      </c>
      <c r="R3430">
        <v>-5.8902280000000001E-2</v>
      </c>
      <c r="S3430">
        <v>2.9944760000000001</v>
      </c>
      <c r="T3430">
        <v>-0.1084393</v>
      </c>
      <c r="U3430">
        <v>-0.2118835</v>
      </c>
      <c r="V3430">
        <v>8.8454660000000004E-2</v>
      </c>
      <c r="W3430">
        <v>2.8327310000000001E-2</v>
      </c>
      <c r="X3430">
        <v>0.99567740000000005</v>
      </c>
      <c r="Y3430">
        <v>0.1000125</v>
      </c>
      <c r="Z3430">
        <v>-2.8791480000000002E-3</v>
      </c>
      <c r="AA3430">
        <v>0.99498200000000003</v>
      </c>
      <c r="AB3430">
        <v>38</v>
      </c>
      <c r="AC3430">
        <v>30.2974</v>
      </c>
      <c r="AD3430">
        <v>-1.109731753405</v>
      </c>
      <c r="AE3430">
        <v>-2.1784999999999801</v>
      </c>
      <c r="AF3430">
        <v>3.07086298490611</v>
      </c>
      <c r="AG3430">
        <v>-1.109731753405</v>
      </c>
      <c r="AH3430">
        <v>30.179297916599399</v>
      </c>
      <c r="AI3430">
        <v>92.095082535119801</v>
      </c>
      <c r="AJ3430">
        <v>84.189924893761301</v>
      </c>
      <c r="AK3430">
        <v>30.355423350291801</v>
      </c>
      <c r="AL3430">
        <v>88.376747670176002</v>
      </c>
      <c r="AM3430">
        <v>84.923246696400994</v>
      </c>
      <c r="AN3430">
        <v>1.0000000741191499</v>
      </c>
    </row>
    <row r="3431" spans="1:40" x14ac:dyDescent="0.25">
      <c r="A3431" t="str">
        <f>"20190312154903597"</f>
        <v>20190312154903597</v>
      </c>
      <c r="B3431" t="str">
        <f>"1552376943589385"</f>
        <v>1552376943589385</v>
      </c>
      <c r="C3431" t="s">
        <v>40</v>
      </c>
      <c r="D3431">
        <v>4.7678399999999996</v>
      </c>
      <c r="E3431">
        <v>0.50510770000000005</v>
      </c>
      <c r="F3431" t="s">
        <v>50</v>
      </c>
      <c r="G3431">
        <v>-322.39679999999998</v>
      </c>
      <c r="H3431" s="1">
        <v>-2.6132109999999998E-7</v>
      </c>
      <c r="I3431">
        <v>213.2775</v>
      </c>
      <c r="J3431">
        <v>-353.26369999999997</v>
      </c>
      <c r="K3431">
        <v>1.1097379999999999</v>
      </c>
      <c r="L3431">
        <v>215.4957</v>
      </c>
      <c r="M3431">
        <v>0.99945490000000003</v>
      </c>
      <c r="N3431">
        <v>0</v>
      </c>
      <c r="O3431">
        <v>2.9457299999999999E-2</v>
      </c>
      <c r="P3431">
        <v>0.99818609999999997</v>
      </c>
      <c r="Q3431">
        <v>1.3294439999999999E-2</v>
      </c>
      <c r="R3431">
        <v>-5.87219E-2</v>
      </c>
      <c r="S3431">
        <v>2.9944459999999999</v>
      </c>
      <c r="T3431">
        <v>-0.1063308</v>
      </c>
      <c r="U3431">
        <v>-0.21145630000000001</v>
      </c>
      <c r="V3431">
        <v>8.8115410000000005E-2</v>
      </c>
      <c r="W3431">
        <v>2.810901E-2</v>
      </c>
      <c r="X3431">
        <v>0.99571359999999998</v>
      </c>
      <c r="Y3431">
        <v>9.9716529999999998E-2</v>
      </c>
      <c r="Z3431">
        <v>-2.8123309999999999E-3</v>
      </c>
      <c r="AA3431">
        <v>0.99501189999999995</v>
      </c>
      <c r="AB3431">
        <v>38</v>
      </c>
      <c r="AC3431">
        <v>30.866899999999902</v>
      </c>
      <c r="AD3431">
        <v>-1.1097382613211</v>
      </c>
      <c r="AE3431">
        <v>-2.2181999999999902</v>
      </c>
      <c r="AF3431">
        <v>3.1225783065806798</v>
      </c>
      <c r="AG3431">
        <v>-1.1097382613211</v>
      </c>
      <c r="AH3431">
        <v>30.7486119421417</v>
      </c>
      <c r="AI3431">
        <v>92.056379289278595</v>
      </c>
      <c r="AJ3431">
        <v>84.201386564988695</v>
      </c>
      <c r="AK3431">
        <v>30.926673772938901</v>
      </c>
      <c r="AL3431">
        <v>88.389260213407397</v>
      </c>
      <c r="AM3431">
        <v>84.942799301170595</v>
      </c>
      <c r="AN3431">
        <v>1.0000000075738</v>
      </c>
    </row>
    <row r="3432" spans="1:40" x14ac:dyDescent="0.25">
      <c r="A3432" t="str">
        <f>"20190312154903619"</f>
        <v>20190312154903619</v>
      </c>
      <c r="B3432" t="str">
        <f>"1552376943608904"</f>
        <v>1552376943608904</v>
      </c>
      <c r="C3432" t="s">
        <v>40</v>
      </c>
      <c r="D3432">
        <v>5.1215409999999997</v>
      </c>
      <c r="E3432">
        <v>0.5051426</v>
      </c>
      <c r="F3432" t="s">
        <v>50</v>
      </c>
      <c r="G3432">
        <v>-321.62329999999997</v>
      </c>
      <c r="H3432" s="1">
        <v>-6.729574E-7</v>
      </c>
      <c r="I3432">
        <v>213.26779999999999</v>
      </c>
      <c r="J3432">
        <v>-352.88850000000002</v>
      </c>
      <c r="K3432">
        <v>1.1097349999999999</v>
      </c>
      <c r="L3432">
        <v>215.50659999999999</v>
      </c>
      <c r="M3432">
        <v>0.9994596</v>
      </c>
      <c r="N3432">
        <v>0</v>
      </c>
      <c r="O3432">
        <v>2.930021E-2</v>
      </c>
      <c r="P3432">
        <v>0.99815069999999995</v>
      </c>
      <c r="Q3432">
        <v>1.2774860000000001E-2</v>
      </c>
      <c r="R3432">
        <v>-5.9432600000000002E-2</v>
      </c>
      <c r="S3432">
        <v>2.9944760000000001</v>
      </c>
      <c r="T3432">
        <v>-0.10502649999999999</v>
      </c>
      <c r="U3432">
        <v>-0.2108459</v>
      </c>
      <c r="V3432">
        <v>8.8668250000000004E-2</v>
      </c>
      <c r="W3432">
        <v>2.7584689999999999E-2</v>
      </c>
      <c r="X3432">
        <v>0.99567919999999999</v>
      </c>
      <c r="Y3432">
        <v>9.9359900000000001E-2</v>
      </c>
      <c r="Z3432">
        <v>-2.7660990000000002E-3</v>
      </c>
      <c r="AA3432">
        <v>0.99504769999999998</v>
      </c>
      <c r="AB3432">
        <v>38</v>
      </c>
      <c r="AC3432">
        <v>31.2652</v>
      </c>
      <c r="AD3432">
        <v>-1.1097356729573999</v>
      </c>
      <c r="AE3432">
        <v>-2.2387999999999901</v>
      </c>
      <c r="AF3432">
        <v>3.15006885329562</v>
      </c>
      <c r="AG3432">
        <v>-1.1097356729573999</v>
      </c>
      <c r="AH3432">
        <v>31.1471285874477</v>
      </c>
      <c r="AI3432">
        <v>92.030170852914296</v>
      </c>
      <c r="AJ3432">
        <v>84.225019992852793</v>
      </c>
      <c r="AK3432">
        <v>31.325677427429</v>
      </c>
      <c r="AL3432">
        <v>88.419313213158603</v>
      </c>
      <c r="AM3432">
        <v>84.911061388645095</v>
      </c>
      <c r="AN3432">
        <v>1.0000000214965401</v>
      </c>
    </row>
    <row r="3433" spans="1:40" x14ac:dyDescent="0.25">
      <c r="A3433" t="str">
        <f>"20190312154903642"</f>
        <v>20190312154903642</v>
      </c>
      <c r="B3433" t="str">
        <f>"1552376943629404"</f>
        <v>1552376943629404</v>
      </c>
      <c r="C3433" t="s">
        <v>40</v>
      </c>
      <c r="D3433">
        <v>4.7230489999999996</v>
      </c>
      <c r="E3433">
        <v>0.50521530000000003</v>
      </c>
      <c r="F3433" t="s">
        <v>50</v>
      </c>
      <c r="G3433">
        <v>-320.73020000000002</v>
      </c>
      <c r="H3433" s="1">
        <v>-1.1482099999999999E-6</v>
      </c>
      <c r="I3433">
        <v>213.21039999999999</v>
      </c>
      <c r="J3433">
        <v>-352.51440000000002</v>
      </c>
      <c r="K3433">
        <v>1.109731</v>
      </c>
      <c r="L3433">
        <v>215.51740000000001</v>
      </c>
      <c r="M3433">
        <v>0.99946420000000002</v>
      </c>
      <c r="N3433">
        <v>0</v>
      </c>
      <c r="O3433">
        <v>2.9141090000000001E-2</v>
      </c>
      <c r="P3433">
        <v>0.99812219999999996</v>
      </c>
      <c r="Q3433">
        <v>1.240452E-2</v>
      </c>
      <c r="R3433">
        <v>-5.9987909999999998E-2</v>
      </c>
      <c r="S3433">
        <v>2.99411</v>
      </c>
      <c r="T3433">
        <v>-0.1033225</v>
      </c>
      <c r="U3433">
        <v>-0.21379090000000001</v>
      </c>
      <c r="V3433">
        <v>8.9063669999999998E-2</v>
      </c>
      <c r="W3433">
        <v>2.7209569999999999E-2</v>
      </c>
      <c r="X3433">
        <v>0.99565420000000004</v>
      </c>
      <c r="Y3433">
        <v>0.10018589999999999</v>
      </c>
      <c r="Z3433">
        <v>-2.730236E-3</v>
      </c>
      <c r="AA3433">
        <v>0.99496499999999999</v>
      </c>
      <c r="AB3433">
        <v>38</v>
      </c>
      <c r="AC3433">
        <v>31.784199999999998</v>
      </c>
      <c r="AD3433">
        <v>-1.10973214821</v>
      </c>
      <c r="AE3433">
        <v>-2.3070000000000102</v>
      </c>
      <c r="AF3433">
        <v>3.2284342029697002</v>
      </c>
      <c r="AG3433">
        <v>-1.10973214821</v>
      </c>
      <c r="AH3433">
        <v>31.665064238681499</v>
      </c>
      <c r="AI3433">
        <v>91.996820185701395</v>
      </c>
      <c r="AJ3433">
        <v>84.178483823016407</v>
      </c>
      <c r="AK3433">
        <v>31.8485570486875</v>
      </c>
      <c r="AL3433">
        <v>88.440814030442795</v>
      </c>
      <c r="AM3433">
        <v>84.888359333886399</v>
      </c>
      <c r="AN3433">
        <v>0.99999999199554701</v>
      </c>
    </row>
    <row r="3434" spans="1:40" x14ac:dyDescent="0.25">
      <c r="A3434" t="str">
        <f>"20190312154903664"</f>
        <v>20190312154903664</v>
      </c>
      <c r="B3434" t="str">
        <f>"1552376943659658"</f>
        <v>1552376943659658</v>
      </c>
      <c r="C3434" t="s">
        <v>40</v>
      </c>
      <c r="D3434">
        <v>4.7114940000000001</v>
      </c>
      <c r="E3434">
        <v>0.50535379999999996</v>
      </c>
      <c r="F3434" t="s">
        <v>51</v>
      </c>
      <c r="G3434">
        <v>-319.37279999999998</v>
      </c>
      <c r="H3434" s="1">
        <v>5.0620769999999998E-6</v>
      </c>
      <c r="I3434">
        <v>213.12459999999999</v>
      </c>
      <c r="J3434">
        <v>-352.12889999999999</v>
      </c>
      <c r="K3434">
        <v>1.1097250000000001</v>
      </c>
      <c r="L3434">
        <v>215.52850000000001</v>
      </c>
      <c r="M3434">
        <v>0.9994691</v>
      </c>
      <c r="N3434">
        <v>0</v>
      </c>
      <c r="O3434">
        <v>2.8971500000000001E-2</v>
      </c>
      <c r="P3434">
        <v>0.99814340000000001</v>
      </c>
      <c r="Q3434">
        <v>1.1916100000000001E-2</v>
      </c>
      <c r="R3434">
        <v>-5.9729339999999999E-2</v>
      </c>
      <c r="S3434">
        <v>2.9938959999999999</v>
      </c>
      <c r="T3434">
        <v>-0.10024859999999999</v>
      </c>
      <c r="U3434">
        <v>-0.21615599999999999</v>
      </c>
      <c r="V3434">
        <v>8.8636950000000006E-2</v>
      </c>
      <c r="W3434">
        <v>2.6717649999999999E-2</v>
      </c>
      <c r="X3434">
        <v>0.99570559999999997</v>
      </c>
      <c r="Y3434">
        <v>0.1008083</v>
      </c>
      <c r="Z3434">
        <v>-2.653903E-3</v>
      </c>
      <c r="AA3434">
        <v>0.99490230000000002</v>
      </c>
      <c r="AB3434">
        <v>38</v>
      </c>
      <c r="AC3434">
        <v>32.756100000000004</v>
      </c>
      <c r="AD3434">
        <v>-1.1097199379230001</v>
      </c>
      <c r="AE3434">
        <v>-2.4039000000000201</v>
      </c>
      <c r="AF3434">
        <v>3.3481672676934502</v>
      </c>
      <c r="AG3434">
        <v>-1.1097199379230001</v>
      </c>
      <c r="AH3434">
        <v>32.635438602861903</v>
      </c>
      <c r="AI3434">
        <v>91.937346979212705</v>
      </c>
      <c r="AJ3434">
        <v>84.142348448878906</v>
      </c>
      <c r="AK3434">
        <v>32.8255015985171</v>
      </c>
      <c r="AL3434">
        <v>88.469009221837894</v>
      </c>
      <c r="AM3434">
        <v>84.912982534737196</v>
      </c>
      <c r="AN3434">
        <v>0.99999999179909205</v>
      </c>
    </row>
    <row r="3435" spans="1:40" x14ac:dyDescent="0.25">
      <c r="A3435" t="str">
        <f>"20190312154903686"</f>
        <v>20190312154903686</v>
      </c>
      <c r="B3435" t="str">
        <f>"1552376943679178"</f>
        <v>1552376943679178</v>
      </c>
      <c r="C3435" t="s">
        <v>40</v>
      </c>
      <c r="D3435">
        <v>4.6486559999999999</v>
      </c>
      <c r="E3435">
        <v>0.50540839999999998</v>
      </c>
      <c r="F3435" t="s">
        <v>51</v>
      </c>
      <c r="G3435">
        <v>-317.55329999999998</v>
      </c>
      <c r="H3435" s="1">
        <v>4.2552140000000003E-6</v>
      </c>
      <c r="I3435">
        <v>213.02629999999999</v>
      </c>
      <c r="J3435">
        <v>-351.75979999999998</v>
      </c>
      <c r="K3435">
        <v>1.1097250000000001</v>
      </c>
      <c r="L3435">
        <v>215.53899999999999</v>
      </c>
      <c r="M3435">
        <v>0.99947430000000004</v>
      </c>
      <c r="N3435">
        <v>0</v>
      </c>
      <c r="O3435">
        <v>2.879965E-2</v>
      </c>
      <c r="P3435">
        <v>0.9981371</v>
      </c>
      <c r="Q3435">
        <v>1.134422E-2</v>
      </c>
      <c r="R3435">
        <v>-5.9949740000000001E-2</v>
      </c>
      <c r="S3435">
        <v>2.993805</v>
      </c>
      <c r="T3435">
        <v>-9.6087569999999997E-2</v>
      </c>
      <c r="U3435">
        <v>-0.2166595</v>
      </c>
      <c r="V3435">
        <v>8.8685829999999993E-2</v>
      </c>
      <c r="W3435">
        <v>2.6140400000000001E-2</v>
      </c>
      <c r="X3435">
        <v>0.99571659999999995</v>
      </c>
      <c r="Y3435">
        <v>0.1008119</v>
      </c>
      <c r="Z3435">
        <v>-2.5384169999999998E-3</v>
      </c>
      <c r="AA3435">
        <v>0.99490230000000002</v>
      </c>
      <c r="AB3435">
        <v>38</v>
      </c>
      <c r="AC3435">
        <v>34.206499999999998</v>
      </c>
      <c r="AD3435">
        <v>-1.109720744786</v>
      </c>
      <c r="AE3435">
        <v>-2.5127000000000201</v>
      </c>
      <c r="AF3435">
        <v>3.4932451536657698</v>
      </c>
      <c r="AG3435">
        <v>-1.109720744786</v>
      </c>
      <c r="AH3435">
        <v>34.084255068956601</v>
      </c>
      <c r="AI3435">
        <v>91.855076151301404</v>
      </c>
      <c r="AJ3435">
        <v>84.148271435715301</v>
      </c>
      <c r="AK3435">
        <v>34.280762614631399</v>
      </c>
      <c r="AL3435">
        <v>88.502094813930398</v>
      </c>
      <c r="AM3435">
        <v>84.910247897445004</v>
      </c>
      <c r="AN3435">
        <v>1.0000000222352501</v>
      </c>
    </row>
    <row r="3436" spans="1:40" x14ac:dyDescent="0.25">
      <c r="A3436" t="str">
        <f>"20190312154903710"</f>
        <v>20190312154903710</v>
      </c>
      <c r="B3436" t="str">
        <f>"1552376943699672"</f>
        <v>1552376943699672</v>
      </c>
      <c r="C3436" t="s">
        <v>40</v>
      </c>
      <c r="D3436">
        <v>4.6601229999999996</v>
      </c>
      <c r="E3436">
        <v>0.50792879999999996</v>
      </c>
      <c r="F3436" t="s">
        <v>51</v>
      </c>
      <c r="G3436">
        <v>-317.16649999999998</v>
      </c>
      <c r="H3436" s="1">
        <v>4.0836869999999998E-6</v>
      </c>
      <c r="I3436">
        <v>213.0196</v>
      </c>
      <c r="J3436">
        <v>-351.37400000000002</v>
      </c>
      <c r="K3436">
        <v>1.1097140000000001</v>
      </c>
      <c r="L3436">
        <v>215.55</v>
      </c>
      <c r="M3436">
        <v>0.99947989999999998</v>
      </c>
      <c r="N3436">
        <v>0</v>
      </c>
      <c r="O3436">
        <v>2.860646E-2</v>
      </c>
      <c r="P3436">
        <v>0.99814780000000003</v>
      </c>
      <c r="Q3436">
        <v>1.1446899999999999E-2</v>
      </c>
      <c r="R3436">
        <v>-5.974873E-2</v>
      </c>
      <c r="S3436">
        <v>2.9935610000000001</v>
      </c>
      <c r="T3436">
        <v>-9.6030589999999999E-2</v>
      </c>
      <c r="U3436">
        <v>-0.21801760000000001</v>
      </c>
      <c r="V3436">
        <v>8.8293479999999994E-2</v>
      </c>
      <c r="W3436">
        <v>2.6237159999999999E-2</v>
      </c>
      <c r="X3436">
        <v>0.99574890000000005</v>
      </c>
      <c r="Y3436">
        <v>0.10107439999999999</v>
      </c>
      <c r="Z3436">
        <v>-2.535093E-3</v>
      </c>
      <c r="AA3436">
        <v>0.99487559999999997</v>
      </c>
      <c r="AB3436">
        <v>38</v>
      </c>
      <c r="AC3436">
        <v>34.207500000000003</v>
      </c>
      <c r="AD3436">
        <v>-1.109709916313</v>
      </c>
      <c r="AE3436">
        <v>-2.53040000000001</v>
      </c>
      <c r="AF3436">
        <v>3.5043602506570402</v>
      </c>
      <c r="AG3436">
        <v>-1.109709916313</v>
      </c>
      <c r="AH3436">
        <v>34.085427807371602</v>
      </c>
      <c r="AI3436">
        <v>91.854933544128599</v>
      </c>
      <c r="AJ3436">
        <v>84.129982301854795</v>
      </c>
      <c r="AK3436">
        <v>34.283062664766298</v>
      </c>
      <c r="AL3436">
        <v>88.496548938116703</v>
      </c>
      <c r="AM3436">
        <v>84.932811207707303</v>
      </c>
      <c r="AN3436">
        <v>0.99999999951329299</v>
      </c>
    </row>
    <row r="3437" spans="1:40" x14ac:dyDescent="0.25">
      <c r="A3437" t="str">
        <f>"20190312154903732"</f>
        <v>20190312154903732</v>
      </c>
      <c r="B3437" t="str">
        <f>"1552376943719192"</f>
        <v>1552376943719192</v>
      </c>
      <c r="C3437" t="s">
        <v>40</v>
      </c>
      <c r="D3437">
        <v>4.5952449999999896</v>
      </c>
      <c r="E3437">
        <v>0.50806770000000001</v>
      </c>
      <c r="F3437" t="s">
        <v>49</v>
      </c>
      <c r="G3437">
        <v>-195.11420000000001</v>
      </c>
      <c r="H3437" s="1">
        <v>5.4633979999999996E-6</v>
      </c>
      <c r="I3437">
        <v>202.9923</v>
      </c>
      <c r="J3437">
        <v>-350.99540000000002</v>
      </c>
      <c r="K3437">
        <v>1.109707</v>
      </c>
      <c r="L3437">
        <v>215.56059999999999</v>
      </c>
      <c r="M3437">
        <v>0.99948559999999997</v>
      </c>
      <c r="N3437">
        <v>0</v>
      </c>
      <c r="O3437">
        <v>2.84037E-2</v>
      </c>
      <c r="P3437">
        <v>0.99814639999999999</v>
      </c>
      <c r="Q3437">
        <v>1.17667E-2</v>
      </c>
      <c r="R3437">
        <v>-5.9710779999999998E-2</v>
      </c>
      <c r="S3437">
        <v>2.991425</v>
      </c>
      <c r="T3437">
        <v>-2.124417E-2</v>
      </c>
      <c r="U3437">
        <v>-0.24040220000000001</v>
      </c>
      <c r="V3437">
        <v>8.8054080000000007E-2</v>
      </c>
      <c r="W3437">
        <v>2.6550810000000001E-2</v>
      </c>
      <c r="X3437">
        <v>0.99576180000000003</v>
      </c>
      <c r="Y3437">
        <v>0.10838540000000001</v>
      </c>
      <c r="Z3437">
        <v>-5.8568200000000002E-4</v>
      </c>
      <c r="AA3437">
        <v>0.99410880000000001</v>
      </c>
      <c r="AB3437">
        <v>37</v>
      </c>
      <c r="AC3437">
        <v>155.88120000000001</v>
      </c>
      <c r="AD3437">
        <v>-1.109701536602</v>
      </c>
      <c r="AE3437">
        <v>-12.568299999999899</v>
      </c>
      <c r="AF3437">
        <v>16.990466361245701</v>
      </c>
      <c r="AG3437">
        <v>-1.109701536602</v>
      </c>
      <c r="AH3437">
        <v>155.45344011039899</v>
      </c>
      <c r="AI3437">
        <v>90.406576804478306</v>
      </c>
      <c r="AJ3437">
        <v>83.762548652805094</v>
      </c>
      <c r="AK3437">
        <v>156.38311746103099</v>
      </c>
      <c r="AL3437">
        <v>88.478571876595495</v>
      </c>
      <c r="AM3437">
        <v>84.946544333084304</v>
      </c>
      <c r="AN3437">
        <v>1.0000000144277701</v>
      </c>
    </row>
    <row r="3438" spans="1:40" x14ac:dyDescent="0.25">
      <c r="A3438" t="str">
        <f>"20190312154903754"</f>
        <v>20190312154903754</v>
      </c>
      <c r="B3438" t="str">
        <f>"1552376943749448"</f>
        <v>1552376943749448</v>
      </c>
      <c r="C3438" t="s">
        <v>40</v>
      </c>
      <c r="D3438">
        <v>4.6052749999999998</v>
      </c>
      <c r="E3438">
        <v>0.50830310000000001</v>
      </c>
      <c r="F3438" t="s">
        <v>49</v>
      </c>
      <c r="G3438">
        <v>-175.73330000000001</v>
      </c>
      <c r="H3438">
        <v>8.0001180000000005E-2</v>
      </c>
      <c r="I3438">
        <v>201.41550000000001</v>
      </c>
      <c r="J3438">
        <v>-350.62970000000001</v>
      </c>
      <c r="K3438">
        <v>1.109696</v>
      </c>
      <c r="L3438">
        <v>215.57079999999999</v>
      </c>
      <c r="M3438">
        <v>0.99949180000000004</v>
      </c>
      <c r="N3438">
        <v>0</v>
      </c>
      <c r="O3438">
        <v>2.819251E-2</v>
      </c>
      <c r="P3438">
        <v>0.99815290000000001</v>
      </c>
      <c r="Q3438">
        <v>1.1939099999999999E-2</v>
      </c>
      <c r="R3438">
        <v>-5.9570779999999997E-2</v>
      </c>
      <c r="S3438">
        <v>2.991333</v>
      </c>
      <c r="T3438">
        <v>-1.757479E-2</v>
      </c>
      <c r="U3438">
        <v>-0.24142459999999999</v>
      </c>
      <c r="V3438">
        <v>8.7704870000000004E-2</v>
      </c>
      <c r="W3438">
        <v>2.6717649999999999E-2</v>
      </c>
      <c r="X3438">
        <v>0.99578820000000001</v>
      </c>
      <c r="Y3438">
        <v>0.1085164</v>
      </c>
      <c r="Z3438">
        <v>-4.8367560000000002E-4</v>
      </c>
      <c r="AA3438">
        <v>0.99409460000000005</v>
      </c>
      <c r="AB3438">
        <v>37</v>
      </c>
      <c r="AC3438">
        <v>174.8964</v>
      </c>
      <c r="AD3438">
        <v>-1.02969482</v>
      </c>
      <c r="AE3438">
        <v>-14.155299999999899</v>
      </c>
      <c r="AF3438">
        <v>19.080329379681501</v>
      </c>
      <c r="AG3438">
        <v>-1.02969482</v>
      </c>
      <c r="AH3438">
        <v>174.42174132974199</v>
      </c>
      <c r="AI3438">
        <v>90.336234651875998</v>
      </c>
      <c r="AJ3438">
        <v>83.757127603180294</v>
      </c>
      <c r="AK3438">
        <v>175.46527602109401</v>
      </c>
      <c r="AL3438">
        <v>88.469009323446599</v>
      </c>
      <c r="AM3438">
        <v>84.966615221625503</v>
      </c>
      <c r="AN3438">
        <v>1.0000000581512301</v>
      </c>
    </row>
    <row r="3439" spans="1:40" x14ac:dyDescent="0.25">
      <c r="A3439" t="str">
        <f>"20190312154903774"</f>
        <v>20190312154903774</v>
      </c>
      <c r="B3439" t="str">
        <f>"1552376943768969"</f>
        <v>1552376943768969</v>
      </c>
      <c r="C3439" t="s">
        <v>40</v>
      </c>
      <c r="D3439">
        <v>4.5548060000000001</v>
      </c>
      <c r="E3439">
        <v>0.5082257</v>
      </c>
      <c r="F3439" t="s">
        <v>59</v>
      </c>
      <c r="G3439">
        <v>-168.41239999999999</v>
      </c>
      <c r="H3439">
        <v>9.0044020000000002E-2</v>
      </c>
      <c r="I3439">
        <v>200.7825</v>
      </c>
      <c r="J3439">
        <v>-350.28339999999997</v>
      </c>
      <c r="K3439">
        <v>1.1096839999999999</v>
      </c>
      <c r="L3439">
        <v>215.5804</v>
      </c>
      <c r="M3439">
        <v>0.999498</v>
      </c>
      <c r="N3439">
        <v>0</v>
      </c>
      <c r="O3439">
        <v>2.797504E-2</v>
      </c>
      <c r="P3439">
        <v>0.99812840000000003</v>
      </c>
      <c r="Q3439">
        <v>1.2189449999999999E-2</v>
      </c>
      <c r="R3439">
        <v>-5.9930570000000002E-2</v>
      </c>
      <c r="S3439">
        <v>2.9913020000000001</v>
      </c>
      <c r="T3439">
        <v>-1.6738179999999998E-2</v>
      </c>
      <c r="U3439">
        <v>-0.24276729999999999</v>
      </c>
      <c r="V3439">
        <v>8.7848040000000002E-2</v>
      </c>
      <c r="W3439">
        <v>2.6961229999999999E-2</v>
      </c>
      <c r="X3439">
        <v>0.99576900000000002</v>
      </c>
      <c r="Y3439">
        <v>0.1087444</v>
      </c>
      <c r="Z3439">
        <v>-4.6007010000000001E-4</v>
      </c>
      <c r="AA3439">
        <v>0.9940696</v>
      </c>
      <c r="AB3439">
        <v>37</v>
      </c>
      <c r="AC3439">
        <v>181.87100000000001</v>
      </c>
      <c r="AD3439">
        <v>-1.01963998</v>
      </c>
      <c r="AE3439">
        <v>-14.797899999999901</v>
      </c>
      <c r="AF3439">
        <v>19.8798975675764</v>
      </c>
      <c r="AG3439">
        <v>-1.01963998</v>
      </c>
      <c r="AH3439">
        <v>181.38012273708799</v>
      </c>
      <c r="AI3439">
        <v>90.320171186828105</v>
      </c>
      <c r="AJ3439">
        <v>83.745148253258606</v>
      </c>
      <c r="AK3439">
        <v>182.469172511708</v>
      </c>
      <c r="AL3439">
        <v>88.455048166534596</v>
      </c>
      <c r="AM3439">
        <v>84.958344294822993</v>
      </c>
      <c r="AN3439">
        <v>1.0000000437079699</v>
      </c>
    </row>
    <row r="3440" spans="1:40" x14ac:dyDescent="0.25">
      <c r="A3440" t="str">
        <f>"20190312154903798"</f>
        <v>20190312154903798</v>
      </c>
      <c r="B3440" t="str">
        <f>"1552376943789468"</f>
        <v>1552376943789468</v>
      </c>
      <c r="C3440" t="s">
        <v>40</v>
      </c>
      <c r="D3440">
        <v>4.5645360000000004</v>
      </c>
      <c r="E3440">
        <v>0.50833989999999996</v>
      </c>
      <c r="F3440" t="s">
        <v>59</v>
      </c>
      <c r="G3440">
        <v>-168.41249999999999</v>
      </c>
      <c r="H3440">
        <v>0.24215790000000001</v>
      </c>
      <c r="I3440">
        <v>200.7807</v>
      </c>
      <c r="J3440">
        <v>-349.89749999999998</v>
      </c>
      <c r="K3440">
        <v>1.1096619999999999</v>
      </c>
      <c r="L3440">
        <v>215.5909</v>
      </c>
      <c r="M3440">
        <v>0.99950539999999999</v>
      </c>
      <c r="N3440">
        <v>0</v>
      </c>
      <c r="O3440">
        <v>2.771084E-2</v>
      </c>
      <c r="P3440">
        <v>0.99809570000000003</v>
      </c>
      <c r="Q3440">
        <v>1.2422000000000001E-2</v>
      </c>
      <c r="R3440">
        <v>-6.0424150000000003E-2</v>
      </c>
      <c r="S3440">
        <v>2.9912109999999998</v>
      </c>
      <c r="T3440">
        <v>-1.426756E-2</v>
      </c>
      <c r="U3440">
        <v>-0.24340819999999999</v>
      </c>
      <c r="V3440">
        <v>8.8078480000000001E-2</v>
      </c>
      <c r="W3440">
        <v>2.7184779999999999E-2</v>
      </c>
      <c r="X3440">
        <v>0.99574249999999997</v>
      </c>
      <c r="Y3440">
        <v>0.1086963</v>
      </c>
      <c r="Z3440">
        <v>-3.9079849999999999E-4</v>
      </c>
      <c r="AA3440">
        <v>0.99407489999999998</v>
      </c>
      <c r="AB3440">
        <v>37</v>
      </c>
      <c r="AC3440">
        <v>181.48500000000001</v>
      </c>
      <c r="AD3440">
        <v>-0.8675041</v>
      </c>
      <c r="AE3440">
        <v>-14.8102</v>
      </c>
      <c r="AF3440">
        <v>19.833718934289202</v>
      </c>
      <c r="AG3440">
        <v>-0.8675041</v>
      </c>
      <c r="AH3440">
        <v>181.00073416091701</v>
      </c>
      <c r="AI3440">
        <v>90.272972382305099</v>
      </c>
      <c r="AJ3440">
        <v>83.746585949688793</v>
      </c>
      <c r="AK3440">
        <v>182.08622885028601</v>
      </c>
      <c r="AL3440">
        <v>88.442234897566095</v>
      </c>
      <c r="AM3440">
        <v>84.945053794037406</v>
      </c>
      <c r="AN3440">
        <v>0.99999997860450396</v>
      </c>
    </row>
    <row r="3441" spans="1:40" x14ac:dyDescent="0.25">
      <c r="A3441" t="str">
        <f>"20190312154903819"</f>
        <v>20190312154903819</v>
      </c>
      <c r="B3441" t="str">
        <f>"1552376943808985"</f>
        <v>1552376943808985</v>
      </c>
      <c r="C3441" t="s">
        <v>40</v>
      </c>
      <c r="D3441">
        <v>4.5683429999999996</v>
      </c>
      <c r="E3441">
        <v>0.50839920000000005</v>
      </c>
      <c r="F3441" t="s">
        <v>59</v>
      </c>
      <c r="G3441">
        <v>-168.41249999999999</v>
      </c>
      <c r="H3441">
        <v>0.35282609999999998</v>
      </c>
      <c r="I3441">
        <v>200.666</v>
      </c>
      <c r="J3441">
        <v>-349.53519999999997</v>
      </c>
      <c r="K3441">
        <v>1.1096539999999999</v>
      </c>
      <c r="L3441">
        <v>215.60069999999999</v>
      </c>
      <c r="M3441">
        <v>0.99951279999999998</v>
      </c>
      <c r="N3441">
        <v>0</v>
      </c>
      <c r="O3441">
        <v>2.7442580000000001E-2</v>
      </c>
      <c r="P3441">
        <v>0.99803969999999997</v>
      </c>
      <c r="Q3441">
        <v>1.293567E-2</v>
      </c>
      <c r="R3441">
        <v>-6.1233790000000003E-2</v>
      </c>
      <c r="S3441">
        <v>2.9909970000000001</v>
      </c>
      <c r="T3441">
        <v>-1.247263E-2</v>
      </c>
      <c r="U3441">
        <v>-0.24597169999999999</v>
      </c>
      <c r="V3441">
        <v>8.8620470000000007E-2</v>
      </c>
      <c r="W3441">
        <v>2.7689559999999998E-2</v>
      </c>
      <c r="X3441">
        <v>0.99568049999999997</v>
      </c>
      <c r="Y3441">
        <v>0.1092819</v>
      </c>
      <c r="Z3441">
        <v>-3.4174880000000001E-4</v>
      </c>
      <c r="AA3441">
        <v>0.99401070000000002</v>
      </c>
      <c r="AB3441">
        <v>37</v>
      </c>
      <c r="AC3441">
        <v>181.12270000000001</v>
      </c>
      <c r="AD3441">
        <v>-0.7568279</v>
      </c>
      <c r="AE3441">
        <v>-14.9346999999999</v>
      </c>
      <c r="AF3441">
        <v>19.8997526454324</v>
      </c>
      <c r="AG3441">
        <v>-0.7568279</v>
      </c>
      <c r="AH3441">
        <v>180.64144601084701</v>
      </c>
      <c r="AI3441">
        <v>90.2386055319175</v>
      </c>
      <c r="AJ3441">
        <v>83.713552763916397</v>
      </c>
      <c r="AK3441">
        <v>181.73581089237501</v>
      </c>
      <c r="AL3441">
        <v>88.413302241022294</v>
      </c>
      <c r="AM3441">
        <v>84.913795845427899</v>
      </c>
      <c r="AN3441">
        <v>0.99999997875813196</v>
      </c>
    </row>
    <row r="3442" spans="1:40" x14ac:dyDescent="0.25">
      <c r="A3442" t="str">
        <f>"20190312154903842"</f>
        <v>20190312154903842</v>
      </c>
      <c r="B3442" t="str">
        <f>"1552376943829484"</f>
        <v>1552376943829484</v>
      </c>
      <c r="C3442" t="s">
        <v>40</v>
      </c>
      <c r="D3442">
        <v>4.521433</v>
      </c>
      <c r="E3442">
        <v>0.50855810000000001</v>
      </c>
      <c r="F3442" t="s">
        <v>59</v>
      </c>
      <c r="G3442">
        <v>-168.4126</v>
      </c>
      <c r="H3442">
        <v>0.4588623</v>
      </c>
      <c r="I3442">
        <v>200.5316</v>
      </c>
      <c r="J3442">
        <v>-349.15980000000002</v>
      </c>
      <c r="K3442">
        <v>1.109642</v>
      </c>
      <c r="L3442">
        <v>215.61070000000001</v>
      </c>
      <c r="M3442">
        <v>0.99952099999999999</v>
      </c>
      <c r="N3442">
        <v>0</v>
      </c>
      <c r="O3442">
        <v>2.7146010000000002E-2</v>
      </c>
      <c r="P3442">
        <v>0.99795730000000005</v>
      </c>
      <c r="Q3442">
        <v>1.36782E-2</v>
      </c>
      <c r="R3442">
        <v>-6.2402220000000001E-2</v>
      </c>
      <c r="S3442">
        <v>2.9907530000000002</v>
      </c>
      <c r="T3442">
        <v>-1.074553E-2</v>
      </c>
      <c r="U3442">
        <v>-0.24882509999999999</v>
      </c>
      <c r="V3442">
        <v>8.9492489999999994E-2</v>
      </c>
      <c r="W3442">
        <v>2.842217E-2</v>
      </c>
      <c r="X3442">
        <v>0.99558190000000002</v>
      </c>
      <c r="Y3442">
        <v>0.1099358</v>
      </c>
      <c r="Z3442">
        <v>-2.9454790000000002E-4</v>
      </c>
      <c r="AA3442">
        <v>0.99393860000000001</v>
      </c>
      <c r="AB3442">
        <v>37</v>
      </c>
      <c r="AC3442">
        <v>180.74719999999999</v>
      </c>
      <c r="AD3442">
        <v>-0.65077969999999996</v>
      </c>
      <c r="AE3442">
        <v>-15.0791</v>
      </c>
      <c r="AF3442">
        <v>19.9803918146035</v>
      </c>
      <c r="AG3442">
        <v>-0.65077969999999996</v>
      </c>
      <c r="AH3442">
        <v>180.26887278591801</v>
      </c>
      <c r="AI3442">
        <v>90.205580858168304</v>
      </c>
      <c r="AJ3442">
        <v>83.675344340184907</v>
      </c>
      <c r="AK3442">
        <v>181.37393987778</v>
      </c>
      <c r="AL3442">
        <v>88.371310319654597</v>
      </c>
      <c r="AM3442">
        <v>84.863508349940602</v>
      </c>
      <c r="AN3442">
        <v>1.0000000225607499</v>
      </c>
    </row>
    <row r="3443" spans="1:40" x14ac:dyDescent="0.25">
      <c r="A3443" t="str">
        <f>"20190312154903865"</f>
        <v>20190312154903865</v>
      </c>
      <c r="B3443" t="str">
        <f>"1552376943859736"</f>
        <v>1552376943859736</v>
      </c>
      <c r="C3443" t="s">
        <v>40</v>
      </c>
      <c r="D3443">
        <v>4.5018310000000001</v>
      </c>
      <c r="E3443">
        <v>0.50873919999999995</v>
      </c>
      <c r="F3443" t="s">
        <v>59</v>
      </c>
      <c r="G3443">
        <v>-168.4128</v>
      </c>
      <c r="H3443">
        <v>0.64681149999999998</v>
      </c>
      <c r="I3443">
        <v>200.29140000000001</v>
      </c>
      <c r="J3443">
        <v>-348.7826</v>
      </c>
      <c r="K3443">
        <v>1.1096349999999999</v>
      </c>
      <c r="L3443">
        <v>215.6206</v>
      </c>
      <c r="M3443">
        <v>0.99952940000000001</v>
      </c>
      <c r="N3443">
        <v>0</v>
      </c>
      <c r="O3443">
        <v>2.6833989999999999E-2</v>
      </c>
      <c r="P3443">
        <v>0.99789000000000005</v>
      </c>
      <c r="Q3443">
        <v>1.459476E-2</v>
      </c>
      <c r="R3443">
        <v>-6.3267290000000004E-2</v>
      </c>
      <c r="S3443">
        <v>2.9903559999999998</v>
      </c>
      <c r="T3443">
        <v>-7.656693E-3</v>
      </c>
      <c r="U3443">
        <v>-0.25344850000000002</v>
      </c>
      <c r="V3443">
        <v>9.0046189999999998E-2</v>
      </c>
      <c r="W3443">
        <v>2.9329689999999999E-2</v>
      </c>
      <c r="X3443">
        <v>0.99550559999999999</v>
      </c>
      <c r="Y3443">
        <v>0.1111627</v>
      </c>
      <c r="Z3443">
        <v>-2.1066429999999999E-4</v>
      </c>
      <c r="AA3443">
        <v>0.99380219999999997</v>
      </c>
      <c r="AB3443">
        <v>37</v>
      </c>
      <c r="AC3443">
        <v>180.3698</v>
      </c>
      <c r="AD3443">
        <v>-0.4628235</v>
      </c>
      <c r="AE3443">
        <v>-15.329199999999901</v>
      </c>
      <c r="AF3443">
        <v>20.164123096804701</v>
      </c>
      <c r="AG3443">
        <v>-0.4628235</v>
      </c>
      <c r="AH3443">
        <v>179.89227014364201</v>
      </c>
      <c r="AI3443">
        <v>90.146491797827693</v>
      </c>
      <c r="AJ3443">
        <v>83.604412459571705</v>
      </c>
      <c r="AK3443">
        <v>181.01943244659799</v>
      </c>
      <c r="AL3443">
        <v>88.319291478819693</v>
      </c>
      <c r="AM3443">
        <v>84.831505915507194</v>
      </c>
      <c r="AN3443">
        <v>0.99999997334018498</v>
      </c>
    </row>
    <row r="3444" spans="1:40" x14ac:dyDescent="0.25">
      <c r="A3444" t="str">
        <f>"20190312154903886"</f>
        <v>20190312154903886</v>
      </c>
      <c r="B3444" t="str">
        <f>"1552376943878858"</f>
        <v>1552376943878858</v>
      </c>
      <c r="C3444" t="s">
        <v>40</v>
      </c>
      <c r="D3444">
        <v>4.4837160000000003</v>
      </c>
      <c r="E3444">
        <v>0.50891660000000005</v>
      </c>
      <c r="F3444" t="s">
        <v>59</v>
      </c>
      <c r="G3444">
        <v>-168.41290000000001</v>
      </c>
      <c r="H3444">
        <v>0.88510610000000001</v>
      </c>
      <c r="I3444">
        <v>200.0761</v>
      </c>
      <c r="J3444">
        <v>-348.42059999999998</v>
      </c>
      <c r="K3444">
        <v>1.109634</v>
      </c>
      <c r="L3444">
        <v>215.6301</v>
      </c>
      <c r="M3444">
        <v>0.99953780000000003</v>
      </c>
      <c r="N3444">
        <v>0</v>
      </c>
      <c r="O3444">
        <v>2.6523640000000001E-2</v>
      </c>
      <c r="P3444">
        <v>0.99782870000000001</v>
      </c>
      <c r="Q3444">
        <v>1.559111E-2</v>
      </c>
      <c r="R3444">
        <v>-6.3994419999999996E-2</v>
      </c>
      <c r="S3444">
        <v>2.9900820000000001</v>
      </c>
      <c r="T3444">
        <v>-3.7215949999999999E-3</v>
      </c>
      <c r="U3444">
        <v>-0.25769039999999999</v>
      </c>
      <c r="V3444">
        <v>9.0463680000000005E-2</v>
      </c>
      <c r="W3444">
        <v>3.0318210000000002E-2</v>
      </c>
      <c r="X3444">
        <v>0.99543820000000005</v>
      </c>
      <c r="Y3444">
        <v>0.11226170000000001</v>
      </c>
      <c r="Z3444">
        <v>-1.0269540000000001E-4</v>
      </c>
      <c r="AA3444">
        <v>0.99367870000000003</v>
      </c>
      <c r="AB3444">
        <v>37</v>
      </c>
      <c r="AC3444">
        <v>180.00769999999901</v>
      </c>
      <c r="AD3444">
        <v>-0.2245279</v>
      </c>
      <c r="AE3444">
        <v>-15.554</v>
      </c>
      <c r="AF3444">
        <v>20.323481637496801</v>
      </c>
      <c r="AG3444">
        <v>-0.2245279</v>
      </c>
      <c r="AH3444">
        <v>179.53148538375601</v>
      </c>
      <c r="AI3444">
        <v>90.071201158473599</v>
      </c>
      <c r="AJ3444">
        <v>83.541447507736294</v>
      </c>
      <c r="AK3444">
        <v>180.67830130578901</v>
      </c>
      <c r="AL3444">
        <v>88.262628362314501</v>
      </c>
      <c r="AM3444">
        <v>84.807323758307206</v>
      </c>
      <c r="AN3444">
        <v>1.0000000406379901</v>
      </c>
    </row>
    <row r="3445" spans="1:40" x14ac:dyDescent="0.25">
      <c r="A3445" t="str">
        <f>"20190312154903909"</f>
        <v>20190312154903909</v>
      </c>
      <c r="B3445" t="str">
        <f>"1552376943899357"</f>
        <v>1552376943899357</v>
      </c>
      <c r="C3445" t="s">
        <v>40</v>
      </c>
      <c r="D3445">
        <v>4.4947460000000001</v>
      </c>
      <c r="E3445">
        <v>0.50907780000000002</v>
      </c>
      <c r="F3445" t="s">
        <v>59</v>
      </c>
      <c r="G3445">
        <v>-168.41299999999899</v>
      </c>
      <c r="H3445">
        <v>1.033147</v>
      </c>
      <c r="I3445">
        <v>199.9111</v>
      </c>
      <c r="J3445">
        <v>-348.05619999999999</v>
      </c>
      <c r="K3445">
        <v>1.109632</v>
      </c>
      <c r="L3445">
        <v>215.63939999999999</v>
      </c>
      <c r="M3445">
        <v>0.9995463</v>
      </c>
      <c r="N3445">
        <v>0</v>
      </c>
      <c r="O3445">
        <v>2.6204470000000001E-2</v>
      </c>
      <c r="P3445">
        <v>0.99775840000000005</v>
      </c>
      <c r="Q3445">
        <v>1.677532E-2</v>
      </c>
      <c r="R3445">
        <v>-6.4785659999999995E-2</v>
      </c>
      <c r="S3445">
        <v>2.9897770000000001</v>
      </c>
      <c r="T3445">
        <v>-1.2698169999999999E-3</v>
      </c>
      <c r="U3445">
        <v>-0.26107789999999997</v>
      </c>
      <c r="V3445">
        <v>9.0936290000000003E-2</v>
      </c>
      <c r="W3445">
        <v>3.1495429999999998E-2</v>
      </c>
      <c r="X3445">
        <v>0.99535850000000003</v>
      </c>
      <c r="Y3445">
        <v>0.11307059999999999</v>
      </c>
      <c r="Z3445" s="1">
        <v>-3.5077929999999899E-5</v>
      </c>
      <c r="AA3445">
        <v>0.993587</v>
      </c>
      <c r="AB3445">
        <v>37</v>
      </c>
      <c r="AC3445">
        <v>179.64320000000001</v>
      </c>
      <c r="AD3445">
        <v>-7.64849999999999E-2</v>
      </c>
      <c r="AE3445">
        <v>-15.7282999999999</v>
      </c>
      <c r="AF3445">
        <v>20.430868071208899</v>
      </c>
      <c r="AG3445">
        <v>-7.64849999999999E-2</v>
      </c>
      <c r="AH3445">
        <v>179.169268171412</v>
      </c>
      <c r="AI3445">
        <v>90.024301326048004</v>
      </c>
      <c r="AJ3445">
        <v>83.494599110689293</v>
      </c>
      <c r="AK3445">
        <v>180.330399204288</v>
      </c>
      <c r="AL3445">
        <v>88.195146234855599</v>
      </c>
      <c r="AM3445">
        <v>84.779929448391499</v>
      </c>
      <c r="AN3445">
        <v>0.99999995723604795</v>
      </c>
    </row>
    <row r="3446" spans="1:40" x14ac:dyDescent="0.25">
      <c r="A3446" t="str">
        <f>"20190312154903932"</f>
        <v>20190312154903932</v>
      </c>
      <c r="B3446" t="str">
        <f>"1552376943918873"</f>
        <v>1552376943918873</v>
      </c>
      <c r="C3446" t="s">
        <v>40</v>
      </c>
      <c r="D3446">
        <v>4.472575</v>
      </c>
      <c r="E3446">
        <v>0.50918019999999997</v>
      </c>
      <c r="F3446" t="s">
        <v>59</v>
      </c>
      <c r="G3446">
        <v>-168.41309999999999</v>
      </c>
      <c r="H3446">
        <v>1.295641</v>
      </c>
      <c r="I3446">
        <v>199.72810000000001</v>
      </c>
      <c r="J3446">
        <v>-347.66570000000002</v>
      </c>
      <c r="K3446">
        <v>1.109634</v>
      </c>
      <c r="L3446">
        <v>215.64930000000001</v>
      </c>
      <c r="M3446">
        <v>0.99955539999999998</v>
      </c>
      <c r="N3446">
        <v>0</v>
      </c>
      <c r="O3446">
        <v>2.585805E-2</v>
      </c>
      <c r="P3446">
        <v>0.99767600000000001</v>
      </c>
      <c r="Q3446">
        <v>1.8217089999999998E-2</v>
      </c>
      <c r="R3446">
        <v>-6.5657740000000006E-2</v>
      </c>
      <c r="S3446">
        <v>2.9895019999999999</v>
      </c>
      <c r="T3446">
        <v>3.095984E-3</v>
      </c>
      <c r="U3446">
        <v>-0.26478580000000002</v>
      </c>
      <c r="V3446">
        <v>9.1462509999999997E-2</v>
      </c>
      <c r="W3446">
        <v>3.2929970000000003E-2</v>
      </c>
      <c r="X3446">
        <v>0.99526389999999998</v>
      </c>
      <c r="Y3446">
        <v>0.113957</v>
      </c>
      <c r="Z3446" s="1">
        <v>8.56278E-5</v>
      </c>
      <c r="AA3446">
        <v>0.99348570000000003</v>
      </c>
      <c r="AB3446">
        <v>37</v>
      </c>
      <c r="AC3446">
        <v>179.2526</v>
      </c>
      <c r="AD3446">
        <v>0.18600700000000001</v>
      </c>
      <c r="AE3446">
        <v>-15.921200000000001</v>
      </c>
      <c r="AF3446">
        <v>20.551486698441501</v>
      </c>
      <c r="AG3446">
        <v>0.18600700000000001</v>
      </c>
      <c r="AH3446">
        <v>178.780721593762</v>
      </c>
      <c r="AI3446">
        <v>89.940778361531997</v>
      </c>
      <c r="AJ3446">
        <v>83.442427709156803</v>
      </c>
      <c r="AK3446">
        <v>179.95817463429299</v>
      </c>
      <c r="AL3446">
        <v>88.112910544126507</v>
      </c>
      <c r="AM3446">
        <v>84.749394611106894</v>
      </c>
      <c r="AN3446">
        <v>1.0000000021514499</v>
      </c>
    </row>
    <row r="3447" spans="1:40" x14ac:dyDescent="0.25">
      <c r="A3447" t="str">
        <f>"20190312154903955"</f>
        <v>20190312154903955</v>
      </c>
      <c r="B3447" t="str">
        <f>"1552376943949129"</f>
        <v>1552376943949129</v>
      </c>
      <c r="C3447" t="s">
        <v>40</v>
      </c>
      <c r="D3447">
        <v>4.4863749999999998</v>
      </c>
      <c r="E3447">
        <v>0.50934259999999998</v>
      </c>
      <c r="F3447" t="s">
        <v>59</v>
      </c>
      <c r="G3447">
        <v>-168.41329999999999</v>
      </c>
      <c r="H3447">
        <v>1.5856300000000001</v>
      </c>
      <c r="I3447">
        <v>199.56630000000001</v>
      </c>
      <c r="J3447">
        <v>-347.28930000000003</v>
      </c>
      <c r="K3447">
        <v>1.109645</v>
      </c>
      <c r="L3447">
        <v>215.65870000000001</v>
      </c>
      <c r="M3447">
        <v>0.99956420000000001</v>
      </c>
      <c r="N3447">
        <v>0</v>
      </c>
      <c r="O3447">
        <v>2.5522030000000001E-2</v>
      </c>
      <c r="P3447">
        <v>0.99753590000000003</v>
      </c>
      <c r="Q3447">
        <v>2.0352350000000002E-2</v>
      </c>
      <c r="R3447">
        <v>-6.7143460000000002E-2</v>
      </c>
      <c r="S3447">
        <v>2.989258</v>
      </c>
      <c r="T3447">
        <v>7.9383849999999992E-3</v>
      </c>
      <c r="U3447">
        <v>-0.26820369999999999</v>
      </c>
      <c r="V3447">
        <v>9.2611600000000002E-2</v>
      </c>
      <c r="W3447">
        <v>3.505639E-2</v>
      </c>
      <c r="X3447">
        <v>0.995085</v>
      </c>
      <c r="Y3447">
        <v>0.1147567</v>
      </c>
      <c r="Z3447">
        <v>2.197329E-4</v>
      </c>
      <c r="AA3447">
        <v>0.99339359999999999</v>
      </c>
      <c r="AB3447">
        <v>37</v>
      </c>
      <c r="AC3447">
        <v>178.876</v>
      </c>
      <c r="AD3447">
        <v>0.47598499999999899</v>
      </c>
      <c r="AE3447">
        <v>-16.092399999999898</v>
      </c>
      <c r="AF3447">
        <v>20.6527928267028</v>
      </c>
      <c r="AG3447">
        <v>0.47598499999999899</v>
      </c>
      <c r="AH3447">
        <v>178.40571107324701</v>
      </c>
      <c r="AI3447">
        <v>89.848149772690505</v>
      </c>
      <c r="AJ3447">
        <v>83.396657310752005</v>
      </c>
      <c r="AK3447">
        <v>179.59777881926499</v>
      </c>
      <c r="AL3447">
        <v>87.991005188374402</v>
      </c>
      <c r="AM3447">
        <v>84.682853928999705</v>
      </c>
      <c r="AN3447">
        <v>1.00000000807969</v>
      </c>
    </row>
    <row r="3448" spans="1:40" x14ac:dyDescent="0.25">
      <c r="A3448" t="str">
        <f>"20190312154903977"</f>
        <v>20190312154903977</v>
      </c>
      <c r="B3448" t="str">
        <f>"1552376943969626"</f>
        <v>1552376943969626</v>
      </c>
      <c r="C3448" t="s">
        <v>40</v>
      </c>
      <c r="D3448">
        <v>4.6040039999999998</v>
      </c>
      <c r="E3448">
        <v>0.50934789999999996</v>
      </c>
      <c r="F3448" t="s">
        <v>59</v>
      </c>
      <c r="G3448">
        <v>-168.4135</v>
      </c>
      <c r="H3448">
        <v>1.9704489999999999</v>
      </c>
      <c r="I3448">
        <v>199.25299999999999</v>
      </c>
      <c r="J3448">
        <v>-346.92930000000001</v>
      </c>
      <c r="K3448">
        <v>1.109659</v>
      </c>
      <c r="L3448">
        <v>215.66759999999999</v>
      </c>
      <c r="M3448">
        <v>0.99957220000000002</v>
      </c>
      <c r="N3448">
        <v>0</v>
      </c>
      <c r="O3448">
        <v>2.5200810000000001E-2</v>
      </c>
      <c r="P3448">
        <v>0.99733810000000001</v>
      </c>
      <c r="Q3448">
        <v>2.3328890000000001E-2</v>
      </c>
      <c r="R3448">
        <v>-6.9086060000000005E-2</v>
      </c>
      <c r="S3448">
        <v>2.9886780000000002</v>
      </c>
      <c r="T3448">
        <v>1.438296E-2</v>
      </c>
      <c r="U3448">
        <v>-0.27410889999999999</v>
      </c>
      <c r="V3448">
        <v>9.4231200000000001E-2</v>
      </c>
      <c r="W3448">
        <v>3.8023670000000002E-2</v>
      </c>
      <c r="X3448">
        <v>0.99482389999999998</v>
      </c>
      <c r="Y3448">
        <v>0.1164</v>
      </c>
      <c r="Z3448">
        <v>4.005608E-4</v>
      </c>
      <c r="AA3448">
        <v>0.99320229999999998</v>
      </c>
      <c r="AB3448">
        <v>37</v>
      </c>
      <c r="AC3448">
        <v>178.51580000000001</v>
      </c>
      <c r="AD3448">
        <v>0.86079000000000006</v>
      </c>
      <c r="AE3448">
        <v>-16.4146</v>
      </c>
      <c r="AF3448">
        <v>20.9081421229541</v>
      </c>
      <c r="AG3448">
        <v>0.86079000000000006</v>
      </c>
      <c r="AH3448">
        <v>178.04128079792901</v>
      </c>
      <c r="AI3448">
        <v>89.724880340791302</v>
      </c>
      <c r="AJ3448">
        <v>83.302190763086003</v>
      </c>
      <c r="AK3448">
        <v>179.26680962918101</v>
      </c>
      <c r="AL3448">
        <v>87.820878779261704</v>
      </c>
      <c r="AM3448">
        <v>84.589002755054693</v>
      </c>
      <c r="AN3448">
        <v>0.999999955272458</v>
      </c>
    </row>
    <row r="3449" spans="1:40" x14ac:dyDescent="0.25">
      <c r="A3449" t="str">
        <f>"20190312154904000"</f>
        <v>20190312154904000</v>
      </c>
      <c r="B3449" t="str">
        <f>"1552376943989146"</f>
        <v>1552376943989146</v>
      </c>
      <c r="C3449" t="s">
        <v>40</v>
      </c>
      <c r="D3449">
        <v>4.3838269999999904</v>
      </c>
      <c r="E3449">
        <v>0.5117408</v>
      </c>
      <c r="F3449" t="s">
        <v>59</v>
      </c>
      <c r="G3449">
        <v>-168.41380000000001</v>
      </c>
      <c r="H3449">
        <v>2.506122</v>
      </c>
      <c r="I3449">
        <v>198.94489999999999</v>
      </c>
      <c r="J3449">
        <v>-346.54430000000002</v>
      </c>
      <c r="K3449">
        <v>1.1096699999999999</v>
      </c>
      <c r="L3449">
        <v>215.67699999999999</v>
      </c>
      <c r="M3449">
        <v>0.99958100000000005</v>
      </c>
      <c r="N3449">
        <v>0</v>
      </c>
      <c r="O3449">
        <v>2.4857549999999999E-2</v>
      </c>
      <c r="P3449">
        <v>0.99704709999999996</v>
      </c>
      <c r="Q3449">
        <v>2.6776029999999999E-2</v>
      </c>
      <c r="R3449">
        <v>-7.1976209999999999E-2</v>
      </c>
      <c r="S3449">
        <v>2.9880369999999998</v>
      </c>
      <c r="T3449">
        <v>2.337492E-2</v>
      </c>
      <c r="U3449">
        <v>-0.27990720000000002</v>
      </c>
      <c r="V3449">
        <v>9.6774440000000003E-2</v>
      </c>
      <c r="W3449">
        <v>4.1458469999999997E-2</v>
      </c>
      <c r="X3449">
        <v>0.99444250000000001</v>
      </c>
      <c r="Y3449">
        <v>0.11798640000000001</v>
      </c>
      <c r="Z3449">
        <v>6.545705E-4</v>
      </c>
      <c r="AA3449">
        <v>0.99301499999999998</v>
      </c>
      <c r="AB3449">
        <v>37</v>
      </c>
      <c r="AC3449">
        <v>178.13050000000001</v>
      </c>
      <c r="AD3449">
        <v>1.39645199999999</v>
      </c>
      <c r="AE3449">
        <v>-16.732099999999999</v>
      </c>
      <c r="AF3449">
        <v>21.154014791678801</v>
      </c>
      <c r="AG3449">
        <v>1.39645199999999</v>
      </c>
      <c r="AH3449">
        <v>177.64865904037799</v>
      </c>
      <c r="AI3449">
        <v>89.552780767859005</v>
      </c>
      <c r="AJ3449">
        <v>83.209319305813395</v>
      </c>
      <c r="AK3449">
        <v>178.90916264640899</v>
      </c>
      <c r="AL3449">
        <v>87.623923623134701</v>
      </c>
      <c r="AM3449">
        <v>84.441747711365693</v>
      </c>
      <c r="AN3449">
        <v>0.99999999138915197</v>
      </c>
    </row>
    <row r="3450" spans="1:40" x14ac:dyDescent="0.25">
      <c r="A3450" t="str">
        <f>"20190312154904022"</f>
        <v>20190312154904022</v>
      </c>
      <c r="B3450" t="str">
        <f>"1552376944019402"</f>
        <v>1552376944019402</v>
      </c>
      <c r="C3450" t="s">
        <v>40</v>
      </c>
      <c r="D3450">
        <v>4.3724800000000004</v>
      </c>
      <c r="E3450">
        <v>0.59622229999999998</v>
      </c>
      <c r="F3450" t="s">
        <v>59</v>
      </c>
      <c r="G3450">
        <v>-168.41470000000001</v>
      </c>
      <c r="H3450">
        <v>3.4665360000000001</v>
      </c>
      <c r="I3450">
        <v>197.30609999999999</v>
      </c>
      <c r="J3450">
        <v>-346.18970000000002</v>
      </c>
      <c r="K3450">
        <v>1.109691</v>
      </c>
      <c r="L3450">
        <v>215.68549999999999</v>
      </c>
      <c r="M3450">
        <v>0.9995887</v>
      </c>
      <c r="N3450">
        <v>0</v>
      </c>
      <c r="O3450">
        <v>2.4542620000000001E-2</v>
      </c>
      <c r="P3450">
        <v>0.99660150000000003</v>
      </c>
      <c r="Q3450">
        <v>3.0775380000000001E-2</v>
      </c>
      <c r="R3450">
        <v>-7.6412019999999997E-2</v>
      </c>
      <c r="S3450">
        <v>2.9855649999999998</v>
      </c>
      <c r="T3450">
        <v>3.9503099999999999E-2</v>
      </c>
      <c r="U3450">
        <v>-0.30790709999999999</v>
      </c>
      <c r="V3450">
        <v>0.1008878</v>
      </c>
      <c r="W3450">
        <v>4.5442000000000003E-2</v>
      </c>
      <c r="X3450">
        <v>0.99385950000000001</v>
      </c>
      <c r="Y3450">
        <v>0.12695960000000001</v>
      </c>
      <c r="Z3450">
        <v>1.1616389999999999E-3</v>
      </c>
      <c r="AA3450">
        <v>0.99190719999999999</v>
      </c>
      <c r="AB3450">
        <v>37</v>
      </c>
      <c r="AC3450">
        <v>177.77500000000001</v>
      </c>
      <c r="AD3450">
        <v>2.3568449999999999</v>
      </c>
      <c r="AE3450">
        <v>-18.3794</v>
      </c>
      <c r="AF3450">
        <v>22.733453724745299</v>
      </c>
      <c r="AG3450">
        <v>2.3568449999999999</v>
      </c>
      <c r="AH3450">
        <v>177.23948914292799</v>
      </c>
      <c r="AI3450">
        <v>89.244343161396898</v>
      </c>
      <c r="AJ3450">
        <v>82.690919422563297</v>
      </c>
      <c r="AK3450">
        <v>178.70702601816001</v>
      </c>
      <c r="AL3450">
        <v>87.395468318224601</v>
      </c>
      <c r="AM3450">
        <v>84.203695672006404</v>
      </c>
      <c r="AN3450">
        <v>1.00000001464654</v>
      </c>
    </row>
    <row r="3451" spans="1:40" x14ac:dyDescent="0.25">
      <c r="A3451" t="str">
        <f>"20190312154904043"</f>
        <v>20190312154904043</v>
      </c>
      <c r="B3451" t="str">
        <f>"1552376944038921"</f>
        <v>1552376944038921</v>
      </c>
      <c r="C3451" t="s">
        <v>40</v>
      </c>
      <c r="D3451">
        <v>4.6842899999999998</v>
      </c>
      <c r="E3451">
        <v>0.66280790000000001</v>
      </c>
      <c r="F3451" t="s">
        <v>48</v>
      </c>
      <c r="G3451">
        <v>0</v>
      </c>
      <c r="H3451">
        <v>0</v>
      </c>
      <c r="I3451">
        <v>0</v>
      </c>
      <c r="J3451">
        <v>-345.83210000000003</v>
      </c>
      <c r="K3451">
        <v>1.109702</v>
      </c>
      <c r="L3451">
        <v>215.69399999999999</v>
      </c>
      <c r="M3451">
        <v>0.9995965</v>
      </c>
      <c r="N3451">
        <v>0</v>
      </c>
      <c r="O3451">
        <v>2.4224220000000001E-2</v>
      </c>
      <c r="P3451">
        <v>0.99614000000000003</v>
      </c>
      <c r="Q3451">
        <v>3.3460179999999999E-2</v>
      </c>
      <c r="R3451">
        <v>-8.1152329999999995E-2</v>
      </c>
      <c r="S3451">
        <v>2.9241030000000001</v>
      </c>
      <c r="T3451">
        <v>0.30165720000000001</v>
      </c>
      <c r="U3451">
        <v>-1.0019530000000001</v>
      </c>
      <c r="V3451">
        <v>0.1053014</v>
      </c>
      <c r="W3451">
        <v>4.811033E-2</v>
      </c>
      <c r="X3451">
        <v>0.99327589999999999</v>
      </c>
      <c r="Y3451">
        <v>0.34521649999999998</v>
      </c>
      <c r="Z3451">
        <v>1.9696729999999999E-2</v>
      </c>
      <c r="AA3451">
        <v>0.93831629999999999</v>
      </c>
      <c r="AB3451">
        <v>37</v>
      </c>
      <c r="AC3451">
        <v>2.9241030000000001</v>
      </c>
      <c r="AD3451">
        <v>0.30165720000000001</v>
      </c>
      <c r="AE3451">
        <v>-1.0019530000000001</v>
      </c>
      <c r="AF3451">
        <v>1.06238246512523</v>
      </c>
      <c r="AG3451">
        <v>0.30165720000000001</v>
      </c>
      <c r="AH3451">
        <v>2.8716206105769602</v>
      </c>
      <c r="AI3451">
        <v>84.373288923340795</v>
      </c>
      <c r="AJ3451">
        <v>69.697582471104596</v>
      </c>
      <c r="AK3451">
        <v>3.0766635337013701</v>
      </c>
      <c r="AL3451">
        <v>87.242416659103597</v>
      </c>
      <c r="AM3451">
        <v>83.948434556730305</v>
      </c>
      <c r="AN3451">
        <v>1.0000000011077299</v>
      </c>
    </row>
    <row r="3452" spans="1:40" x14ac:dyDescent="0.25">
      <c r="A3452" t="str">
        <f>"20190312154904066"</f>
        <v>20190312154904066</v>
      </c>
      <c r="B3452" t="str">
        <f>"1552376944059418"</f>
        <v>1552376944059418</v>
      </c>
      <c r="C3452" t="s">
        <v>40</v>
      </c>
      <c r="D3452">
        <v>4.5258669999999999</v>
      </c>
      <c r="E3452">
        <v>0.7248291</v>
      </c>
      <c r="F3452" t="s">
        <v>41</v>
      </c>
      <c r="G3452">
        <v>-345.3415</v>
      </c>
      <c r="H3452">
        <v>1.217603</v>
      </c>
      <c r="I3452">
        <v>215.42689999999999</v>
      </c>
      <c r="J3452">
        <v>-345.4676</v>
      </c>
      <c r="K3452">
        <v>1.109702</v>
      </c>
      <c r="L3452">
        <v>215.70249999999999</v>
      </c>
      <c r="M3452">
        <v>0.99960459999999995</v>
      </c>
      <c r="N3452">
        <v>0</v>
      </c>
      <c r="O3452">
        <v>2.3897850000000002E-2</v>
      </c>
      <c r="P3452">
        <v>0.99569189999999996</v>
      </c>
      <c r="Q3452">
        <v>3.5411190000000002E-2</v>
      </c>
      <c r="R3452">
        <v>-8.5696159999999993E-2</v>
      </c>
      <c r="S3452">
        <v>2.8636469999999998</v>
      </c>
      <c r="T3452">
        <v>0.62952030000000003</v>
      </c>
      <c r="U3452">
        <v>-1.556351</v>
      </c>
      <c r="V3452">
        <v>0.1095107</v>
      </c>
      <c r="W3452">
        <v>5.0045390000000002E-2</v>
      </c>
      <c r="X3452">
        <v>0.99272499999999997</v>
      </c>
      <c r="Y3452">
        <v>0.4888729</v>
      </c>
      <c r="Z3452">
        <v>5.4647080000000001E-2</v>
      </c>
      <c r="AA3452">
        <v>0.87064169999999996</v>
      </c>
      <c r="AB3452">
        <v>37</v>
      </c>
      <c r="AC3452">
        <v>0.12610000000000801</v>
      </c>
      <c r="AD3452">
        <v>0.107901</v>
      </c>
      <c r="AE3452">
        <v>-0.27559999999999701</v>
      </c>
      <c r="AF3452">
        <v>0.24720270327621099</v>
      </c>
      <c r="AG3452">
        <v>0.107901</v>
      </c>
      <c r="AH3452">
        <v>0.10603703799588</v>
      </c>
      <c r="AI3452">
        <v>68.142252856733506</v>
      </c>
      <c r="AJ3452">
        <v>23.216802839970899</v>
      </c>
      <c r="AK3452">
        <v>0.28982004025775399</v>
      </c>
      <c r="AL3452">
        <v>87.131412188351405</v>
      </c>
      <c r="AM3452">
        <v>83.704969988560805</v>
      </c>
      <c r="AN3452">
        <v>1.0000000300498699</v>
      </c>
    </row>
    <row r="3453" spans="1:40" x14ac:dyDescent="0.25">
      <c r="A3453" t="str">
        <f>"20190312154904088"</f>
        <v>20190312154904088</v>
      </c>
      <c r="B3453" t="str">
        <f>"1552376944078938"</f>
        <v>1552376944078938</v>
      </c>
      <c r="C3453" t="s">
        <v>40</v>
      </c>
      <c r="D3453">
        <v>4.5083299999999999</v>
      </c>
      <c r="E3453">
        <v>0.71810830000000003</v>
      </c>
      <c r="F3453" t="s">
        <v>48</v>
      </c>
      <c r="G3453">
        <v>0</v>
      </c>
      <c r="H3453">
        <v>0</v>
      </c>
      <c r="I3453">
        <v>0</v>
      </c>
      <c r="J3453">
        <v>-345.10730000000001</v>
      </c>
      <c r="K3453">
        <v>1.109715</v>
      </c>
      <c r="L3453">
        <v>215.7107</v>
      </c>
      <c r="M3453">
        <v>0.99961219999999995</v>
      </c>
      <c r="N3453">
        <v>0</v>
      </c>
      <c r="O3453">
        <v>2.3574029999999999E-2</v>
      </c>
      <c r="P3453">
        <v>0.9951605</v>
      </c>
      <c r="Q3453">
        <v>3.823302E-2</v>
      </c>
      <c r="R3453">
        <v>-9.0521080000000004E-2</v>
      </c>
      <c r="S3453">
        <v>2.7976070000000002</v>
      </c>
      <c r="T3453">
        <v>1.032988</v>
      </c>
      <c r="U3453">
        <v>-2.07579</v>
      </c>
      <c r="V3453">
        <v>0.1140022</v>
      </c>
      <c r="W3453">
        <v>5.2849769999999997E-2</v>
      </c>
      <c r="X3453">
        <v>0.99207380000000001</v>
      </c>
      <c r="Y3453">
        <v>0.58819589999999999</v>
      </c>
      <c r="Z3453">
        <v>0.1020655</v>
      </c>
      <c r="AA3453">
        <v>0.80225199999999997</v>
      </c>
      <c r="AB3453">
        <v>37</v>
      </c>
      <c r="AC3453">
        <v>2.7976070000000002</v>
      </c>
      <c r="AD3453">
        <v>1.032988</v>
      </c>
      <c r="AE3453">
        <v>-2.07579</v>
      </c>
      <c r="AF3453">
        <v>1.9681164384891601</v>
      </c>
      <c r="AG3453">
        <v>1.032988</v>
      </c>
      <c r="AH3453">
        <v>2.5257981262992</v>
      </c>
      <c r="AI3453">
        <v>72.120202543874399</v>
      </c>
      <c r="AJ3453">
        <v>52.0740732534994</v>
      </c>
      <c r="AK3453">
        <v>3.3645508910420499</v>
      </c>
      <c r="AL3453">
        <v>86.970519877563305</v>
      </c>
      <c r="AM3453">
        <v>83.444721983181296</v>
      </c>
      <c r="AN3453">
        <v>1.00000001222016</v>
      </c>
    </row>
    <row r="3454" spans="1:40" x14ac:dyDescent="0.25">
      <c r="A3454" t="str">
        <f>"20190312154904111"</f>
        <v>20190312154904111</v>
      </c>
      <c r="B3454" t="str">
        <f>"1552376944099434"</f>
        <v>1552376944099434</v>
      </c>
      <c r="C3454" t="s">
        <v>40</v>
      </c>
      <c r="D3454">
        <v>4.5323449999999896</v>
      </c>
      <c r="E3454">
        <v>0.71313660000000001</v>
      </c>
      <c r="F3454" t="s">
        <v>48</v>
      </c>
      <c r="G3454">
        <v>0</v>
      </c>
      <c r="H3454">
        <v>0</v>
      </c>
      <c r="I3454">
        <v>0</v>
      </c>
      <c r="J3454">
        <v>-344.73809999999997</v>
      </c>
      <c r="K3454">
        <v>1.109726</v>
      </c>
      <c r="L3454">
        <v>215.7191</v>
      </c>
      <c r="M3454">
        <v>0.99961999999999995</v>
      </c>
      <c r="N3454">
        <v>0</v>
      </c>
      <c r="O3454">
        <v>2.3239849999999999E-2</v>
      </c>
      <c r="P3454">
        <v>0.99458999999999997</v>
      </c>
      <c r="Q3454">
        <v>4.1394800000000002E-2</v>
      </c>
      <c r="R3454">
        <v>-9.5274380000000006E-2</v>
      </c>
      <c r="S3454">
        <v>2.7939449999999999</v>
      </c>
      <c r="T3454">
        <v>0.93256550000000005</v>
      </c>
      <c r="U3454">
        <v>-2.0323180000000001</v>
      </c>
      <c r="V3454">
        <v>0.1184119</v>
      </c>
      <c r="W3454">
        <v>5.5993649999999999E-2</v>
      </c>
      <c r="X3454">
        <v>0.99138459999999995</v>
      </c>
      <c r="Y3454">
        <v>0.58501449999999999</v>
      </c>
      <c r="Z3454">
        <v>9.2427019999999999E-2</v>
      </c>
      <c r="AA3454">
        <v>0.80573899999999998</v>
      </c>
      <c r="AB3454">
        <v>37</v>
      </c>
      <c r="AC3454">
        <v>2.7939449999999999</v>
      </c>
      <c r="AD3454">
        <v>0.93256550000000005</v>
      </c>
      <c r="AE3454">
        <v>-2.0323180000000001</v>
      </c>
      <c r="AF3454">
        <v>1.9543172301346801</v>
      </c>
      <c r="AG3454">
        <v>0.93256550000000005</v>
      </c>
      <c r="AH3454">
        <v>2.5594734061697002</v>
      </c>
      <c r="AI3454">
        <v>73.849478351011697</v>
      </c>
      <c r="AJ3454">
        <v>52.636013549498003</v>
      </c>
      <c r="AK3454">
        <v>3.35260173069834</v>
      </c>
      <c r="AL3454">
        <v>86.790121514778207</v>
      </c>
      <c r="AM3454">
        <v>83.188806227150806</v>
      </c>
      <c r="AN3454">
        <v>1.00000004600954</v>
      </c>
    </row>
    <row r="3455" spans="1:40" x14ac:dyDescent="0.25">
      <c r="A3455" t="str">
        <f>"20190312154904134"</f>
        <v>20190312154904134</v>
      </c>
      <c r="B3455" t="str">
        <f>"1552376944129690"</f>
        <v>1552376944129690</v>
      </c>
      <c r="C3455" t="s">
        <v>40</v>
      </c>
      <c r="D3455">
        <v>4.5921440000000002</v>
      </c>
      <c r="E3455">
        <v>0.70788030000000002</v>
      </c>
      <c r="F3455" t="s">
        <v>62</v>
      </c>
      <c r="G3455">
        <v>-169.67150000000001</v>
      </c>
      <c r="H3455">
        <v>56.217410000000001</v>
      </c>
      <c r="I3455">
        <v>89.905240000000006</v>
      </c>
      <c r="J3455">
        <v>-344.35410000000002</v>
      </c>
      <c r="K3455">
        <v>1.109726</v>
      </c>
      <c r="L3455">
        <v>215.7276</v>
      </c>
      <c r="M3455">
        <v>0.99962839999999997</v>
      </c>
      <c r="N3455">
        <v>0</v>
      </c>
      <c r="O3455">
        <v>2.288598E-2</v>
      </c>
      <c r="P3455">
        <v>0.99405969999999999</v>
      </c>
      <c r="Q3455">
        <v>4.369514E-2</v>
      </c>
      <c r="R3455">
        <v>-9.9682279999999998E-2</v>
      </c>
      <c r="S3455">
        <v>2.7878720000000001</v>
      </c>
      <c r="T3455">
        <v>0.87756999999999996</v>
      </c>
      <c r="U3455">
        <v>-2.0035400000000001</v>
      </c>
      <c r="V3455">
        <v>0.1224576</v>
      </c>
      <c r="W3455">
        <v>5.827682E-2</v>
      </c>
      <c r="X3455">
        <v>0.99076129999999996</v>
      </c>
      <c r="Y3455">
        <v>0.58247769999999899</v>
      </c>
      <c r="Z3455">
        <v>8.7091089999999996E-2</v>
      </c>
      <c r="AA3455">
        <v>0.80816759999999999</v>
      </c>
      <c r="AB3455">
        <v>37</v>
      </c>
      <c r="AC3455">
        <v>174.68260000000001</v>
      </c>
      <c r="AD3455">
        <v>55.107683999999999</v>
      </c>
      <c r="AE3455">
        <v>-125.82236</v>
      </c>
      <c r="AF3455">
        <v>121.80605946255</v>
      </c>
      <c r="AG3455">
        <v>55.107683999999999</v>
      </c>
      <c r="AH3455">
        <v>161.194403166071</v>
      </c>
      <c r="AI3455">
        <v>74.743366881143103</v>
      </c>
      <c r="AJ3455">
        <v>52.923593223799301</v>
      </c>
      <c r="AK3455">
        <v>209.42112732411701</v>
      </c>
      <c r="AL3455">
        <v>86.659091297393203</v>
      </c>
      <c r="AM3455">
        <v>82.954005531469306</v>
      </c>
      <c r="AN3455">
        <v>1.0000000025623801</v>
      </c>
    </row>
    <row r="3456" spans="1:40" x14ac:dyDescent="0.25">
      <c r="A3456" t="str">
        <f>"20190312154904157"</f>
        <v>20190312154904157</v>
      </c>
      <c r="B3456" t="str">
        <f>"1552376944149209"</f>
        <v>1552376944149209</v>
      </c>
      <c r="C3456" t="s">
        <v>40</v>
      </c>
      <c r="D3456">
        <v>4.6097340000000004</v>
      </c>
      <c r="E3456">
        <v>0.70447019999999905</v>
      </c>
      <c r="F3456" t="s">
        <v>62</v>
      </c>
      <c r="G3456">
        <v>-169.6884</v>
      </c>
      <c r="H3456">
        <v>51.534820000000003</v>
      </c>
      <c r="I3456">
        <v>92.019180000000006</v>
      </c>
      <c r="J3456">
        <v>-343.9871</v>
      </c>
      <c r="K3456">
        <v>1.1097300000000001</v>
      </c>
      <c r="L3456">
        <v>215.73570000000001</v>
      </c>
      <c r="M3456">
        <v>0.99963639999999998</v>
      </c>
      <c r="N3456">
        <v>0</v>
      </c>
      <c r="O3456">
        <v>2.2538909999999999E-2</v>
      </c>
      <c r="P3456">
        <v>0.99365630000000005</v>
      </c>
      <c r="Q3456">
        <v>4.5050630000000001E-2</v>
      </c>
      <c r="R3456">
        <v>-0.1030436</v>
      </c>
      <c r="S3456">
        <v>2.7847900000000001</v>
      </c>
      <c r="T3456">
        <v>0.80395479999999997</v>
      </c>
      <c r="U3456">
        <v>-1.972351</v>
      </c>
      <c r="V3456">
        <v>0.12546669999999999</v>
      </c>
      <c r="W3456">
        <v>5.9617740000000002E-2</v>
      </c>
      <c r="X3456">
        <v>0.99030490000000004</v>
      </c>
      <c r="Y3456">
        <v>0.57967190000000002</v>
      </c>
      <c r="Z3456">
        <v>7.9853530000000006E-2</v>
      </c>
      <c r="AA3456">
        <v>0.81092779999999998</v>
      </c>
      <c r="AB3456">
        <v>37</v>
      </c>
      <c r="AC3456">
        <v>174.2987</v>
      </c>
      <c r="AD3456">
        <v>50.425089999999997</v>
      </c>
      <c r="AE3456">
        <v>-123.71651999999899</v>
      </c>
      <c r="AF3456">
        <v>120.885987458617</v>
      </c>
      <c r="AG3456">
        <v>50.425089999999997</v>
      </c>
      <c r="AH3456">
        <v>162.42570638393099</v>
      </c>
      <c r="AI3456">
        <v>76.015248590056302</v>
      </c>
      <c r="AJ3456">
        <v>53.3413846154968</v>
      </c>
      <c r="AK3456">
        <v>208.65814568253001</v>
      </c>
      <c r="AL3456">
        <v>86.582128331503995</v>
      </c>
      <c r="AM3456">
        <v>82.779380256893006</v>
      </c>
      <c r="AN3456">
        <v>0.99999998134780299</v>
      </c>
    </row>
    <row r="3457" spans="1:40" x14ac:dyDescent="0.25">
      <c r="A3457" t="str">
        <f>"20190312154904178"</f>
        <v>20190312154904178</v>
      </c>
      <c r="B3457" t="str">
        <f>"1552376944169706"</f>
        <v>1552376944169706</v>
      </c>
      <c r="C3457" t="s">
        <v>40</v>
      </c>
      <c r="D3457">
        <v>4.6486429999999999</v>
      </c>
      <c r="E3457">
        <v>0.70166980000000001</v>
      </c>
      <c r="F3457" t="s">
        <v>62</v>
      </c>
      <c r="G3457">
        <v>-169.6876</v>
      </c>
      <c r="H3457">
        <v>49.100949999999997</v>
      </c>
      <c r="I3457">
        <v>93.352599999999995</v>
      </c>
      <c r="J3457">
        <v>-343.62259999999998</v>
      </c>
      <c r="K3457">
        <v>1.10972</v>
      </c>
      <c r="L3457">
        <v>215.74350000000001</v>
      </c>
      <c r="M3457">
        <v>0.99964430000000004</v>
      </c>
      <c r="N3457">
        <v>0</v>
      </c>
      <c r="O3457">
        <v>2.2181280000000001E-2</v>
      </c>
      <c r="P3457">
        <v>0.99346230000000002</v>
      </c>
      <c r="Q3457">
        <v>4.5428200000000002E-2</v>
      </c>
      <c r="R3457">
        <v>-0.1047329</v>
      </c>
      <c r="S3457">
        <v>2.78186</v>
      </c>
      <c r="T3457">
        <v>0.76595219999999997</v>
      </c>
      <c r="U3457">
        <v>-1.9532620000000001</v>
      </c>
      <c r="V3457">
        <v>0.12679849999999901</v>
      </c>
      <c r="W3457">
        <v>5.9984709999999997E-2</v>
      </c>
      <c r="X3457">
        <v>0.99011309999999997</v>
      </c>
      <c r="Y3457">
        <v>0.57755540000000005</v>
      </c>
      <c r="Z3457">
        <v>7.6030070000000005E-2</v>
      </c>
      <c r="AA3457">
        <v>0.81280330000000001</v>
      </c>
      <c r="AB3457">
        <v>37</v>
      </c>
      <c r="AC3457">
        <v>173.93499999999901</v>
      </c>
      <c r="AD3457">
        <v>47.991230000000002</v>
      </c>
      <c r="AE3457">
        <v>-122.3909</v>
      </c>
      <c r="AF3457">
        <v>120.10388580223599</v>
      </c>
      <c r="AG3457">
        <v>47.991230000000002</v>
      </c>
      <c r="AH3457">
        <v>162.88345372691401</v>
      </c>
      <c r="AI3457">
        <v>76.659352853136397</v>
      </c>
      <c r="AJ3457">
        <v>53.596388868598801</v>
      </c>
      <c r="AK3457">
        <v>207.98827139941599</v>
      </c>
      <c r="AL3457">
        <v>86.561064824100796</v>
      </c>
      <c r="AM3457">
        <v>82.702158554539295</v>
      </c>
      <c r="AN3457">
        <v>0.99999998791382105</v>
      </c>
    </row>
    <row r="3458" spans="1:40" x14ac:dyDescent="0.25">
      <c r="A3458" t="str">
        <f>"20190312154904198"</f>
        <v>20190312154904198</v>
      </c>
      <c r="B3458" t="str">
        <f>"1552376944189226"</f>
        <v>1552376944189226</v>
      </c>
      <c r="C3458" t="s">
        <v>40</v>
      </c>
      <c r="D3458">
        <v>4.6029200000000001</v>
      </c>
      <c r="E3458">
        <v>0.69956609999999997</v>
      </c>
      <c r="F3458" t="s">
        <v>62</v>
      </c>
      <c r="G3458">
        <v>-168.87379999999999</v>
      </c>
      <c r="H3458">
        <v>46.91827</v>
      </c>
      <c r="I3458">
        <v>94.218190000000007</v>
      </c>
      <c r="J3458">
        <v>-343.29140000000001</v>
      </c>
      <c r="K3458">
        <v>1.1097060000000001</v>
      </c>
      <c r="L3458">
        <v>215.75049999999999</v>
      </c>
      <c r="M3458">
        <v>0.99965199999999999</v>
      </c>
      <c r="N3458">
        <v>0</v>
      </c>
      <c r="O3458">
        <v>2.184065E-2</v>
      </c>
      <c r="P3458">
        <v>0.99343990000000004</v>
      </c>
      <c r="Q3458">
        <v>4.488756E-2</v>
      </c>
      <c r="R3458">
        <v>-0.10517749999999999</v>
      </c>
      <c r="S3458">
        <v>2.78241</v>
      </c>
      <c r="T3458">
        <v>0.72937929999999995</v>
      </c>
      <c r="U3458">
        <v>-1.9349670000000001</v>
      </c>
      <c r="V3458">
        <v>0.12690589999999999</v>
      </c>
      <c r="W3458">
        <v>5.9437810000000001E-2</v>
      </c>
      <c r="X3458">
        <v>0.99013229999999997</v>
      </c>
      <c r="Y3458">
        <v>0.57501919999999995</v>
      </c>
      <c r="Z3458">
        <v>7.2222149999999999E-2</v>
      </c>
      <c r="AA3458">
        <v>0.8149459</v>
      </c>
      <c r="AB3458">
        <v>37</v>
      </c>
      <c r="AC3458">
        <v>174.41759999999999</v>
      </c>
      <c r="AD3458">
        <v>45.808563999999997</v>
      </c>
      <c r="AE3458">
        <v>-121.532309999999</v>
      </c>
      <c r="AF3458">
        <v>119.752541159825</v>
      </c>
      <c r="AG3458">
        <v>45.808563999999997</v>
      </c>
      <c r="AH3458">
        <v>164.10147153640401</v>
      </c>
      <c r="AI3458">
        <v>77.292830782674002</v>
      </c>
      <c r="AJ3458">
        <v>53.880016978365703</v>
      </c>
      <c r="AK3458">
        <v>208.25078297665701</v>
      </c>
      <c r="AL3458">
        <v>86.592455823681206</v>
      </c>
      <c r="AM3458">
        <v>82.696184013310003</v>
      </c>
      <c r="AN3458">
        <v>0.99999996610784703</v>
      </c>
    </row>
    <row r="3459" spans="1:40" x14ac:dyDescent="0.25">
      <c r="A3459" t="str">
        <f>"20190312154904222"</f>
        <v>20190312154904222</v>
      </c>
      <c r="B3459" t="str">
        <f>"1552376944219482"</f>
        <v>1552376944219482</v>
      </c>
      <c r="C3459" t="s">
        <v>40</v>
      </c>
      <c r="D3459">
        <v>4.6091600000000001</v>
      </c>
      <c r="E3459">
        <v>0.68365589999999998</v>
      </c>
      <c r="F3459" t="s">
        <v>41</v>
      </c>
      <c r="G3459">
        <v>-342.72590000000002</v>
      </c>
      <c r="H3459">
        <v>1.2510779999999999</v>
      </c>
      <c r="I3459">
        <v>215.3605</v>
      </c>
      <c r="J3459">
        <v>-342.91550000000001</v>
      </c>
      <c r="K3459">
        <v>1.109677</v>
      </c>
      <c r="L3459">
        <v>215.75839999999999</v>
      </c>
      <c r="M3459">
        <v>0.99966080000000002</v>
      </c>
      <c r="N3459">
        <v>0</v>
      </c>
      <c r="O3459">
        <v>2.1432010000000001E-2</v>
      </c>
      <c r="P3459">
        <v>0.99364529999999995</v>
      </c>
      <c r="Q3459">
        <v>4.32588E-2</v>
      </c>
      <c r="R3459">
        <v>-0.1039128</v>
      </c>
      <c r="S3459">
        <v>2.7852480000000002</v>
      </c>
      <c r="T3459">
        <v>0.6960286</v>
      </c>
      <c r="U3459">
        <v>-1.918625</v>
      </c>
      <c r="V3459">
        <v>0.12524179999999999</v>
      </c>
      <c r="W3459">
        <v>5.7805080000000002E-2</v>
      </c>
      <c r="X3459">
        <v>0.99044080000000001</v>
      </c>
      <c r="Y3459">
        <v>0.57231709999999902</v>
      </c>
      <c r="Z3459">
        <v>6.8646639999999995E-2</v>
      </c>
      <c r="AA3459">
        <v>0.81715409999999999</v>
      </c>
      <c r="AB3459">
        <v>36</v>
      </c>
      <c r="AC3459">
        <v>0.189599999999984</v>
      </c>
      <c r="AD3459">
        <v>0.141401</v>
      </c>
      <c r="AE3459">
        <v>-0.39789999999999198</v>
      </c>
      <c r="AF3459">
        <v>0.36437192517316702</v>
      </c>
      <c r="AG3459">
        <v>0.141401</v>
      </c>
      <c r="AH3459">
        <v>0.16413516433330499</v>
      </c>
      <c r="AI3459">
        <v>70.514879268485998</v>
      </c>
      <c r="AJ3459">
        <v>24.249683699027599</v>
      </c>
      <c r="AK3459">
        <v>0.42391213102024</v>
      </c>
      <c r="AL3459">
        <v>86.686165499386604</v>
      </c>
      <c r="AM3459">
        <v>82.793165625354703</v>
      </c>
      <c r="AN3459">
        <v>0.99999995702284195</v>
      </c>
    </row>
    <row r="3460" spans="1:40" x14ac:dyDescent="0.25">
      <c r="A3460" t="str">
        <f>"20190312154904322"</f>
        <v>20190312154904322</v>
      </c>
      <c r="B3460" t="str">
        <f>"1552376944319034"</f>
        <v>1552376944319034</v>
      </c>
      <c r="C3460" t="s">
        <v>40</v>
      </c>
      <c r="D3460">
        <v>4.594862</v>
      </c>
      <c r="E3460">
        <v>0.4947435</v>
      </c>
      <c r="F3460" t="s">
        <v>41</v>
      </c>
      <c r="G3460">
        <v>-341.10480000000001</v>
      </c>
      <c r="H3460">
        <v>1.1832100000000001</v>
      </c>
      <c r="I3460">
        <v>215.4419</v>
      </c>
      <c r="J3460">
        <v>-341.2851</v>
      </c>
      <c r="K3460">
        <v>1.109518</v>
      </c>
      <c r="L3460">
        <v>215.78989999999999</v>
      </c>
      <c r="M3460">
        <v>0.99970499999999995</v>
      </c>
      <c r="N3460">
        <v>0</v>
      </c>
      <c r="O3460">
        <v>1.9280200000000001E-2</v>
      </c>
      <c r="P3460">
        <v>0.99519939999999996</v>
      </c>
      <c r="Q3460">
        <v>3.4494879999999999E-2</v>
      </c>
      <c r="R3460">
        <v>-9.1589530000000002E-2</v>
      </c>
      <c r="S3460">
        <v>2.836792</v>
      </c>
      <c r="T3460">
        <v>0.37806590000000001</v>
      </c>
      <c r="U3460">
        <v>-1.75132799999999</v>
      </c>
      <c r="V3460">
        <v>0.1108219</v>
      </c>
      <c r="W3460">
        <v>4.9040019999999997E-2</v>
      </c>
      <c r="X3460">
        <v>0.9926296</v>
      </c>
      <c r="Y3460">
        <v>0.53804419999999897</v>
      </c>
      <c r="Z3460">
        <v>3.5209160000000003E-2</v>
      </c>
      <c r="AA3460">
        <v>0.84218099999999996</v>
      </c>
      <c r="AB3460">
        <v>36</v>
      </c>
      <c r="AC3460">
        <v>0.180299999999988</v>
      </c>
      <c r="AD3460">
        <v>7.3691999999999994E-2</v>
      </c>
      <c r="AE3460">
        <v>-0.34799999999998399</v>
      </c>
      <c r="AF3460">
        <v>0.33941293681546397</v>
      </c>
      <c r="AG3460">
        <v>7.3691999999999994E-2</v>
      </c>
      <c r="AH3460">
        <v>0.167630157701256</v>
      </c>
      <c r="AI3460">
        <v>78.984089095055197</v>
      </c>
      <c r="AJ3460">
        <v>26.283966556847201</v>
      </c>
      <c r="AK3460">
        <v>0.38565726015809199</v>
      </c>
      <c r="AL3460">
        <v>87.189086301472699</v>
      </c>
      <c r="AM3460">
        <v>83.629606699898304</v>
      </c>
      <c r="AN3460">
        <v>0.99999996993868401</v>
      </c>
    </row>
    <row r="3461" spans="1:40" x14ac:dyDescent="0.25">
      <c r="A3461" t="str">
        <f>"20190312154904346"</f>
        <v>20190312154904346</v>
      </c>
      <c r="B3461" t="str">
        <f>"1552376944339530"</f>
        <v>1552376944339530</v>
      </c>
      <c r="C3461" t="s">
        <v>40</v>
      </c>
      <c r="D3461">
        <v>4.5932079999999997</v>
      </c>
      <c r="E3461">
        <v>0.4926951</v>
      </c>
      <c r="F3461" t="s">
        <v>41</v>
      </c>
      <c r="G3461">
        <v>-340.51350000000002</v>
      </c>
      <c r="H3461">
        <v>1.0430569999999999</v>
      </c>
      <c r="I3461">
        <v>215.7336</v>
      </c>
      <c r="J3461">
        <v>-340.911</v>
      </c>
      <c r="K3461">
        <v>1.1094850000000001</v>
      </c>
      <c r="L3461">
        <v>215.79660000000001</v>
      </c>
      <c r="M3461">
        <v>0.99971600000000005</v>
      </c>
      <c r="N3461">
        <v>0</v>
      </c>
      <c r="O3461">
        <v>1.8696500000000001E-2</v>
      </c>
      <c r="P3461">
        <v>0.99537279999999995</v>
      </c>
      <c r="Q3461">
        <v>3.3375189999999999E-2</v>
      </c>
      <c r="R3461">
        <v>-9.0106039999999998E-2</v>
      </c>
      <c r="S3461">
        <v>3.003387</v>
      </c>
      <c r="T3461">
        <v>-0.25881349999999997</v>
      </c>
      <c r="U3461">
        <v>-0.21841430000000001</v>
      </c>
      <c r="V3461">
        <v>0.1087637</v>
      </c>
      <c r="W3461">
        <v>4.7916479999999997E-2</v>
      </c>
      <c r="X3461">
        <v>0.99291209999999996</v>
      </c>
      <c r="Y3461">
        <v>9.0764049999999999E-2</v>
      </c>
      <c r="Z3461">
        <v>-5.504831E-3</v>
      </c>
      <c r="AA3461">
        <v>0.9958572</v>
      </c>
      <c r="AB3461">
        <v>36</v>
      </c>
      <c r="AC3461">
        <v>0.39749999999997898</v>
      </c>
      <c r="AD3461">
        <v>-6.6428000000000098E-2</v>
      </c>
      <c r="AE3461">
        <v>-6.3000000000016598E-2</v>
      </c>
      <c r="AF3461">
        <v>6.8554043324414907E-2</v>
      </c>
      <c r="AG3461">
        <v>-6.6428000000000098E-2</v>
      </c>
      <c r="AH3461">
        <v>0.38574370976227401</v>
      </c>
      <c r="AI3461">
        <v>99.623032634036704</v>
      </c>
      <c r="AJ3461">
        <v>79.9226583856979</v>
      </c>
      <c r="AK3461">
        <v>0.39737959894952701</v>
      </c>
      <c r="AL3461">
        <v>87.253536225789503</v>
      </c>
      <c r="AM3461">
        <v>83.7487375830205</v>
      </c>
      <c r="AN3461">
        <v>0.99999998490984499</v>
      </c>
    </row>
    <row r="3462" spans="1:40" x14ac:dyDescent="0.25">
      <c r="A3462" t="str">
        <f>"20190312154904368"</f>
        <v>20190312154904368</v>
      </c>
      <c r="B3462" t="str">
        <f>"1552376944359050"</f>
        <v>1552376944359050</v>
      </c>
      <c r="C3462" t="s">
        <v>40</v>
      </c>
      <c r="D3462">
        <v>4.5491449999999896</v>
      </c>
      <c r="E3462">
        <v>0.49277310000000002</v>
      </c>
      <c r="F3462" t="s">
        <v>41</v>
      </c>
      <c r="G3462">
        <v>-339.8603</v>
      </c>
      <c r="H3462">
        <v>1.049623</v>
      </c>
      <c r="I3462">
        <v>215.726</v>
      </c>
      <c r="J3462">
        <v>-340.54469999999998</v>
      </c>
      <c r="K3462">
        <v>1.109456</v>
      </c>
      <c r="L3462">
        <v>215.80289999999999</v>
      </c>
      <c r="M3462">
        <v>0.99972709999999998</v>
      </c>
      <c r="N3462">
        <v>0</v>
      </c>
      <c r="O3462">
        <v>1.8092919999999998E-2</v>
      </c>
      <c r="P3462">
        <v>0.99545539999999999</v>
      </c>
      <c r="Q3462">
        <v>3.2801009999999999E-2</v>
      </c>
      <c r="R3462">
        <v>-8.9400880000000002E-2</v>
      </c>
      <c r="S3462">
        <v>3.0015260000000001</v>
      </c>
      <c r="T3462">
        <v>-0.17104129999999901</v>
      </c>
      <c r="U3462">
        <v>-0.20126340000000001</v>
      </c>
      <c r="V3462">
        <v>0.10746269999999999</v>
      </c>
      <c r="W3462">
        <v>4.7335870000000002E-2</v>
      </c>
      <c r="X3462">
        <v>0.99308160000000001</v>
      </c>
      <c r="Y3462">
        <v>8.4780670000000002E-2</v>
      </c>
      <c r="Z3462">
        <v>-3.4402040000000001E-3</v>
      </c>
      <c r="AA3462">
        <v>0.99639370000000005</v>
      </c>
      <c r="AB3462">
        <v>36</v>
      </c>
      <c r="AC3462">
        <v>0.68439999999998202</v>
      </c>
      <c r="AD3462">
        <v>-5.9832999999999997E-2</v>
      </c>
      <c r="AE3462">
        <v>-7.6899999999994806E-2</v>
      </c>
      <c r="AF3462">
        <v>8.8602811396805106E-2</v>
      </c>
      <c r="AG3462">
        <v>-5.9832999999999997E-2</v>
      </c>
      <c r="AH3462">
        <v>0.67778078284390098</v>
      </c>
      <c r="AI3462">
        <v>95.002523702477802</v>
      </c>
      <c r="AJ3462">
        <v>82.552249342444895</v>
      </c>
      <c r="AK3462">
        <v>0.68616123154030595</v>
      </c>
      <c r="AL3462">
        <v>87.286840536851003</v>
      </c>
      <c r="AM3462">
        <v>83.823978014699605</v>
      </c>
      <c r="AN3462">
        <v>0.99999999036925302</v>
      </c>
    </row>
    <row r="3463" spans="1:40" x14ac:dyDescent="0.25">
      <c r="A3463" t="str">
        <f>"20190312154904389"</f>
        <v>20190312154904389</v>
      </c>
      <c r="B3463" t="str">
        <f>"1552376944379549"</f>
        <v>1552376944379549</v>
      </c>
      <c r="C3463" t="s">
        <v>40</v>
      </c>
      <c r="D3463">
        <v>4.5600680000000002</v>
      </c>
      <c r="E3463">
        <v>0.49275180000000002</v>
      </c>
      <c r="F3463" t="s">
        <v>51</v>
      </c>
      <c r="G3463">
        <v>-316.61219999999997</v>
      </c>
      <c r="H3463" s="1">
        <v>3.8378620000000004E-6</v>
      </c>
      <c r="I3463">
        <v>214.196</v>
      </c>
      <c r="J3463">
        <v>-340.2149</v>
      </c>
      <c r="K3463">
        <v>1.1094389999999901</v>
      </c>
      <c r="L3463">
        <v>215.8083</v>
      </c>
      <c r="M3463">
        <v>0.99973730000000005</v>
      </c>
      <c r="N3463">
        <v>0</v>
      </c>
      <c r="O3463">
        <v>1.7530500000000001E-2</v>
      </c>
      <c r="P3463">
        <v>0.99544639999999995</v>
      </c>
      <c r="Q3463">
        <v>3.3282560000000003E-2</v>
      </c>
      <c r="R3463">
        <v>-8.9328499999999894E-2</v>
      </c>
      <c r="S3463">
        <v>3.0002140000000002</v>
      </c>
      <c r="T3463">
        <v>-0.13908209999999999</v>
      </c>
      <c r="U3463">
        <v>-0.20143130000000001</v>
      </c>
      <c r="V3463">
        <v>0.10683380000000001</v>
      </c>
      <c r="W3463">
        <v>4.7810270000000002E-2</v>
      </c>
      <c r="X3463">
        <v>0.99312670000000003</v>
      </c>
      <c r="Y3463">
        <v>8.4361930000000002E-2</v>
      </c>
      <c r="Z3463">
        <v>-2.763653E-3</v>
      </c>
      <c r="AA3463">
        <v>0.99643139999999997</v>
      </c>
      <c r="AB3463">
        <v>36</v>
      </c>
      <c r="AC3463">
        <v>23.602699999999999</v>
      </c>
      <c r="AD3463">
        <v>-1.1094351621380001</v>
      </c>
      <c r="AE3463">
        <v>-1.6123000000000001</v>
      </c>
      <c r="AF3463">
        <v>2.0214189825442301</v>
      </c>
      <c r="AG3463">
        <v>-1.1094351621380001</v>
      </c>
      <c r="AH3463">
        <v>23.519082207684999</v>
      </c>
      <c r="AI3463">
        <v>92.6908317584938</v>
      </c>
      <c r="AJ3463">
        <v>85.087612444343904</v>
      </c>
      <c r="AK3463">
        <v>23.631847345771</v>
      </c>
      <c r="AL3463">
        <v>87.259628531670103</v>
      </c>
      <c r="AM3463">
        <v>83.860121531458603</v>
      </c>
      <c r="AN3463">
        <v>0.9999999624964</v>
      </c>
    </row>
    <row r="3464" spans="1:40" x14ac:dyDescent="0.25">
      <c r="A3464" t="str">
        <f>"20190312154904410"</f>
        <v>20190312154904410</v>
      </c>
      <c r="B3464" t="str">
        <f>"1552376944399066"</f>
        <v>1552376944399066</v>
      </c>
      <c r="C3464" t="s">
        <v>40</v>
      </c>
      <c r="D3464">
        <v>4.5477489999999996</v>
      </c>
      <c r="E3464">
        <v>0.4920988</v>
      </c>
      <c r="F3464" t="s">
        <v>51</v>
      </c>
      <c r="G3464">
        <v>-313.39550000000003</v>
      </c>
      <c r="H3464" s="1">
        <v>2.4114139999999999E-6</v>
      </c>
      <c r="I3464">
        <v>214.00479999999999</v>
      </c>
      <c r="J3464">
        <v>-339.85669999999999</v>
      </c>
      <c r="K3464">
        <v>1.109423</v>
      </c>
      <c r="L3464">
        <v>215.81389999999999</v>
      </c>
      <c r="M3464">
        <v>0.99974810000000003</v>
      </c>
      <c r="N3464">
        <v>0</v>
      </c>
      <c r="O3464">
        <v>1.6902E-2</v>
      </c>
      <c r="P3464">
        <v>0.99540470000000003</v>
      </c>
      <c r="Q3464">
        <v>3.4500360000000001E-2</v>
      </c>
      <c r="R3464">
        <v>-8.9326520000000006E-2</v>
      </c>
      <c r="S3464">
        <v>2.9997859999999998</v>
      </c>
      <c r="T3464">
        <v>-0.12409199999999999</v>
      </c>
      <c r="U3464">
        <v>-0.20172119999999999</v>
      </c>
      <c r="V3464">
        <v>0.10621070000000001</v>
      </c>
      <c r="W3464">
        <v>4.9020010000000003E-2</v>
      </c>
      <c r="X3464">
        <v>0.99313459999999998</v>
      </c>
      <c r="Y3464">
        <v>8.3864030000000006E-2</v>
      </c>
      <c r="Z3464">
        <v>-2.430153E-3</v>
      </c>
      <c r="AA3464">
        <v>0.99647430000000004</v>
      </c>
      <c r="AB3464">
        <v>36</v>
      </c>
      <c r="AC3464">
        <v>26.461199999999899</v>
      </c>
      <c r="AD3464">
        <v>-1.109420588586</v>
      </c>
      <c r="AE3464">
        <v>-1.8090999999999999</v>
      </c>
      <c r="AF3464">
        <v>2.2521969602911001</v>
      </c>
      <c r="AG3464">
        <v>-1.109420588586</v>
      </c>
      <c r="AH3464">
        <v>26.380681841356999</v>
      </c>
      <c r="AI3464">
        <v>92.399395889013107</v>
      </c>
      <c r="AJ3464">
        <v>85.120321860077695</v>
      </c>
      <c r="AK3464">
        <v>26.4998788601991</v>
      </c>
      <c r="AL3464">
        <v>87.1902342662205</v>
      </c>
      <c r="AM3464">
        <v>83.895708939242397</v>
      </c>
      <c r="AN3464">
        <v>1.00000000394602</v>
      </c>
    </row>
    <row r="3465" spans="1:40" x14ac:dyDescent="0.25">
      <c r="A3465" t="str">
        <f>"20190312154904434"</f>
        <v>20190312154904434</v>
      </c>
      <c r="B3465" t="str">
        <f>"1552376944429322"</f>
        <v>1552376944429322</v>
      </c>
      <c r="C3465" t="s">
        <v>40</v>
      </c>
      <c r="D3465">
        <v>4.5478370000000004</v>
      </c>
      <c r="E3465">
        <v>0.49219750000000001</v>
      </c>
      <c r="F3465" t="s">
        <v>51</v>
      </c>
      <c r="G3465">
        <v>-309.91879999999998</v>
      </c>
      <c r="H3465" s="1">
        <v>8.938274E-7</v>
      </c>
      <c r="I3465">
        <v>213.84950000000001</v>
      </c>
      <c r="J3465">
        <v>-339.49299999999999</v>
      </c>
      <c r="K3465">
        <v>1.1094170000000001</v>
      </c>
      <c r="L3465">
        <v>215.81950000000001</v>
      </c>
      <c r="M3465">
        <v>0.99975899999999995</v>
      </c>
      <c r="N3465">
        <v>0</v>
      </c>
      <c r="O3465">
        <v>1.6250399999999901E-2</v>
      </c>
      <c r="P3465">
        <v>0.99531000000000003</v>
      </c>
      <c r="Q3465">
        <v>3.5773449999999998E-2</v>
      </c>
      <c r="R3465">
        <v>-8.9879390000000003E-2</v>
      </c>
      <c r="S3465">
        <v>3.0000309999999999</v>
      </c>
      <c r="T3465">
        <v>-0.1111736</v>
      </c>
      <c r="U3465">
        <v>-0.19685359999999999</v>
      </c>
      <c r="V3465">
        <v>0.106118</v>
      </c>
      <c r="W3465">
        <v>5.0284460000000003E-2</v>
      </c>
      <c r="X3465">
        <v>0.99308129999999994</v>
      </c>
      <c r="Y3465">
        <v>8.161815E-2</v>
      </c>
      <c r="Z3465">
        <v>-2.1116139999999999E-3</v>
      </c>
      <c r="AA3465">
        <v>0.99666140000000003</v>
      </c>
      <c r="AB3465">
        <v>36</v>
      </c>
      <c r="AC3465">
        <v>29.574200000000001</v>
      </c>
      <c r="AD3465">
        <v>-1.1094161061726</v>
      </c>
      <c r="AE3465">
        <v>-1.96999999999999</v>
      </c>
      <c r="AF3465">
        <v>2.4469565505072102</v>
      </c>
      <c r="AG3465">
        <v>-1.1094161061726</v>
      </c>
      <c r="AH3465">
        <v>29.496951783764398</v>
      </c>
      <c r="AI3465">
        <v>92.146581918697294</v>
      </c>
      <c r="AJ3465">
        <v>85.257815174378294</v>
      </c>
      <c r="AK3465">
        <v>29.619057462897601</v>
      </c>
      <c r="AL3465">
        <v>87.1176971685924</v>
      </c>
      <c r="AM3465">
        <v>83.900671677307102</v>
      </c>
      <c r="AN3465">
        <v>1.0000000126255899</v>
      </c>
    </row>
    <row r="3466" spans="1:40" x14ac:dyDescent="0.25">
      <c r="A3466" t="str">
        <f>"20190312154904456"</f>
        <v>20190312154904456</v>
      </c>
      <c r="B3466" t="str">
        <f>"1552376944448842"</f>
        <v>1552376944448842</v>
      </c>
      <c r="C3466" t="s">
        <v>40</v>
      </c>
      <c r="D3466">
        <v>4.5494519999999996</v>
      </c>
      <c r="E3466">
        <v>0.49250080000000002</v>
      </c>
      <c r="F3466" t="s">
        <v>51</v>
      </c>
      <c r="G3466">
        <v>-304.36059999999998</v>
      </c>
      <c r="H3466" s="1">
        <v>1.8797669999999999E-6</v>
      </c>
      <c r="I3466">
        <v>213.4769</v>
      </c>
      <c r="J3466">
        <v>-339.13389999999998</v>
      </c>
      <c r="K3466">
        <v>1.1094090000000001</v>
      </c>
      <c r="L3466">
        <v>215.8246</v>
      </c>
      <c r="M3466">
        <v>0.99976940000000003</v>
      </c>
      <c r="N3466">
        <v>0</v>
      </c>
      <c r="O3466">
        <v>1.5598219999999999E-2</v>
      </c>
      <c r="P3466">
        <v>0.99517140000000004</v>
      </c>
      <c r="Q3466">
        <v>3.6492169999999997E-2</v>
      </c>
      <c r="R3466">
        <v>-9.1116870000000003E-2</v>
      </c>
      <c r="S3466">
        <v>2.9994809999999998</v>
      </c>
      <c r="T3466">
        <v>-9.4717860000000001E-2</v>
      </c>
      <c r="U3466">
        <v>-0.19999690000000001</v>
      </c>
      <c r="V3466">
        <v>0.1067075</v>
      </c>
      <c r="W3466">
        <v>5.0993549999999999E-2</v>
      </c>
      <c r="X3466">
        <v>0.99298200000000003</v>
      </c>
      <c r="Y3466">
        <v>8.2038249999999993E-2</v>
      </c>
      <c r="Z3466">
        <v>-1.7855429999999999E-3</v>
      </c>
      <c r="AA3466">
        <v>0.99662759999999995</v>
      </c>
      <c r="AB3466">
        <v>36</v>
      </c>
      <c r="AC3466">
        <v>34.773299999999999</v>
      </c>
      <c r="AD3466">
        <v>-1.109407120233</v>
      </c>
      <c r="AE3466">
        <v>-2.3477000000000001</v>
      </c>
      <c r="AF3466">
        <v>2.8869497987511599</v>
      </c>
      <c r="AG3466">
        <v>-1.109407120233</v>
      </c>
      <c r="AH3466">
        <v>34.697287746114803</v>
      </c>
      <c r="AI3466">
        <v>91.825042706972397</v>
      </c>
      <c r="AJ3466">
        <v>85.243722999426296</v>
      </c>
      <c r="AK3466">
        <v>34.834853813897702</v>
      </c>
      <c r="AL3466">
        <v>87.077017199788003</v>
      </c>
      <c r="AM3466">
        <v>83.866437954760798</v>
      </c>
      <c r="AN3466">
        <v>1.0000000425109199</v>
      </c>
    </row>
    <row r="3467" spans="1:40" x14ac:dyDescent="0.25">
      <c r="A3467" t="str">
        <f>"20190312154904479"</f>
        <v>20190312154904479</v>
      </c>
      <c r="B3467" t="str">
        <f>"1552376944469338"</f>
        <v>1552376944469338</v>
      </c>
      <c r="C3467" t="s">
        <v>40</v>
      </c>
      <c r="D3467">
        <v>4.5400710000000002</v>
      </c>
      <c r="E3467">
        <v>0.49298690000000001</v>
      </c>
      <c r="F3467" t="s">
        <v>51</v>
      </c>
      <c r="G3467">
        <v>-300.20330000000001</v>
      </c>
      <c r="H3467" s="1">
        <v>2.6171969999999998E-6</v>
      </c>
      <c r="I3467">
        <v>213.14750000000001</v>
      </c>
      <c r="J3467">
        <v>-338.7713</v>
      </c>
      <c r="K3467">
        <v>1.1093999999999999</v>
      </c>
      <c r="L3467">
        <v>215.8297</v>
      </c>
      <c r="M3467">
        <v>0.9997798</v>
      </c>
      <c r="N3467">
        <v>0</v>
      </c>
      <c r="O3467">
        <v>1.4933770000000001E-2</v>
      </c>
      <c r="P3467">
        <v>0.99512239999999996</v>
      </c>
      <c r="Q3467">
        <v>3.6111789999999998E-2</v>
      </c>
      <c r="R3467">
        <v>-9.1802900000000007E-2</v>
      </c>
      <c r="S3467">
        <v>2.9988100000000002</v>
      </c>
      <c r="T3467">
        <v>-8.5457089999999999E-2</v>
      </c>
      <c r="U3467">
        <v>-0.2062225</v>
      </c>
      <c r="V3467">
        <v>0.10673290000000001</v>
      </c>
      <c r="W3467">
        <v>5.0607329999999999E-2</v>
      </c>
      <c r="X3467">
        <v>0.99299899999999997</v>
      </c>
      <c r="Y3467">
        <v>8.3458879999999999E-2</v>
      </c>
      <c r="Z3467">
        <v>-1.612589E-3</v>
      </c>
      <c r="AA3467">
        <v>0.99650989999999995</v>
      </c>
      <c r="AB3467">
        <v>36</v>
      </c>
      <c r="AC3467">
        <v>38.567999999999898</v>
      </c>
      <c r="AD3467">
        <v>-1.1093973828029999</v>
      </c>
      <c r="AE3467">
        <v>-2.6821999999999901</v>
      </c>
      <c r="AF3467">
        <v>3.25524861277666</v>
      </c>
      <c r="AG3467">
        <v>-1.1093973828029999</v>
      </c>
      <c r="AH3467">
        <v>38.491943172496498</v>
      </c>
      <c r="AI3467">
        <v>91.645027122285697</v>
      </c>
      <c r="AJ3467">
        <v>85.166020626167594</v>
      </c>
      <c r="AK3467">
        <v>38.645272612295699</v>
      </c>
      <c r="AL3467">
        <v>87.099174500952103</v>
      </c>
      <c r="AM3467">
        <v>83.865093321416595</v>
      </c>
      <c r="AN3467">
        <v>1.0000000138965599</v>
      </c>
    </row>
    <row r="3468" spans="1:40" x14ac:dyDescent="0.25">
      <c r="A3468" t="str">
        <f>"20190312154904501"</f>
        <v>20190312154904501</v>
      </c>
      <c r="B3468" t="str">
        <f>"1552376944488858"</f>
        <v>1552376944488858</v>
      </c>
      <c r="C3468" t="s">
        <v>40</v>
      </c>
      <c r="D3468">
        <v>4.5665709999999997</v>
      </c>
      <c r="E3468">
        <v>0.49320819999999999</v>
      </c>
      <c r="F3468" t="s">
        <v>51</v>
      </c>
      <c r="G3468">
        <v>-297.62389999999999</v>
      </c>
      <c r="H3468" s="1">
        <v>2.2467570000000001E-6</v>
      </c>
      <c r="I3468">
        <v>212.9136</v>
      </c>
      <c r="J3468">
        <v>-338.40550000000002</v>
      </c>
      <c r="K3468">
        <v>1.1093900000000001</v>
      </c>
      <c r="L3468">
        <v>215.83449999999999</v>
      </c>
      <c r="M3468">
        <v>0.9997895</v>
      </c>
      <c r="N3468">
        <v>0</v>
      </c>
      <c r="O3468">
        <v>1.426149E-2</v>
      </c>
      <c r="P3468">
        <v>0.99504079999999995</v>
      </c>
      <c r="Q3468">
        <v>3.548312E-2</v>
      </c>
      <c r="R3468">
        <v>-9.2924859999999998E-2</v>
      </c>
      <c r="S3468">
        <v>2.9980470000000001</v>
      </c>
      <c r="T3468">
        <v>-8.0832000000000001E-2</v>
      </c>
      <c r="U3468">
        <v>-0.2124634</v>
      </c>
      <c r="V3468">
        <v>0.107185</v>
      </c>
      <c r="W3468">
        <v>4.9972049999999997E-2</v>
      </c>
      <c r="X3468">
        <v>0.99298240000000004</v>
      </c>
      <c r="Y3468">
        <v>8.48743E-2</v>
      </c>
      <c r="Z3468">
        <v>-1.5265729999999901E-3</v>
      </c>
      <c r="AA3468">
        <v>0.99639049999999996</v>
      </c>
      <c r="AB3468">
        <v>36</v>
      </c>
      <c r="AC3468">
        <v>40.781599999999997</v>
      </c>
      <c r="AD3468">
        <v>-1.1093877532430001</v>
      </c>
      <c r="AE3468">
        <v>-2.9208999999999801</v>
      </c>
      <c r="AF3468">
        <v>3.4996959426960399</v>
      </c>
      <c r="AG3468">
        <v>-1.1093877532430001</v>
      </c>
      <c r="AH3468">
        <v>40.705821659563497</v>
      </c>
      <c r="AI3468">
        <v>91.555405299637002</v>
      </c>
      <c r="AJ3468">
        <v>85.086060934242198</v>
      </c>
      <c r="AK3468">
        <v>40.871047574763203</v>
      </c>
      <c r="AL3468">
        <v>87.135619262134497</v>
      </c>
      <c r="AM3468">
        <v>83.839204255074605</v>
      </c>
      <c r="AN3468">
        <v>0.99999993835797896</v>
      </c>
    </row>
    <row r="3469" spans="1:40" x14ac:dyDescent="0.25">
      <c r="A3469" t="str">
        <f>"20190312154904523"</f>
        <v>20190312154904523</v>
      </c>
      <c r="B3469" t="str">
        <f>"1552376944519114"</f>
        <v>1552376944519114</v>
      </c>
      <c r="C3469" t="s">
        <v>40</v>
      </c>
      <c r="D3469">
        <v>4.6036869999999999</v>
      </c>
      <c r="E3469">
        <v>0.4931297</v>
      </c>
      <c r="F3469" t="s">
        <v>51</v>
      </c>
      <c r="G3469">
        <v>-296.29660000000001</v>
      </c>
      <c r="H3469" s="1">
        <v>2.011328E-6</v>
      </c>
      <c r="I3469">
        <v>212.7764</v>
      </c>
      <c r="J3469">
        <v>-338.05340000000001</v>
      </c>
      <c r="K3469">
        <v>1.1093770000000001</v>
      </c>
      <c r="L3469">
        <v>215.8389</v>
      </c>
      <c r="M3469">
        <v>0.99979870000000004</v>
      </c>
      <c r="N3469">
        <v>0</v>
      </c>
      <c r="O3469">
        <v>1.361334E-2</v>
      </c>
      <c r="P3469">
        <v>0.99494059999999995</v>
      </c>
      <c r="Q3469">
        <v>3.5126539999999998E-2</v>
      </c>
      <c r="R3469">
        <v>-9.4125879999999995E-2</v>
      </c>
      <c r="S3469">
        <v>2.9974370000000001</v>
      </c>
      <c r="T3469">
        <v>-7.8969479999999995E-2</v>
      </c>
      <c r="U3469">
        <v>-0.21768190000000001</v>
      </c>
      <c r="V3469">
        <v>0.10774019999999999</v>
      </c>
      <c r="W3469">
        <v>4.9608670000000001E-2</v>
      </c>
      <c r="X3469">
        <v>0.99294059999999995</v>
      </c>
      <c r="Y3469">
        <v>8.5969889999999993E-2</v>
      </c>
      <c r="Z3469">
        <v>-1.4889770000000001E-3</v>
      </c>
      <c r="AA3469">
        <v>0.99629659999999998</v>
      </c>
      <c r="AB3469">
        <v>36</v>
      </c>
      <c r="AC3469">
        <v>41.756799999999998</v>
      </c>
      <c r="AD3469">
        <v>-1.1093749886719999</v>
      </c>
      <c r="AE3469">
        <v>-3.0625</v>
      </c>
      <c r="AF3469">
        <v>3.6281802287982399</v>
      </c>
      <c r="AG3469">
        <v>-1.1093749886719999</v>
      </c>
      <c r="AH3469">
        <v>41.681971218439202</v>
      </c>
      <c r="AI3469">
        <v>91.518839720389906</v>
      </c>
      <c r="AJ3469">
        <v>85.025264698699004</v>
      </c>
      <c r="AK3469">
        <v>41.854284479524097</v>
      </c>
      <c r="AL3469">
        <v>87.156465443288596</v>
      </c>
      <c r="AM3469">
        <v>83.807281023478893</v>
      </c>
      <c r="AN3469">
        <v>1.0000000029817799</v>
      </c>
    </row>
    <row r="3470" spans="1:40" x14ac:dyDescent="0.25">
      <c r="A3470" t="str">
        <f>"20190312154904547"</f>
        <v>20190312154904547</v>
      </c>
      <c r="B3470" t="str">
        <f>"1552376944539610"</f>
        <v>1552376944539610</v>
      </c>
      <c r="C3470" t="s">
        <v>40</v>
      </c>
      <c r="D3470">
        <v>4.6692429999999998</v>
      </c>
      <c r="E3470">
        <v>0.49297990000000003</v>
      </c>
      <c r="F3470" t="s">
        <v>51</v>
      </c>
      <c r="G3470">
        <v>-296.3005</v>
      </c>
      <c r="H3470" s="1">
        <v>2.012016E-6</v>
      </c>
      <c r="I3470">
        <v>212.7628</v>
      </c>
      <c r="J3470">
        <v>-337.68349999999998</v>
      </c>
      <c r="K3470">
        <v>1.1093710000000001</v>
      </c>
      <c r="L3470">
        <v>215.8432</v>
      </c>
      <c r="M3470">
        <v>0.99980780000000002</v>
      </c>
      <c r="N3470">
        <v>0</v>
      </c>
      <c r="O3470">
        <v>1.2932249999999999E-2</v>
      </c>
      <c r="P3470">
        <v>0.99490009999999995</v>
      </c>
      <c r="Q3470">
        <v>3.4812679999999999E-2</v>
      </c>
      <c r="R3470">
        <v>-9.4669530000000002E-2</v>
      </c>
      <c r="S3470">
        <v>2.9971920000000001</v>
      </c>
      <c r="T3470">
        <v>-7.9635380000000006E-2</v>
      </c>
      <c r="U3470">
        <v>-0.2208099</v>
      </c>
      <c r="V3470">
        <v>0.1076064</v>
      </c>
      <c r="W3470">
        <v>4.9291010000000003E-2</v>
      </c>
      <c r="X3470">
        <v>0.99297089999999999</v>
      </c>
      <c r="Y3470">
        <v>8.6330850000000001E-2</v>
      </c>
      <c r="Z3470">
        <v>-1.4883069999999999E-3</v>
      </c>
      <c r="AA3470">
        <v>0.99626539999999997</v>
      </c>
      <c r="AB3470">
        <v>36</v>
      </c>
      <c r="AC3470">
        <v>41.382999999999903</v>
      </c>
      <c r="AD3470">
        <v>-1.1093689879840001</v>
      </c>
      <c r="AE3470">
        <v>-3.0803999999999898</v>
      </c>
      <c r="AF3470">
        <v>3.6127937829552499</v>
      </c>
      <c r="AG3470">
        <v>-1.1093689879840001</v>
      </c>
      <c r="AH3470">
        <v>41.310174428054097</v>
      </c>
      <c r="AI3470">
        <v>91.532440188839104</v>
      </c>
      <c r="AJ3470">
        <v>85.001896956645297</v>
      </c>
      <c r="AK3470">
        <v>41.482689037066002</v>
      </c>
      <c r="AL3470">
        <v>87.174688234136894</v>
      </c>
      <c r="AM3470">
        <v>83.815099242043004</v>
      </c>
      <c r="AN3470">
        <v>0.99999997461729395</v>
      </c>
    </row>
    <row r="3471" spans="1:40" x14ac:dyDescent="0.25">
      <c r="A3471" t="str">
        <f>"20190312154904569"</f>
        <v>20190312154904569</v>
      </c>
      <c r="B3471" t="str">
        <f>"1552376944559130"</f>
        <v>1552376944559130</v>
      </c>
      <c r="C3471" t="s">
        <v>40</v>
      </c>
      <c r="D3471">
        <v>4.8811200000000001</v>
      </c>
      <c r="E3471">
        <v>0.49295149999999999</v>
      </c>
      <c r="F3471" t="s">
        <v>51</v>
      </c>
      <c r="G3471">
        <v>-296.83600000000001</v>
      </c>
      <c r="H3471" s="1">
        <v>2.1070080000000001E-6</v>
      </c>
      <c r="I3471">
        <v>212.8278</v>
      </c>
      <c r="J3471">
        <v>-337.31229999999999</v>
      </c>
      <c r="K3471">
        <v>1.1093729999999999</v>
      </c>
      <c r="L3471">
        <v>215.84729999999999</v>
      </c>
      <c r="M3471">
        <v>0.99981620000000004</v>
      </c>
      <c r="N3471">
        <v>0</v>
      </c>
      <c r="O3471">
        <v>1.224981E-2</v>
      </c>
      <c r="P3471">
        <v>0.99486330000000001</v>
      </c>
      <c r="Q3471">
        <v>3.4489400000000003E-2</v>
      </c>
      <c r="R3471">
        <v>-9.5169390000000006E-2</v>
      </c>
      <c r="S3471">
        <v>2.997131</v>
      </c>
      <c r="T3471">
        <v>-8.1398490000000004E-2</v>
      </c>
      <c r="U3471">
        <v>-0.22125239999999999</v>
      </c>
      <c r="V3471">
        <v>0.1074273</v>
      </c>
      <c r="W3471">
        <v>4.8963819999999998E-2</v>
      </c>
      <c r="X3471">
        <v>0.99300650000000001</v>
      </c>
      <c r="Y3471">
        <v>8.5797490000000004E-2</v>
      </c>
      <c r="Z3471">
        <v>-1.4955260000000001E-3</v>
      </c>
      <c r="AA3471">
        <v>0.99631150000000002</v>
      </c>
      <c r="AB3471">
        <v>36</v>
      </c>
      <c r="AC3471">
        <v>40.476299999999902</v>
      </c>
      <c r="AD3471">
        <v>-1.1093708929920001</v>
      </c>
      <c r="AE3471">
        <v>-3.0194999999999901</v>
      </c>
      <c r="AF3471">
        <v>3.51253032098816</v>
      </c>
      <c r="AG3471">
        <v>-1.1093708929920001</v>
      </c>
      <c r="AH3471">
        <v>40.4060851917693</v>
      </c>
      <c r="AI3471">
        <v>91.566785527423903</v>
      </c>
      <c r="AJ3471">
        <v>85.0317261696689</v>
      </c>
      <c r="AK3471">
        <v>40.5736403784353</v>
      </c>
      <c r="AL3471">
        <v>87.193457560867799</v>
      </c>
      <c r="AM3471">
        <v>83.825533457462797</v>
      </c>
      <c r="AN3471">
        <v>0.99999999474826595</v>
      </c>
    </row>
    <row r="3472" spans="1:40" x14ac:dyDescent="0.25">
      <c r="A3472" t="str">
        <f>"20190312154904590"</f>
        <v>20190312154904590</v>
      </c>
      <c r="B3472" t="str">
        <f>"1552376944579626"</f>
        <v>1552376944579626</v>
      </c>
      <c r="C3472" t="s">
        <v>40</v>
      </c>
      <c r="D3472">
        <v>4.6493060000000002</v>
      </c>
      <c r="E3472">
        <v>0.49300329999999898</v>
      </c>
      <c r="F3472" t="s">
        <v>51</v>
      </c>
      <c r="G3472">
        <v>-296.70499999999998</v>
      </c>
      <c r="H3472" s="1">
        <v>2.083767E-6</v>
      </c>
      <c r="I3472">
        <v>212.834</v>
      </c>
      <c r="J3472">
        <v>-336.98989999999998</v>
      </c>
      <c r="K3472">
        <v>1.109372</v>
      </c>
      <c r="L3472">
        <v>215.85069999999999</v>
      </c>
      <c r="M3472">
        <v>0.99982360000000003</v>
      </c>
      <c r="N3472">
        <v>0</v>
      </c>
      <c r="O3472">
        <v>1.1657030000000001E-2</v>
      </c>
      <c r="P3472">
        <v>0.9948534</v>
      </c>
      <c r="Q3472">
        <v>3.4139900000000001E-2</v>
      </c>
      <c r="R3472">
        <v>-9.5400739999999998E-2</v>
      </c>
      <c r="S3472">
        <v>2.9970089999999998</v>
      </c>
      <c r="T3472">
        <v>-8.1876870000000004E-2</v>
      </c>
      <c r="U3472">
        <v>-0.22239690000000001</v>
      </c>
      <c r="V3472">
        <v>0.107068899999999</v>
      </c>
      <c r="W3472">
        <v>4.8611849999999998E-2</v>
      </c>
      <c r="X3472">
        <v>0.99306249999999996</v>
      </c>
      <c r="Y3472">
        <v>8.5587999999999997E-2</v>
      </c>
      <c r="Z3472">
        <v>-1.4853220000000001E-3</v>
      </c>
      <c r="AA3472">
        <v>0.99632949999999998</v>
      </c>
      <c r="AB3472">
        <v>36</v>
      </c>
      <c r="AC3472">
        <v>40.284899999999901</v>
      </c>
      <c r="AD3472">
        <v>-1.109369916233</v>
      </c>
      <c r="AE3472">
        <v>-3.0166999999999802</v>
      </c>
      <c r="AF3472">
        <v>3.48352121680428</v>
      </c>
      <c r="AG3472">
        <v>-1.109369916233</v>
      </c>
      <c r="AH3472">
        <v>40.216664519795899</v>
      </c>
      <c r="AI3472">
        <v>91.574202267143406</v>
      </c>
      <c r="AJ3472">
        <v>85.049461822641703</v>
      </c>
      <c r="AK3472">
        <v>40.382492825193196</v>
      </c>
      <c r="AL3472">
        <v>87.213648001085602</v>
      </c>
      <c r="AM3472">
        <v>83.846318817720302</v>
      </c>
      <c r="AN3472">
        <v>0.99999999510694104</v>
      </c>
    </row>
    <row r="3473" spans="1:40" x14ac:dyDescent="0.25">
      <c r="A3473" t="str">
        <f>"20190312154904613"</f>
        <v>20190312154904613</v>
      </c>
      <c r="B3473" t="str">
        <f>"1552376944599146"</f>
        <v>1552376944599146</v>
      </c>
      <c r="C3473" t="s">
        <v>40</v>
      </c>
      <c r="D3473">
        <v>4.6646939999999999</v>
      </c>
      <c r="E3473">
        <v>0.4929154</v>
      </c>
      <c r="F3473" t="s">
        <v>51</v>
      </c>
      <c r="G3473">
        <v>-296.68310000000002</v>
      </c>
      <c r="H3473" s="1">
        <v>2.0798770000000002E-6</v>
      </c>
      <c r="I3473">
        <v>212.8432</v>
      </c>
      <c r="J3473">
        <v>-336.62180000000001</v>
      </c>
      <c r="K3473">
        <v>1.1093729999999999</v>
      </c>
      <c r="L3473">
        <v>215.85429999999999</v>
      </c>
      <c r="M3473">
        <v>0.99983129999999998</v>
      </c>
      <c r="N3473">
        <v>0</v>
      </c>
      <c r="O3473">
        <v>1.0980510000000001E-2</v>
      </c>
      <c r="P3473">
        <v>0.99483909999999998</v>
      </c>
      <c r="Q3473">
        <v>3.396499E-2</v>
      </c>
      <c r="R3473">
        <v>-9.5614879999999999E-2</v>
      </c>
      <c r="S3473">
        <v>2.996918</v>
      </c>
      <c r="T3473">
        <v>-8.2484600000000005E-2</v>
      </c>
      <c r="U3473">
        <v>-0.2236176</v>
      </c>
      <c r="V3473">
        <v>0.10661</v>
      </c>
      <c r="W3473">
        <v>4.8434680000000001E-2</v>
      </c>
      <c r="X3473">
        <v>0.99312060000000002</v>
      </c>
      <c r="Y3473">
        <v>8.5319510000000001E-2</v>
      </c>
      <c r="Z3473">
        <v>-1.4740809999999999E-3</v>
      </c>
      <c r="AA3473">
        <v>0.99635260000000003</v>
      </c>
      <c r="AB3473">
        <v>36</v>
      </c>
      <c r="AC3473">
        <v>39.938699999999898</v>
      </c>
      <c r="AD3473">
        <v>-1.109370920123</v>
      </c>
      <c r="AE3473">
        <v>-3.0110999999999901</v>
      </c>
      <c r="AF3473">
        <v>3.4468688590409</v>
      </c>
      <c r="AG3473">
        <v>-1.109370920123</v>
      </c>
      <c r="AH3473">
        <v>39.872634700453197</v>
      </c>
      <c r="AI3473">
        <v>91.587802768587096</v>
      </c>
      <c r="AJ3473">
        <v>85.059236031974606</v>
      </c>
      <c r="AK3473">
        <v>40.036715733506703</v>
      </c>
      <c r="AL3473">
        <v>87.223811269138693</v>
      </c>
      <c r="AM3473">
        <v>83.872848326448604</v>
      </c>
      <c r="AN3473">
        <v>1.0000000682355199</v>
      </c>
    </row>
    <row r="3474" spans="1:40" x14ac:dyDescent="0.25">
      <c r="A3474" t="str">
        <f>"20190312154904634"</f>
        <v>20190312154904634</v>
      </c>
      <c r="B3474" t="str">
        <f>"1552376944629402"</f>
        <v>1552376944629402</v>
      </c>
      <c r="C3474" t="s">
        <v>40</v>
      </c>
      <c r="D3474">
        <v>4.7143889999999997</v>
      </c>
      <c r="E3474">
        <v>0.4927936</v>
      </c>
      <c r="F3474" t="s">
        <v>51</v>
      </c>
      <c r="G3474">
        <v>-297.36750000000001</v>
      </c>
      <c r="H3474" s="1">
        <v>2.2012729999999999E-6</v>
      </c>
      <c r="I3474">
        <v>212.92529999999999</v>
      </c>
      <c r="J3474">
        <v>-336.27969999999999</v>
      </c>
      <c r="K3474">
        <v>1.10938</v>
      </c>
      <c r="L3474">
        <v>215.85740000000001</v>
      </c>
      <c r="M3474">
        <v>0.999838</v>
      </c>
      <c r="N3474">
        <v>0</v>
      </c>
      <c r="O3474">
        <v>1.035199E-2</v>
      </c>
      <c r="P3474">
        <v>0.99481310000000001</v>
      </c>
      <c r="Q3474">
        <v>3.4080359999999997E-2</v>
      </c>
      <c r="R3474">
        <v>-9.5842280000000002E-2</v>
      </c>
      <c r="S3474">
        <v>2.9969480000000002</v>
      </c>
      <c r="T3474">
        <v>-8.4697129999999995E-2</v>
      </c>
      <c r="U3474">
        <v>-0.2236176</v>
      </c>
      <c r="V3474">
        <v>0.10621269999999999</v>
      </c>
      <c r="W3474">
        <v>4.8547559999999997E-2</v>
      </c>
      <c r="X3474">
        <v>0.99315759999999997</v>
      </c>
      <c r="Y3474">
        <v>8.4690929999999998E-2</v>
      </c>
      <c r="Z3474">
        <v>-1.486982E-3</v>
      </c>
      <c r="AA3474">
        <v>0.99640609999999996</v>
      </c>
      <c r="AB3474">
        <v>36</v>
      </c>
      <c r="AC3474">
        <v>38.912199999999899</v>
      </c>
      <c r="AD3474">
        <v>-1.1093777987269999</v>
      </c>
      <c r="AE3474">
        <v>-2.9321000000000201</v>
      </c>
      <c r="AF3474">
        <v>3.3321121615881899</v>
      </c>
      <c r="AG3474">
        <v>-1.1093777987269999</v>
      </c>
      <c r="AH3474">
        <v>38.848360202808998</v>
      </c>
      <c r="AI3474">
        <v>91.629748470793302</v>
      </c>
      <c r="AJ3474">
        <v>85.0976093605519</v>
      </c>
      <c r="AK3474">
        <v>39.0067786545481</v>
      </c>
      <c r="AL3474">
        <v>87.2173359448268</v>
      </c>
      <c r="AM3474">
        <v>83.895735161578301</v>
      </c>
      <c r="AN3474">
        <v>1.0000000108305001</v>
      </c>
    </row>
    <row r="3475" spans="1:40" x14ac:dyDescent="0.25">
      <c r="A3475" t="str">
        <f>"20190312154904660"</f>
        <v>20190312154904660</v>
      </c>
      <c r="B3475" t="str">
        <f>"1552376944648923"</f>
        <v>1552376944648923</v>
      </c>
      <c r="C3475" t="s">
        <v>40</v>
      </c>
      <c r="D3475">
        <v>4.678229</v>
      </c>
      <c r="E3475">
        <v>0.49276049999999899</v>
      </c>
      <c r="F3475" t="s">
        <v>51</v>
      </c>
      <c r="G3475">
        <v>-298.1071</v>
      </c>
      <c r="H3475" s="1">
        <v>2.3324680000000001E-6</v>
      </c>
      <c r="I3475">
        <v>213.01499999999999</v>
      </c>
      <c r="J3475">
        <v>-335.88709999999998</v>
      </c>
      <c r="K3475">
        <v>1.109383</v>
      </c>
      <c r="L3475">
        <v>215.86080000000001</v>
      </c>
      <c r="M3475">
        <v>0.99984530000000005</v>
      </c>
      <c r="N3475">
        <v>0</v>
      </c>
      <c r="O3475">
        <v>9.6299609999999994E-3</v>
      </c>
      <c r="P3475">
        <v>0.99479709999999999</v>
      </c>
      <c r="Q3475">
        <v>3.438956E-2</v>
      </c>
      <c r="R3475">
        <v>-9.5899250000000005E-2</v>
      </c>
      <c r="S3475">
        <v>2.997131</v>
      </c>
      <c r="T3475">
        <v>-8.7102890000000002E-2</v>
      </c>
      <c r="U3475">
        <v>-0.22317500000000001</v>
      </c>
      <c r="V3475">
        <v>0.1055521</v>
      </c>
      <c r="W3475">
        <v>4.8854269999999998E-2</v>
      </c>
      <c r="X3475">
        <v>0.99321300000000001</v>
      </c>
      <c r="Y3475">
        <v>8.3819050000000006E-2</v>
      </c>
      <c r="Z3475">
        <v>-1.4955120000000001E-3</v>
      </c>
      <c r="AA3475">
        <v>0.99647989999999997</v>
      </c>
      <c r="AB3475">
        <v>36</v>
      </c>
      <c r="AC3475">
        <v>37.779999999999902</v>
      </c>
      <c r="AD3475">
        <v>-1.1093806675319999</v>
      </c>
      <c r="AE3475">
        <v>-2.8458000000000201</v>
      </c>
      <c r="AF3475">
        <v>3.2067778861675702</v>
      </c>
      <c r="AG3475">
        <v>-1.1093806675319999</v>
      </c>
      <c r="AH3475">
        <v>37.718500292694699</v>
      </c>
      <c r="AI3475">
        <v>91.678651675687405</v>
      </c>
      <c r="AJ3475">
        <v>85.140473298923297</v>
      </c>
      <c r="AK3475">
        <v>37.870825370022203</v>
      </c>
      <c r="AL3475">
        <v>87.199741917550199</v>
      </c>
      <c r="AM3475">
        <v>83.933753082814107</v>
      </c>
      <c r="AN3475">
        <v>1.00000002444032</v>
      </c>
    </row>
    <row r="3476" spans="1:40" x14ac:dyDescent="0.25">
      <c r="A3476" t="str">
        <f>"20190312154904681"</f>
        <v>20190312154904681</v>
      </c>
      <c r="B3476" t="str">
        <f>"1552376944669418"</f>
        <v>1552376944669418</v>
      </c>
      <c r="C3476" t="s">
        <v>40</v>
      </c>
      <c r="D3476">
        <v>4.754359</v>
      </c>
      <c r="E3476">
        <v>0.49281340000000001</v>
      </c>
      <c r="F3476" t="s">
        <v>51</v>
      </c>
      <c r="G3476">
        <v>-297.92450000000002</v>
      </c>
      <c r="H3476" s="1">
        <v>2.300078E-6</v>
      </c>
      <c r="I3476">
        <v>213.03440000000001</v>
      </c>
      <c r="J3476">
        <v>-335.55770000000001</v>
      </c>
      <c r="K3476">
        <v>1.1093869999999999</v>
      </c>
      <c r="L3476">
        <v>215.86330000000001</v>
      </c>
      <c r="M3476">
        <v>0.99985100000000005</v>
      </c>
      <c r="N3476">
        <v>0</v>
      </c>
      <c r="O3476">
        <v>9.0240960000000005E-3</v>
      </c>
      <c r="P3476">
        <v>0.99478759999999999</v>
      </c>
      <c r="Q3476">
        <v>3.4439989999999997E-2</v>
      </c>
      <c r="R3476">
        <v>-9.5977019999999996E-2</v>
      </c>
      <c r="S3476">
        <v>2.9971619999999999</v>
      </c>
      <c r="T3476">
        <v>-8.7586049999999999E-2</v>
      </c>
      <c r="U3476">
        <v>-0.2231445</v>
      </c>
      <c r="V3476">
        <v>0.1050278</v>
      </c>
      <c r="W3476">
        <v>4.8902849999999998E-2</v>
      </c>
      <c r="X3476">
        <v>0.99326619999999999</v>
      </c>
      <c r="Y3476">
        <v>8.3204429999999996E-2</v>
      </c>
      <c r="Z3476">
        <v>-1.4771420000000001E-3</v>
      </c>
      <c r="AA3476">
        <v>0.99653139999999996</v>
      </c>
      <c r="AB3476">
        <v>36</v>
      </c>
      <c r="AC3476">
        <v>37.633199999999903</v>
      </c>
      <c r="AD3476">
        <v>-1.1093846999220001</v>
      </c>
      <c r="AE3476">
        <v>-2.8289</v>
      </c>
      <c r="AF3476">
        <v>3.16569163019083</v>
      </c>
      <c r="AG3476">
        <v>-1.1093846999220001</v>
      </c>
      <c r="AH3476">
        <v>37.573668066464002</v>
      </c>
      <c r="AI3476">
        <v>91.685233018450703</v>
      </c>
      <c r="AJ3476">
        <v>85.184036663164406</v>
      </c>
      <c r="AK3476">
        <v>37.723107903229497</v>
      </c>
      <c r="AL3476">
        <v>87.196955189545605</v>
      </c>
      <c r="AM3476">
        <v>83.963983337540199</v>
      </c>
      <c r="AN3476">
        <v>1.0000000357867</v>
      </c>
    </row>
    <row r="3477" spans="1:40" x14ac:dyDescent="0.25">
      <c r="A3477" t="str">
        <f>"20190312154904703"</f>
        <v>20190312154904703</v>
      </c>
      <c r="B3477" t="str">
        <f>"1552376944699674"</f>
        <v>1552376944699674</v>
      </c>
      <c r="C3477" t="s">
        <v>40</v>
      </c>
      <c r="D3477">
        <v>4.847836</v>
      </c>
      <c r="E3477">
        <v>0.49278640000000001</v>
      </c>
      <c r="F3477" t="s">
        <v>51</v>
      </c>
      <c r="G3477">
        <v>-297.8546</v>
      </c>
      <c r="H3477" s="1">
        <v>2.2876790000000002E-6</v>
      </c>
      <c r="I3477">
        <v>213.04939999999999</v>
      </c>
      <c r="J3477">
        <v>-335.19580000000002</v>
      </c>
      <c r="K3477">
        <v>1.10938799999999</v>
      </c>
      <c r="L3477">
        <v>215.86590000000001</v>
      </c>
      <c r="M3477">
        <v>0.99985679999999999</v>
      </c>
      <c r="N3477">
        <v>0</v>
      </c>
      <c r="O3477">
        <v>8.3578660000000003E-3</v>
      </c>
      <c r="P3477">
        <v>0.99476370000000003</v>
      </c>
      <c r="Q3477">
        <v>3.4356560000000001E-2</v>
      </c>
      <c r="R3477">
        <v>-9.6254709999999993E-2</v>
      </c>
      <c r="S3477">
        <v>2.9971920000000001</v>
      </c>
      <c r="T3477">
        <v>-8.8189959999999998E-2</v>
      </c>
      <c r="U3477">
        <v>-0.2236938</v>
      </c>
      <c r="V3477">
        <v>0.10464270000000001</v>
      </c>
      <c r="W3477">
        <v>4.8817119999999999E-2</v>
      </c>
      <c r="X3477">
        <v>0.99331100000000006</v>
      </c>
      <c r="Y3477">
        <v>8.2721240000000001E-2</v>
      </c>
      <c r="Z3477">
        <v>-1.4606230000000001E-3</v>
      </c>
      <c r="AA3477">
        <v>0.99657169999999895</v>
      </c>
      <c r="AB3477">
        <v>35</v>
      </c>
      <c r="AC3477">
        <v>37.341200000000001</v>
      </c>
      <c r="AD3477">
        <v>-1.10938571232099</v>
      </c>
      <c r="AE3477">
        <v>-2.8165000000000102</v>
      </c>
      <c r="AF3477">
        <v>3.1257847774723202</v>
      </c>
      <c r="AG3477">
        <v>-1.10938571232099</v>
      </c>
      <c r="AH3477">
        <v>37.283630759407103</v>
      </c>
      <c r="AI3477">
        <v>91.698395484251506</v>
      </c>
      <c r="AJ3477">
        <v>85.207644050475906</v>
      </c>
      <c r="AK3477">
        <v>37.430874819293102</v>
      </c>
      <c r="AL3477">
        <v>87.2018728580328</v>
      </c>
      <c r="AM3477">
        <v>83.986222045099893</v>
      </c>
      <c r="AN3477">
        <v>0.99999997429469101</v>
      </c>
    </row>
    <row r="3478" spans="1:40" x14ac:dyDescent="0.25">
      <c r="A3478" t="str">
        <f>"20190312154904726"</f>
        <v>20190312154904726</v>
      </c>
      <c r="B3478" t="str">
        <f>"1552376944719194"</f>
        <v>1552376944719194</v>
      </c>
      <c r="C3478" t="s">
        <v>40</v>
      </c>
      <c r="D3478">
        <v>4.8011179999999998</v>
      </c>
      <c r="E3478">
        <v>0.49317329999999998</v>
      </c>
      <c r="F3478" t="s">
        <v>51</v>
      </c>
      <c r="G3478">
        <v>-298.06639999999999</v>
      </c>
      <c r="H3478" s="1">
        <v>2.325263E-6</v>
      </c>
      <c r="I3478">
        <v>213.08269999999999</v>
      </c>
      <c r="J3478">
        <v>-334.84449999999998</v>
      </c>
      <c r="K3478">
        <v>1.1093850000000001</v>
      </c>
      <c r="L3478">
        <v>215.8682</v>
      </c>
      <c r="M3478">
        <v>0.99986220000000003</v>
      </c>
      <c r="N3478">
        <v>0</v>
      </c>
      <c r="O3478">
        <v>7.7108259999999996E-3</v>
      </c>
      <c r="P3478">
        <v>0.9947125</v>
      </c>
      <c r="Q3478">
        <v>3.4087529999999998E-2</v>
      </c>
      <c r="R3478">
        <v>-9.6880149999999998E-2</v>
      </c>
      <c r="S3478">
        <v>2.9971920000000001</v>
      </c>
      <c r="T3478">
        <v>-8.9552880000000001E-2</v>
      </c>
      <c r="U3478">
        <v>-0.22467039999999999</v>
      </c>
      <c r="V3478">
        <v>0.10462390000000001</v>
      </c>
      <c r="W3478">
        <v>4.8544700000000003E-2</v>
      </c>
      <c r="X3478">
        <v>0.99332640000000005</v>
      </c>
      <c r="Y3478">
        <v>8.2398440000000003E-2</v>
      </c>
      <c r="Z3478">
        <v>-1.4590479999999999E-3</v>
      </c>
      <c r="AA3478">
        <v>0.9965984</v>
      </c>
      <c r="AB3478">
        <v>35</v>
      </c>
      <c r="AC3478">
        <v>36.778100000000002</v>
      </c>
      <c r="AD3478">
        <v>-1.1093826747369999</v>
      </c>
      <c r="AE3478">
        <v>-2.7855000000000101</v>
      </c>
      <c r="AF3478">
        <v>3.0662633326986302</v>
      </c>
      <c r="AG3478">
        <v>-1.1093826747369999</v>
      </c>
      <c r="AH3478">
        <v>36.722303242868797</v>
      </c>
      <c r="AI3478">
        <v>91.724385025837407</v>
      </c>
      <c r="AJ3478">
        <v>85.226950904976803</v>
      </c>
      <c r="AK3478">
        <v>36.866790695769403</v>
      </c>
      <c r="AL3478">
        <v>87.217500092778295</v>
      </c>
      <c r="AM3478">
        <v>83.987387093607296</v>
      </c>
      <c r="AN3478">
        <v>1.0000000426431199</v>
      </c>
    </row>
    <row r="3479" spans="1:40" x14ac:dyDescent="0.25">
      <c r="A3479" t="str">
        <f>"20190312154904747"</f>
        <v>20190312154904747</v>
      </c>
      <c r="B3479" t="str">
        <f>"1552376944739690"</f>
        <v>1552376944739690</v>
      </c>
      <c r="C3479" t="s">
        <v>40</v>
      </c>
      <c r="D3479">
        <v>4.7153890000000001</v>
      </c>
      <c r="E3479">
        <v>0.52598919999999905</v>
      </c>
      <c r="F3479" t="s">
        <v>51</v>
      </c>
      <c r="G3479">
        <v>-299.291</v>
      </c>
      <c r="H3479" s="1">
        <v>2.542476E-6</v>
      </c>
      <c r="I3479">
        <v>213.14500000000001</v>
      </c>
      <c r="J3479">
        <v>-334.49509999999998</v>
      </c>
      <c r="K3479">
        <v>1.1093869999999999</v>
      </c>
      <c r="L3479">
        <v>215.87029999999999</v>
      </c>
      <c r="M3479">
        <v>0.9998669</v>
      </c>
      <c r="N3479">
        <v>0</v>
      </c>
      <c r="O3479">
        <v>7.0678360000000001E-3</v>
      </c>
      <c r="P3479">
        <v>0.99466589999999999</v>
      </c>
      <c r="Q3479">
        <v>3.3709299999999998E-2</v>
      </c>
      <c r="R3479">
        <v>-9.7487210000000005E-2</v>
      </c>
      <c r="S3479">
        <v>2.9967959999999998</v>
      </c>
      <c r="T3479">
        <v>-9.3509439999999999E-2</v>
      </c>
      <c r="U3479">
        <v>-0.22953799999999999</v>
      </c>
      <c r="V3479">
        <v>0.10459069999999999</v>
      </c>
      <c r="W3479">
        <v>4.8163190000000002E-2</v>
      </c>
      <c r="X3479">
        <v>0.99334840000000002</v>
      </c>
      <c r="Y3479">
        <v>8.3373050000000004E-2</v>
      </c>
      <c r="Z3479">
        <v>-1.5187340000000001E-3</v>
      </c>
      <c r="AA3479">
        <v>0.99651719999999999</v>
      </c>
      <c r="AB3479">
        <v>35</v>
      </c>
      <c r="AC3479">
        <v>35.204099999999897</v>
      </c>
      <c r="AD3479">
        <v>-1.1093844575239999</v>
      </c>
      <c r="AE3479">
        <v>-2.7252999999999701</v>
      </c>
      <c r="AF3479">
        <v>2.9711426639088399</v>
      </c>
      <c r="AG3479">
        <v>-1.1093844575239999</v>
      </c>
      <c r="AH3479">
        <v>35.149258888110197</v>
      </c>
      <c r="AI3479">
        <v>91.801355239313693</v>
      </c>
      <c r="AJ3479">
        <v>85.168313140864697</v>
      </c>
      <c r="AK3479">
        <v>35.292050421975901</v>
      </c>
      <c r="AL3479">
        <v>87.239384418672202</v>
      </c>
      <c r="AM3479">
        <v>83.989413235374101</v>
      </c>
      <c r="AN3479">
        <v>0.99999997559001197</v>
      </c>
    </row>
    <row r="3480" spans="1:40" x14ac:dyDescent="0.25">
      <c r="A3480" t="str">
        <f>"20190312154904770"</f>
        <v>20190312154904770</v>
      </c>
      <c r="B3480" t="str">
        <f>"1552376944759210"</f>
        <v>1552376944759210</v>
      </c>
      <c r="C3480" t="s">
        <v>40</v>
      </c>
      <c r="D3480">
        <v>4.6962109999999999</v>
      </c>
      <c r="E3480">
        <v>0.52607399999999904</v>
      </c>
      <c r="F3480" t="s">
        <v>51</v>
      </c>
      <c r="G3480">
        <v>-301.84359999999998</v>
      </c>
      <c r="H3480" s="1">
        <v>2.326236E-6</v>
      </c>
      <c r="I3480">
        <v>210.46619999999999</v>
      </c>
      <c r="J3480">
        <v>-334.13049999999998</v>
      </c>
      <c r="K3480">
        <v>1.1093900000000001</v>
      </c>
      <c r="L3480">
        <v>215.87209999999999</v>
      </c>
      <c r="M3480">
        <v>0.99987139999999997</v>
      </c>
      <c r="N3480">
        <v>0</v>
      </c>
      <c r="O3480">
        <v>6.3961840000000001E-3</v>
      </c>
      <c r="P3480">
        <v>0.99459169999999997</v>
      </c>
      <c r="Q3480">
        <v>3.3612820000000002E-2</v>
      </c>
      <c r="R3480">
        <v>-9.8272650000000003E-2</v>
      </c>
      <c r="S3480">
        <v>2.9713129999999999</v>
      </c>
      <c r="T3480">
        <v>-0.1009549</v>
      </c>
      <c r="U3480">
        <v>-0.49177549999999998</v>
      </c>
      <c r="V3480">
        <v>0.1047078</v>
      </c>
      <c r="W3480">
        <v>4.8062699999999903E-2</v>
      </c>
      <c r="X3480">
        <v>0.99334100000000003</v>
      </c>
      <c r="Y3480">
        <v>0.16949529999999999</v>
      </c>
      <c r="Z3480">
        <v>-3.07501E-3</v>
      </c>
      <c r="AA3480">
        <v>0.98552620000000002</v>
      </c>
      <c r="AB3480">
        <v>35</v>
      </c>
      <c r="AC3480">
        <v>32.286900000000003</v>
      </c>
      <c r="AD3480">
        <v>-1.1093876737639901</v>
      </c>
      <c r="AE3480">
        <v>-5.4058999999999999</v>
      </c>
      <c r="AF3480">
        <v>5.6058866841018897</v>
      </c>
      <c r="AG3480">
        <v>-1.1093876737639901</v>
      </c>
      <c r="AH3480">
        <v>32.214662076132001</v>
      </c>
      <c r="AI3480">
        <v>91.943156705640703</v>
      </c>
      <c r="AJ3480">
        <v>80.128432754110605</v>
      </c>
      <c r="AK3480">
        <v>32.717597087883298</v>
      </c>
      <c r="AL3480">
        <v>87.2451489370562</v>
      </c>
      <c r="AM3480">
        <v>83.982688615708199</v>
      </c>
      <c r="AN3480">
        <v>1.00000004439656</v>
      </c>
    </row>
    <row r="3481" spans="1:40" x14ac:dyDescent="0.25">
      <c r="A3481" t="str">
        <f>"20190312154904791"</f>
        <v>20190312154904791</v>
      </c>
      <c r="B3481" t="str">
        <f>"1552376944779706"</f>
        <v>1552376944779706</v>
      </c>
      <c r="C3481" t="s">
        <v>40</v>
      </c>
      <c r="D3481">
        <v>4.7036040000000003</v>
      </c>
      <c r="E3481">
        <v>0.52638079999999998</v>
      </c>
      <c r="F3481" t="s">
        <v>51</v>
      </c>
      <c r="G3481">
        <v>-300.63189999999997</v>
      </c>
      <c r="H3481" s="1">
        <v>2.541179E-6</v>
      </c>
      <c r="I3481">
        <v>210.2886</v>
      </c>
      <c r="J3481">
        <v>-333.80270000000002</v>
      </c>
      <c r="K3481">
        <v>1.1093919999999999</v>
      </c>
      <c r="L3481">
        <v>215.87360000000001</v>
      </c>
      <c r="M3481">
        <v>0.99987519999999996</v>
      </c>
      <c r="N3481">
        <v>0</v>
      </c>
      <c r="O3481">
        <v>5.7918789999999998E-3</v>
      </c>
      <c r="P3481">
        <v>0.99455700000000002</v>
      </c>
      <c r="Q3481">
        <v>3.3623979999999998E-2</v>
      </c>
      <c r="R3481">
        <v>-9.862013E-2</v>
      </c>
      <c r="S3481">
        <v>2.9706730000000001</v>
      </c>
      <c r="T3481">
        <v>-9.8380800000000004E-2</v>
      </c>
      <c r="U3481">
        <v>-0.49514770000000002</v>
      </c>
      <c r="V3481">
        <v>0.1044542</v>
      </c>
      <c r="W3481">
        <v>4.8071750000000003E-2</v>
      </c>
      <c r="X3481">
        <v>0.99336720000000001</v>
      </c>
      <c r="Y3481">
        <v>0.1700276</v>
      </c>
      <c r="Z3481">
        <v>-2.9858829999999999E-3</v>
      </c>
      <c r="AA3481">
        <v>0.98543480000000006</v>
      </c>
      <c r="AB3481">
        <v>35</v>
      </c>
      <c r="AC3481">
        <v>33.1708</v>
      </c>
      <c r="AD3481">
        <v>-1.109389458821</v>
      </c>
      <c r="AE3481">
        <v>-5.585</v>
      </c>
      <c r="AF3481">
        <v>5.7707713547069002</v>
      </c>
      <c r="AG3481">
        <v>-1.109389458821</v>
      </c>
      <c r="AH3481">
        <v>33.101886894215703</v>
      </c>
      <c r="AI3481">
        <v>91.891014691856199</v>
      </c>
      <c r="AJ3481">
        <v>80.110805600988499</v>
      </c>
      <c r="AK3481">
        <v>33.619450664118503</v>
      </c>
      <c r="AL3481">
        <v>87.244629642407901</v>
      </c>
      <c r="AM3481">
        <v>83.9973130396492</v>
      </c>
      <c r="AN3481">
        <v>0.99999998354077102</v>
      </c>
    </row>
    <row r="3482" spans="1:40" x14ac:dyDescent="0.25">
      <c r="A3482" t="str">
        <f>"20190312154904814"</f>
        <v>20190312154904814</v>
      </c>
      <c r="B3482" t="str">
        <f>"1552376944808987"</f>
        <v>1552376944808987</v>
      </c>
      <c r="C3482" t="s">
        <v>40</v>
      </c>
      <c r="D3482">
        <v>4.6830769999999999</v>
      </c>
      <c r="E3482">
        <v>0.52664350000000004</v>
      </c>
      <c r="F3482" t="s">
        <v>51</v>
      </c>
      <c r="G3482">
        <v>-300.40370000000001</v>
      </c>
      <c r="H3482" s="1">
        <v>2.5816579999999999E-6</v>
      </c>
      <c r="I3482">
        <v>210.26740000000001</v>
      </c>
      <c r="J3482">
        <v>-333.42739999999998</v>
      </c>
      <c r="K3482">
        <v>1.1093930000000001</v>
      </c>
      <c r="L3482">
        <v>215.8751</v>
      </c>
      <c r="M3482">
        <v>0.99987899999999996</v>
      </c>
      <c r="N3482">
        <v>0</v>
      </c>
      <c r="O3482">
        <v>5.1000259999999997E-3</v>
      </c>
      <c r="P3482">
        <v>0.99453309999999995</v>
      </c>
      <c r="Q3482">
        <v>3.3714229999999998E-2</v>
      </c>
      <c r="R3482">
        <v>-9.8831039999999995E-2</v>
      </c>
      <c r="S3482">
        <v>2.9703059999999999</v>
      </c>
      <c r="T3482">
        <v>-9.8662260000000002E-2</v>
      </c>
      <c r="U3482">
        <v>-0.49858089999999999</v>
      </c>
      <c r="V3482">
        <v>0.1039771</v>
      </c>
      <c r="W3482">
        <v>4.8159390000000003E-2</v>
      </c>
      <c r="X3482">
        <v>0.99341299999999999</v>
      </c>
      <c r="Y3482">
        <v>0.17047309999999999</v>
      </c>
      <c r="Z3482">
        <v>-2.9790239999999998E-3</v>
      </c>
      <c r="AA3482">
        <v>0.98535779999999995</v>
      </c>
      <c r="AB3482">
        <v>35</v>
      </c>
      <c r="AC3482">
        <v>33.023699999999899</v>
      </c>
      <c r="AD3482">
        <v>-1.109390418342</v>
      </c>
      <c r="AE3482">
        <v>-5.6076999999999897</v>
      </c>
      <c r="AF3482">
        <v>5.7697380804892502</v>
      </c>
      <c r="AG3482">
        <v>-1.109390418342</v>
      </c>
      <c r="AH3482">
        <v>32.958515339884997</v>
      </c>
      <c r="AI3482">
        <v>91.899002464998304</v>
      </c>
      <c r="AJ3482">
        <v>80.070384549006704</v>
      </c>
      <c r="AK3482">
        <v>33.478117599817303</v>
      </c>
      <c r="AL3482">
        <v>87.239602397739006</v>
      </c>
      <c r="AM3482">
        <v>84.024805295948596</v>
      </c>
      <c r="AN3482">
        <v>0.99999997636928994</v>
      </c>
    </row>
    <row r="3483" spans="1:40" x14ac:dyDescent="0.25">
      <c r="A3483" t="str">
        <f>"20190312154904836"</f>
        <v>20190312154904836</v>
      </c>
      <c r="B3483" t="str">
        <f>"1552376944829482"</f>
        <v>1552376944829482</v>
      </c>
      <c r="C3483" t="s">
        <v>40</v>
      </c>
      <c r="D3483">
        <v>4.6910100000000003</v>
      </c>
      <c r="E3483">
        <v>0.52692059999999996</v>
      </c>
      <c r="F3483" t="s">
        <v>51</v>
      </c>
      <c r="G3483">
        <v>-302.35989999999998</v>
      </c>
      <c r="H3483" s="1">
        <v>2.2346600000000001E-6</v>
      </c>
      <c r="I3483">
        <v>210.6362</v>
      </c>
      <c r="J3483">
        <v>-333.09109999999998</v>
      </c>
      <c r="K3483">
        <v>1.1093949999999999</v>
      </c>
      <c r="L3483">
        <v>215.87620000000001</v>
      </c>
      <c r="M3483">
        <v>0.99988220000000005</v>
      </c>
      <c r="N3483">
        <v>0</v>
      </c>
      <c r="O3483">
        <v>4.4798679999999997E-3</v>
      </c>
      <c r="P3483">
        <v>0.99447909999999995</v>
      </c>
      <c r="Q3483">
        <v>3.348251E-2</v>
      </c>
      <c r="R3483">
        <v>-9.9452910000000005E-2</v>
      </c>
      <c r="S3483">
        <v>2.9703059999999999</v>
      </c>
      <c r="T3483">
        <v>-0.1060666</v>
      </c>
      <c r="U3483">
        <v>-0.50088500000000002</v>
      </c>
      <c r="V3483">
        <v>0.1039815</v>
      </c>
      <c r="W3483">
        <v>4.7925059999999998E-2</v>
      </c>
      <c r="X3483">
        <v>0.99342390000000003</v>
      </c>
      <c r="Y3483">
        <v>0.17059079999999999</v>
      </c>
      <c r="Z3483">
        <v>-3.18235E-3</v>
      </c>
      <c r="AA3483">
        <v>0.98533680000000001</v>
      </c>
      <c r="AB3483">
        <v>35</v>
      </c>
      <c r="AC3483">
        <v>30.731200000000001</v>
      </c>
      <c r="AD3483">
        <v>-1.10939276534</v>
      </c>
      <c r="AE3483">
        <v>-5.24</v>
      </c>
      <c r="AF3483">
        <v>5.37083243367129</v>
      </c>
      <c r="AG3483">
        <v>-1.10939276534</v>
      </c>
      <c r="AH3483">
        <v>30.668576356302101</v>
      </c>
      <c r="AI3483">
        <v>92.040662113151996</v>
      </c>
      <c r="AJ3483">
        <v>80.066809112877195</v>
      </c>
      <c r="AK3483">
        <v>31.155066507081902</v>
      </c>
      <c r="AL3483">
        <v>87.253044116159799</v>
      </c>
      <c r="AM3483">
        <v>84.024619362153302</v>
      </c>
      <c r="AN3483">
        <v>1.0000000044047299</v>
      </c>
    </row>
    <row r="3484" spans="1:40" x14ac:dyDescent="0.25">
      <c r="A3484" t="str">
        <f>"20190312154904857"</f>
        <v>20190312154904857</v>
      </c>
      <c r="B3484" t="str">
        <f>"1552376944849002"</f>
        <v>1552376944849002</v>
      </c>
      <c r="C3484" t="s">
        <v>40</v>
      </c>
      <c r="D3484">
        <v>4.7180439999999999</v>
      </c>
      <c r="E3484">
        <v>0.52703199999999994</v>
      </c>
      <c r="F3484" t="s">
        <v>51</v>
      </c>
      <c r="G3484">
        <v>-304.05340000000001</v>
      </c>
      <c r="H3484" s="1">
        <v>1.9342480000000001E-6</v>
      </c>
      <c r="I3484">
        <v>210.93950000000001</v>
      </c>
      <c r="J3484">
        <v>-332.75229999999999</v>
      </c>
      <c r="K3484">
        <v>1.1093919999999999</v>
      </c>
      <c r="L3484">
        <v>215.87710000000001</v>
      </c>
      <c r="M3484">
        <v>0.99988460000000001</v>
      </c>
      <c r="N3484">
        <v>0</v>
      </c>
      <c r="O3484">
        <v>3.8552980000000001E-3</v>
      </c>
      <c r="P3484">
        <v>0.99439279999999997</v>
      </c>
      <c r="Q3484">
        <v>3.3752860000000003E-2</v>
      </c>
      <c r="R3484">
        <v>-0.10021910000000001</v>
      </c>
      <c r="S3484">
        <v>2.9700009999999999</v>
      </c>
      <c r="T3484">
        <v>-0.11347</v>
      </c>
      <c r="U3484">
        <v>-0.50492859999999995</v>
      </c>
      <c r="V3484">
        <v>0.104127</v>
      </c>
      <c r="W3484">
        <v>4.8191299999999999E-2</v>
      </c>
      <c r="X3484">
        <v>0.99339580000000005</v>
      </c>
      <c r="Y3484">
        <v>0.1712804</v>
      </c>
      <c r="Z3484">
        <v>-3.393666E-3</v>
      </c>
      <c r="AA3484">
        <v>0.98521650000000005</v>
      </c>
      <c r="AB3484">
        <v>35</v>
      </c>
      <c r="AC3484">
        <v>28.698899999999899</v>
      </c>
      <c r="AD3484">
        <v>-1.1093900657519999</v>
      </c>
      <c r="AE3484">
        <v>-4.9375999999999998</v>
      </c>
      <c r="AF3484">
        <v>5.0409019924062397</v>
      </c>
      <c r="AG3484">
        <v>-1.1093900657519999</v>
      </c>
      <c r="AH3484">
        <v>28.638085092773998</v>
      </c>
      <c r="AI3484">
        <v>92.184874624293002</v>
      </c>
      <c r="AJ3484">
        <v>80.017008281676496</v>
      </c>
      <c r="AK3484">
        <v>29.0995078480031</v>
      </c>
      <c r="AL3484">
        <v>87.237772097070504</v>
      </c>
      <c r="AM3484">
        <v>84.016150677612501</v>
      </c>
      <c r="AN3484">
        <v>1.00000002449116</v>
      </c>
    </row>
    <row r="3485" spans="1:40" x14ac:dyDescent="0.25">
      <c r="A3485" t="str">
        <f>"20190312154904881"</f>
        <v>20190312154904881</v>
      </c>
      <c r="B3485" t="str">
        <f>"1552376944869509"</f>
        <v>1552376944869509</v>
      </c>
      <c r="C3485" t="s">
        <v>40</v>
      </c>
      <c r="D3485">
        <v>4.7700379999999996</v>
      </c>
      <c r="E3485">
        <v>0.52712740000000002</v>
      </c>
      <c r="F3485" t="s">
        <v>51</v>
      </c>
      <c r="G3485">
        <v>-303.21710000000002</v>
      </c>
      <c r="H3485" s="1">
        <v>2.0825960000000001E-6</v>
      </c>
      <c r="I3485">
        <v>210.8254</v>
      </c>
      <c r="J3485">
        <v>-332.39980000000003</v>
      </c>
      <c r="K3485">
        <v>1.1093959999999901</v>
      </c>
      <c r="L3485">
        <v>215.87780000000001</v>
      </c>
      <c r="M3485">
        <v>0.99988699999999997</v>
      </c>
      <c r="N3485">
        <v>0</v>
      </c>
      <c r="O3485">
        <v>3.2049829999999998E-3</v>
      </c>
      <c r="P3485">
        <v>0.99429429999999996</v>
      </c>
      <c r="Q3485">
        <v>3.381965E-2</v>
      </c>
      <c r="R3485">
        <v>-0.1011682</v>
      </c>
      <c r="S3485">
        <v>2.9695130000000001</v>
      </c>
      <c r="T3485">
        <v>-0.1115396</v>
      </c>
      <c r="U3485">
        <v>-0.50790409999999997</v>
      </c>
      <c r="V3485">
        <v>0.1044291</v>
      </c>
      <c r="W3485">
        <v>4.8253690000000002E-2</v>
      </c>
      <c r="X3485">
        <v>0.9933611</v>
      </c>
      <c r="Y3485">
        <v>0.17163</v>
      </c>
      <c r="Z3485">
        <v>-3.3185039999999999E-3</v>
      </c>
      <c r="AA3485">
        <v>0.98515589999999997</v>
      </c>
      <c r="AB3485">
        <v>35</v>
      </c>
      <c r="AC3485">
        <v>29.182700000000001</v>
      </c>
      <c r="AD3485">
        <v>-1.10939391740399</v>
      </c>
      <c r="AE3485">
        <v>-5.0523999999999996</v>
      </c>
      <c r="AF3485">
        <v>5.1387039815482396</v>
      </c>
      <c r="AG3485">
        <v>-1.10939391740399</v>
      </c>
      <c r="AH3485">
        <v>29.1254889696602</v>
      </c>
      <c r="AI3485">
        <v>92.148202338928897</v>
      </c>
      <c r="AJ3485">
        <v>79.994096251006297</v>
      </c>
      <c r="AK3485">
        <v>29.596133889340098</v>
      </c>
      <c r="AL3485">
        <v>87.234193362754596</v>
      </c>
      <c r="AM3485">
        <v>83.9987083543203</v>
      </c>
      <c r="AN3485">
        <v>1.00000006525931</v>
      </c>
    </row>
    <row r="3486" spans="1:40" x14ac:dyDescent="0.25">
      <c r="A3486" t="str">
        <f>"20190312154904903"</f>
        <v>20190312154904903</v>
      </c>
      <c r="B3486" t="str">
        <f>"1552376944899754"</f>
        <v>1552376944899754</v>
      </c>
      <c r="C3486" t="s">
        <v>40</v>
      </c>
      <c r="D3486">
        <v>4.8783079999999996</v>
      </c>
      <c r="E3486">
        <v>0.52710310000000005</v>
      </c>
      <c r="F3486" t="s">
        <v>51</v>
      </c>
      <c r="G3486">
        <v>-302.59390000000002</v>
      </c>
      <c r="H3486" s="1">
        <v>2.1931429999999999E-6</v>
      </c>
      <c r="I3486">
        <v>210.74160000000001</v>
      </c>
      <c r="J3486">
        <v>-332.03820000000002</v>
      </c>
      <c r="K3486">
        <v>1.1094040000000001</v>
      </c>
      <c r="L3486">
        <v>215.8783</v>
      </c>
      <c r="M3486">
        <v>0.99988900000000003</v>
      </c>
      <c r="N3486">
        <v>0</v>
      </c>
      <c r="O3486">
        <v>2.537624E-3</v>
      </c>
      <c r="P3486">
        <v>0.99421780000000004</v>
      </c>
      <c r="Q3486">
        <v>3.4031190000000003E-2</v>
      </c>
      <c r="R3486">
        <v>-0.1018478</v>
      </c>
      <c r="S3486">
        <v>2.9689329999999998</v>
      </c>
      <c r="T3486">
        <v>-0.1105053</v>
      </c>
      <c r="U3486">
        <v>-0.51161190000000001</v>
      </c>
      <c r="V3486">
        <v>0.1044453</v>
      </c>
      <c r="W3486">
        <v>4.8461820000000003E-2</v>
      </c>
      <c r="X3486">
        <v>0.99334920000000004</v>
      </c>
      <c r="Y3486">
        <v>0.17220189999999999</v>
      </c>
      <c r="Z3486">
        <v>-3.2739470000000001E-3</v>
      </c>
      <c r="AA3486">
        <v>0.98505620000000005</v>
      </c>
      <c r="AB3486">
        <v>35</v>
      </c>
      <c r="AC3486">
        <v>29.444299999999998</v>
      </c>
      <c r="AD3486">
        <v>-1.109401806857</v>
      </c>
      <c r="AE3486">
        <v>-5.1366999999999896</v>
      </c>
      <c r="AF3486">
        <v>5.2042401883337499</v>
      </c>
      <c r="AG3486">
        <v>-1.109401806857</v>
      </c>
      <c r="AH3486">
        <v>29.390677200154901</v>
      </c>
      <c r="AI3486">
        <v>92.128619902398498</v>
      </c>
      <c r="AJ3486">
        <v>79.958654750315603</v>
      </c>
      <c r="AK3486">
        <v>29.868491669159202</v>
      </c>
      <c r="AL3486">
        <v>87.222254246442503</v>
      </c>
      <c r="AM3486">
        <v>83.997712795005</v>
      </c>
      <c r="AN3486">
        <v>1.0000000009152199</v>
      </c>
    </row>
    <row r="3487" spans="1:40" x14ac:dyDescent="0.25">
      <c r="A3487" t="str">
        <f>"20190312154904926"</f>
        <v>20190312154904926</v>
      </c>
      <c r="B3487" t="str">
        <f>"1552376944919274"</f>
        <v>1552376944919274</v>
      </c>
      <c r="C3487" t="s">
        <v>40</v>
      </c>
      <c r="D3487">
        <v>4.7157359999999997</v>
      </c>
      <c r="E3487">
        <v>0.52724179999999998</v>
      </c>
      <c r="F3487" t="s">
        <v>51</v>
      </c>
      <c r="G3487">
        <v>-302.74090000000001</v>
      </c>
      <c r="H3487" s="1">
        <v>2.167061E-6</v>
      </c>
      <c r="I3487">
        <v>210.81309999999999</v>
      </c>
      <c r="J3487">
        <v>-331.69299999999998</v>
      </c>
      <c r="K3487">
        <v>1.1094079999999999</v>
      </c>
      <c r="L3487">
        <v>215.8785</v>
      </c>
      <c r="M3487">
        <v>0.99989039999999996</v>
      </c>
      <c r="N3487">
        <v>0</v>
      </c>
      <c r="O3487">
        <v>1.90048E-3</v>
      </c>
      <c r="P3487">
        <v>0.99414009999999997</v>
      </c>
      <c r="Q3487">
        <v>3.4038880000000001E-2</v>
      </c>
      <c r="R3487">
        <v>-0.1026001</v>
      </c>
      <c r="S3487">
        <v>2.9687190000000001</v>
      </c>
      <c r="T3487">
        <v>-0.11241669999999999</v>
      </c>
      <c r="U3487">
        <v>-0.51325989999999999</v>
      </c>
      <c r="V3487">
        <v>0.104564</v>
      </c>
      <c r="W3487">
        <v>4.8465639999999997E-2</v>
      </c>
      <c r="X3487">
        <v>0.99333649999999996</v>
      </c>
      <c r="Y3487">
        <v>0.1721135</v>
      </c>
      <c r="Z3487">
        <v>-3.305012E-3</v>
      </c>
      <c r="AA3487">
        <v>0.98507160000000005</v>
      </c>
      <c r="AB3487">
        <v>35</v>
      </c>
      <c r="AC3487">
        <v>28.952100000000002</v>
      </c>
      <c r="AD3487">
        <v>-1.109405832939</v>
      </c>
      <c r="AE3487">
        <v>-5.0654000000000101</v>
      </c>
      <c r="AF3487">
        <v>5.1131349379170503</v>
      </c>
      <c r="AG3487">
        <v>-1.109405832939</v>
      </c>
      <c r="AH3487">
        <v>28.901244101492999</v>
      </c>
      <c r="AI3487">
        <v>92.164698252390295</v>
      </c>
      <c r="AJ3487">
        <v>79.967191041401705</v>
      </c>
      <c r="AK3487">
        <v>29.371020425065101</v>
      </c>
      <c r="AL3487">
        <v>87.222035047848294</v>
      </c>
      <c r="AM3487">
        <v>83.9908649338591</v>
      </c>
      <c r="AN3487">
        <v>0.99999997529442897</v>
      </c>
    </row>
    <row r="3488" spans="1:40" x14ac:dyDescent="0.25">
      <c r="A3488" t="str">
        <f>"20190312154904947"</f>
        <v>20190312154904947</v>
      </c>
      <c r="B3488" t="str">
        <f>"1552376944939771"</f>
        <v>1552376944939771</v>
      </c>
      <c r="C3488" t="s">
        <v>40</v>
      </c>
      <c r="D3488">
        <v>4.7027580000000002</v>
      </c>
      <c r="E3488">
        <v>0.52746879999999996</v>
      </c>
      <c r="F3488" t="s">
        <v>51</v>
      </c>
      <c r="G3488">
        <v>-303.22519999999997</v>
      </c>
      <c r="H3488" s="1">
        <v>2.0811669999999998E-6</v>
      </c>
      <c r="I3488">
        <v>210.92670000000001</v>
      </c>
      <c r="J3488">
        <v>-331.34840000000003</v>
      </c>
      <c r="K3488">
        <v>1.10941</v>
      </c>
      <c r="L3488">
        <v>215.8785</v>
      </c>
      <c r="M3488">
        <v>0.99989159999999999</v>
      </c>
      <c r="N3488">
        <v>0</v>
      </c>
      <c r="O3488">
        <v>1.2641729999999999E-3</v>
      </c>
      <c r="P3488">
        <v>0.99408050000000003</v>
      </c>
      <c r="Q3488">
        <v>3.36633E-2</v>
      </c>
      <c r="R3488">
        <v>-0.10330159999999999</v>
      </c>
      <c r="S3488">
        <v>2.968353</v>
      </c>
      <c r="T3488">
        <v>-0.1156783</v>
      </c>
      <c r="U3488">
        <v>-0.51632690000000003</v>
      </c>
      <c r="V3488">
        <v>0.104632</v>
      </c>
      <c r="W3488">
        <v>4.8086520000000001E-2</v>
      </c>
      <c r="X3488">
        <v>0.9933478</v>
      </c>
      <c r="Y3488">
        <v>0.17248810000000001</v>
      </c>
      <c r="Z3488">
        <v>-3.3835810000000001E-3</v>
      </c>
      <c r="AA3488">
        <v>0.98500580000000004</v>
      </c>
      <c r="AB3488">
        <v>35</v>
      </c>
      <c r="AC3488">
        <v>28.123200000000001</v>
      </c>
      <c r="AD3488">
        <v>-1.1094079188329999</v>
      </c>
      <c r="AE3488">
        <v>-4.9517999999999898</v>
      </c>
      <c r="AF3488">
        <v>4.9798360843433302</v>
      </c>
      <c r="AG3488">
        <v>-1.1094079188329999</v>
      </c>
      <c r="AH3488">
        <v>28.074542277679601</v>
      </c>
      <c r="AI3488">
        <v>92.228205765345805</v>
      </c>
      <c r="AJ3488">
        <v>79.941548162131994</v>
      </c>
      <c r="AK3488">
        <v>28.534356089782701</v>
      </c>
      <c r="AL3488">
        <v>87.243782477728004</v>
      </c>
      <c r="AM3488">
        <v>83.987053598942893</v>
      </c>
      <c r="AN3488">
        <v>1.0000000102972699</v>
      </c>
    </row>
    <row r="3489" spans="1:40" x14ac:dyDescent="0.25">
      <c r="A3489" t="str">
        <f>"20190312154904971"</f>
        <v>20190312154904971</v>
      </c>
      <c r="B3489" t="str">
        <f>"1552376944959292"</f>
        <v>1552376944959292</v>
      </c>
      <c r="C3489" t="s">
        <v>40</v>
      </c>
      <c r="D3489">
        <v>4.7138460000000002</v>
      </c>
      <c r="E3489">
        <v>0.52768169999999903</v>
      </c>
      <c r="F3489" t="s">
        <v>51</v>
      </c>
      <c r="G3489">
        <v>-303.84530000000001</v>
      </c>
      <c r="H3489" s="1">
        <v>1.971165E-6</v>
      </c>
      <c r="I3489">
        <v>211.0592</v>
      </c>
      <c r="J3489">
        <v>-330.98610000000002</v>
      </c>
      <c r="K3489">
        <v>1.109407</v>
      </c>
      <c r="L3489">
        <v>215.8783</v>
      </c>
      <c r="M3489">
        <v>0.99989240000000001</v>
      </c>
      <c r="N3489">
        <v>0</v>
      </c>
      <c r="O3489">
        <v>5.9484869999999995E-4</v>
      </c>
      <c r="P3489">
        <v>0.99405290000000002</v>
      </c>
      <c r="Q3489">
        <v>3.2958840000000003E-2</v>
      </c>
      <c r="R3489">
        <v>-0.1037927</v>
      </c>
      <c r="S3489">
        <v>2.9678650000000002</v>
      </c>
      <c r="T3489">
        <v>-0.1197164</v>
      </c>
      <c r="U3489">
        <v>-0.52005000000000001</v>
      </c>
      <c r="V3489">
        <v>0.10445649999999999</v>
      </c>
      <c r="W3489">
        <v>4.7379699999999997E-2</v>
      </c>
      <c r="X3489">
        <v>0.99340019999999996</v>
      </c>
      <c r="Y3489">
        <v>0.17304620000000001</v>
      </c>
      <c r="Z3489">
        <v>-3.486173E-3</v>
      </c>
      <c r="AA3489">
        <v>0.98490750000000005</v>
      </c>
      <c r="AB3489">
        <v>35</v>
      </c>
      <c r="AC3489">
        <v>27.140799999999999</v>
      </c>
      <c r="AD3489">
        <v>-1.1094050288349999</v>
      </c>
      <c r="AE3489">
        <v>-4.8190999999999899</v>
      </c>
      <c r="AF3489">
        <v>4.8274262149504601</v>
      </c>
      <c r="AG3489">
        <v>-1.1094050288349999</v>
      </c>
      <c r="AH3489">
        <v>27.094042046440499</v>
      </c>
      <c r="AI3489">
        <v>92.308434552429702</v>
      </c>
      <c r="AJ3489">
        <v>79.897453801124598</v>
      </c>
      <c r="AK3489">
        <v>27.543092378908401</v>
      </c>
      <c r="AL3489">
        <v>87.284326405264196</v>
      </c>
      <c r="AM3489">
        <v>83.9973797833633</v>
      </c>
      <c r="AN3489">
        <v>0.999999976862189</v>
      </c>
    </row>
    <row r="3490" spans="1:40" x14ac:dyDescent="0.25">
      <c r="A3490" t="str">
        <f>"20190312154904994"</f>
        <v>20190312154904994</v>
      </c>
      <c r="B3490" t="str">
        <f>"1552376944989546"</f>
        <v>1552376944989546</v>
      </c>
      <c r="C3490" t="s">
        <v>40</v>
      </c>
      <c r="D3490">
        <v>4.6992859999999999</v>
      </c>
      <c r="E3490">
        <v>0.52797859999999996</v>
      </c>
      <c r="F3490" t="s">
        <v>51</v>
      </c>
      <c r="G3490">
        <v>-304.42700000000002</v>
      </c>
      <c r="H3490" s="1">
        <v>1.867988E-6</v>
      </c>
      <c r="I3490">
        <v>211.19479999999999</v>
      </c>
      <c r="J3490">
        <v>-330.62849999999997</v>
      </c>
      <c r="K3490">
        <v>1.1094079999999999</v>
      </c>
      <c r="L3490">
        <v>215.87780000000001</v>
      </c>
      <c r="M3490">
        <v>0.99989240000000001</v>
      </c>
      <c r="N3490">
        <v>0</v>
      </c>
      <c r="O3490" s="1">
        <v>-6.5894430000000006E-5</v>
      </c>
      <c r="P3490">
        <v>0.99402020000000002</v>
      </c>
      <c r="Q3490">
        <v>3.2500399999999999E-2</v>
      </c>
      <c r="R3490">
        <v>-0.1042476</v>
      </c>
      <c r="S3490">
        <v>2.9674680000000002</v>
      </c>
      <c r="T3490">
        <v>-0.1239547</v>
      </c>
      <c r="U3490">
        <v>-0.52328490000000005</v>
      </c>
      <c r="V3490">
        <v>0.1042537</v>
      </c>
      <c r="W3490">
        <v>4.691911E-2</v>
      </c>
      <c r="X3490">
        <v>0.99344339999999998</v>
      </c>
      <c r="Y3490">
        <v>0.17344960000000001</v>
      </c>
      <c r="Z3490">
        <v>-3.5906029999999999E-3</v>
      </c>
      <c r="AA3490">
        <v>0.98483620000000005</v>
      </c>
      <c r="AB3490">
        <v>35</v>
      </c>
      <c r="AC3490">
        <v>26.2014999999999</v>
      </c>
      <c r="AD3490">
        <v>-1.1094061320119999</v>
      </c>
      <c r="AE3490">
        <v>-4.6830000000000203</v>
      </c>
      <c r="AF3490">
        <v>4.6731546433728299</v>
      </c>
      <c r="AG3490">
        <v>-1.1094061320119999</v>
      </c>
      <c r="AH3490">
        <v>26.156367348102201</v>
      </c>
      <c r="AI3490">
        <v>92.390895138873304</v>
      </c>
      <c r="AJ3490">
        <v>79.870287241192798</v>
      </c>
      <c r="AK3490">
        <v>26.593696793328402</v>
      </c>
      <c r="AL3490">
        <v>87.310745748459198</v>
      </c>
      <c r="AM3490">
        <v>84.009207523600793</v>
      </c>
      <c r="AN3490">
        <v>1.00000001292522</v>
      </c>
    </row>
    <row r="3491" spans="1:40" x14ac:dyDescent="0.25">
      <c r="A3491" t="str">
        <f>"20190312154905015"</f>
        <v>20190312154905015</v>
      </c>
      <c r="B3491" t="str">
        <f>"1552376945009067"</f>
        <v>1552376945009067</v>
      </c>
      <c r="C3491" t="s">
        <v>40</v>
      </c>
      <c r="D3491">
        <v>4.8322339999999997</v>
      </c>
      <c r="E3491">
        <v>0.52797190000000005</v>
      </c>
      <c r="F3491" t="s">
        <v>51</v>
      </c>
      <c r="G3491">
        <v>-304.84089999999998</v>
      </c>
      <c r="H3491" s="1">
        <v>1.7945670000000001E-6</v>
      </c>
      <c r="I3491">
        <v>211.29900000000001</v>
      </c>
      <c r="J3491">
        <v>-330.28989999999999</v>
      </c>
      <c r="K3491">
        <v>1.1094079999999999</v>
      </c>
      <c r="L3491">
        <v>215.87710000000001</v>
      </c>
      <c r="M3491">
        <v>0.99989240000000001</v>
      </c>
      <c r="N3491">
        <v>0</v>
      </c>
      <c r="O3491">
        <v>-6.9177170000000001E-4</v>
      </c>
      <c r="P3491">
        <v>0.99400569999999999</v>
      </c>
      <c r="Q3491">
        <v>3.2392799999999999E-2</v>
      </c>
      <c r="R3491">
        <v>-0.1044204</v>
      </c>
      <c r="S3491">
        <v>2.96698</v>
      </c>
      <c r="T3491">
        <v>-0.12764229999999999</v>
      </c>
      <c r="U3491">
        <v>-0.52680969999999905</v>
      </c>
      <c r="V3491">
        <v>0.1038039</v>
      </c>
      <c r="W3491">
        <v>4.6809080000000003E-2</v>
      </c>
      <c r="X3491">
        <v>0.99349569999999998</v>
      </c>
      <c r="Y3491">
        <v>0.17398659999999999</v>
      </c>
      <c r="Z3491">
        <v>-3.6822949999999999E-3</v>
      </c>
      <c r="AA3491">
        <v>0.98474119999999998</v>
      </c>
      <c r="AB3491">
        <v>35</v>
      </c>
      <c r="AC3491">
        <v>25.449000000000002</v>
      </c>
      <c r="AD3491">
        <v>-1.1094062054330001</v>
      </c>
      <c r="AE3491">
        <v>-4.5781000000000001</v>
      </c>
      <c r="AF3491">
        <v>4.5521125618404703</v>
      </c>
      <c r="AG3491">
        <v>-1.1094062054330001</v>
      </c>
      <c r="AH3491">
        <v>25.405394856699999</v>
      </c>
      <c r="AI3491">
        <v>92.461263203927004</v>
      </c>
      <c r="AJ3491">
        <v>79.841597859648104</v>
      </c>
      <c r="AK3491">
        <v>25.833826637359699</v>
      </c>
      <c r="AL3491">
        <v>87.317056963701305</v>
      </c>
      <c r="AM3491">
        <v>84.035179635432399</v>
      </c>
      <c r="AN3491">
        <v>1.00000002277207</v>
      </c>
    </row>
    <row r="3492" spans="1:40" x14ac:dyDescent="0.25">
      <c r="A3492" t="str">
        <f>"20190312154905037"</f>
        <v>20190312154905037</v>
      </c>
      <c r="B3492" t="str">
        <f>"1552376945029562"</f>
        <v>1552376945029562</v>
      </c>
      <c r="C3492" t="s">
        <v>40</v>
      </c>
      <c r="D3492">
        <v>4.80532</v>
      </c>
      <c r="E3492">
        <v>0.49794660000000002</v>
      </c>
      <c r="F3492" t="s">
        <v>51</v>
      </c>
      <c r="G3492">
        <v>-304.5326</v>
      </c>
      <c r="H3492" s="1">
        <v>1.8492490000000001E-6</v>
      </c>
      <c r="I3492">
        <v>211.29859999999999</v>
      </c>
      <c r="J3492">
        <v>-329.94569999999999</v>
      </c>
      <c r="K3492">
        <v>1.1093959999999901</v>
      </c>
      <c r="L3492">
        <v>215.87620000000001</v>
      </c>
      <c r="M3492">
        <v>0.9998918</v>
      </c>
      <c r="N3492">
        <v>0</v>
      </c>
      <c r="O3492">
        <v>-1.3282560000000001E-3</v>
      </c>
      <c r="P3492">
        <v>0.99404890000000001</v>
      </c>
      <c r="Q3492">
        <v>3.2060119999999998E-2</v>
      </c>
      <c r="R3492">
        <v>-0.10410999999999999</v>
      </c>
      <c r="S3492">
        <v>2.9668580000000002</v>
      </c>
      <c r="T3492">
        <v>-0.12778689999999901</v>
      </c>
      <c r="U3492">
        <v>-0.52737429999999996</v>
      </c>
      <c r="V3492">
        <v>0.1028601</v>
      </c>
      <c r="W3492">
        <v>4.6476129999999997E-2</v>
      </c>
      <c r="X3492">
        <v>0.99360950000000003</v>
      </c>
      <c r="Y3492">
        <v>0.17354890000000001</v>
      </c>
      <c r="Z3492">
        <v>-3.6500130000000001E-3</v>
      </c>
      <c r="AA3492">
        <v>0.98481850000000004</v>
      </c>
      <c r="AB3492">
        <v>35</v>
      </c>
      <c r="AC3492">
        <v>25.413099999999901</v>
      </c>
      <c r="AD3492">
        <v>-1.1093941507509999</v>
      </c>
      <c r="AE3492">
        <v>-4.5776000000000101</v>
      </c>
      <c r="AF3492">
        <v>4.5354655867015996</v>
      </c>
      <c r="AG3492">
        <v>-1.1093941507509999</v>
      </c>
      <c r="AH3492">
        <v>25.372325731776002</v>
      </c>
      <c r="AI3492">
        <v>92.464620781203095</v>
      </c>
      <c r="AJ3492">
        <v>79.865058142284596</v>
      </c>
      <c r="AK3492">
        <v>25.798374299734899</v>
      </c>
      <c r="AL3492">
        <v>87.336154409671195</v>
      </c>
      <c r="AM3492">
        <v>84.089699111071695</v>
      </c>
      <c r="AN3492">
        <v>1.0000000346610101</v>
      </c>
    </row>
    <row r="3493" spans="1:40" x14ac:dyDescent="0.25">
      <c r="A3493" t="str">
        <f>"20190312154905058"</f>
        <v>20190312154905058</v>
      </c>
      <c r="B3493" t="str">
        <f>"1552376945049082"</f>
        <v>1552376945049082</v>
      </c>
      <c r="C3493" t="s">
        <v>40</v>
      </c>
      <c r="D3493">
        <v>4.88246</v>
      </c>
      <c r="E3493">
        <v>0.49335180000000001</v>
      </c>
      <c r="F3493" t="s">
        <v>51</v>
      </c>
      <c r="G3493">
        <v>-299.26420000000002</v>
      </c>
      <c r="H3493" s="1">
        <v>2.5377249999999999E-6</v>
      </c>
      <c r="I3493">
        <v>212.91499999999999</v>
      </c>
      <c r="J3493">
        <v>-329.62630000000001</v>
      </c>
      <c r="K3493">
        <v>1.1093999999999999</v>
      </c>
      <c r="L3493">
        <v>215.87520000000001</v>
      </c>
      <c r="M3493">
        <v>0.99989090000000003</v>
      </c>
      <c r="N3493">
        <v>0</v>
      </c>
      <c r="O3493">
        <v>-1.9190889999999999E-3</v>
      </c>
      <c r="P3493">
        <v>0.99412699999999998</v>
      </c>
      <c r="Q3493">
        <v>3.1129690000000002E-2</v>
      </c>
      <c r="R3493">
        <v>-0.1036475</v>
      </c>
      <c r="S3493">
        <v>2.991241</v>
      </c>
      <c r="T3493">
        <v>-0.1081583</v>
      </c>
      <c r="U3493">
        <v>-0.28869630000000002</v>
      </c>
      <c r="V3493">
        <v>0.10180839999999999</v>
      </c>
      <c r="W3493">
        <v>4.5546330000000003E-2</v>
      </c>
      <c r="X3493">
        <v>0.9937608</v>
      </c>
      <c r="Y3493">
        <v>9.4097200000000006E-2</v>
      </c>
      <c r="Z3493">
        <v>-1.6274919999999999E-3</v>
      </c>
      <c r="AA3493">
        <v>0.99556169999999999</v>
      </c>
      <c r="AB3493">
        <v>35</v>
      </c>
      <c r="AC3493">
        <v>30.362100000000002</v>
      </c>
      <c r="AD3493">
        <v>-1.109397462275</v>
      </c>
      <c r="AE3493">
        <v>-2.9602000000000102</v>
      </c>
      <c r="AF3493">
        <v>2.8980879481915598</v>
      </c>
      <c r="AG3493">
        <v>-1.109397462275</v>
      </c>
      <c r="AH3493">
        <v>30.327616717468</v>
      </c>
      <c r="AI3493">
        <v>92.085478732997501</v>
      </c>
      <c r="AJ3493">
        <v>84.541426295186099</v>
      </c>
      <c r="AK3493">
        <v>30.485964184299601</v>
      </c>
      <c r="AL3493">
        <v>87.389484345307807</v>
      </c>
      <c r="AM3493">
        <v>84.150592620518694</v>
      </c>
      <c r="AN3493">
        <v>0.99999997305183397</v>
      </c>
    </row>
    <row r="3494" spans="1:40" x14ac:dyDescent="0.25">
      <c r="A3494" t="str">
        <f>"20190312154905082"</f>
        <v>20190312154905082</v>
      </c>
      <c r="B3494" t="str">
        <f>"1552376945069579"</f>
        <v>1552376945069579</v>
      </c>
      <c r="C3494" t="s">
        <v>40</v>
      </c>
      <c r="D3494">
        <v>4.8850449999999999</v>
      </c>
      <c r="E3494">
        <v>0.49191479999999999</v>
      </c>
      <c r="F3494" t="s">
        <v>51</v>
      </c>
      <c r="G3494">
        <v>-299.0471</v>
      </c>
      <c r="H3494" s="1">
        <v>2.4992120000000001E-6</v>
      </c>
      <c r="I3494">
        <v>213.31549999999999</v>
      </c>
      <c r="J3494">
        <v>-329.26159999999999</v>
      </c>
      <c r="K3494">
        <v>1.1093980000000001</v>
      </c>
      <c r="L3494">
        <v>215.87379999999999</v>
      </c>
      <c r="M3494">
        <v>0.99988949999999999</v>
      </c>
      <c r="N3494">
        <v>0</v>
      </c>
      <c r="O3494">
        <v>-2.5938329999999998E-3</v>
      </c>
      <c r="P3494">
        <v>0.99417420000000001</v>
      </c>
      <c r="Q3494">
        <v>3.0727919999999999E-2</v>
      </c>
      <c r="R3494">
        <v>-0.1033147</v>
      </c>
      <c r="S3494">
        <v>2.9949650000000001</v>
      </c>
      <c r="T3494">
        <v>-0.1086556</v>
      </c>
      <c r="U3494">
        <v>-0.25070189999999998</v>
      </c>
      <c r="V3494">
        <v>0.1008034</v>
      </c>
      <c r="W3494">
        <v>4.5143349999999999E-2</v>
      </c>
      <c r="X3494">
        <v>0.99388160000000003</v>
      </c>
      <c r="Y3494">
        <v>8.0779630000000005E-2</v>
      </c>
      <c r="Z3494">
        <v>-1.3683670000000001E-3</v>
      </c>
      <c r="AA3494">
        <v>0.99673100000000003</v>
      </c>
      <c r="AB3494">
        <v>35</v>
      </c>
      <c r="AC3494">
        <v>30.214499999999902</v>
      </c>
      <c r="AD3494">
        <v>-1.1093955007880001</v>
      </c>
      <c r="AE3494">
        <v>-2.5583</v>
      </c>
      <c r="AF3494">
        <v>2.4765965416644198</v>
      </c>
      <c r="AG3494">
        <v>-1.1093955007880001</v>
      </c>
      <c r="AH3494">
        <v>30.180636101651999</v>
      </c>
      <c r="AI3494">
        <v>92.098114364209906</v>
      </c>
      <c r="AJ3494">
        <v>85.3088692737754</v>
      </c>
      <c r="AK3494">
        <v>30.302394035912201</v>
      </c>
      <c r="AL3494">
        <v>87.412597090742807</v>
      </c>
      <c r="AM3494">
        <v>84.208639632133099</v>
      </c>
      <c r="AN3494">
        <v>0.99999994115966895</v>
      </c>
    </row>
    <row r="3495" spans="1:40" x14ac:dyDescent="0.25">
      <c r="A3495" t="str">
        <f>"20190312154905104"</f>
        <v>20190312154905104</v>
      </c>
      <c r="B3495" t="str">
        <f>"1552376945098858"</f>
        <v>1552376945098858</v>
      </c>
      <c r="C3495" t="s">
        <v>40</v>
      </c>
      <c r="D3495">
        <v>4.8574229999999998</v>
      </c>
      <c r="E3495">
        <v>0.4910156</v>
      </c>
      <c r="F3495" t="s">
        <v>51</v>
      </c>
      <c r="G3495">
        <v>-299.50850000000003</v>
      </c>
      <c r="H3495" s="1">
        <v>2.58105E-6</v>
      </c>
      <c r="I3495">
        <v>213.5061</v>
      </c>
      <c r="J3495">
        <v>-328.91489999999999</v>
      </c>
      <c r="K3495">
        <v>1.109402</v>
      </c>
      <c r="L3495">
        <v>215.8723</v>
      </c>
      <c r="M3495">
        <v>0.99988750000000004</v>
      </c>
      <c r="N3495">
        <v>0</v>
      </c>
      <c r="O3495">
        <v>-3.2354419999999998E-3</v>
      </c>
      <c r="P3495">
        <v>0.99415379999999998</v>
      </c>
      <c r="Q3495">
        <v>2.9968359999999999E-2</v>
      </c>
      <c r="R3495">
        <v>-0.10373159999999999</v>
      </c>
      <c r="S3495">
        <v>2.9962770000000001</v>
      </c>
      <c r="T3495">
        <v>-0.111721</v>
      </c>
      <c r="U3495">
        <v>-0.2384338</v>
      </c>
      <c r="V3495">
        <v>0.1005812</v>
      </c>
      <c r="W3495">
        <v>4.438164E-2</v>
      </c>
      <c r="X3495">
        <v>0.99393849999999995</v>
      </c>
      <c r="Y3495">
        <v>7.6049660000000005E-2</v>
      </c>
      <c r="Z3495">
        <v>-1.2946749999999999E-3</v>
      </c>
      <c r="AA3495">
        <v>0.99710319999999997</v>
      </c>
      <c r="AB3495">
        <v>35</v>
      </c>
      <c r="AC3495">
        <v>29.406399999999898</v>
      </c>
      <c r="AD3495">
        <v>-1.10939941895</v>
      </c>
      <c r="AE3495">
        <v>-2.3661999999999899</v>
      </c>
      <c r="AF3495">
        <v>2.2678277014420698</v>
      </c>
      <c r="AG3495">
        <v>-1.10939941895</v>
      </c>
      <c r="AH3495">
        <v>29.372366236664998</v>
      </c>
      <c r="AI3495">
        <v>92.156630891468595</v>
      </c>
      <c r="AJ3495">
        <v>85.584976843836998</v>
      </c>
      <c r="AK3495">
        <v>29.4806666799611</v>
      </c>
      <c r="AL3495">
        <v>87.456283864330004</v>
      </c>
      <c r="AM3495">
        <v>84.221647558600196</v>
      </c>
      <c r="AN3495">
        <v>1.0000000247723799</v>
      </c>
    </row>
    <row r="3496" spans="1:40" x14ac:dyDescent="0.25">
      <c r="A3496" t="str">
        <f>"20190312154905127"</f>
        <v>20190312154905127</v>
      </c>
      <c r="B3496" t="str">
        <f>"1552376945119358"</f>
        <v>1552376945119358</v>
      </c>
      <c r="C3496" t="s">
        <v>40</v>
      </c>
      <c r="D3496">
        <v>4.8830080000000002</v>
      </c>
      <c r="E3496">
        <v>0.49076779999999998</v>
      </c>
      <c r="F3496" t="s">
        <v>51</v>
      </c>
      <c r="G3496">
        <v>-300.1121</v>
      </c>
      <c r="H3496" s="1">
        <v>2.6333810000000002E-6</v>
      </c>
      <c r="I3496">
        <v>213.63800000000001</v>
      </c>
      <c r="J3496">
        <v>-328.56849999999997</v>
      </c>
      <c r="K3496">
        <v>1.1094010000000001</v>
      </c>
      <c r="L3496">
        <v>215.87049999999999</v>
      </c>
      <c r="M3496">
        <v>0.99988540000000004</v>
      </c>
      <c r="N3496">
        <v>0</v>
      </c>
      <c r="O3496">
        <v>-3.8768100000000001E-3</v>
      </c>
      <c r="P3496">
        <v>0.99414179999999996</v>
      </c>
      <c r="Q3496">
        <v>3.0441159999999998E-2</v>
      </c>
      <c r="R3496">
        <v>-0.1037091</v>
      </c>
      <c r="S3496">
        <v>2.9968870000000001</v>
      </c>
      <c r="T3496">
        <v>-0.1154313</v>
      </c>
      <c r="U3496">
        <v>-0.2324677</v>
      </c>
      <c r="V3496">
        <v>9.9921490000000002E-2</v>
      </c>
      <c r="W3496">
        <v>4.4852290000000003E-2</v>
      </c>
      <c r="X3496">
        <v>0.99398390000000003</v>
      </c>
      <c r="Y3496">
        <v>7.3419940000000003E-2</v>
      </c>
      <c r="Z3496">
        <v>-1.262265E-3</v>
      </c>
      <c r="AA3496">
        <v>0.99730030000000003</v>
      </c>
      <c r="AB3496">
        <v>35</v>
      </c>
      <c r="AC3496">
        <v>28.456399999999899</v>
      </c>
      <c r="AD3496">
        <v>-1.1093983666189999</v>
      </c>
      <c r="AE3496">
        <v>-2.2324999999999799</v>
      </c>
      <c r="AF3496">
        <v>2.1189504562005101</v>
      </c>
      <c r="AG3496">
        <v>-1.1093983666189999</v>
      </c>
      <c r="AH3496">
        <v>28.421907801542499</v>
      </c>
      <c r="AI3496">
        <v>92.229123447613603</v>
      </c>
      <c r="AJ3496">
        <v>85.736291490075999</v>
      </c>
      <c r="AK3496">
        <v>28.5223694466479</v>
      </c>
      <c r="AL3496">
        <v>87.429290694598606</v>
      </c>
      <c r="AM3496">
        <v>84.259554138841196</v>
      </c>
      <c r="AN3496">
        <v>1.0000000127706301</v>
      </c>
    </row>
    <row r="3497" spans="1:40" x14ac:dyDescent="0.25">
      <c r="A3497" t="str">
        <f>"20190312154905148"</f>
        <v>20190312154905148</v>
      </c>
      <c r="B3497" t="str">
        <f>"1552376945139850"</f>
        <v>1552376945139850</v>
      </c>
      <c r="C3497" t="s">
        <v>40</v>
      </c>
      <c r="D3497">
        <v>4.8901240000000001</v>
      </c>
      <c r="E3497">
        <v>0.4905853</v>
      </c>
      <c r="F3497" t="s">
        <v>51</v>
      </c>
      <c r="G3497">
        <v>-299.64409999999998</v>
      </c>
      <c r="H3497" s="1">
        <v>2.6051139999999998E-6</v>
      </c>
      <c r="I3497">
        <v>213.65010000000001</v>
      </c>
      <c r="J3497">
        <v>-328.23770000000002</v>
      </c>
      <c r="K3497">
        <v>1.1093980000000001</v>
      </c>
      <c r="L3497">
        <v>215.86859999999999</v>
      </c>
      <c r="M3497">
        <v>0.99988290000000002</v>
      </c>
      <c r="N3497">
        <v>0</v>
      </c>
      <c r="O3497">
        <v>-4.4892209999999998E-3</v>
      </c>
      <c r="P3497">
        <v>0.9941738</v>
      </c>
      <c r="Q3497">
        <v>2.9544089999999999E-2</v>
      </c>
      <c r="R3497">
        <v>-0.1036613</v>
      </c>
      <c r="S3497">
        <v>2.9971619999999999</v>
      </c>
      <c r="T3497">
        <v>-0.1149563</v>
      </c>
      <c r="U3497">
        <v>-0.230072</v>
      </c>
      <c r="V3497">
        <v>9.9262799999999998E-2</v>
      </c>
      <c r="W3497">
        <v>4.3954340000000001E-2</v>
      </c>
      <c r="X3497">
        <v>0.99409000000000003</v>
      </c>
      <c r="Y3497">
        <v>7.2011480000000003E-2</v>
      </c>
      <c r="Z3497">
        <v>-1.2065890000000001E-3</v>
      </c>
      <c r="AA3497">
        <v>0.99740309999999999</v>
      </c>
      <c r="AB3497">
        <v>35</v>
      </c>
      <c r="AC3497">
        <v>28.593599999999999</v>
      </c>
      <c r="AD3497">
        <v>-1.10939539488599</v>
      </c>
      <c r="AE3497">
        <v>-2.2184999999999699</v>
      </c>
      <c r="AF3497">
        <v>2.0869780954052999</v>
      </c>
      <c r="AG3497">
        <v>-1.10939539488599</v>
      </c>
      <c r="AH3497">
        <v>28.560536115909901</v>
      </c>
      <c r="AI3497">
        <v>92.2185495449787</v>
      </c>
      <c r="AJ3497">
        <v>85.820705510985704</v>
      </c>
      <c r="AK3497">
        <v>28.658165659041899</v>
      </c>
      <c r="AL3497">
        <v>87.480790223024201</v>
      </c>
      <c r="AM3497">
        <v>84.297749997041507</v>
      </c>
      <c r="AN3497">
        <v>1.0000000077843301</v>
      </c>
    </row>
    <row r="3498" spans="1:40" x14ac:dyDescent="0.25">
      <c r="A3498" t="str">
        <f>"20190312154905171"</f>
        <v>20190312154905171</v>
      </c>
      <c r="B3498" t="str">
        <f>"1552376945159373"</f>
        <v>1552376945159373</v>
      </c>
      <c r="C3498" t="s">
        <v>40</v>
      </c>
      <c r="D3498">
        <v>4.9186779999999999</v>
      </c>
      <c r="E3498">
        <v>0.49035200000000001</v>
      </c>
      <c r="F3498" t="s">
        <v>51</v>
      </c>
      <c r="G3498">
        <v>-300.34949999999998</v>
      </c>
      <c r="H3498" s="1">
        <v>2.591268E-6</v>
      </c>
      <c r="I3498">
        <v>213.74160000000001</v>
      </c>
      <c r="J3498">
        <v>-327.88170000000002</v>
      </c>
      <c r="K3498">
        <v>1.109402</v>
      </c>
      <c r="L3498">
        <v>215.8663</v>
      </c>
      <c r="M3498">
        <v>0.99987969999999904</v>
      </c>
      <c r="N3498">
        <v>0</v>
      </c>
      <c r="O3498">
        <v>-5.1483589999999999E-3</v>
      </c>
      <c r="P3498">
        <v>0.9941487</v>
      </c>
      <c r="Q3498">
        <v>2.9828650000000002E-2</v>
      </c>
      <c r="R3498">
        <v>-0.1038208</v>
      </c>
      <c r="S3498">
        <v>2.9972840000000001</v>
      </c>
      <c r="T3498">
        <v>-0.119232199999999</v>
      </c>
      <c r="U3498">
        <v>-0.22859189999999999</v>
      </c>
      <c r="V3498">
        <v>9.8766930000000003E-2</v>
      </c>
      <c r="W3498">
        <v>4.4236829999999998E-2</v>
      </c>
      <c r="X3498">
        <v>0.99412690000000004</v>
      </c>
      <c r="Y3498">
        <v>7.0858840000000006E-2</v>
      </c>
      <c r="Z3498">
        <v>-1.2023520000000001E-3</v>
      </c>
      <c r="AA3498">
        <v>0.99748559999999997</v>
      </c>
      <c r="AB3498">
        <v>35</v>
      </c>
      <c r="AC3498">
        <v>27.5322</v>
      </c>
      <c r="AD3498">
        <v>-1.109399408732</v>
      </c>
      <c r="AE3498">
        <v>-2.12469999999999</v>
      </c>
      <c r="AF3498">
        <v>1.9797156634279001</v>
      </c>
      <c r="AG3498">
        <v>-1.109399408732</v>
      </c>
      <c r="AH3498">
        <v>27.498391324979899</v>
      </c>
      <c r="AI3498">
        <v>92.304339339883001</v>
      </c>
      <c r="AJ3498">
        <v>85.882159597732098</v>
      </c>
      <c r="AK3498">
        <v>27.5918750109131</v>
      </c>
      <c r="AL3498">
        <v>87.4645890828251</v>
      </c>
      <c r="AM3498">
        <v>84.326258640456402</v>
      </c>
      <c r="AN3498">
        <v>1.0000000484468401</v>
      </c>
    </row>
    <row r="3499" spans="1:40" x14ac:dyDescent="0.25">
      <c r="A3499" t="str">
        <f>"20190312154905195"</f>
        <v>20190312154905195</v>
      </c>
      <c r="B3499" t="str">
        <f>"1552376945189445"</f>
        <v>1552376945189445</v>
      </c>
      <c r="C3499" t="s">
        <v>40</v>
      </c>
      <c r="D3499">
        <v>4.9449909999999999</v>
      </c>
      <c r="E3499">
        <v>0.49010609999999999</v>
      </c>
      <c r="F3499" t="s">
        <v>51</v>
      </c>
      <c r="G3499">
        <v>-299.79570000000001</v>
      </c>
      <c r="H3499" s="1">
        <v>2.6319939999999998E-6</v>
      </c>
      <c r="I3499">
        <v>213.73570000000001</v>
      </c>
      <c r="J3499">
        <v>-327.5129</v>
      </c>
      <c r="K3499">
        <v>1.1094040000000001</v>
      </c>
      <c r="L3499">
        <v>215.86359999999999</v>
      </c>
      <c r="M3499">
        <v>0.99987610000000005</v>
      </c>
      <c r="N3499">
        <v>0</v>
      </c>
      <c r="O3499">
        <v>-5.8316890000000001E-3</v>
      </c>
      <c r="P3499">
        <v>0.99406289999999997</v>
      </c>
      <c r="Q3499">
        <v>3.1132799999999999E-2</v>
      </c>
      <c r="R3499">
        <v>-0.10426100000000001</v>
      </c>
      <c r="S3499">
        <v>2.9974669999999999</v>
      </c>
      <c r="T3499">
        <v>-0.1183997</v>
      </c>
      <c r="U3499">
        <v>-0.22738649999999999</v>
      </c>
      <c r="V3499">
        <v>9.8529439999999996E-2</v>
      </c>
      <c r="W3499">
        <v>4.5536800000000002E-2</v>
      </c>
      <c r="X3499">
        <v>0.99409170000000002</v>
      </c>
      <c r="Y3499">
        <v>6.9775749999999997E-2</v>
      </c>
      <c r="Z3499">
        <v>-1.145615E-3</v>
      </c>
      <c r="AA3499">
        <v>0.99756210000000001</v>
      </c>
      <c r="AB3499">
        <v>34</v>
      </c>
      <c r="AC3499">
        <v>27.717199999999899</v>
      </c>
      <c r="AD3499">
        <v>-1.109401368006</v>
      </c>
      <c r="AE3499">
        <v>-2.1278999999999799</v>
      </c>
      <c r="AF3499">
        <v>1.96308189151238</v>
      </c>
      <c r="AG3499">
        <v>-1.109401368006</v>
      </c>
      <c r="AH3499">
        <v>27.685045947785401</v>
      </c>
      <c r="AI3499">
        <v>92.289000484157796</v>
      </c>
      <c r="AJ3499">
        <v>85.944078703702601</v>
      </c>
      <c r="AK3499">
        <v>27.776721027491799</v>
      </c>
      <c r="AL3499">
        <v>87.390030957687003</v>
      </c>
      <c r="AM3499">
        <v>84.339613617933594</v>
      </c>
      <c r="AN3499">
        <v>0.99999997935492102</v>
      </c>
    </row>
    <row r="3500" spans="1:40" x14ac:dyDescent="0.25">
      <c r="A3500" t="str">
        <f>"20190312154905215"</f>
        <v>20190312154905215</v>
      </c>
      <c r="B3500" t="str">
        <f>"1552376945208965"</f>
        <v>1552376945208965</v>
      </c>
      <c r="C3500" t="s">
        <v>40</v>
      </c>
      <c r="D3500">
        <v>4.8511309999999996</v>
      </c>
      <c r="E3500">
        <v>0.49039070000000001</v>
      </c>
      <c r="F3500" t="s">
        <v>51</v>
      </c>
      <c r="G3500">
        <v>-298.68549999999999</v>
      </c>
      <c r="H3500" s="1">
        <v>2.4350820000000001E-6</v>
      </c>
      <c r="I3500">
        <v>213.6824</v>
      </c>
      <c r="J3500">
        <v>-327.19170000000003</v>
      </c>
      <c r="K3500">
        <v>1.1094189999999999</v>
      </c>
      <c r="L3500">
        <v>215.8612</v>
      </c>
      <c r="M3500">
        <v>0.99987239999999999</v>
      </c>
      <c r="N3500">
        <v>0</v>
      </c>
      <c r="O3500">
        <v>-6.4268160000000001E-3</v>
      </c>
      <c r="P3500">
        <v>0.99408399999999997</v>
      </c>
      <c r="Q3500">
        <v>3.2502699999999898E-2</v>
      </c>
      <c r="R3500">
        <v>-0.1036388</v>
      </c>
      <c r="S3500">
        <v>2.9977420000000001</v>
      </c>
      <c r="T3500">
        <v>-0.1153662</v>
      </c>
      <c r="U3500">
        <v>-0.22682189999999999</v>
      </c>
      <c r="V3500">
        <v>9.7316890000000003E-2</v>
      </c>
      <c r="W3500">
        <v>4.6906249999999997E-2</v>
      </c>
      <c r="X3500">
        <v>0.99414749999999996</v>
      </c>
      <c r="Y3500">
        <v>6.8991810000000001E-2</v>
      </c>
      <c r="Z3500">
        <v>-1.0782719999999999E-3</v>
      </c>
      <c r="AA3500">
        <v>0.99761659999999996</v>
      </c>
      <c r="AB3500">
        <v>34</v>
      </c>
      <c r="AC3500">
        <v>28.5062</v>
      </c>
      <c r="AD3500">
        <v>-1.1094165649179999</v>
      </c>
      <c r="AE3500">
        <v>-2.1787999999999901</v>
      </c>
      <c r="AF3500">
        <v>1.9925308491680001</v>
      </c>
      <c r="AG3500">
        <v>-1.1094165649179999</v>
      </c>
      <c r="AH3500">
        <v>28.4767337933364</v>
      </c>
      <c r="AI3500">
        <v>92.225604880575801</v>
      </c>
      <c r="AJ3500">
        <v>85.9975099529631</v>
      </c>
      <c r="AK3500">
        <v>28.567907725907201</v>
      </c>
      <c r="AL3500">
        <v>87.311483383339194</v>
      </c>
      <c r="AM3500">
        <v>84.409140741193198</v>
      </c>
      <c r="AN3500">
        <v>1.0000000125622901</v>
      </c>
    </row>
    <row r="3501" spans="1:40" x14ac:dyDescent="0.25">
      <c r="A3501" t="str">
        <f>"20190312154905238"</f>
        <v>20190312154905238</v>
      </c>
      <c r="B3501" t="str">
        <f>"1552376945229466"</f>
        <v>1552376945229466</v>
      </c>
      <c r="C3501" t="s">
        <v>40</v>
      </c>
      <c r="D3501">
        <v>4.9295920000000004</v>
      </c>
      <c r="E3501">
        <v>0.49050549999999998</v>
      </c>
      <c r="F3501" t="s">
        <v>51</v>
      </c>
      <c r="G3501">
        <v>-296.3562</v>
      </c>
      <c r="H3501" s="1">
        <v>2.0218950000000001E-6</v>
      </c>
      <c r="I3501">
        <v>213.52539999999999</v>
      </c>
      <c r="J3501">
        <v>-326.8562</v>
      </c>
      <c r="K3501">
        <v>1.1094250000000001</v>
      </c>
      <c r="L3501">
        <v>215.85839999999999</v>
      </c>
      <c r="M3501">
        <v>0.99986819999999998</v>
      </c>
      <c r="N3501">
        <v>0</v>
      </c>
      <c r="O3501">
        <v>-7.0487589999999999E-3</v>
      </c>
      <c r="P3501">
        <v>0.99413479999999999</v>
      </c>
      <c r="Q3501">
        <v>3.313029E-2</v>
      </c>
      <c r="R3501">
        <v>-0.1029468</v>
      </c>
      <c r="S3501">
        <v>2.9977109999999998</v>
      </c>
      <c r="T3501">
        <v>-0.1078533</v>
      </c>
      <c r="U3501">
        <v>-0.22708130000000001</v>
      </c>
      <c r="V3501">
        <v>9.6006969999999997E-2</v>
      </c>
      <c r="W3501">
        <v>4.7534010000000002E-2</v>
      </c>
      <c r="X3501">
        <v>0.99424509999999999</v>
      </c>
      <c r="Y3501">
        <v>6.8464410000000003E-2</v>
      </c>
      <c r="Z3501">
        <v>-9.7629879999999996E-4</v>
      </c>
      <c r="AA3501">
        <v>0.99765309999999996</v>
      </c>
      <c r="AB3501">
        <v>34</v>
      </c>
      <c r="AC3501">
        <v>30.5</v>
      </c>
      <c r="AD3501">
        <v>-1.109422978105</v>
      </c>
      <c r="AE3501">
        <v>-2.33299999999999</v>
      </c>
      <c r="AF3501">
        <v>2.11514959557636</v>
      </c>
      <c r="AG3501">
        <v>-1.109422978105</v>
      </c>
      <c r="AH3501">
        <v>30.475600750261702</v>
      </c>
      <c r="AI3501">
        <v>92.079855710608101</v>
      </c>
      <c r="AJ3501">
        <v>86.029770946131094</v>
      </c>
      <c r="AK3501">
        <v>30.569051641249299</v>
      </c>
      <c r="AL3501">
        <v>87.275475373422694</v>
      </c>
      <c r="AM3501">
        <v>84.484466564307994</v>
      </c>
      <c r="AN3501">
        <v>1.0000000696346301</v>
      </c>
    </row>
    <row r="3502" spans="1:40" x14ac:dyDescent="0.25">
      <c r="A3502" t="str">
        <f>"20190312154905260"</f>
        <v>20190312154905260</v>
      </c>
      <c r="B3502" t="str">
        <f>"1552376945248980"</f>
        <v>1552376945248980</v>
      </c>
      <c r="C3502" t="s">
        <v>40</v>
      </c>
      <c r="D3502">
        <v>4.9469629999999896</v>
      </c>
      <c r="E3502">
        <v>0.49043789999999998</v>
      </c>
      <c r="F3502" t="s">
        <v>51</v>
      </c>
      <c r="G3502">
        <v>-295.18110000000001</v>
      </c>
      <c r="H3502" s="1">
        <v>1.813445E-6</v>
      </c>
      <c r="I3502">
        <v>213.47130000000001</v>
      </c>
      <c r="J3502">
        <v>-326.51260000000002</v>
      </c>
      <c r="K3502">
        <v>1.109429</v>
      </c>
      <c r="L3502">
        <v>215.8553</v>
      </c>
      <c r="M3502">
        <v>0.99986370000000002</v>
      </c>
      <c r="N3502">
        <v>0</v>
      </c>
      <c r="O3502">
        <v>-7.686315E-3</v>
      </c>
      <c r="P3502">
        <v>0.99418779999999995</v>
      </c>
      <c r="Q3502">
        <v>3.3495810000000001E-2</v>
      </c>
      <c r="R3502">
        <v>-0.1023186</v>
      </c>
      <c r="S3502">
        <v>2.9978030000000002</v>
      </c>
      <c r="T3502">
        <v>-0.1049981</v>
      </c>
      <c r="U3502">
        <v>-0.2259216</v>
      </c>
      <c r="V3502">
        <v>9.4744090000000003E-2</v>
      </c>
      <c r="W3502">
        <v>4.7899339999999999E-2</v>
      </c>
      <c r="X3502">
        <v>0.99434860000000003</v>
      </c>
      <c r="Y3502">
        <v>6.7445260000000007E-2</v>
      </c>
      <c r="Z3502">
        <v>-9.1034639999999995E-4</v>
      </c>
      <c r="AA3502">
        <v>0.99772260000000002</v>
      </c>
      <c r="AB3502">
        <v>34</v>
      </c>
      <c r="AC3502">
        <v>31.331499999999998</v>
      </c>
      <c r="AD3502">
        <v>-1.1094271865550001</v>
      </c>
      <c r="AE3502">
        <v>-2.3839999999999799</v>
      </c>
      <c r="AF3502">
        <v>2.1404118272231201</v>
      </c>
      <c r="AG3502">
        <v>-1.1094271865550001</v>
      </c>
      <c r="AH3502">
        <v>31.309869426741798</v>
      </c>
      <c r="AI3502">
        <v>92.024635806901202</v>
      </c>
      <c r="AJ3502">
        <v>86.089218595423105</v>
      </c>
      <c r="AK3502">
        <v>31.402549498281299</v>
      </c>
      <c r="AL3502">
        <v>87.254519346508104</v>
      </c>
      <c r="AM3502">
        <v>84.557142673549095</v>
      </c>
      <c r="AN3502">
        <v>0.99999996384216105</v>
      </c>
    </row>
    <row r="3503" spans="1:40" x14ac:dyDescent="0.25">
      <c r="A3503" t="str">
        <f>"20190312154905283"</f>
        <v>20190312154905283</v>
      </c>
      <c r="B3503" t="str">
        <f>"1552376945279236"</f>
        <v>1552376945279236</v>
      </c>
      <c r="C3503" t="s">
        <v>40</v>
      </c>
      <c r="D3503">
        <v>4.8857860000000004</v>
      </c>
      <c r="E3503">
        <v>0.49078709999999998</v>
      </c>
      <c r="F3503" t="s">
        <v>51</v>
      </c>
      <c r="G3503">
        <v>-294.6223</v>
      </c>
      <c r="H3503" s="1">
        <v>1.7143259999999999E-6</v>
      </c>
      <c r="I3503">
        <v>213.48009999999999</v>
      </c>
      <c r="J3503">
        <v>-326.16359999999997</v>
      </c>
      <c r="K3503">
        <v>1.109432</v>
      </c>
      <c r="L3503">
        <v>215.852</v>
      </c>
      <c r="M3503">
        <v>0.99985849999999998</v>
      </c>
      <c r="N3503">
        <v>0</v>
      </c>
      <c r="O3503">
        <v>-8.3338869999999999E-3</v>
      </c>
      <c r="P3503">
        <v>0.99428830000000001</v>
      </c>
      <c r="Q3503">
        <v>3.4384600000000001E-2</v>
      </c>
      <c r="R3503">
        <v>-0.10103860000000001</v>
      </c>
      <c r="S3503">
        <v>2.9980470000000001</v>
      </c>
      <c r="T3503">
        <v>-0.1042985</v>
      </c>
      <c r="U3503">
        <v>-0.2232971</v>
      </c>
      <c r="V3503">
        <v>9.2820089999999994E-2</v>
      </c>
      <c r="W3503">
        <v>4.8789510000000001E-2</v>
      </c>
      <c r="X3503">
        <v>0.9944868</v>
      </c>
      <c r="Y3503">
        <v>6.5926159999999998E-2</v>
      </c>
      <c r="Z3503">
        <v>-8.5537160000000005E-4</v>
      </c>
      <c r="AA3503">
        <v>0.99782409999999999</v>
      </c>
      <c r="AB3503">
        <v>34</v>
      </c>
      <c r="AC3503">
        <v>31.5412999999999</v>
      </c>
      <c r="AD3503">
        <v>-1.1094302856739999</v>
      </c>
      <c r="AE3503">
        <v>-2.3719000000000099</v>
      </c>
      <c r="AF3503">
        <v>2.1063366025144399</v>
      </c>
      <c r="AG3503">
        <v>-1.1094302856739999</v>
      </c>
      <c r="AH3503">
        <v>31.521194862338799</v>
      </c>
      <c r="AI3503">
        <v>92.011287109887803</v>
      </c>
      <c r="AJ3503">
        <v>86.1770152554882</v>
      </c>
      <c r="AK3503">
        <v>31.6109666886572</v>
      </c>
      <c r="AL3503">
        <v>87.203456726847307</v>
      </c>
      <c r="AM3503">
        <v>84.667765611168093</v>
      </c>
      <c r="AN3503">
        <v>0.99999999038394405</v>
      </c>
    </row>
    <row r="3504" spans="1:40" x14ac:dyDescent="0.25">
      <c r="A3504" t="str">
        <f>"20190312154905296"</f>
        <v>20190312154905296</v>
      </c>
      <c r="B3504" t="str">
        <f>"1552376945288997"</f>
        <v>1552376945288997</v>
      </c>
      <c r="C3504" t="s">
        <v>40</v>
      </c>
      <c r="D3504">
        <v>4.8165209999999998</v>
      </c>
      <c r="E3504">
        <v>0.49078709999999998</v>
      </c>
      <c r="F3504" t="s">
        <v>51</v>
      </c>
      <c r="G3504">
        <v>-293.49680000000001</v>
      </c>
      <c r="H3504" s="1">
        <v>1.5146779999999999E-6</v>
      </c>
      <c r="I3504">
        <v>213.42859999999999</v>
      </c>
      <c r="J3504">
        <v>-325.95979999999997</v>
      </c>
      <c r="K3504">
        <v>1.1094349999999999</v>
      </c>
      <c r="L3504">
        <v>215.84989999999999</v>
      </c>
      <c r="M3504">
        <v>0.9998553</v>
      </c>
      <c r="N3504">
        <v>0</v>
      </c>
      <c r="O3504">
        <v>-8.7119659999999998E-3</v>
      </c>
      <c r="P3504">
        <v>0.994313</v>
      </c>
      <c r="Q3504">
        <v>3.3900399999999997E-2</v>
      </c>
      <c r="R3504">
        <v>-0.1009587</v>
      </c>
      <c r="S3504">
        <v>2.998138</v>
      </c>
      <c r="T3504">
        <v>-0.1018226</v>
      </c>
      <c r="U3504">
        <v>-0.2224121</v>
      </c>
      <c r="V3504">
        <v>9.2362990000000006E-2</v>
      </c>
      <c r="W3504">
        <v>4.8304649999999998E-2</v>
      </c>
      <c r="X3504">
        <v>0.99455300000000002</v>
      </c>
      <c r="Y3504">
        <v>6.5255889999999997E-2</v>
      </c>
      <c r="Z3504">
        <v>-8.1088109999999998E-4</v>
      </c>
      <c r="AA3504">
        <v>0.99786819999999998</v>
      </c>
      <c r="AB3504">
        <v>34</v>
      </c>
      <c r="AC3504">
        <v>32.462999999999901</v>
      </c>
      <c r="AD3504">
        <v>-1.109433485322</v>
      </c>
      <c r="AE3504">
        <v>-2.4213</v>
      </c>
      <c r="AF3504">
        <v>2.13588054099854</v>
      </c>
      <c r="AG3504">
        <v>-1.109433485322</v>
      </c>
      <c r="AH3504">
        <v>32.445179517056097</v>
      </c>
      <c r="AI3504">
        <v>91.9541876552925</v>
      </c>
      <c r="AJ3504">
        <v>86.233627888399099</v>
      </c>
      <c r="AK3504">
        <v>32.534328058802203</v>
      </c>
      <c r="AL3504">
        <v>87.231269884718699</v>
      </c>
      <c r="AM3504">
        <v>84.694225551581894</v>
      </c>
      <c r="AN3504">
        <v>0.99999996547117997</v>
      </c>
    </row>
    <row r="3505" spans="1:40" x14ac:dyDescent="0.25">
      <c r="A3505" t="str">
        <f>"20190312154905427"</f>
        <v>20190312154905427</v>
      </c>
      <c r="B3505" t="str">
        <f>"1552376945418804"</f>
        <v>1552376945418804</v>
      </c>
      <c r="C3505" t="s">
        <v>40</v>
      </c>
      <c r="D3505">
        <v>4.7656239999999999</v>
      </c>
      <c r="E3505">
        <v>0.52852060000000001</v>
      </c>
      <c r="F3505" t="s">
        <v>51</v>
      </c>
      <c r="G3505">
        <v>-293.77190000000002</v>
      </c>
      <c r="H3505" s="1">
        <v>1.5634820000000001E-6</v>
      </c>
      <c r="I3505">
        <v>213.46289999999999</v>
      </c>
      <c r="J3505">
        <v>-323.96480000000003</v>
      </c>
      <c r="K3505">
        <v>1.1094079999999999</v>
      </c>
      <c r="L3505">
        <v>215.82550000000001</v>
      </c>
      <c r="M3505">
        <v>0.99981520000000002</v>
      </c>
      <c r="N3505">
        <v>0</v>
      </c>
      <c r="O3505">
        <v>-1.2523299999999999E-2</v>
      </c>
      <c r="P3505">
        <v>0.99471449999999995</v>
      </c>
      <c r="Q3505">
        <v>3.0389329999999999E-2</v>
      </c>
      <c r="R3505">
        <v>-9.8081630000000003E-2</v>
      </c>
      <c r="S3505">
        <v>2.998138</v>
      </c>
      <c r="T3505">
        <v>-0.103338</v>
      </c>
      <c r="U3505">
        <v>-0.2223358</v>
      </c>
      <c r="V3505">
        <v>8.5684399999999994E-2</v>
      </c>
      <c r="W3505">
        <v>4.4788460000000002E-2</v>
      </c>
      <c r="X3505">
        <v>0.99531510000000001</v>
      </c>
      <c r="Y3505">
        <v>6.1429879999999999E-2</v>
      </c>
      <c r="Z3505">
        <v>-6.2598600000000003E-4</v>
      </c>
      <c r="AA3505">
        <v>0.99811119999999998</v>
      </c>
      <c r="AB3505">
        <v>34</v>
      </c>
      <c r="AC3505">
        <v>30.192900000000002</v>
      </c>
      <c r="AD3505">
        <v>-1.1094064365180001</v>
      </c>
      <c r="AE3505">
        <v>-2.3626000000000098</v>
      </c>
      <c r="AF3505">
        <v>1.98160060422563</v>
      </c>
      <c r="AG3505">
        <v>-1.1094064365180001</v>
      </c>
      <c r="AH3505">
        <v>30.1796243987392</v>
      </c>
      <c r="AI3505">
        <v>92.100731985888402</v>
      </c>
      <c r="AJ3505">
        <v>86.243339300122102</v>
      </c>
      <c r="AK3505">
        <v>30.264950891171601</v>
      </c>
      <c r="AL3505">
        <v>87.432951492847707</v>
      </c>
      <c r="AM3505">
        <v>85.079668500317496</v>
      </c>
      <c r="AN3505">
        <v>0.99999998542027002</v>
      </c>
    </row>
    <row r="3506" spans="1:40" x14ac:dyDescent="0.25">
      <c r="A3506" t="str">
        <f>"20190312154905450"</f>
        <v>20190312154905450</v>
      </c>
      <c r="B3506" t="str">
        <f>"1552376945439301"</f>
        <v>1552376945439301</v>
      </c>
      <c r="C3506" t="s">
        <v>40</v>
      </c>
      <c r="D3506">
        <v>5.0381109999999998</v>
      </c>
      <c r="E3506">
        <v>0.52046349999999997</v>
      </c>
      <c r="F3506" t="s">
        <v>41</v>
      </c>
      <c r="G3506">
        <v>-323.08730000000003</v>
      </c>
      <c r="H3506">
        <v>0.76617309999999905</v>
      </c>
      <c r="I3506">
        <v>215.6857</v>
      </c>
      <c r="J3506">
        <v>-323.61509999999998</v>
      </c>
      <c r="K3506">
        <v>1.1093900000000001</v>
      </c>
      <c r="L3506">
        <v>215.82040000000001</v>
      </c>
      <c r="M3506">
        <v>0.99980590000000003</v>
      </c>
      <c r="N3506">
        <v>0</v>
      </c>
      <c r="O3506">
        <v>-1.32390999999999E-2</v>
      </c>
      <c r="P3506">
        <v>0.99470389999999997</v>
      </c>
      <c r="Q3506">
        <v>3.0417010000000001E-2</v>
      </c>
      <c r="R3506">
        <v>-9.8177120000000007E-2</v>
      </c>
      <c r="S3506">
        <v>3.0046689999999998</v>
      </c>
      <c r="T3506">
        <v>-1.1752959999999999</v>
      </c>
      <c r="U3506">
        <v>-0.47811890000000001</v>
      </c>
      <c r="V3506">
        <v>8.5068640000000001E-2</v>
      </c>
      <c r="W3506">
        <v>4.4811330000000003E-2</v>
      </c>
      <c r="X3506">
        <v>0.99536690000000005</v>
      </c>
      <c r="Y3506">
        <v>0.13527439999999999</v>
      </c>
      <c r="Z3506">
        <v>-2.0406589999999999E-2</v>
      </c>
      <c r="AA3506">
        <v>0.99059799999999998</v>
      </c>
      <c r="AB3506">
        <v>34</v>
      </c>
      <c r="AC3506">
        <v>0.52779999999995597</v>
      </c>
      <c r="AD3506">
        <v>-0.34321689999999899</v>
      </c>
      <c r="AE3506">
        <v>-0.13470000000000901</v>
      </c>
      <c r="AF3506">
        <v>9.1409789392466995E-2</v>
      </c>
      <c r="AG3506">
        <v>-0.34321689999999899</v>
      </c>
      <c r="AH3506">
        <v>0.37905202035845798</v>
      </c>
      <c r="AI3506">
        <v>131.355138894221</v>
      </c>
      <c r="AJ3506">
        <v>76.441782194552104</v>
      </c>
      <c r="AK3506">
        <v>0.51945550741157198</v>
      </c>
      <c r="AL3506">
        <v>87.431639851712603</v>
      </c>
      <c r="AM3506">
        <v>85.115109101944</v>
      </c>
      <c r="AN3506">
        <v>0.99999999721171395</v>
      </c>
    </row>
    <row r="3507" spans="1:40" x14ac:dyDescent="0.25">
      <c r="A3507" t="str">
        <f>"20190312154905472"</f>
        <v>20190312154905472</v>
      </c>
      <c r="B3507" t="str">
        <f>"1552376945469559"</f>
        <v>1552376945469559</v>
      </c>
      <c r="C3507" t="s">
        <v>40</v>
      </c>
      <c r="D3507">
        <v>4.8031240000000004</v>
      </c>
      <c r="E3507">
        <v>0.51536219999999999</v>
      </c>
      <c r="F3507" t="s">
        <v>41</v>
      </c>
      <c r="G3507">
        <v>-322.7577</v>
      </c>
      <c r="H3507">
        <v>0.8312929</v>
      </c>
      <c r="I3507">
        <v>215.7</v>
      </c>
      <c r="J3507">
        <v>-323.27330000000001</v>
      </c>
      <c r="K3507">
        <v>1.109375</v>
      </c>
      <c r="L3507">
        <v>215.8151</v>
      </c>
      <c r="M3507">
        <v>0.99979620000000002</v>
      </c>
      <c r="N3507">
        <v>0</v>
      </c>
      <c r="O3507">
        <v>-1.3958740000000001E-2</v>
      </c>
      <c r="P3507">
        <v>0.99469750000000001</v>
      </c>
      <c r="Q3507">
        <v>3.021194E-2</v>
      </c>
      <c r="R3507">
        <v>-9.8308530000000005E-2</v>
      </c>
      <c r="S3507">
        <v>3.004181</v>
      </c>
      <c r="T3507">
        <v>-0.97436009999999995</v>
      </c>
      <c r="U3507">
        <v>-0.42115780000000003</v>
      </c>
      <c r="V3507">
        <v>8.4484089999999998E-2</v>
      </c>
      <c r="W3507">
        <v>4.4601729999999999E-2</v>
      </c>
      <c r="X3507">
        <v>0.99542609999999998</v>
      </c>
      <c r="Y3507">
        <v>0.1196776</v>
      </c>
      <c r="Z3507">
        <v>-1.4443650000000001E-2</v>
      </c>
      <c r="AA3507">
        <v>0.99270769999999997</v>
      </c>
      <c r="AB3507">
        <v>34</v>
      </c>
      <c r="AC3507">
        <v>0.51560000000000605</v>
      </c>
      <c r="AD3507">
        <v>-0.2780821</v>
      </c>
      <c r="AE3507">
        <v>-0.115100000000012</v>
      </c>
      <c r="AF3507">
        <v>8.4482717706713603E-2</v>
      </c>
      <c r="AG3507">
        <v>-0.2780821</v>
      </c>
      <c r="AH3507">
        <v>0.40495348987939001</v>
      </c>
      <c r="AI3507">
        <v>123.910107738224</v>
      </c>
      <c r="AJ3507">
        <v>78.215791345108997</v>
      </c>
      <c r="AK3507">
        <v>0.498451916333982</v>
      </c>
      <c r="AL3507">
        <v>87.443661068861999</v>
      </c>
      <c r="AM3507">
        <v>85.148802065817804</v>
      </c>
      <c r="AN3507">
        <v>0.99999999817166496</v>
      </c>
    </row>
    <row r="3508" spans="1:40" x14ac:dyDescent="0.25">
      <c r="A3508" t="str">
        <f>"20190312154905494"</f>
        <v>20190312154905494</v>
      </c>
      <c r="B3508" t="str">
        <f>"1552376945489585"</f>
        <v>1552376945489585</v>
      </c>
      <c r="C3508" t="s">
        <v>40</v>
      </c>
      <c r="D3508">
        <v>4.9152630000000004</v>
      </c>
      <c r="E3508">
        <v>0.51434550000000001</v>
      </c>
      <c r="F3508" t="s">
        <v>41</v>
      </c>
      <c r="G3508">
        <v>-322.42759999999998</v>
      </c>
      <c r="H3508">
        <v>0.89755629999999997</v>
      </c>
      <c r="I3508">
        <v>215.70529999999999</v>
      </c>
      <c r="J3508">
        <v>-322.9468</v>
      </c>
      <c r="K3508">
        <v>1.1093630000000001</v>
      </c>
      <c r="L3508">
        <v>215.8098</v>
      </c>
      <c r="M3508">
        <v>0.99978599999999995</v>
      </c>
      <c r="N3508">
        <v>0</v>
      </c>
      <c r="O3508">
        <v>-1.4669349999999999E-2</v>
      </c>
      <c r="P3508">
        <v>0.99465029999999999</v>
      </c>
      <c r="Q3508">
        <v>3.01686E-2</v>
      </c>
      <c r="R3508">
        <v>-9.8796889999999998E-2</v>
      </c>
      <c r="S3508">
        <v>3.0004580000000001</v>
      </c>
      <c r="T3508">
        <v>-0.75143729999999997</v>
      </c>
      <c r="U3508">
        <v>-0.38847350000000003</v>
      </c>
      <c r="V3508">
        <v>8.4266820000000006E-2</v>
      </c>
      <c r="W3508">
        <v>4.4552660000000001E-2</v>
      </c>
      <c r="X3508">
        <v>0.99544670000000002</v>
      </c>
      <c r="Y3508">
        <v>0.11091380000000001</v>
      </c>
      <c r="Z3508">
        <v>-1.002013E-2</v>
      </c>
      <c r="AA3508">
        <v>0.99377950000000004</v>
      </c>
      <c r="AB3508">
        <v>34</v>
      </c>
      <c r="AC3508">
        <v>0.51920000000001199</v>
      </c>
      <c r="AD3508">
        <v>-0.21180669999999899</v>
      </c>
      <c r="AE3508">
        <v>-0.10450000000000099</v>
      </c>
      <c r="AF3508">
        <v>8.3514158023764606E-2</v>
      </c>
      <c r="AG3508">
        <v>-0.21180669999999899</v>
      </c>
      <c r="AH3508">
        <v>0.44888195562147798</v>
      </c>
      <c r="AI3508">
        <v>114.88627964205099</v>
      </c>
      <c r="AJ3508">
        <v>79.460663779240903</v>
      </c>
      <c r="AK3508">
        <v>0.50332067594911101</v>
      </c>
      <c r="AL3508">
        <v>87.446475335419706</v>
      </c>
      <c r="AM3508">
        <v>85.161318368717502</v>
      </c>
      <c r="AN3508">
        <v>0.99999998450343797</v>
      </c>
    </row>
    <row r="3509" spans="1:40" x14ac:dyDescent="0.25">
      <c r="A3509" t="str">
        <f>"20190312154905516"</f>
        <v>20190312154905516</v>
      </c>
      <c r="B3509" t="str">
        <f>"1552376945509104"</f>
        <v>1552376945509104</v>
      </c>
      <c r="C3509" t="s">
        <v>40</v>
      </c>
      <c r="D3509">
        <v>4.990494</v>
      </c>
      <c r="E3509">
        <v>0.51339380000000001</v>
      </c>
      <c r="F3509" t="s">
        <v>41</v>
      </c>
      <c r="G3509">
        <v>-322.10759999999999</v>
      </c>
      <c r="H3509">
        <v>0.93518159999999895</v>
      </c>
      <c r="I3509">
        <v>215.70160000000001</v>
      </c>
      <c r="J3509">
        <v>-322.60950000000003</v>
      </c>
      <c r="K3509">
        <v>1.1093470000000001</v>
      </c>
      <c r="L3509">
        <v>215.80410000000001</v>
      </c>
      <c r="M3509">
        <v>0.99977479999999996</v>
      </c>
      <c r="N3509">
        <v>0</v>
      </c>
      <c r="O3509">
        <v>-1.542781E-2</v>
      </c>
      <c r="P3509">
        <v>0.99456239999999996</v>
      </c>
      <c r="Q3509">
        <v>3.0385840000000001E-2</v>
      </c>
      <c r="R3509">
        <v>-9.9611549999999993E-2</v>
      </c>
      <c r="S3509">
        <v>2.9965820000000001</v>
      </c>
      <c r="T3509">
        <v>-0.62206669999999997</v>
      </c>
      <c r="U3509">
        <v>-0.38659670000000002</v>
      </c>
      <c r="V3509">
        <v>8.4329660000000001E-2</v>
      </c>
      <c r="W3509">
        <v>4.4762259999999998E-2</v>
      </c>
      <c r="X3509">
        <v>0.99543199999999998</v>
      </c>
      <c r="Y3509">
        <v>0.11063829999999999</v>
      </c>
      <c r="Z3509">
        <v>-8.1615430000000003E-3</v>
      </c>
      <c r="AA3509">
        <v>0.99382720000000002</v>
      </c>
      <c r="AB3509">
        <v>34</v>
      </c>
      <c r="AC3509">
        <v>0.50190000000003399</v>
      </c>
      <c r="AD3509">
        <v>-0.1741654</v>
      </c>
      <c r="AE3509">
        <v>-0.102499999999992</v>
      </c>
      <c r="AF3509">
        <v>8.4926568410098394E-2</v>
      </c>
      <c r="AG3509">
        <v>-0.1741654</v>
      </c>
      <c r="AH3509">
        <v>0.45125804932351699</v>
      </c>
      <c r="AI3509">
        <v>110.77156136169501</v>
      </c>
      <c r="AJ3509">
        <v>79.341628814695994</v>
      </c>
      <c r="AK3509">
        <v>0.49110073880858801</v>
      </c>
      <c r="AL3509">
        <v>87.434454209999899</v>
      </c>
      <c r="AM3509">
        <v>85.157656018531</v>
      </c>
      <c r="AN3509">
        <v>1.0000000090500101</v>
      </c>
    </row>
    <row r="3510" spans="1:40" x14ac:dyDescent="0.25">
      <c r="A3510" t="str">
        <f>"20190312154905539"</f>
        <v>20190312154905539</v>
      </c>
      <c r="B3510" t="str">
        <f>"1552376945529604"</f>
        <v>1552376945529604</v>
      </c>
      <c r="C3510" t="s">
        <v>40</v>
      </c>
      <c r="D3510">
        <v>5.0199669999999896</v>
      </c>
      <c r="E3510">
        <v>0.51293219999999995</v>
      </c>
      <c r="F3510" t="s">
        <v>41</v>
      </c>
      <c r="G3510">
        <v>-321.7944</v>
      </c>
      <c r="H3510">
        <v>0.95767610000000003</v>
      </c>
      <c r="I3510">
        <v>215.69980000000001</v>
      </c>
      <c r="J3510">
        <v>-322.2724</v>
      </c>
      <c r="K3510">
        <v>1.1093329999999999</v>
      </c>
      <c r="L3510">
        <v>215.79810000000001</v>
      </c>
      <c r="M3510">
        <v>0.9997625</v>
      </c>
      <c r="N3510">
        <v>0</v>
      </c>
      <c r="O3510">
        <v>-1.6207010000000001E-2</v>
      </c>
      <c r="P3510">
        <v>0.99447019999999997</v>
      </c>
      <c r="Q3510">
        <v>3.074752E-2</v>
      </c>
      <c r="R3510">
        <v>-0.1004177</v>
      </c>
      <c r="S3510">
        <v>2.9950869999999998</v>
      </c>
      <c r="T3510">
        <v>-0.55735019999999902</v>
      </c>
      <c r="U3510">
        <v>-0.38290410000000002</v>
      </c>
      <c r="V3510">
        <v>8.4363480000000005E-2</v>
      </c>
      <c r="W3510">
        <v>4.5116669999999998E-2</v>
      </c>
      <c r="X3510">
        <v>0.99541310000000005</v>
      </c>
      <c r="Y3510">
        <v>0.1091482</v>
      </c>
      <c r="Z3510">
        <v>-7.051468E-3</v>
      </c>
      <c r="AA3510">
        <v>0.99400049999999995</v>
      </c>
      <c r="AB3510">
        <v>34</v>
      </c>
      <c r="AC3510">
        <v>0.47800000000000797</v>
      </c>
      <c r="AD3510">
        <v>-0.15165689999999901</v>
      </c>
      <c r="AE3510">
        <v>-9.8299999999994697E-2</v>
      </c>
      <c r="AF3510">
        <v>8.2565299170556897E-2</v>
      </c>
      <c r="AG3510">
        <v>-0.15165689999999901</v>
      </c>
      <c r="AH3510">
        <v>0.43729712248941099</v>
      </c>
      <c r="AI3510">
        <v>108.818295179732</v>
      </c>
      <c r="AJ3510">
        <v>79.307951095206207</v>
      </c>
      <c r="AK3510">
        <v>0.47015488648130899</v>
      </c>
      <c r="AL3510">
        <v>87.414127389310096</v>
      </c>
      <c r="AM3510">
        <v>85.155631718832097</v>
      </c>
      <c r="AN3510">
        <v>0.99999997516060402</v>
      </c>
    </row>
    <row r="3511" spans="1:40" x14ac:dyDescent="0.25">
      <c r="A3511" t="str">
        <f>"20190312154905561"</f>
        <v>20190312154905561</v>
      </c>
      <c r="B3511" t="str">
        <f>"1552376945549121"</f>
        <v>1552376945549121</v>
      </c>
      <c r="C3511" t="s">
        <v>40</v>
      </c>
      <c r="D3511">
        <v>4.9957219999999998</v>
      </c>
      <c r="E3511">
        <v>0.5129456</v>
      </c>
      <c r="F3511" t="s">
        <v>41</v>
      </c>
      <c r="G3511">
        <v>-321.48390000000001</v>
      </c>
      <c r="H3511">
        <v>0.97526550000000001</v>
      </c>
      <c r="I3511">
        <v>215.69720000000001</v>
      </c>
      <c r="J3511">
        <v>-321.93329999999997</v>
      </c>
      <c r="K3511">
        <v>1.1093200000000001</v>
      </c>
      <c r="L3511">
        <v>215.79179999999999</v>
      </c>
      <c r="M3511">
        <v>0.99974909999999995</v>
      </c>
      <c r="N3511">
        <v>0</v>
      </c>
      <c r="O3511">
        <v>-1.700749E-2</v>
      </c>
      <c r="P3511">
        <v>0.99436000000000002</v>
      </c>
      <c r="Q3511">
        <v>3.1314969999999998E-2</v>
      </c>
      <c r="R3511">
        <v>-0.1013276</v>
      </c>
      <c r="S3511">
        <v>2.993744</v>
      </c>
      <c r="T3511">
        <v>-0.50906090000000004</v>
      </c>
      <c r="U3511">
        <v>-0.38284299999999999</v>
      </c>
      <c r="V3511">
        <v>8.4480269999999996E-2</v>
      </c>
      <c r="W3511">
        <v>4.5676370000000001E-2</v>
      </c>
      <c r="X3511">
        <v>0.99537770000000003</v>
      </c>
      <c r="Y3511">
        <v>0.10866389999999999</v>
      </c>
      <c r="Z3511">
        <v>-6.2770329999999996E-3</v>
      </c>
      <c r="AA3511">
        <v>0.99405869999999996</v>
      </c>
      <c r="AB3511">
        <v>34</v>
      </c>
      <c r="AC3511">
        <v>0.44939999999996799</v>
      </c>
      <c r="AD3511">
        <v>-0.13405449999999899</v>
      </c>
      <c r="AE3511">
        <v>-9.4599999999985501E-2</v>
      </c>
      <c r="AF3511">
        <v>8.0116026140426205E-2</v>
      </c>
      <c r="AG3511">
        <v>-0.13405449999999899</v>
      </c>
      <c r="AH3511">
        <v>0.41553802342516699</v>
      </c>
      <c r="AI3511">
        <v>107.57668391753</v>
      </c>
      <c r="AJ3511">
        <v>79.087234991243506</v>
      </c>
      <c r="AK3511">
        <v>0.44391557252126002</v>
      </c>
      <c r="AL3511">
        <v>87.382025926484999</v>
      </c>
      <c r="AM3511">
        <v>85.148785616927896</v>
      </c>
      <c r="AN3511">
        <v>1.00000000622647</v>
      </c>
    </row>
    <row r="3512" spans="1:40" x14ac:dyDescent="0.25">
      <c r="A3512" t="str">
        <f>"20190312154905585"</f>
        <v>20190312154905585</v>
      </c>
      <c r="B3512" t="str">
        <f>"1552376945579377"</f>
        <v>1552376945579377</v>
      </c>
      <c r="C3512" t="s">
        <v>40</v>
      </c>
      <c r="D3512">
        <v>4.9859030000000004</v>
      </c>
      <c r="E3512">
        <v>0.51204490000000003</v>
      </c>
      <c r="F3512" t="s">
        <v>41</v>
      </c>
      <c r="G3512">
        <v>-321.17520000000002</v>
      </c>
      <c r="H3512">
        <v>0.9898323</v>
      </c>
      <c r="I3512">
        <v>215.6935</v>
      </c>
      <c r="J3512">
        <v>-321.5806</v>
      </c>
      <c r="K3512">
        <v>1.1093040000000001</v>
      </c>
      <c r="L3512">
        <v>215.78489999999999</v>
      </c>
      <c r="M3512">
        <v>0.99973460000000003</v>
      </c>
      <c r="N3512">
        <v>0</v>
      </c>
      <c r="O3512">
        <v>-1.785343E-2</v>
      </c>
      <c r="P3512">
        <v>0.99422469999999996</v>
      </c>
      <c r="Q3512">
        <v>3.1680050000000001E-2</v>
      </c>
      <c r="R3512">
        <v>-0.102538</v>
      </c>
      <c r="S3512">
        <v>2.9924930000000001</v>
      </c>
      <c r="T3512">
        <v>-0.4716244</v>
      </c>
      <c r="U3512">
        <v>-0.38673400000000002</v>
      </c>
      <c r="V3512">
        <v>8.485202E-2</v>
      </c>
      <c r="W3512">
        <v>4.6034579999999999E-2</v>
      </c>
      <c r="X3512">
        <v>0.99532960000000004</v>
      </c>
      <c r="Y3512">
        <v>0.109330399999999</v>
      </c>
      <c r="Z3512">
        <v>-5.7432059999999998E-3</v>
      </c>
      <c r="AA3512">
        <v>0.99398889999999995</v>
      </c>
      <c r="AB3512">
        <v>34</v>
      </c>
      <c r="AC3512">
        <v>0.40539999999998599</v>
      </c>
      <c r="AD3512">
        <v>-0.1194717</v>
      </c>
      <c r="AE3512">
        <v>-9.1399999999993001E-2</v>
      </c>
      <c r="AF3512">
        <v>7.7723246593332407E-2</v>
      </c>
      <c r="AG3512">
        <v>-0.1194717</v>
      </c>
      <c r="AH3512">
        <v>0.375900129076499</v>
      </c>
      <c r="AI3512">
        <v>107.288479652387</v>
      </c>
      <c r="AJ3512">
        <v>78.3178214908596</v>
      </c>
      <c r="AK3512">
        <v>0.40201405100024301</v>
      </c>
      <c r="AL3512">
        <v>87.361480456575094</v>
      </c>
      <c r="AM3512">
        <v>85.127306377733603</v>
      </c>
      <c r="AN3512">
        <v>1.0000000302450001</v>
      </c>
    </row>
    <row r="3513" spans="1:40" x14ac:dyDescent="0.25">
      <c r="A3513" t="str">
        <f>"20190312154905607"</f>
        <v>20190312154905607</v>
      </c>
      <c r="B3513" t="str">
        <f>"1552376945598896"</f>
        <v>1552376945598896</v>
      </c>
      <c r="C3513" t="s">
        <v>40</v>
      </c>
      <c r="D3513">
        <v>5.0357469999999998</v>
      </c>
      <c r="E3513">
        <v>0.51100179999999995</v>
      </c>
      <c r="F3513" t="s">
        <v>41</v>
      </c>
      <c r="G3513">
        <v>-320.8664</v>
      </c>
      <c r="H3513">
        <v>1.0051600000000001</v>
      </c>
      <c r="I3513">
        <v>215.69300000000001</v>
      </c>
      <c r="J3513">
        <v>-321.2398</v>
      </c>
      <c r="K3513">
        <v>1.1092979999999999</v>
      </c>
      <c r="L3513">
        <v>215.77799999999999</v>
      </c>
      <c r="M3513">
        <v>0.99971960000000004</v>
      </c>
      <c r="N3513">
        <v>0</v>
      </c>
      <c r="O3513">
        <v>-1.867972E-2</v>
      </c>
      <c r="P3513">
        <v>0.99409840000000005</v>
      </c>
      <c r="Q3513">
        <v>3.2366859999999997E-2</v>
      </c>
      <c r="R3513">
        <v>-0.1035426</v>
      </c>
      <c r="S3513">
        <v>2.9916990000000001</v>
      </c>
      <c r="T3513">
        <v>-0.43623879999999998</v>
      </c>
      <c r="U3513">
        <v>-0.3844147</v>
      </c>
      <c r="V3513">
        <v>8.5037479999999999E-2</v>
      </c>
      <c r="W3513">
        <v>4.6715729999999997E-2</v>
      </c>
      <c r="X3513">
        <v>0.995282</v>
      </c>
      <c r="Y3513">
        <v>0.10796600000000001</v>
      </c>
      <c r="Z3513">
        <v>-5.1007140000000001E-3</v>
      </c>
      <c r="AA3513">
        <v>0.99414150000000001</v>
      </c>
      <c r="AB3513">
        <v>34</v>
      </c>
      <c r="AC3513">
        <v>0.37340000000000301</v>
      </c>
      <c r="AD3513">
        <v>-0.104137999999999</v>
      </c>
      <c r="AE3513">
        <v>-8.5000000000007903E-2</v>
      </c>
      <c r="AF3513">
        <v>7.2637958528580501E-2</v>
      </c>
      <c r="AG3513">
        <v>-0.104137999999999</v>
      </c>
      <c r="AH3513">
        <v>0.34910688185661498</v>
      </c>
      <c r="AI3513">
        <v>106.28011091518199</v>
      </c>
      <c r="AJ3513">
        <v>78.246283850840797</v>
      </c>
      <c r="AK3513">
        <v>0.371478950982217</v>
      </c>
      <c r="AL3513">
        <v>87.322411310323503</v>
      </c>
      <c r="AM3513">
        <v>85.116475220220707</v>
      </c>
      <c r="AN3513">
        <v>0.99999999597909095</v>
      </c>
    </row>
    <row r="3514" spans="1:40" x14ac:dyDescent="0.25">
      <c r="A3514" t="str">
        <f>"20190312154905628"</f>
        <v>20190312154905628</v>
      </c>
      <c r="B3514" t="str">
        <f>"1552376945619393"</f>
        <v>1552376945619393</v>
      </c>
      <c r="C3514" t="s">
        <v>40</v>
      </c>
      <c r="D3514">
        <v>5.0534019999999904</v>
      </c>
      <c r="E3514">
        <v>0.5102835</v>
      </c>
      <c r="F3514" t="s">
        <v>41</v>
      </c>
      <c r="G3514">
        <v>-320.27980000000002</v>
      </c>
      <c r="H3514">
        <v>0.97572599999999998</v>
      </c>
      <c r="I3514">
        <v>215.65600000000001</v>
      </c>
      <c r="J3514">
        <v>-320.9298</v>
      </c>
      <c r="K3514">
        <v>1.1092900000000001</v>
      </c>
      <c r="L3514">
        <v>215.7714</v>
      </c>
      <c r="M3514">
        <v>0.99970519999999996</v>
      </c>
      <c r="N3514">
        <v>0</v>
      </c>
      <c r="O3514">
        <v>-1.9435150000000002E-2</v>
      </c>
      <c r="P3514">
        <v>0.99406139999999998</v>
      </c>
      <c r="Q3514">
        <v>3.2686920000000001E-2</v>
      </c>
      <c r="R3514">
        <v>-0.10379670000000001</v>
      </c>
      <c r="S3514">
        <v>2.9917600000000002</v>
      </c>
      <c r="T3514">
        <v>-0.41624070000000002</v>
      </c>
      <c r="U3514">
        <v>-0.379776</v>
      </c>
      <c r="V3514">
        <v>8.4540610000000002E-2</v>
      </c>
      <c r="W3514">
        <v>4.7033430000000001E-2</v>
      </c>
      <c r="X3514">
        <v>0.99530940000000001</v>
      </c>
      <c r="Y3514">
        <v>0.1058055</v>
      </c>
      <c r="Z3514">
        <v>-4.616406E-3</v>
      </c>
      <c r="AA3514">
        <v>0.99437609999999999</v>
      </c>
      <c r="AB3514">
        <v>34</v>
      </c>
      <c r="AC3514">
        <v>0.64999999999997704</v>
      </c>
      <c r="AD3514">
        <v>-0.13356399999999899</v>
      </c>
      <c r="AE3514">
        <v>-0.115400000000022</v>
      </c>
      <c r="AF3514">
        <v>9.8703763317769005E-2</v>
      </c>
      <c r="AG3514">
        <v>-0.13356399999999899</v>
      </c>
      <c r="AH3514">
        <v>0.62647663256560104</v>
      </c>
      <c r="AI3514">
        <v>101.89274583915601</v>
      </c>
      <c r="AJ3514">
        <v>81.046434430100106</v>
      </c>
      <c r="AK3514">
        <v>0.64811630602834303</v>
      </c>
      <c r="AL3514">
        <v>87.304188501883601</v>
      </c>
      <c r="AM3514">
        <v>85.145005649226107</v>
      </c>
      <c r="AN3514">
        <v>1.00000003000254</v>
      </c>
    </row>
    <row r="3515" spans="1:40" x14ac:dyDescent="0.25">
      <c r="A3515" t="str">
        <f>"20190312154905651"</f>
        <v>20190312154905651</v>
      </c>
      <c r="B3515" t="str">
        <f>"1552376945638913"</f>
        <v>1552376945638913</v>
      </c>
      <c r="C3515" t="s">
        <v>40</v>
      </c>
      <c r="D3515">
        <v>5.006742</v>
      </c>
      <c r="E3515">
        <v>0.5095054</v>
      </c>
      <c r="F3515" t="s">
        <v>41</v>
      </c>
      <c r="G3515">
        <v>-319.9769</v>
      </c>
      <c r="H3515">
        <v>0.9815912</v>
      </c>
      <c r="I3515">
        <v>215.6516</v>
      </c>
      <c r="J3515">
        <v>-320.57670000000002</v>
      </c>
      <c r="K3515">
        <v>1.109299</v>
      </c>
      <c r="L3515">
        <v>215.7637</v>
      </c>
      <c r="M3515">
        <v>0.99968809999999997</v>
      </c>
      <c r="N3515">
        <v>0</v>
      </c>
      <c r="O3515">
        <v>-2.0296649999999999E-2</v>
      </c>
      <c r="P3515">
        <v>0.99405480000000002</v>
      </c>
      <c r="Q3515">
        <v>3.1890580000000002E-2</v>
      </c>
      <c r="R3515">
        <v>-0.1041086</v>
      </c>
      <c r="S3515">
        <v>2.9919129999999998</v>
      </c>
      <c r="T3515">
        <v>-0.40102979999999999</v>
      </c>
      <c r="U3515">
        <v>-0.37554929999999997</v>
      </c>
      <c r="V3515">
        <v>8.3993150000000003E-2</v>
      </c>
      <c r="W3515">
        <v>4.6234629999999999E-2</v>
      </c>
      <c r="X3515">
        <v>0.99539319999999998</v>
      </c>
      <c r="Y3515">
        <v>0.1036444</v>
      </c>
      <c r="Z3515">
        <v>-4.1912900000000003E-3</v>
      </c>
      <c r="AA3515">
        <v>0.99460559999999998</v>
      </c>
      <c r="AB3515">
        <v>34</v>
      </c>
      <c r="AC3515">
        <v>0.59980000000001599</v>
      </c>
      <c r="AD3515">
        <v>-0.12770780000000001</v>
      </c>
      <c r="AE3515">
        <v>-0.11209999999999801</v>
      </c>
      <c r="AF3515">
        <v>9.5709261586296404E-2</v>
      </c>
      <c r="AG3515">
        <v>-0.12770780000000001</v>
      </c>
      <c r="AH3515">
        <v>0.576690715026979</v>
      </c>
      <c r="AI3515">
        <v>102.323295017904</v>
      </c>
      <c r="AJ3515">
        <v>80.576915498571495</v>
      </c>
      <c r="AK3515">
        <v>0.59836587948558895</v>
      </c>
      <c r="AL3515">
        <v>87.350006288258697</v>
      </c>
      <c r="AM3515">
        <v>85.176700509868098</v>
      </c>
      <c r="AN3515">
        <v>1.00000005643219</v>
      </c>
    </row>
    <row r="3516" spans="1:40" x14ac:dyDescent="0.25">
      <c r="A3516" t="str">
        <f>"20190312154905674"</f>
        <v>20190312154905674</v>
      </c>
      <c r="B3516" t="str">
        <f>"1552376945669169"</f>
        <v>1552376945669169</v>
      </c>
      <c r="C3516" t="s">
        <v>40</v>
      </c>
      <c r="D3516">
        <v>5.0820980000000002</v>
      </c>
      <c r="E3516">
        <v>0.50892280000000001</v>
      </c>
      <c r="F3516" t="s">
        <v>41</v>
      </c>
      <c r="G3516">
        <v>-319.67270000000002</v>
      </c>
      <c r="H3516">
        <v>0.99059299999999995</v>
      </c>
      <c r="I3516">
        <v>215.6515</v>
      </c>
      <c r="J3516">
        <v>-320.24149999999997</v>
      </c>
      <c r="K3516">
        <v>1.1092930000000001</v>
      </c>
      <c r="L3516">
        <v>215.756</v>
      </c>
      <c r="M3516">
        <v>0.99967119999999998</v>
      </c>
      <c r="N3516">
        <v>0</v>
      </c>
      <c r="O3516">
        <v>-2.1112820000000001E-2</v>
      </c>
      <c r="P3516">
        <v>0.9940175</v>
      </c>
      <c r="Q3516">
        <v>3.1357139999999999E-2</v>
      </c>
      <c r="R3516">
        <v>-0.1046232</v>
      </c>
      <c r="S3516">
        <v>2.9917600000000002</v>
      </c>
      <c r="T3516">
        <v>-0.39289299999999999</v>
      </c>
      <c r="U3516">
        <v>-0.37066650000000001</v>
      </c>
      <c r="V3516">
        <v>8.3694340000000006E-2</v>
      </c>
      <c r="W3516">
        <v>4.5698290000000003E-2</v>
      </c>
      <c r="X3516">
        <v>0.99544310000000003</v>
      </c>
      <c r="Y3516">
        <v>0.10129580000000001</v>
      </c>
      <c r="Z3516">
        <v>-3.8483440000000001E-3</v>
      </c>
      <c r="AA3516">
        <v>0.99484890000000004</v>
      </c>
      <c r="AB3516">
        <v>34</v>
      </c>
      <c r="AC3516">
        <v>0.56879999999995301</v>
      </c>
      <c r="AD3516">
        <v>-0.1187</v>
      </c>
      <c r="AE3516">
        <v>-0.104499999999973</v>
      </c>
      <c r="AF3516">
        <v>8.8728548508337904E-2</v>
      </c>
      <c r="AG3516">
        <v>-0.1187</v>
      </c>
      <c r="AH3516">
        <v>0.54780218688032301</v>
      </c>
      <c r="AI3516">
        <v>102.073431150003</v>
      </c>
      <c r="AJ3516">
        <v>80.799596954308697</v>
      </c>
      <c r="AK3516">
        <v>0.567494212544287</v>
      </c>
      <c r="AL3516">
        <v>87.380768728376495</v>
      </c>
      <c r="AM3516">
        <v>85.194018924713504</v>
      </c>
      <c r="AN3516">
        <v>1.0000000207972799</v>
      </c>
    </row>
    <row r="3517" spans="1:40" x14ac:dyDescent="0.25">
      <c r="A3517" t="str">
        <f>"20190312154905696"</f>
        <v>20190312154905696</v>
      </c>
      <c r="B3517" t="str">
        <f>"1552376945689665"</f>
        <v>1552376945689665</v>
      </c>
      <c r="C3517" t="s">
        <v>40</v>
      </c>
      <c r="D3517">
        <v>5.0603049999999996</v>
      </c>
      <c r="E3517">
        <v>0.50840739999999995</v>
      </c>
      <c r="F3517" t="s">
        <v>41</v>
      </c>
      <c r="G3517">
        <v>-319.36939999999998</v>
      </c>
      <c r="H3517">
        <v>0.99842120000000001</v>
      </c>
      <c r="I3517">
        <v>215.64850000000001</v>
      </c>
      <c r="J3517">
        <v>-319.91489999999999</v>
      </c>
      <c r="K3517">
        <v>1.1092879999999901</v>
      </c>
      <c r="L3517">
        <v>215.7483</v>
      </c>
      <c r="M3517">
        <v>0.99965420000000005</v>
      </c>
      <c r="N3517">
        <v>0</v>
      </c>
      <c r="O3517">
        <v>-2.1906330000000002E-2</v>
      </c>
      <c r="P3517">
        <v>0.99393529999999997</v>
      </c>
      <c r="Q3517">
        <v>3.048348E-2</v>
      </c>
      <c r="R3517">
        <v>-0.1056585</v>
      </c>
      <c r="S3517">
        <v>2.9913020000000001</v>
      </c>
      <c r="T3517">
        <v>-0.38034020000000002</v>
      </c>
      <c r="U3517">
        <v>-0.36785889999999999</v>
      </c>
      <c r="V3517">
        <v>8.3939180000000002E-2</v>
      </c>
      <c r="W3517">
        <v>4.4820850000000002E-2</v>
      </c>
      <c r="X3517">
        <v>0.99546239999999997</v>
      </c>
      <c r="Y3517">
        <v>9.966622E-2</v>
      </c>
      <c r="Z3517">
        <v>-3.5243010000000001E-3</v>
      </c>
      <c r="AA3517">
        <v>0.99501470000000003</v>
      </c>
      <c r="AB3517">
        <v>34</v>
      </c>
      <c r="AC3517">
        <v>0.54550000000000398</v>
      </c>
      <c r="AD3517">
        <v>-0.110866799999999</v>
      </c>
      <c r="AE3517">
        <v>-9.9799999999987593E-2</v>
      </c>
      <c r="AF3517">
        <v>8.4449576469166704E-2</v>
      </c>
      <c r="AG3517">
        <v>-0.110866799999999</v>
      </c>
      <c r="AH3517">
        <v>0.52651179561247397</v>
      </c>
      <c r="AI3517">
        <v>101.745100273902</v>
      </c>
      <c r="AJ3517">
        <v>80.887687543036705</v>
      </c>
      <c r="AK3517">
        <v>0.54464469998994103</v>
      </c>
      <c r="AL3517">
        <v>87.431093962875295</v>
      </c>
      <c r="AM3517">
        <v>85.180118625809797</v>
      </c>
      <c r="AN3517">
        <v>1.00000004217377</v>
      </c>
    </row>
    <row r="3518" spans="1:40" x14ac:dyDescent="0.25">
      <c r="A3518" t="str">
        <f>"20190312154905717"</f>
        <v>20190312154905717</v>
      </c>
      <c r="B3518" t="str">
        <f>"1552376945709188"</f>
        <v>1552376945709188</v>
      </c>
      <c r="C3518" t="s">
        <v>40</v>
      </c>
      <c r="D3518">
        <v>5.054462</v>
      </c>
      <c r="E3518">
        <v>0.4824138</v>
      </c>
      <c r="F3518" t="s">
        <v>41</v>
      </c>
      <c r="G3518">
        <v>-319.06819999999999</v>
      </c>
      <c r="H3518">
        <v>1.0026569999999999</v>
      </c>
      <c r="I3518">
        <v>215.64429999999999</v>
      </c>
      <c r="J3518">
        <v>-319.58940000000001</v>
      </c>
      <c r="K3518">
        <v>1.109289</v>
      </c>
      <c r="L3518">
        <v>215.74029999999999</v>
      </c>
      <c r="M3518">
        <v>0.99963659999999999</v>
      </c>
      <c r="N3518">
        <v>0</v>
      </c>
      <c r="O3518">
        <v>-2.269349E-2</v>
      </c>
      <c r="P3518">
        <v>0.99389609999999995</v>
      </c>
      <c r="Q3518">
        <v>2.932471E-2</v>
      </c>
      <c r="R3518">
        <v>-0.106352</v>
      </c>
      <c r="S3518">
        <v>2.9908450000000002</v>
      </c>
      <c r="T3518">
        <v>-0.37665670000000001</v>
      </c>
      <c r="U3518">
        <v>-0.3668671</v>
      </c>
      <c r="V3518">
        <v>8.3846809999999994E-2</v>
      </c>
      <c r="W3518">
        <v>4.3659450000000002E-2</v>
      </c>
      <c r="X3518">
        <v>0.99552180000000001</v>
      </c>
      <c r="Y3518">
        <v>9.8602120000000001E-2</v>
      </c>
      <c r="Z3518">
        <v>-3.3262299999999999E-3</v>
      </c>
      <c r="AA3518">
        <v>0.99512140000000004</v>
      </c>
      <c r="AB3518">
        <v>33</v>
      </c>
      <c r="AC3518">
        <v>0.52120000000002098</v>
      </c>
      <c r="AD3518">
        <v>-0.106632</v>
      </c>
      <c r="AE3518">
        <v>-9.6000000000003596E-2</v>
      </c>
      <c r="AF3518">
        <v>8.0872192812542598E-2</v>
      </c>
      <c r="AG3518">
        <v>-0.106632</v>
      </c>
      <c r="AH3518">
        <v>0.502886024410935</v>
      </c>
      <c r="AI3518">
        <v>101.824120754464</v>
      </c>
      <c r="AJ3518">
        <v>80.864134336946506</v>
      </c>
      <c r="AK3518">
        <v>0.52038932400861604</v>
      </c>
      <c r="AL3518">
        <v>87.497702503212807</v>
      </c>
      <c r="AM3518">
        <v>85.185683591255994</v>
      </c>
      <c r="AN3518">
        <v>1.0000000446983499</v>
      </c>
    </row>
    <row r="3519" spans="1:40" x14ac:dyDescent="0.25">
      <c r="A3519" t="str">
        <f>"20190312154905740"</f>
        <v>20190312154905740</v>
      </c>
      <c r="B3519" t="str">
        <f>"1552376945729682"</f>
        <v>1552376945729682</v>
      </c>
      <c r="C3519" t="s">
        <v>40</v>
      </c>
      <c r="D3519">
        <v>5.0700240000000001</v>
      </c>
      <c r="E3519">
        <v>0.48104039999999998</v>
      </c>
      <c r="F3519" t="s">
        <v>51</v>
      </c>
      <c r="G3519">
        <v>-297.89100000000002</v>
      </c>
      <c r="H3519" s="1">
        <v>2.29414E-6</v>
      </c>
      <c r="I3519">
        <v>214.5076</v>
      </c>
      <c r="J3519">
        <v>-319.25470000000001</v>
      </c>
      <c r="K3519">
        <v>1.1092900000000001</v>
      </c>
      <c r="L3519">
        <v>215.7319</v>
      </c>
      <c r="M3519">
        <v>0.99961820000000001</v>
      </c>
      <c r="N3519">
        <v>0</v>
      </c>
      <c r="O3519">
        <v>-2.3498359999999999E-2</v>
      </c>
      <c r="P3519">
        <v>0.99382420000000005</v>
      </c>
      <c r="Q3519">
        <v>2.872659E-2</v>
      </c>
      <c r="R3519">
        <v>-0.1071862</v>
      </c>
      <c r="S3519">
        <v>3.0047000000000001</v>
      </c>
      <c r="T3519">
        <v>-0.153609</v>
      </c>
      <c r="U3519">
        <v>-0.17070009999999999</v>
      </c>
      <c r="V3519">
        <v>8.3878640000000004E-2</v>
      </c>
      <c r="W3519">
        <v>4.3058730000000003E-2</v>
      </c>
      <c r="X3519">
        <v>0.99554520000000002</v>
      </c>
      <c r="Y3519">
        <v>3.3228229999999997E-2</v>
      </c>
      <c r="Z3519">
        <v>3.5127429999999999E-4</v>
      </c>
      <c r="AA3519">
        <v>0.99944770000000005</v>
      </c>
      <c r="AB3519">
        <v>33</v>
      </c>
      <c r="AC3519">
        <v>21.363700000000001</v>
      </c>
      <c r="AD3519">
        <v>-1.1092877058599999</v>
      </c>
      <c r="AE3519">
        <v>-1.22429999999999</v>
      </c>
      <c r="AF3519">
        <v>0.71996218074115903</v>
      </c>
      <c r="AG3519">
        <v>-1.1092877058599999</v>
      </c>
      <c r="AH3519">
        <v>21.3292543001605</v>
      </c>
      <c r="AI3519">
        <v>92.975453921567194</v>
      </c>
      <c r="AJ3519">
        <v>88.066733242027794</v>
      </c>
      <c r="AK3519">
        <v>21.370211832290799</v>
      </c>
      <c r="AL3519">
        <v>87.5321534202442</v>
      </c>
      <c r="AM3519">
        <v>85.1839772406978</v>
      </c>
      <c r="AN3519">
        <v>0.99999996286024995</v>
      </c>
    </row>
    <row r="3520" spans="1:40" x14ac:dyDescent="0.25">
      <c r="A3520" t="str">
        <f>"20190312154905763"</f>
        <v>20190312154905763</v>
      </c>
      <c r="B3520" t="str">
        <f>"1552376945749201"</f>
        <v>1552376945749201</v>
      </c>
      <c r="C3520" t="s">
        <v>40</v>
      </c>
      <c r="D3520">
        <v>5.1029989999999996</v>
      </c>
      <c r="E3520">
        <v>0.48079569999999999</v>
      </c>
      <c r="F3520" t="s">
        <v>51</v>
      </c>
      <c r="G3520">
        <v>-296.86529999999999</v>
      </c>
      <c r="H3520" s="1">
        <v>2.1122049999999998E-6</v>
      </c>
      <c r="I3520">
        <v>214.52019999999999</v>
      </c>
      <c r="J3520">
        <v>-318.91070000000002</v>
      </c>
      <c r="K3520">
        <v>1.1092959999999901</v>
      </c>
      <c r="L3520">
        <v>215.72290000000001</v>
      </c>
      <c r="M3520">
        <v>0.99959869999999995</v>
      </c>
      <c r="N3520">
        <v>0</v>
      </c>
      <c r="O3520">
        <v>-2.4319400000000001E-2</v>
      </c>
      <c r="P3520">
        <v>0.99376580000000003</v>
      </c>
      <c r="Q3520">
        <v>2.8528169999999999E-2</v>
      </c>
      <c r="R3520">
        <v>-0.107779</v>
      </c>
      <c r="S3520">
        <v>3.0054020000000001</v>
      </c>
      <c r="T3520">
        <v>-0.14890349999999999</v>
      </c>
      <c r="U3520">
        <v>-0.16264339999999999</v>
      </c>
      <c r="V3520">
        <v>8.3653870000000005E-2</v>
      </c>
      <c r="W3520">
        <v>4.2858180000000003E-2</v>
      </c>
      <c r="X3520">
        <v>0.99557280000000004</v>
      </c>
      <c r="Y3520">
        <v>2.9728930000000001E-2</v>
      </c>
      <c r="Z3520">
        <v>4.6765929999999998E-4</v>
      </c>
      <c r="AA3520">
        <v>0.9995579</v>
      </c>
      <c r="AB3520">
        <v>33</v>
      </c>
      <c r="AC3520">
        <v>22.045400000000001</v>
      </c>
      <c r="AD3520">
        <v>-1.1092938877949901</v>
      </c>
      <c r="AE3520">
        <v>-1.2027000000000201</v>
      </c>
      <c r="AF3520">
        <v>0.66447929680724804</v>
      </c>
      <c r="AG3520">
        <v>-1.1092938877949901</v>
      </c>
      <c r="AH3520">
        <v>22.012560910503002</v>
      </c>
      <c r="AI3520">
        <v>92.883593301010904</v>
      </c>
      <c r="AJ3520">
        <v>88.270973475252703</v>
      </c>
      <c r="AK3520">
        <v>22.0505080101114</v>
      </c>
      <c r="AL3520">
        <v>87.543654790066995</v>
      </c>
      <c r="AM3520">
        <v>85.196954835098794</v>
      </c>
      <c r="AN3520">
        <v>0.99999999682936402</v>
      </c>
    </row>
    <row r="3521" spans="1:40" x14ac:dyDescent="0.25">
      <c r="A3521" t="str">
        <f>"20190312154905786"</f>
        <v>20190312154905786</v>
      </c>
      <c r="B3521" t="str">
        <f>"1552376945779457"</f>
        <v>1552376945779457</v>
      </c>
      <c r="C3521" t="s">
        <v>40</v>
      </c>
      <c r="D3521">
        <v>5.1327299999999996</v>
      </c>
      <c r="E3521">
        <v>0.48072100000000001</v>
      </c>
      <c r="F3521" t="s">
        <v>51</v>
      </c>
      <c r="G3521">
        <v>-296.34789999999998</v>
      </c>
      <c r="H3521" s="1">
        <v>2.0204300000000002E-6</v>
      </c>
      <c r="I3521">
        <v>214.50380000000001</v>
      </c>
      <c r="J3521">
        <v>-318.57139999999998</v>
      </c>
      <c r="K3521">
        <v>1.1093029999999999</v>
      </c>
      <c r="L3521">
        <v>215.71379999999999</v>
      </c>
      <c r="M3521">
        <v>0.99957879999999999</v>
      </c>
      <c r="N3521">
        <v>0</v>
      </c>
      <c r="O3521">
        <v>-2.5118830000000002E-2</v>
      </c>
      <c r="P3521">
        <v>0.99367890000000003</v>
      </c>
      <c r="Q3521">
        <v>2.846926E-2</v>
      </c>
      <c r="R3521">
        <v>-0.10859009999999999</v>
      </c>
      <c r="S3521">
        <v>3.0054319999999999</v>
      </c>
      <c r="T3521">
        <v>-0.14776149999999999</v>
      </c>
      <c r="U3521">
        <v>-0.162384</v>
      </c>
      <c r="V3521">
        <v>8.3669309999999997E-2</v>
      </c>
      <c r="W3521">
        <v>4.2796720000000003E-2</v>
      </c>
      <c r="X3521">
        <v>0.99557419999999996</v>
      </c>
      <c r="Y3521">
        <v>2.8845079999999999E-2</v>
      </c>
      <c r="Z3521">
        <v>5.2500500000000005E-4</v>
      </c>
      <c r="AA3521">
        <v>0.99958380000000002</v>
      </c>
      <c r="AB3521">
        <v>33</v>
      </c>
      <c r="AC3521">
        <v>22.223500000000001</v>
      </c>
      <c r="AD3521">
        <v>-1.10930097957</v>
      </c>
      <c r="AE3521">
        <v>-1.20999999999997</v>
      </c>
      <c r="AF3521">
        <v>0.649716802394812</v>
      </c>
      <c r="AG3521">
        <v>-1.10930097957</v>
      </c>
      <c r="AH3521">
        <v>22.191754404334699</v>
      </c>
      <c r="AI3521">
        <v>92.860443112740299</v>
      </c>
      <c r="AJ3521">
        <v>88.323007764541202</v>
      </c>
      <c r="AK3521">
        <v>22.228959582690699</v>
      </c>
      <c r="AL3521">
        <v>87.547179553564206</v>
      </c>
      <c r="AM3521">
        <v>85.196079208965898</v>
      </c>
      <c r="AN3521">
        <v>1.00000005019213</v>
      </c>
    </row>
    <row r="3522" spans="1:40" x14ac:dyDescent="0.25">
      <c r="A3522" t="str">
        <f>"20190312154905808"</f>
        <v>20190312154905808</v>
      </c>
      <c r="B3522" t="str">
        <f>"1552376945798977"</f>
        <v>1552376945798977</v>
      </c>
      <c r="C3522" t="s">
        <v>40</v>
      </c>
      <c r="D3522">
        <v>5.1344279999999998</v>
      </c>
      <c r="E3522">
        <v>0.48039500000000002</v>
      </c>
      <c r="F3522" t="s">
        <v>51</v>
      </c>
      <c r="G3522">
        <v>-295.50490000000002</v>
      </c>
      <c r="H3522" s="1">
        <v>1.870894E-6</v>
      </c>
      <c r="I3522">
        <v>214.45339999999999</v>
      </c>
      <c r="J3522">
        <v>-318.24020000000002</v>
      </c>
      <c r="K3522">
        <v>1.1093150000000001</v>
      </c>
      <c r="L3522">
        <v>215.7047</v>
      </c>
      <c r="M3522">
        <v>0.99955930000000004</v>
      </c>
      <c r="N3522">
        <v>0</v>
      </c>
      <c r="O3522">
        <v>-2.58853E-2</v>
      </c>
      <c r="P3522">
        <v>0.99358349999999995</v>
      </c>
      <c r="Q3522">
        <v>2.8303990000000001E-2</v>
      </c>
      <c r="R3522">
        <v>-0.1095023</v>
      </c>
      <c r="S3522">
        <v>3.0052490000000001</v>
      </c>
      <c r="T3522">
        <v>-0.14452670000000001</v>
      </c>
      <c r="U3522">
        <v>-0.1642151</v>
      </c>
      <c r="V3522">
        <v>8.3818450000000003E-2</v>
      </c>
      <c r="W3522">
        <v>4.2629500000000001E-2</v>
      </c>
      <c r="X3522">
        <v>0.99556880000000003</v>
      </c>
      <c r="Y3522">
        <v>2.8690380000000001E-2</v>
      </c>
      <c r="Z3522">
        <v>5.5405470000000003E-4</v>
      </c>
      <c r="AA3522">
        <v>0.99958820000000004</v>
      </c>
      <c r="AB3522">
        <v>33</v>
      </c>
      <c r="AC3522">
        <v>22.735299999999899</v>
      </c>
      <c r="AD3522">
        <v>-1.1093131291060001</v>
      </c>
      <c r="AE3522">
        <v>-1.2513000000000101</v>
      </c>
      <c r="AF3522">
        <v>0.66074013858071401</v>
      </c>
      <c r="AG3522">
        <v>-1.1093131291060001</v>
      </c>
      <c r="AH3522">
        <v>22.7061802987925</v>
      </c>
      <c r="AI3522">
        <v>92.7957866371694</v>
      </c>
      <c r="AJ3522">
        <v>88.3331876842947</v>
      </c>
      <c r="AK3522">
        <v>22.7428621090313</v>
      </c>
      <c r="AL3522">
        <v>87.556769234234295</v>
      </c>
      <c r="AM3522">
        <v>85.187530452312302</v>
      </c>
      <c r="AN3522">
        <v>1.0000000211820399</v>
      </c>
    </row>
    <row r="3523" spans="1:40" x14ac:dyDescent="0.25">
      <c r="A3523" t="str">
        <f>"20190312154905830"</f>
        <v>20190312154905830</v>
      </c>
      <c r="B3523" t="str">
        <f>"1552376945819473"</f>
        <v>1552376945819473</v>
      </c>
      <c r="C3523" t="s">
        <v>40</v>
      </c>
      <c r="D3523">
        <v>5.1449379999999998</v>
      </c>
      <c r="E3523">
        <v>0.48026920000000001</v>
      </c>
      <c r="F3523" t="s">
        <v>51</v>
      </c>
      <c r="G3523">
        <v>-295.16910000000001</v>
      </c>
      <c r="H3523" s="1">
        <v>1.811319E-6</v>
      </c>
      <c r="I3523">
        <v>214.44380000000001</v>
      </c>
      <c r="J3523">
        <v>-317.92169999999999</v>
      </c>
      <c r="K3523">
        <v>1.1093309999999901</v>
      </c>
      <c r="L3523">
        <v>215.69560000000001</v>
      </c>
      <c r="M3523">
        <v>0.99954030000000005</v>
      </c>
      <c r="N3523">
        <v>0</v>
      </c>
      <c r="O3523">
        <v>-2.6609910000000001E-2</v>
      </c>
      <c r="P3523">
        <v>0.99348499999999995</v>
      </c>
      <c r="Q3523">
        <v>2.789498E-2</v>
      </c>
      <c r="R3523">
        <v>-0.11049539999999999</v>
      </c>
      <c r="S3523">
        <v>3.0053709999999998</v>
      </c>
      <c r="T3523">
        <v>-0.14450539999999901</v>
      </c>
      <c r="U3523">
        <v>-0.16424559999999999</v>
      </c>
      <c r="V3523">
        <v>8.4089769999999994E-2</v>
      </c>
      <c r="W3523">
        <v>4.2219310000000003E-2</v>
      </c>
      <c r="X3523">
        <v>0.99556339999999999</v>
      </c>
      <c r="Y3523">
        <v>2.7975300000000002E-2</v>
      </c>
      <c r="Z3523">
        <v>6.058964E-4</v>
      </c>
      <c r="AA3523">
        <v>0.99960850000000001</v>
      </c>
      <c r="AB3523">
        <v>33</v>
      </c>
      <c r="AC3523">
        <v>22.752599999999902</v>
      </c>
      <c r="AD3523">
        <v>-1.1093291886809999</v>
      </c>
      <c r="AE3523">
        <v>-1.2518</v>
      </c>
      <c r="AF3523">
        <v>0.64432104921230204</v>
      </c>
      <c r="AG3523">
        <v>-1.1093291886809999</v>
      </c>
      <c r="AH3523">
        <v>22.723999646272102</v>
      </c>
      <c r="AI3523">
        <v>92.793697808458703</v>
      </c>
      <c r="AJ3523">
        <v>88.375858613369402</v>
      </c>
      <c r="AK3523">
        <v>22.760182793358499</v>
      </c>
      <c r="AL3523">
        <v>87.580292568976105</v>
      </c>
      <c r="AM3523">
        <v>85.171999960970396</v>
      </c>
      <c r="AN3523">
        <v>1.00000002148754</v>
      </c>
    </row>
    <row r="3524" spans="1:40" x14ac:dyDescent="0.25">
      <c r="A3524" t="str">
        <f>"20190312154905852"</f>
        <v>20190312154905852</v>
      </c>
      <c r="B3524" t="str">
        <f>"1552376945838993"</f>
        <v>1552376945838993</v>
      </c>
      <c r="C3524" t="s">
        <v>40</v>
      </c>
      <c r="D3524">
        <v>5.11158</v>
      </c>
      <c r="E3524">
        <v>0.4802034</v>
      </c>
      <c r="F3524" t="s">
        <v>51</v>
      </c>
      <c r="G3524">
        <v>-294.75150000000002</v>
      </c>
      <c r="H3524" s="1">
        <v>1.7372530000000001E-6</v>
      </c>
      <c r="I3524">
        <v>214.4143</v>
      </c>
      <c r="J3524">
        <v>-317.584</v>
      </c>
      <c r="K3524">
        <v>1.1093420000000001</v>
      </c>
      <c r="L3524">
        <v>215.6859</v>
      </c>
      <c r="M3524">
        <v>0.99952010000000002</v>
      </c>
      <c r="N3524">
        <v>0</v>
      </c>
      <c r="O3524">
        <v>-2.735864E-2</v>
      </c>
      <c r="P3524">
        <v>0.99335370000000001</v>
      </c>
      <c r="Q3524">
        <v>2.7815349999999999E-2</v>
      </c>
      <c r="R3524">
        <v>-0.11168930000000001</v>
      </c>
      <c r="S3524">
        <v>3.0052189999999999</v>
      </c>
      <c r="T3524">
        <v>-0.14388219999999999</v>
      </c>
      <c r="U3524">
        <v>-0.1661987</v>
      </c>
      <c r="V3524">
        <v>8.4538909999999995E-2</v>
      </c>
      <c r="W3524">
        <v>4.213737E-2</v>
      </c>
      <c r="X3524">
        <v>0.99552879999999999</v>
      </c>
      <c r="Y3524">
        <v>2.7877949999999999E-2</v>
      </c>
      <c r="Z3524">
        <v>6.4141070000000005E-4</v>
      </c>
      <c r="AA3524">
        <v>0.99961109999999997</v>
      </c>
      <c r="AB3524">
        <v>33</v>
      </c>
      <c r="AC3524">
        <v>22.8324999999999</v>
      </c>
      <c r="AD3524">
        <v>-1.1093402627469999</v>
      </c>
      <c r="AE3524">
        <v>-1.2716000000000001</v>
      </c>
      <c r="AF3524">
        <v>0.644874249498958</v>
      </c>
      <c r="AG3524">
        <v>-1.1093402627469999</v>
      </c>
      <c r="AH3524">
        <v>22.805077271680499</v>
      </c>
      <c r="AI3524">
        <v>92.783814946533894</v>
      </c>
      <c r="AJ3524">
        <v>88.380240998652695</v>
      </c>
      <c r="AK3524">
        <v>22.841148131903001</v>
      </c>
      <c r="AL3524">
        <v>87.584991486845198</v>
      </c>
      <c r="AM3524">
        <v>85.146167646169403</v>
      </c>
      <c r="AN3524">
        <v>0.99999998844197202</v>
      </c>
    </row>
    <row r="3525" spans="1:40" x14ac:dyDescent="0.25">
      <c r="A3525" t="str">
        <f>"20190312154905875"</f>
        <v>20190312154905875</v>
      </c>
      <c r="B3525" t="str">
        <f>"1552376945869249"</f>
        <v>1552376945869249</v>
      </c>
      <c r="C3525" t="s">
        <v>40</v>
      </c>
      <c r="D3525">
        <v>5.1567170000000004</v>
      </c>
      <c r="E3525">
        <v>0.47993019999999997</v>
      </c>
      <c r="F3525" t="s">
        <v>51</v>
      </c>
      <c r="G3525">
        <v>-294.24009999999998</v>
      </c>
      <c r="H3525" s="1">
        <v>1.6465330000000001E-6</v>
      </c>
      <c r="I3525">
        <v>214.3715</v>
      </c>
      <c r="J3525">
        <v>-317.25209999999998</v>
      </c>
      <c r="K3525">
        <v>1.1093649999999999</v>
      </c>
      <c r="L3525">
        <v>215.67599999999999</v>
      </c>
      <c r="M3525">
        <v>0.99950059999999996</v>
      </c>
      <c r="N3525">
        <v>0</v>
      </c>
      <c r="O3525">
        <v>-2.8067580000000002E-2</v>
      </c>
      <c r="P3525">
        <v>0.9931913</v>
      </c>
      <c r="Q3525">
        <v>2.7237230000000001E-2</v>
      </c>
      <c r="R3525">
        <v>-0.1132668</v>
      </c>
      <c r="S3525">
        <v>3.0050349999999999</v>
      </c>
      <c r="T3525">
        <v>-0.14280409999999999</v>
      </c>
      <c r="U3525">
        <v>-0.16920470000000001</v>
      </c>
      <c r="V3525">
        <v>8.5410699999999895E-2</v>
      </c>
      <c r="W3525">
        <v>4.1557570000000002E-2</v>
      </c>
      <c r="X3525">
        <v>0.99547870000000005</v>
      </c>
      <c r="Y3525">
        <v>2.81696E-2</v>
      </c>
      <c r="Z3525">
        <v>6.6333159999999996E-4</v>
      </c>
      <c r="AA3525">
        <v>0.99960289999999996</v>
      </c>
      <c r="AB3525">
        <v>33</v>
      </c>
      <c r="AC3525">
        <v>23.011999999999901</v>
      </c>
      <c r="AD3525">
        <v>-1.109363353467</v>
      </c>
      <c r="AE3525">
        <v>-1.30449999999999</v>
      </c>
      <c r="AF3525">
        <v>0.65650588656688602</v>
      </c>
      <c r="AG3525">
        <v>-1.109363353467</v>
      </c>
      <c r="AH3525">
        <v>22.9863006321008</v>
      </c>
      <c r="AI3525">
        <v>92.761936775892394</v>
      </c>
      <c r="AJ3525">
        <v>88.364034543685506</v>
      </c>
      <c r="AK3525">
        <v>23.0224174182128</v>
      </c>
      <c r="AL3525">
        <v>87.618240569068405</v>
      </c>
      <c r="AM3525">
        <v>85.096110749175196</v>
      </c>
      <c r="AN3525">
        <v>0.99999993072624005</v>
      </c>
    </row>
    <row r="3526" spans="1:40" x14ac:dyDescent="0.25">
      <c r="A3526" t="str">
        <f>"20190312154905897"</f>
        <v>20190312154905897</v>
      </c>
      <c r="B3526" t="str">
        <f>"1552376945889748"</f>
        <v>1552376945889748</v>
      </c>
      <c r="C3526" t="s">
        <v>40</v>
      </c>
      <c r="D3526">
        <v>5.1311710000000001</v>
      </c>
      <c r="E3526">
        <v>0.47972769999999998</v>
      </c>
      <c r="F3526" t="s">
        <v>51</v>
      </c>
      <c r="G3526">
        <v>-294.32569999999998</v>
      </c>
      <c r="H3526" s="1">
        <v>1.6617159999999999E-6</v>
      </c>
      <c r="I3526">
        <v>214.3647</v>
      </c>
      <c r="J3526">
        <v>-316.92239999999998</v>
      </c>
      <c r="K3526">
        <v>1.109386</v>
      </c>
      <c r="L3526">
        <v>215.666</v>
      </c>
      <c r="M3526">
        <v>0.99948159999999997</v>
      </c>
      <c r="N3526">
        <v>0</v>
      </c>
      <c r="O3526">
        <v>-2.873767E-2</v>
      </c>
      <c r="P3526">
        <v>0.99301110000000004</v>
      </c>
      <c r="Q3526">
        <v>2.6457809999999998E-2</v>
      </c>
      <c r="R3526">
        <v>-0.1150196</v>
      </c>
      <c r="S3526">
        <v>3.0049440000000001</v>
      </c>
      <c r="T3526">
        <v>-0.14540349999999999</v>
      </c>
      <c r="U3526">
        <v>-0.171875</v>
      </c>
      <c r="V3526">
        <v>8.6496229999999993E-2</v>
      </c>
      <c r="W3526">
        <v>4.0777170000000001E-2</v>
      </c>
      <c r="X3526">
        <v>0.99541729999999995</v>
      </c>
      <c r="Y3526">
        <v>2.838709E-2</v>
      </c>
      <c r="Z3526">
        <v>7.0249560000000002E-4</v>
      </c>
      <c r="AA3526">
        <v>0.99959679999999995</v>
      </c>
      <c r="AB3526">
        <v>33</v>
      </c>
      <c r="AC3526">
        <v>22.596699999999998</v>
      </c>
      <c r="AD3526">
        <v>-1.1093843382840001</v>
      </c>
      <c r="AE3526">
        <v>-1.3012999999999899</v>
      </c>
      <c r="AF3526">
        <v>0.64975656889899103</v>
      </c>
      <c r="AG3526">
        <v>-1.1093843382840001</v>
      </c>
      <c r="AH3526">
        <v>22.5705432674952</v>
      </c>
      <c r="AI3526">
        <v>92.812766512950901</v>
      </c>
      <c r="AJ3526">
        <v>88.351035258430898</v>
      </c>
      <c r="AK3526">
        <v>22.6071303043692</v>
      </c>
      <c r="AL3526">
        <v>87.662992271689603</v>
      </c>
      <c r="AM3526">
        <v>85.033789552382999</v>
      </c>
      <c r="AN3526">
        <v>0.99999998826835501</v>
      </c>
    </row>
    <row r="3527" spans="1:40" x14ac:dyDescent="0.25">
      <c r="A3527" t="str">
        <f>"20190312154905919"</f>
        <v>20190312154905919</v>
      </c>
      <c r="B3527" t="str">
        <f>"1552376945909265"</f>
        <v>1552376945909265</v>
      </c>
      <c r="C3527" t="s">
        <v>40</v>
      </c>
      <c r="D3527">
        <v>5.1667310000000004</v>
      </c>
      <c r="E3527">
        <v>0.47961540000000003</v>
      </c>
      <c r="F3527" t="s">
        <v>51</v>
      </c>
      <c r="G3527">
        <v>-294.66469999999998</v>
      </c>
      <c r="H3527" s="1">
        <v>1.72185399999999E-6</v>
      </c>
      <c r="I3527">
        <v>214.3683</v>
      </c>
      <c r="J3527">
        <v>-316.60719999999998</v>
      </c>
      <c r="K3527">
        <v>1.109413</v>
      </c>
      <c r="L3527">
        <v>215.65639999999999</v>
      </c>
      <c r="M3527">
        <v>0.99946420000000002</v>
      </c>
      <c r="N3527">
        <v>0</v>
      </c>
      <c r="O3527">
        <v>-2.9339710000000001E-2</v>
      </c>
      <c r="P3527">
        <v>0.99286890000000005</v>
      </c>
      <c r="Q3527">
        <v>2.5558640000000001E-2</v>
      </c>
      <c r="R3527">
        <v>-0.11644019999999999</v>
      </c>
      <c r="S3527">
        <v>3.0048520000000001</v>
      </c>
      <c r="T3527">
        <v>-0.1497703</v>
      </c>
      <c r="U3527">
        <v>-0.17520139999999901</v>
      </c>
      <c r="V3527">
        <v>8.7316089999999999E-2</v>
      </c>
      <c r="W3527">
        <v>3.9879060000000001E-2</v>
      </c>
      <c r="X3527">
        <v>0.99538210000000005</v>
      </c>
      <c r="Y3527">
        <v>2.8889749999999999E-2</v>
      </c>
      <c r="Z3527">
        <v>7.4099649999999904E-4</v>
      </c>
      <c r="AA3527">
        <v>0.99958239999999998</v>
      </c>
      <c r="AB3527">
        <v>33</v>
      </c>
      <c r="AC3527">
        <v>21.9424999999999</v>
      </c>
      <c r="AD3527">
        <v>-1.1094112781459999</v>
      </c>
      <c r="AE3527">
        <v>-1.28809999999998</v>
      </c>
      <c r="AF3527">
        <v>0.64205534586951396</v>
      </c>
      <c r="AG3527">
        <v>-1.1094112781459999</v>
      </c>
      <c r="AH3527">
        <v>21.9150190649123</v>
      </c>
      <c r="AI3527">
        <v>92.896788488506303</v>
      </c>
      <c r="AJ3527">
        <v>88.321856735500006</v>
      </c>
      <c r="AK3527">
        <v>21.952473415692999</v>
      </c>
      <c r="AL3527">
        <v>87.714492067815499</v>
      </c>
      <c r="AM3527">
        <v>84.986779386648394</v>
      </c>
      <c r="AN3527">
        <v>0.99999998199989004</v>
      </c>
    </row>
    <row r="3528" spans="1:40" x14ac:dyDescent="0.25">
      <c r="A3528" t="str">
        <f>"20190312154905933"</f>
        <v>20190312154905933</v>
      </c>
      <c r="B3528" t="str">
        <f>"1552376945919025"</f>
        <v>1552376945919025</v>
      </c>
      <c r="C3528" t="s">
        <v>40</v>
      </c>
      <c r="D3528">
        <v>5.1658359999999997</v>
      </c>
      <c r="E3528">
        <v>0.47957060000000001</v>
      </c>
      <c r="F3528" t="s">
        <v>51</v>
      </c>
      <c r="G3528">
        <v>-294.75839999999999</v>
      </c>
      <c r="H3528" s="1">
        <v>1.738463E-6</v>
      </c>
      <c r="I3528">
        <v>214.3569</v>
      </c>
      <c r="J3528">
        <v>-316.38900000000001</v>
      </c>
      <c r="K3528">
        <v>1.1094349999999999</v>
      </c>
      <c r="L3528">
        <v>215.64949999999999</v>
      </c>
      <c r="M3528">
        <v>0.99945269999999997</v>
      </c>
      <c r="N3528">
        <v>0</v>
      </c>
      <c r="O3528">
        <v>-2.9732109999999999E-2</v>
      </c>
      <c r="P3528">
        <v>0.99278290000000002</v>
      </c>
      <c r="Q3528">
        <v>2.5230969999999998E-2</v>
      </c>
      <c r="R3528">
        <v>-0.11724229999999999</v>
      </c>
      <c r="S3528">
        <v>3.004486</v>
      </c>
      <c r="T3528">
        <v>-0.15255750000000001</v>
      </c>
      <c r="U3528">
        <v>-0.17869570000000001</v>
      </c>
      <c r="V3528">
        <v>8.7726499999999999E-2</v>
      </c>
      <c r="W3528">
        <v>3.9553159999999997E-2</v>
      </c>
      <c r="X3528">
        <v>0.99535910000000005</v>
      </c>
      <c r="Y3528">
        <v>2.9662419999999998E-2</v>
      </c>
      <c r="Z3528">
        <v>7.5512229999999999E-4</v>
      </c>
      <c r="AA3528">
        <v>0.99955970000000005</v>
      </c>
      <c r="AB3528">
        <v>33</v>
      </c>
      <c r="AC3528">
        <v>21.630600000000001</v>
      </c>
      <c r="AD3528">
        <v>-1.1094332615369999</v>
      </c>
      <c r="AE3528">
        <v>-1.29259999999999</v>
      </c>
      <c r="AF3528">
        <v>0.64714105857015203</v>
      </c>
      <c r="AG3528">
        <v>-1.1094332615369999</v>
      </c>
      <c r="AH3528">
        <v>21.6028433488773</v>
      </c>
      <c r="AI3528">
        <v>92.938577118249498</v>
      </c>
      <c r="AJ3528">
        <v>88.284144099489794</v>
      </c>
      <c r="AK3528">
        <v>21.640990607355</v>
      </c>
      <c r="AL3528">
        <v>87.733179694453796</v>
      </c>
      <c r="AM3528">
        <v>84.963220988705402</v>
      </c>
      <c r="AN3528">
        <v>1.00000006461052</v>
      </c>
    </row>
    <row r="3529" spans="1:40" x14ac:dyDescent="0.25">
      <c r="A3529" t="str">
        <f>"20190312154905953"</f>
        <v>20190312154905953</v>
      </c>
      <c r="B3529" t="str">
        <f>"1552376945939521"</f>
        <v>1552376945939521</v>
      </c>
      <c r="C3529" t="s">
        <v>40</v>
      </c>
      <c r="D3529">
        <v>5.1601080000000001</v>
      </c>
      <c r="E3529">
        <v>0.47939510000000002</v>
      </c>
      <c r="F3529" t="s">
        <v>51</v>
      </c>
      <c r="G3529">
        <v>-294.66559999999998</v>
      </c>
      <c r="H3529" s="1">
        <v>1.7220190000000001E-6</v>
      </c>
      <c r="I3529">
        <v>214.34450000000001</v>
      </c>
      <c r="J3529">
        <v>-316.10289999999998</v>
      </c>
      <c r="K3529">
        <v>1.109464</v>
      </c>
      <c r="L3529">
        <v>215.6405</v>
      </c>
      <c r="M3529">
        <v>0.99943820000000005</v>
      </c>
      <c r="N3529">
        <v>0</v>
      </c>
      <c r="O3529">
        <v>-3.0216099999999999E-2</v>
      </c>
      <c r="P3529">
        <v>0.99275519999999995</v>
      </c>
      <c r="Q3529">
        <v>2.4120200000000001E-2</v>
      </c>
      <c r="R3529">
        <v>-0.11770899999999999</v>
      </c>
      <c r="S3529">
        <v>3.0043950000000001</v>
      </c>
      <c r="T3529">
        <v>-0.15343760000000001</v>
      </c>
      <c r="U3529">
        <v>-0.1804962</v>
      </c>
      <c r="V3529">
        <v>8.7706930000000002E-2</v>
      </c>
      <c r="W3529">
        <v>3.8447269999999999E-2</v>
      </c>
      <c r="X3529">
        <v>0.99540410000000001</v>
      </c>
      <c r="Y3529">
        <v>2.977757E-2</v>
      </c>
      <c r="Z3529">
        <v>7.8120640000000003E-4</v>
      </c>
      <c r="AA3529">
        <v>0.99955620000000001</v>
      </c>
      <c r="AB3529">
        <v>33</v>
      </c>
      <c r="AC3529">
        <v>21.4373</v>
      </c>
      <c r="AD3529">
        <v>-1.1094622779809999</v>
      </c>
      <c r="AE3529">
        <v>-1.29599999999999</v>
      </c>
      <c r="AF3529">
        <v>0.64586477264150299</v>
      </c>
      <c r="AG3529">
        <v>-1.1094622779809999</v>
      </c>
      <c r="AH3529">
        <v>21.409537891365702</v>
      </c>
      <c r="AI3529">
        <v>92.965120890244293</v>
      </c>
      <c r="AJ3529">
        <v>88.272073583762605</v>
      </c>
      <c r="AK3529">
        <v>21.447991993951899</v>
      </c>
      <c r="AL3529">
        <v>87.796590646304594</v>
      </c>
      <c r="AM3529">
        <v>84.964565294512099</v>
      </c>
      <c r="AN3529">
        <v>1.0000000102186399</v>
      </c>
    </row>
    <row r="3530" spans="1:40" x14ac:dyDescent="0.25">
      <c r="A3530" t="str">
        <f>"20190312154905974"</f>
        <v>20190312154905974</v>
      </c>
      <c r="B3530" t="str">
        <f>"1552376945969777"</f>
        <v>1552376945969777</v>
      </c>
      <c r="C3530" t="s">
        <v>40</v>
      </c>
      <c r="D3530">
        <v>5.2228300000000001</v>
      </c>
      <c r="E3530">
        <v>0.47907840000000002</v>
      </c>
      <c r="F3530" t="s">
        <v>51</v>
      </c>
      <c r="G3530">
        <v>-294.83769999999998</v>
      </c>
      <c r="H3530" s="1">
        <v>1.752541E-6</v>
      </c>
      <c r="I3530">
        <v>214.36279999999999</v>
      </c>
      <c r="J3530">
        <v>-315.78250000000003</v>
      </c>
      <c r="K3530">
        <v>1.1095029999999999</v>
      </c>
      <c r="L3530">
        <v>215.63030000000001</v>
      </c>
      <c r="M3530">
        <v>0.99942299999999995</v>
      </c>
      <c r="N3530">
        <v>0</v>
      </c>
      <c r="O3530">
        <v>-3.071753E-2</v>
      </c>
      <c r="P3530">
        <v>0.99271359999999997</v>
      </c>
      <c r="Q3530">
        <v>2.3943849999999999E-2</v>
      </c>
      <c r="R3530">
        <v>-0.1180963</v>
      </c>
      <c r="S3530">
        <v>3.0043030000000002</v>
      </c>
      <c r="T3530">
        <v>-0.15674250000000001</v>
      </c>
      <c r="U3530">
        <v>-0.18051149999999999</v>
      </c>
      <c r="V3530">
        <v>8.7591760000000005E-2</v>
      </c>
      <c r="W3530">
        <v>3.8275259999999998E-2</v>
      </c>
      <c r="X3530">
        <v>0.99542090000000005</v>
      </c>
      <c r="Y3530">
        <v>2.9284319999999999E-2</v>
      </c>
      <c r="Z3530">
        <v>8.3698219999999996E-4</v>
      </c>
      <c r="AA3530">
        <v>0.99957079999999998</v>
      </c>
      <c r="AB3530">
        <v>33</v>
      </c>
      <c r="AC3530">
        <v>20.944800000000001</v>
      </c>
      <c r="AD3530">
        <v>-1.109501247459</v>
      </c>
      <c r="AE3530">
        <v>-1.2675000000000101</v>
      </c>
      <c r="AF3530">
        <v>0.62172337621163098</v>
      </c>
      <c r="AG3530">
        <v>-1.109501247459</v>
      </c>
      <c r="AH3530">
        <v>20.915376257616</v>
      </c>
      <c r="AI3530">
        <v>93.035193909132005</v>
      </c>
      <c r="AJ3530">
        <v>88.297346482237799</v>
      </c>
      <c r="AK3530">
        <v>20.954009090679701</v>
      </c>
      <c r="AL3530">
        <v>87.806453418309104</v>
      </c>
      <c r="AM3530">
        <v>84.971227950606405</v>
      </c>
      <c r="AN3530">
        <v>1.0000000400523801</v>
      </c>
    </row>
    <row r="3531" spans="1:40" x14ac:dyDescent="0.25">
      <c r="A3531" t="str">
        <f>"20190312154906000"</f>
        <v>20190312154906000</v>
      </c>
      <c r="B3531" t="str">
        <f>"1552376945989299"</f>
        <v>1552376945989299</v>
      </c>
      <c r="C3531" t="s">
        <v>40</v>
      </c>
      <c r="D3531">
        <v>5.1977200000000003</v>
      </c>
      <c r="E3531">
        <v>0.47871269999999999</v>
      </c>
      <c r="F3531" t="s">
        <v>51</v>
      </c>
      <c r="G3531">
        <v>-294.74369999999999</v>
      </c>
      <c r="H3531" s="1">
        <v>1.7358580000000001E-6</v>
      </c>
      <c r="I3531">
        <v>214.37520000000001</v>
      </c>
      <c r="J3531">
        <v>-315.4128</v>
      </c>
      <c r="K3531">
        <v>1.1095429999999999</v>
      </c>
      <c r="L3531">
        <v>215.6183</v>
      </c>
      <c r="M3531">
        <v>0.99940649999999998</v>
      </c>
      <c r="N3531">
        <v>0</v>
      </c>
      <c r="O3531">
        <v>-3.124681E-2</v>
      </c>
      <c r="P3531">
        <v>0.99278299999999997</v>
      </c>
      <c r="Q3531">
        <v>2.3564519999999999E-2</v>
      </c>
      <c r="R3531">
        <v>-0.1175876</v>
      </c>
      <c r="S3531">
        <v>3.0045169999999999</v>
      </c>
      <c r="T3531">
        <v>-0.1584458</v>
      </c>
      <c r="U3531">
        <v>-0.17922969999999999</v>
      </c>
      <c r="V3531">
        <v>8.654937E-2</v>
      </c>
      <c r="W3531">
        <v>3.7903109999999997E-2</v>
      </c>
      <c r="X3531">
        <v>0.99552629999999998</v>
      </c>
      <c r="Y3531">
        <v>2.83279E-2</v>
      </c>
      <c r="Z3531">
        <v>8.9904600000000002E-4</v>
      </c>
      <c r="AA3531">
        <v>0.99959830000000005</v>
      </c>
      <c r="AB3531">
        <v>33</v>
      </c>
      <c r="AC3531">
        <v>20.6691</v>
      </c>
      <c r="AD3531">
        <v>-1.1095412641419999</v>
      </c>
      <c r="AE3531">
        <v>-1.2430999999999901</v>
      </c>
      <c r="AF3531">
        <v>0.59487345995755303</v>
      </c>
      <c r="AG3531">
        <v>-1.1095412641419999</v>
      </c>
      <c r="AH3531">
        <v>20.638592932812799</v>
      </c>
      <c r="AI3531">
        <v>93.076012875036596</v>
      </c>
      <c r="AJ3531">
        <v>88.349000600378005</v>
      </c>
      <c r="AK3531">
        <v>20.676955155354701</v>
      </c>
      <c r="AL3531">
        <v>87.827791496805801</v>
      </c>
      <c r="AM3531">
        <v>85.031295131695998</v>
      </c>
      <c r="AN3531">
        <v>1.00000002659337</v>
      </c>
    </row>
    <row r="3532" spans="1:40" x14ac:dyDescent="0.25">
      <c r="A3532" t="str">
        <f>"20190312154906020"</f>
        <v>20190312154906020</v>
      </c>
      <c r="B3532" t="str">
        <f>"1552376946009793"</f>
        <v>1552376946009793</v>
      </c>
      <c r="C3532" t="s">
        <v>40</v>
      </c>
      <c r="D3532">
        <v>5.2107789999999996</v>
      </c>
      <c r="E3532">
        <v>0.47836689999999998</v>
      </c>
      <c r="F3532" t="s">
        <v>51</v>
      </c>
      <c r="G3532">
        <v>-294.62900000000002</v>
      </c>
      <c r="H3532" s="1">
        <v>1.7155130000000001E-6</v>
      </c>
      <c r="I3532">
        <v>214.4084</v>
      </c>
      <c r="J3532">
        <v>-315.11239999999998</v>
      </c>
      <c r="K3532">
        <v>1.109577</v>
      </c>
      <c r="L3532">
        <v>215.60849999999999</v>
      </c>
      <c r="M3532">
        <v>0.99939440000000002</v>
      </c>
      <c r="N3532">
        <v>0</v>
      </c>
      <c r="O3532">
        <v>-3.1639199999999999E-2</v>
      </c>
      <c r="P3532">
        <v>0.99291790000000002</v>
      </c>
      <c r="Q3532">
        <v>2.2996059999999999E-2</v>
      </c>
      <c r="R3532">
        <v>-0.11655739999999901</v>
      </c>
      <c r="S3532">
        <v>3.004883</v>
      </c>
      <c r="T3532">
        <v>-0.1604149</v>
      </c>
      <c r="U3532">
        <v>-0.17492679999999999</v>
      </c>
      <c r="V3532">
        <v>8.5120760000000004E-2</v>
      </c>
      <c r="W3532">
        <v>3.7341319999999997E-2</v>
      </c>
      <c r="X3532">
        <v>0.99567070000000002</v>
      </c>
      <c r="Y3532">
        <v>2.650491E-2</v>
      </c>
      <c r="Z3532">
        <v>9.7962419999999997E-4</v>
      </c>
      <c r="AA3532">
        <v>0.99964819999999999</v>
      </c>
      <c r="AB3532">
        <v>33</v>
      </c>
      <c r="AC3532">
        <v>20.4833999999999</v>
      </c>
      <c r="AD3532">
        <v>-1.1095752844869999</v>
      </c>
      <c r="AE3532">
        <v>-1.20009999999999</v>
      </c>
      <c r="AF3532">
        <v>0.54974505164588205</v>
      </c>
      <c r="AG3532">
        <v>-1.1095752844869999</v>
      </c>
      <c r="AH3532">
        <v>20.4513114534812</v>
      </c>
      <c r="AI3532">
        <v>93.1043889127955</v>
      </c>
      <c r="AJ3532">
        <v>88.460221580460598</v>
      </c>
      <c r="AK3532">
        <v>20.4887656314637</v>
      </c>
      <c r="AL3532">
        <v>87.860002504795006</v>
      </c>
      <c r="AM3532">
        <v>85.113614883215902</v>
      </c>
      <c r="AN3532">
        <v>1.0000000304004</v>
      </c>
    </row>
    <row r="3533" spans="1:40" x14ac:dyDescent="0.25">
      <c r="A3533" t="str">
        <f>"20190312154906044"</f>
        <v>20190312154906044</v>
      </c>
      <c r="B3533" t="str">
        <f>"1552376946029313"</f>
        <v>1552376946029313</v>
      </c>
      <c r="C3533" t="s">
        <v>40</v>
      </c>
      <c r="D3533">
        <v>5.1590470000000002</v>
      </c>
      <c r="E3533">
        <v>0.47816629999999899</v>
      </c>
      <c r="F3533" t="s">
        <v>51</v>
      </c>
      <c r="G3533">
        <v>-294.63380000000001</v>
      </c>
      <c r="H3533" s="1">
        <v>1.7163659999999999E-6</v>
      </c>
      <c r="I3533">
        <v>214.45849999999999</v>
      </c>
      <c r="J3533">
        <v>-314.76769999999999</v>
      </c>
      <c r="K3533">
        <v>1.1096109999999999</v>
      </c>
      <c r="L3533">
        <v>215.59710000000001</v>
      </c>
      <c r="M3533">
        <v>0.99938130000000003</v>
      </c>
      <c r="N3533">
        <v>0</v>
      </c>
      <c r="O3533">
        <v>-3.2049759999999997E-2</v>
      </c>
      <c r="P3533">
        <v>0.99307840000000003</v>
      </c>
      <c r="Q3533">
        <v>2.2498819999999999E-2</v>
      </c>
      <c r="R3533">
        <v>-0.11527949999999999</v>
      </c>
      <c r="S3533">
        <v>3.0053709999999998</v>
      </c>
      <c r="T3533">
        <v>-0.1628377</v>
      </c>
      <c r="U3533">
        <v>-0.1687775</v>
      </c>
      <c r="V3533">
        <v>8.3425799999999994E-2</v>
      </c>
      <c r="W3533">
        <v>3.6851469999999997E-2</v>
      </c>
      <c r="X3533">
        <v>0.99583239999999995</v>
      </c>
      <c r="Y3533">
        <v>2.4050439999999999E-2</v>
      </c>
      <c r="Z3533">
        <v>1.0828980000000001E-3</v>
      </c>
      <c r="AA3533">
        <v>0.99971010000000005</v>
      </c>
      <c r="AB3533">
        <v>33</v>
      </c>
      <c r="AC3533">
        <v>20.133899999999901</v>
      </c>
      <c r="AD3533">
        <v>-1.1096092836339999</v>
      </c>
      <c r="AE3533">
        <v>-1.13860000000002</v>
      </c>
      <c r="AF3533">
        <v>0.49117350148831901</v>
      </c>
      <c r="AG3533">
        <v>-1.1096092836339999</v>
      </c>
      <c r="AH3533">
        <v>20.099198000990199</v>
      </c>
      <c r="AI3533">
        <v>93.158958932241106</v>
      </c>
      <c r="AJ3533">
        <v>88.600114861462004</v>
      </c>
      <c r="AK3533">
        <v>20.135795103593502</v>
      </c>
      <c r="AL3533">
        <v>87.888088176618794</v>
      </c>
      <c r="AM3533">
        <v>85.211231503764793</v>
      </c>
      <c r="AN3533">
        <v>1.00000003191827</v>
      </c>
    </row>
    <row r="3534" spans="1:40" x14ac:dyDescent="0.25">
      <c r="A3534" t="str">
        <f>"20190312154906064"</f>
        <v>20190312154906064</v>
      </c>
      <c r="B3534" t="str">
        <f>"1552376946059569"</f>
        <v>1552376946059569</v>
      </c>
      <c r="C3534" t="s">
        <v>40</v>
      </c>
      <c r="D3534">
        <v>5.1706490000000001</v>
      </c>
      <c r="E3534">
        <v>0.47806599999999999</v>
      </c>
      <c r="F3534" t="s">
        <v>51</v>
      </c>
      <c r="G3534">
        <v>-294.46210000000002</v>
      </c>
      <c r="H3534" s="1">
        <v>1.685916E-6</v>
      </c>
      <c r="I3534">
        <v>214.49299999999999</v>
      </c>
      <c r="J3534">
        <v>-314.46280000000002</v>
      </c>
      <c r="K3534">
        <v>1.109648</v>
      </c>
      <c r="L3534">
        <v>215.58699999999999</v>
      </c>
      <c r="M3534">
        <v>0.99937089999999995</v>
      </c>
      <c r="N3534">
        <v>0</v>
      </c>
      <c r="O3534">
        <v>-3.2374180000000002E-2</v>
      </c>
      <c r="P3534">
        <v>0.99312670000000003</v>
      </c>
      <c r="Q3534">
        <v>2.2478850000000002E-2</v>
      </c>
      <c r="R3534">
        <v>-0.11486590000000001</v>
      </c>
      <c r="S3534">
        <v>3.005646</v>
      </c>
      <c r="T3534">
        <v>-0.1642451</v>
      </c>
      <c r="U3534">
        <v>-0.1634369</v>
      </c>
      <c r="V3534">
        <v>8.2684300000000002E-2</v>
      </c>
      <c r="W3534">
        <v>3.6836220000000003E-2</v>
      </c>
      <c r="X3534">
        <v>0.99589479999999997</v>
      </c>
      <c r="Y3534">
        <v>2.1953629999999998E-2</v>
      </c>
      <c r="Z3534">
        <v>1.167104E-3</v>
      </c>
      <c r="AA3534">
        <v>0.99975829999999999</v>
      </c>
      <c r="AB3534">
        <v>33</v>
      </c>
      <c r="AC3534">
        <v>20.000699999999899</v>
      </c>
      <c r="AD3534">
        <v>-1.1096463140840001</v>
      </c>
      <c r="AE3534">
        <v>-1.0940000000000201</v>
      </c>
      <c r="AF3534">
        <v>0.44448817109482203</v>
      </c>
      <c r="AG3534">
        <v>-1.1096463140840001</v>
      </c>
      <c r="AH3534">
        <v>19.964366430534099</v>
      </c>
      <c r="AI3534">
        <v>93.180516571036904</v>
      </c>
      <c r="AJ3534">
        <v>88.724573122150503</v>
      </c>
      <c r="AK3534">
        <v>20.000120290869301</v>
      </c>
      <c r="AL3534">
        <v>87.888962519691603</v>
      </c>
      <c r="AM3534">
        <v>85.253895449603903</v>
      </c>
      <c r="AN3534">
        <v>1.0000000266186999</v>
      </c>
    </row>
    <row r="3535" spans="1:40" x14ac:dyDescent="0.25">
      <c r="A3535" t="str">
        <f>"20190312154906079"</f>
        <v>20190312154906079</v>
      </c>
      <c r="B3535" t="str">
        <f>"1552376946069330"</f>
        <v>1552376946069330</v>
      </c>
      <c r="C3535" t="s">
        <v>40</v>
      </c>
      <c r="D3535">
        <v>5.1566380000000001</v>
      </c>
      <c r="E3535">
        <v>0.47804340000000001</v>
      </c>
      <c r="F3535" t="s">
        <v>51</v>
      </c>
      <c r="G3535">
        <v>-294.137</v>
      </c>
      <c r="H3535" s="1">
        <v>1.628247E-6</v>
      </c>
      <c r="I3535">
        <v>214.49719999999999</v>
      </c>
      <c r="J3535">
        <v>-314.24470000000002</v>
      </c>
      <c r="K3535">
        <v>1.1096760000000001</v>
      </c>
      <c r="L3535">
        <v>215.5797</v>
      </c>
      <c r="M3535">
        <v>0.99936420000000004</v>
      </c>
      <c r="N3535">
        <v>0</v>
      </c>
      <c r="O3535">
        <v>-3.2579179999999999E-2</v>
      </c>
      <c r="P3535">
        <v>0.99311110000000002</v>
      </c>
      <c r="Q3535">
        <v>2.2238239999999999E-2</v>
      </c>
      <c r="R3535">
        <v>-0.1150466</v>
      </c>
      <c r="S3535">
        <v>3.0058289999999999</v>
      </c>
      <c r="T3535">
        <v>-0.16409749999999901</v>
      </c>
      <c r="U3535">
        <v>-0.16116329999999901</v>
      </c>
      <c r="V3535">
        <v>8.2658659999999995E-2</v>
      </c>
      <c r="W3535">
        <v>3.6597959999999999E-2</v>
      </c>
      <c r="X3535">
        <v>0.9959057</v>
      </c>
      <c r="Y3535">
        <v>2.099293E-2</v>
      </c>
      <c r="Z3535">
        <v>1.203368E-3</v>
      </c>
      <c r="AA3535">
        <v>0.99977890000000003</v>
      </c>
      <c r="AB3535">
        <v>33</v>
      </c>
      <c r="AC3535">
        <v>20.107700000000001</v>
      </c>
      <c r="AD3535">
        <v>-1.109674371753</v>
      </c>
      <c r="AE3535">
        <v>-1.08250000000001</v>
      </c>
      <c r="AF3535">
        <v>0.42547208358761601</v>
      </c>
      <c r="AG3535">
        <v>-1.109674371753</v>
      </c>
      <c r="AH3535">
        <v>20.0713426939474</v>
      </c>
      <c r="AI3535">
        <v>93.163752515905202</v>
      </c>
      <c r="AJ3535">
        <v>88.785626620676098</v>
      </c>
      <c r="AK3535">
        <v>20.106496493499701</v>
      </c>
      <c r="AL3535">
        <v>87.902622996625894</v>
      </c>
      <c r="AM3535">
        <v>85.255412165632293</v>
      </c>
      <c r="AN3535">
        <v>1.0000000140208201</v>
      </c>
    </row>
    <row r="3536" spans="1:40" x14ac:dyDescent="0.25">
      <c r="A3536" t="str">
        <f>"20190312154906097"</f>
        <v>20190312154906097</v>
      </c>
      <c r="B3536" t="str">
        <f>"1552376946089825"</f>
        <v>1552376946089825</v>
      </c>
      <c r="C3536" t="s">
        <v>40</v>
      </c>
      <c r="D3536">
        <v>5.153384</v>
      </c>
      <c r="E3536">
        <v>0.47797800000000001</v>
      </c>
      <c r="F3536" t="s">
        <v>51</v>
      </c>
      <c r="G3536">
        <v>-294.0052</v>
      </c>
      <c r="H3536" s="1">
        <v>1.6048690000000001E-6</v>
      </c>
      <c r="I3536">
        <v>214.494</v>
      </c>
      <c r="J3536">
        <v>-313.97809999999998</v>
      </c>
      <c r="K3536">
        <v>1.1097170000000001</v>
      </c>
      <c r="L3536">
        <v>215.57069999999999</v>
      </c>
      <c r="M3536">
        <v>0.99935680000000005</v>
      </c>
      <c r="N3536">
        <v>0</v>
      </c>
      <c r="O3536">
        <v>-3.280512E-2</v>
      </c>
      <c r="P3536">
        <v>0.99307440000000002</v>
      </c>
      <c r="Q3536">
        <v>2.2286609999999998E-2</v>
      </c>
      <c r="R3536">
        <v>-0.1153536</v>
      </c>
      <c r="S3536">
        <v>3.0058289999999999</v>
      </c>
      <c r="T3536">
        <v>-0.16480139999999999</v>
      </c>
      <c r="U3536">
        <v>-0.16123959999999901</v>
      </c>
      <c r="V3536">
        <v>8.2738350000000002E-2</v>
      </c>
      <c r="W3536">
        <v>3.6650380000000003E-2</v>
      </c>
      <c r="X3536">
        <v>0.99589709999999998</v>
      </c>
      <c r="Y3536">
        <v>2.0792979999999999E-2</v>
      </c>
      <c r="Z3536">
        <v>1.226354E-3</v>
      </c>
      <c r="AA3536">
        <v>0.99978299999999998</v>
      </c>
      <c r="AB3536">
        <v>33</v>
      </c>
      <c r="AC3536">
        <v>19.9728999999999</v>
      </c>
      <c r="AD3536">
        <v>-1.1097153951309999</v>
      </c>
      <c r="AE3536">
        <v>-1.07669999999995</v>
      </c>
      <c r="AF3536">
        <v>0.41954683464407899</v>
      </c>
      <c r="AG3536">
        <v>-1.1097153951309999</v>
      </c>
      <c r="AH3536">
        <v>19.936107605040402</v>
      </c>
      <c r="AI3536">
        <v>93.185297358381007</v>
      </c>
      <c r="AJ3536">
        <v>88.794412845694197</v>
      </c>
      <c r="AK3536">
        <v>19.971376373309901</v>
      </c>
      <c r="AL3536">
        <v>87.899617420694298</v>
      </c>
      <c r="AM3536">
        <v>85.250818067264106</v>
      </c>
      <c r="AN3536">
        <v>0.99999995935163699</v>
      </c>
    </row>
    <row r="3537" spans="1:40" x14ac:dyDescent="0.25">
      <c r="A3537" t="str">
        <f>"20190312154906120"</f>
        <v>20190312154906120</v>
      </c>
      <c r="B3537" t="str">
        <f>"1552376946109349"</f>
        <v>1552376946109349</v>
      </c>
      <c r="C3537" t="s">
        <v>40</v>
      </c>
      <c r="D3537">
        <v>5.1845350000000003</v>
      </c>
      <c r="E3537">
        <v>0.47792279999999998</v>
      </c>
      <c r="F3537" t="s">
        <v>51</v>
      </c>
      <c r="G3537">
        <v>-293.80290000000002</v>
      </c>
      <c r="H3537" s="1">
        <v>1.5689900000000001E-6</v>
      </c>
      <c r="I3537">
        <v>214.48599999999999</v>
      </c>
      <c r="J3537">
        <v>-313.65260000000001</v>
      </c>
      <c r="K3537">
        <v>1.1097669999999999</v>
      </c>
      <c r="L3537">
        <v>215.5598</v>
      </c>
      <c r="M3537">
        <v>0.99934909999999999</v>
      </c>
      <c r="N3537">
        <v>0</v>
      </c>
      <c r="O3537">
        <v>-3.3040779999999999E-2</v>
      </c>
      <c r="P3537">
        <v>0.99297360000000001</v>
      </c>
      <c r="Q3537">
        <v>2.2397429999999999E-2</v>
      </c>
      <c r="R3537">
        <v>-0.1161983</v>
      </c>
      <c r="S3537">
        <v>3.0058590000000001</v>
      </c>
      <c r="T3537">
        <v>-0.16533410000000001</v>
      </c>
      <c r="U3537">
        <v>-0.16160579999999999</v>
      </c>
      <c r="V3537">
        <v>8.3347099999999993E-2</v>
      </c>
      <c r="W3537">
        <v>3.6764749999999999E-2</v>
      </c>
      <c r="X3537">
        <v>0.99584220000000001</v>
      </c>
      <c r="Y3537">
        <v>2.0678780000000001E-2</v>
      </c>
      <c r="Z3537">
        <v>1.2463649999999999E-3</v>
      </c>
      <c r="AA3537">
        <v>0.99978540000000005</v>
      </c>
      <c r="AB3537">
        <v>33</v>
      </c>
      <c r="AC3537">
        <v>19.849699999999899</v>
      </c>
      <c r="AD3537">
        <v>-1.10976543101</v>
      </c>
      <c r="AE3537">
        <v>-1.0738000000000001</v>
      </c>
      <c r="AF3537">
        <v>0.41599873039084101</v>
      </c>
      <c r="AG3537">
        <v>-1.10976543101</v>
      </c>
      <c r="AH3537">
        <v>19.812594237820701</v>
      </c>
      <c r="AI3537">
        <v>93.2052609282091</v>
      </c>
      <c r="AJ3537">
        <v>88.797155509228006</v>
      </c>
      <c r="AK3537">
        <v>19.848010597742</v>
      </c>
      <c r="AL3537">
        <v>87.893060245658802</v>
      </c>
      <c r="AM3537">
        <v>85.215774887882802</v>
      </c>
      <c r="AN3537">
        <v>1.0000000366109001</v>
      </c>
    </row>
    <row r="3538" spans="1:40" x14ac:dyDescent="0.25">
      <c r="A3538" t="str">
        <f>"20190312154906143"</f>
        <v>20190312154906143</v>
      </c>
      <c r="B3538" t="str">
        <f>"1552376946139601"</f>
        <v>1552376946139601</v>
      </c>
      <c r="C3538" t="s">
        <v>40</v>
      </c>
      <c r="D3538">
        <v>5.1723600000000003</v>
      </c>
      <c r="E3538">
        <v>0.47784749999999998</v>
      </c>
      <c r="F3538" t="s">
        <v>51</v>
      </c>
      <c r="G3538">
        <v>-293.46879999999999</v>
      </c>
      <c r="H3538" s="1">
        <v>1.509719E-6</v>
      </c>
      <c r="I3538">
        <v>214.46129999999999</v>
      </c>
      <c r="J3538">
        <v>-313.31790000000001</v>
      </c>
      <c r="K3538">
        <v>1.1098129999999999</v>
      </c>
      <c r="L3538">
        <v>215.54839999999999</v>
      </c>
      <c r="M3538">
        <v>0.99934290000000003</v>
      </c>
      <c r="N3538">
        <v>0</v>
      </c>
      <c r="O3538">
        <v>-3.3232789999999998E-2</v>
      </c>
      <c r="P3538">
        <v>0.99296050000000002</v>
      </c>
      <c r="Q3538">
        <v>2.2500429999999998E-2</v>
      </c>
      <c r="R3538">
        <v>-0.1162895</v>
      </c>
      <c r="S3538">
        <v>3.0058289999999999</v>
      </c>
      <c r="T3538">
        <v>-0.16526959999999999</v>
      </c>
      <c r="U3538">
        <v>-0.1635895</v>
      </c>
      <c r="V3538">
        <v>8.3243289999999998E-2</v>
      </c>
      <c r="W3538">
        <v>3.6873870000000003E-2</v>
      </c>
      <c r="X3538">
        <v>0.99584680000000003</v>
      </c>
      <c r="Y3538">
        <v>2.1144670000000001E-2</v>
      </c>
      <c r="Z3538">
        <v>1.2436089999999999E-3</v>
      </c>
      <c r="AA3538">
        <v>0.99977559999999999</v>
      </c>
      <c r="AB3538">
        <v>33</v>
      </c>
      <c r="AC3538">
        <v>19.8491</v>
      </c>
      <c r="AD3538">
        <v>-1.1098114902809999</v>
      </c>
      <c r="AE3538">
        <v>-1.08709999999999</v>
      </c>
      <c r="AF3538">
        <v>0.42546326545496399</v>
      </c>
      <c r="AG3538">
        <v>-1.1098114902809999</v>
      </c>
      <c r="AH3538">
        <v>19.8125123184691</v>
      </c>
      <c r="AI3538">
        <v>93.205374466473302</v>
      </c>
      <c r="AJ3538">
        <v>88.769792397894193</v>
      </c>
      <c r="AK3538">
        <v>19.8481320255509</v>
      </c>
      <c r="AL3538">
        <v>87.886803786191805</v>
      </c>
      <c r="AM3538">
        <v>85.221728070070697</v>
      </c>
      <c r="AN3538">
        <v>0.99999998834451997</v>
      </c>
    </row>
    <row r="3539" spans="1:40" x14ac:dyDescent="0.25">
      <c r="A3539" t="str">
        <f>"20190312154906164"</f>
        <v>20190312154906164</v>
      </c>
      <c r="B3539" t="str">
        <f>"1552376946159121"</f>
        <v>1552376946159121</v>
      </c>
      <c r="C3539" t="s">
        <v>40</v>
      </c>
      <c r="D3539">
        <v>5.1108669999999998</v>
      </c>
      <c r="E3539">
        <v>0.47775600000000001</v>
      </c>
      <c r="F3539" t="s">
        <v>51</v>
      </c>
      <c r="G3539">
        <v>-293.22719999999998</v>
      </c>
      <c r="H3539" s="1">
        <v>1.4668629999999999E-6</v>
      </c>
      <c r="I3539">
        <v>214.4563</v>
      </c>
      <c r="J3539">
        <v>-313.00009999999997</v>
      </c>
      <c r="K3539">
        <v>1.109853</v>
      </c>
      <c r="L3539">
        <v>215.5377</v>
      </c>
      <c r="M3539">
        <v>0.99933859999999997</v>
      </c>
      <c r="N3539">
        <v>0</v>
      </c>
      <c r="O3539">
        <v>-3.336393E-2</v>
      </c>
      <c r="P3539">
        <v>0.99291099999999999</v>
      </c>
      <c r="Q3539">
        <v>2.19589E-2</v>
      </c>
      <c r="R3539">
        <v>-0.116816</v>
      </c>
      <c r="S3539">
        <v>3.00589</v>
      </c>
      <c r="T3539">
        <v>-0.16604539999999901</v>
      </c>
      <c r="U3539">
        <v>-0.16340639999999901</v>
      </c>
      <c r="V3539">
        <v>8.3636070000000007E-2</v>
      </c>
      <c r="W3539">
        <v>3.6337300000000003E-2</v>
      </c>
      <c r="X3539">
        <v>0.99583359999999999</v>
      </c>
      <c r="Y3539">
        <v>2.0952309999999998E-2</v>
      </c>
      <c r="Z3539">
        <v>1.2619479999999999E-3</v>
      </c>
      <c r="AA3539">
        <v>0.99977969999999905</v>
      </c>
      <c r="AB3539">
        <v>33</v>
      </c>
      <c r="AC3539">
        <v>19.7729</v>
      </c>
      <c r="AD3539">
        <v>-1.109851533137</v>
      </c>
      <c r="AE3539">
        <v>-1.0813999999999999</v>
      </c>
      <c r="AF3539">
        <v>0.419708776382061</v>
      </c>
      <c r="AG3539">
        <v>-1.109851533137</v>
      </c>
      <c r="AH3539">
        <v>19.735978902784101</v>
      </c>
      <c r="AI3539">
        <v>93.217908542233005</v>
      </c>
      <c r="AJ3539">
        <v>88.781721573340505</v>
      </c>
      <c r="AK3539">
        <v>19.771615744134699</v>
      </c>
      <c r="AL3539">
        <v>87.917567574204497</v>
      </c>
      <c r="AM3539">
        <v>85.199223784728602</v>
      </c>
      <c r="AN3539">
        <v>0.99999997523264705</v>
      </c>
    </row>
    <row r="3540" spans="1:40" x14ac:dyDescent="0.25">
      <c r="A3540" t="str">
        <f>"20190312154906178"</f>
        <v>20190312154906178</v>
      </c>
      <c r="B3540" t="str">
        <f>"1552376946169857"</f>
        <v>1552376946169857</v>
      </c>
      <c r="C3540" t="s">
        <v>40</v>
      </c>
      <c r="D3540">
        <v>5.1164449999999997</v>
      </c>
      <c r="E3540">
        <v>0.47772619999999999</v>
      </c>
      <c r="F3540" t="s">
        <v>51</v>
      </c>
      <c r="G3540">
        <v>-293.24549999999999</v>
      </c>
      <c r="H3540" s="1">
        <v>1.470111E-6</v>
      </c>
      <c r="I3540">
        <v>214.4572</v>
      </c>
      <c r="J3540">
        <v>-312.7989</v>
      </c>
      <c r="K3540">
        <v>1.1098790000000001</v>
      </c>
      <c r="L3540">
        <v>215.5309</v>
      </c>
      <c r="M3540">
        <v>0.99933669999999997</v>
      </c>
      <c r="N3540">
        <v>0</v>
      </c>
      <c r="O3540">
        <v>-3.3416590000000003E-2</v>
      </c>
      <c r="P3540">
        <v>0.99290599999999996</v>
      </c>
      <c r="Q3540">
        <v>2.176639E-2</v>
      </c>
      <c r="R3540">
        <v>-0.1168936</v>
      </c>
      <c r="S3540">
        <v>3.0057680000000002</v>
      </c>
      <c r="T3540">
        <v>-0.16886989999999999</v>
      </c>
      <c r="U3540">
        <v>-0.16441349999999999</v>
      </c>
      <c r="V3540">
        <v>8.3658839999999998E-2</v>
      </c>
      <c r="W3540">
        <v>3.6147650000000003E-2</v>
      </c>
      <c r="X3540">
        <v>0.99583860000000002</v>
      </c>
      <c r="Y3540">
        <v>2.1236089999999999E-2</v>
      </c>
      <c r="Z3540">
        <v>1.2784109999999999E-3</v>
      </c>
      <c r="AA3540">
        <v>0.99977369999999999</v>
      </c>
      <c r="AB3540">
        <v>33</v>
      </c>
      <c r="AC3540">
        <v>19.5534</v>
      </c>
      <c r="AD3540">
        <v>-1.109877529889</v>
      </c>
      <c r="AE3540">
        <v>-1.0737000000000001</v>
      </c>
      <c r="AF3540">
        <v>0.41828023434420902</v>
      </c>
      <c r="AG3540">
        <v>-1.109877529889</v>
      </c>
      <c r="AH3540">
        <v>19.515672894022401</v>
      </c>
      <c r="AI3540">
        <v>93.254221315539695</v>
      </c>
      <c r="AJ3540">
        <v>88.772165147773094</v>
      </c>
      <c r="AK3540">
        <v>19.551682152497101</v>
      </c>
      <c r="AL3540">
        <v>87.928440884198494</v>
      </c>
      <c r="AM3540">
        <v>85.197946878087293</v>
      </c>
      <c r="AN3540">
        <v>0.99999998568031401</v>
      </c>
    </row>
    <row r="3541" spans="1:40" x14ac:dyDescent="0.25">
      <c r="A3541" t="str">
        <f>"20190312154906199"</f>
        <v>20190312154906199</v>
      </c>
      <c r="B3541" t="str">
        <f>"1552376946189378"</f>
        <v>1552376946189378</v>
      </c>
      <c r="C3541" t="s">
        <v>40</v>
      </c>
      <c r="D3541">
        <v>5.1145259999999997</v>
      </c>
      <c r="E3541">
        <v>0.47767389999999998</v>
      </c>
      <c r="F3541" t="s">
        <v>51</v>
      </c>
      <c r="G3541">
        <v>-293.13130000000001</v>
      </c>
      <c r="H3541" s="1">
        <v>1.449858E-6</v>
      </c>
      <c r="I3541">
        <v>214.45660000000001</v>
      </c>
      <c r="J3541">
        <v>-312.5034</v>
      </c>
      <c r="K3541">
        <v>1.1099139999999901</v>
      </c>
      <c r="L3541">
        <v>215.52099999999999</v>
      </c>
      <c r="M3541">
        <v>0.99933510000000003</v>
      </c>
      <c r="N3541">
        <v>0</v>
      </c>
      <c r="O3541">
        <v>-3.3471340000000002E-2</v>
      </c>
      <c r="P3541">
        <v>0.99293339999999997</v>
      </c>
      <c r="Q3541">
        <v>2.1301710000000001E-2</v>
      </c>
      <c r="R3541">
        <v>-0.116746</v>
      </c>
      <c r="S3541">
        <v>3.0058289999999999</v>
      </c>
      <c r="T3541">
        <v>-0.16962469999999999</v>
      </c>
      <c r="U3541">
        <v>-0.16418460000000001</v>
      </c>
      <c r="V3541">
        <v>8.3452559999999995E-2</v>
      </c>
      <c r="W3541">
        <v>3.5687789999999997E-2</v>
      </c>
      <c r="X3541">
        <v>0.99587250000000005</v>
      </c>
      <c r="Y3541">
        <v>2.110478E-2</v>
      </c>
      <c r="Z3541">
        <v>1.2908749999999999E-3</v>
      </c>
      <c r="AA3541">
        <v>0.99977640000000001</v>
      </c>
      <c r="AB3541">
        <v>33</v>
      </c>
      <c r="AC3541">
        <v>19.3720999999999</v>
      </c>
      <c r="AD3541">
        <v>-1.10991255014199</v>
      </c>
      <c r="AE3541">
        <v>-1.06439999999997</v>
      </c>
      <c r="AF3541">
        <v>0.413970714923726</v>
      </c>
      <c r="AG3541">
        <v>-1.10991255014199</v>
      </c>
      <c r="AH3541">
        <v>19.3335993786519</v>
      </c>
      <c r="AI3541">
        <v>93.284905934898106</v>
      </c>
      <c r="AJ3541">
        <v>88.773371138339897</v>
      </c>
      <c r="AK3541">
        <v>19.369856544538099</v>
      </c>
      <c r="AL3541">
        <v>87.954805947332304</v>
      </c>
      <c r="AM3541">
        <v>85.209894575327397</v>
      </c>
      <c r="AN3541">
        <v>0.99999999219094304</v>
      </c>
    </row>
    <row r="3542" spans="1:40" x14ac:dyDescent="0.25">
      <c r="A3542" t="str">
        <f>"20190312154906221"</f>
        <v>20190312154906221</v>
      </c>
      <c r="B3542" t="str">
        <f>"1552376946208897"</f>
        <v>1552376946208897</v>
      </c>
      <c r="C3542" t="s">
        <v>40</v>
      </c>
      <c r="D3542">
        <v>5.0754210000000004</v>
      </c>
      <c r="E3542">
        <v>0.47757290000000002</v>
      </c>
      <c r="F3542" t="s">
        <v>51</v>
      </c>
      <c r="G3542">
        <v>-293.03179999999998</v>
      </c>
      <c r="H3542" s="1">
        <v>1.432207E-6</v>
      </c>
      <c r="I3542">
        <v>214.46199999999999</v>
      </c>
      <c r="J3542">
        <v>-312.18099999999998</v>
      </c>
      <c r="K3542">
        <v>1.109942</v>
      </c>
      <c r="L3542">
        <v>215.51009999999999</v>
      </c>
      <c r="M3542">
        <v>0.99933399999999994</v>
      </c>
      <c r="N3542">
        <v>0</v>
      </c>
      <c r="O3542">
        <v>-3.3502190000000001E-2</v>
      </c>
      <c r="P3542">
        <v>0.9929576</v>
      </c>
      <c r="Q3542">
        <v>2.0853500000000001E-2</v>
      </c>
      <c r="R3542">
        <v>-0.1166213</v>
      </c>
      <c r="S3542">
        <v>3.005798</v>
      </c>
      <c r="T3542">
        <v>-0.17133579999999901</v>
      </c>
      <c r="U3542">
        <v>-0.16346739999999901</v>
      </c>
      <c r="V3542">
        <v>8.3293469999999994E-2</v>
      </c>
      <c r="W3542">
        <v>3.5243190000000001E-2</v>
      </c>
      <c r="X3542">
        <v>0.99590160000000005</v>
      </c>
      <c r="Y3542">
        <v>2.083751E-2</v>
      </c>
      <c r="Z3542">
        <v>1.313259E-3</v>
      </c>
      <c r="AA3542">
        <v>0.99978199999999995</v>
      </c>
      <c r="AB3542">
        <v>33</v>
      </c>
      <c r="AC3542">
        <v>19.1492</v>
      </c>
      <c r="AD3542">
        <v>-1.1099405677930001</v>
      </c>
      <c r="AE3542">
        <v>-1.0480999999999701</v>
      </c>
      <c r="AF3542">
        <v>0.40454918317041999</v>
      </c>
      <c r="AG3542">
        <v>-1.1099405677930001</v>
      </c>
      <c r="AH3542">
        <v>19.109555279893499</v>
      </c>
      <c r="AI3542">
        <v>93.323433759157894</v>
      </c>
      <c r="AJ3542">
        <v>88.787229807402497</v>
      </c>
      <c r="AK3542">
        <v>19.1460369554888</v>
      </c>
      <c r="AL3542">
        <v>87.980295582897298</v>
      </c>
      <c r="AM3542">
        <v>85.219122887510693</v>
      </c>
      <c r="AN3542">
        <v>0.999999940734286</v>
      </c>
    </row>
    <row r="3543" spans="1:40" x14ac:dyDescent="0.25">
      <c r="A3543" t="str">
        <f>"20190312154906243"</f>
        <v>20190312154906243</v>
      </c>
      <c r="B3543" t="str">
        <f>"1552376946239154"</f>
        <v>1552376946239154</v>
      </c>
      <c r="C3543" t="s">
        <v>40</v>
      </c>
      <c r="D3543">
        <v>5.0654529999999998</v>
      </c>
      <c r="E3543">
        <v>0.47744120000000001</v>
      </c>
      <c r="F3543" t="s">
        <v>51</v>
      </c>
      <c r="G3543">
        <v>-292.87360000000001</v>
      </c>
      <c r="H3543" s="1">
        <v>1.404136E-6</v>
      </c>
      <c r="I3543">
        <v>214.46789999999999</v>
      </c>
      <c r="J3543">
        <v>-311.86360000000002</v>
      </c>
      <c r="K3543">
        <v>1.1099619999999999</v>
      </c>
      <c r="L3543">
        <v>215.49950000000001</v>
      </c>
      <c r="M3543">
        <v>0.9993339</v>
      </c>
      <c r="N3543">
        <v>0</v>
      </c>
      <c r="O3543">
        <v>-3.3508040000000003E-2</v>
      </c>
      <c r="P3543">
        <v>0.9930061</v>
      </c>
      <c r="Q3543">
        <v>2.071628E-2</v>
      </c>
      <c r="R3543">
        <v>-0.11623319999999999</v>
      </c>
      <c r="S3543">
        <v>3.0058590000000001</v>
      </c>
      <c r="T3543">
        <v>-0.17280029999999999</v>
      </c>
      <c r="U3543">
        <v>-0.16226199999999999</v>
      </c>
      <c r="V3543">
        <v>8.2895679999999999E-2</v>
      </c>
      <c r="W3543">
        <v>3.5108809999999997E-2</v>
      </c>
      <c r="X3543">
        <v>0.99593960000000004</v>
      </c>
      <c r="Y3543">
        <v>2.0431810000000002E-2</v>
      </c>
      <c r="Z3543">
        <v>1.336435E-3</v>
      </c>
      <c r="AA3543">
        <v>0.99979039999999997</v>
      </c>
      <c r="AB3543">
        <v>32</v>
      </c>
      <c r="AC3543">
        <v>18.989999999999998</v>
      </c>
      <c r="AD3543">
        <v>-1.109960595864</v>
      </c>
      <c r="AE3543">
        <v>-1.0316000000000201</v>
      </c>
      <c r="AF3543">
        <v>0.39329671237165398</v>
      </c>
      <c r="AG3543">
        <v>-1.109960595864</v>
      </c>
      <c r="AH3543">
        <v>18.9493568269978</v>
      </c>
      <c r="AI3543">
        <v>93.351555797450899</v>
      </c>
      <c r="AJ3543">
        <v>88.810988308530796</v>
      </c>
      <c r="AK3543">
        <v>18.985911065451099</v>
      </c>
      <c r="AL3543">
        <v>87.987999886571401</v>
      </c>
      <c r="AM3543">
        <v>85.242030863203794</v>
      </c>
      <c r="AN3543">
        <v>1.00000000457521</v>
      </c>
    </row>
    <row r="3544" spans="1:40" x14ac:dyDescent="0.25">
      <c r="A3544" t="str">
        <f>"20190312154906265"</f>
        <v>20190312154906265</v>
      </c>
      <c r="B3544" t="str">
        <f>"1552376946259650"</f>
        <v>1552376946259650</v>
      </c>
      <c r="C3544" t="s">
        <v>40</v>
      </c>
      <c r="D3544">
        <v>5.0529159999999997</v>
      </c>
      <c r="E3544">
        <v>0.47740260000000001</v>
      </c>
      <c r="F3544" t="s">
        <v>51</v>
      </c>
      <c r="G3544">
        <v>-292.58260000000001</v>
      </c>
      <c r="H3544" s="1">
        <v>1.3525139999999999E-6</v>
      </c>
      <c r="I3544">
        <v>214.4716</v>
      </c>
      <c r="J3544">
        <v>-311.54419999999999</v>
      </c>
      <c r="K3544">
        <v>1.1099829999999999</v>
      </c>
      <c r="L3544">
        <v>215.48869999999999</v>
      </c>
      <c r="M3544">
        <v>0.99933470000000002</v>
      </c>
      <c r="N3544">
        <v>0</v>
      </c>
      <c r="O3544">
        <v>-3.3486259999999997E-2</v>
      </c>
      <c r="P3544">
        <v>0.99304409999999999</v>
      </c>
      <c r="Q3544">
        <v>1.9694159999999999E-2</v>
      </c>
      <c r="R3544">
        <v>-0.1160849</v>
      </c>
      <c r="S3544">
        <v>3.0060120000000001</v>
      </c>
      <c r="T3544">
        <v>-0.17304900000000001</v>
      </c>
      <c r="U3544">
        <v>-0.1602478</v>
      </c>
      <c r="V3544">
        <v>8.2765939999999996E-2</v>
      </c>
      <c r="W3544">
        <v>3.4088510000000002E-2</v>
      </c>
      <c r="X3544">
        <v>0.99598580000000003</v>
      </c>
      <c r="Y3544">
        <v>1.9783990000000001E-2</v>
      </c>
      <c r="Z3544">
        <v>1.355684E-3</v>
      </c>
      <c r="AA3544">
        <v>0.99980340000000001</v>
      </c>
      <c r="AB3544">
        <v>32</v>
      </c>
      <c r="AC3544">
        <v>18.961599999999901</v>
      </c>
      <c r="AD3544">
        <v>-1.109981647486</v>
      </c>
      <c r="AE3544">
        <v>-1.0170999999999899</v>
      </c>
      <c r="AF3544">
        <v>0.380210945257555</v>
      </c>
      <c r="AG3544">
        <v>-1.109981647486</v>
      </c>
      <c r="AH3544">
        <v>18.920376854432199</v>
      </c>
      <c r="AI3544">
        <v>93.356786216087798</v>
      </c>
      <c r="AJ3544">
        <v>88.848778170921094</v>
      </c>
      <c r="AK3544">
        <v>18.9567212337572</v>
      </c>
      <c r="AL3544">
        <v>88.046493727287995</v>
      </c>
      <c r="AM3544">
        <v>85.249662802836099</v>
      </c>
      <c r="AN3544">
        <v>0.999999970569871</v>
      </c>
    </row>
    <row r="3545" spans="1:40" x14ac:dyDescent="0.25">
      <c r="A3545" t="str">
        <f>"20190312154906298"</f>
        <v>20190312154906298</v>
      </c>
      <c r="B3545" t="str">
        <f>"1552376946288929"</f>
        <v>1552376946288929</v>
      </c>
      <c r="C3545" t="s">
        <v>40</v>
      </c>
      <c r="D3545">
        <v>5.0837440000000003</v>
      </c>
      <c r="E3545">
        <v>0.47727599999999998</v>
      </c>
      <c r="F3545" t="s">
        <v>51</v>
      </c>
      <c r="G3545">
        <v>-292.5686</v>
      </c>
      <c r="H3545" s="1">
        <v>1.3500349999999999E-6</v>
      </c>
      <c r="I3545">
        <v>214.482</v>
      </c>
      <c r="J3545">
        <v>-311.07100000000003</v>
      </c>
      <c r="K3545">
        <v>1.110028</v>
      </c>
      <c r="L3545">
        <v>215.47300000000001</v>
      </c>
      <c r="M3545">
        <v>0.9993377</v>
      </c>
      <c r="N3545">
        <v>0</v>
      </c>
      <c r="O3545">
        <v>-3.3398890000000001E-2</v>
      </c>
      <c r="P3545">
        <v>0.9930679</v>
      </c>
      <c r="Q3545">
        <v>1.9606809999999999E-2</v>
      </c>
      <c r="R3545">
        <v>-0.1158969</v>
      </c>
      <c r="S3545">
        <v>3.0058289999999999</v>
      </c>
      <c r="T3545">
        <v>-0.1758267</v>
      </c>
      <c r="U3545">
        <v>-0.15946959999999999</v>
      </c>
      <c r="V3545">
        <v>8.2661129999999999E-2</v>
      </c>
      <c r="W3545">
        <v>3.4003680000000001E-2</v>
      </c>
      <c r="X3545">
        <v>0.99599740000000003</v>
      </c>
      <c r="Y3545">
        <v>1.9617389999999998E-2</v>
      </c>
      <c r="Z3545">
        <v>1.377269E-3</v>
      </c>
      <c r="AA3545">
        <v>0.99980659999999999</v>
      </c>
      <c r="AB3545">
        <v>32</v>
      </c>
      <c r="AC3545">
        <v>18.502399999999898</v>
      </c>
      <c r="AD3545">
        <v>-1.110026649965</v>
      </c>
      <c r="AE3545">
        <v>-0.990999999999985</v>
      </c>
      <c r="AF3545">
        <v>0.37109107337344899</v>
      </c>
      <c r="AG3545">
        <v>-1.110026649965</v>
      </c>
      <c r="AH3545">
        <v>18.4589290885461</v>
      </c>
      <c r="AI3545">
        <v>93.4406406994392</v>
      </c>
      <c r="AJ3545">
        <v>88.848303250067104</v>
      </c>
      <c r="AK3545">
        <v>18.4959976979979</v>
      </c>
      <c r="AL3545">
        <v>88.051356940321796</v>
      </c>
      <c r="AM3545">
        <v>85.255705881498301</v>
      </c>
      <c r="AN3545">
        <v>0.99999996673658897</v>
      </c>
    </row>
    <row r="3546" spans="1:40" x14ac:dyDescent="0.25">
      <c r="A3546" t="str">
        <f>"20190312154906321"</f>
        <v>20190312154906321</v>
      </c>
      <c r="B3546" t="str">
        <f>"1552376946309427"</f>
        <v>1552376946309427</v>
      </c>
      <c r="C3546" t="s">
        <v>40</v>
      </c>
      <c r="D3546">
        <v>5.0425449999999996</v>
      </c>
      <c r="E3546">
        <v>0.47717530000000002</v>
      </c>
      <c r="F3546" t="s">
        <v>51</v>
      </c>
      <c r="G3546">
        <v>-292.14760000000001</v>
      </c>
      <c r="H3546" s="1">
        <v>1.275364E-6</v>
      </c>
      <c r="I3546">
        <v>214.47800000000001</v>
      </c>
      <c r="J3546">
        <v>-310.74259999999998</v>
      </c>
      <c r="K3546">
        <v>1.1100559999999999</v>
      </c>
      <c r="L3546">
        <v>215.46209999999999</v>
      </c>
      <c r="M3546">
        <v>0.99934069999999997</v>
      </c>
      <c r="N3546">
        <v>0</v>
      </c>
      <c r="O3546">
        <v>-3.331137E-2</v>
      </c>
      <c r="P3546">
        <v>0.99306629999999996</v>
      </c>
      <c r="Q3546">
        <v>2.0299279999999999E-2</v>
      </c>
      <c r="R3546">
        <v>-0.1157921</v>
      </c>
      <c r="S3546">
        <v>3.0060120000000001</v>
      </c>
      <c r="T3546">
        <v>-0.17632970000000001</v>
      </c>
      <c r="U3546">
        <v>-0.15805050000000001</v>
      </c>
      <c r="V3546">
        <v>8.2641560000000003E-2</v>
      </c>
      <c r="W3546">
        <v>3.4698020000000003E-2</v>
      </c>
      <c r="X3546">
        <v>0.9959751</v>
      </c>
      <c r="Y3546">
        <v>1.9231700000000001E-2</v>
      </c>
      <c r="Z3546">
        <v>1.3873129999999901E-3</v>
      </c>
      <c r="AA3546">
        <v>0.99981410000000004</v>
      </c>
      <c r="AB3546">
        <v>32</v>
      </c>
      <c r="AC3546">
        <v>18.594999999999899</v>
      </c>
      <c r="AD3546">
        <v>-1.110054724636</v>
      </c>
      <c r="AE3546">
        <v>-0.98410000000001197</v>
      </c>
      <c r="AF3546">
        <v>0.36277502019672497</v>
      </c>
      <c r="AG3546">
        <v>-1.110054724636</v>
      </c>
      <c r="AH3546">
        <v>18.5515364325009</v>
      </c>
      <c r="AI3546">
        <v>93.423629853718097</v>
      </c>
      <c r="AJ3546">
        <v>88.879724662399994</v>
      </c>
      <c r="AK3546">
        <v>18.588257885379502</v>
      </c>
      <c r="AL3546">
        <v>88.011550740538596</v>
      </c>
      <c r="AM3546">
        <v>85.256718250831696</v>
      </c>
      <c r="AN3546">
        <v>0.99999998992558203</v>
      </c>
    </row>
    <row r="3547" spans="1:40" x14ac:dyDescent="0.25">
      <c r="A3547" t="str">
        <f>"20190312154906343"</f>
        <v>20190312154906343</v>
      </c>
      <c r="B3547" t="str">
        <f>"1552376946328945"</f>
        <v>1552376946328945</v>
      </c>
      <c r="C3547" t="s">
        <v>40</v>
      </c>
      <c r="D3547">
        <v>4.9985999999999997</v>
      </c>
      <c r="E3547">
        <v>0.4770761</v>
      </c>
      <c r="F3547" t="s">
        <v>51</v>
      </c>
      <c r="G3547">
        <v>-291.65929999999997</v>
      </c>
      <c r="H3547" s="1">
        <v>1.1887430000000001E-6</v>
      </c>
      <c r="I3547">
        <v>214.46430000000001</v>
      </c>
      <c r="J3547">
        <v>-310.4194</v>
      </c>
      <c r="K3547">
        <v>1.110085</v>
      </c>
      <c r="L3547">
        <v>215.45140000000001</v>
      </c>
      <c r="M3547">
        <v>0.99934449999999997</v>
      </c>
      <c r="N3547">
        <v>0</v>
      </c>
      <c r="O3547">
        <v>-3.3200390000000003E-2</v>
      </c>
      <c r="P3547">
        <v>0.99313019999999996</v>
      </c>
      <c r="Q3547">
        <v>2.130137E-2</v>
      </c>
      <c r="R3547">
        <v>-0.11506039999999999</v>
      </c>
      <c r="S3547">
        <v>3.0061650000000002</v>
      </c>
      <c r="T3547">
        <v>-0.17486499999999999</v>
      </c>
      <c r="U3547">
        <v>-0.15718080000000001</v>
      </c>
      <c r="V3547">
        <v>8.2016539999999999E-2</v>
      </c>
      <c r="W3547">
        <v>3.5701620000000003E-2</v>
      </c>
      <c r="X3547">
        <v>0.99599130000000002</v>
      </c>
      <c r="Y3547">
        <v>1.9051309999999998E-2</v>
      </c>
      <c r="Z3547">
        <v>1.3745490000000001E-3</v>
      </c>
      <c r="AA3547">
        <v>0.99981759999999997</v>
      </c>
      <c r="AB3547">
        <v>32</v>
      </c>
      <c r="AC3547">
        <v>18.760100000000001</v>
      </c>
      <c r="AD3547">
        <v>-1.110083811257</v>
      </c>
      <c r="AE3547">
        <v>-0.98709999999999798</v>
      </c>
      <c r="AF3547">
        <v>0.36238285350885502</v>
      </c>
      <c r="AG3547">
        <v>-1.110083811257</v>
      </c>
      <c r="AH3547">
        <v>18.717175896563301</v>
      </c>
      <c r="AI3547">
        <v>93.3935047098295</v>
      </c>
      <c r="AJ3547">
        <v>88.890836178953805</v>
      </c>
      <c r="AK3547">
        <v>18.753567152502502</v>
      </c>
      <c r="AL3547">
        <v>87.954013045295994</v>
      </c>
      <c r="AM3547">
        <v>85.292506184578599</v>
      </c>
      <c r="AN3547">
        <v>0.999999994089943</v>
      </c>
    </row>
    <row r="3548" spans="1:40" x14ac:dyDescent="0.25">
      <c r="A3548" t="str">
        <f>"20190312154906365"</f>
        <v>20190312154906365</v>
      </c>
      <c r="B3548" t="str">
        <f>"1552376946359201"</f>
        <v>1552376946359201</v>
      </c>
      <c r="C3548" t="s">
        <v>40</v>
      </c>
      <c r="D3548">
        <v>5.2506919999999999</v>
      </c>
      <c r="E3548">
        <v>0.49682280000000001</v>
      </c>
      <c r="F3548" t="s">
        <v>51</v>
      </c>
      <c r="G3548">
        <v>-291.17989999999998</v>
      </c>
      <c r="H3548" s="1">
        <v>1.1037089999999999E-6</v>
      </c>
      <c r="I3548">
        <v>214.46379999999999</v>
      </c>
      <c r="J3548">
        <v>-310.10449999999997</v>
      </c>
      <c r="K3548">
        <v>1.1101110000000001</v>
      </c>
      <c r="L3548">
        <v>215.44110000000001</v>
      </c>
      <c r="M3548">
        <v>0.99934880000000004</v>
      </c>
      <c r="N3548">
        <v>0</v>
      </c>
      <c r="O3548">
        <v>-3.3068739999999999E-2</v>
      </c>
      <c r="P3548">
        <v>0.99317650000000002</v>
      </c>
      <c r="Q3548">
        <v>2.1131580000000001E-2</v>
      </c>
      <c r="R3548">
        <v>-0.114690899999999</v>
      </c>
      <c r="S3548">
        <v>3.0065309999999998</v>
      </c>
      <c r="T3548">
        <v>-0.17347179999999901</v>
      </c>
      <c r="U3548">
        <v>-0.154327399999999</v>
      </c>
      <c r="V3548">
        <v>8.1774959999999994E-2</v>
      </c>
      <c r="W3548">
        <v>3.55334E-2</v>
      </c>
      <c r="X3548">
        <v>0.99601719999999905</v>
      </c>
      <c r="Y3548">
        <v>1.8231089999999998E-2</v>
      </c>
      <c r="Z3548">
        <v>1.3795389999999999E-3</v>
      </c>
      <c r="AA3548">
        <v>0.99983290000000002</v>
      </c>
      <c r="AB3548">
        <v>32</v>
      </c>
      <c r="AC3548">
        <v>18.924600000000002</v>
      </c>
      <c r="AD3548">
        <v>-1.1101098962909901</v>
      </c>
      <c r="AE3548">
        <v>-0.97730000000001305</v>
      </c>
      <c r="AF3548">
        <v>0.34968741865588399</v>
      </c>
      <c r="AG3548">
        <v>-1.1101098962909901</v>
      </c>
      <c r="AH3548">
        <v>18.8817705965367</v>
      </c>
      <c r="AI3548">
        <v>93.364123666901307</v>
      </c>
      <c r="AJ3548">
        <v>88.939012473895204</v>
      </c>
      <c r="AK3548">
        <v>18.917607833255399</v>
      </c>
      <c r="AL3548">
        <v>87.963657502701395</v>
      </c>
      <c r="AM3548">
        <v>85.306431587814103</v>
      </c>
      <c r="AN3548">
        <v>1.0000000146471999</v>
      </c>
    </row>
    <row r="3549" spans="1:40" x14ac:dyDescent="0.25">
      <c r="A3549" t="str">
        <f>"20190312154906388"</f>
        <v>20190312154906388</v>
      </c>
      <c r="B3549" t="str">
        <f>"1552376946379697"</f>
        <v>1552376946379697</v>
      </c>
      <c r="C3549" t="s">
        <v>40</v>
      </c>
      <c r="D3549">
        <v>5.0411919999999997</v>
      </c>
      <c r="E3549">
        <v>0.51057359999999996</v>
      </c>
      <c r="F3549" t="s">
        <v>41</v>
      </c>
      <c r="G3549">
        <v>-309.10649999999998</v>
      </c>
      <c r="H3549">
        <v>1.0124420000000001</v>
      </c>
      <c r="I3549">
        <v>215.33920000000001</v>
      </c>
      <c r="J3549">
        <v>-309.77100000000002</v>
      </c>
      <c r="K3549">
        <v>1.1101270000000001</v>
      </c>
      <c r="L3549">
        <v>215.43020000000001</v>
      </c>
      <c r="M3549">
        <v>0.99935410000000002</v>
      </c>
      <c r="N3549">
        <v>0</v>
      </c>
      <c r="O3549">
        <v>-3.2908420000000001E-2</v>
      </c>
      <c r="P3549">
        <v>0.99326829999999999</v>
      </c>
      <c r="Q3549">
        <v>2.070874E-2</v>
      </c>
      <c r="R3549">
        <v>-0.1139713</v>
      </c>
      <c r="S3549">
        <v>2.9916079999999998</v>
      </c>
      <c r="T3549">
        <v>-0.29277130000000001</v>
      </c>
      <c r="U3549">
        <v>-0.30514530000000001</v>
      </c>
      <c r="V3549">
        <v>8.1210989999999997E-2</v>
      </c>
      <c r="W3549">
        <v>3.5111199999999898E-2</v>
      </c>
      <c r="X3549">
        <v>0.99607829999999997</v>
      </c>
      <c r="Y3549">
        <v>6.850879E-2</v>
      </c>
      <c r="Z3549">
        <v>-1.325097E-4</v>
      </c>
      <c r="AA3549">
        <v>0.9976505</v>
      </c>
      <c r="AB3549">
        <v>32</v>
      </c>
      <c r="AC3549">
        <v>0.664499999999975</v>
      </c>
      <c r="AD3549">
        <v>-9.7684999999999994E-2</v>
      </c>
      <c r="AE3549">
        <v>-9.1000000000008199E-2</v>
      </c>
      <c r="AF3549">
        <v>6.7645824892951206E-2</v>
      </c>
      <c r="AG3549">
        <v>-9.7684999999999994E-2</v>
      </c>
      <c r="AH3549">
        <v>0.653277200672991</v>
      </c>
      <c r="AI3549">
        <v>98.459892847874201</v>
      </c>
      <c r="AJ3549">
        <v>84.088181606328405</v>
      </c>
      <c r="AK3549">
        <v>0.663995043482696</v>
      </c>
      <c r="AL3549">
        <v>87.987862856968704</v>
      </c>
      <c r="AM3549">
        <v>85.338942833310696</v>
      </c>
      <c r="AN3549">
        <v>1.0000000004965499</v>
      </c>
    </row>
    <row r="3550" spans="1:40" x14ac:dyDescent="0.25">
      <c r="A3550" t="str">
        <f>"20190312154906411"</f>
        <v>20190312154906411</v>
      </c>
      <c r="B3550" t="str">
        <f>"1552376946399219"</f>
        <v>1552376946399219</v>
      </c>
      <c r="C3550" t="s">
        <v>40</v>
      </c>
      <c r="D3550">
        <v>5.0268550000000003</v>
      </c>
      <c r="E3550">
        <v>0.5176172</v>
      </c>
      <c r="F3550" t="s">
        <v>41</v>
      </c>
      <c r="G3550">
        <v>-308.83749999999998</v>
      </c>
      <c r="H3550">
        <v>0.97793390000000002</v>
      </c>
      <c r="I3550">
        <v>215.30260000000001</v>
      </c>
      <c r="J3550">
        <v>-309.44510000000002</v>
      </c>
      <c r="K3550">
        <v>1.1101379999999901</v>
      </c>
      <c r="L3550">
        <v>215.4196</v>
      </c>
      <c r="M3550">
        <v>0.99935969999999996</v>
      </c>
      <c r="N3550">
        <v>0</v>
      </c>
      <c r="O3550">
        <v>-3.2739499999999998E-2</v>
      </c>
      <c r="P3550">
        <v>0.99333289999999996</v>
      </c>
      <c r="Q3550">
        <v>2.0816910000000001E-2</v>
      </c>
      <c r="R3550">
        <v>-0.11338769999999999</v>
      </c>
      <c r="S3550">
        <v>2.9824220000000001</v>
      </c>
      <c r="T3550">
        <v>-0.42238550000000002</v>
      </c>
      <c r="U3550">
        <v>-0.40715030000000002</v>
      </c>
      <c r="V3550">
        <v>8.0792879999999997E-2</v>
      </c>
      <c r="W3550">
        <v>3.5218880000000001E-2</v>
      </c>
      <c r="X3550">
        <v>0.99610849999999995</v>
      </c>
      <c r="Y3550">
        <v>0.10206899999999999</v>
      </c>
      <c r="Z3550">
        <v>-2.569118E-3</v>
      </c>
      <c r="AA3550">
        <v>0.99477400000000005</v>
      </c>
      <c r="AB3550">
        <v>32</v>
      </c>
      <c r="AC3550">
        <v>0.60760000000004699</v>
      </c>
      <c r="AD3550">
        <v>-0.13220409999999899</v>
      </c>
      <c r="AE3550">
        <v>-0.11699999999999</v>
      </c>
      <c r="AF3550">
        <v>9.2806062515892004E-2</v>
      </c>
      <c r="AG3550">
        <v>-0.13220409999999899</v>
      </c>
      <c r="AH3550">
        <v>0.58442599682291196</v>
      </c>
      <c r="AI3550">
        <v>102.593780645915</v>
      </c>
      <c r="AJ3550">
        <v>80.976849485823095</v>
      </c>
      <c r="AK3550">
        <v>0.60633706390007802</v>
      </c>
      <c r="AL3550">
        <v>87.981689431044401</v>
      </c>
      <c r="AM3550">
        <v>85.362975064203894</v>
      </c>
      <c r="AN3550">
        <v>1.0000000013696899</v>
      </c>
    </row>
    <row r="3551" spans="1:40" x14ac:dyDescent="0.25">
      <c r="A3551" t="str">
        <f>"20190312154906433"</f>
        <v>20190312154906433</v>
      </c>
      <c r="B3551" t="str">
        <f>"1552376946419713"</f>
        <v>1552376946419713</v>
      </c>
      <c r="C3551" t="s">
        <v>40</v>
      </c>
      <c r="D3551">
        <v>5.0130790000000003</v>
      </c>
      <c r="E3551">
        <v>0.5206788</v>
      </c>
      <c r="F3551" t="s">
        <v>41</v>
      </c>
      <c r="G3551">
        <v>-308.56290000000001</v>
      </c>
      <c r="H3551">
        <v>0.95390989999999998</v>
      </c>
      <c r="I3551">
        <v>215.2842</v>
      </c>
      <c r="J3551">
        <v>-309.13240000000002</v>
      </c>
      <c r="K3551">
        <v>1.110155</v>
      </c>
      <c r="L3551">
        <v>215.40960000000001</v>
      </c>
      <c r="M3551">
        <v>0.99936530000000001</v>
      </c>
      <c r="N3551">
        <v>0</v>
      </c>
      <c r="O3551">
        <v>-3.2570420000000003E-2</v>
      </c>
      <c r="P3551">
        <v>0.99338439999999995</v>
      </c>
      <c r="Q3551">
        <v>2.144277E-2</v>
      </c>
      <c r="R3551">
        <v>-0.11281770000000001</v>
      </c>
      <c r="S3551">
        <v>2.9789729999999999</v>
      </c>
      <c r="T3551">
        <v>-0.52756429999999999</v>
      </c>
      <c r="U3551">
        <v>-0.45736690000000002</v>
      </c>
      <c r="V3551">
        <v>8.0389450000000001E-2</v>
      </c>
      <c r="W3551">
        <v>3.5843149999999997E-2</v>
      </c>
      <c r="X3551">
        <v>0.99611879999999997</v>
      </c>
      <c r="Y3551">
        <v>0.1181764</v>
      </c>
      <c r="Z3551">
        <v>-4.6370880000000001E-3</v>
      </c>
      <c r="AA3551">
        <v>0.99298180000000003</v>
      </c>
      <c r="AB3551">
        <v>32</v>
      </c>
      <c r="AC3551">
        <v>0.569500000000005</v>
      </c>
      <c r="AD3551">
        <v>-0.1562451</v>
      </c>
      <c r="AE3551">
        <v>-0.125400000000013</v>
      </c>
      <c r="AF3551">
        <v>9.9630228744446103E-2</v>
      </c>
      <c r="AG3551">
        <v>-0.1562451</v>
      </c>
      <c r="AH3551">
        <v>0.53488333916920106</v>
      </c>
      <c r="AI3551">
        <v>106.022552550623</v>
      </c>
      <c r="AJ3551">
        <v>79.448698089509406</v>
      </c>
      <c r="AK3551">
        <v>0.56607322872087396</v>
      </c>
      <c r="AL3551">
        <v>87.945898647189793</v>
      </c>
      <c r="AM3551">
        <v>85.386076798120001</v>
      </c>
      <c r="AN3551">
        <v>0.99999992939333004</v>
      </c>
    </row>
    <row r="3552" spans="1:40" x14ac:dyDescent="0.25">
      <c r="A3552" t="str">
        <f>"20190312154906454"</f>
        <v>20190312154906454</v>
      </c>
      <c r="B3552" t="str">
        <f>"1552376946448993"</f>
        <v>1552376946448993</v>
      </c>
      <c r="C3552" t="s">
        <v>40</v>
      </c>
      <c r="D3552">
        <v>5.0187460000000002</v>
      </c>
      <c r="E3552">
        <v>0.52359219999999995</v>
      </c>
      <c r="F3552" t="s">
        <v>41</v>
      </c>
      <c r="G3552">
        <v>-308.2808</v>
      </c>
      <c r="H3552">
        <v>0.94554000000000005</v>
      </c>
      <c r="I3552">
        <v>215.27279999999999</v>
      </c>
      <c r="J3552">
        <v>-308.8236</v>
      </c>
      <c r="K3552">
        <v>1.1101639999999999</v>
      </c>
      <c r="L3552">
        <v>215.3997</v>
      </c>
      <c r="M3552">
        <v>0.99937089999999995</v>
      </c>
      <c r="N3552">
        <v>0</v>
      </c>
      <c r="O3552">
        <v>-3.240092E-2</v>
      </c>
      <c r="P3552">
        <v>0.99342810000000004</v>
      </c>
      <c r="Q3552">
        <v>2.1472080000000001E-2</v>
      </c>
      <c r="R3552">
        <v>-0.1124267</v>
      </c>
      <c r="S3552">
        <v>2.9781490000000002</v>
      </c>
      <c r="T3552">
        <v>-0.57574009999999998</v>
      </c>
      <c r="U3552">
        <v>-0.47772219999999999</v>
      </c>
      <c r="V3552">
        <v>8.0165680000000003E-2</v>
      </c>
      <c r="W3552">
        <v>3.5870310000000002E-2</v>
      </c>
      <c r="X3552">
        <v>0.99613600000000002</v>
      </c>
      <c r="Y3552">
        <v>0.12464260000000001</v>
      </c>
      <c r="Z3552">
        <v>-5.6998789999999997E-3</v>
      </c>
      <c r="AA3552">
        <v>0.9921854</v>
      </c>
      <c r="AB3552">
        <v>32</v>
      </c>
      <c r="AC3552">
        <v>0.54279999999999895</v>
      </c>
      <c r="AD3552">
        <v>-0.16462399999999999</v>
      </c>
      <c r="AE3552">
        <v>-0.12690000000000601</v>
      </c>
      <c r="AF3552">
        <v>0.100480789884134</v>
      </c>
      <c r="AG3552">
        <v>-0.16462399999999999</v>
      </c>
      <c r="AH3552">
        <v>0.50277692435799504</v>
      </c>
      <c r="AI3552">
        <v>107.80079618369901</v>
      </c>
      <c r="AJ3552">
        <v>78.698241551512794</v>
      </c>
      <c r="AK3552">
        <v>0.53849984789099503</v>
      </c>
      <c r="AL3552">
        <v>87.944341787580299</v>
      </c>
      <c r="AM3552">
        <v>85.398943879682506</v>
      </c>
      <c r="AN3552">
        <v>1.0000000729426699</v>
      </c>
    </row>
    <row r="3553" spans="1:40" x14ac:dyDescent="0.25">
      <c r="A3553" t="str">
        <f>"20190312154906477"</f>
        <v>20190312154906477</v>
      </c>
      <c r="B3553" t="str">
        <f>"1552376946469490"</f>
        <v>1552376946469490</v>
      </c>
      <c r="C3553" t="s">
        <v>40</v>
      </c>
      <c r="D3553">
        <v>5.0090339999999998</v>
      </c>
      <c r="E3553">
        <v>0.53789169999999997</v>
      </c>
      <c r="F3553" t="s">
        <v>41</v>
      </c>
      <c r="G3553">
        <v>-307.99799999999999</v>
      </c>
      <c r="H3553">
        <v>0.93930029999999998</v>
      </c>
      <c r="I3553">
        <v>215.26150000000001</v>
      </c>
      <c r="J3553">
        <v>-308.50110000000001</v>
      </c>
      <c r="K3553">
        <v>1.110163</v>
      </c>
      <c r="L3553">
        <v>215.38939999999999</v>
      </c>
      <c r="M3553">
        <v>0.99937670000000001</v>
      </c>
      <c r="N3553">
        <v>0</v>
      </c>
      <c r="O3553">
        <v>-3.2223340000000003E-2</v>
      </c>
      <c r="P3553">
        <v>0.99343029999999999</v>
      </c>
      <c r="Q3553">
        <v>2.0625370000000001E-2</v>
      </c>
      <c r="R3553">
        <v>-0.1125652</v>
      </c>
      <c r="S3553">
        <v>2.976807</v>
      </c>
      <c r="T3553">
        <v>-0.61609650000000005</v>
      </c>
      <c r="U3553">
        <v>-0.49772640000000001</v>
      </c>
      <c r="V3553">
        <v>8.0481220000000006E-2</v>
      </c>
      <c r="W3553">
        <v>3.5021129999999998E-2</v>
      </c>
      <c r="X3553">
        <v>0.99614069999999999</v>
      </c>
      <c r="Y3553">
        <v>0.1310066</v>
      </c>
      <c r="Z3553">
        <v>-6.7745549999999998E-3</v>
      </c>
      <c r="AA3553">
        <v>0.99135830000000003</v>
      </c>
      <c r="AB3553">
        <v>32</v>
      </c>
      <c r="AC3553">
        <v>0.50310000000001698</v>
      </c>
      <c r="AD3553">
        <v>-0.17086269999999901</v>
      </c>
      <c r="AE3553">
        <v>-0.127899999999982</v>
      </c>
      <c r="AF3553">
        <v>0.100709491514422</v>
      </c>
      <c r="AG3553">
        <v>-0.17086269999999901</v>
      </c>
      <c r="AH3553">
        <v>0.457405354841115</v>
      </c>
      <c r="AI3553">
        <v>110.042465492077</v>
      </c>
      <c r="AJ3553">
        <v>77.582985993830306</v>
      </c>
      <c r="AK3553">
        <v>0.49855403174551699</v>
      </c>
      <c r="AL3553">
        <v>87.993026663126997</v>
      </c>
      <c r="AM3553">
        <v>85.380933584575303</v>
      </c>
      <c r="AN3553">
        <v>1.00000000025782</v>
      </c>
    </row>
    <row r="3554" spans="1:40" x14ac:dyDescent="0.25">
      <c r="A3554" t="str">
        <f>"20190312154906498"</f>
        <v>20190312154906498</v>
      </c>
      <c r="B3554" t="str">
        <f>"1552376946489149"</f>
        <v>1552376946489149</v>
      </c>
      <c r="C3554" t="s">
        <v>40</v>
      </c>
      <c r="D3554">
        <v>5.0092949999999998</v>
      </c>
      <c r="E3554">
        <v>0.53659169999999901</v>
      </c>
      <c r="F3554" t="s">
        <v>41</v>
      </c>
      <c r="G3554">
        <v>-307.73289999999997</v>
      </c>
      <c r="H3554">
        <v>0.89373419999999903</v>
      </c>
      <c r="I3554">
        <v>215.23320000000001</v>
      </c>
      <c r="J3554">
        <v>-308.19630000000001</v>
      </c>
      <c r="K3554">
        <v>1.11016</v>
      </c>
      <c r="L3554">
        <v>215.37979999999999</v>
      </c>
      <c r="M3554">
        <v>0.99938210000000005</v>
      </c>
      <c r="N3554">
        <v>0</v>
      </c>
      <c r="O3554">
        <v>-3.2056510000000003E-2</v>
      </c>
      <c r="P3554">
        <v>0.9933649</v>
      </c>
      <c r="Q3554">
        <v>1.9884220000000001E-2</v>
      </c>
      <c r="R3554">
        <v>-0.1132739</v>
      </c>
      <c r="S3554">
        <v>2.9689030000000001</v>
      </c>
      <c r="T3554">
        <v>-0.83639859999999899</v>
      </c>
      <c r="U3554">
        <v>-0.60282899999999995</v>
      </c>
      <c r="V3554">
        <v>8.1357849999999995E-2</v>
      </c>
      <c r="W3554">
        <v>3.4276269999999998E-2</v>
      </c>
      <c r="X3554">
        <v>0.99609539999999996</v>
      </c>
      <c r="Y3554">
        <v>0.1625906</v>
      </c>
      <c r="Z3554">
        <v>-1.348395E-2</v>
      </c>
      <c r="AA3554">
        <v>0.98660150000000002</v>
      </c>
      <c r="AB3554">
        <v>32</v>
      </c>
      <c r="AC3554">
        <v>0.46340000000003501</v>
      </c>
      <c r="AD3554">
        <v>-0.2164258</v>
      </c>
      <c r="AE3554">
        <v>-0.146599999999978</v>
      </c>
      <c r="AF3554">
        <v>0.109880835458972</v>
      </c>
      <c r="AG3554">
        <v>-0.2164258</v>
      </c>
      <c r="AH3554">
        <v>0.39044413505624798</v>
      </c>
      <c r="AI3554">
        <v>118.083466142955</v>
      </c>
      <c r="AJ3554">
        <v>74.282057942992495</v>
      </c>
      <c r="AK3554">
        <v>0.45973965187551902</v>
      </c>
      <c r="AL3554">
        <v>88.035729646977302</v>
      </c>
      <c r="AM3554">
        <v>85.330630935113106</v>
      </c>
      <c r="AN3554">
        <v>1.0000000041714401</v>
      </c>
    </row>
    <row r="3555" spans="1:40" x14ac:dyDescent="0.25">
      <c r="A3555" t="str">
        <f>"20190312154906522"</f>
        <v>20190312154906522</v>
      </c>
      <c r="B3555" t="str">
        <f>"1552376946509646"</f>
        <v>1552376946509646</v>
      </c>
      <c r="C3555" t="s">
        <v>40</v>
      </c>
      <c r="D3555">
        <v>5.0166170000000001</v>
      </c>
      <c r="E3555">
        <v>0.5360357</v>
      </c>
      <c r="F3555" t="s">
        <v>41</v>
      </c>
      <c r="G3555">
        <v>-307.44600000000003</v>
      </c>
      <c r="H3555">
        <v>0.89807459999999995</v>
      </c>
      <c r="I3555">
        <v>215.22919999999999</v>
      </c>
      <c r="J3555">
        <v>-307.85930000000002</v>
      </c>
      <c r="K3555">
        <v>1.110166</v>
      </c>
      <c r="L3555">
        <v>215.36920000000001</v>
      </c>
      <c r="M3555">
        <v>0.99938800000000005</v>
      </c>
      <c r="N3555">
        <v>0</v>
      </c>
      <c r="O3555">
        <v>-3.1873840000000001E-2</v>
      </c>
      <c r="P3555">
        <v>0.99326159999999997</v>
      </c>
      <c r="Q3555">
        <v>2.0304269999999999E-2</v>
      </c>
      <c r="R3555">
        <v>-0.114102</v>
      </c>
      <c r="S3555">
        <v>2.9689939999999999</v>
      </c>
      <c r="T3555">
        <v>-0.83929619999999905</v>
      </c>
      <c r="U3555">
        <v>-0.59523009999999998</v>
      </c>
      <c r="V3555">
        <v>8.2370719999999994E-2</v>
      </c>
      <c r="W3555">
        <v>3.469183E-2</v>
      </c>
      <c r="X3555">
        <v>0.99599780000000004</v>
      </c>
      <c r="Y3555">
        <v>0.16037839999999901</v>
      </c>
      <c r="Z3555">
        <v>-1.327795E-2</v>
      </c>
      <c r="AA3555">
        <v>0.98696629999999996</v>
      </c>
      <c r="AB3555">
        <v>32</v>
      </c>
      <c r="AC3555">
        <v>0.41330000000004902</v>
      </c>
      <c r="AD3555">
        <v>-0.21209140000000001</v>
      </c>
      <c r="AE3555">
        <v>-0.140000000000014</v>
      </c>
      <c r="AF3555">
        <v>0.102532467796964</v>
      </c>
      <c r="AG3555">
        <v>-0.21209140000000001</v>
      </c>
      <c r="AH3555">
        <v>0.33776217278437298</v>
      </c>
      <c r="AI3555">
        <v>120.999821356529</v>
      </c>
      <c r="AJ3555">
        <v>73.113593683844996</v>
      </c>
      <c r="AK3555">
        <v>0.41179965307235999</v>
      </c>
      <c r="AL3555">
        <v>88.011905710870295</v>
      </c>
      <c r="AM3555">
        <v>85.272300022310404</v>
      </c>
      <c r="AN3555">
        <v>1.0000000380934499</v>
      </c>
    </row>
    <row r="3556" spans="1:40" x14ac:dyDescent="0.25">
      <c r="A3556" t="str">
        <f>"20190312154906544"</f>
        <v>20190312154906544</v>
      </c>
      <c r="B3556" t="str">
        <f>"1552376946539901"</f>
        <v>1552376946539901</v>
      </c>
      <c r="C3556" t="s">
        <v>40</v>
      </c>
      <c r="D3556">
        <v>5.0343309999999999</v>
      </c>
      <c r="E3556">
        <v>0.53610369999999996</v>
      </c>
      <c r="F3556" t="s">
        <v>41</v>
      </c>
      <c r="G3556">
        <v>-307.15550000000002</v>
      </c>
      <c r="H3556">
        <v>0.91173020000000005</v>
      </c>
      <c r="I3556">
        <v>215.22810000000001</v>
      </c>
      <c r="J3556">
        <v>-307.5505</v>
      </c>
      <c r="K3556">
        <v>1.1101700000000001</v>
      </c>
      <c r="L3556">
        <v>215.3595</v>
      </c>
      <c r="M3556">
        <v>0.99939330000000004</v>
      </c>
      <c r="N3556">
        <v>0</v>
      </c>
      <c r="O3556">
        <v>-3.1707279999999997E-2</v>
      </c>
      <c r="P3556">
        <v>0.99323320000000004</v>
      </c>
      <c r="Q3556">
        <v>1.9878179999999999E-2</v>
      </c>
      <c r="R3556">
        <v>-0.114423</v>
      </c>
      <c r="S3556">
        <v>2.9692379999999998</v>
      </c>
      <c r="T3556">
        <v>-0.83723989999999904</v>
      </c>
      <c r="U3556">
        <v>-0.59385679999999996</v>
      </c>
      <c r="V3556">
        <v>8.285882E-2</v>
      </c>
      <c r="W3556">
        <v>3.426245E-2</v>
      </c>
      <c r="X3556">
        <v>0.99597219999999997</v>
      </c>
      <c r="Y3556">
        <v>0.16011529999999999</v>
      </c>
      <c r="Z3556">
        <v>-1.3255629999999999E-2</v>
      </c>
      <c r="AA3556">
        <v>0.98700929999999998</v>
      </c>
      <c r="AB3556">
        <v>32</v>
      </c>
      <c r="AC3556">
        <v>0.39499999999998098</v>
      </c>
      <c r="AD3556">
        <v>-0.1984398</v>
      </c>
      <c r="AE3556">
        <v>-0.131399999999985</v>
      </c>
      <c r="AF3556">
        <v>9.6809426126544806E-2</v>
      </c>
      <c r="AG3556">
        <v>-0.1984398</v>
      </c>
      <c r="AH3556">
        <v>0.325094238332236</v>
      </c>
      <c r="AI3556">
        <v>120.328432443336</v>
      </c>
      <c r="AJ3556">
        <v>73.417057484662706</v>
      </c>
      <c r="AK3556">
        <v>0.39298432921403798</v>
      </c>
      <c r="AL3556">
        <v>88.036522052330994</v>
      </c>
      <c r="AM3556">
        <v>85.244291766788194</v>
      </c>
      <c r="AN3556">
        <v>1.0000000613523099</v>
      </c>
    </row>
    <row r="3557" spans="1:40" x14ac:dyDescent="0.25">
      <c r="A3557" t="str">
        <f>"20190312154906567"</f>
        <v>20190312154906567</v>
      </c>
      <c r="B3557" t="str">
        <f>"1552376946559425"</f>
        <v>1552376946559425</v>
      </c>
      <c r="C3557" t="s">
        <v>40</v>
      </c>
      <c r="D3557">
        <v>5.0273849999999998</v>
      </c>
      <c r="E3557">
        <v>0.53633039999999998</v>
      </c>
      <c r="F3557" t="s">
        <v>41</v>
      </c>
      <c r="G3557">
        <v>-306.86869999999999</v>
      </c>
      <c r="H3557">
        <v>0.91729769999999999</v>
      </c>
      <c r="I3557">
        <v>215.22280000000001</v>
      </c>
      <c r="J3557">
        <v>-307.22989999999999</v>
      </c>
      <c r="K3557">
        <v>1.1101639999999999</v>
      </c>
      <c r="L3557">
        <v>215.34950000000001</v>
      </c>
      <c r="M3557">
        <v>0.99939889999999998</v>
      </c>
      <c r="N3557">
        <v>0</v>
      </c>
      <c r="O3557">
        <v>-3.153512E-2</v>
      </c>
      <c r="P3557">
        <v>0.99322549999999998</v>
      </c>
      <c r="Q3557">
        <v>1.9636959999999998E-2</v>
      </c>
      <c r="R3557">
        <v>-0.1145312</v>
      </c>
      <c r="S3557">
        <v>2.968658</v>
      </c>
      <c r="T3557">
        <v>-0.83964309999999998</v>
      </c>
      <c r="U3557">
        <v>-0.59538269999999904</v>
      </c>
      <c r="V3557">
        <v>8.3138920000000005E-2</v>
      </c>
      <c r="W3557">
        <v>3.4017499999999999E-2</v>
      </c>
      <c r="X3557">
        <v>0.99595719999999999</v>
      </c>
      <c r="Y3557">
        <v>0.16075110000000001</v>
      </c>
      <c r="Z3557">
        <v>-1.342873E-2</v>
      </c>
      <c r="AA3557">
        <v>0.98690359999999999</v>
      </c>
      <c r="AB3557">
        <v>32</v>
      </c>
      <c r="AC3557">
        <v>0.36119999999999602</v>
      </c>
      <c r="AD3557">
        <v>-0.19286629999999999</v>
      </c>
      <c r="AE3557">
        <v>-0.12669999999999901</v>
      </c>
      <c r="AF3557">
        <v>9.1911284884206801E-2</v>
      </c>
      <c r="AG3557">
        <v>-0.19286629999999999</v>
      </c>
      <c r="AH3557">
        <v>0.291110434097965</v>
      </c>
      <c r="AI3557">
        <v>122.28381281426</v>
      </c>
      <c r="AJ3557">
        <v>72.477711478895998</v>
      </c>
      <c r="AK3557">
        <v>0.36109607974258301</v>
      </c>
      <c r="AL3557">
        <v>88.050564733327604</v>
      </c>
      <c r="AM3557">
        <v>85.228217913343002</v>
      </c>
      <c r="AN3557">
        <v>1.0000000072784201</v>
      </c>
    </row>
    <row r="3558" spans="1:40" x14ac:dyDescent="0.25">
      <c r="A3558" t="str">
        <f>"20190312154906587"</f>
        <v>20190312154906587</v>
      </c>
      <c r="B3558" t="str">
        <f>"1552376946579917"</f>
        <v>1552376946579917</v>
      </c>
      <c r="C3558" t="s">
        <v>40</v>
      </c>
      <c r="D3558">
        <v>5.0184129999999998</v>
      </c>
      <c r="E3558">
        <v>0.53590780000000005</v>
      </c>
      <c r="F3558" t="s">
        <v>41</v>
      </c>
      <c r="G3558">
        <v>-306.3279</v>
      </c>
      <c r="H3558">
        <v>0.85289859999999995</v>
      </c>
      <c r="I3558">
        <v>215.1679</v>
      </c>
      <c r="J3558">
        <v>-306.92750000000001</v>
      </c>
      <c r="K3558">
        <v>1.110168</v>
      </c>
      <c r="L3558">
        <v>215.34010000000001</v>
      </c>
      <c r="M3558">
        <v>0.99940410000000002</v>
      </c>
      <c r="N3558">
        <v>0</v>
      </c>
      <c r="O3558">
        <v>-3.1373100000000001E-2</v>
      </c>
      <c r="P3558">
        <v>0.99324489999999999</v>
      </c>
      <c r="Q3558">
        <v>1.9401689999999999E-2</v>
      </c>
      <c r="R3558">
        <v>-0.1144047</v>
      </c>
      <c r="S3558">
        <v>2.968353</v>
      </c>
      <c r="T3558">
        <v>-0.84663630000000001</v>
      </c>
      <c r="U3558">
        <v>-0.59703059999999997</v>
      </c>
      <c r="V3558">
        <v>8.3173220000000006E-2</v>
      </c>
      <c r="W3558">
        <v>3.3779219999999999E-2</v>
      </c>
      <c r="X3558">
        <v>0.99596240000000003</v>
      </c>
      <c r="Y3558">
        <v>0.16134789999999999</v>
      </c>
      <c r="Z3558">
        <v>-1.3664519999999999E-2</v>
      </c>
      <c r="AA3558">
        <v>0.98680299999999999</v>
      </c>
      <c r="AB3558">
        <v>32</v>
      </c>
      <c r="AC3558">
        <v>0.59960000000000901</v>
      </c>
      <c r="AD3558">
        <v>-0.25726939999999998</v>
      </c>
      <c r="AE3558">
        <v>-0.17220000000000299</v>
      </c>
      <c r="AF3558">
        <v>0.13101921749155401</v>
      </c>
      <c r="AG3558">
        <v>-0.25726939999999998</v>
      </c>
      <c r="AH3558">
        <v>0.51681233131057902</v>
      </c>
      <c r="AI3558">
        <v>115.75896982253001</v>
      </c>
      <c r="AJ3558">
        <v>75.774413928193596</v>
      </c>
      <c r="AK3558">
        <v>0.59198696381181803</v>
      </c>
      <c r="AL3558">
        <v>88.064224933179801</v>
      </c>
      <c r="AM3558">
        <v>85.226283160135694</v>
      </c>
      <c r="AN3558">
        <v>0.99999996122136703</v>
      </c>
    </row>
    <row r="3559" spans="1:40" x14ac:dyDescent="0.25">
      <c r="A3559" t="str">
        <f>"20190312154906612"</f>
        <v>20190312154906612</v>
      </c>
      <c r="B3559" t="str">
        <f>"1552376946599437"</f>
        <v>1552376946599437</v>
      </c>
      <c r="C3559" t="s">
        <v>40</v>
      </c>
      <c r="D3559">
        <v>4.9986129999999998</v>
      </c>
      <c r="E3559">
        <v>0.53548469999999904</v>
      </c>
      <c r="F3559" t="s">
        <v>41</v>
      </c>
      <c r="G3559">
        <v>-306.04289999999997</v>
      </c>
      <c r="H3559">
        <v>0.85659929999999995</v>
      </c>
      <c r="I3559">
        <v>215.16309999999999</v>
      </c>
      <c r="J3559">
        <v>-306.59039999999999</v>
      </c>
      <c r="K3559">
        <v>1.110171</v>
      </c>
      <c r="L3559">
        <v>215.3297</v>
      </c>
      <c r="M3559">
        <v>0.99940969999999996</v>
      </c>
      <c r="N3559">
        <v>0</v>
      </c>
      <c r="O3559">
        <v>-3.119249E-2</v>
      </c>
      <c r="P3559">
        <v>0.99333439999999995</v>
      </c>
      <c r="Q3559">
        <v>1.9442839999999999E-2</v>
      </c>
      <c r="R3559">
        <v>-0.1136186</v>
      </c>
      <c r="S3559">
        <v>2.9686889999999999</v>
      </c>
      <c r="T3559">
        <v>-0.85095309999999902</v>
      </c>
      <c r="U3559">
        <v>-0.59327700000000005</v>
      </c>
      <c r="V3559">
        <v>8.2564789999999999E-2</v>
      </c>
      <c r="W3559">
        <v>3.3816869999999999E-2</v>
      </c>
      <c r="X3559">
        <v>0.9960118</v>
      </c>
      <c r="Y3559">
        <v>0.1602884</v>
      </c>
      <c r="Z3559">
        <v>-1.363438E-2</v>
      </c>
      <c r="AA3559">
        <v>0.98697599999999996</v>
      </c>
      <c r="AB3559">
        <v>32</v>
      </c>
      <c r="AC3559">
        <v>0.54750000000001298</v>
      </c>
      <c r="AD3559">
        <v>-0.25357170000000001</v>
      </c>
      <c r="AE3559">
        <v>-0.16660000000001601</v>
      </c>
      <c r="AF3559">
        <v>0.124915314226678</v>
      </c>
      <c r="AG3559">
        <v>-0.25357170000000001</v>
      </c>
      <c r="AH3559">
        <v>0.461773302962522</v>
      </c>
      <c r="AI3559">
        <v>117.926889335125</v>
      </c>
      <c r="AJ3559">
        <v>74.863075283688403</v>
      </c>
      <c r="AK3559">
        <v>0.54142130185111603</v>
      </c>
      <c r="AL3559">
        <v>88.062066619067906</v>
      </c>
      <c r="AM3559">
        <v>85.261278271256302</v>
      </c>
      <c r="AN3559">
        <v>1.0000000154917901</v>
      </c>
    </row>
    <row r="3560" spans="1:40" x14ac:dyDescent="0.25">
      <c r="A3560" t="str">
        <f>"20190312154906634"</f>
        <v>20190312154906634</v>
      </c>
      <c r="B3560" t="str">
        <f>"1552376946629693"</f>
        <v>1552376946629693</v>
      </c>
      <c r="C3560" t="s">
        <v>40</v>
      </c>
      <c r="D3560">
        <v>5.1934430000000003</v>
      </c>
      <c r="E3560">
        <v>0.53538969999999997</v>
      </c>
      <c r="F3560" t="s">
        <v>41</v>
      </c>
      <c r="G3560">
        <v>-305.75420000000003</v>
      </c>
      <c r="H3560">
        <v>0.86984680000000003</v>
      </c>
      <c r="I3560">
        <v>215.1645</v>
      </c>
      <c r="J3560">
        <v>-306.26940000000002</v>
      </c>
      <c r="K3560">
        <v>1.1101749999999999</v>
      </c>
      <c r="L3560">
        <v>215.31989999999999</v>
      </c>
      <c r="M3560">
        <v>0.99941500000000005</v>
      </c>
      <c r="N3560">
        <v>0</v>
      </c>
      <c r="O3560">
        <v>-3.102034E-2</v>
      </c>
      <c r="P3560">
        <v>0.99335960000000001</v>
      </c>
      <c r="Q3560">
        <v>1.96613E-2</v>
      </c>
      <c r="R3560">
        <v>-0.11335779999999999</v>
      </c>
      <c r="S3560">
        <v>2.9696349999999998</v>
      </c>
      <c r="T3560">
        <v>-0.85348060000000003</v>
      </c>
      <c r="U3560">
        <v>-0.58724980000000004</v>
      </c>
      <c r="V3560">
        <v>8.2475030000000005E-2</v>
      </c>
      <c r="W3560">
        <v>3.4031800000000001E-2</v>
      </c>
      <c r="X3560">
        <v>0.99601189999999995</v>
      </c>
      <c r="Y3560">
        <v>0.1585046</v>
      </c>
      <c r="Z3560">
        <v>-1.347069E-2</v>
      </c>
      <c r="AA3560">
        <v>0.98726639999999999</v>
      </c>
      <c r="AB3560">
        <v>32</v>
      </c>
      <c r="AC3560">
        <v>0.515199999999993</v>
      </c>
      <c r="AD3560">
        <v>-0.24032819999999899</v>
      </c>
      <c r="AE3560">
        <v>-0.15539999999998599</v>
      </c>
      <c r="AF3560">
        <v>0.116171171721299</v>
      </c>
      <c r="AG3560">
        <v>-0.24032819999999899</v>
      </c>
      <c r="AH3560">
        <v>0.43334175246508</v>
      </c>
      <c r="AI3560">
        <v>118.17695992751</v>
      </c>
      <c r="AJ3560">
        <v>74.992894724377393</v>
      </c>
      <c r="AK3560">
        <v>0.50895820976171102</v>
      </c>
      <c r="AL3560">
        <v>88.049744913767199</v>
      </c>
      <c r="AM3560">
        <v>85.266407005142796</v>
      </c>
      <c r="AN3560">
        <v>0.99999999946317497</v>
      </c>
    </row>
    <row r="3561" spans="1:40" x14ac:dyDescent="0.25">
      <c r="A3561" t="str">
        <f>"20190312154906657"</f>
        <v>20190312154906657</v>
      </c>
      <c r="B3561" t="str">
        <f>"1552376946649214"</f>
        <v>1552376946649214</v>
      </c>
      <c r="C3561" t="s">
        <v>40</v>
      </c>
      <c r="D3561">
        <v>4.9942270000000004</v>
      </c>
      <c r="E3561">
        <v>0.53515669999999904</v>
      </c>
      <c r="F3561" t="s">
        <v>41</v>
      </c>
      <c r="G3561">
        <v>-305.46749999999997</v>
      </c>
      <c r="H3561">
        <v>0.87908489999999995</v>
      </c>
      <c r="I3561">
        <v>215.16130000000001</v>
      </c>
      <c r="J3561">
        <v>-305.95569999999998</v>
      </c>
      <c r="K3561">
        <v>1.110171</v>
      </c>
      <c r="L3561">
        <v>215.31030000000001</v>
      </c>
      <c r="M3561">
        <v>0.99942039999999999</v>
      </c>
      <c r="N3561">
        <v>0</v>
      </c>
      <c r="O3561">
        <v>-3.0852250000000001E-2</v>
      </c>
      <c r="P3561">
        <v>0.9934501</v>
      </c>
      <c r="Q3561">
        <v>1.9643529999999999E-2</v>
      </c>
      <c r="R3561">
        <v>-0.11256620000000001</v>
      </c>
      <c r="S3561">
        <v>2.9700929999999999</v>
      </c>
      <c r="T3561">
        <v>-0.85600069999999995</v>
      </c>
      <c r="U3561">
        <v>-0.58621219999999996</v>
      </c>
      <c r="V3561">
        <v>8.184864E-2</v>
      </c>
      <c r="W3561">
        <v>3.4011319999999998E-2</v>
      </c>
      <c r="X3561">
        <v>0.99606419999999996</v>
      </c>
      <c r="Y3561">
        <v>0.15828390000000001</v>
      </c>
      <c r="Z3561">
        <v>-1.3523490000000001E-2</v>
      </c>
      <c r="AA3561">
        <v>0.98730099999999998</v>
      </c>
      <c r="AB3561">
        <v>32</v>
      </c>
      <c r="AC3561">
        <v>0.48820000000000602</v>
      </c>
      <c r="AD3561">
        <v>-0.23108609999999999</v>
      </c>
      <c r="AE3561">
        <v>-0.14899999999999999</v>
      </c>
      <c r="AF3561">
        <v>0.111095166494683</v>
      </c>
      <c r="AG3561">
        <v>-0.23108609999999999</v>
      </c>
      <c r="AH3561">
        <v>0.40878061487085698</v>
      </c>
      <c r="AI3561">
        <v>118.613294741945</v>
      </c>
      <c r="AJ3561">
        <v>74.795832139818401</v>
      </c>
      <c r="AK3561">
        <v>0.482539648864098</v>
      </c>
      <c r="AL3561">
        <v>88.050918875849206</v>
      </c>
      <c r="AM3561">
        <v>85.302442234169604</v>
      </c>
      <c r="AN3561">
        <v>0.99999993013981303</v>
      </c>
    </row>
    <row r="3562" spans="1:40" x14ac:dyDescent="0.25">
      <c r="A3562" t="str">
        <f>"20190312154906678"</f>
        <v>20190312154906678</v>
      </c>
      <c r="B3562" t="str">
        <f>"1552376946669709"</f>
        <v>1552376946669709</v>
      </c>
      <c r="C3562" t="s">
        <v>40</v>
      </c>
      <c r="D3562">
        <v>4.9688739999999996</v>
      </c>
      <c r="E3562">
        <v>0.53005709999999995</v>
      </c>
      <c r="F3562" t="s">
        <v>41</v>
      </c>
      <c r="G3562">
        <v>-305.18189999999998</v>
      </c>
      <c r="H3562">
        <v>0.88674330000000001</v>
      </c>
      <c r="I3562">
        <v>215.15860000000001</v>
      </c>
      <c r="J3562">
        <v>-305.6438</v>
      </c>
      <c r="K3562">
        <v>1.1101700000000001</v>
      </c>
      <c r="L3562">
        <v>215.30090000000001</v>
      </c>
      <c r="M3562">
        <v>0.99942549999999997</v>
      </c>
      <c r="N3562">
        <v>0</v>
      </c>
      <c r="O3562">
        <v>-3.0684980000000001E-2</v>
      </c>
      <c r="P3562">
        <v>0.99349900000000002</v>
      </c>
      <c r="Q3562">
        <v>1.9694110000000001E-2</v>
      </c>
      <c r="R3562">
        <v>-0.1121243</v>
      </c>
      <c r="S3562">
        <v>2.9707340000000002</v>
      </c>
      <c r="T3562">
        <v>-0.85768889999999998</v>
      </c>
      <c r="U3562">
        <v>-0.58187869999999997</v>
      </c>
      <c r="V3562">
        <v>8.1572290000000006E-2</v>
      </c>
      <c r="W3562">
        <v>3.4058489999999997E-2</v>
      </c>
      <c r="X3562">
        <v>0.99608529999999995</v>
      </c>
      <c r="Y3562">
        <v>0.15704489999999999</v>
      </c>
      <c r="Z3562">
        <v>-1.3421219999999999E-2</v>
      </c>
      <c r="AA3562">
        <v>0.9875003</v>
      </c>
      <c r="AB3562">
        <v>32</v>
      </c>
      <c r="AC3562">
        <v>0.46190000000001402</v>
      </c>
      <c r="AD3562">
        <v>-0.22342670000000001</v>
      </c>
      <c r="AE3562">
        <v>-0.14230000000000501</v>
      </c>
      <c r="AF3562">
        <v>0.105510899935673</v>
      </c>
      <c r="AG3562">
        <v>-0.22342670000000001</v>
      </c>
      <c r="AH3562">
        <v>0.38399196961584398</v>
      </c>
      <c r="AI3562">
        <v>119.29494382529199</v>
      </c>
      <c r="AJ3562">
        <v>74.635803080708797</v>
      </c>
      <c r="AK3562">
        <v>0.45662005322541499</v>
      </c>
      <c r="AL3562">
        <v>88.048214748886906</v>
      </c>
      <c r="AM3562">
        <v>85.3183309616457</v>
      </c>
      <c r="AN3562">
        <v>0.99999997205650604</v>
      </c>
    </row>
    <row r="3563" spans="1:40" x14ac:dyDescent="0.25">
      <c r="A3563" t="str">
        <f>"20190312154906700"</f>
        <v>20190312154906700</v>
      </c>
      <c r="B3563" t="str">
        <f>"1552376946689229"</f>
        <v>1552376946689229</v>
      </c>
      <c r="C3563" t="s">
        <v>40</v>
      </c>
      <c r="D3563">
        <v>4.9054609999999998</v>
      </c>
      <c r="E3563">
        <v>0.52923599999999904</v>
      </c>
      <c r="F3563" t="s">
        <v>41</v>
      </c>
      <c r="G3563">
        <v>-304.88889999999998</v>
      </c>
      <c r="H3563">
        <v>0.91242299999999998</v>
      </c>
      <c r="I3563">
        <v>215.16300000000001</v>
      </c>
      <c r="J3563">
        <v>-305.33600000000001</v>
      </c>
      <c r="K3563">
        <v>1.1101700000000001</v>
      </c>
      <c r="L3563">
        <v>215.29159999999999</v>
      </c>
      <c r="M3563">
        <v>0.99943070000000001</v>
      </c>
      <c r="N3563">
        <v>0</v>
      </c>
      <c r="O3563">
        <v>-3.051999E-2</v>
      </c>
      <c r="P3563">
        <v>0.9935271</v>
      </c>
      <c r="Q3563">
        <v>1.957397E-2</v>
      </c>
      <c r="R3563">
        <v>-0.1118984</v>
      </c>
      <c r="S3563">
        <v>2.973846</v>
      </c>
      <c r="T3563">
        <v>-0.77895800000000004</v>
      </c>
      <c r="U3563">
        <v>-0.54302980000000001</v>
      </c>
      <c r="V3563">
        <v>8.1510040000000006E-2</v>
      </c>
      <c r="W3563">
        <v>3.393554E-2</v>
      </c>
      <c r="X3563">
        <v>0.99609460000000005</v>
      </c>
      <c r="Y3563">
        <v>0.14576210000000001</v>
      </c>
      <c r="Z3563">
        <v>-1.0832049999999999E-2</v>
      </c>
      <c r="AA3563">
        <v>0.98926040000000004</v>
      </c>
      <c r="AB3563">
        <v>32</v>
      </c>
      <c r="AC3563">
        <v>0.44710000000003403</v>
      </c>
      <c r="AD3563">
        <v>-0.19774700000000001</v>
      </c>
      <c r="AE3563">
        <v>-0.12860000000000499</v>
      </c>
      <c r="AF3563">
        <v>9.7311728820603197E-2</v>
      </c>
      <c r="AG3563">
        <v>-0.19774700000000001</v>
      </c>
      <c r="AH3563">
        <v>0.38183099056406899</v>
      </c>
      <c r="AI3563">
        <v>116.649782009842</v>
      </c>
      <c r="AJ3563">
        <v>75.702222060801603</v>
      </c>
      <c r="AK3563">
        <v>0.44087226486839998</v>
      </c>
      <c r="AL3563">
        <v>88.0552633548361</v>
      </c>
      <c r="AM3563">
        <v>85.321931288800101</v>
      </c>
      <c r="AN3563">
        <v>0.99999997982252598</v>
      </c>
    </row>
    <row r="3564" spans="1:40" x14ac:dyDescent="0.25">
      <c r="A3564" t="str">
        <f>"20190312154906723"</f>
        <v>20190312154906723</v>
      </c>
      <c r="B3564" t="str">
        <f>"1552376946709725"</f>
        <v>1552376946709725</v>
      </c>
      <c r="C3564" t="s">
        <v>40</v>
      </c>
      <c r="D3564">
        <v>5.0195319999999999</v>
      </c>
      <c r="E3564">
        <v>0.52919539999999998</v>
      </c>
      <c r="F3564" t="s">
        <v>41</v>
      </c>
      <c r="G3564">
        <v>-304.60320000000002</v>
      </c>
      <c r="H3564">
        <v>0.92103060000000003</v>
      </c>
      <c r="I3564">
        <v>215.1593</v>
      </c>
      <c r="J3564">
        <v>-305.01850000000002</v>
      </c>
      <c r="K3564">
        <v>1.1101760000000001</v>
      </c>
      <c r="L3564">
        <v>215.28210000000001</v>
      </c>
      <c r="M3564">
        <v>0.99943590000000004</v>
      </c>
      <c r="N3564">
        <v>0</v>
      </c>
      <c r="O3564">
        <v>-3.0349750000000002E-2</v>
      </c>
      <c r="P3564">
        <v>0.99355380000000004</v>
      </c>
      <c r="Q3564">
        <v>1.956666E-2</v>
      </c>
      <c r="R3564">
        <v>-0.1116608</v>
      </c>
      <c r="S3564">
        <v>2.9742130000000002</v>
      </c>
      <c r="T3564">
        <v>-0.76762600000000003</v>
      </c>
      <c r="U3564">
        <v>-0.53659060000000003</v>
      </c>
      <c r="V3564">
        <v>8.1441600000000003E-2</v>
      </c>
      <c r="W3564">
        <v>3.3924570000000001E-2</v>
      </c>
      <c r="X3564">
        <v>0.9961006</v>
      </c>
      <c r="Y3564">
        <v>0.14399200000000001</v>
      </c>
      <c r="Z3564">
        <v>-1.049983E-2</v>
      </c>
      <c r="AA3564">
        <v>0.98952320000000005</v>
      </c>
      <c r="AB3564">
        <v>32</v>
      </c>
      <c r="AC3564">
        <v>0.415300000000002</v>
      </c>
      <c r="AD3564">
        <v>-0.18914539999999999</v>
      </c>
      <c r="AE3564">
        <v>-0.122800000000012</v>
      </c>
      <c r="AF3564">
        <v>9.2494503603559403E-2</v>
      </c>
      <c r="AG3564">
        <v>-0.18914539999999999</v>
      </c>
      <c r="AH3564">
        <v>0.35174121474695302</v>
      </c>
      <c r="AI3564">
        <v>117.477136212373</v>
      </c>
      <c r="AJ3564">
        <v>75.266945292528106</v>
      </c>
      <c r="AK3564">
        <v>0.409942798070281</v>
      </c>
      <c r="AL3564">
        <v>88.055892306444804</v>
      </c>
      <c r="AM3564">
        <v>85.325869853020095</v>
      </c>
      <c r="AN3564">
        <v>1.0000000079903</v>
      </c>
    </row>
    <row r="3565" spans="1:40" x14ac:dyDescent="0.25">
      <c r="A3565" t="str">
        <f>"20190312154906744"</f>
        <v>20190312154906744</v>
      </c>
      <c r="B3565" t="str">
        <f>"1552376946739006"</f>
        <v>1552376946739006</v>
      </c>
      <c r="C3565" t="s">
        <v>40</v>
      </c>
      <c r="D3565">
        <v>4.9192960000000001</v>
      </c>
      <c r="E3565">
        <v>0.53372869999999994</v>
      </c>
      <c r="F3565" t="s">
        <v>41</v>
      </c>
      <c r="G3565">
        <v>-304.31790000000001</v>
      </c>
      <c r="H3565">
        <v>0.92914940000000001</v>
      </c>
      <c r="I3565">
        <v>215.15559999999999</v>
      </c>
      <c r="J3565">
        <v>-304.71350000000001</v>
      </c>
      <c r="K3565">
        <v>1.1101799999999999</v>
      </c>
      <c r="L3565">
        <v>215.273</v>
      </c>
      <c r="M3565">
        <v>0.99944080000000002</v>
      </c>
      <c r="N3565">
        <v>0</v>
      </c>
      <c r="O3565">
        <v>-3.018595E-2</v>
      </c>
      <c r="P3565">
        <v>0.99353179999999996</v>
      </c>
      <c r="Q3565">
        <v>1.9937779999999999E-2</v>
      </c>
      <c r="R3565">
        <v>-0.1117911</v>
      </c>
      <c r="S3565">
        <v>2.9744570000000001</v>
      </c>
      <c r="T3565">
        <v>-0.76852419999999899</v>
      </c>
      <c r="U3565">
        <v>-0.53552250000000001</v>
      </c>
      <c r="V3565">
        <v>8.1735749999999996E-2</v>
      </c>
      <c r="W3565">
        <v>3.4292000000000003E-2</v>
      </c>
      <c r="X3565">
        <v>0.9960639</v>
      </c>
      <c r="Y3565">
        <v>0.1437889</v>
      </c>
      <c r="Z3565">
        <v>-1.0526860000000001E-2</v>
      </c>
      <c r="AA3565">
        <v>0.9895524</v>
      </c>
      <c r="AB3565">
        <v>32</v>
      </c>
      <c r="AC3565">
        <v>0.39560000000000101</v>
      </c>
      <c r="AD3565">
        <v>-0.18103060000000001</v>
      </c>
      <c r="AE3565">
        <v>-0.117400000000003</v>
      </c>
      <c r="AF3565">
        <v>8.8391987809197395E-2</v>
      </c>
      <c r="AG3565">
        <v>-0.18103060000000001</v>
      </c>
      <c r="AH3565">
        <v>0.334572822342937</v>
      </c>
      <c r="AI3565">
        <v>117.615456979315</v>
      </c>
      <c r="AJ3565">
        <v>75.2009548423148</v>
      </c>
      <c r="AK3565">
        <v>0.39054346121237199</v>
      </c>
      <c r="AL3565">
        <v>88.034827813565798</v>
      </c>
      <c r="AM3565">
        <v>85.308891012755197</v>
      </c>
      <c r="AN3565">
        <v>0.99999998348763597</v>
      </c>
    </row>
    <row r="3566" spans="1:40" x14ac:dyDescent="0.25">
      <c r="A3566" t="str">
        <f>"20190312154906767"</f>
        <v>20190312154906767</v>
      </c>
      <c r="B3566" t="str">
        <f>"1552376946759501"</f>
        <v>1552376946759501</v>
      </c>
      <c r="C3566" t="s">
        <v>40</v>
      </c>
      <c r="D3566">
        <v>4.9131650000000002</v>
      </c>
      <c r="E3566">
        <v>0.5330802</v>
      </c>
      <c r="F3566" t="s">
        <v>41</v>
      </c>
      <c r="G3566">
        <v>-304.04320000000001</v>
      </c>
      <c r="H3566">
        <v>0.91559820000000003</v>
      </c>
      <c r="I3566">
        <v>215.14490000000001</v>
      </c>
      <c r="J3566">
        <v>-304.3938</v>
      </c>
      <c r="K3566">
        <v>1.110185</v>
      </c>
      <c r="L3566">
        <v>215.2636</v>
      </c>
      <c r="M3566">
        <v>0.99944619999999995</v>
      </c>
      <c r="N3566">
        <v>0</v>
      </c>
      <c r="O3566">
        <v>-3.0014269999999999E-2</v>
      </c>
      <c r="P3566">
        <v>0.99352189999999996</v>
      </c>
      <c r="Q3566">
        <v>2.029949E-2</v>
      </c>
      <c r="R3566">
        <v>-0.1118137</v>
      </c>
      <c r="S3566">
        <v>2.972839</v>
      </c>
      <c r="T3566">
        <v>-0.86294139999999997</v>
      </c>
      <c r="U3566">
        <v>-0.56848140000000003</v>
      </c>
      <c r="V3566">
        <v>8.1929650000000007E-2</v>
      </c>
      <c r="W3566">
        <v>3.4649890000000003E-2</v>
      </c>
      <c r="X3566">
        <v>0.99603560000000002</v>
      </c>
      <c r="Y3566">
        <v>0.15334639999999999</v>
      </c>
      <c r="Z3566">
        <v>-1.316379E-2</v>
      </c>
      <c r="AA3566">
        <v>0.98808479999999999</v>
      </c>
      <c r="AB3566">
        <v>31</v>
      </c>
      <c r="AC3566">
        <v>0.35059999999998498</v>
      </c>
      <c r="AD3566">
        <v>-0.19458679999999901</v>
      </c>
      <c r="AE3566">
        <v>-0.11869999999998899</v>
      </c>
      <c r="AF3566">
        <v>8.4711576560626001E-2</v>
      </c>
      <c r="AG3566">
        <v>-0.19458679999999901</v>
      </c>
      <c r="AH3566">
        <v>0.27735531080243803</v>
      </c>
      <c r="AI3566">
        <v>123.860857009043</v>
      </c>
      <c r="AJ3566">
        <v>73.015955988384903</v>
      </c>
      <c r="AK3566">
        <v>0.34923637033955102</v>
      </c>
      <c r="AL3566">
        <v>88.014310064580201</v>
      </c>
      <c r="AM3566">
        <v>85.2976792347215</v>
      </c>
      <c r="AN3566">
        <v>0.999999999446747</v>
      </c>
    </row>
    <row r="3567" spans="1:40" x14ac:dyDescent="0.25">
      <c r="A3567" t="str">
        <f>"20190312154906788"</f>
        <v>20190312154906788</v>
      </c>
      <c r="B3567" t="str">
        <f>"1552376946779022"</f>
        <v>1552376946779022</v>
      </c>
      <c r="C3567" t="s">
        <v>40</v>
      </c>
      <c r="D3567">
        <v>4.9021790000000003</v>
      </c>
      <c r="E3567">
        <v>0.5328484</v>
      </c>
      <c r="F3567" t="s">
        <v>41</v>
      </c>
      <c r="G3567">
        <v>-303.50740000000002</v>
      </c>
      <c r="H3567">
        <v>0.8552189</v>
      </c>
      <c r="I3567">
        <v>215.09549999999999</v>
      </c>
      <c r="J3567">
        <v>-304.09249999999997</v>
      </c>
      <c r="K3567">
        <v>1.110187</v>
      </c>
      <c r="L3567">
        <v>215.25470000000001</v>
      </c>
      <c r="M3567">
        <v>0.99945099999999998</v>
      </c>
      <c r="N3567">
        <v>0</v>
      </c>
      <c r="O3567">
        <v>-2.9852500000000001E-2</v>
      </c>
      <c r="P3567">
        <v>0.99351210000000001</v>
      </c>
      <c r="Q3567">
        <v>2.066639E-2</v>
      </c>
      <c r="R3567">
        <v>-0.11183360000000001</v>
      </c>
      <c r="S3567">
        <v>2.973633</v>
      </c>
      <c r="T3567">
        <v>-0.85526290000000005</v>
      </c>
      <c r="U3567">
        <v>-0.56355290000000002</v>
      </c>
      <c r="V3567">
        <v>8.2111089999999998E-2</v>
      </c>
      <c r="W3567">
        <v>3.5013019999999999E-2</v>
      </c>
      <c r="X3567">
        <v>0.996008</v>
      </c>
      <c r="Y3567">
        <v>0.1520088</v>
      </c>
      <c r="Z3567">
        <v>-1.290787E-2</v>
      </c>
      <c r="AA3567">
        <v>0.98829480000000003</v>
      </c>
      <c r="AB3567">
        <v>31</v>
      </c>
      <c r="AC3567">
        <v>0.58509999999995399</v>
      </c>
      <c r="AD3567">
        <v>-0.25496809999999998</v>
      </c>
      <c r="AE3567">
        <v>-0.15920000000002599</v>
      </c>
      <c r="AF3567">
        <v>0.12037726327156301</v>
      </c>
      <c r="AG3567">
        <v>-0.25496809999999998</v>
      </c>
      <c r="AH3567">
        <v>0.50101106739922996</v>
      </c>
      <c r="AI3567">
        <v>116.327339298052</v>
      </c>
      <c r="AJ3567">
        <v>76.489712284646998</v>
      </c>
      <c r="AK3567">
        <v>0.57490130212661406</v>
      </c>
      <c r="AL3567">
        <v>87.993491695553899</v>
      </c>
      <c r="AM3567">
        <v>85.287182405755203</v>
      </c>
      <c r="AN3567">
        <v>1.0000000393672499</v>
      </c>
    </row>
    <row r="3568" spans="1:40" x14ac:dyDescent="0.25">
      <c r="A3568" t="str">
        <f>"20190312154906814"</f>
        <v>20190312154906814</v>
      </c>
      <c r="B3568" t="str">
        <f>"1552376946799378"</f>
        <v>1552376946799378</v>
      </c>
      <c r="C3568" t="s">
        <v>40</v>
      </c>
      <c r="D3568">
        <v>4.8678100000000004</v>
      </c>
      <c r="E3568">
        <v>0.53357650000000001</v>
      </c>
      <c r="F3568" t="s">
        <v>41</v>
      </c>
      <c r="G3568">
        <v>-303.22449999999998</v>
      </c>
      <c r="H3568">
        <v>0.86164649999999998</v>
      </c>
      <c r="I3568">
        <v>215.09039999999999</v>
      </c>
      <c r="J3568">
        <v>-303.7568</v>
      </c>
      <c r="K3568">
        <v>1.1101890000000001</v>
      </c>
      <c r="L3568">
        <v>215.2448</v>
      </c>
      <c r="M3568">
        <v>0.99945640000000002</v>
      </c>
      <c r="N3568">
        <v>0</v>
      </c>
      <c r="O3568">
        <v>-2.967177E-2</v>
      </c>
      <c r="P3568">
        <v>0.99351290000000003</v>
      </c>
      <c r="Q3568">
        <v>2.0865129999999999E-2</v>
      </c>
      <c r="R3568">
        <v>-0.1117886</v>
      </c>
      <c r="S3568">
        <v>2.9740600000000001</v>
      </c>
      <c r="T3568">
        <v>-0.85153679999999998</v>
      </c>
      <c r="U3568">
        <v>-0.56176759999999903</v>
      </c>
      <c r="V3568">
        <v>8.2246120000000006E-2</v>
      </c>
      <c r="W3568">
        <v>3.5207919999999997E-2</v>
      </c>
      <c r="X3568">
        <v>0.99599000000000004</v>
      </c>
      <c r="Y3568">
        <v>0.15163740000000001</v>
      </c>
      <c r="Z3568">
        <v>-1.285121E-2</v>
      </c>
      <c r="AA3568">
        <v>0.98835269999999997</v>
      </c>
      <c r="AB3568">
        <v>31</v>
      </c>
      <c r="AC3568">
        <v>0.53230000000001998</v>
      </c>
      <c r="AD3568">
        <v>-0.248542499999999</v>
      </c>
      <c r="AE3568">
        <v>-0.154400000000009</v>
      </c>
      <c r="AF3568">
        <v>0.115341341821548</v>
      </c>
      <c r="AG3568">
        <v>-0.248542499999999</v>
      </c>
      <c r="AH3568">
        <v>0.44679785947686701</v>
      </c>
      <c r="AI3568">
        <v>118.307670850778</v>
      </c>
      <c r="AJ3568">
        <v>75.525056913594298</v>
      </c>
      <c r="AK3568">
        <v>0.52412338878603304</v>
      </c>
      <c r="AL3568">
        <v>87.982317882645802</v>
      </c>
      <c r="AM3568">
        <v>85.279382343328095</v>
      </c>
      <c r="AN3568">
        <v>1.0000000509928799</v>
      </c>
    </row>
    <row r="3569" spans="1:40" x14ac:dyDescent="0.25">
      <c r="A3569" t="str">
        <f>"20190312154906835"</f>
        <v>20190312154906835</v>
      </c>
      <c r="B3569" t="str">
        <f>"1552376946829634"</f>
        <v>1552376946829634</v>
      </c>
      <c r="C3569" t="s">
        <v>40</v>
      </c>
      <c r="D3569">
        <v>4.8979980000000003</v>
      </c>
      <c r="E3569">
        <v>0.53354190000000001</v>
      </c>
      <c r="F3569" t="s">
        <v>41</v>
      </c>
      <c r="G3569">
        <v>-302.9384</v>
      </c>
      <c r="H3569">
        <v>0.87643289999999996</v>
      </c>
      <c r="I3569">
        <v>215.08850000000001</v>
      </c>
      <c r="J3569">
        <v>-303.44850000000002</v>
      </c>
      <c r="K3569">
        <v>1.1101810000000001</v>
      </c>
      <c r="L3569">
        <v>215.23589999999999</v>
      </c>
      <c r="M3569">
        <v>0.9994613</v>
      </c>
      <c r="N3569">
        <v>0</v>
      </c>
      <c r="O3569">
        <v>-2.9506060000000001E-2</v>
      </c>
      <c r="P3569">
        <v>0.99353449999999999</v>
      </c>
      <c r="Q3569">
        <v>2.086352E-2</v>
      </c>
      <c r="R3569">
        <v>-0.11159760000000001</v>
      </c>
      <c r="S3569">
        <v>2.973541</v>
      </c>
      <c r="T3569">
        <v>-0.84925260000000002</v>
      </c>
      <c r="U3569">
        <v>-0.56762699999999999</v>
      </c>
      <c r="V3569">
        <v>8.2219700000000007E-2</v>
      </c>
      <c r="W3569">
        <v>3.5203159999999997E-2</v>
      </c>
      <c r="X3569">
        <v>0.99599230000000005</v>
      </c>
      <c r="Y3569">
        <v>0.1536534</v>
      </c>
      <c r="Z3569">
        <v>-1.3143780000000001E-2</v>
      </c>
      <c r="AA3569">
        <v>0.98803739999999995</v>
      </c>
      <c r="AB3569">
        <v>31</v>
      </c>
      <c r="AC3569">
        <v>0.51010000000002198</v>
      </c>
      <c r="AD3569">
        <v>-0.23374809999999899</v>
      </c>
      <c r="AE3569">
        <v>-0.14739999999997599</v>
      </c>
      <c r="AF3569">
        <v>0.11080839729734</v>
      </c>
      <c r="AG3569">
        <v>-0.23374809999999899</v>
      </c>
      <c r="AH3569">
        <v>0.43074796547710398</v>
      </c>
      <c r="AI3569">
        <v>117.72397609988199</v>
      </c>
      <c r="AJ3569">
        <v>75.573658163508796</v>
      </c>
      <c r="AK3569">
        <v>0.50245446055128196</v>
      </c>
      <c r="AL3569">
        <v>87.982590680027698</v>
      </c>
      <c r="AM3569">
        <v>85.280902750443602</v>
      </c>
      <c r="AN3569">
        <v>1.00000000160068</v>
      </c>
    </row>
    <row r="3570" spans="1:40" x14ac:dyDescent="0.25">
      <c r="A3570" t="str">
        <f>"20190312154906856"</f>
        <v>20190312154906856</v>
      </c>
      <c r="B3570" t="str">
        <f>"1552376946849154"</f>
        <v>1552376946849154</v>
      </c>
      <c r="C3570" t="s">
        <v>40</v>
      </c>
      <c r="D3570">
        <v>5.1083769999999999</v>
      </c>
      <c r="E3570">
        <v>0.53415349999999995</v>
      </c>
      <c r="F3570" t="s">
        <v>41</v>
      </c>
      <c r="G3570">
        <v>-302.65570000000002</v>
      </c>
      <c r="H3570">
        <v>0.8837699</v>
      </c>
      <c r="I3570">
        <v>215.0847</v>
      </c>
      <c r="J3570">
        <v>-303.14440000000002</v>
      </c>
      <c r="K3570">
        <v>1.1101810000000001</v>
      </c>
      <c r="L3570">
        <v>215.22710000000001</v>
      </c>
      <c r="M3570">
        <v>0.99946619999999997</v>
      </c>
      <c r="N3570">
        <v>0</v>
      </c>
      <c r="O3570">
        <v>-2.934237E-2</v>
      </c>
      <c r="P3570">
        <v>0.99354469999999995</v>
      </c>
      <c r="Q3570">
        <v>2.0789180000000001E-2</v>
      </c>
      <c r="R3570">
        <v>-0.11151989999999901</v>
      </c>
      <c r="S3570">
        <v>2.9737239999999998</v>
      </c>
      <c r="T3570">
        <v>-0.84918739999999904</v>
      </c>
      <c r="U3570">
        <v>-0.56677250000000001</v>
      </c>
      <c r="V3570">
        <v>8.2305039999999996E-2</v>
      </c>
      <c r="W3570">
        <v>3.5125009999999998E-2</v>
      </c>
      <c r="X3570">
        <v>0.99598799999999998</v>
      </c>
      <c r="Y3570">
        <v>0.15352929999999901</v>
      </c>
      <c r="Z3570">
        <v>-1.317052E-2</v>
      </c>
      <c r="AA3570">
        <v>0.9880563</v>
      </c>
      <c r="AB3570">
        <v>31</v>
      </c>
      <c r="AC3570">
        <v>0.48869999999999397</v>
      </c>
      <c r="AD3570">
        <v>-0.226411099999999</v>
      </c>
      <c r="AE3570">
        <v>-0.14240000000000899</v>
      </c>
      <c r="AF3570">
        <v>0.10685679580707</v>
      </c>
      <c r="AG3570">
        <v>-0.226411099999999</v>
      </c>
      <c r="AH3570">
        <v>0.41129651831314101</v>
      </c>
      <c r="AI3570">
        <v>118.048407720848</v>
      </c>
      <c r="AJ3570">
        <v>75.436262071574205</v>
      </c>
      <c r="AK3570">
        <v>0.481503049824065</v>
      </c>
      <c r="AL3570">
        <v>87.987071094840104</v>
      </c>
      <c r="AM3570">
        <v>85.276006413704707</v>
      </c>
      <c r="AN3570">
        <v>0.99999999104045001</v>
      </c>
    </row>
    <row r="3571" spans="1:40" x14ac:dyDescent="0.25">
      <c r="A3571" t="str">
        <f>"20190312154906879"</f>
        <v>20190312154906879</v>
      </c>
      <c r="B3571" t="str">
        <f>"1552376946869654"</f>
        <v>1552376946869654</v>
      </c>
      <c r="C3571" t="s">
        <v>40</v>
      </c>
      <c r="D3571">
        <v>4.9124610000000004</v>
      </c>
      <c r="E3571">
        <v>0.53422230000000004</v>
      </c>
      <c r="F3571" t="s">
        <v>41</v>
      </c>
      <c r="G3571">
        <v>-302.37400000000002</v>
      </c>
      <c r="H3571">
        <v>0.88966800000000001</v>
      </c>
      <c r="I3571">
        <v>215.0788</v>
      </c>
      <c r="J3571">
        <v>-302.83519999999999</v>
      </c>
      <c r="K3571">
        <v>1.1101829999999999</v>
      </c>
      <c r="L3571">
        <v>215.2182</v>
      </c>
      <c r="M3571">
        <v>0.9994712</v>
      </c>
      <c r="N3571">
        <v>0</v>
      </c>
      <c r="O3571">
        <v>-2.9175949999999999E-2</v>
      </c>
      <c r="P3571">
        <v>0.99355819999999995</v>
      </c>
      <c r="Q3571">
        <v>2.0467820000000001E-2</v>
      </c>
      <c r="R3571">
        <v>-0.11145969999999999</v>
      </c>
      <c r="S3571">
        <v>2.9731139999999998</v>
      </c>
      <c r="T3571">
        <v>-0.85098309999999999</v>
      </c>
      <c r="U3571">
        <v>-0.57154850000000001</v>
      </c>
      <c r="V3571">
        <v>8.2410600000000001E-2</v>
      </c>
      <c r="W3571">
        <v>3.4800480000000002E-2</v>
      </c>
      <c r="X3571">
        <v>0.99599070000000001</v>
      </c>
      <c r="Y3571">
        <v>0.1551719</v>
      </c>
      <c r="Z3571">
        <v>-1.347277E-2</v>
      </c>
      <c r="AA3571">
        <v>0.9877956</v>
      </c>
      <c r="AB3571">
        <v>31</v>
      </c>
      <c r="AC3571">
        <v>0.46119999999996197</v>
      </c>
      <c r="AD3571">
        <v>-0.22051499999999899</v>
      </c>
      <c r="AE3571">
        <v>-0.139399999999994</v>
      </c>
      <c r="AF3571">
        <v>0.10408102603236399</v>
      </c>
      <c r="AG3571">
        <v>-0.22051499999999899</v>
      </c>
      <c r="AH3571">
        <v>0.38452345131270699</v>
      </c>
      <c r="AI3571">
        <v>118.966996740083</v>
      </c>
      <c r="AJ3571">
        <v>74.8543646133637</v>
      </c>
      <c r="AK3571">
        <v>0.45532187495703103</v>
      </c>
      <c r="AL3571">
        <v>88.005676742187603</v>
      </c>
      <c r="AM3571">
        <v>85.269987911805302</v>
      </c>
      <c r="AN3571">
        <v>1.0000000274435299</v>
      </c>
    </row>
    <row r="3572" spans="1:40" x14ac:dyDescent="0.25">
      <c r="A3572" t="str">
        <f>"20190312154906893"</f>
        <v>20190312154906893</v>
      </c>
      <c r="B3572" t="str">
        <f>"1552376946889716"</f>
        <v>1552376946889716</v>
      </c>
      <c r="C3572" t="s">
        <v>40</v>
      </c>
      <c r="D3572">
        <v>5.0452029999999999</v>
      </c>
      <c r="E3572">
        <v>0.53452319999999998</v>
      </c>
      <c r="F3572" t="s">
        <v>41</v>
      </c>
      <c r="G3572">
        <v>-302.09199999999998</v>
      </c>
      <c r="H3572">
        <v>0.89712069999999999</v>
      </c>
      <c r="I3572">
        <v>215.07480000000001</v>
      </c>
      <c r="J3572">
        <v>-302.63389999999998</v>
      </c>
      <c r="K3572">
        <v>1.110187</v>
      </c>
      <c r="L3572">
        <v>215.2124</v>
      </c>
      <c r="M3572">
        <v>0.99947430000000004</v>
      </c>
      <c r="N3572">
        <v>0</v>
      </c>
      <c r="O3572">
        <v>-2.9067579999999999E-2</v>
      </c>
      <c r="P3572">
        <v>0.99357130000000005</v>
      </c>
      <c r="Q3572">
        <v>2.0878399999999998E-2</v>
      </c>
      <c r="R3572">
        <v>-0.1112649</v>
      </c>
      <c r="S3572">
        <v>2.9727779999999999</v>
      </c>
      <c r="T3572">
        <v>-0.85225509999999904</v>
      </c>
      <c r="U3572">
        <v>-0.57231140000000003</v>
      </c>
      <c r="V3572">
        <v>8.2323309999999997E-2</v>
      </c>
      <c r="W3572">
        <v>3.5208879999999998E-2</v>
      </c>
      <c r="X3572">
        <v>0.99598350000000002</v>
      </c>
      <c r="Y3572">
        <v>0.1555116</v>
      </c>
      <c r="Z3572">
        <v>-1.3570749999999999E-2</v>
      </c>
      <c r="AA3572">
        <v>0.98774090000000003</v>
      </c>
      <c r="AB3572">
        <v>31</v>
      </c>
      <c r="AC3572">
        <v>0.54189999999999805</v>
      </c>
      <c r="AD3572">
        <v>-0.21306629999999999</v>
      </c>
      <c r="AE3572">
        <v>-0.13759999999999101</v>
      </c>
      <c r="AF3572">
        <v>0.106344171170737</v>
      </c>
      <c r="AG3572">
        <v>-0.21306629999999999</v>
      </c>
      <c r="AH3572">
        <v>0.47647306235436299</v>
      </c>
      <c r="AI3572">
        <v>113.578173681005</v>
      </c>
      <c r="AJ3572">
        <v>77.418345946193099</v>
      </c>
      <c r="AK3572">
        <v>0.53266585218786699</v>
      </c>
      <c r="AL3572">
        <v>87.982262665818197</v>
      </c>
      <c r="AM3572">
        <v>85.274941281443205</v>
      </c>
      <c r="AN3572">
        <v>0.99999996243622902</v>
      </c>
    </row>
    <row r="3573" spans="1:40" x14ac:dyDescent="0.25">
      <c r="A3573" t="str">
        <f>"20190312154906913"</f>
        <v>20190312154906913</v>
      </c>
      <c r="B3573" t="str">
        <f>"1552376946899476"</f>
        <v>1552376946899476</v>
      </c>
      <c r="C3573" t="s">
        <v>40</v>
      </c>
      <c r="D3573">
        <v>4.9134330000000004</v>
      </c>
      <c r="E3573">
        <v>0.53452290000000002</v>
      </c>
      <c r="F3573" t="s">
        <v>41</v>
      </c>
      <c r="G3573">
        <v>-301.8218</v>
      </c>
      <c r="H3573">
        <v>0.87730560000000002</v>
      </c>
      <c r="I3573">
        <v>215.0557</v>
      </c>
      <c r="J3573">
        <v>-302.36219999999997</v>
      </c>
      <c r="K3573">
        <v>1.110187</v>
      </c>
      <c r="L3573">
        <v>215.2047</v>
      </c>
      <c r="M3573">
        <v>0.99947859999999999</v>
      </c>
      <c r="N3573">
        <v>0</v>
      </c>
      <c r="O3573">
        <v>-2.8921539999999999E-2</v>
      </c>
      <c r="P3573">
        <v>0.99361060000000001</v>
      </c>
      <c r="Q3573">
        <v>2.1035399999999999E-2</v>
      </c>
      <c r="R3573">
        <v>-0.1108864</v>
      </c>
      <c r="S3573">
        <v>2.9730219999999998</v>
      </c>
      <c r="T3573">
        <v>-0.85268630000000001</v>
      </c>
      <c r="U3573">
        <v>-0.57388309999999998</v>
      </c>
      <c r="V3573">
        <v>8.2089209999999996E-2</v>
      </c>
      <c r="W3573">
        <v>3.5363279999999997E-2</v>
      </c>
      <c r="X3573">
        <v>0.99599740000000003</v>
      </c>
      <c r="Y3573">
        <v>0.15611169999999999</v>
      </c>
      <c r="Z3573">
        <v>-1.3699950000000001E-2</v>
      </c>
      <c r="AA3573">
        <v>0.98764439999999998</v>
      </c>
      <c r="AB3573">
        <v>31</v>
      </c>
      <c r="AC3573">
        <v>0.54039999999997601</v>
      </c>
      <c r="AD3573">
        <v>-0.23288139999999999</v>
      </c>
      <c r="AE3573">
        <v>-0.14899999999999999</v>
      </c>
      <c r="AF3573">
        <v>0.113685737183799</v>
      </c>
      <c r="AG3573">
        <v>-0.23288139999999999</v>
      </c>
      <c r="AH3573">
        <v>0.46434242726677799</v>
      </c>
      <c r="AI3573">
        <v>115.97264235820801</v>
      </c>
      <c r="AJ3573">
        <v>76.242797518932804</v>
      </c>
      <c r="AK3573">
        <v>0.53176318325452598</v>
      </c>
      <c r="AL3573">
        <v>87.973410781790193</v>
      </c>
      <c r="AM3573">
        <v>85.288382650079797</v>
      </c>
      <c r="AN3573">
        <v>1.0000000103887701</v>
      </c>
    </row>
    <row r="3574" spans="1:40" x14ac:dyDescent="0.25">
      <c r="A3574" t="str">
        <f>"20190312154906934"</f>
        <v>20190312154906934</v>
      </c>
      <c r="B3574" t="str">
        <f>"1552376946929733"</f>
        <v>1552376946929733</v>
      </c>
      <c r="C3574" t="s">
        <v>40</v>
      </c>
      <c r="D3574">
        <v>4.9286469999999998</v>
      </c>
      <c r="E3574">
        <v>0.53441070000000002</v>
      </c>
      <c r="F3574" t="s">
        <v>41</v>
      </c>
      <c r="G3574">
        <v>-301.54430000000002</v>
      </c>
      <c r="H3574">
        <v>0.87574409999999903</v>
      </c>
      <c r="I3574">
        <v>215.04660000000001</v>
      </c>
      <c r="J3574">
        <v>-302.06169999999997</v>
      </c>
      <c r="K3574">
        <v>1.1101829999999999</v>
      </c>
      <c r="L3574">
        <v>215.1962</v>
      </c>
      <c r="M3574">
        <v>0.99948329999999996</v>
      </c>
      <c r="N3574">
        <v>0</v>
      </c>
      <c r="O3574">
        <v>-2.8760000000000001E-2</v>
      </c>
      <c r="P3574">
        <v>0.99367910000000004</v>
      </c>
      <c r="Q3574">
        <v>2.123075E-2</v>
      </c>
      <c r="R3574">
        <v>-0.11023289999999999</v>
      </c>
      <c r="S3574">
        <v>2.9733580000000002</v>
      </c>
      <c r="T3574">
        <v>-0.85224339999999998</v>
      </c>
      <c r="U3574">
        <v>-0.57318119999999995</v>
      </c>
      <c r="V3574">
        <v>8.1595249999999994E-2</v>
      </c>
      <c r="W3574">
        <v>3.5555799999999999E-2</v>
      </c>
      <c r="X3574">
        <v>0.99603109999999995</v>
      </c>
      <c r="Y3574">
        <v>0.15602839999999901</v>
      </c>
      <c r="Z3574">
        <v>-1.372526E-2</v>
      </c>
      <c r="AA3574">
        <v>0.98765720000000001</v>
      </c>
      <c r="AB3574">
        <v>31</v>
      </c>
      <c r="AC3574">
        <v>0.51739999999995201</v>
      </c>
      <c r="AD3574">
        <v>-0.23443890000000001</v>
      </c>
      <c r="AE3574">
        <v>-0.14959999999999199</v>
      </c>
      <c r="AF3574">
        <v>0.113206981977686</v>
      </c>
      <c r="AG3574">
        <v>-0.23443890000000001</v>
      </c>
      <c r="AH3574">
        <v>0.43842172948422697</v>
      </c>
      <c r="AI3574">
        <v>117.372940599712</v>
      </c>
      <c r="AJ3574">
        <v>75.521632860420297</v>
      </c>
      <c r="AK3574">
        <v>0.509893156931574</v>
      </c>
      <c r="AL3574">
        <v>87.962373186858002</v>
      </c>
      <c r="AM3574">
        <v>85.316765385525798</v>
      </c>
      <c r="AN3574">
        <v>0.99999997595170598</v>
      </c>
    </row>
    <row r="3575" spans="1:40" x14ac:dyDescent="0.25">
      <c r="A3575" t="str">
        <f>"20190312154906957"</f>
        <v>20190312154906957</v>
      </c>
      <c r="B3575" t="str">
        <f>"1552376946949252"</f>
        <v>1552376946949252</v>
      </c>
      <c r="C3575" t="s">
        <v>40</v>
      </c>
      <c r="D3575">
        <v>4.9533950000000004</v>
      </c>
      <c r="E3575">
        <v>0.534474</v>
      </c>
      <c r="F3575" t="s">
        <v>41</v>
      </c>
      <c r="G3575">
        <v>-301.26400000000001</v>
      </c>
      <c r="H3575">
        <v>0.88152459999999899</v>
      </c>
      <c r="I3575">
        <v>215.04300000000001</v>
      </c>
      <c r="J3575">
        <v>-301.74799999999999</v>
      </c>
      <c r="K3575">
        <v>1.110188</v>
      </c>
      <c r="L3575">
        <v>215.18729999999999</v>
      </c>
      <c r="M3575">
        <v>0.9994883</v>
      </c>
      <c r="N3575">
        <v>0</v>
      </c>
      <c r="O3575">
        <v>-2.8591419999999999E-2</v>
      </c>
      <c r="P3575">
        <v>0.99371310000000002</v>
      </c>
      <c r="Q3575">
        <v>2.130955E-2</v>
      </c>
      <c r="R3575">
        <v>-0.109912</v>
      </c>
      <c r="S3575">
        <v>2.9739990000000001</v>
      </c>
      <c r="T3575">
        <v>-0.85251949999999999</v>
      </c>
      <c r="U3575">
        <v>-0.57057190000000002</v>
      </c>
      <c r="V3575">
        <v>8.1441479999999997E-2</v>
      </c>
      <c r="W3575">
        <v>3.5631089999999997E-2</v>
      </c>
      <c r="X3575">
        <v>0.99604099999999995</v>
      </c>
      <c r="Y3575">
        <v>0.1553378</v>
      </c>
      <c r="Z3575">
        <v>-1.367846E-2</v>
      </c>
      <c r="AA3575">
        <v>0.9877667</v>
      </c>
      <c r="AB3575">
        <v>31</v>
      </c>
      <c r="AC3575">
        <v>0.48399999999998</v>
      </c>
      <c r="AD3575">
        <v>-0.22866339999999999</v>
      </c>
      <c r="AE3575">
        <v>-0.14429999999998699</v>
      </c>
      <c r="AF3575">
        <v>0.108218324680905</v>
      </c>
      <c r="AG3575">
        <v>-0.22866339999999999</v>
      </c>
      <c r="AH3575">
        <v>0.40492516970072001</v>
      </c>
      <c r="AI3575">
        <v>118.61502817946899</v>
      </c>
      <c r="AJ3575">
        <v>75.037109961242706</v>
      </c>
      <c r="AK3575">
        <v>0.47745423796784903</v>
      </c>
      <c r="AL3575">
        <v>87.958056663605205</v>
      </c>
      <c r="AM3575">
        <v>85.325598263922501</v>
      </c>
      <c r="AN3575">
        <v>0.99999998146008895</v>
      </c>
    </row>
    <row r="3576" spans="1:40" x14ac:dyDescent="0.25">
      <c r="A3576" t="str">
        <f>"20190312154906979"</f>
        <v>20190312154906979</v>
      </c>
      <c r="B3576" t="str">
        <f>"1552376946969752"</f>
        <v>1552376946969752</v>
      </c>
      <c r="C3576" t="s">
        <v>40</v>
      </c>
      <c r="D3576">
        <v>4.9647959999999998</v>
      </c>
      <c r="E3576">
        <v>0.53440379999999998</v>
      </c>
      <c r="F3576" t="s">
        <v>41</v>
      </c>
      <c r="G3576">
        <v>-300.98259999999999</v>
      </c>
      <c r="H3576">
        <v>0.89059769999999905</v>
      </c>
      <c r="I3576">
        <v>215.04050000000001</v>
      </c>
      <c r="J3576">
        <v>-301.44069999999999</v>
      </c>
      <c r="K3576">
        <v>1.11019</v>
      </c>
      <c r="L3576">
        <v>215.17869999999999</v>
      </c>
      <c r="M3576">
        <v>0.99949290000000002</v>
      </c>
      <c r="N3576">
        <v>0</v>
      </c>
      <c r="O3576">
        <v>-2.8425829999999999E-2</v>
      </c>
      <c r="P3576">
        <v>0.99372150000000004</v>
      </c>
      <c r="Q3576">
        <v>2.0990249999999998E-2</v>
      </c>
      <c r="R3576">
        <v>-0.10989690000000001</v>
      </c>
      <c r="S3576">
        <v>2.9742739999999999</v>
      </c>
      <c r="T3576">
        <v>-0.85332980000000003</v>
      </c>
      <c r="U3576">
        <v>-0.56976319999999903</v>
      </c>
      <c r="V3576">
        <v>8.1591220000000006E-2</v>
      </c>
      <c r="W3576">
        <v>3.5308480000000003E-2</v>
      </c>
      <c r="X3576">
        <v>0.99604020000000004</v>
      </c>
      <c r="Y3576">
        <v>0.15521499999999999</v>
      </c>
      <c r="Z3576">
        <v>-1.371909E-2</v>
      </c>
      <c r="AA3576">
        <v>0.98778549999999998</v>
      </c>
      <c r="AB3576">
        <v>31</v>
      </c>
      <c r="AC3576">
        <v>0.45810000000000101</v>
      </c>
      <c r="AD3576">
        <v>-0.21959229999999999</v>
      </c>
      <c r="AE3576">
        <v>-0.138199999999983</v>
      </c>
      <c r="AF3576">
        <v>0.103353399731396</v>
      </c>
      <c r="AG3576">
        <v>-0.21959229999999999</v>
      </c>
      <c r="AH3576">
        <v>0.38149586137592001</v>
      </c>
      <c r="AI3576">
        <v>119.055717626971</v>
      </c>
      <c r="AJ3576">
        <v>74.841509902849594</v>
      </c>
      <c r="AK3576">
        <v>0.45215240318092198</v>
      </c>
      <c r="AL3576">
        <v>87.976552426197301</v>
      </c>
      <c r="AM3576">
        <v>85.317038256765201</v>
      </c>
      <c r="AN3576">
        <v>0.99999994797851799</v>
      </c>
    </row>
    <row r="3577" spans="1:40" x14ac:dyDescent="0.25">
      <c r="A3577" t="str">
        <f>"20190312154907001"</f>
        <v>20190312154907001</v>
      </c>
      <c r="B3577" t="str">
        <f>"1552376946989268"</f>
        <v>1552376946989268</v>
      </c>
      <c r="C3577" t="s">
        <v>40</v>
      </c>
      <c r="D3577">
        <v>4.9742369999999996</v>
      </c>
      <c r="E3577">
        <v>0.53451380000000004</v>
      </c>
      <c r="F3577" t="s">
        <v>41</v>
      </c>
      <c r="G3577">
        <v>-300.70240000000001</v>
      </c>
      <c r="H3577">
        <v>0.89770729999999999</v>
      </c>
      <c r="I3577">
        <v>215.03710000000001</v>
      </c>
      <c r="J3577">
        <v>-301.12790000000001</v>
      </c>
      <c r="K3577">
        <v>1.1101939999999999</v>
      </c>
      <c r="L3577">
        <v>215.17</v>
      </c>
      <c r="M3577">
        <v>0.99949790000000005</v>
      </c>
      <c r="N3577">
        <v>0</v>
      </c>
      <c r="O3577">
        <v>-2.825749E-2</v>
      </c>
      <c r="P3577">
        <v>0.99375119999999895</v>
      </c>
      <c r="Q3577">
        <v>2.089711E-2</v>
      </c>
      <c r="R3577">
        <v>-0.1096463</v>
      </c>
      <c r="S3577">
        <v>2.9739990000000001</v>
      </c>
      <c r="T3577">
        <v>-0.85587279999999999</v>
      </c>
      <c r="U3577">
        <v>-0.56958009999999903</v>
      </c>
      <c r="V3577">
        <v>8.1507969999999999E-2</v>
      </c>
      <c r="W3577">
        <v>3.5212220000000002E-2</v>
      </c>
      <c r="X3577">
        <v>0.99605049999999995</v>
      </c>
      <c r="Y3577">
        <v>0.15529970000000001</v>
      </c>
      <c r="Z3577">
        <v>-1.3818530000000001E-2</v>
      </c>
      <c r="AA3577">
        <v>0.9877707</v>
      </c>
      <c r="AB3577">
        <v>31</v>
      </c>
      <c r="AC3577">
        <v>0.42549999999999899</v>
      </c>
      <c r="AD3577">
        <v>-0.2124867</v>
      </c>
      <c r="AE3577">
        <v>-0.13289999999997801</v>
      </c>
      <c r="AF3577">
        <v>9.8452245026085794E-2</v>
      </c>
      <c r="AG3577">
        <v>-0.2124867</v>
      </c>
      <c r="AH3577">
        <v>0.349641817055101</v>
      </c>
      <c r="AI3577">
        <v>120.326711331681</v>
      </c>
      <c r="AJ3577">
        <v>74.273826544569403</v>
      </c>
      <c r="AK3577">
        <v>0.42082400414087501</v>
      </c>
      <c r="AL3577">
        <v>87.982071303615001</v>
      </c>
      <c r="AM3577">
        <v>85.321843367747704</v>
      </c>
      <c r="AN3577">
        <v>1.00000002408054</v>
      </c>
    </row>
    <row r="3578" spans="1:40" x14ac:dyDescent="0.25">
      <c r="A3578" t="str">
        <f>"20190312154907018"</f>
        <v>20190312154907018</v>
      </c>
      <c r="B3578" t="str">
        <f>"1552376947009764"</f>
        <v>1552376947009764</v>
      </c>
      <c r="C3578" t="s">
        <v>40</v>
      </c>
      <c r="D3578">
        <v>4.9748950000000001</v>
      </c>
      <c r="E3578">
        <v>0.53460019999999997</v>
      </c>
      <c r="F3578" t="s">
        <v>41</v>
      </c>
      <c r="G3578">
        <v>-300.42169999999999</v>
      </c>
      <c r="H3578">
        <v>0.90670989999999996</v>
      </c>
      <c r="I3578">
        <v>215.03450000000001</v>
      </c>
      <c r="J3578">
        <v>-300.89839999999998</v>
      </c>
      <c r="K3578">
        <v>1.110195</v>
      </c>
      <c r="L3578">
        <v>215.1636</v>
      </c>
      <c r="M3578">
        <v>0.99950130000000004</v>
      </c>
      <c r="N3578">
        <v>0</v>
      </c>
      <c r="O3578">
        <v>-2.8133869999999998E-2</v>
      </c>
      <c r="P3578">
        <v>0.99372709999999997</v>
      </c>
      <c r="Q3578">
        <v>2.1009839999999998E-2</v>
      </c>
      <c r="R3578">
        <v>-0.10984240000000001</v>
      </c>
      <c r="S3578">
        <v>2.9739990000000001</v>
      </c>
      <c r="T3578">
        <v>-0.8569753</v>
      </c>
      <c r="U3578">
        <v>-0.569519</v>
      </c>
      <c r="V3578">
        <v>8.1827629999999998E-2</v>
      </c>
      <c r="W3578">
        <v>3.5322300000000001E-2</v>
      </c>
      <c r="X3578">
        <v>0.99602040000000003</v>
      </c>
      <c r="Y3578">
        <v>0.15538150000000001</v>
      </c>
      <c r="Z3578">
        <v>-1.388171E-2</v>
      </c>
      <c r="AA3578">
        <v>0.987757</v>
      </c>
      <c r="AB3578">
        <v>31</v>
      </c>
      <c r="AC3578">
        <v>0.47669999999999302</v>
      </c>
      <c r="AD3578">
        <v>-0.2034851</v>
      </c>
      <c r="AE3578">
        <v>-0.129099999999994</v>
      </c>
      <c r="AF3578">
        <v>9.8854518554074094E-2</v>
      </c>
      <c r="AG3578">
        <v>-0.2034851</v>
      </c>
      <c r="AH3578">
        <v>0.41046333932239298</v>
      </c>
      <c r="AI3578">
        <v>115.732411424142</v>
      </c>
      <c r="AJ3578">
        <v>76.458962384392706</v>
      </c>
      <c r="AK3578">
        <v>0.46867745272015998</v>
      </c>
      <c r="AL3578">
        <v>87.975760273510602</v>
      </c>
      <c r="AM3578">
        <v>85.303437073019097</v>
      </c>
      <c r="AN3578">
        <v>1.00000003156243</v>
      </c>
    </row>
    <row r="3579" spans="1:40" x14ac:dyDescent="0.25">
      <c r="A3579" t="str">
        <f>"20190312154907037"</f>
        <v>20190312154907037</v>
      </c>
      <c r="B3579" t="str">
        <f>"1552376947029284"</f>
        <v>1552376947029284</v>
      </c>
      <c r="C3579" t="s">
        <v>40</v>
      </c>
      <c r="D3579">
        <v>4.9870330000000003</v>
      </c>
      <c r="E3579">
        <v>0.53465379999999996</v>
      </c>
      <c r="F3579" t="s">
        <v>41</v>
      </c>
      <c r="G3579">
        <v>-300.15019999999998</v>
      </c>
      <c r="H3579">
        <v>0.89463780000000004</v>
      </c>
      <c r="I3579">
        <v>215.01990000000001</v>
      </c>
      <c r="J3579">
        <v>-300.64729999999997</v>
      </c>
      <c r="K3579">
        <v>1.110193</v>
      </c>
      <c r="L3579">
        <v>215.1567</v>
      </c>
      <c r="M3579">
        <v>0.99950510000000004</v>
      </c>
      <c r="N3579">
        <v>0</v>
      </c>
      <c r="O3579">
        <v>-2.799867E-2</v>
      </c>
      <c r="P3579">
        <v>0.99371949999999998</v>
      </c>
      <c r="Q3579">
        <v>2.1092940000000001E-2</v>
      </c>
      <c r="R3579">
        <v>-0.109893699999999</v>
      </c>
      <c r="S3579">
        <v>2.9739070000000001</v>
      </c>
      <c r="T3579">
        <v>-0.856799599999999</v>
      </c>
      <c r="U3579">
        <v>-0.57115169999999904</v>
      </c>
      <c r="V3579">
        <v>8.2014260000000005E-2</v>
      </c>
      <c r="W3579">
        <v>3.5401879999999997E-2</v>
      </c>
      <c r="X3579">
        <v>0.99600219999999995</v>
      </c>
      <c r="Y3579">
        <v>0.15601579999999901</v>
      </c>
      <c r="Z3579">
        <v>-1.400529E-2</v>
      </c>
      <c r="AA3579">
        <v>0.98765530000000001</v>
      </c>
      <c r="AB3579">
        <v>31</v>
      </c>
      <c r="AC3579">
        <v>0.497099999999989</v>
      </c>
      <c r="AD3579">
        <v>-0.215555199999999</v>
      </c>
      <c r="AE3579">
        <v>-0.13679999999999301</v>
      </c>
      <c r="AF3579">
        <v>0.104551820000609</v>
      </c>
      <c r="AG3579">
        <v>-0.215555199999999</v>
      </c>
      <c r="AH3579">
        <v>0.42623297833648</v>
      </c>
      <c r="AI3579">
        <v>116.158477594779</v>
      </c>
      <c r="AJ3579">
        <v>76.217881848802193</v>
      </c>
      <c r="AK3579">
        <v>0.488947521861054</v>
      </c>
      <c r="AL3579">
        <v>87.971197772514103</v>
      </c>
      <c r="AM3579">
        <v>85.292687746063507</v>
      </c>
      <c r="AN3579">
        <v>1.0000000071778601</v>
      </c>
    </row>
    <row r="3580" spans="1:40" x14ac:dyDescent="0.25">
      <c r="A3580" t="str">
        <f>"20190312154907058"</f>
        <v>20190312154907058</v>
      </c>
      <c r="B3580" t="str">
        <f>"1552376947049780"</f>
        <v>1552376947049780</v>
      </c>
      <c r="C3580" t="s">
        <v>40</v>
      </c>
      <c r="D3580">
        <v>5.0181490000000002</v>
      </c>
      <c r="E3580">
        <v>0.534703699999999</v>
      </c>
      <c r="F3580" t="s">
        <v>41</v>
      </c>
      <c r="G3580">
        <v>-299.87670000000003</v>
      </c>
      <c r="H3580">
        <v>0.88792479999999996</v>
      </c>
      <c r="I3580">
        <v>215.00839999999999</v>
      </c>
      <c r="J3580">
        <v>-300.35050000000001</v>
      </c>
      <c r="K3580">
        <v>1.110195</v>
      </c>
      <c r="L3580">
        <v>215.14859999999999</v>
      </c>
      <c r="M3580">
        <v>0.9995098</v>
      </c>
      <c r="N3580">
        <v>0</v>
      </c>
      <c r="O3580">
        <v>-2.78388E-2</v>
      </c>
      <c r="P3580">
        <v>0.9937087</v>
      </c>
      <c r="Q3580">
        <v>2.0618750000000002E-2</v>
      </c>
      <c r="R3580">
        <v>-0.11008270000000001</v>
      </c>
      <c r="S3580">
        <v>2.9739990000000001</v>
      </c>
      <c r="T3580">
        <v>-0.85782769999999997</v>
      </c>
      <c r="U3580">
        <v>-0.57139589999999996</v>
      </c>
      <c r="V3580">
        <v>8.236272E-2</v>
      </c>
      <c r="W3580">
        <v>3.492439E-2</v>
      </c>
      <c r="X3580">
        <v>0.9959903</v>
      </c>
      <c r="Y3580">
        <v>0.15622049999999901</v>
      </c>
      <c r="Z3580">
        <v>-1.409436E-2</v>
      </c>
      <c r="AA3580">
        <v>0.98762169999999905</v>
      </c>
      <c r="AB3580">
        <v>31</v>
      </c>
      <c r="AC3580">
        <v>0.47379999999998201</v>
      </c>
      <c r="AD3580">
        <v>-0.2222702</v>
      </c>
      <c r="AE3580">
        <v>-0.140199999999993</v>
      </c>
      <c r="AF3580">
        <v>0.105587799721593</v>
      </c>
      <c r="AG3580">
        <v>-0.2222702</v>
      </c>
      <c r="AH3580">
        <v>0.39715289536132498</v>
      </c>
      <c r="AI3580">
        <v>118.407639966858</v>
      </c>
      <c r="AJ3580">
        <v>75.111643130839099</v>
      </c>
      <c r="AK3580">
        <v>0.46720792753545098</v>
      </c>
      <c r="AL3580">
        <v>87.998572857479004</v>
      </c>
      <c r="AM3580">
        <v>85.272721668720195</v>
      </c>
      <c r="AN3580">
        <v>1.0000000041783801</v>
      </c>
    </row>
    <row r="3581" spans="1:40" x14ac:dyDescent="0.25">
      <c r="A3581" t="str">
        <f>"20190312154907080"</f>
        <v>20190312154907080</v>
      </c>
      <c r="B3581" t="str">
        <f>"1552376947069301"</f>
        <v>1552376947069301</v>
      </c>
      <c r="C3581" t="s">
        <v>40</v>
      </c>
      <c r="D3581">
        <v>5.026268</v>
      </c>
      <c r="E3581">
        <v>0.53469869999999997</v>
      </c>
      <c r="F3581" t="s">
        <v>41</v>
      </c>
      <c r="G3581">
        <v>-299.59879999999998</v>
      </c>
      <c r="H3581">
        <v>0.89266979999999996</v>
      </c>
      <c r="I3581">
        <v>215.00409999999999</v>
      </c>
      <c r="J3581">
        <v>-300.05279999999999</v>
      </c>
      <c r="K3581">
        <v>1.110193</v>
      </c>
      <c r="L3581">
        <v>215.1405</v>
      </c>
      <c r="M3581">
        <v>0.99951420000000002</v>
      </c>
      <c r="N3581">
        <v>0</v>
      </c>
      <c r="O3581">
        <v>-2.7678100000000001E-2</v>
      </c>
      <c r="P3581">
        <v>0.99370190000000003</v>
      </c>
      <c r="Q3581">
        <v>2.0518370000000001E-2</v>
      </c>
      <c r="R3581">
        <v>-0.1101617</v>
      </c>
      <c r="S3581">
        <v>2.9735109999999998</v>
      </c>
      <c r="T3581">
        <v>-0.86062109999999903</v>
      </c>
      <c r="U3581">
        <v>-0.57170100000000001</v>
      </c>
      <c r="V3581">
        <v>8.2602229999999999E-2</v>
      </c>
      <c r="W3581">
        <v>3.482097E-2</v>
      </c>
      <c r="X3581">
        <v>0.99597409999999997</v>
      </c>
      <c r="Y3581">
        <v>0.1564574</v>
      </c>
      <c r="Z3581">
        <v>-1.4219000000000001E-2</v>
      </c>
      <c r="AA3581">
        <v>0.98758230000000002</v>
      </c>
      <c r="AB3581">
        <v>31</v>
      </c>
      <c r="AC3581">
        <v>0.45400000000000701</v>
      </c>
      <c r="AD3581">
        <v>-0.217523199999999</v>
      </c>
      <c r="AE3581">
        <v>-0.13640000000000799</v>
      </c>
      <c r="AF3581">
        <v>0.10225102116099399</v>
      </c>
      <c r="AG3581">
        <v>-0.217523199999999</v>
      </c>
      <c r="AH3581">
        <v>0.37800954142387699</v>
      </c>
      <c r="AI3581">
        <v>119.051309655765</v>
      </c>
      <c r="AJ3581">
        <v>74.863805942536104</v>
      </c>
      <c r="AK3581">
        <v>0.447954045940201</v>
      </c>
      <c r="AL3581">
        <v>88.004502021108493</v>
      </c>
      <c r="AM3581">
        <v>85.2589605981901</v>
      </c>
      <c r="AN3581">
        <v>1.0000000181117601</v>
      </c>
    </row>
    <row r="3582" spans="1:40" x14ac:dyDescent="0.25">
      <c r="A3582" t="str">
        <f>"20190312154907102"</f>
        <v>20190312154907102</v>
      </c>
      <c r="B3582" t="str">
        <f>"1552376947089330"</f>
        <v>1552376947089330</v>
      </c>
      <c r="C3582" t="s">
        <v>40</v>
      </c>
      <c r="D3582">
        <v>5.0211670000000002</v>
      </c>
      <c r="E3582">
        <v>0.53471880000000005</v>
      </c>
      <c r="F3582" t="s">
        <v>41</v>
      </c>
      <c r="G3582">
        <v>-299.32100000000003</v>
      </c>
      <c r="H3582">
        <v>0.89804050000000002</v>
      </c>
      <c r="I3582">
        <v>214.9992</v>
      </c>
      <c r="J3582">
        <v>-299.7371</v>
      </c>
      <c r="K3582">
        <v>1.110193</v>
      </c>
      <c r="L3582">
        <v>215.1319</v>
      </c>
      <c r="M3582">
        <v>0.99951889999999999</v>
      </c>
      <c r="N3582">
        <v>0</v>
      </c>
      <c r="O3582">
        <v>-2.7507739999999999E-2</v>
      </c>
      <c r="P3582">
        <v>0.99370530000000001</v>
      </c>
      <c r="Q3582">
        <v>2.0453289999999999E-2</v>
      </c>
      <c r="R3582">
        <v>-0.11014350000000001</v>
      </c>
      <c r="S3582">
        <v>2.9732669999999999</v>
      </c>
      <c r="T3582">
        <v>-0.86197089999999998</v>
      </c>
      <c r="U3582">
        <v>-0.57283019999999996</v>
      </c>
      <c r="V3582">
        <v>8.2753980000000005E-2</v>
      </c>
      <c r="W3582">
        <v>3.4751869999999997E-2</v>
      </c>
      <c r="X3582">
        <v>0.99596390000000001</v>
      </c>
      <c r="Y3582">
        <v>0.1569595</v>
      </c>
      <c r="Z3582">
        <v>-1.435969E-2</v>
      </c>
      <c r="AA3582">
        <v>0.98750059999999995</v>
      </c>
      <c r="AB3582">
        <v>31</v>
      </c>
      <c r="AC3582">
        <v>0.416100000000028</v>
      </c>
      <c r="AD3582">
        <v>-0.21215249999999999</v>
      </c>
      <c r="AE3582">
        <v>-0.13269999999999901</v>
      </c>
      <c r="AF3582">
        <v>9.8063691512102896E-2</v>
      </c>
      <c r="AG3582">
        <v>-0.21215249999999999</v>
      </c>
      <c r="AH3582">
        <v>0.33948813524417998</v>
      </c>
      <c r="AI3582">
        <v>120.979482003694</v>
      </c>
      <c r="AJ3582">
        <v>73.888242091766301</v>
      </c>
      <c r="AK3582">
        <v>0.41216181873240199</v>
      </c>
      <c r="AL3582">
        <v>88.008463524723197</v>
      </c>
      <c r="AM3582">
        <v>85.250242143206194</v>
      </c>
      <c r="AN3582">
        <v>1.00000000188877</v>
      </c>
    </row>
    <row r="3583" spans="1:40" x14ac:dyDescent="0.25">
      <c r="A3583" t="str">
        <f>"20190312154907124"</f>
        <v>20190312154907124</v>
      </c>
      <c r="B3583" t="str">
        <f>"1552376947119585"</f>
        <v>1552376947119585</v>
      </c>
      <c r="C3583" t="s">
        <v>40</v>
      </c>
      <c r="D3583">
        <v>5.1598519999999999</v>
      </c>
      <c r="E3583">
        <v>0.5348752</v>
      </c>
      <c r="F3583" t="s">
        <v>41</v>
      </c>
      <c r="G3583">
        <v>-299.04140000000001</v>
      </c>
      <c r="H3583">
        <v>0.90826189999999996</v>
      </c>
      <c r="I3583">
        <v>214.99780000000001</v>
      </c>
      <c r="J3583">
        <v>-299.4323</v>
      </c>
      <c r="K3583">
        <v>1.1101859999999999</v>
      </c>
      <c r="L3583">
        <v>215.12370000000001</v>
      </c>
      <c r="M3583">
        <v>0.99952350000000001</v>
      </c>
      <c r="N3583">
        <v>0</v>
      </c>
      <c r="O3583">
        <v>-2.734323E-2</v>
      </c>
      <c r="P3583">
        <v>0.99374649999999998</v>
      </c>
      <c r="Q3583">
        <v>2.0133769999999999E-2</v>
      </c>
      <c r="R3583">
        <v>-0.1098297</v>
      </c>
      <c r="S3583">
        <v>2.973328</v>
      </c>
      <c r="T3583">
        <v>-0.86297579999999996</v>
      </c>
      <c r="U3583">
        <v>-0.57273859999999999</v>
      </c>
      <c r="V3583">
        <v>8.2603309999999999E-2</v>
      </c>
      <c r="W3583">
        <v>3.4429729999999999E-2</v>
      </c>
      <c r="X3583">
        <v>0.99598759999999997</v>
      </c>
      <c r="Y3583">
        <v>0.15706639999999999</v>
      </c>
      <c r="Z3583">
        <v>-1.4436930000000001E-2</v>
      </c>
      <c r="AA3583">
        <v>0.98748250000000004</v>
      </c>
      <c r="AB3583">
        <v>31</v>
      </c>
      <c r="AC3583">
        <v>0.39089999999998698</v>
      </c>
      <c r="AD3583">
        <v>-0.2019241</v>
      </c>
      <c r="AE3583">
        <v>-0.12590000000000101</v>
      </c>
      <c r="AF3583">
        <v>9.2742195080145598E-2</v>
      </c>
      <c r="AG3583">
        <v>-0.2019241</v>
      </c>
      <c r="AH3583">
        <v>0.31745051525376999</v>
      </c>
      <c r="AI3583">
        <v>121.406504973553</v>
      </c>
      <c r="AJ3583">
        <v>73.714438572636993</v>
      </c>
      <c r="AK3583">
        <v>0.38749101479128201</v>
      </c>
      <c r="AL3583">
        <v>88.026931847966694</v>
      </c>
      <c r="AM3583">
        <v>85.258962862832405</v>
      </c>
      <c r="AN3583">
        <v>1.00000000624229</v>
      </c>
    </row>
    <row r="3584" spans="1:40" x14ac:dyDescent="0.25">
      <c r="A3584" t="str">
        <f>"20190312154907141"</f>
        <v>20190312154907141</v>
      </c>
      <c r="B3584" t="str">
        <f>"1552376947129345"</f>
        <v>1552376947129345</v>
      </c>
      <c r="C3584" t="s">
        <v>40</v>
      </c>
      <c r="D3584">
        <v>5.0577019999999999</v>
      </c>
      <c r="E3584">
        <v>0.53488080000000005</v>
      </c>
      <c r="F3584" t="s">
        <v>41</v>
      </c>
      <c r="G3584">
        <v>-298.76339999999999</v>
      </c>
      <c r="H3584">
        <v>0.91557169999999999</v>
      </c>
      <c r="I3584">
        <v>214.99449999999999</v>
      </c>
      <c r="J3584">
        <v>-299.21460000000002</v>
      </c>
      <c r="K3584">
        <v>1.1101840000000001</v>
      </c>
      <c r="L3584">
        <v>215.11789999999999</v>
      </c>
      <c r="M3584">
        <v>0.99952669999999999</v>
      </c>
      <c r="N3584">
        <v>0</v>
      </c>
      <c r="O3584">
        <v>-2.7225800000000001E-2</v>
      </c>
      <c r="P3584">
        <v>0.99377420000000005</v>
      </c>
      <c r="Q3584">
        <v>1.998724E-2</v>
      </c>
      <c r="R3584">
        <v>-0.1096063</v>
      </c>
      <c r="S3584">
        <v>2.9730829999999999</v>
      </c>
      <c r="T3584">
        <v>-0.86502299999999999</v>
      </c>
      <c r="U3584">
        <v>-0.57305909999999904</v>
      </c>
      <c r="V3584">
        <v>8.2496369999999999E-2</v>
      </c>
      <c r="W3584">
        <v>3.4281029999999997E-2</v>
      </c>
      <c r="X3584">
        <v>0.99600160000000004</v>
      </c>
      <c r="Y3584">
        <v>0.15726279999999901</v>
      </c>
      <c r="Z3584">
        <v>-1.453171E-2</v>
      </c>
      <c r="AA3584">
        <v>0.98744989999999999</v>
      </c>
      <c r="AB3584">
        <v>31</v>
      </c>
      <c r="AC3584">
        <v>0.45120000000002802</v>
      </c>
      <c r="AD3584">
        <v>-0.19461229999999999</v>
      </c>
      <c r="AE3584">
        <v>-0.12340000000000299</v>
      </c>
      <c r="AF3584">
        <v>9.46803549046146E-2</v>
      </c>
      <c r="AG3584">
        <v>-0.19461229999999999</v>
      </c>
      <c r="AH3584">
        <v>0.38734640283135302</v>
      </c>
      <c r="AI3584">
        <v>116.014960757593</v>
      </c>
      <c r="AJ3584">
        <v>76.264334862355298</v>
      </c>
      <c r="AK3584">
        <v>0.44370660655724098</v>
      </c>
      <c r="AL3584">
        <v>88.035456777307601</v>
      </c>
      <c r="AM3584">
        <v>85.265139037782106</v>
      </c>
      <c r="AN3584">
        <v>1.0000000136417899</v>
      </c>
    </row>
    <row r="3585" spans="1:40" x14ac:dyDescent="0.25">
      <c r="A3585" t="str">
        <f>"20190312154907158"</f>
        <v>20190312154907158</v>
      </c>
      <c r="B3585" t="str">
        <f>"1552376947149841"</f>
        <v>1552376947149841</v>
      </c>
      <c r="C3585" t="s">
        <v>40</v>
      </c>
      <c r="D3585">
        <v>5.0642449999999997</v>
      </c>
      <c r="E3585">
        <v>0.53495979999999999</v>
      </c>
      <c r="F3585" t="s">
        <v>41</v>
      </c>
      <c r="G3585">
        <v>-298.495</v>
      </c>
      <c r="H3585">
        <v>0.90066550000000001</v>
      </c>
      <c r="I3585">
        <v>214.97929999999999</v>
      </c>
      <c r="J3585">
        <v>-298.97719999999998</v>
      </c>
      <c r="K3585">
        <v>1.1101799999999999</v>
      </c>
      <c r="L3585">
        <v>215.11150000000001</v>
      </c>
      <c r="M3585">
        <v>0.99953029999999998</v>
      </c>
      <c r="N3585">
        <v>0</v>
      </c>
      <c r="O3585">
        <v>-2.7097639999999999E-2</v>
      </c>
      <c r="P3585">
        <v>0.99385520000000005</v>
      </c>
      <c r="Q3585">
        <v>2.0073980000000002E-2</v>
      </c>
      <c r="R3585">
        <v>-0.1088524</v>
      </c>
      <c r="S3585">
        <v>2.9730530000000002</v>
      </c>
      <c r="T3585">
        <v>-0.86566869999999996</v>
      </c>
      <c r="U3585">
        <v>-0.57258609999999999</v>
      </c>
      <c r="V3585">
        <v>8.1868380000000004E-2</v>
      </c>
      <c r="W3585">
        <v>3.436587E-2</v>
      </c>
      <c r="X3585">
        <v>0.99605049999999995</v>
      </c>
      <c r="Y3585">
        <v>0.15722800000000001</v>
      </c>
      <c r="Z3585">
        <v>-1.457376E-2</v>
      </c>
      <c r="AA3585">
        <v>0.98745479999999997</v>
      </c>
      <c r="AB3585">
        <v>31</v>
      </c>
      <c r="AC3585">
        <v>0.48219999999997698</v>
      </c>
      <c r="AD3585">
        <v>-0.20951449999999899</v>
      </c>
      <c r="AE3585">
        <v>-0.132200000000011</v>
      </c>
      <c r="AF3585">
        <v>0.10129692358119601</v>
      </c>
      <c r="AG3585">
        <v>-0.20951449999999899</v>
      </c>
      <c r="AH3585">
        <v>0.41307401179446801</v>
      </c>
      <c r="AI3585">
        <v>116.22542985278101</v>
      </c>
      <c r="AJ3585">
        <v>76.221427307577002</v>
      </c>
      <c r="AK3585">
        <v>0.47411763483047198</v>
      </c>
      <c r="AL3585">
        <v>88.030592953245304</v>
      </c>
      <c r="AM3585">
        <v>85.301250026057502</v>
      </c>
      <c r="AN3585">
        <v>1.00000002160746</v>
      </c>
    </row>
    <row r="3586" spans="1:40" x14ac:dyDescent="0.25">
      <c r="A3586" t="str">
        <f>"20190312154907181"</f>
        <v>20190312154907181</v>
      </c>
      <c r="B3586" t="str">
        <f>"1552376947169361"</f>
        <v>1552376947169361</v>
      </c>
      <c r="C3586" t="s">
        <v>40</v>
      </c>
      <c r="D3586">
        <v>5.08751</v>
      </c>
      <c r="E3586">
        <v>0.5349488</v>
      </c>
      <c r="F3586" t="s">
        <v>41</v>
      </c>
      <c r="G3586">
        <v>-298.22480000000002</v>
      </c>
      <c r="H3586">
        <v>0.89100349999999995</v>
      </c>
      <c r="I3586">
        <v>214.96700000000001</v>
      </c>
      <c r="J3586">
        <v>-298.66520000000003</v>
      </c>
      <c r="K3586">
        <v>1.1101840000000001</v>
      </c>
      <c r="L3586">
        <v>215.10329999999999</v>
      </c>
      <c r="M3586">
        <v>0.99953499999999995</v>
      </c>
      <c r="N3586">
        <v>0</v>
      </c>
      <c r="O3586">
        <v>-2.6929310000000001E-2</v>
      </c>
      <c r="P3586">
        <v>0.99393279999999995</v>
      </c>
      <c r="Q3586">
        <v>2.001149E-2</v>
      </c>
      <c r="R3586">
        <v>-0.1081558</v>
      </c>
      <c r="S3586">
        <v>2.973541</v>
      </c>
      <c r="T3586">
        <v>-0.86610229999999999</v>
      </c>
      <c r="U3586">
        <v>-0.57060239999999995</v>
      </c>
      <c r="V3586">
        <v>8.133746E-2</v>
      </c>
      <c r="W3586">
        <v>3.43001E-2</v>
      </c>
      <c r="X3586">
        <v>0.99609630000000005</v>
      </c>
      <c r="Y3586">
        <v>0.1567374</v>
      </c>
      <c r="Z3586">
        <v>-1.4557499999999999E-2</v>
      </c>
      <c r="AA3586">
        <v>0.98753299999999999</v>
      </c>
      <c r="AB3586">
        <v>31</v>
      </c>
      <c r="AC3586">
        <v>0.44040000000001001</v>
      </c>
      <c r="AD3586">
        <v>-0.2191805</v>
      </c>
      <c r="AE3586">
        <v>-0.136299999999977</v>
      </c>
      <c r="AF3586">
        <v>0.101456520324329</v>
      </c>
      <c r="AG3586">
        <v>-0.2191805</v>
      </c>
      <c r="AH3586">
        <v>0.36206922920766399</v>
      </c>
      <c r="AI3586">
        <v>120.23803932169599</v>
      </c>
      <c r="AJ3586">
        <v>74.346435142615704</v>
      </c>
      <c r="AK3586">
        <v>0.43523286162191699</v>
      </c>
      <c r="AL3586">
        <v>88.034363593182704</v>
      </c>
      <c r="AM3586">
        <v>85.331800204393303</v>
      </c>
      <c r="AN3586">
        <v>1.0000000590664699</v>
      </c>
    </row>
    <row r="3587" spans="1:40" x14ac:dyDescent="0.25">
      <c r="A3587" t="str">
        <f>"20190312154907202"</f>
        <v>20190312154907202</v>
      </c>
      <c r="B3587" t="str">
        <f>"1552376947189857"</f>
        <v>1552376947189857</v>
      </c>
      <c r="C3587" t="s">
        <v>40</v>
      </c>
      <c r="D3587">
        <v>5.120088</v>
      </c>
      <c r="E3587">
        <v>0.53494580000000003</v>
      </c>
      <c r="F3587" t="s">
        <v>41</v>
      </c>
      <c r="G3587">
        <v>-297.94670000000002</v>
      </c>
      <c r="H3587">
        <v>0.90053839999999996</v>
      </c>
      <c r="I3587">
        <v>214.96600000000001</v>
      </c>
      <c r="J3587">
        <v>-298.36619999999999</v>
      </c>
      <c r="K3587">
        <v>1.110188</v>
      </c>
      <c r="L3587">
        <v>215.09540000000001</v>
      </c>
      <c r="M3587">
        <v>0.99953930000000002</v>
      </c>
      <c r="N3587">
        <v>0</v>
      </c>
      <c r="O3587">
        <v>-2.6767889999999999E-2</v>
      </c>
      <c r="P3587">
        <v>0.99400290000000002</v>
      </c>
      <c r="Q3587">
        <v>2.0162610000000001E-2</v>
      </c>
      <c r="R3587">
        <v>-0.10748099999999999</v>
      </c>
      <c r="S3587">
        <v>2.9739070000000001</v>
      </c>
      <c r="T3587">
        <v>-0.8677435</v>
      </c>
      <c r="U3587">
        <v>-0.56842040000000005</v>
      </c>
      <c r="V3587">
        <v>8.0821799999999999E-2</v>
      </c>
      <c r="W3587">
        <v>3.4448310000000003E-2</v>
      </c>
      <c r="X3587">
        <v>0.99613309999999999</v>
      </c>
      <c r="Y3587">
        <v>0.15617249999999999</v>
      </c>
      <c r="Z3587">
        <v>-1.454887E-2</v>
      </c>
      <c r="AA3587">
        <v>0.98762260000000002</v>
      </c>
      <c r="AB3587">
        <v>31</v>
      </c>
      <c r="AC3587">
        <v>0.41949999999997001</v>
      </c>
      <c r="AD3587">
        <v>-0.20964959999999999</v>
      </c>
      <c r="AE3587">
        <v>-0.12940000000003199</v>
      </c>
      <c r="AF3587">
        <v>9.6186875445478506E-2</v>
      </c>
      <c r="AG3587">
        <v>-0.20964959999999999</v>
      </c>
      <c r="AH3587">
        <v>0.34429380466378401</v>
      </c>
      <c r="AI3587">
        <v>120.390319041929</v>
      </c>
      <c r="AJ3587">
        <v>74.390997238680697</v>
      </c>
      <c r="AK3587">
        <v>0.41441898329829002</v>
      </c>
      <c r="AL3587">
        <v>88.025866650497406</v>
      </c>
      <c r="AM3587">
        <v>85.361436527037398</v>
      </c>
      <c r="AN3587">
        <v>1.0000000011663499</v>
      </c>
    </row>
    <row r="3588" spans="1:40" x14ac:dyDescent="0.25">
      <c r="A3588" t="str">
        <f>"20190312154907218"</f>
        <v>20190312154907218</v>
      </c>
      <c r="B3588" t="str">
        <f>"1552376947209378"</f>
        <v>1552376947209378</v>
      </c>
      <c r="C3588" t="s">
        <v>40</v>
      </c>
      <c r="D3588">
        <v>5.1347269999999998</v>
      </c>
      <c r="E3588">
        <v>0.53494790000000003</v>
      </c>
      <c r="F3588" t="s">
        <v>41</v>
      </c>
      <c r="G3588">
        <v>-297.6703</v>
      </c>
      <c r="H3588">
        <v>0.90713759999999999</v>
      </c>
      <c r="I3588">
        <v>214.96279999999999</v>
      </c>
      <c r="J3588">
        <v>-298.15609999999998</v>
      </c>
      <c r="K3588">
        <v>1.110188</v>
      </c>
      <c r="L3588">
        <v>215.0899</v>
      </c>
      <c r="M3588">
        <v>0.99954240000000005</v>
      </c>
      <c r="N3588">
        <v>0</v>
      </c>
      <c r="O3588">
        <v>-2.6654520000000001E-2</v>
      </c>
      <c r="P3588">
        <v>0.99397950000000002</v>
      </c>
      <c r="Q3588">
        <v>2.0251269999999998E-2</v>
      </c>
      <c r="R3588">
        <v>-0.10768030000000001</v>
      </c>
      <c r="S3588">
        <v>2.974548</v>
      </c>
      <c r="T3588">
        <v>-0.86798619999999904</v>
      </c>
      <c r="U3588">
        <v>-0.56596369999999996</v>
      </c>
      <c r="V3588">
        <v>8.1134830000000005E-2</v>
      </c>
      <c r="W3588">
        <v>3.4534570000000001E-2</v>
      </c>
      <c r="X3588">
        <v>0.99610469999999895</v>
      </c>
      <c r="Y3588">
        <v>0.1554797</v>
      </c>
      <c r="Z3588">
        <v>-1.4484749999999999E-2</v>
      </c>
      <c r="AA3588">
        <v>0.98773290000000002</v>
      </c>
      <c r="AB3588">
        <v>31</v>
      </c>
      <c r="AC3588">
        <v>0.48579999999998302</v>
      </c>
      <c r="AD3588">
        <v>-0.20305039999999999</v>
      </c>
      <c r="AE3588">
        <v>-0.12710000000001201</v>
      </c>
      <c r="AF3588">
        <v>9.8069603679102599E-2</v>
      </c>
      <c r="AG3588">
        <v>-0.20305039999999999</v>
      </c>
      <c r="AH3588">
        <v>0.420294152907083</v>
      </c>
      <c r="AI3588">
        <v>115.19590719748901</v>
      </c>
      <c r="AJ3588">
        <v>76.865852546423397</v>
      </c>
      <c r="AK3588">
        <v>0.476963611896986</v>
      </c>
      <c r="AL3588">
        <v>88.020921441595107</v>
      </c>
      <c r="AM3588">
        <v>85.343417633915607</v>
      </c>
      <c r="AN3588">
        <v>1.00000003526315</v>
      </c>
    </row>
    <row r="3589" spans="1:40" x14ac:dyDescent="0.25">
      <c r="A3589" t="str">
        <f>"20190312154907237"</f>
        <v>20190312154907237</v>
      </c>
      <c r="B3589" t="str">
        <f>"1552376947229873"</f>
        <v>1552376947229873</v>
      </c>
      <c r="C3589" t="s">
        <v>40</v>
      </c>
      <c r="D3589">
        <v>5.1240129999999997</v>
      </c>
      <c r="E3589">
        <v>0.5348366</v>
      </c>
      <c r="F3589" t="s">
        <v>41</v>
      </c>
      <c r="G3589">
        <v>-297.40390000000002</v>
      </c>
      <c r="H3589">
        <v>0.89061049999999997</v>
      </c>
      <c r="I3589">
        <v>214.94659999999999</v>
      </c>
      <c r="J3589">
        <v>-297.89299999999997</v>
      </c>
      <c r="K3589">
        <v>1.110185</v>
      </c>
      <c r="L3589">
        <v>215.0831</v>
      </c>
      <c r="M3589">
        <v>0.99954609999999999</v>
      </c>
      <c r="N3589">
        <v>0</v>
      </c>
      <c r="O3589">
        <v>-2.651241E-2</v>
      </c>
      <c r="P3589">
        <v>0.9939711</v>
      </c>
      <c r="Q3589">
        <v>2.03102E-2</v>
      </c>
      <c r="R3589">
        <v>-0.1077453</v>
      </c>
      <c r="S3589">
        <v>2.9744869999999999</v>
      </c>
      <c r="T3589">
        <v>-0.86828329999999998</v>
      </c>
      <c r="U3589">
        <v>-0.56660459999999901</v>
      </c>
      <c r="V3589">
        <v>8.1341830000000004E-2</v>
      </c>
      <c r="W3589">
        <v>3.4590320000000001E-2</v>
      </c>
      <c r="X3589">
        <v>0.99608580000000002</v>
      </c>
      <c r="Y3589">
        <v>0.15580669999999999</v>
      </c>
      <c r="Z3589">
        <v>-1.457614E-2</v>
      </c>
      <c r="AA3589">
        <v>0.98768</v>
      </c>
      <c r="AB3589">
        <v>31</v>
      </c>
      <c r="AC3589">
        <v>0.48909999999995002</v>
      </c>
      <c r="AD3589">
        <v>-0.21957449999999901</v>
      </c>
      <c r="AE3589">
        <v>-0.136500000000012</v>
      </c>
      <c r="AF3589">
        <v>0.10403163777221699</v>
      </c>
      <c r="AG3589">
        <v>-0.21957449999999901</v>
      </c>
      <c r="AH3589">
        <v>0.41495846717611301</v>
      </c>
      <c r="AI3589">
        <v>117.16979683944</v>
      </c>
      <c r="AJ3589">
        <v>75.925813577642501</v>
      </c>
      <c r="AK3589">
        <v>0.48085972194494397</v>
      </c>
      <c r="AL3589">
        <v>88.017725127815496</v>
      </c>
      <c r="AM3589">
        <v>85.331501511783401</v>
      </c>
      <c r="AN3589">
        <v>0.99999995225354399</v>
      </c>
    </row>
    <row r="3590" spans="1:40" x14ac:dyDescent="0.25">
      <c r="A3590" t="str">
        <f>"20190312154907260"</f>
        <v>20190312154907260</v>
      </c>
      <c r="B3590" t="str">
        <f>"1552376947249393"</f>
        <v>1552376947249393</v>
      </c>
      <c r="C3590" t="s">
        <v>40</v>
      </c>
      <c r="D3590">
        <v>5.1334580000000001</v>
      </c>
      <c r="E3590">
        <v>0.53488329999999995</v>
      </c>
      <c r="F3590" t="s">
        <v>41</v>
      </c>
      <c r="G3590">
        <v>-297.13209999999998</v>
      </c>
      <c r="H3590">
        <v>0.88759969999999999</v>
      </c>
      <c r="I3590">
        <v>214.93799999999999</v>
      </c>
      <c r="J3590">
        <v>-297.59129999999999</v>
      </c>
      <c r="K3590">
        <v>1.1101840000000001</v>
      </c>
      <c r="L3590">
        <v>215.0752</v>
      </c>
      <c r="M3590">
        <v>0.99955039999999995</v>
      </c>
      <c r="N3590">
        <v>0</v>
      </c>
      <c r="O3590">
        <v>-2.63492E-2</v>
      </c>
      <c r="P3590">
        <v>0.99397400000000002</v>
      </c>
      <c r="Q3590">
        <v>1.9472550000000002E-2</v>
      </c>
      <c r="R3590">
        <v>-0.1078715</v>
      </c>
      <c r="S3590">
        <v>2.97464</v>
      </c>
      <c r="T3590">
        <v>-0.87022549999999899</v>
      </c>
      <c r="U3590">
        <v>-0.56587219999999905</v>
      </c>
      <c r="V3590">
        <v>8.1630910000000001E-2</v>
      </c>
      <c r="W3590">
        <v>3.3749670000000002E-2</v>
      </c>
      <c r="X3590">
        <v>0.99609099999999995</v>
      </c>
      <c r="Y3590">
        <v>0.1556989</v>
      </c>
      <c r="Z3590">
        <v>-1.463806E-2</v>
      </c>
      <c r="AA3590">
        <v>0.98769609999999997</v>
      </c>
      <c r="AB3590">
        <v>31</v>
      </c>
      <c r="AC3590">
        <v>0.45920000000000899</v>
      </c>
      <c r="AD3590">
        <v>-0.22258430000000001</v>
      </c>
      <c r="AE3590">
        <v>-0.13720000000000701</v>
      </c>
      <c r="AF3590">
        <v>0.102863846739963</v>
      </c>
      <c r="AG3590">
        <v>-0.22258430000000001</v>
      </c>
      <c r="AH3590">
        <v>0.38056763218808698</v>
      </c>
      <c r="AI3590">
        <v>119.44966074391201</v>
      </c>
      <c r="AJ3590">
        <v>74.874908150853301</v>
      </c>
      <c r="AK3590">
        <v>0.45272117715198601</v>
      </c>
      <c r="AL3590">
        <v>88.065918992865306</v>
      </c>
      <c r="AM3590">
        <v>85.315008251925505</v>
      </c>
      <c r="AN3590">
        <v>0.99999996298676697</v>
      </c>
    </row>
    <row r="3591" spans="1:40" x14ac:dyDescent="0.25">
      <c r="A3591" t="str">
        <f>"20190312154907292"</f>
        <v>20190312154907292</v>
      </c>
      <c r="B3591" t="str">
        <f>"1552376947279650"</f>
        <v>1552376947279650</v>
      </c>
      <c r="C3591" t="s">
        <v>40</v>
      </c>
      <c r="D3591">
        <v>5.253927</v>
      </c>
      <c r="E3591">
        <v>0.53502109999999903</v>
      </c>
      <c r="F3591" t="s">
        <v>41</v>
      </c>
      <c r="G3591">
        <v>-296.85660000000001</v>
      </c>
      <c r="H3591">
        <v>0.89433130000000005</v>
      </c>
      <c r="I3591">
        <v>214.93530000000001</v>
      </c>
      <c r="J3591">
        <v>-297.14240000000001</v>
      </c>
      <c r="K3591">
        <v>1.1101749999999999</v>
      </c>
      <c r="L3591">
        <v>215.06360000000001</v>
      </c>
      <c r="M3591">
        <v>0.99955700000000003</v>
      </c>
      <c r="N3591">
        <v>0</v>
      </c>
      <c r="O3591">
        <v>-2.6106239999999999E-2</v>
      </c>
      <c r="P3591">
        <v>0.99398390000000003</v>
      </c>
      <c r="Q3591">
        <v>1.838269E-2</v>
      </c>
      <c r="R3591">
        <v>-0.1079739</v>
      </c>
      <c r="S3591">
        <v>2.9738769999999999</v>
      </c>
      <c r="T3591">
        <v>-0.87369529999999995</v>
      </c>
      <c r="U3591">
        <v>-0.56642150000000002</v>
      </c>
      <c r="V3591">
        <v>8.1975530000000005E-2</v>
      </c>
      <c r="W3591">
        <v>3.2654500000000003E-2</v>
      </c>
      <c r="X3591">
        <v>0.99609919999999996</v>
      </c>
      <c r="Y3591">
        <v>0.15609210000000001</v>
      </c>
      <c r="Z3591">
        <v>-1.4822750000000001E-2</v>
      </c>
      <c r="AA3591">
        <v>0.98763129999999999</v>
      </c>
      <c r="AB3591">
        <v>31</v>
      </c>
      <c r="AC3591">
        <v>0.285799999999994</v>
      </c>
      <c r="AD3591">
        <v>-0.215843699999999</v>
      </c>
      <c r="AE3591">
        <v>-0.128299999999995</v>
      </c>
      <c r="AF3591">
        <v>8.19109880213999E-2</v>
      </c>
      <c r="AG3591">
        <v>-0.215843699999999</v>
      </c>
      <c r="AH3591">
        <v>0.196007227085191</v>
      </c>
      <c r="AI3591">
        <v>135.45613403545801</v>
      </c>
      <c r="AJ3591">
        <v>67.320057554018504</v>
      </c>
      <c r="AK3591">
        <v>0.30284772717977798</v>
      </c>
      <c r="AL3591">
        <v>88.128702226707006</v>
      </c>
      <c r="AM3591">
        <v>85.295356845841397</v>
      </c>
      <c r="AN3591">
        <v>0.99999996006483405</v>
      </c>
    </row>
    <row r="3592" spans="1:40" x14ac:dyDescent="0.25">
      <c r="A3592" t="str">
        <f>"20190312154907314"</f>
        <v>20190312154907314</v>
      </c>
      <c r="B3592" t="str">
        <f>"1552376947309437"</f>
        <v>1552376947309437</v>
      </c>
      <c r="C3592" t="s">
        <v>40</v>
      </c>
      <c r="D3592">
        <v>5.1186470000000002</v>
      </c>
      <c r="E3592">
        <v>0.53507450000000001</v>
      </c>
      <c r="F3592" t="s">
        <v>41</v>
      </c>
      <c r="G3592">
        <v>-296.32310000000001</v>
      </c>
      <c r="H3592">
        <v>0.86816700000000002</v>
      </c>
      <c r="I3592">
        <v>214.90719999999999</v>
      </c>
      <c r="J3592">
        <v>-296.84030000000001</v>
      </c>
      <c r="K3592">
        <v>1.1101730000000001</v>
      </c>
      <c r="L3592">
        <v>215.05590000000001</v>
      </c>
      <c r="M3592">
        <v>0.99956120000000004</v>
      </c>
      <c r="N3592">
        <v>0</v>
      </c>
      <c r="O3592">
        <v>-2.5942799999999999E-2</v>
      </c>
      <c r="P3592">
        <v>0.99396879999999999</v>
      </c>
      <c r="Q3592">
        <v>1.8330300000000001E-2</v>
      </c>
      <c r="R3592">
        <v>-0.1081218</v>
      </c>
      <c r="S3592">
        <v>2.9727480000000002</v>
      </c>
      <c r="T3592">
        <v>-0.87807800000000003</v>
      </c>
      <c r="U3592">
        <v>-0.56750489999999998</v>
      </c>
      <c r="V3592">
        <v>8.2286730000000002E-2</v>
      </c>
      <c r="W3592">
        <v>3.2598740000000001E-2</v>
      </c>
      <c r="X3592">
        <v>0.99607540000000006</v>
      </c>
      <c r="Y3592">
        <v>0.1565868</v>
      </c>
      <c r="Z3592">
        <v>-1.5016760000000001E-2</v>
      </c>
      <c r="AA3592">
        <v>0.98755000000000004</v>
      </c>
      <c r="AB3592">
        <v>30</v>
      </c>
      <c r="AC3592">
        <v>0.51720000000000199</v>
      </c>
      <c r="AD3592">
        <v>-0.242005999999999</v>
      </c>
      <c r="AE3592">
        <v>-0.14870000000001901</v>
      </c>
      <c r="AF3592">
        <v>0.11248356794752</v>
      </c>
      <c r="AG3592">
        <v>-0.242005999999999</v>
      </c>
      <c r="AH3592">
        <v>0.43326536264264998</v>
      </c>
      <c r="AI3592">
        <v>118.397432768451</v>
      </c>
      <c r="AJ3592">
        <v>75.446276782285395</v>
      </c>
      <c r="AK3592">
        <v>0.50885983488586595</v>
      </c>
      <c r="AL3592">
        <v>88.131898803092099</v>
      </c>
      <c r="AM3592">
        <v>85.277465120369996</v>
      </c>
      <c r="AN3592">
        <v>0.99999999313442001</v>
      </c>
    </row>
    <row r="3593" spans="1:40" x14ac:dyDescent="0.25">
      <c r="A3593" t="str">
        <f>"20190312154907336"</f>
        <v>20190312154907336</v>
      </c>
      <c r="B3593" t="str">
        <f>"1552376947329932"</f>
        <v>1552376947329932</v>
      </c>
      <c r="C3593" t="s">
        <v>40</v>
      </c>
      <c r="D3593">
        <v>5.1700429999999997</v>
      </c>
      <c r="E3593">
        <v>0.53507609999999906</v>
      </c>
      <c r="F3593" t="s">
        <v>41</v>
      </c>
      <c r="G3593">
        <v>-296.04809999999998</v>
      </c>
      <c r="H3593">
        <v>0.87591679999999905</v>
      </c>
      <c r="I3593">
        <v>214.904</v>
      </c>
      <c r="J3593">
        <v>-296.53640000000001</v>
      </c>
      <c r="K3593">
        <v>1.1101780000000001</v>
      </c>
      <c r="L3593">
        <v>215.04820000000001</v>
      </c>
      <c r="M3593">
        <v>0.9995657</v>
      </c>
      <c r="N3593">
        <v>0</v>
      </c>
      <c r="O3593">
        <v>-2.5778869999999999E-2</v>
      </c>
      <c r="P3593">
        <v>0.99397159999999996</v>
      </c>
      <c r="Q3593">
        <v>1.877885E-2</v>
      </c>
      <c r="R3593">
        <v>-0.108020699999999</v>
      </c>
      <c r="S3593">
        <v>2.9725039999999998</v>
      </c>
      <c r="T3593">
        <v>-0.87898159999999903</v>
      </c>
      <c r="U3593">
        <v>-0.56915280000000001</v>
      </c>
      <c r="V3593">
        <v>8.2348759999999993E-2</v>
      </c>
      <c r="W3593">
        <v>3.3043870000000003E-2</v>
      </c>
      <c r="X3593">
        <v>0.99605560000000004</v>
      </c>
      <c r="Y3593">
        <v>0.15724669999999999</v>
      </c>
      <c r="Z3593">
        <v>-1.517375E-2</v>
      </c>
      <c r="AA3593">
        <v>0.98744279999999995</v>
      </c>
      <c r="AB3593">
        <v>30</v>
      </c>
      <c r="AC3593">
        <v>0.48830000000003698</v>
      </c>
      <c r="AD3593">
        <v>-0.2342612</v>
      </c>
      <c r="AE3593">
        <v>-0.14419999999998301</v>
      </c>
      <c r="AF3593">
        <v>0.108577449037471</v>
      </c>
      <c r="AG3593">
        <v>-0.2342612</v>
      </c>
      <c r="AH3593">
        <v>0.40592277327078202</v>
      </c>
      <c r="AI3593">
        <v>119.140027434052</v>
      </c>
      <c r="AJ3593">
        <v>75.024923436523096</v>
      </c>
      <c r="AK3593">
        <v>0.48108281004913001</v>
      </c>
      <c r="AL3593">
        <v>88.106380972578094</v>
      </c>
      <c r="AM3593">
        <v>85.273827742131701</v>
      </c>
      <c r="AN3593">
        <v>0.99999998695473702</v>
      </c>
    </row>
    <row r="3594" spans="1:40" x14ac:dyDescent="0.25">
      <c r="A3594" t="str">
        <f>"20190312154907359"</f>
        <v>20190312154907359</v>
      </c>
      <c r="B3594" t="str">
        <f>"1552376947349453"</f>
        <v>1552376947349453</v>
      </c>
      <c r="C3594" t="s">
        <v>40</v>
      </c>
      <c r="D3594">
        <v>5.1668339999999997</v>
      </c>
      <c r="E3594">
        <v>0.53505139999999995</v>
      </c>
      <c r="F3594" t="s">
        <v>41</v>
      </c>
      <c r="G3594">
        <v>-295.77300000000002</v>
      </c>
      <c r="H3594">
        <v>0.88465569999999905</v>
      </c>
      <c r="I3594">
        <v>214.90219999999999</v>
      </c>
      <c r="J3594">
        <v>-296.23489999999998</v>
      </c>
      <c r="K3594">
        <v>1.1101749999999999</v>
      </c>
      <c r="L3594">
        <v>215.04060000000001</v>
      </c>
      <c r="M3594">
        <v>0.99956979999999995</v>
      </c>
      <c r="N3594">
        <v>0</v>
      </c>
      <c r="O3594">
        <v>-2.561567E-2</v>
      </c>
      <c r="P3594">
        <v>0.99397100000000005</v>
      </c>
      <c r="Q3594">
        <v>1.9096160000000001E-2</v>
      </c>
      <c r="R3594">
        <v>-0.1079685</v>
      </c>
      <c r="S3594">
        <v>2.9730829999999999</v>
      </c>
      <c r="T3594">
        <v>-0.87826800000000005</v>
      </c>
      <c r="U3594">
        <v>-0.56785580000000002</v>
      </c>
      <c r="V3594">
        <v>8.2459290000000005E-2</v>
      </c>
      <c r="W3594">
        <v>3.3357459999999999E-2</v>
      </c>
      <c r="X3594">
        <v>0.99603600000000003</v>
      </c>
      <c r="Y3594">
        <v>0.15697139999999901</v>
      </c>
      <c r="Z3594">
        <v>-1.516696E-2</v>
      </c>
      <c r="AA3594">
        <v>0.98748670000000005</v>
      </c>
      <c r="AB3594">
        <v>30</v>
      </c>
      <c r="AC3594">
        <v>0.46190000000001402</v>
      </c>
      <c r="AD3594">
        <v>-0.22551930000000001</v>
      </c>
      <c r="AE3594">
        <v>-0.13840000000001801</v>
      </c>
      <c r="AF3594">
        <v>0.10381315431093099</v>
      </c>
      <c r="AG3594">
        <v>-0.22551930000000001</v>
      </c>
      <c r="AH3594">
        <v>0.38178205567864898</v>
      </c>
      <c r="AI3594">
        <v>119.68334076304799</v>
      </c>
      <c r="AJ3594">
        <v>74.788084134097801</v>
      </c>
      <c r="AK3594">
        <v>0.45540494476749999</v>
      </c>
      <c r="AL3594">
        <v>88.0884036722898</v>
      </c>
      <c r="AM3594">
        <v>85.267420278486199</v>
      </c>
      <c r="AN3594">
        <v>0.99999998397047696</v>
      </c>
    </row>
    <row r="3595" spans="1:40" x14ac:dyDescent="0.25">
      <c r="A3595" t="str">
        <f>"20190312154907382"</f>
        <v>20190312154907382</v>
      </c>
      <c r="B3595" t="str">
        <f>"1552376947368973"</f>
        <v>1552376947368973</v>
      </c>
      <c r="C3595" t="s">
        <v>40</v>
      </c>
      <c r="D3595">
        <v>5.1809289999999999</v>
      </c>
      <c r="E3595">
        <v>0.53500959999999997</v>
      </c>
      <c r="F3595" t="s">
        <v>41</v>
      </c>
      <c r="G3595">
        <v>-295.49849999999998</v>
      </c>
      <c r="H3595">
        <v>0.89268019999999904</v>
      </c>
      <c r="I3595">
        <v>214.9</v>
      </c>
      <c r="J3595">
        <v>-295.92680000000001</v>
      </c>
      <c r="K3595">
        <v>1.1101780000000001</v>
      </c>
      <c r="L3595">
        <v>215.03290000000001</v>
      </c>
      <c r="M3595">
        <v>0.99957399999999996</v>
      </c>
      <c r="N3595">
        <v>0</v>
      </c>
      <c r="O3595">
        <v>-2.5448999999999999E-2</v>
      </c>
      <c r="P3595">
        <v>0.99397210000000003</v>
      </c>
      <c r="Q3595">
        <v>1.9367039999999999E-2</v>
      </c>
      <c r="R3595">
        <v>-0.1079099</v>
      </c>
      <c r="S3595">
        <v>2.9734189999999998</v>
      </c>
      <c r="T3595">
        <v>-0.87820480000000001</v>
      </c>
      <c r="U3595">
        <v>-0.56729130000000005</v>
      </c>
      <c r="V3595">
        <v>8.2566819999999999E-2</v>
      </c>
      <c r="W3595">
        <v>3.362482E-2</v>
      </c>
      <c r="X3595">
        <v>0.99601810000000002</v>
      </c>
      <c r="Y3595">
        <v>0.15693089999999901</v>
      </c>
      <c r="Z3595">
        <v>-1.520647E-2</v>
      </c>
      <c r="AA3595">
        <v>0.9874925</v>
      </c>
      <c r="AB3595">
        <v>30</v>
      </c>
      <c r="AC3595">
        <v>0.42830000000003499</v>
      </c>
      <c r="AD3595">
        <v>-0.21749779999999999</v>
      </c>
      <c r="AE3595">
        <v>-0.13290000000000601</v>
      </c>
      <c r="AF3595">
        <v>9.8731527098482097E-2</v>
      </c>
      <c r="AG3595">
        <v>-0.21749779999999999</v>
      </c>
      <c r="AH3595">
        <v>0.34936342418785399</v>
      </c>
      <c r="AI3595">
        <v>120.92543941857799</v>
      </c>
      <c r="AJ3595">
        <v>74.219491889410307</v>
      </c>
      <c r="AK3595">
        <v>0.42321154238548497</v>
      </c>
      <c r="AL3595">
        <v>88.0730764700713</v>
      </c>
      <c r="AM3595">
        <v>85.2611921296091</v>
      </c>
      <c r="AN3595">
        <v>0.99999998190627704</v>
      </c>
    </row>
    <row r="3596" spans="1:40" x14ac:dyDescent="0.25">
      <c r="A3596" t="str">
        <f>"20190312154907403"</f>
        <v>20190312154907403</v>
      </c>
      <c r="B3596" t="str">
        <f>"1552376947389904"</f>
        <v>1552376947389904</v>
      </c>
      <c r="C3596" t="s">
        <v>40</v>
      </c>
      <c r="D3596">
        <v>5.17781</v>
      </c>
      <c r="E3596">
        <v>0.53503310000000004</v>
      </c>
      <c r="F3596" t="s">
        <v>41</v>
      </c>
      <c r="G3596">
        <v>-295.22359999999998</v>
      </c>
      <c r="H3596">
        <v>0.9024645</v>
      </c>
      <c r="I3596">
        <v>214.89879999999999</v>
      </c>
      <c r="J3596">
        <v>-295.63330000000002</v>
      </c>
      <c r="K3596">
        <v>1.1101730000000001</v>
      </c>
      <c r="L3596">
        <v>215.0256</v>
      </c>
      <c r="M3596">
        <v>0.99957830000000003</v>
      </c>
      <c r="N3596">
        <v>0</v>
      </c>
      <c r="O3596">
        <v>-2.529021E-2</v>
      </c>
      <c r="P3596">
        <v>0.99400909999999998</v>
      </c>
      <c r="Q3596">
        <v>1.9013990000000001E-2</v>
      </c>
      <c r="R3596">
        <v>-0.1076318</v>
      </c>
      <c r="S3596">
        <v>2.9737239999999998</v>
      </c>
      <c r="T3596">
        <v>-0.87854599999999905</v>
      </c>
      <c r="U3596">
        <v>-0.56698609999999905</v>
      </c>
      <c r="V3596">
        <v>8.2446350000000002E-2</v>
      </c>
      <c r="W3596">
        <v>3.326834E-2</v>
      </c>
      <c r="X3596">
        <v>0.99604000000000004</v>
      </c>
      <c r="Y3596">
        <v>0.15696019999999999</v>
      </c>
      <c r="Z3596">
        <v>-1.52605E-2</v>
      </c>
      <c r="AA3596">
        <v>0.987487</v>
      </c>
      <c r="AB3596">
        <v>30</v>
      </c>
      <c r="AC3596">
        <v>0.40970000000004297</v>
      </c>
      <c r="AD3596">
        <v>-0.20770849999999899</v>
      </c>
      <c r="AE3596">
        <v>-0.12680000000000199</v>
      </c>
      <c r="AF3596">
        <v>9.4282301673513202E-2</v>
      </c>
      <c r="AG3596">
        <v>-0.20770849999999899</v>
      </c>
      <c r="AH3596">
        <v>0.334351255623827</v>
      </c>
      <c r="AI3596">
        <v>120.87568072412</v>
      </c>
      <c r="AJ3596">
        <v>74.2523024994846</v>
      </c>
      <c r="AK3596">
        <v>0.404750213734761</v>
      </c>
      <c r="AL3596">
        <v>88.093512609430704</v>
      </c>
      <c r="AM3596">
        <v>85.268178486697494</v>
      </c>
      <c r="AN3596">
        <v>0.99999993233733597</v>
      </c>
    </row>
    <row r="3597" spans="1:40" x14ac:dyDescent="0.25">
      <c r="A3597" t="str">
        <f>"20190312154907426"</f>
        <v>20190312154907426</v>
      </c>
      <c r="B3597" t="str">
        <f>"1552376947419184"</f>
        <v>1552376947419184</v>
      </c>
      <c r="C3597" t="s">
        <v>40</v>
      </c>
      <c r="D3597">
        <v>5.1765939999999997</v>
      </c>
      <c r="E3597">
        <v>0.53508880000000003</v>
      </c>
      <c r="F3597" t="s">
        <v>41</v>
      </c>
      <c r="G3597">
        <v>-294.95080000000002</v>
      </c>
      <c r="H3597">
        <v>0.90815990000000002</v>
      </c>
      <c r="I3597">
        <v>214.89529999999999</v>
      </c>
      <c r="J3597">
        <v>-295.32639999999998</v>
      </c>
      <c r="K3597">
        <v>1.1101810000000001</v>
      </c>
      <c r="L3597">
        <v>215.018</v>
      </c>
      <c r="M3597">
        <v>0.99958239999999998</v>
      </c>
      <c r="N3597">
        <v>0</v>
      </c>
      <c r="O3597">
        <v>-2.5123900000000001E-2</v>
      </c>
      <c r="P3597">
        <v>0.99397190000000002</v>
      </c>
      <c r="Q3597">
        <v>1.870252E-2</v>
      </c>
      <c r="R3597">
        <v>-0.10802929999999999</v>
      </c>
      <c r="S3597">
        <v>2.973541</v>
      </c>
      <c r="T3597">
        <v>-0.88015279999999996</v>
      </c>
      <c r="U3597">
        <v>-0.56646730000000001</v>
      </c>
      <c r="V3597">
        <v>8.3010429999999996E-2</v>
      </c>
      <c r="W3597">
        <v>3.2953330000000003E-2</v>
      </c>
      <c r="X3597">
        <v>0.99600370000000005</v>
      </c>
      <c r="Y3597">
        <v>0.15694279999999999</v>
      </c>
      <c r="Z3597">
        <v>-1.5333629999999999E-2</v>
      </c>
      <c r="AA3597">
        <v>0.98748860000000005</v>
      </c>
      <c r="AB3597">
        <v>30</v>
      </c>
      <c r="AC3597">
        <v>0.37559999999996302</v>
      </c>
      <c r="AD3597">
        <v>-0.20202109999999901</v>
      </c>
      <c r="AE3597">
        <v>-0.122700000000008</v>
      </c>
      <c r="AF3597">
        <v>8.9760407604997205E-2</v>
      </c>
      <c r="AG3597">
        <v>-0.20202109999999901</v>
      </c>
      <c r="AH3597">
        <v>0.30011454301870299</v>
      </c>
      <c r="AI3597">
        <v>122.818753083846</v>
      </c>
      <c r="AJ3597">
        <v>73.348750968144898</v>
      </c>
      <c r="AK3597">
        <v>0.37274414086602298</v>
      </c>
      <c r="AL3597">
        <v>88.111571406401794</v>
      </c>
      <c r="AM3597">
        <v>85.235780069666404</v>
      </c>
      <c r="AN3597">
        <v>1.0000000119302801</v>
      </c>
    </row>
    <row r="3598" spans="1:40" x14ac:dyDescent="0.25">
      <c r="A3598" t="str">
        <f>"20190312154907449"</f>
        <v>20190312154907449</v>
      </c>
      <c r="B3598" t="str">
        <f>"1552376947439680"</f>
        <v>1552376947439680</v>
      </c>
      <c r="C3598" t="s">
        <v>40</v>
      </c>
      <c r="D3598">
        <v>5.1727119999999998</v>
      </c>
      <c r="E3598">
        <v>0.53512879999999996</v>
      </c>
      <c r="F3598" t="s">
        <v>41</v>
      </c>
      <c r="G3598">
        <v>-294.4366</v>
      </c>
      <c r="H3598">
        <v>0.84636389999999995</v>
      </c>
      <c r="I3598">
        <v>214.84790000000001</v>
      </c>
      <c r="J3598">
        <v>-295.0163</v>
      </c>
      <c r="K3598">
        <v>1.1101780000000001</v>
      </c>
      <c r="L3598">
        <v>215.0104</v>
      </c>
      <c r="M3598">
        <v>0.99958659999999999</v>
      </c>
      <c r="N3598">
        <v>0</v>
      </c>
      <c r="O3598">
        <v>-2.495605E-2</v>
      </c>
      <c r="P3598">
        <v>0.99397559999999996</v>
      </c>
      <c r="Q3598">
        <v>1.8384319999999999E-2</v>
      </c>
      <c r="R3598">
        <v>-0.1080483</v>
      </c>
      <c r="S3598">
        <v>2.9730829999999999</v>
      </c>
      <c r="T3598">
        <v>-0.88156369999999895</v>
      </c>
      <c r="U3598">
        <v>-0.56819149999999996</v>
      </c>
      <c r="V3598">
        <v>8.3196880000000001E-2</v>
      </c>
      <c r="W3598">
        <v>3.2631630000000002E-2</v>
      </c>
      <c r="X3598">
        <v>0.99599870000000001</v>
      </c>
      <c r="Y3598">
        <v>0.1576352</v>
      </c>
      <c r="Z3598">
        <v>-1.5506590000000001E-2</v>
      </c>
      <c r="AA3598">
        <v>0.98737569999999997</v>
      </c>
      <c r="AB3598">
        <v>30</v>
      </c>
      <c r="AC3598">
        <v>0.57970000000000199</v>
      </c>
      <c r="AD3598">
        <v>-0.2638141</v>
      </c>
      <c r="AE3598">
        <v>-0.16249999999999401</v>
      </c>
      <c r="AF3598">
        <v>0.12414334638973901</v>
      </c>
      <c r="AG3598">
        <v>-0.2638141</v>
      </c>
      <c r="AH3598">
        <v>0.48956983826109701</v>
      </c>
      <c r="AI3598">
        <v>117.579748624248</v>
      </c>
      <c r="AJ3598">
        <v>75.771061653660695</v>
      </c>
      <c r="AK3598">
        <v>0.56981407173450005</v>
      </c>
      <c r="AL3598">
        <v>88.130013312098399</v>
      </c>
      <c r="AM3598">
        <v>85.225104702330299</v>
      </c>
      <c r="AN3598">
        <v>0.99999997725994005</v>
      </c>
    </row>
    <row r="3599" spans="1:40" x14ac:dyDescent="0.25">
      <c r="A3599" t="str">
        <f>"20190312154907471"</f>
        <v>20190312154907471</v>
      </c>
      <c r="B3599" t="str">
        <f>"1552376947459200"</f>
        <v>1552376947459200</v>
      </c>
      <c r="C3599" t="s">
        <v>40</v>
      </c>
      <c r="D3599">
        <v>5.158347</v>
      </c>
      <c r="E3599">
        <v>0.53517630000000005</v>
      </c>
      <c r="F3599" t="s">
        <v>41</v>
      </c>
      <c r="G3599">
        <v>-294.1628</v>
      </c>
      <c r="H3599">
        <v>0.85666549999999997</v>
      </c>
      <c r="I3599">
        <v>214.84710000000001</v>
      </c>
      <c r="J3599">
        <v>-294.71679999999998</v>
      </c>
      <c r="K3599">
        <v>1.110179</v>
      </c>
      <c r="L3599">
        <v>215.00309999999999</v>
      </c>
      <c r="M3599">
        <v>0.99959070000000005</v>
      </c>
      <c r="N3599">
        <v>0</v>
      </c>
      <c r="O3599">
        <v>-2.4794030000000002E-2</v>
      </c>
      <c r="P3599">
        <v>0.99401890000000004</v>
      </c>
      <c r="Q3599">
        <v>1.8406680000000002E-2</v>
      </c>
      <c r="R3599">
        <v>-0.10764749999999999</v>
      </c>
      <c r="S3599">
        <v>2.9727169999999998</v>
      </c>
      <c r="T3599">
        <v>-0.88294629999999996</v>
      </c>
      <c r="U3599">
        <v>-0.56855769999999906</v>
      </c>
      <c r="V3599">
        <v>8.2956450000000001E-2</v>
      </c>
      <c r="W3599">
        <v>3.265117E-2</v>
      </c>
      <c r="X3599">
        <v>0.99601810000000002</v>
      </c>
      <c r="Y3599">
        <v>0.15789909999999999</v>
      </c>
      <c r="Z3599">
        <v>-1.561624E-2</v>
      </c>
      <c r="AA3599">
        <v>0.98733170000000003</v>
      </c>
      <c r="AB3599">
        <v>30</v>
      </c>
      <c r="AC3599">
        <v>0.55399999999997296</v>
      </c>
      <c r="AD3599">
        <v>-0.253513499999999</v>
      </c>
      <c r="AE3599">
        <v>-0.15599999999997699</v>
      </c>
      <c r="AF3599">
        <v>0.119105954255993</v>
      </c>
      <c r="AG3599">
        <v>-0.253513499999999</v>
      </c>
      <c r="AH3599">
        <v>0.46707635350410798</v>
      </c>
      <c r="AI3599">
        <v>117.741502170592</v>
      </c>
      <c r="AJ3599">
        <v>75.694277214273001</v>
      </c>
      <c r="AK3599">
        <v>0.54462431365499497</v>
      </c>
      <c r="AL3599">
        <v>88.128893129910097</v>
      </c>
      <c r="AM3599">
        <v>85.238932416541601</v>
      </c>
      <c r="AN3599">
        <v>0.99999996351329001</v>
      </c>
    </row>
    <row r="3600" spans="1:40" x14ac:dyDescent="0.25">
      <c r="A3600" t="str">
        <f>"20190312154907493"</f>
        <v>20190312154907493</v>
      </c>
      <c r="B3600" t="str">
        <f>"1552376947479696"</f>
        <v>1552376947479696</v>
      </c>
      <c r="C3600" t="s">
        <v>40</v>
      </c>
      <c r="D3600">
        <v>5.14663</v>
      </c>
      <c r="E3600">
        <v>0.53517380000000003</v>
      </c>
      <c r="F3600" t="s">
        <v>41</v>
      </c>
      <c r="G3600">
        <v>-293.89030000000002</v>
      </c>
      <c r="H3600">
        <v>0.86461350000000003</v>
      </c>
      <c r="I3600">
        <v>214.84520000000001</v>
      </c>
      <c r="J3600">
        <v>-294.42020000000002</v>
      </c>
      <c r="K3600">
        <v>1.110174</v>
      </c>
      <c r="L3600">
        <v>214.99600000000001</v>
      </c>
      <c r="M3600">
        <v>0.99959480000000001</v>
      </c>
      <c r="N3600">
        <v>0</v>
      </c>
      <c r="O3600">
        <v>-2.4633450000000001E-2</v>
      </c>
      <c r="P3600">
        <v>0.99404970000000004</v>
      </c>
      <c r="Q3600">
        <v>1.8668290000000001E-2</v>
      </c>
      <c r="R3600">
        <v>-0.1073178</v>
      </c>
      <c r="S3600">
        <v>2.9729920000000001</v>
      </c>
      <c r="T3600">
        <v>-0.88338240000000001</v>
      </c>
      <c r="U3600">
        <v>-0.56698609999999905</v>
      </c>
      <c r="V3600">
        <v>8.2786009999999993E-2</v>
      </c>
      <c r="W3600">
        <v>3.2909479999999998E-2</v>
      </c>
      <c r="X3600">
        <v>0.99602380000000001</v>
      </c>
      <c r="Y3600">
        <v>0.157540299999999</v>
      </c>
      <c r="Z3600">
        <v>-1.5617499999999999E-2</v>
      </c>
      <c r="AA3600">
        <v>0.98738910000000002</v>
      </c>
      <c r="AB3600">
        <v>30</v>
      </c>
      <c r="AC3600">
        <v>0.52989999999999704</v>
      </c>
      <c r="AD3600">
        <v>-0.24556049999999999</v>
      </c>
      <c r="AE3600">
        <v>-0.15079999999997501</v>
      </c>
      <c r="AF3600">
        <v>0.114878052291808</v>
      </c>
      <c r="AG3600">
        <v>-0.24556049999999999</v>
      </c>
      <c r="AH3600">
        <v>0.445042476809211</v>
      </c>
      <c r="AI3600">
        <v>118.11366714525801</v>
      </c>
      <c r="AJ3600">
        <v>75.526280277473603</v>
      </c>
      <c r="AK3600">
        <v>0.52111393401355699</v>
      </c>
      <c r="AL3600">
        <v>88.114085136571703</v>
      </c>
      <c r="AM3600">
        <v>85.248696609232894</v>
      </c>
      <c r="AN3600">
        <v>0.99999998374601495</v>
      </c>
    </row>
    <row r="3601" spans="1:40" x14ac:dyDescent="0.25">
      <c r="A3601" t="str">
        <f>"20190312154907516"</f>
        <v>20190312154907516</v>
      </c>
      <c r="B3601" t="str">
        <f>"1552376947509483"</f>
        <v>1552376947509483</v>
      </c>
      <c r="C3601" t="s">
        <v>40</v>
      </c>
      <c r="D3601">
        <v>5.2248700000000001</v>
      </c>
      <c r="E3601">
        <v>0.53524419999999995</v>
      </c>
      <c r="F3601" t="s">
        <v>41</v>
      </c>
      <c r="G3601">
        <v>-293.61829999999998</v>
      </c>
      <c r="H3601">
        <v>0.87207449999999997</v>
      </c>
      <c r="I3601">
        <v>214.84360000000001</v>
      </c>
      <c r="J3601">
        <v>-294.11489999999998</v>
      </c>
      <c r="K3601">
        <v>1.1101749999999999</v>
      </c>
      <c r="L3601">
        <v>214.98859999999999</v>
      </c>
      <c r="M3601">
        <v>0.99959889999999996</v>
      </c>
      <c r="N3601">
        <v>0</v>
      </c>
      <c r="O3601">
        <v>-2.4467860000000001E-2</v>
      </c>
      <c r="P3601">
        <v>0.99408669999999999</v>
      </c>
      <c r="Q3601">
        <v>1.7739250000000002E-2</v>
      </c>
      <c r="R3601">
        <v>-0.10713209999999999</v>
      </c>
      <c r="S3601">
        <v>2.9735719999999999</v>
      </c>
      <c r="T3601">
        <v>-0.88297950000000003</v>
      </c>
      <c r="U3601">
        <v>-0.56501769999999996</v>
      </c>
      <c r="V3601">
        <v>8.2764980000000002E-2</v>
      </c>
      <c r="W3601">
        <v>3.1977749999999999E-2</v>
      </c>
      <c r="X3601">
        <v>0.99605589999999999</v>
      </c>
      <c r="Y3601">
        <v>0.1570569</v>
      </c>
      <c r="Z3601">
        <v>-1.558669E-2</v>
      </c>
      <c r="AA3601">
        <v>0.98746659999999997</v>
      </c>
      <c r="AB3601">
        <v>30</v>
      </c>
      <c r="AC3601">
        <v>0.49659999999999999</v>
      </c>
      <c r="AD3601">
        <v>-0.23810049999999899</v>
      </c>
      <c r="AE3601">
        <v>-0.14499999999998101</v>
      </c>
      <c r="AF3601">
        <v>0.10959067083931</v>
      </c>
      <c r="AG3601">
        <v>-0.23810049999999899</v>
      </c>
      <c r="AH3601">
        <v>0.412600752691134</v>
      </c>
      <c r="AI3601">
        <v>119.149894955302</v>
      </c>
      <c r="AJ3601">
        <v>75.125148694813305</v>
      </c>
      <c r="AK3601">
        <v>0.48881626850643001</v>
      </c>
      <c r="AL3601">
        <v>88.167497460283997</v>
      </c>
      <c r="AM3601">
        <v>85.250050433361693</v>
      </c>
      <c r="AN3601">
        <v>0.99999998716713601</v>
      </c>
    </row>
    <row r="3602" spans="1:40" x14ac:dyDescent="0.25">
      <c r="A3602" t="str">
        <f>"20190312154907538"</f>
        <v>20190312154907538</v>
      </c>
      <c r="B3602" t="str">
        <f>"1552376947529003"</f>
        <v>1552376947529003</v>
      </c>
      <c r="C3602" t="s">
        <v>40</v>
      </c>
      <c r="D3602">
        <v>5.1575579999999999</v>
      </c>
      <c r="E3602">
        <v>0.53530849999999996</v>
      </c>
      <c r="F3602" t="s">
        <v>41</v>
      </c>
      <c r="G3602">
        <v>-293.34609999999998</v>
      </c>
      <c r="H3602">
        <v>0.88091430000000004</v>
      </c>
      <c r="I3602">
        <v>214.8424</v>
      </c>
      <c r="J3602">
        <v>-293.82159999999999</v>
      </c>
      <c r="K3602">
        <v>1.1101730000000001</v>
      </c>
      <c r="L3602">
        <v>214.98159999999999</v>
      </c>
      <c r="M3602">
        <v>0.99960269999999996</v>
      </c>
      <c r="N3602">
        <v>0</v>
      </c>
      <c r="O3602">
        <v>-2.430883E-2</v>
      </c>
      <c r="P3602">
        <v>0.99409720000000001</v>
      </c>
      <c r="Q3602">
        <v>1.7105820000000001E-2</v>
      </c>
      <c r="R3602">
        <v>-0.1071361</v>
      </c>
      <c r="S3602">
        <v>2.9727779999999999</v>
      </c>
      <c r="T3602">
        <v>-0.88645030000000002</v>
      </c>
      <c r="U3602">
        <v>-0.56501769999999996</v>
      </c>
      <c r="V3602">
        <v>8.2927440000000005E-2</v>
      </c>
      <c r="W3602">
        <v>3.1341019999999997E-2</v>
      </c>
      <c r="X3602">
        <v>0.99606260000000002</v>
      </c>
      <c r="Y3602">
        <v>0.15720379999999901</v>
      </c>
      <c r="Z3602">
        <v>-1.571664E-2</v>
      </c>
      <c r="AA3602">
        <v>0.98744109999999996</v>
      </c>
      <c r="AB3602">
        <v>30</v>
      </c>
      <c r="AC3602">
        <v>0.47550000000001003</v>
      </c>
      <c r="AD3602">
        <v>-0.22925869999999901</v>
      </c>
      <c r="AE3602">
        <v>-0.139199999999988</v>
      </c>
      <c r="AF3602">
        <v>0.10509642513695799</v>
      </c>
      <c r="AG3602">
        <v>-0.22925869999999901</v>
      </c>
      <c r="AH3602">
        <v>0.39431583515073798</v>
      </c>
      <c r="AI3602">
        <v>119.327138839683</v>
      </c>
      <c r="AJ3602">
        <v>75.075971559446103</v>
      </c>
      <c r="AK3602">
        <v>0.46807028099728998</v>
      </c>
      <c r="AL3602">
        <v>88.2039976538952</v>
      </c>
      <c r="AM3602">
        <v>85.240801373801105</v>
      </c>
      <c r="AN3602">
        <v>0.99999996147917602</v>
      </c>
    </row>
    <row r="3603" spans="1:40" x14ac:dyDescent="0.25">
      <c r="A3603" t="str">
        <f>"20190312154907560"</f>
        <v>20190312154907560</v>
      </c>
      <c r="B3603" t="str">
        <f>"1552376947549500"</f>
        <v>1552376947549500</v>
      </c>
      <c r="C3603" t="s">
        <v>40</v>
      </c>
      <c r="D3603">
        <v>5.1567059999999998</v>
      </c>
      <c r="E3603">
        <v>0.53532650000000004</v>
      </c>
      <c r="F3603" t="s">
        <v>41</v>
      </c>
      <c r="G3603">
        <v>-293.07530000000003</v>
      </c>
      <c r="H3603">
        <v>0.88706160000000001</v>
      </c>
      <c r="I3603">
        <v>214.8398</v>
      </c>
      <c r="J3603">
        <v>-293.52940000000001</v>
      </c>
      <c r="K3603">
        <v>1.1101760000000001</v>
      </c>
      <c r="L3603">
        <v>214.97470000000001</v>
      </c>
      <c r="M3603">
        <v>0.99960669999999996</v>
      </c>
      <c r="N3603">
        <v>0</v>
      </c>
      <c r="O3603">
        <v>-2.4150749999999999E-2</v>
      </c>
      <c r="P3603">
        <v>0.99408529999999995</v>
      </c>
      <c r="Q3603">
        <v>1.7410309999999998E-2</v>
      </c>
      <c r="R3603">
        <v>-0.10719960000000001</v>
      </c>
      <c r="S3603">
        <v>2.9721679999999999</v>
      </c>
      <c r="T3603">
        <v>-0.88856800000000002</v>
      </c>
      <c r="U3603">
        <v>-0.56539919999999899</v>
      </c>
      <c r="V3603">
        <v>8.3148799999999995E-2</v>
      </c>
      <c r="W3603">
        <v>3.1641750000000003E-2</v>
      </c>
      <c r="X3603">
        <v>0.99603470000000005</v>
      </c>
      <c r="Y3603">
        <v>0.1574731</v>
      </c>
      <c r="Z3603">
        <v>-1.5840400000000001E-2</v>
      </c>
      <c r="AA3603">
        <v>0.98739619999999995</v>
      </c>
      <c r="AB3603">
        <v>30</v>
      </c>
      <c r="AC3603">
        <v>0.45409999999998202</v>
      </c>
      <c r="AD3603">
        <v>-0.22311439999999999</v>
      </c>
      <c r="AE3603">
        <v>-0.13490000000001601</v>
      </c>
      <c r="AF3603">
        <v>0.10139915827532101</v>
      </c>
      <c r="AG3603">
        <v>-0.22311439999999999</v>
      </c>
      <c r="AH3603">
        <v>0.37421348961294598</v>
      </c>
      <c r="AI3603">
        <v>119.919141550066</v>
      </c>
      <c r="AJ3603">
        <v>74.838846713623099</v>
      </c>
      <c r="AK3603">
        <v>0.447322658262022</v>
      </c>
      <c r="AL3603">
        <v>88.186758655591305</v>
      </c>
      <c r="AM3603">
        <v>85.228023081307796</v>
      </c>
      <c r="AN3603">
        <v>1.0000000234442901</v>
      </c>
    </row>
    <row r="3604" spans="1:40" x14ac:dyDescent="0.25">
      <c r="A3604" t="str">
        <f>"20190312154907582"</f>
        <v>20190312154907582</v>
      </c>
      <c r="B3604" t="str">
        <f>"1552376947569019"</f>
        <v>1552376947569019</v>
      </c>
      <c r="C3604" t="s">
        <v>40</v>
      </c>
      <c r="D3604">
        <v>5.4024130000000001</v>
      </c>
      <c r="E3604">
        <v>0.53538169999999996</v>
      </c>
      <c r="F3604" t="s">
        <v>41</v>
      </c>
      <c r="G3604">
        <v>-292.80450000000002</v>
      </c>
      <c r="H3604">
        <v>0.89369750000000003</v>
      </c>
      <c r="I3604">
        <v>214.83670000000001</v>
      </c>
      <c r="J3604">
        <v>-293.23180000000002</v>
      </c>
      <c r="K3604">
        <v>1.1101749999999999</v>
      </c>
      <c r="L3604">
        <v>214.96770000000001</v>
      </c>
      <c r="M3604">
        <v>0.99961060000000002</v>
      </c>
      <c r="N3604">
        <v>0</v>
      </c>
      <c r="O3604">
        <v>-2.398933E-2</v>
      </c>
      <c r="P3604">
        <v>0.99405880000000002</v>
      </c>
      <c r="Q3604">
        <v>1.8123799999999999E-2</v>
      </c>
      <c r="R3604">
        <v>-0.1073263</v>
      </c>
      <c r="S3604">
        <v>2.9724729999999999</v>
      </c>
      <c r="T3604">
        <v>-0.887652199999999</v>
      </c>
      <c r="U3604">
        <v>-0.56558229999999998</v>
      </c>
      <c r="V3604">
        <v>8.3436819999999995E-2</v>
      </c>
      <c r="W3604">
        <v>3.2351400000000002E-2</v>
      </c>
      <c r="X3604">
        <v>0.99598779999999998</v>
      </c>
      <c r="Y3604">
        <v>0.157669899999999</v>
      </c>
      <c r="Z3604">
        <v>-1.589836E-2</v>
      </c>
      <c r="AA3604">
        <v>0.98736389999999996</v>
      </c>
      <c r="AB3604">
        <v>30</v>
      </c>
      <c r="AC3604">
        <v>0.42730000000000201</v>
      </c>
      <c r="AD3604">
        <v>-0.21647749999999899</v>
      </c>
      <c r="AE3604">
        <v>-0.13100000000000001</v>
      </c>
      <c r="AF3604">
        <v>9.7772248072701101E-2</v>
      </c>
      <c r="AG3604">
        <v>-0.21647749999999899</v>
      </c>
      <c r="AH3604">
        <v>0.34854721076469702</v>
      </c>
      <c r="AI3604">
        <v>120.879543610436</v>
      </c>
      <c r="AJ3604">
        <v>74.330467112645906</v>
      </c>
      <c r="AK3604">
        <v>0.42179032543586098</v>
      </c>
      <c r="AL3604">
        <v>88.146077845606897</v>
      </c>
      <c r="AM3604">
        <v>85.211345676610705</v>
      </c>
      <c r="AN3604">
        <v>1.00000000688125</v>
      </c>
    </row>
    <row r="3605" spans="1:40" x14ac:dyDescent="0.25">
      <c r="A3605" t="str">
        <f>"20190312154907605"</f>
        <v>20190312154907605</v>
      </c>
      <c r="B3605" t="str">
        <f>"1552376947599276"</f>
        <v>1552376947599276</v>
      </c>
      <c r="C3605" t="s">
        <v>40</v>
      </c>
      <c r="D3605">
        <v>5.1358680000000003</v>
      </c>
      <c r="E3605">
        <v>0.53538869999999905</v>
      </c>
      <c r="F3605" t="s">
        <v>41</v>
      </c>
      <c r="G3605">
        <v>-292.5335</v>
      </c>
      <c r="H3605">
        <v>0.90191960000000004</v>
      </c>
      <c r="I3605">
        <v>214.83449999999999</v>
      </c>
      <c r="J3605">
        <v>-292.92660000000001</v>
      </c>
      <c r="K3605">
        <v>1.1101730000000001</v>
      </c>
      <c r="L3605">
        <v>214.9605</v>
      </c>
      <c r="M3605">
        <v>0.99961480000000003</v>
      </c>
      <c r="N3605">
        <v>0</v>
      </c>
      <c r="O3605">
        <v>-2.382358E-2</v>
      </c>
      <c r="P3605">
        <v>0.9940466</v>
      </c>
      <c r="Q3605">
        <v>1.8648040000000001E-2</v>
      </c>
      <c r="R3605">
        <v>-0.1073494</v>
      </c>
      <c r="S3605">
        <v>2.9729610000000002</v>
      </c>
      <c r="T3605">
        <v>-0.88657919999999901</v>
      </c>
      <c r="U3605">
        <v>-0.56663509999999995</v>
      </c>
      <c r="V3605">
        <v>8.3625379999999999E-2</v>
      </c>
      <c r="W3605">
        <v>3.2865640000000002E-2</v>
      </c>
      <c r="X3605">
        <v>0.99595520000000004</v>
      </c>
      <c r="Y3605">
        <v>0.15813039999999901</v>
      </c>
      <c r="Z3605">
        <v>-1.5991539999999999E-2</v>
      </c>
      <c r="AA3605">
        <v>0.98728870000000002</v>
      </c>
      <c r="AB3605">
        <v>30</v>
      </c>
      <c r="AC3605">
        <v>0.393100000000003</v>
      </c>
      <c r="AD3605">
        <v>-0.20825339999999901</v>
      </c>
      <c r="AE3605">
        <v>-0.126000000000004</v>
      </c>
      <c r="AF3605">
        <v>9.2943222627819802E-2</v>
      </c>
      <c r="AG3605">
        <v>-0.20825339999999901</v>
      </c>
      <c r="AH3605">
        <v>0.31565342561132098</v>
      </c>
      <c r="AI3605">
        <v>122.329233824151</v>
      </c>
      <c r="AJ3605">
        <v>73.593090036117403</v>
      </c>
      <c r="AK3605">
        <v>0.38941623790510599</v>
      </c>
      <c r="AL3605">
        <v>88.116598481931106</v>
      </c>
      <c r="AM3605">
        <v>85.200417864368106</v>
      </c>
      <c r="AN3605">
        <v>1.00000005743989</v>
      </c>
    </row>
    <row r="3606" spans="1:40" x14ac:dyDescent="0.25">
      <c r="A3606" t="str">
        <f>"20190312154907627"</f>
        <v>20190312154907627</v>
      </c>
      <c r="B3606" t="str">
        <f>"1552376947619774"</f>
        <v>1552376947619774</v>
      </c>
      <c r="C3606" t="s">
        <v>40</v>
      </c>
      <c r="D3606">
        <v>5.1533769999999999</v>
      </c>
      <c r="E3606">
        <v>0.53538490000000005</v>
      </c>
      <c r="F3606" t="s">
        <v>41</v>
      </c>
      <c r="G3606">
        <v>-292.26179999999999</v>
      </c>
      <c r="H3606">
        <v>0.91230789999999995</v>
      </c>
      <c r="I3606">
        <v>214.83349999999999</v>
      </c>
      <c r="J3606">
        <v>-292.63249999999999</v>
      </c>
      <c r="K3606">
        <v>1.110166</v>
      </c>
      <c r="L3606">
        <v>214.9537</v>
      </c>
      <c r="M3606">
        <v>0.99961889999999998</v>
      </c>
      <c r="N3606">
        <v>0</v>
      </c>
      <c r="O3606">
        <v>-2.366366E-2</v>
      </c>
      <c r="P3606">
        <v>0.9940639</v>
      </c>
      <c r="Q3606">
        <v>1.85839E-2</v>
      </c>
      <c r="R3606">
        <v>-0.1072004</v>
      </c>
      <c r="S3606">
        <v>2.9733580000000002</v>
      </c>
      <c r="T3606">
        <v>-0.88491149999999996</v>
      </c>
      <c r="U3606">
        <v>-0.56694029999999995</v>
      </c>
      <c r="V3606">
        <v>8.3635520000000005E-2</v>
      </c>
      <c r="W3606">
        <v>3.2773650000000001E-2</v>
      </c>
      <c r="X3606">
        <v>0.99595730000000005</v>
      </c>
      <c r="Y3606">
        <v>0.15836749999999999</v>
      </c>
      <c r="Z3606">
        <v>-1.604092E-2</v>
      </c>
      <c r="AA3606">
        <v>0.98724990000000001</v>
      </c>
      <c r="AB3606">
        <v>30</v>
      </c>
      <c r="AC3606">
        <v>0.37069999999999897</v>
      </c>
      <c r="AD3606">
        <v>-0.19785810000000001</v>
      </c>
      <c r="AE3606">
        <v>-0.12020000000001101</v>
      </c>
      <c r="AF3606">
        <v>8.8563595722275901E-2</v>
      </c>
      <c r="AG3606">
        <v>-0.19785810000000001</v>
      </c>
      <c r="AH3606">
        <v>0.29690523915564898</v>
      </c>
      <c r="AI3606">
        <v>122.562171334564</v>
      </c>
      <c r="AJ3606">
        <v>73.390731559322901</v>
      </c>
      <c r="AK3606">
        <v>0.367619448969912</v>
      </c>
      <c r="AL3606">
        <v>88.1218718117874</v>
      </c>
      <c r="AM3606">
        <v>85.199848683947394</v>
      </c>
      <c r="AN3606">
        <v>0.99999997788164097</v>
      </c>
    </row>
    <row r="3607" spans="1:40" x14ac:dyDescent="0.25">
      <c r="A3607" t="str">
        <f>"20190312154907651"</f>
        <v>20190312154907651</v>
      </c>
      <c r="B3607" t="str">
        <f>"1552376947639292"</f>
        <v>1552376947639292</v>
      </c>
      <c r="C3607" t="s">
        <v>40</v>
      </c>
      <c r="D3607">
        <v>5.1531789999999997</v>
      </c>
      <c r="E3607">
        <v>0.53539309999999996</v>
      </c>
      <c r="F3607" t="s">
        <v>41</v>
      </c>
      <c r="G3607">
        <v>-291.75450000000001</v>
      </c>
      <c r="H3607">
        <v>0.84877909999999901</v>
      </c>
      <c r="I3607">
        <v>214.78620000000001</v>
      </c>
      <c r="J3607">
        <v>-292.32249999999999</v>
      </c>
      <c r="K3607">
        <v>1.1101529999999999</v>
      </c>
      <c r="L3607">
        <v>214.94649999999999</v>
      </c>
      <c r="M3607">
        <v>0.9996235</v>
      </c>
      <c r="N3607">
        <v>0</v>
      </c>
      <c r="O3607">
        <v>-2.349559E-2</v>
      </c>
      <c r="P3607">
        <v>0.99412659999999997</v>
      </c>
      <c r="Q3607">
        <v>1.787186E-2</v>
      </c>
      <c r="R3607">
        <v>-0.1067371</v>
      </c>
      <c r="S3607">
        <v>2.9733890000000001</v>
      </c>
      <c r="T3607">
        <v>-0.88515900000000003</v>
      </c>
      <c r="U3607">
        <v>-0.56654359999999904</v>
      </c>
      <c r="V3607">
        <v>8.3338549999999997E-2</v>
      </c>
      <c r="W3607">
        <v>3.2012060000000002E-2</v>
      </c>
      <c r="X3607">
        <v>0.99600699999999998</v>
      </c>
      <c r="Y3607">
        <v>0.15839310000000001</v>
      </c>
      <c r="Z3607">
        <v>-1.6097449999999999E-2</v>
      </c>
      <c r="AA3607">
        <v>0.98724489999999998</v>
      </c>
      <c r="AB3607">
        <v>30</v>
      </c>
      <c r="AC3607">
        <v>0.56799999999998296</v>
      </c>
      <c r="AD3607">
        <v>-0.26137389999999999</v>
      </c>
      <c r="AE3607">
        <v>-0.16029999999997799</v>
      </c>
      <c r="AF3607">
        <v>0.122820093942982</v>
      </c>
      <c r="AG3607">
        <v>-0.26137389999999999</v>
      </c>
      <c r="AH3607">
        <v>0.477882405290599</v>
      </c>
      <c r="AI3607">
        <v>117.911351632988</v>
      </c>
      <c r="AJ3607">
        <v>75.586419214583003</v>
      </c>
      <c r="AK3607">
        <v>0.55836608453925796</v>
      </c>
      <c r="AL3607">
        <v>88.165530686142603</v>
      </c>
      <c r="AM3607">
        <v>85.217051238530502</v>
      </c>
      <c r="AN3607">
        <v>1.0000000149752699</v>
      </c>
    </row>
    <row r="3608" spans="1:40" x14ac:dyDescent="0.25">
      <c r="A3608" t="str">
        <f>"20190312154907673"</f>
        <v>20190312154907673</v>
      </c>
      <c r="B3608" t="str">
        <f>"1552376947659788"</f>
        <v>1552376947659788</v>
      </c>
      <c r="C3608" t="s">
        <v>40</v>
      </c>
      <c r="D3608">
        <v>5.1602639999999997</v>
      </c>
      <c r="E3608">
        <v>0.53540459999999901</v>
      </c>
      <c r="F3608" t="s">
        <v>41</v>
      </c>
      <c r="G3608">
        <v>-291.48329999999999</v>
      </c>
      <c r="H3608">
        <v>0.85968230000000001</v>
      </c>
      <c r="I3608">
        <v>214.7869</v>
      </c>
      <c r="J3608">
        <v>-292.0181</v>
      </c>
      <c r="K3608">
        <v>1.1101430000000001</v>
      </c>
      <c r="L3608">
        <v>214.93960000000001</v>
      </c>
      <c r="M3608">
        <v>0.99962830000000003</v>
      </c>
      <c r="N3608">
        <v>0</v>
      </c>
      <c r="O3608">
        <v>-2.333151E-2</v>
      </c>
      <c r="P3608">
        <v>0.99416130000000003</v>
      </c>
      <c r="Q3608">
        <v>1.7561719999999999E-2</v>
      </c>
      <c r="R3608">
        <v>-0.1064672</v>
      </c>
      <c r="S3608">
        <v>2.9729610000000002</v>
      </c>
      <c r="T3608">
        <v>-0.88738510000000004</v>
      </c>
      <c r="U3608">
        <v>-0.56512450000000003</v>
      </c>
      <c r="V3608">
        <v>8.3231520000000003E-2</v>
      </c>
      <c r="W3608">
        <v>3.1641269999999999E-2</v>
      </c>
      <c r="X3608">
        <v>0.99602780000000002</v>
      </c>
      <c r="Y3608">
        <v>0.15810160000000001</v>
      </c>
      <c r="Z3608">
        <v>-1.61444E-2</v>
      </c>
      <c r="AA3608">
        <v>0.98729089999999997</v>
      </c>
      <c r="AB3608">
        <v>30</v>
      </c>
      <c r="AC3608">
        <v>0.53480000000001804</v>
      </c>
      <c r="AD3608">
        <v>-0.25046069999999998</v>
      </c>
      <c r="AE3608">
        <v>-0.15270000000000999</v>
      </c>
      <c r="AF3608">
        <v>0.116544689387688</v>
      </c>
      <c r="AG3608">
        <v>-0.25046069999999998</v>
      </c>
      <c r="AH3608">
        <v>0.44747192781053302</v>
      </c>
      <c r="AI3608">
        <v>118.44235527896601</v>
      </c>
      <c r="AJ3608">
        <v>75.401560886551295</v>
      </c>
      <c r="AK3608">
        <v>0.52587484542183405</v>
      </c>
      <c r="AL3608">
        <v>88.1867861598909</v>
      </c>
      <c r="AM3608">
        <v>85.223264732072394</v>
      </c>
      <c r="AN3608">
        <v>1.0000000171307799</v>
      </c>
    </row>
    <row r="3609" spans="1:40" x14ac:dyDescent="0.25">
      <c r="A3609" t="str">
        <f>"20190312154907694"</f>
        <v>20190312154907694</v>
      </c>
      <c r="B3609" t="str">
        <f>"1552376947689068"</f>
        <v>1552376947689068</v>
      </c>
      <c r="C3609" t="s">
        <v>40</v>
      </c>
      <c r="D3609">
        <v>5.1583230000000002</v>
      </c>
      <c r="E3609">
        <v>0.53537800000000002</v>
      </c>
      <c r="F3609" t="s">
        <v>41</v>
      </c>
      <c r="G3609">
        <v>-291.21280000000002</v>
      </c>
      <c r="H3609">
        <v>0.86950179999999999</v>
      </c>
      <c r="I3609">
        <v>214.78649999999999</v>
      </c>
      <c r="J3609">
        <v>-291.73520000000002</v>
      </c>
      <c r="K3609">
        <v>1.1101299999999901</v>
      </c>
      <c r="L3609">
        <v>214.9332</v>
      </c>
      <c r="M3609">
        <v>0.99963299999999999</v>
      </c>
      <c r="N3609">
        <v>0</v>
      </c>
      <c r="O3609">
        <v>-2.3178500000000001E-2</v>
      </c>
      <c r="P3609">
        <v>0.99422520000000003</v>
      </c>
      <c r="Q3609">
        <v>1.7546530000000001E-2</v>
      </c>
      <c r="R3609">
        <v>-0.10587000000000001</v>
      </c>
      <c r="S3609">
        <v>2.9729000000000001</v>
      </c>
      <c r="T3609">
        <v>-0.88842030000000005</v>
      </c>
      <c r="U3609">
        <v>-0.56428529999999999</v>
      </c>
      <c r="V3609">
        <v>8.2785719999999993E-2</v>
      </c>
      <c r="W3609">
        <v>3.1547859999999997E-2</v>
      </c>
      <c r="X3609">
        <v>0.99606790000000001</v>
      </c>
      <c r="Y3609">
        <v>0.15797269999999999</v>
      </c>
      <c r="Z3609">
        <v>-1.6188810000000001E-2</v>
      </c>
      <c r="AA3609">
        <v>0.98731080000000004</v>
      </c>
      <c r="AB3609">
        <v>30</v>
      </c>
      <c r="AC3609">
        <v>0.52240000000000397</v>
      </c>
      <c r="AD3609">
        <v>-0.24062819999999899</v>
      </c>
      <c r="AE3609">
        <v>-0.14670000000000899</v>
      </c>
      <c r="AF3609">
        <v>0.112438492375391</v>
      </c>
      <c r="AG3609">
        <v>-0.24062819999999899</v>
      </c>
      <c r="AH3609">
        <v>0.439271884879123</v>
      </c>
      <c r="AI3609">
        <v>117.95399375954899</v>
      </c>
      <c r="AJ3609">
        <v>75.642513122836803</v>
      </c>
      <c r="AK3609">
        <v>0.51332653744780099</v>
      </c>
      <c r="AL3609">
        <v>88.1921408047168</v>
      </c>
      <c r="AM3609">
        <v>85.248922572798705</v>
      </c>
      <c r="AN3609">
        <v>1.0000000021584501</v>
      </c>
    </row>
    <row r="3610" spans="1:40" x14ac:dyDescent="0.25">
      <c r="A3610" t="str">
        <f>"20190312154907717"</f>
        <v>20190312154907717</v>
      </c>
      <c r="B3610" t="str">
        <f>"1552376947709564"</f>
        <v>1552376947709564</v>
      </c>
      <c r="C3610" t="s">
        <v>40</v>
      </c>
      <c r="D3610">
        <v>5.1722510000000002</v>
      </c>
      <c r="E3610">
        <v>0.53539799999999904</v>
      </c>
      <c r="F3610" t="s">
        <v>41</v>
      </c>
      <c r="G3610">
        <v>-290.94459999999998</v>
      </c>
      <c r="H3610">
        <v>0.87378670000000003</v>
      </c>
      <c r="I3610">
        <v>214.7835</v>
      </c>
      <c r="J3610">
        <v>-291.43</v>
      </c>
      <c r="K3610">
        <v>1.1101129999999999</v>
      </c>
      <c r="L3610">
        <v>214.9263</v>
      </c>
      <c r="M3610">
        <v>0.99963860000000004</v>
      </c>
      <c r="N3610">
        <v>0</v>
      </c>
      <c r="O3610">
        <v>-2.3014280000000002E-2</v>
      </c>
      <c r="P3610">
        <v>0.99425859999999999</v>
      </c>
      <c r="Q3610">
        <v>1.836397E-2</v>
      </c>
      <c r="R3610">
        <v>-0.10541929999999999</v>
      </c>
      <c r="S3610">
        <v>2.973236</v>
      </c>
      <c r="T3610">
        <v>-0.88883069999999897</v>
      </c>
      <c r="U3610">
        <v>-0.56240840000000003</v>
      </c>
      <c r="V3610">
        <v>8.2497280000000006E-2</v>
      </c>
      <c r="W3610">
        <v>3.2240350000000001E-2</v>
      </c>
      <c r="X3610">
        <v>0.99606969999999995</v>
      </c>
      <c r="Y3610">
        <v>0.1575201</v>
      </c>
      <c r="Z3610">
        <v>-1.6177070000000002E-2</v>
      </c>
      <c r="AA3610">
        <v>0.98738320000000002</v>
      </c>
      <c r="AB3610">
        <v>30</v>
      </c>
      <c r="AC3610">
        <v>0.48540000000002598</v>
      </c>
      <c r="AD3610">
        <v>-0.23632629999999899</v>
      </c>
      <c r="AE3610">
        <v>-0.14279999999999399</v>
      </c>
      <c r="AF3610">
        <v>0.10802352005640101</v>
      </c>
      <c r="AG3610">
        <v>-0.23632629999999899</v>
      </c>
      <c r="AH3610">
        <v>0.40106230564638901</v>
      </c>
      <c r="AI3610">
        <v>119.638741881935</v>
      </c>
      <c r="AJ3610">
        <v>74.925490227358495</v>
      </c>
      <c r="AK3610">
        <v>0.47788092027979501</v>
      </c>
      <c r="AL3610">
        <v>88.152443931888499</v>
      </c>
      <c r="AM3610">
        <v>85.265409294189396</v>
      </c>
      <c r="AN3610">
        <v>1.0000000443168</v>
      </c>
    </row>
    <row r="3611" spans="1:40" x14ac:dyDescent="0.25">
      <c r="A3611" t="str">
        <f>"20190312154907738"</f>
        <v>20190312154907738</v>
      </c>
      <c r="B3611" t="str">
        <f>"1552376947729084"</f>
        <v>1552376947729084</v>
      </c>
      <c r="C3611" t="s">
        <v>40</v>
      </c>
      <c r="D3611">
        <v>5.1871710000000002</v>
      </c>
      <c r="E3611">
        <v>0.53543699999999905</v>
      </c>
      <c r="F3611" t="s">
        <v>41</v>
      </c>
      <c r="G3611">
        <v>-290.6737</v>
      </c>
      <c r="H3611">
        <v>0.88472519999999999</v>
      </c>
      <c r="I3611">
        <v>214.7833</v>
      </c>
      <c r="J3611">
        <v>-291.1481</v>
      </c>
      <c r="K3611">
        <v>1.1100890000000001</v>
      </c>
      <c r="L3611">
        <v>214.92</v>
      </c>
      <c r="M3611">
        <v>0.99964419999999998</v>
      </c>
      <c r="N3611">
        <v>0</v>
      </c>
      <c r="O3611">
        <v>-2.286289E-2</v>
      </c>
      <c r="P3611">
        <v>0.99424959999999996</v>
      </c>
      <c r="Q3611">
        <v>1.8756430000000001E-2</v>
      </c>
      <c r="R3611">
        <v>-0.1054327</v>
      </c>
      <c r="S3611">
        <v>2.9741520000000001</v>
      </c>
      <c r="T3611">
        <v>-0.88641320000000001</v>
      </c>
      <c r="U3611">
        <v>-0.56121829999999995</v>
      </c>
      <c r="V3611">
        <v>8.2661609999999996E-2</v>
      </c>
      <c r="W3611">
        <v>3.247626E-2</v>
      </c>
      <c r="X3611">
        <v>0.99604839999999994</v>
      </c>
      <c r="Y3611">
        <v>0.15726970000000001</v>
      </c>
      <c r="Z3611">
        <v>-1.613827E-2</v>
      </c>
      <c r="AA3611">
        <v>0.98742379999999996</v>
      </c>
      <c r="AB3611">
        <v>30</v>
      </c>
      <c r="AC3611">
        <v>0.47440000000000199</v>
      </c>
      <c r="AD3611">
        <v>-0.225363799999999</v>
      </c>
      <c r="AE3611">
        <v>-0.13669999999999</v>
      </c>
      <c r="AF3611">
        <v>0.10412122709772299</v>
      </c>
      <c r="AG3611">
        <v>-0.225363799999999</v>
      </c>
      <c r="AH3611">
        <v>0.395078649793137</v>
      </c>
      <c r="AI3611">
        <v>118.88083991383</v>
      </c>
      <c r="AJ3611">
        <v>75.235665717259096</v>
      </c>
      <c r="AK3611">
        <v>0.466601770040732</v>
      </c>
      <c r="AL3611">
        <v>88.138920180597907</v>
      </c>
      <c r="AM3611">
        <v>85.255920269433204</v>
      </c>
      <c r="AN3611">
        <v>1.00000003218696</v>
      </c>
    </row>
    <row r="3612" spans="1:40" x14ac:dyDescent="0.25">
      <c r="A3612" t="str">
        <f>"20190312154907761"</f>
        <v>20190312154907761</v>
      </c>
      <c r="B3612" t="str">
        <f>"1552376947749580"</f>
        <v>1552376947749580</v>
      </c>
      <c r="C3612" t="s">
        <v>40</v>
      </c>
      <c r="D3612">
        <v>5.1678769999999998</v>
      </c>
      <c r="E3612">
        <v>0.53545949999999998</v>
      </c>
      <c r="F3612" t="s">
        <v>41</v>
      </c>
      <c r="G3612">
        <v>-290.40539999999999</v>
      </c>
      <c r="H3612">
        <v>0.88908619999999905</v>
      </c>
      <c r="I3612">
        <v>214.77959999999999</v>
      </c>
      <c r="J3612">
        <v>-290.84690000000001</v>
      </c>
      <c r="K3612">
        <v>1.110044</v>
      </c>
      <c r="L3612">
        <v>214.91329999999999</v>
      </c>
      <c r="M3612">
        <v>0.99965059999999994</v>
      </c>
      <c r="N3612">
        <v>0</v>
      </c>
      <c r="O3612">
        <v>-2.2696549999999999E-2</v>
      </c>
      <c r="P3612">
        <v>0.99426539999999997</v>
      </c>
      <c r="Q3612">
        <v>1.905418E-2</v>
      </c>
      <c r="R3612">
        <v>-0.1052285</v>
      </c>
      <c r="S3612">
        <v>2.9745180000000002</v>
      </c>
      <c r="T3612">
        <v>-0.88517710000000005</v>
      </c>
      <c r="U3612">
        <v>-0.56141660000000004</v>
      </c>
      <c r="V3612">
        <v>8.2623569999999993E-2</v>
      </c>
      <c r="W3612">
        <v>3.2571580000000003E-2</v>
      </c>
      <c r="X3612">
        <v>0.99604839999999994</v>
      </c>
      <c r="Y3612">
        <v>0.15747659999999999</v>
      </c>
      <c r="Z3612">
        <v>-1.619261E-2</v>
      </c>
      <c r="AA3612">
        <v>0.98738999999999999</v>
      </c>
      <c r="AB3612">
        <v>30</v>
      </c>
      <c r="AC3612">
        <v>0.44150000000001899</v>
      </c>
      <c r="AD3612">
        <v>-0.22095780000000001</v>
      </c>
      <c r="AE3612">
        <v>-0.13370000000000401</v>
      </c>
      <c r="AF3612">
        <v>0.100570223798726</v>
      </c>
      <c r="AG3612">
        <v>-0.22095780000000001</v>
      </c>
      <c r="AH3612">
        <v>0.36148528633142601</v>
      </c>
      <c r="AI3612">
        <v>120.49314320602799</v>
      </c>
      <c r="AJ3612">
        <v>74.452694723183996</v>
      </c>
      <c r="AK3612">
        <v>0.43544038803248197</v>
      </c>
      <c r="AL3612">
        <v>88.133455774902401</v>
      </c>
      <c r="AM3612">
        <v>85.2580934870509</v>
      </c>
      <c r="AN3612">
        <v>0.99999998864289996</v>
      </c>
    </row>
    <row r="3613" spans="1:40" x14ac:dyDescent="0.25">
      <c r="A3613" t="str">
        <f>"20190312154907783"</f>
        <v>20190312154907783</v>
      </c>
      <c r="B3613" t="str">
        <f>"1552376947769099"</f>
        <v>1552376947769099</v>
      </c>
      <c r="C3613" t="s">
        <v>40</v>
      </c>
      <c r="D3613">
        <v>5.1554989999999998</v>
      </c>
      <c r="E3613">
        <v>0.53549499999999906</v>
      </c>
      <c r="F3613" t="s">
        <v>41</v>
      </c>
      <c r="G3613">
        <v>-290.13499999999999</v>
      </c>
      <c r="H3613">
        <v>0.89846459999999995</v>
      </c>
      <c r="I3613">
        <v>214.77869999999999</v>
      </c>
      <c r="J3613">
        <v>-290.54660000000001</v>
      </c>
      <c r="K3613">
        <v>1.1100019999999999</v>
      </c>
      <c r="L3613">
        <v>214.9066</v>
      </c>
      <c r="M3613">
        <v>0.99965760000000004</v>
      </c>
      <c r="N3613">
        <v>0</v>
      </c>
      <c r="O3613">
        <v>-2.2526069999999999E-2</v>
      </c>
      <c r="P3613">
        <v>0.9942512</v>
      </c>
      <c r="Q3613">
        <v>1.9081919999999999E-2</v>
      </c>
      <c r="R3613">
        <v>-0.10535949999999999</v>
      </c>
      <c r="S3613">
        <v>2.9748540000000001</v>
      </c>
      <c r="T3613">
        <v>-0.88427210000000001</v>
      </c>
      <c r="U3613">
        <v>-0.56115719999999902</v>
      </c>
      <c r="V3613">
        <v>8.2925079999999998E-2</v>
      </c>
      <c r="W3613">
        <v>3.2376170000000003E-2</v>
      </c>
      <c r="X3613">
        <v>0.99602970000000002</v>
      </c>
      <c r="Y3613">
        <v>0.15754379999999901</v>
      </c>
      <c r="Z3613">
        <v>-1.623399E-2</v>
      </c>
      <c r="AA3613">
        <v>0.98737850000000005</v>
      </c>
      <c r="AB3613">
        <v>30</v>
      </c>
      <c r="AC3613">
        <v>0.411600000000021</v>
      </c>
      <c r="AD3613">
        <v>-0.21153739999999899</v>
      </c>
      <c r="AE3613">
        <v>-0.127900000000011</v>
      </c>
      <c r="AF3613">
        <v>9.5573675246563405E-2</v>
      </c>
      <c r="AG3613">
        <v>-0.21153739999999899</v>
      </c>
      <c r="AH3613">
        <v>0.33393924992487001</v>
      </c>
      <c r="AI3613">
        <v>121.341804873793</v>
      </c>
      <c r="AJ3613">
        <v>74.028836816874204</v>
      </c>
      <c r="AK3613">
        <v>0.40669131001200398</v>
      </c>
      <c r="AL3613">
        <v>88.144657824811105</v>
      </c>
      <c r="AM3613">
        <v>85.240779716637405</v>
      </c>
      <c r="AN3613">
        <v>0.99999997427948195</v>
      </c>
    </row>
    <row r="3614" spans="1:40" x14ac:dyDescent="0.25">
      <c r="A3614" t="str">
        <f>"20190312154907807"</f>
        <v>20190312154907807</v>
      </c>
      <c r="B3614" t="str">
        <f>"1552376947799356"</f>
        <v>1552376947799356</v>
      </c>
      <c r="C3614" t="s">
        <v>40</v>
      </c>
      <c r="D3614">
        <v>5.1355519999999997</v>
      </c>
      <c r="E3614">
        <v>0.53555580000000003</v>
      </c>
      <c r="F3614" t="s">
        <v>41</v>
      </c>
      <c r="G3614">
        <v>-289.86470000000003</v>
      </c>
      <c r="H3614">
        <v>0.90734389999999998</v>
      </c>
      <c r="I3614">
        <v>214.77789999999999</v>
      </c>
      <c r="J3614">
        <v>-290.24119999999999</v>
      </c>
      <c r="K3614">
        <v>1.1099600000000001</v>
      </c>
      <c r="L3614">
        <v>214.8999</v>
      </c>
      <c r="M3614">
        <v>0.99966469999999996</v>
      </c>
      <c r="N3614">
        <v>0</v>
      </c>
      <c r="O3614">
        <v>-2.2351900000000001E-2</v>
      </c>
      <c r="P3614">
        <v>0.99422840000000001</v>
      </c>
      <c r="Q3614">
        <v>1.8945569999999998E-2</v>
      </c>
      <c r="R3614">
        <v>-0.105602</v>
      </c>
      <c r="S3614">
        <v>2.9747919999999999</v>
      </c>
      <c r="T3614">
        <v>-0.88404579999999999</v>
      </c>
      <c r="U3614">
        <v>-0.56166079999999996</v>
      </c>
      <c r="V3614">
        <v>8.3341899999999997E-2</v>
      </c>
      <c r="W3614">
        <v>3.2002530000000001E-2</v>
      </c>
      <c r="X3614">
        <v>0.99600699999999998</v>
      </c>
      <c r="Y3614">
        <v>0.15786310000000001</v>
      </c>
      <c r="Z3614">
        <v>-1.632635E-2</v>
      </c>
      <c r="AA3614">
        <v>0.98732600000000004</v>
      </c>
      <c r="AB3614">
        <v>30</v>
      </c>
      <c r="AC3614">
        <v>0.37649999999996397</v>
      </c>
      <c r="AD3614">
        <v>-0.20261609999999999</v>
      </c>
      <c r="AE3614">
        <v>-0.122000000000014</v>
      </c>
      <c r="AF3614">
        <v>8.9972208368453502E-2</v>
      </c>
      <c r="AG3614">
        <v>-0.20261609999999999</v>
      </c>
      <c r="AH3614">
        <v>0.30040024694072198</v>
      </c>
      <c r="AI3614">
        <v>122.86767342444401</v>
      </c>
      <c r="AJ3614">
        <v>73.326633255683603</v>
      </c>
      <c r="AK3614">
        <v>0.37334781453753402</v>
      </c>
      <c r="AL3614">
        <v>88.166076947418105</v>
      </c>
      <c r="AM3614">
        <v>85.216859868037005</v>
      </c>
      <c r="AN3614">
        <v>0.99999998913550503</v>
      </c>
    </row>
    <row r="3615" spans="1:40" x14ac:dyDescent="0.25">
      <c r="A3615" t="str">
        <f>"20190312154907821"</f>
        <v>20190312154907821</v>
      </c>
      <c r="B3615" t="str">
        <f>"1552376947809115"</f>
        <v>1552376947809115</v>
      </c>
      <c r="C3615" t="s">
        <v>40</v>
      </c>
      <c r="D3615">
        <v>5.1386269999999996</v>
      </c>
      <c r="E3615">
        <v>0.53556479999999995</v>
      </c>
      <c r="F3615" t="s">
        <v>41</v>
      </c>
      <c r="G3615">
        <v>-289.35599999999999</v>
      </c>
      <c r="H3615">
        <v>0.84679439999999995</v>
      </c>
      <c r="I3615">
        <v>214.73240000000001</v>
      </c>
      <c r="J3615">
        <v>-290.0333</v>
      </c>
      <c r="K3615">
        <v>1.1099319999999999</v>
      </c>
      <c r="L3615">
        <v>214.8954</v>
      </c>
      <c r="M3615">
        <v>0.99966940000000004</v>
      </c>
      <c r="N3615">
        <v>0</v>
      </c>
      <c r="O3615">
        <v>-2.2235009999999999E-2</v>
      </c>
      <c r="P3615">
        <v>0.99419939999999996</v>
      </c>
      <c r="Q3615">
        <v>1.9147930000000001E-2</v>
      </c>
      <c r="R3615">
        <v>-0.10583629999999999</v>
      </c>
      <c r="S3615">
        <v>2.9744869999999999</v>
      </c>
      <c r="T3615">
        <v>-0.88434729999999995</v>
      </c>
      <c r="U3615">
        <v>-0.56289669999999903</v>
      </c>
      <c r="V3615">
        <v>8.3693439999999994E-2</v>
      </c>
      <c r="W3615">
        <v>3.2038759999999999E-2</v>
      </c>
      <c r="X3615">
        <v>0.99597639999999998</v>
      </c>
      <c r="Y3615">
        <v>0.1583629</v>
      </c>
      <c r="Z3615">
        <v>-1.6438520000000002E-2</v>
      </c>
      <c r="AA3615">
        <v>0.98724409999999896</v>
      </c>
      <c r="AB3615">
        <v>30</v>
      </c>
      <c r="AC3615">
        <v>0.67730000000000201</v>
      </c>
      <c r="AD3615">
        <v>-0.26313760000000003</v>
      </c>
      <c r="AE3615">
        <v>-0.16299999999998199</v>
      </c>
      <c r="AF3615">
        <v>0.12943182055288699</v>
      </c>
      <c r="AG3615">
        <v>-0.26313760000000003</v>
      </c>
      <c r="AH3615">
        <v>0.59575678817969902</v>
      </c>
      <c r="AI3615">
        <v>113.345873022904</v>
      </c>
      <c r="AJ3615">
        <v>77.742621317734901</v>
      </c>
      <c r="AK3615">
        <v>0.664018179997796</v>
      </c>
      <c r="AL3615">
        <v>88.164000134463393</v>
      </c>
      <c r="AM3615">
        <v>85.196631676081495</v>
      </c>
      <c r="AN3615">
        <v>1.00000003169916</v>
      </c>
    </row>
    <row r="3616" spans="1:40" x14ac:dyDescent="0.25">
      <c r="A3616" t="str">
        <f>"20190312154907840"</f>
        <v>20190312154907840</v>
      </c>
      <c r="B3616" t="str">
        <f>"1552376947829612"</f>
        <v>1552376947829612</v>
      </c>
      <c r="C3616" t="s">
        <v>40</v>
      </c>
      <c r="D3616">
        <v>5.1577339999999996</v>
      </c>
      <c r="E3616">
        <v>0.53558349999999999</v>
      </c>
      <c r="F3616" t="s">
        <v>41</v>
      </c>
      <c r="G3616">
        <v>-289.3331</v>
      </c>
      <c r="H3616">
        <v>0.90191209999999999</v>
      </c>
      <c r="I3616">
        <v>214.7627</v>
      </c>
      <c r="J3616">
        <v>-289.7903</v>
      </c>
      <c r="K3616">
        <v>1.1099110000000001</v>
      </c>
      <c r="L3616">
        <v>214.89009999999999</v>
      </c>
      <c r="M3616">
        <v>0.99967479999999997</v>
      </c>
      <c r="N3616">
        <v>0</v>
      </c>
      <c r="O3616">
        <v>-2.2101039999999999E-2</v>
      </c>
      <c r="P3616">
        <v>0.99418399999999996</v>
      </c>
      <c r="Q3616">
        <v>1.916942E-2</v>
      </c>
      <c r="R3616">
        <v>-0.1059755</v>
      </c>
      <c r="S3616">
        <v>2.9745180000000002</v>
      </c>
      <c r="T3616">
        <v>-0.88374599999999903</v>
      </c>
      <c r="U3616">
        <v>-0.56379699999999999</v>
      </c>
      <c r="V3616">
        <v>8.3966750000000007E-2</v>
      </c>
      <c r="W3616">
        <v>3.1870519999999999E-2</v>
      </c>
      <c r="X3616">
        <v>0.99595869999999997</v>
      </c>
      <c r="Y3616">
        <v>0.1587674</v>
      </c>
      <c r="Z3616">
        <v>-1.6524150000000001E-2</v>
      </c>
      <c r="AA3616">
        <v>0.98717770000000005</v>
      </c>
      <c r="AB3616">
        <v>30</v>
      </c>
      <c r="AC3616">
        <v>0.4572</v>
      </c>
      <c r="AD3616">
        <v>-0.20799889999999999</v>
      </c>
      <c r="AE3616">
        <v>-0.12739999999999399</v>
      </c>
      <c r="AF3616">
        <v>9.8370580927298099E-2</v>
      </c>
      <c r="AG3616">
        <v>-0.20799889999999999</v>
      </c>
      <c r="AH3616">
        <v>0.38580682175534298</v>
      </c>
      <c r="AI3616">
        <v>117.58315164443</v>
      </c>
      <c r="AJ3616">
        <v>75.695864698438498</v>
      </c>
      <c r="AK3616">
        <v>0.44920732107362499</v>
      </c>
      <c r="AL3616">
        <v>88.173644331260306</v>
      </c>
      <c r="AM3616">
        <v>85.180934268332607</v>
      </c>
      <c r="AN3616">
        <v>0.99999993862815895</v>
      </c>
    </row>
    <row r="3617" spans="1:40" x14ac:dyDescent="0.25">
      <c r="A3617" t="str">
        <f>"20190312154907864"</f>
        <v>20190312154907864</v>
      </c>
      <c r="B3617" t="str">
        <f>"1552376947849132"</f>
        <v>1552376947849132</v>
      </c>
      <c r="C3617" t="s">
        <v>40</v>
      </c>
      <c r="D3617">
        <v>5.1659829999999998</v>
      </c>
      <c r="E3617">
        <v>0.5355955</v>
      </c>
      <c r="F3617" t="s">
        <v>41</v>
      </c>
      <c r="G3617">
        <v>-289.0686</v>
      </c>
      <c r="H3617">
        <v>0.89549590000000001</v>
      </c>
      <c r="I3617">
        <v>214.75299999999999</v>
      </c>
      <c r="J3617">
        <v>-289.48930000000001</v>
      </c>
      <c r="K3617">
        <v>1.1098749999999999</v>
      </c>
      <c r="L3617">
        <v>214.8837</v>
      </c>
      <c r="M3617">
        <v>0.9996815</v>
      </c>
      <c r="N3617">
        <v>0</v>
      </c>
      <c r="O3617">
        <v>-2.193757E-2</v>
      </c>
      <c r="P3617">
        <v>0.99421219999999999</v>
      </c>
      <c r="Q3617">
        <v>1.9732E-2</v>
      </c>
      <c r="R3617">
        <v>-0.1056077</v>
      </c>
      <c r="S3617">
        <v>2.9744570000000001</v>
      </c>
      <c r="T3617">
        <v>-0.88365749999999998</v>
      </c>
      <c r="U3617">
        <v>-0.56440729999999995</v>
      </c>
      <c r="V3617">
        <v>8.3761219999999997E-2</v>
      </c>
      <c r="W3617">
        <v>3.2194130000000001E-2</v>
      </c>
      <c r="X3617">
        <v>0.99596569999999995</v>
      </c>
      <c r="Y3617">
        <v>0.159108</v>
      </c>
      <c r="Z3617">
        <v>-1.6618819999999999E-2</v>
      </c>
      <c r="AA3617">
        <v>0.98712129999999998</v>
      </c>
      <c r="AB3617">
        <v>30</v>
      </c>
      <c r="AC3617">
        <v>0.42070000000001001</v>
      </c>
      <c r="AD3617">
        <v>-0.21437909999999899</v>
      </c>
      <c r="AE3617">
        <v>-0.130700000000018</v>
      </c>
      <c r="AF3617">
        <v>9.8186835191910807E-2</v>
      </c>
      <c r="AG3617">
        <v>-0.21437909999999899</v>
      </c>
      <c r="AH3617">
        <v>0.34238517618498499</v>
      </c>
      <c r="AI3617">
        <v>121.042662619469</v>
      </c>
      <c r="AJ3617">
        <v>73.998536328361695</v>
      </c>
      <c r="AK3617">
        <v>0.41572426197304901</v>
      </c>
      <c r="AL3617">
        <v>88.1550935097532</v>
      </c>
      <c r="AM3617">
        <v>85.192708437889806</v>
      </c>
      <c r="AN3617">
        <v>1.00000003977941</v>
      </c>
    </row>
    <row r="3618" spans="1:40" x14ac:dyDescent="0.25">
      <c r="A3618" t="str">
        <f>"20190312154907884"</f>
        <v>20190312154907884</v>
      </c>
      <c r="B3618" t="str">
        <f>"1552376947879388"</f>
        <v>1552376947879388</v>
      </c>
      <c r="C3618" t="s">
        <v>40</v>
      </c>
      <c r="D3618">
        <v>5.1345369999999999</v>
      </c>
      <c r="E3618">
        <v>0.53566559999999996</v>
      </c>
      <c r="F3618" t="s">
        <v>41</v>
      </c>
      <c r="G3618">
        <v>-288.79730000000001</v>
      </c>
      <c r="H3618">
        <v>0.90474929999999998</v>
      </c>
      <c r="I3618">
        <v>214.7526</v>
      </c>
      <c r="J3618">
        <v>-289.20479999999998</v>
      </c>
      <c r="K3618">
        <v>1.109853</v>
      </c>
      <c r="L3618">
        <v>214.8776</v>
      </c>
      <c r="M3618">
        <v>0.99968780000000002</v>
      </c>
      <c r="N3618">
        <v>0</v>
      </c>
      <c r="O3618">
        <v>-2.1782889999999999E-2</v>
      </c>
      <c r="P3618">
        <v>0.9942976</v>
      </c>
      <c r="Q3618">
        <v>2.0174250000000001E-2</v>
      </c>
      <c r="R3618">
        <v>-0.10471759999999999</v>
      </c>
      <c r="S3618">
        <v>2.975098</v>
      </c>
      <c r="T3618">
        <v>-0.8818165</v>
      </c>
      <c r="U3618">
        <v>-0.56370540000000002</v>
      </c>
      <c r="V3618">
        <v>8.3023410000000006E-2</v>
      </c>
      <c r="W3618">
        <v>3.2408109999999997E-2</v>
      </c>
      <c r="X3618">
        <v>0.99602049999999998</v>
      </c>
      <c r="Y3618">
        <v>0.15901949999999901</v>
      </c>
      <c r="Z3618">
        <v>-1.6614299999999999E-2</v>
      </c>
      <c r="AA3618">
        <v>0.9871356</v>
      </c>
      <c r="AB3618">
        <v>30</v>
      </c>
      <c r="AC3618">
        <v>0.40749999999997</v>
      </c>
      <c r="AD3618">
        <v>-0.205103699999999</v>
      </c>
      <c r="AE3618">
        <v>-0.125</v>
      </c>
      <c r="AF3618">
        <v>9.4266201765176305E-2</v>
      </c>
      <c r="AG3618">
        <v>-0.205103699999999</v>
      </c>
      <c r="AH3618">
        <v>0.33301755067549099</v>
      </c>
      <c r="AI3618">
        <v>120.65140766981899</v>
      </c>
      <c r="AJ3618">
        <v>74.194945133243493</v>
      </c>
      <c r="AK3618">
        <v>0.402311239722215</v>
      </c>
      <c r="AL3618">
        <v>88.142826892524695</v>
      </c>
      <c r="AM3618">
        <v>85.235118539195497</v>
      </c>
      <c r="AN3618">
        <v>1.00000000431102</v>
      </c>
    </row>
    <row r="3619" spans="1:40" x14ac:dyDescent="0.25">
      <c r="A3619" t="str">
        <f>"20190312154907907"</f>
        <v>20190312154907907</v>
      </c>
      <c r="B3619" t="str">
        <f>"1552376947898907"</f>
        <v>1552376947898907</v>
      </c>
      <c r="C3619" t="s">
        <v>40</v>
      </c>
      <c r="D3619">
        <v>5.1371739999999999</v>
      </c>
      <c r="E3619">
        <v>0.53567480000000001</v>
      </c>
      <c r="F3619" t="s">
        <v>41</v>
      </c>
      <c r="G3619">
        <v>-288.52760000000001</v>
      </c>
      <c r="H3619">
        <v>0.90949570000000002</v>
      </c>
      <c r="I3619">
        <v>214.74969999999999</v>
      </c>
      <c r="J3619">
        <v>-288.90089999999998</v>
      </c>
      <c r="K3619">
        <v>1.1098269999999999</v>
      </c>
      <c r="L3619">
        <v>214.87110000000001</v>
      </c>
      <c r="M3619">
        <v>0.99969419999999998</v>
      </c>
      <c r="N3619">
        <v>0</v>
      </c>
      <c r="O3619">
        <v>-2.1616710000000001E-2</v>
      </c>
      <c r="P3619">
        <v>0.99435189999999996</v>
      </c>
      <c r="Q3619">
        <v>2.0506710000000001E-2</v>
      </c>
      <c r="R3619">
        <v>-0.10413360000000001</v>
      </c>
      <c r="S3619">
        <v>2.9759519999999999</v>
      </c>
      <c r="T3619">
        <v>-0.88047989999999998</v>
      </c>
      <c r="U3619">
        <v>-0.56149289999999996</v>
      </c>
      <c r="V3619">
        <v>8.2603979999999994E-2</v>
      </c>
      <c r="W3619">
        <v>3.2497230000000002E-2</v>
      </c>
      <c r="X3619">
        <v>0.99605239999999995</v>
      </c>
      <c r="Y3619">
        <v>0.158458399999999</v>
      </c>
      <c r="Z3619">
        <v>-1.6553809999999999E-2</v>
      </c>
      <c r="AA3619">
        <v>0.98722679999999996</v>
      </c>
      <c r="AB3619">
        <v>30</v>
      </c>
      <c r="AC3619">
        <v>0.37329999999997199</v>
      </c>
      <c r="AD3619">
        <v>-0.20033129999999999</v>
      </c>
      <c r="AE3619">
        <v>-0.121400000000022</v>
      </c>
      <c r="AF3619">
        <v>8.9889898446159106E-2</v>
      </c>
      <c r="AG3619">
        <v>-0.20033129999999999</v>
      </c>
      <c r="AH3619">
        <v>0.298177523543592</v>
      </c>
      <c r="AI3619">
        <v>122.751478690588</v>
      </c>
      <c r="AJ3619">
        <v>73.223812456478299</v>
      </c>
      <c r="AK3619">
        <v>0.37030076849628601</v>
      </c>
      <c r="AL3619">
        <v>88.137717873509601</v>
      </c>
      <c r="AM3619">
        <v>85.259231616711006</v>
      </c>
      <c r="AN3619">
        <v>0.999999935507634</v>
      </c>
    </row>
    <row r="3620" spans="1:40" x14ac:dyDescent="0.25">
      <c r="A3620" t="str">
        <f>"20190312154907928"</f>
        <v>20190312154907928</v>
      </c>
      <c r="B3620" t="str">
        <f>"1552376947919408"</f>
        <v>1552376947919408</v>
      </c>
      <c r="C3620" t="s">
        <v>40</v>
      </c>
      <c r="D3620">
        <v>5.1590689999999997</v>
      </c>
      <c r="E3620">
        <v>0.53569169999999999</v>
      </c>
      <c r="F3620" t="s">
        <v>41</v>
      </c>
      <c r="G3620">
        <v>-288.01639999999998</v>
      </c>
      <c r="H3620">
        <v>0.84849640000000004</v>
      </c>
      <c r="I3620">
        <v>214.70480000000001</v>
      </c>
      <c r="J3620">
        <v>-288.61340000000001</v>
      </c>
      <c r="K3620">
        <v>1.109802</v>
      </c>
      <c r="L3620">
        <v>214.86510000000001</v>
      </c>
      <c r="M3620">
        <v>0.99970029999999999</v>
      </c>
      <c r="N3620">
        <v>0</v>
      </c>
      <c r="O3620">
        <v>-2.1458519999999998E-2</v>
      </c>
      <c r="P3620">
        <v>0.99438000000000004</v>
      </c>
      <c r="Q3620">
        <v>2.0988840000000002E-2</v>
      </c>
      <c r="R3620">
        <v>-0.10376829999999999</v>
      </c>
      <c r="S3620">
        <v>2.9765630000000001</v>
      </c>
      <c r="T3620">
        <v>-0.87938809999999901</v>
      </c>
      <c r="U3620">
        <v>-0.55969239999999998</v>
      </c>
      <c r="V3620">
        <v>8.2395670000000004E-2</v>
      </c>
      <c r="W3620">
        <v>3.275078E-2</v>
      </c>
      <c r="X3620">
        <v>0.99606139999999999</v>
      </c>
      <c r="Y3620">
        <v>0.15802739999999901</v>
      </c>
      <c r="Z3620">
        <v>-1.6515269999999999E-2</v>
      </c>
      <c r="AA3620">
        <v>0.98729659999999997</v>
      </c>
      <c r="AB3620">
        <v>30</v>
      </c>
      <c r="AC3620">
        <v>0.59700000000003595</v>
      </c>
      <c r="AD3620">
        <v>-0.26130559999999903</v>
      </c>
      <c r="AE3620">
        <v>-0.16030000000000599</v>
      </c>
      <c r="AF3620">
        <v>0.12509711542128699</v>
      </c>
      <c r="AG3620">
        <v>-0.26130559999999903</v>
      </c>
      <c r="AH3620">
        <v>0.50929383065262601</v>
      </c>
      <c r="AI3620">
        <v>116.485401011183</v>
      </c>
      <c r="AJ3620">
        <v>76.1997291888771</v>
      </c>
      <c r="AK3620">
        <v>0.58592671113281103</v>
      </c>
      <c r="AL3620">
        <v>88.123182885904299</v>
      </c>
      <c r="AM3620">
        <v>85.2711750935118</v>
      </c>
      <c r="AN3620">
        <v>0.99999998629765796</v>
      </c>
    </row>
    <row r="3621" spans="1:40" x14ac:dyDescent="0.25">
      <c r="A3621" t="str">
        <f>"20190312154907943"</f>
        <v>20190312154907943</v>
      </c>
      <c r="B3621" t="str">
        <f>"1552376947938925"</f>
        <v>1552376947938925</v>
      </c>
      <c r="C3621" t="s">
        <v>40</v>
      </c>
      <c r="D3621">
        <v>5.1638650000000004</v>
      </c>
      <c r="E3621">
        <v>0.53571359999999901</v>
      </c>
      <c r="F3621" t="s">
        <v>41</v>
      </c>
      <c r="G3621">
        <v>-287.74549999999999</v>
      </c>
      <c r="H3621">
        <v>0.85384959999999899</v>
      </c>
      <c r="I3621">
        <v>214.7022</v>
      </c>
      <c r="J3621">
        <v>-288.39260000000002</v>
      </c>
      <c r="K3621">
        <v>1.1097840000000001</v>
      </c>
      <c r="L3621">
        <v>214.8605</v>
      </c>
      <c r="M3621">
        <v>0.99970490000000001</v>
      </c>
      <c r="N3621">
        <v>0</v>
      </c>
      <c r="O3621">
        <v>-2.1336689999999998E-2</v>
      </c>
      <c r="P3621">
        <v>0.99440689999999998</v>
      </c>
      <c r="Q3621">
        <v>2.12433E-2</v>
      </c>
      <c r="R3621">
        <v>-0.1034616</v>
      </c>
      <c r="S3621">
        <v>2.9772340000000002</v>
      </c>
      <c r="T3621">
        <v>-0.87795849999999898</v>
      </c>
      <c r="U3621">
        <v>-0.55889889999999998</v>
      </c>
      <c r="V3621">
        <v>8.2209530000000003E-2</v>
      </c>
      <c r="W3621">
        <v>3.2835610000000001E-2</v>
      </c>
      <c r="X3621">
        <v>0.99607400000000001</v>
      </c>
      <c r="Y3621">
        <v>0.1578744</v>
      </c>
      <c r="Z3621">
        <v>-1.6499320000000001E-2</v>
      </c>
      <c r="AA3621">
        <v>0.98732140000000002</v>
      </c>
      <c r="AB3621">
        <v>30</v>
      </c>
      <c r="AC3621">
        <v>0.64710000000002299</v>
      </c>
      <c r="AD3621">
        <v>-0.25593440000000001</v>
      </c>
      <c r="AE3621">
        <v>-0.158299999999996</v>
      </c>
      <c r="AF3621">
        <v>0.125877169746546</v>
      </c>
      <c r="AG3621">
        <v>-0.25593440000000001</v>
      </c>
      <c r="AH3621">
        <v>0.56668972433172304</v>
      </c>
      <c r="AI3621">
        <v>113.791952668655</v>
      </c>
      <c r="AJ3621">
        <v>77.476383643884503</v>
      </c>
      <c r="AK3621">
        <v>0.63441683665388804</v>
      </c>
      <c r="AL3621">
        <v>88.118319892846003</v>
      </c>
      <c r="AM3621">
        <v>85.281869108758897</v>
      </c>
      <c r="AN3621">
        <v>0.99999999879144597</v>
      </c>
    </row>
    <row r="3622" spans="1:40" x14ac:dyDescent="0.25">
      <c r="A3622" t="str">
        <f>"20190312154907958"</f>
        <v>20190312154907958</v>
      </c>
      <c r="B3622" t="str">
        <f>"1552376947949660"</f>
        <v>1552376947949660</v>
      </c>
      <c r="C3622" t="s">
        <v>40</v>
      </c>
      <c r="D3622">
        <v>5.1840169999999999</v>
      </c>
      <c r="E3622">
        <v>0.53571359999999901</v>
      </c>
      <c r="F3622" t="s">
        <v>41</v>
      </c>
      <c r="G3622">
        <v>-287.72140000000002</v>
      </c>
      <c r="H3622">
        <v>0.91206100000000001</v>
      </c>
      <c r="I3622">
        <v>214.7346</v>
      </c>
      <c r="J3622">
        <v>-288.21100000000001</v>
      </c>
      <c r="K3622">
        <v>1.109775</v>
      </c>
      <c r="L3622">
        <v>214.85669999999999</v>
      </c>
      <c r="M3622">
        <v>0.99970870000000001</v>
      </c>
      <c r="N3622">
        <v>0</v>
      </c>
      <c r="O3622">
        <v>-2.12363E-2</v>
      </c>
      <c r="P3622">
        <v>0.99441639999999998</v>
      </c>
      <c r="Q3622">
        <v>2.1329549999999999E-2</v>
      </c>
      <c r="R3622">
        <v>-0.1033505</v>
      </c>
      <c r="S3622">
        <v>2.977509</v>
      </c>
      <c r="T3622">
        <v>-0.87702639999999998</v>
      </c>
      <c r="U3622">
        <v>-0.55847170000000002</v>
      </c>
      <c r="V3622">
        <v>8.2198670000000001E-2</v>
      </c>
      <c r="W3622">
        <v>3.2789859999999997E-2</v>
      </c>
      <c r="X3622">
        <v>0.99607639999999997</v>
      </c>
      <c r="Y3622">
        <v>0.1578302</v>
      </c>
      <c r="Z3622">
        <v>-1.650364E-2</v>
      </c>
      <c r="AA3622">
        <v>0.98732839999999999</v>
      </c>
      <c r="AB3622">
        <v>30</v>
      </c>
      <c r="AC3622">
        <v>0.48959999999999498</v>
      </c>
      <c r="AD3622">
        <v>-0.197713999999999</v>
      </c>
      <c r="AE3622">
        <v>-0.122099999999989</v>
      </c>
      <c r="AF3622">
        <v>9.6811229897208903E-2</v>
      </c>
      <c r="AG3622">
        <v>-0.197713999999999</v>
      </c>
      <c r="AH3622">
        <v>0.42658921754094398</v>
      </c>
      <c r="AI3622">
        <v>114.322169981222</v>
      </c>
      <c r="AJ3622">
        <v>77.213725726295493</v>
      </c>
      <c r="AK3622">
        <v>0.48004333195286197</v>
      </c>
      <c r="AL3622">
        <v>88.120942580761906</v>
      </c>
      <c r="AM3622">
        <v>85.282500882882502</v>
      </c>
      <c r="AN3622">
        <v>0.99999999545277396</v>
      </c>
    </row>
    <row r="3623" spans="1:40" x14ac:dyDescent="0.25">
      <c r="A3623" t="str">
        <f>"20190312154907974"</f>
        <v>20190312154907974</v>
      </c>
      <c r="B3623" t="str">
        <f>"1552376947959419"</f>
        <v>1552376947959419</v>
      </c>
      <c r="C3623" t="s">
        <v>40</v>
      </c>
      <c r="D3623">
        <v>5.0988850000000001</v>
      </c>
      <c r="E3623">
        <v>0.53541399999999995</v>
      </c>
      <c r="F3623" t="s">
        <v>41</v>
      </c>
      <c r="G3623">
        <v>-287.46179999999998</v>
      </c>
      <c r="H3623">
        <v>0.88917639999999998</v>
      </c>
      <c r="I3623">
        <v>214.71610000000001</v>
      </c>
      <c r="J3623">
        <v>-288.00369999999998</v>
      </c>
      <c r="K3623">
        <v>1.1097629999999901</v>
      </c>
      <c r="L3623">
        <v>214.85239999999999</v>
      </c>
      <c r="M3623">
        <v>0.99971279999999996</v>
      </c>
      <c r="N3623">
        <v>0</v>
      </c>
      <c r="O3623">
        <v>-2.1121870000000001E-2</v>
      </c>
      <c r="P3623">
        <v>0.99437989999999998</v>
      </c>
      <c r="Q3623">
        <v>2.14722E-2</v>
      </c>
      <c r="R3623">
        <v>-0.1036704</v>
      </c>
      <c r="S3623">
        <v>2.9776609999999999</v>
      </c>
      <c r="T3623">
        <v>-0.87677309999999997</v>
      </c>
      <c r="U3623">
        <v>-0.5580444</v>
      </c>
      <c r="V3623">
        <v>8.2633360000000003E-2</v>
      </c>
      <c r="W3623">
        <v>3.278271E-2</v>
      </c>
      <c r="X3623">
        <v>0.9960407</v>
      </c>
      <c r="Y3623">
        <v>0.1577973</v>
      </c>
      <c r="Z3623">
        <v>-1.6526470000000001E-2</v>
      </c>
      <c r="AA3623">
        <v>0.98733320000000002</v>
      </c>
      <c r="AB3623">
        <v>30</v>
      </c>
      <c r="AC3623">
        <v>0.54189999999999805</v>
      </c>
      <c r="AD3623">
        <v>-0.22058659999999899</v>
      </c>
      <c r="AE3623">
        <v>-0.136299999999977</v>
      </c>
      <c r="AF3623">
        <v>0.107993243031466</v>
      </c>
      <c r="AG3623">
        <v>-0.22058659999999899</v>
      </c>
      <c r="AH3623">
        <v>0.47122280812814998</v>
      </c>
      <c r="AI3623">
        <v>114.526555412983</v>
      </c>
      <c r="AJ3623">
        <v>77.092050356447601</v>
      </c>
      <c r="AK3623">
        <v>0.53138679277922596</v>
      </c>
      <c r="AL3623">
        <v>88.121352525532203</v>
      </c>
      <c r="AM3623">
        <v>85.257497690076406</v>
      </c>
      <c r="AN3623">
        <v>1.0000000271581599</v>
      </c>
    </row>
    <row r="3624" spans="1:40" x14ac:dyDescent="0.25">
      <c r="A3624" t="str">
        <f>"20190312154907991"</f>
        <v>20190312154907991</v>
      </c>
      <c r="B3624" t="str">
        <f>"1552376947978940"</f>
        <v>1552376947978940</v>
      </c>
      <c r="C3624" t="s">
        <v>40</v>
      </c>
      <c r="D3624">
        <v>5.1438139999999999</v>
      </c>
      <c r="E3624">
        <v>0.49132019999999998</v>
      </c>
      <c r="F3624" t="s">
        <v>41</v>
      </c>
      <c r="G3624">
        <v>-287.19869999999997</v>
      </c>
      <c r="H3624">
        <v>0.87361559999999905</v>
      </c>
      <c r="I3624">
        <v>214.7021</v>
      </c>
      <c r="J3624">
        <v>-287.75810000000001</v>
      </c>
      <c r="K3624">
        <v>1.1097459999999999</v>
      </c>
      <c r="L3624">
        <v>214.84729999999999</v>
      </c>
      <c r="M3624">
        <v>0.99971770000000004</v>
      </c>
      <c r="N3624">
        <v>0</v>
      </c>
      <c r="O3624">
        <v>-2.09862E-2</v>
      </c>
      <c r="P3624">
        <v>0.99438510000000002</v>
      </c>
      <c r="Q3624">
        <v>2.1819109999999999E-2</v>
      </c>
      <c r="R3624">
        <v>-0.1035483</v>
      </c>
      <c r="S3624">
        <v>2.9778440000000002</v>
      </c>
      <c r="T3624">
        <v>-0.87352109999999905</v>
      </c>
      <c r="U3624">
        <v>-0.55598449999999999</v>
      </c>
      <c r="V3624">
        <v>8.264647E-2</v>
      </c>
      <c r="W3624">
        <v>3.2951889999999998E-2</v>
      </c>
      <c r="X3624">
        <v>0.99603399999999997</v>
      </c>
      <c r="Y3624">
        <v>0.15731489999999901</v>
      </c>
      <c r="Z3624">
        <v>-1.6437500000000001E-2</v>
      </c>
      <c r="AA3624">
        <v>0.9874117</v>
      </c>
      <c r="AB3624">
        <v>30</v>
      </c>
      <c r="AC3624">
        <v>0.55940000000003898</v>
      </c>
      <c r="AD3624">
        <v>-0.23613039999999999</v>
      </c>
      <c r="AE3624">
        <v>-0.14519999999998801</v>
      </c>
      <c r="AF3624">
        <v>0.114340407911337</v>
      </c>
      <c r="AG3624">
        <v>-0.23613039999999999</v>
      </c>
      <c r="AH3624">
        <v>0.481882089221286</v>
      </c>
      <c r="AI3624">
        <v>115.490831279734</v>
      </c>
      <c r="AJ3624">
        <v>76.651778811223195</v>
      </c>
      <c r="AK3624">
        <v>0.54867261877896001</v>
      </c>
      <c r="AL3624">
        <v>88.111653930098299</v>
      </c>
      <c r="AM3624">
        <v>85.256716951602996</v>
      </c>
      <c r="AN3624">
        <v>0.99999999760701597</v>
      </c>
    </row>
    <row r="3625" spans="1:40" x14ac:dyDescent="0.25">
      <c r="A3625" t="str">
        <f>"20190312154908007"</f>
        <v>20190312154908007</v>
      </c>
      <c r="B3625" t="str">
        <f>"1552376947999436"</f>
        <v>1552376947999436</v>
      </c>
      <c r="C3625" t="s">
        <v>40</v>
      </c>
      <c r="D3625">
        <v>5.1787109999999998</v>
      </c>
      <c r="E3625">
        <v>0.487292</v>
      </c>
      <c r="F3625" t="s">
        <v>41</v>
      </c>
      <c r="G3625">
        <v>-286.86419999999998</v>
      </c>
      <c r="H3625">
        <v>1.0119819999999999</v>
      </c>
      <c r="I3625">
        <v>214.77969999999999</v>
      </c>
      <c r="J3625">
        <v>-287.5489</v>
      </c>
      <c r="K3625">
        <v>1.1097319999999999</v>
      </c>
      <c r="L3625">
        <v>214.84299999999999</v>
      </c>
      <c r="M3625">
        <v>0.99972159999999999</v>
      </c>
      <c r="N3625">
        <v>0</v>
      </c>
      <c r="O3625">
        <v>-2.087025E-2</v>
      </c>
      <c r="P3625">
        <v>0.99433839999999996</v>
      </c>
      <c r="Q3625">
        <v>2.1940810000000002E-2</v>
      </c>
      <c r="R3625">
        <v>-0.1039701</v>
      </c>
      <c r="S3625">
        <v>3.0005799999999998</v>
      </c>
      <c r="T3625">
        <v>-0.32828200000000002</v>
      </c>
      <c r="U3625">
        <v>-0.22653200000000001</v>
      </c>
      <c r="V3625">
        <v>8.3184659999999994E-2</v>
      </c>
      <c r="W3625">
        <v>3.2923769999999998E-2</v>
      </c>
      <c r="X3625">
        <v>0.99599020000000005</v>
      </c>
      <c r="Y3625">
        <v>5.425514E-2</v>
      </c>
      <c r="Z3625">
        <v>-6.8202360000000001E-4</v>
      </c>
      <c r="AA3625">
        <v>0.9985269</v>
      </c>
      <c r="AB3625">
        <v>30</v>
      </c>
      <c r="AC3625">
        <v>0.68470000000001996</v>
      </c>
      <c r="AD3625">
        <v>-9.7750000000000004E-2</v>
      </c>
      <c r="AE3625">
        <v>-6.3299999999998094E-2</v>
      </c>
      <c r="AF3625">
        <v>4.8024966618473199E-2</v>
      </c>
      <c r="AG3625">
        <v>-9.7750000000000004E-2</v>
      </c>
      <c r="AH3625">
        <v>0.67228603873450798</v>
      </c>
      <c r="AI3625">
        <v>98.252062099683499</v>
      </c>
      <c r="AJ3625">
        <v>85.913998661618294</v>
      </c>
      <c r="AK3625">
        <v>0.68105064260746595</v>
      </c>
      <c r="AL3625">
        <v>88.113266099484505</v>
      </c>
      <c r="AM3625">
        <v>85.225762243602702</v>
      </c>
      <c r="AN3625">
        <v>1.00000007039318</v>
      </c>
    </row>
    <row r="3626" spans="1:40" x14ac:dyDescent="0.25">
      <c r="A3626" t="str">
        <f>"20190312154908028"</f>
        <v>20190312154908028</v>
      </c>
      <c r="B3626" t="str">
        <f>"1552376948018956"</f>
        <v>1552376948018956</v>
      </c>
      <c r="C3626" t="s">
        <v>40</v>
      </c>
      <c r="D3626">
        <v>5.1940869999999997</v>
      </c>
      <c r="E3626">
        <v>0.48629650000000002</v>
      </c>
      <c r="F3626" t="s">
        <v>41</v>
      </c>
      <c r="G3626">
        <v>-286.58190000000002</v>
      </c>
      <c r="H3626">
        <v>1.036114</v>
      </c>
      <c r="I3626">
        <v>214.77860000000001</v>
      </c>
      <c r="J3626">
        <v>-287.25920000000002</v>
      </c>
      <c r="K3626">
        <v>1.1097060000000001</v>
      </c>
      <c r="L3626">
        <v>214.8372</v>
      </c>
      <c r="M3626">
        <v>0.99972720000000004</v>
      </c>
      <c r="N3626">
        <v>0</v>
      </c>
      <c r="O3626">
        <v>-2.0710449999999998E-2</v>
      </c>
      <c r="P3626">
        <v>0.99434889999999998</v>
      </c>
      <c r="Q3626">
        <v>2.241576E-2</v>
      </c>
      <c r="R3626">
        <v>-0.10376929999999999</v>
      </c>
      <c r="S3626">
        <v>3.0012509999999999</v>
      </c>
      <c r="T3626">
        <v>-0.22849</v>
      </c>
      <c r="U3626">
        <v>-0.19975280000000001</v>
      </c>
      <c r="V3626">
        <v>8.3142659999999993E-2</v>
      </c>
      <c r="W3626">
        <v>3.3203999999999997E-2</v>
      </c>
      <c r="X3626">
        <v>0.99598430000000004</v>
      </c>
      <c r="Y3626">
        <v>4.565756E-2</v>
      </c>
      <c r="Z3626">
        <v>-1.6112519999999999E-4</v>
      </c>
      <c r="AA3626">
        <v>0.99895719999999999</v>
      </c>
      <c r="AB3626">
        <v>30</v>
      </c>
      <c r="AC3626">
        <v>0.67730000000000201</v>
      </c>
      <c r="AD3626">
        <v>-7.3591999999999796E-2</v>
      </c>
      <c r="AE3626">
        <v>-5.8599999999984199E-2</v>
      </c>
      <c r="AF3626">
        <v>4.4043316576800801E-2</v>
      </c>
      <c r="AG3626">
        <v>-7.3591999999999796E-2</v>
      </c>
      <c r="AH3626">
        <v>0.67051124446758403</v>
      </c>
      <c r="AI3626">
        <v>96.250069661550896</v>
      </c>
      <c r="AJ3626">
        <v>86.241858448240905</v>
      </c>
      <c r="AK3626">
        <v>0.67597405657062903</v>
      </c>
      <c r="AL3626">
        <v>88.097201123292095</v>
      </c>
      <c r="AM3626">
        <v>85.228133489155297</v>
      </c>
      <c r="AN3626">
        <v>0.99999996668718205</v>
      </c>
    </row>
    <row r="3627" spans="1:40" x14ac:dyDescent="0.25">
      <c r="A3627" t="str">
        <f>"20190312154908047"</f>
        <v>20190312154908047</v>
      </c>
      <c r="B3627" t="str">
        <f>"1552376948039452"</f>
        <v>1552376948039452</v>
      </c>
      <c r="C3627" t="s">
        <v>40</v>
      </c>
      <c r="D3627">
        <v>5.1476439999999997</v>
      </c>
      <c r="E3627">
        <v>0.48641400000000001</v>
      </c>
      <c r="F3627" t="s">
        <v>41</v>
      </c>
      <c r="G3627">
        <v>-286.30290000000002</v>
      </c>
      <c r="H3627">
        <v>1.0487770000000001</v>
      </c>
      <c r="I3627">
        <v>214.77549999999999</v>
      </c>
      <c r="J3627">
        <v>-287.02</v>
      </c>
      <c r="K3627">
        <v>1.1096900000000001</v>
      </c>
      <c r="L3627">
        <v>214.8323</v>
      </c>
      <c r="M3627">
        <v>0.9997317</v>
      </c>
      <c r="N3627">
        <v>0</v>
      </c>
      <c r="O3627">
        <v>-2.0578539999999999E-2</v>
      </c>
      <c r="P3627">
        <v>0.99434279999999997</v>
      </c>
      <c r="Q3627">
        <v>2.2215950000000002E-2</v>
      </c>
      <c r="R3627">
        <v>-0.1038723</v>
      </c>
      <c r="S3627">
        <v>3.0012819999999998</v>
      </c>
      <c r="T3627">
        <v>-0.19131590000000001</v>
      </c>
      <c r="U3627">
        <v>-0.1927643</v>
      </c>
      <c r="V3627">
        <v>8.3377290000000007E-2</v>
      </c>
      <c r="W3627">
        <v>3.2852770000000003E-2</v>
      </c>
      <c r="X3627">
        <v>0.99597639999999998</v>
      </c>
      <c r="Y3627">
        <v>4.349799E-2</v>
      </c>
      <c r="Z3627" s="1">
        <v>-7.4669490000000007E-5</v>
      </c>
      <c r="AA3627">
        <v>0.99905350000000004</v>
      </c>
      <c r="AB3627">
        <v>30</v>
      </c>
      <c r="AC3627">
        <v>0.71709999999995899</v>
      </c>
      <c r="AD3627">
        <v>-6.0913000000000002E-2</v>
      </c>
      <c r="AE3627">
        <v>-5.6800000000009697E-2</v>
      </c>
      <c r="AF3627">
        <v>4.1731036515133997E-2</v>
      </c>
      <c r="AG3627">
        <v>-6.0913000000000002E-2</v>
      </c>
      <c r="AH3627">
        <v>0.71300451776170604</v>
      </c>
      <c r="AI3627">
        <v>94.874702287236403</v>
      </c>
      <c r="AJ3627">
        <v>86.650389154385294</v>
      </c>
      <c r="AK3627">
        <v>0.71681749094607805</v>
      </c>
      <c r="AL3627">
        <v>88.117336231280106</v>
      </c>
      <c r="AM3627">
        <v>85.214691867628403</v>
      </c>
      <c r="AN3627">
        <v>1.00000003317068</v>
      </c>
    </row>
    <row r="3628" spans="1:40" x14ac:dyDescent="0.25">
      <c r="A3628" t="str">
        <f>"20190312154908063"</f>
        <v>20190312154908063</v>
      </c>
      <c r="B3628" t="str">
        <f>"1552376948049212"</f>
        <v>1552376948049212</v>
      </c>
      <c r="C3628" t="s">
        <v>40</v>
      </c>
      <c r="D3628">
        <v>5.1467799999999997</v>
      </c>
      <c r="E3628">
        <v>0.48649989999999999</v>
      </c>
      <c r="F3628" t="s">
        <v>41</v>
      </c>
      <c r="G3628">
        <v>-286.0299</v>
      </c>
      <c r="H3628">
        <v>1.0509489999999999</v>
      </c>
      <c r="I3628">
        <v>214.76820000000001</v>
      </c>
      <c r="J3628">
        <v>-286.78480000000002</v>
      </c>
      <c r="K3628">
        <v>1.1096779999999999</v>
      </c>
      <c r="L3628">
        <v>214.82759999999999</v>
      </c>
      <c r="M3628">
        <v>0.9997357</v>
      </c>
      <c r="N3628">
        <v>0</v>
      </c>
      <c r="O3628">
        <v>-2.0448609999999999E-2</v>
      </c>
      <c r="P3628">
        <v>0.9943438</v>
      </c>
      <c r="Q3628">
        <v>2.203248E-2</v>
      </c>
      <c r="R3628">
        <v>-0.10389950000000001</v>
      </c>
      <c r="S3628">
        <v>3.0007320000000002</v>
      </c>
      <c r="T3628">
        <v>-0.17804990000000001</v>
      </c>
      <c r="U3628">
        <v>-0.1943665</v>
      </c>
      <c r="V3628">
        <v>8.3534170000000005E-2</v>
      </c>
      <c r="W3628">
        <v>3.2530589999999998E-2</v>
      </c>
      <c r="X3628">
        <v>0.99597380000000002</v>
      </c>
      <c r="Y3628">
        <v>4.4175510000000001E-2</v>
      </c>
      <c r="Z3628" s="1">
        <v>-9.7269429999999996E-5</v>
      </c>
      <c r="AA3628">
        <v>0.99902380000000002</v>
      </c>
      <c r="AB3628">
        <v>30</v>
      </c>
      <c r="AC3628">
        <v>0.75490000000002</v>
      </c>
      <c r="AD3628">
        <v>-5.8729000000000198E-2</v>
      </c>
      <c r="AE3628">
        <v>-5.93999999999823E-2</v>
      </c>
      <c r="AF3628">
        <v>4.3687285529339197E-2</v>
      </c>
      <c r="AG3628">
        <v>-5.8729000000000198E-2</v>
      </c>
      <c r="AH3628">
        <v>0.75143685371580105</v>
      </c>
      <c r="AI3628">
        <v>94.461398752388703</v>
      </c>
      <c r="AJ3628">
        <v>86.6726644271872</v>
      </c>
      <c r="AK3628">
        <v>0.75499339035532298</v>
      </c>
      <c r="AL3628">
        <v>88.135805601980806</v>
      </c>
      <c r="AM3628">
        <v>85.205717460180395</v>
      </c>
      <c r="AN3628">
        <v>1.0000000035648799</v>
      </c>
    </row>
    <row r="3629" spans="1:40" x14ac:dyDescent="0.25">
      <c r="A3629" t="str">
        <f>"20190312154908087"</f>
        <v>20190312154908087</v>
      </c>
      <c r="B3629" t="str">
        <f>"1552376948079469"</f>
        <v>1552376948079469</v>
      </c>
      <c r="C3629" t="s">
        <v>40</v>
      </c>
      <c r="D3629">
        <v>5.2434750000000001</v>
      </c>
      <c r="E3629">
        <v>0.48685</v>
      </c>
      <c r="F3629" t="s">
        <v>50</v>
      </c>
      <c r="G3629">
        <v>-267.7629</v>
      </c>
      <c r="H3629" s="1">
        <v>2.6391339999999999E-6</v>
      </c>
      <c r="I3629">
        <v>213.5889</v>
      </c>
      <c r="J3629">
        <v>-286.4812</v>
      </c>
      <c r="K3629">
        <v>1.109659</v>
      </c>
      <c r="L3629">
        <v>214.82159999999999</v>
      </c>
      <c r="M3629">
        <v>0.99974079999999999</v>
      </c>
      <c r="N3629">
        <v>0</v>
      </c>
      <c r="O3629">
        <v>-2.028102E-2</v>
      </c>
      <c r="P3629">
        <v>0.99435459999999998</v>
      </c>
      <c r="Q3629">
        <v>2.224083E-2</v>
      </c>
      <c r="R3629">
        <v>-0.1037521</v>
      </c>
      <c r="S3629">
        <v>3.0005190000000002</v>
      </c>
      <c r="T3629">
        <v>-0.17504049999999999</v>
      </c>
      <c r="U3629">
        <v>-0.1953888</v>
      </c>
      <c r="V3629">
        <v>8.3553530000000001E-2</v>
      </c>
      <c r="W3629">
        <v>3.257587E-2</v>
      </c>
      <c r="X3629">
        <v>0.99597069999999999</v>
      </c>
      <c r="Y3629">
        <v>4.4686799999999999E-2</v>
      </c>
      <c r="Z3629">
        <v>-1.202759E-4</v>
      </c>
      <c r="AA3629">
        <v>0.99900100000000003</v>
      </c>
      <c r="AB3629">
        <v>30</v>
      </c>
      <c r="AC3629">
        <v>18.718299999999999</v>
      </c>
      <c r="AD3629">
        <v>-1.1096563608659999</v>
      </c>
      <c r="AE3629">
        <v>-1.2326999999999899</v>
      </c>
      <c r="AF3629">
        <v>0.84982621449488505</v>
      </c>
      <c r="AG3629">
        <v>-1.1096563608659999</v>
      </c>
      <c r="AH3629">
        <v>18.674107502894199</v>
      </c>
      <c r="AI3629">
        <v>93.397134226927705</v>
      </c>
      <c r="AJ3629">
        <v>87.394366304241203</v>
      </c>
      <c r="AK3629">
        <v>18.726340615926599</v>
      </c>
      <c r="AL3629">
        <v>88.133209880658399</v>
      </c>
      <c r="AM3629">
        <v>85.204596655135006</v>
      </c>
      <c r="AN3629">
        <v>1.0000000074701001</v>
      </c>
    </row>
    <row r="3630" spans="1:40" x14ac:dyDescent="0.25">
      <c r="A3630" t="str">
        <f>"20190312154908107"</f>
        <v>20190312154908107</v>
      </c>
      <c r="B3630" t="str">
        <f>"1552376948098988"</f>
        <v>1552376948098988</v>
      </c>
      <c r="C3630" t="s">
        <v>40</v>
      </c>
      <c r="D3630">
        <v>5.1404350000000001</v>
      </c>
      <c r="E3630">
        <v>0.48699759999999997</v>
      </c>
      <c r="F3630" t="s">
        <v>41</v>
      </c>
      <c r="G3630">
        <v>-285.4812</v>
      </c>
      <c r="H3630">
        <v>1.0539689999999999</v>
      </c>
      <c r="I3630">
        <v>214.75559999999999</v>
      </c>
      <c r="J3630">
        <v>-286.19119999999998</v>
      </c>
      <c r="K3630">
        <v>1.1096490000000001</v>
      </c>
      <c r="L3630">
        <v>214.8159</v>
      </c>
      <c r="M3630">
        <v>0.99974540000000001</v>
      </c>
      <c r="N3630">
        <v>0</v>
      </c>
      <c r="O3630">
        <v>-2.0120949999999999E-2</v>
      </c>
      <c r="P3630">
        <v>0.99437050000000005</v>
      </c>
      <c r="Q3630">
        <v>2.231901E-2</v>
      </c>
      <c r="R3630">
        <v>-0.1035831</v>
      </c>
      <c r="S3630">
        <v>3.0001530000000001</v>
      </c>
      <c r="T3630">
        <v>-0.16713499999999901</v>
      </c>
      <c r="U3630">
        <v>-0.19772339999999999</v>
      </c>
      <c r="V3630">
        <v>8.3543660000000006E-2</v>
      </c>
      <c r="W3630">
        <v>3.2515820000000001E-2</v>
      </c>
      <c r="X3630">
        <v>0.99597349999999996</v>
      </c>
      <c r="Y3630">
        <v>4.5630669999999998E-2</v>
      </c>
      <c r="Z3630">
        <v>-1.5000580000000001E-4</v>
      </c>
      <c r="AA3630">
        <v>0.99895829999999997</v>
      </c>
      <c r="AB3630">
        <v>30</v>
      </c>
      <c r="AC3630">
        <v>0.70999999999997898</v>
      </c>
      <c r="AD3630">
        <v>-5.5679999999999702E-2</v>
      </c>
      <c r="AE3630">
        <v>-6.0300000000012198E-2</v>
      </c>
      <c r="AF3630">
        <v>4.5721990939206501E-2</v>
      </c>
      <c r="AG3630">
        <v>-5.5679999999999702E-2</v>
      </c>
      <c r="AH3630">
        <v>0.70675412766304702</v>
      </c>
      <c r="AI3630">
        <v>94.495253844672703</v>
      </c>
      <c r="AJ3630">
        <v>86.298526521111299</v>
      </c>
      <c r="AK3630">
        <v>0.710416891567339</v>
      </c>
      <c r="AL3630">
        <v>88.136652333961493</v>
      </c>
      <c r="AM3630">
        <v>85.205173901637295</v>
      </c>
      <c r="AN3630">
        <v>1.0000000171893499</v>
      </c>
    </row>
    <row r="3631" spans="1:40" x14ac:dyDescent="0.25">
      <c r="A3631" t="str">
        <f>"20190312154908123"</f>
        <v>20190312154908123</v>
      </c>
      <c r="B3631" t="str">
        <f>"1552376948109724"</f>
        <v>1552376948109724</v>
      </c>
      <c r="C3631" t="s">
        <v>40</v>
      </c>
      <c r="D3631">
        <v>5.0576179999999997</v>
      </c>
      <c r="E3631">
        <v>0.48691849999999998</v>
      </c>
      <c r="F3631" t="s">
        <v>50</v>
      </c>
      <c r="G3631">
        <v>-265.87009999999998</v>
      </c>
      <c r="H3631" s="1">
        <v>1.637069E-6</v>
      </c>
      <c r="I3631">
        <v>213.47020000000001</v>
      </c>
      <c r="J3631">
        <v>-285.9658</v>
      </c>
      <c r="K3631">
        <v>1.10964</v>
      </c>
      <c r="L3631">
        <v>214.8115</v>
      </c>
      <c r="M3631">
        <v>0.99974890000000005</v>
      </c>
      <c r="N3631">
        <v>0</v>
      </c>
      <c r="O3631">
        <v>-1.9996860000000002E-2</v>
      </c>
      <c r="P3631">
        <v>0.99436570000000002</v>
      </c>
      <c r="Q3631">
        <v>2.2445489999999998E-2</v>
      </c>
      <c r="R3631">
        <v>-0.1035985</v>
      </c>
      <c r="S3631">
        <v>2.9999389999999999</v>
      </c>
      <c r="T3631">
        <v>-0.16381370000000001</v>
      </c>
      <c r="U3631">
        <v>-0.1986542</v>
      </c>
      <c r="V3631">
        <v>8.3683049999999995E-2</v>
      </c>
      <c r="W3631">
        <v>3.254489E-2</v>
      </c>
      <c r="X3631">
        <v>0.99596079999999998</v>
      </c>
      <c r="Y3631">
        <v>4.6068640000000001E-2</v>
      </c>
      <c r="Z3631">
        <v>-1.6573750000000001E-4</v>
      </c>
      <c r="AA3631">
        <v>0.99893829999999995</v>
      </c>
      <c r="AB3631">
        <v>30</v>
      </c>
      <c r="AC3631">
        <v>20.095700000000001</v>
      </c>
      <c r="AD3631">
        <v>-1.109638362931</v>
      </c>
      <c r="AE3631">
        <v>-1.34129999999998</v>
      </c>
      <c r="AF3631">
        <v>0.93631815459448997</v>
      </c>
      <c r="AG3631">
        <v>-1.109638362931</v>
      </c>
      <c r="AH3631">
        <v>20.057620132875702</v>
      </c>
      <c r="AI3631">
        <v>93.163082310316497</v>
      </c>
      <c r="AJ3631">
        <v>87.327292040300605</v>
      </c>
      <c r="AK3631">
        <v>20.1100998102409</v>
      </c>
      <c r="AL3631">
        <v>88.134985773659807</v>
      </c>
      <c r="AM3631">
        <v>85.197150318440507</v>
      </c>
      <c r="AN3631">
        <v>0.99999996892952603</v>
      </c>
    </row>
    <row r="3632" spans="1:40" x14ac:dyDescent="0.25">
      <c r="A3632" t="str">
        <f>"20190312154908140"</f>
        <v>20190312154908140</v>
      </c>
      <c r="B3632" t="str">
        <f>"1552376948129244"</f>
        <v>1552376948129244</v>
      </c>
      <c r="C3632" t="s">
        <v>40</v>
      </c>
      <c r="D3632">
        <v>5.1120269999999897</v>
      </c>
      <c r="E3632">
        <v>0.48681160000000001</v>
      </c>
      <c r="F3632" t="s">
        <v>50</v>
      </c>
      <c r="G3632">
        <v>-265.18470000000002</v>
      </c>
      <c r="H3632" s="1">
        <v>1.2737669999999999E-6</v>
      </c>
      <c r="I3632">
        <v>213.4375</v>
      </c>
      <c r="J3632">
        <v>-285.73180000000002</v>
      </c>
      <c r="K3632">
        <v>1.1096360000000001</v>
      </c>
      <c r="L3632">
        <v>214.80690000000001</v>
      </c>
      <c r="M3632">
        <v>0.99975239999999999</v>
      </c>
      <c r="N3632">
        <v>0</v>
      </c>
      <c r="O3632">
        <v>-1.9868029999999998E-2</v>
      </c>
      <c r="P3632">
        <v>0.99438110000000002</v>
      </c>
      <c r="Q3632">
        <v>2.234804E-2</v>
      </c>
      <c r="R3632">
        <v>-0.10347530000000001</v>
      </c>
      <c r="S3632">
        <v>2.9999389999999999</v>
      </c>
      <c r="T3632">
        <v>-0.16018640000000001</v>
      </c>
      <c r="U3632">
        <v>-0.198349</v>
      </c>
      <c r="V3632">
        <v>8.3687570000000003E-2</v>
      </c>
      <c r="W3632">
        <v>3.2357120000000003E-2</v>
      </c>
      <c r="X3632">
        <v>0.99596660000000004</v>
      </c>
      <c r="Y3632">
        <v>4.6097680000000002E-2</v>
      </c>
      <c r="Z3632">
        <v>-1.6971130000000001E-4</v>
      </c>
      <c r="AA3632">
        <v>0.99893699999999996</v>
      </c>
      <c r="AB3632">
        <v>30</v>
      </c>
      <c r="AC3632">
        <v>20.5471</v>
      </c>
      <c r="AD3632">
        <v>-1.109634726233</v>
      </c>
      <c r="AE3632">
        <v>-1.3694000000000099</v>
      </c>
      <c r="AF3632">
        <v>0.95809686104899905</v>
      </c>
      <c r="AG3632">
        <v>-1.109634726233</v>
      </c>
      <c r="AH3632">
        <v>20.5106979598877</v>
      </c>
      <c r="AI3632">
        <v>93.093333059635995</v>
      </c>
      <c r="AJ3632">
        <v>87.325540475930296</v>
      </c>
      <c r="AK3632">
        <v>20.5630243306415</v>
      </c>
      <c r="AL3632">
        <v>88.145749985801203</v>
      </c>
      <c r="AM3632">
        <v>85.1969199541617</v>
      </c>
      <c r="AN3632">
        <v>1.0000000304513701</v>
      </c>
    </row>
    <row r="3633" spans="1:40" x14ac:dyDescent="0.25">
      <c r="A3633" t="str">
        <f>"20190312154908158"</f>
        <v>20190312154908158</v>
      </c>
      <c r="B3633" t="str">
        <f>"1552376948149740"</f>
        <v>1552376948149740</v>
      </c>
      <c r="C3633" t="s">
        <v>40</v>
      </c>
      <c r="D3633">
        <v>5.0898849999999998</v>
      </c>
      <c r="E3633">
        <v>0.4867824</v>
      </c>
      <c r="F3633" t="s">
        <v>50</v>
      </c>
      <c r="G3633">
        <v>-264.72430000000003</v>
      </c>
      <c r="H3633" s="1">
        <v>1.0292410000000001E-6</v>
      </c>
      <c r="I3633">
        <v>213.4273</v>
      </c>
      <c r="J3633">
        <v>-285.49759999999998</v>
      </c>
      <c r="K3633">
        <v>1.109637</v>
      </c>
      <c r="L3633">
        <v>214.80240000000001</v>
      </c>
      <c r="M3633">
        <v>0.99975570000000002</v>
      </c>
      <c r="N3633">
        <v>0</v>
      </c>
      <c r="O3633">
        <v>-1.973915E-2</v>
      </c>
      <c r="P3633">
        <v>0.99436500000000005</v>
      </c>
      <c r="Q3633">
        <v>2.277999E-2</v>
      </c>
      <c r="R3633">
        <v>-0.1035331</v>
      </c>
      <c r="S3633">
        <v>3</v>
      </c>
      <c r="T3633">
        <v>-0.15846289999999999</v>
      </c>
      <c r="U3633">
        <v>-0.19702149999999999</v>
      </c>
      <c r="V3633">
        <v>8.3874229999999994E-2</v>
      </c>
      <c r="W3633">
        <v>3.2712650000000003E-2</v>
      </c>
      <c r="X3633">
        <v>0.99593929999999997</v>
      </c>
      <c r="Y3633">
        <v>4.5786060000000003E-2</v>
      </c>
      <c r="Z3633">
        <v>-1.6646329999999999E-4</v>
      </c>
      <c r="AA3633">
        <v>0.99895129999999999</v>
      </c>
      <c r="AB3633">
        <v>31</v>
      </c>
      <c r="AC3633">
        <v>20.7732999999999</v>
      </c>
      <c r="AD3633">
        <v>-1.109635970759</v>
      </c>
      <c r="AE3633">
        <v>-1.3751</v>
      </c>
      <c r="AF3633">
        <v>0.96203148474363598</v>
      </c>
      <c r="AG3633">
        <v>-1.109635970759</v>
      </c>
      <c r="AH3633">
        <v>20.7374843835231</v>
      </c>
      <c r="AI3633">
        <v>93.059617777583298</v>
      </c>
      <c r="AJ3633">
        <v>87.343899002545101</v>
      </c>
      <c r="AK3633">
        <v>20.7894217120656</v>
      </c>
      <c r="AL3633">
        <v>88.1253688583447</v>
      </c>
      <c r="AM3633">
        <v>85.1861259332522</v>
      </c>
      <c r="AN3633">
        <v>1.0000000466062999</v>
      </c>
    </row>
    <row r="3634" spans="1:40" x14ac:dyDescent="0.25">
      <c r="A3634" t="str">
        <f>"20190312154908174"</f>
        <v>20190312154908174</v>
      </c>
      <c r="B3634" t="str">
        <f>"1552376948169260"</f>
        <v>1552376948169260</v>
      </c>
      <c r="C3634" t="s">
        <v>40</v>
      </c>
      <c r="D3634">
        <v>5.065531</v>
      </c>
      <c r="E3634">
        <v>0.48676160000000002</v>
      </c>
      <c r="F3634" t="s">
        <v>50</v>
      </c>
      <c r="G3634">
        <v>-263.97980000000001</v>
      </c>
      <c r="H3634" s="1">
        <v>6.3477959999999995E-7</v>
      </c>
      <c r="I3634">
        <v>213.3869</v>
      </c>
      <c r="J3634">
        <v>-285.27629999999999</v>
      </c>
      <c r="K3634">
        <v>1.109637</v>
      </c>
      <c r="L3634">
        <v>214.79810000000001</v>
      </c>
      <c r="M3634">
        <v>0.9997587</v>
      </c>
      <c r="N3634">
        <v>0</v>
      </c>
      <c r="O3634">
        <v>-1.96174E-2</v>
      </c>
      <c r="P3634">
        <v>0.99440249999999997</v>
      </c>
      <c r="Q3634">
        <v>2.2871229999999999E-2</v>
      </c>
      <c r="R3634">
        <v>-0.10315390000000001</v>
      </c>
      <c r="S3634">
        <v>3</v>
      </c>
      <c r="T3634">
        <v>-0.15470490000000001</v>
      </c>
      <c r="U3634">
        <v>-0.19734189999999999</v>
      </c>
      <c r="V3634">
        <v>8.3615529999999993E-2</v>
      </c>
      <c r="W3634">
        <v>3.2744099999999998E-2</v>
      </c>
      <c r="X3634">
        <v>0.99595999999999996</v>
      </c>
      <c r="Y3634">
        <v>4.6015199999999999E-2</v>
      </c>
      <c r="Z3634">
        <v>-1.746846E-4</v>
      </c>
      <c r="AA3634">
        <v>0.99894070000000001</v>
      </c>
      <c r="AB3634">
        <v>31</v>
      </c>
      <c r="AC3634">
        <v>21.296499999999899</v>
      </c>
      <c r="AD3634">
        <v>-1.1096363652204</v>
      </c>
      <c r="AE3634">
        <v>-1.4112</v>
      </c>
      <c r="AF3634">
        <v>0.99044887449090302</v>
      </c>
      <c r="AG3634">
        <v>-1.1096363652204</v>
      </c>
      <c r="AH3634">
        <v>21.262614411013299</v>
      </c>
      <c r="AI3634">
        <v>92.984166363895994</v>
      </c>
      <c r="AJ3634">
        <v>87.332992678397602</v>
      </c>
      <c r="AK3634">
        <v>21.314573733186101</v>
      </c>
      <c r="AL3634">
        <v>88.123565904015194</v>
      </c>
      <c r="AM3634">
        <v>85.201003573958999</v>
      </c>
      <c r="AN3634">
        <v>1.0000000272709899</v>
      </c>
    </row>
    <row r="3635" spans="1:40" x14ac:dyDescent="0.25">
      <c r="A3635" t="str">
        <f>"20190312154908190"</f>
        <v>20190312154908190</v>
      </c>
      <c r="B3635" t="str">
        <f>"1552376948179996"</f>
        <v>1552376948179996</v>
      </c>
      <c r="C3635" t="s">
        <v>40</v>
      </c>
      <c r="D3635">
        <v>5.0147040000000001</v>
      </c>
      <c r="E3635">
        <v>0.4867611</v>
      </c>
      <c r="F3635" t="s">
        <v>50</v>
      </c>
      <c r="G3635">
        <v>-263.43990000000002</v>
      </c>
      <c r="H3635" s="1">
        <v>3.481305E-7</v>
      </c>
      <c r="I3635">
        <v>213.37299999999999</v>
      </c>
      <c r="J3635">
        <v>-285.05720000000002</v>
      </c>
      <c r="K3635">
        <v>1.109632</v>
      </c>
      <c r="L3635">
        <v>214.79400000000001</v>
      </c>
      <c r="M3635">
        <v>0.99976160000000003</v>
      </c>
      <c r="N3635">
        <v>0</v>
      </c>
      <c r="O3635">
        <v>-1.949677E-2</v>
      </c>
      <c r="P3635">
        <v>0.99439900000000003</v>
      </c>
      <c r="Q3635">
        <v>2.3231390000000001E-2</v>
      </c>
      <c r="R3635">
        <v>-0.10310759999999999</v>
      </c>
      <c r="S3635">
        <v>3.0001220000000002</v>
      </c>
      <c r="T3635">
        <v>-0.15245449999999999</v>
      </c>
      <c r="U3635">
        <v>-0.1958008</v>
      </c>
      <c r="V3635">
        <v>8.36895E-2</v>
      </c>
      <c r="W3635">
        <v>3.3056269999999999E-2</v>
      </c>
      <c r="X3635">
        <v>0.99594340000000003</v>
      </c>
      <c r="Y3635">
        <v>4.5623459999999998E-2</v>
      </c>
      <c r="Z3635">
        <v>-1.6832279999999999E-4</v>
      </c>
      <c r="AA3635">
        <v>0.99895869999999998</v>
      </c>
      <c r="AB3635">
        <v>31</v>
      </c>
      <c r="AC3635">
        <v>21.6173</v>
      </c>
      <c r="AD3635">
        <v>-1.1096316518695</v>
      </c>
      <c r="AE3635">
        <v>-1.42100000000002</v>
      </c>
      <c r="AF3635">
        <v>0.99662732284159905</v>
      </c>
      <c r="AG3635">
        <v>-1.1096316518695</v>
      </c>
      <c r="AH3635">
        <v>21.584270349257999</v>
      </c>
      <c r="AI3635">
        <v>92.939816861184994</v>
      </c>
      <c r="AJ3635">
        <v>87.356315082926997</v>
      </c>
      <c r="AK3635">
        <v>21.635740683723402</v>
      </c>
      <c r="AL3635">
        <v>88.105670051646896</v>
      </c>
      <c r="AM3635">
        <v>85.196698339512096</v>
      </c>
      <c r="AN3635">
        <v>0.99999995270006004</v>
      </c>
    </row>
    <row r="3636" spans="1:40" x14ac:dyDescent="0.25">
      <c r="A3636" t="str">
        <f>"20190312154908204"</f>
        <v>20190312154908204</v>
      </c>
      <c r="B3636" t="str">
        <f>"1552376948199516"</f>
        <v>1552376948199516</v>
      </c>
      <c r="C3636" t="s">
        <v>40</v>
      </c>
      <c r="D3636">
        <v>5.0058119999999997</v>
      </c>
      <c r="E3636">
        <v>0.48677860000000001</v>
      </c>
      <c r="F3636" t="s">
        <v>50</v>
      </c>
      <c r="G3636">
        <v>-262.89569999999998</v>
      </c>
      <c r="H3636" s="1">
        <v>5.9620920000000003E-8</v>
      </c>
      <c r="I3636">
        <v>213.34719999999999</v>
      </c>
      <c r="J3636">
        <v>-284.85939999999999</v>
      </c>
      <c r="K3636">
        <v>1.1096330000000001</v>
      </c>
      <c r="L3636">
        <v>214.7902</v>
      </c>
      <c r="M3636">
        <v>0.99976399999999999</v>
      </c>
      <c r="N3636">
        <v>0</v>
      </c>
      <c r="O3636">
        <v>-1.9387890000000001E-2</v>
      </c>
      <c r="P3636">
        <v>0.99442850000000005</v>
      </c>
      <c r="Q3636">
        <v>2.331722E-2</v>
      </c>
      <c r="R3636">
        <v>-0.10280209999999999</v>
      </c>
      <c r="S3636">
        <v>3.000092</v>
      </c>
      <c r="T3636">
        <v>-0.15021499999999999</v>
      </c>
      <c r="U3636">
        <v>-0.19584660000000001</v>
      </c>
      <c r="V3636">
        <v>8.3492090000000005E-2</v>
      </c>
      <c r="W3636">
        <v>3.3108690000000003E-2</v>
      </c>
      <c r="X3636">
        <v>0.99595829999999996</v>
      </c>
      <c r="Y3636">
        <v>4.5748770000000001E-2</v>
      </c>
      <c r="Z3636">
        <v>-1.744273E-4</v>
      </c>
      <c r="AA3636">
        <v>0.99895299999999998</v>
      </c>
      <c r="AB3636">
        <v>31</v>
      </c>
      <c r="AC3636">
        <v>21.963699999999999</v>
      </c>
      <c r="AD3636">
        <v>-1.1096329403790799</v>
      </c>
      <c r="AE3636">
        <v>-1.4430000000000101</v>
      </c>
      <c r="AF3636">
        <v>1.01430072305209</v>
      </c>
      <c r="AG3636">
        <v>-1.1096329403790799</v>
      </c>
      <c r="AH3636">
        <v>21.931811282977801</v>
      </c>
      <c r="AI3636">
        <v>92.893304526406695</v>
      </c>
      <c r="AJ3636">
        <v>87.352075971361202</v>
      </c>
      <c r="AK3636">
        <v>21.983276311125898</v>
      </c>
      <c r="AL3636">
        <v>88.102665098854402</v>
      </c>
      <c r="AM3636">
        <v>85.208047083413504</v>
      </c>
      <c r="AN3636">
        <v>1.0000000248924801</v>
      </c>
    </row>
    <row r="3637" spans="1:40" x14ac:dyDescent="0.25">
      <c r="A3637" t="str">
        <f>"20190312154908219"</f>
        <v>20190312154908219</v>
      </c>
      <c r="B3637" t="str">
        <f>"1552376948209275"</f>
        <v>1552376948209275</v>
      </c>
      <c r="C3637" t="s">
        <v>40</v>
      </c>
      <c r="D3637">
        <v>4.9858289999999998</v>
      </c>
      <c r="E3637">
        <v>0.48676459999999999</v>
      </c>
      <c r="F3637" t="s">
        <v>50</v>
      </c>
      <c r="G3637">
        <v>-262.34879999999998</v>
      </c>
      <c r="H3637" s="1">
        <v>-2.305156E-7</v>
      </c>
      <c r="I3637">
        <v>213.327</v>
      </c>
      <c r="J3637">
        <v>-284.67129999999997</v>
      </c>
      <c r="K3637">
        <v>1.109637</v>
      </c>
      <c r="L3637">
        <v>214.7867</v>
      </c>
      <c r="M3637">
        <v>0.99976620000000005</v>
      </c>
      <c r="N3637">
        <v>0</v>
      </c>
      <c r="O3637">
        <v>-1.9284450000000002E-2</v>
      </c>
      <c r="P3637">
        <v>0.99443159999999997</v>
      </c>
      <c r="Q3637">
        <v>2.34948E-2</v>
      </c>
      <c r="R3637">
        <v>-0.10273210000000001</v>
      </c>
      <c r="S3637">
        <v>3.0001220000000002</v>
      </c>
      <c r="T3637">
        <v>-0.14788760000000001</v>
      </c>
      <c r="U3637">
        <v>-0.19500729999999999</v>
      </c>
      <c r="V3637">
        <v>8.3525080000000002E-2</v>
      </c>
      <c r="W3637">
        <v>3.3267860000000003E-2</v>
      </c>
      <c r="X3637">
        <v>0.99595020000000001</v>
      </c>
      <c r="Y3637">
        <v>4.5574330000000003E-2</v>
      </c>
      <c r="Z3637">
        <v>-1.725233E-4</v>
      </c>
      <c r="AA3637">
        <v>0.99896090000000004</v>
      </c>
      <c r="AB3637">
        <v>31</v>
      </c>
      <c r="AC3637">
        <v>22.322499999999899</v>
      </c>
      <c r="AD3637">
        <v>-1.1096372305155999</v>
      </c>
      <c r="AE3637">
        <v>-1.45969999999999</v>
      </c>
      <c r="AF3637">
        <v>1.0264053297782501</v>
      </c>
      <c r="AG3637">
        <v>-1.1096372305155999</v>
      </c>
      <c r="AH3637">
        <v>22.291650722791001</v>
      </c>
      <c r="AI3637">
        <v>92.846714892122904</v>
      </c>
      <c r="AJ3637">
        <v>87.363713115402206</v>
      </c>
      <c r="AK3637">
        <v>22.342839896290101</v>
      </c>
      <c r="AL3637">
        <v>88.093540246506905</v>
      </c>
      <c r="AM3637">
        <v>85.206123668347999</v>
      </c>
      <c r="AN3637">
        <v>0.99999999518901195</v>
      </c>
    </row>
    <row r="3638" spans="1:40" x14ac:dyDescent="0.25">
      <c r="A3638" t="str">
        <f>"20190312154908234"</f>
        <v>20190312154908234</v>
      </c>
      <c r="B3638" t="str">
        <f>"1552376948220013"</f>
        <v>1552376948220013</v>
      </c>
      <c r="C3638" t="s">
        <v>40</v>
      </c>
      <c r="D3638">
        <v>4.9612089999999904</v>
      </c>
      <c r="E3638">
        <v>0.48674630000000002</v>
      </c>
      <c r="F3638" t="s">
        <v>50</v>
      </c>
      <c r="G3638">
        <v>-261.89210000000003</v>
      </c>
      <c r="H3638" s="1">
        <v>-4.7273589999999999E-7</v>
      </c>
      <c r="I3638">
        <v>213.3081</v>
      </c>
      <c r="J3638">
        <v>-284.452</v>
      </c>
      <c r="K3638">
        <v>1.10964</v>
      </c>
      <c r="L3638">
        <v>214.7825</v>
      </c>
      <c r="M3638">
        <v>0.99976860000000001</v>
      </c>
      <c r="N3638">
        <v>0</v>
      </c>
      <c r="O3638">
        <v>-1.916387E-2</v>
      </c>
      <c r="P3638">
        <v>0.99443320000000002</v>
      </c>
      <c r="Q3638">
        <v>2.352576E-2</v>
      </c>
      <c r="R3638">
        <v>-0.10270849999999999</v>
      </c>
      <c r="S3638">
        <v>3.0001530000000001</v>
      </c>
      <c r="T3638">
        <v>-0.14614569999999999</v>
      </c>
      <c r="U3638">
        <v>-0.19473270000000001</v>
      </c>
      <c r="V3638">
        <v>8.3621360000000006E-2</v>
      </c>
      <c r="W3638">
        <v>3.3286919999999998E-2</v>
      </c>
      <c r="X3638">
        <v>0.99594150000000004</v>
      </c>
      <c r="Y3638">
        <v>4.5603640000000001E-2</v>
      </c>
      <c r="Z3638">
        <v>-1.770668E-4</v>
      </c>
      <c r="AA3638">
        <v>0.99895959999999995</v>
      </c>
      <c r="AB3638">
        <v>31</v>
      </c>
      <c r="AC3638">
        <v>22.559899999999899</v>
      </c>
      <c r="AD3638">
        <v>-1.1096404727358999</v>
      </c>
      <c r="AE3638">
        <v>-1.4743999999999999</v>
      </c>
      <c r="AF3638">
        <v>1.0392699598409301</v>
      </c>
      <c r="AG3638">
        <v>-1.1096404727358999</v>
      </c>
      <c r="AH3638">
        <v>22.529738736497698</v>
      </c>
      <c r="AI3638">
        <v>92.816677602975005</v>
      </c>
      <c r="AJ3638">
        <v>87.358886321505807</v>
      </c>
      <c r="AK3638">
        <v>22.580976762819802</v>
      </c>
      <c r="AL3638">
        <v>88.092447614248201</v>
      </c>
      <c r="AM3638">
        <v>85.200581799189905</v>
      </c>
      <c r="AN3638">
        <v>1.0000000111567899</v>
      </c>
    </row>
    <row r="3639" spans="1:40" x14ac:dyDescent="0.25">
      <c r="A3639" t="str">
        <f>"20190312154908254"</f>
        <v>20190312154908254</v>
      </c>
      <c r="B3639" t="str">
        <f>"1552376948239532"</f>
        <v>1552376948239532</v>
      </c>
      <c r="C3639" t="s">
        <v>40</v>
      </c>
      <c r="D3639">
        <v>4.8809979999999999</v>
      </c>
      <c r="E3639">
        <v>0.4867437</v>
      </c>
      <c r="F3639" t="s">
        <v>50</v>
      </c>
      <c r="G3639">
        <v>-261.52499999999998</v>
      </c>
      <c r="H3639" s="1">
        <v>-6.6747670000000004E-7</v>
      </c>
      <c r="I3639">
        <v>213.2944</v>
      </c>
      <c r="J3639">
        <v>-284.18680000000001</v>
      </c>
      <c r="K3639">
        <v>1.1096429999999999</v>
      </c>
      <c r="L3639">
        <v>214.77760000000001</v>
      </c>
      <c r="M3639">
        <v>0.99977150000000004</v>
      </c>
      <c r="N3639">
        <v>0</v>
      </c>
      <c r="O3639">
        <v>-1.901833E-2</v>
      </c>
      <c r="P3639">
        <v>0.9944366</v>
      </c>
      <c r="Q3639">
        <v>2.3255430000000001E-2</v>
      </c>
      <c r="R3639">
        <v>-0.1027404</v>
      </c>
      <c r="S3639">
        <v>3.000092</v>
      </c>
      <c r="T3639">
        <v>-0.1452012</v>
      </c>
      <c r="U3639">
        <v>-0.19473270000000001</v>
      </c>
      <c r="V3639">
        <v>8.3798059999999994E-2</v>
      </c>
      <c r="W3639">
        <v>3.3020510000000003E-2</v>
      </c>
      <c r="X3639">
        <v>0.99593549999999997</v>
      </c>
      <c r="Y3639">
        <v>4.5750449999999998E-2</v>
      </c>
      <c r="Z3639">
        <v>-1.8650390000000001E-4</v>
      </c>
      <c r="AA3639">
        <v>0.99895290000000003</v>
      </c>
      <c r="AB3639">
        <v>31</v>
      </c>
      <c r="AC3639">
        <v>22.661799999999999</v>
      </c>
      <c r="AD3639">
        <v>-1.1096436674766901</v>
      </c>
      <c r="AE3639">
        <v>-1.4832000000000101</v>
      </c>
      <c r="AF3639">
        <v>1.0494162401168099</v>
      </c>
      <c r="AG3639">
        <v>-1.1096436674766901</v>
      </c>
      <c r="AH3639">
        <v>22.6318792795484</v>
      </c>
      <c r="AI3639">
        <v>92.8039629480146</v>
      </c>
      <c r="AJ3639">
        <v>87.345157085835794</v>
      </c>
      <c r="AK3639">
        <v>22.683353879835401</v>
      </c>
      <c r="AL3639">
        <v>88.107720147178696</v>
      </c>
      <c r="AM3639">
        <v>85.190458849959498</v>
      </c>
      <c r="AN3639">
        <v>0.99999999455033595</v>
      </c>
    </row>
    <row r="3640" spans="1:40" x14ac:dyDescent="0.25">
      <c r="A3640" t="str">
        <f>"20190312154908275"</f>
        <v>20190312154908275</v>
      </c>
      <c r="B3640" t="str">
        <f>"1552376948269788"</f>
        <v>1552376948269788</v>
      </c>
      <c r="C3640" t="s">
        <v>40</v>
      </c>
      <c r="D3640">
        <v>4.8205470000000004</v>
      </c>
      <c r="E3640">
        <v>0.48676340000000001</v>
      </c>
      <c r="F3640" t="s">
        <v>50</v>
      </c>
      <c r="G3640">
        <v>-261.00819999999999</v>
      </c>
      <c r="H3640" s="1">
        <v>-9.4147669999999998E-7</v>
      </c>
      <c r="I3640">
        <v>213.27080000000001</v>
      </c>
      <c r="J3640">
        <v>-283.88900000000001</v>
      </c>
      <c r="K3640">
        <v>1.1096539999999999</v>
      </c>
      <c r="L3640">
        <v>214.77209999999999</v>
      </c>
      <c r="M3640">
        <v>0.99977419999999995</v>
      </c>
      <c r="N3640">
        <v>0</v>
      </c>
      <c r="O3640">
        <v>-1.8855130000000001E-2</v>
      </c>
      <c r="P3640">
        <v>0.99446699999999999</v>
      </c>
      <c r="Q3640">
        <v>2.2861099999999999E-2</v>
      </c>
      <c r="R3640">
        <v>-0.1025345</v>
      </c>
      <c r="S3640">
        <v>3</v>
      </c>
      <c r="T3640">
        <v>-0.143621</v>
      </c>
      <c r="U3640">
        <v>-0.19502259999999999</v>
      </c>
      <c r="V3640">
        <v>8.3754380000000003E-2</v>
      </c>
      <c r="W3640">
        <v>3.2652599999999997E-2</v>
      </c>
      <c r="X3640">
        <v>0.99595129999999998</v>
      </c>
      <c r="Y3640">
        <v>4.6011789999999997E-2</v>
      </c>
      <c r="Z3640">
        <v>-1.98524E-4</v>
      </c>
      <c r="AA3640">
        <v>0.99894090000000002</v>
      </c>
      <c r="AB3640">
        <v>31</v>
      </c>
      <c r="AC3640">
        <v>22.880800000000001</v>
      </c>
      <c r="AD3640">
        <v>-1.1096549414767001</v>
      </c>
      <c r="AE3640">
        <v>-1.5012999999999801</v>
      </c>
      <c r="AF3640">
        <v>1.0670928856981401</v>
      </c>
      <c r="AG3640">
        <v>-1.1096549414767001</v>
      </c>
      <c r="AH3640">
        <v>22.851524652934302</v>
      </c>
      <c r="AI3640">
        <v>92.777040039246103</v>
      </c>
      <c r="AJ3640">
        <v>87.326413125253794</v>
      </c>
      <c r="AK3640">
        <v>22.9033229091221</v>
      </c>
      <c r="AL3640">
        <v>88.128811203210702</v>
      </c>
      <c r="AM3640">
        <v>85.193029990046497</v>
      </c>
      <c r="AN3640">
        <v>0.99999999021381702</v>
      </c>
    </row>
    <row r="3641" spans="1:40" x14ac:dyDescent="0.25">
      <c r="A3641" t="str">
        <f>"20190312154908297"</f>
        <v>20190312154908297</v>
      </c>
      <c r="B3641" t="str">
        <f>"1552376948289308"</f>
        <v>1552376948289308</v>
      </c>
      <c r="C3641" t="s">
        <v>40</v>
      </c>
      <c r="D3641">
        <v>4.7799120000000004</v>
      </c>
      <c r="E3641">
        <v>0.48676399999999997</v>
      </c>
      <c r="F3641" t="s">
        <v>50</v>
      </c>
      <c r="G3641">
        <v>-260.42809999999997</v>
      </c>
      <c r="H3641" s="1">
        <v>-1.249359E-6</v>
      </c>
      <c r="I3641">
        <v>213.25190000000001</v>
      </c>
      <c r="J3641">
        <v>-283.58890000000002</v>
      </c>
      <c r="K3641">
        <v>1.1096699999999999</v>
      </c>
      <c r="L3641">
        <v>214.76660000000001</v>
      </c>
      <c r="M3641">
        <v>0.99977700000000003</v>
      </c>
      <c r="N3641">
        <v>0</v>
      </c>
      <c r="O3641">
        <v>-1.8690600000000002E-2</v>
      </c>
      <c r="P3641">
        <v>0.99446120000000005</v>
      </c>
      <c r="Q3641">
        <v>2.2863250000000002E-2</v>
      </c>
      <c r="R3641">
        <v>-0.1025891</v>
      </c>
      <c r="S3641">
        <v>2.999908</v>
      </c>
      <c r="T3641">
        <v>-0.141889299999999</v>
      </c>
      <c r="U3641">
        <v>-0.19438169999999999</v>
      </c>
      <c r="V3641">
        <v>8.3973039999999999E-2</v>
      </c>
      <c r="W3641">
        <v>3.2700729999999997E-2</v>
      </c>
      <c r="X3641">
        <v>0.99593129999999996</v>
      </c>
      <c r="Y3641">
        <v>4.5966239999999998E-2</v>
      </c>
      <c r="Z3641">
        <v>-2.0283080000000001E-4</v>
      </c>
      <c r="AA3641">
        <v>0.99894300000000003</v>
      </c>
      <c r="AB3641">
        <v>31</v>
      </c>
      <c r="AC3641">
        <v>23.160799999999998</v>
      </c>
      <c r="AD3641">
        <v>-1.109671249359</v>
      </c>
      <c r="AE3641">
        <v>-1.5146999999999999</v>
      </c>
      <c r="AF3641">
        <v>1.07905876421333</v>
      </c>
      <c r="AG3641">
        <v>-1.109671249359</v>
      </c>
      <c r="AH3641">
        <v>23.132191476153501</v>
      </c>
      <c r="AI3641">
        <v>92.743444074705195</v>
      </c>
      <c r="AJ3641">
        <v>87.329231530694997</v>
      </c>
      <c r="AK3641">
        <v>23.183917283058801</v>
      </c>
      <c r="AL3641">
        <v>88.126052068019305</v>
      </c>
      <c r="AM3641">
        <v>85.180443002357904</v>
      </c>
      <c r="AN3641">
        <v>0.99999998175453197</v>
      </c>
    </row>
    <row r="3642" spans="1:40" x14ac:dyDescent="0.25">
      <c r="A3642" t="str">
        <f>"20190312154908319"</f>
        <v>20190312154908319</v>
      </c>
      <c r="B3642" t="str">
        <f>"1552376948309803"</f>
        <v>1552376948309803</v>
      </c>
      <c r="C3642" t="s">
        <v>40</v>
      </c>
      <c r="D3642">
        <v>4.7315019999999999</v>
      </c>
      <c r="E3642">
        <v>0.48677530000000002</v>
      </c>
      <c r="F3642" t="s">
        <v>50</v>
      </c>
      <c r="G3642">
        <v>-259.73950000000002</v>
      </c>
      <c r="H3642" s="1">
        <v>3.7071500000000002E-6</v>
      </c>
      <c r="I3642">
        <v>213.21950000000001</v>
      </c>
      <c r="J3642">
        <v>-283.28140000000002</v>
      </c>
      <c r="K3642">
        <v>1.1096820000000001</v>
      </c>
      <c r="L3642">
        <v>214.761</v>
      </c>
      <c r="M3642">
        <v>0.99977930000000004</v>
      </c>
      <c r="N3642">
        <v>0</v>
      </c>
      <c r="O3642">
        <v>-1.8521989999999999E-2</v>
      </c>
      <c r="P3642">
        <v>0.99449310000000002</v>
      </c>
      <c r="Q3642">
        <v>2.293048E-2</v>
      </c>
      <c r="R3642">
        <v>-0.1022639</v>
      </c>
      <c r="S3642">
        <v>2.9998779999999998</v>
      </c>
      <c r="T3642">
        <v>-0.13957849999999999</v>
      </c>
      <c r="U3642">
        <v>-0.1945953</v>
      </c>
      <c r="V3642">
        <v>8.3815319999999999E-2</v>
      </c>
      <c r="W3642">
        <v>3.2832750000000001E-2</v>
      </c>
      <c r="X3642">
        <v>0.9959403</v>
      </c>
      <c r="Y3642">
        <v>4.6206730000000001E-2</v>
      </c>
      <c r="Z3642">
        <v>-2.129477E-4</v>
      </c>
      <c r="AA3642">
        <v>0.99893189999999998</v>
      </c>
      <c r="AB3642">
        <v>31</v>
      </c>
      <c r="AC3642">
        <v>23.541899999999998</v>
      </c>
      <c r="AD3642">
        <v>-1.10967829285</v>
      </c>
      <c r="AE3642">
        <v>-1.5414999999999801</v>
      </c>
      <c r="AF3642">
        <v>1.10273164374321</v>
      </c>
      <c r="AG3642">
        <v>-1.10967829285</v>
      </c>
      <c r="AH3642">
        <v>23.514392139055801</v>
      </c>
      <c r="AI3642">
        <v>92.698904722727704</v>
      </c>
      <c r="AJ3642">
        <v>87.315022542135296</v>
      </c>
      <c r="AK3642">
        <v>23.5663752125995</v>
      </c>
      <c r="AL3642">
        <v>88.118483923331596</v>
      </c>
      <c r="AM3642">
        <v>85.189495946491903</v>
      </c>
      <c r="AN3642">
        <v>1.0000000392516699</v>
      </c>
    </row>
    <row r="3643" spans="1:40" x14ac:dyDescent="0.25">
      <c r="A3643" t="str">
        <f>"20190312154908342"</f>
        <v>20190312154908342</v>
      </c>
      <c r="B3643" t="str">
        <f>"1552376948329324"</f>
        <v>1552376948329324</v>
      </c>
      <c r="C3643" t="s">
        <v>40</v>
      </c>
      <c r="D3643">
        <v>4.6809229999999999</v>
      </c>
      <c r="E3643">
        <v>0.48673889999999997</v>
      </c>
      <c r="F3643" t="s">
        <v>50</v>
      </c>
      <c r="G3643">
        <v>-259.012</v>
      </c>
      <c r="H3643" s="1">
        <v>3.321196E-6</v>
      </c>
      <c r="I3643">
        <v>213.19220000000001</v>
      </c>
      <c r="J3643">
        <v>-282.97699999999998</v>
      </c>
      <c r="K3643">
        <v>1.109699</v>
      </c>
      <c r="L3643">
        <v>214.75559999999999</v>
      </c>
      <c r="M3643">
        <v>0.9997817</v>
      </c>
      <c r="N3643">
        <v>0</v>
      </c>
      <c r="O3643">
        <v>-1.8355E-2</v>
      </c>
      <c r="P3643">
        <v>0.99449050000000006</v>
      </c>
      <c r="Q3643">
        <v>2.2759000000000001E-2</v>
      </c>
      <c r="R3643">
        <v>-0.1023271</v>
      </c>
      <c r="S3643">
        <v>2.9998469999999999</v>
      </c>
      <c r="T3643">
        <v>-0.1371629</v>
      </c>
      <c r="U3643">
        <v>-0.19392400000000001</v>
      </c>
      <c r="V3643">
        <v>8.4044960000000002E-2</v>
      </c>
      <c r="W3643">
        <v>3.2740760000000001E-2</v>
      </c>
      <c r="X3643">
        <v>0.99592389999999997</v>
      </c>
      <c r="Y3643">
        <v>4.6152480000000003E-2</v>
      </c>
      <c r="Z3643">
        <v>-2.1565110000000001E-4</v>
      </c>
      <c r="AA3643">
        <v>0.9989344</v>
      </c>
      <c r="AB3643">
        <v>31</v>
      </c>
      <c r="AC3643">
        <v>23.965</v>
      </c>
      <c r="AD3643">
        <v>-1.109695678804</v>
      </c>
      <c r="AE3643">
        <v>-1.5633999999999699</v>
      </c>
      <c r="AF3643">
        <v>1.12084403853862</v>
      </c>
      <c r="AG3643">
        <v>-1.109695678804</v>
      </c>
      <c r="AH3643">
        <v>23.938549857420899</v>
      </c>
      <c r="AI3643">
        <v>92.651203413529004</v>
      </c>
      <c r="AJ3643">
        <v>87.319270970070093</v>
      </c>
      <c r="AK3643">
        <v>23.9904540418582</v>
      </c>
      <c r="AL3643">
        <v>88.123757255125099</v>
      </c>
      <c r="AM3643">
        <v>85.176299015232701</v>
      </c>
      <c r="AN3643">
        <v>0.99999996362899302</v>
      </c>
    </row>
    <row r="3644" spans="1:40" x14ac:dyDescent="0.25">
      <c r="A3644" t="str">
        <f>"20190312154908364"</f>
        <v>20190312154908364</v>
      </c>
      <c r="B3644" t="str">
        <f>"1552376948359582"</f>
        <v>1552376948359582</v>
      </c>
      <c r="C3644" t="s">
        <v>40</v>
      </c>
      <c r="D3644">
        <v>4.5987790000000004</v>
      </c>
      <c r="E3644">
        <v>0.48672209999999999</v>
      </c>
      <c r="F3644" t="s">
        <v>50</v>
      </c>
      <c r="G3644">
        <v>-258.3929</v>
      </c>
      <c r="H3644" s="1">
        <v>2.9928430000000001E-6</v>
      </c>
      <c r="I3644">
        <v>213.16720000000001</v>
      </c>
      <c r="J3644">
        <v>-282.66489999999999</v>
      </c>
      <c r="K3644">
        <v>1.1097090000000001</v>
      </c>
      <c r="L3644">
        <v>214.75</v>
      </c>
      <c r="M3644">
        <v>0.99978370000000005</v>
      </c>
      <c r="N3644">
        <v>0</v>
      </c>
      <c r="O3644">
        <v>-1.8183580000000001E-2</v>
      </c>
      <c r="P3644">
        <v>0.99446520000000005</v>
      </c>
      <c r="Q3644">
        <v>2.279861E-2</v>
      </c>
      <c r="R3644">
        <v>-0.10256319999999999</v>
      </c>
      <c r="S3644">
        <v>2.9997560000000001</v>
      </c>
      <c r="T3644">
        <v>-0.13540539999999901</v>
      </c>
      <c r="U3644">
        <v>-0.19381709999999999</v>
      </c>
      <c r="V3644">
        <v>8.4452260000000001E-2</v>
      </c>
      <c r="W3644">
        <v>3.2880399999999997E-2</v>
      </c>
      <c r="X3644">
        <v>0.99588489999999996</v>
      </c>
      <c r="Y3644">
        <v>4.6290709999999999E-2</v>
      </c>
      <c r="Z3644">
        <v>-2.237338E-4</v>
      </c>
      <c r="AA3644">
        <v>0.99892800000000004</v>
      </c>
      <c r="AB3644">
        <v>31</v>
      </c>
      <c r="AC3644">
        <v>24.271999999999899</v>
      </c>
      <c r="AD3644">
        <v>-1.109706007157</v>
      </c>
      <c r="AE3644">
        <v>-1.58279999999999</v>
      </c>
      <c r="AF3644">
        <v>1.13879361708879</v>
      </c>
      <c r="AG3644">
        <v>-1.109706007157</v>
      </c>
      <c r="AH3644">
        <v>24.2463020339911</v>
      </c>
      <c r="AI3644">
        <v>92.617605934868195</v>
      </c>
      <c r="AJ3644">
        <v>87.310923828952298</v>
      </c>
      <c r="AK3644">
        <v>24.298383910214401</v>
      </c>
      <c r="AL3644">
        <v>88.115752267423503</v>
      </c>
      <c r="AM3644">
        <v>85.152844514259101</v>
      </c>
      <c r="AN3644">
        <v>1.00000001948563</v>
      </c>
    </row>
    <row r="3645" spans="1:40" x14ac:dyDescent="0.25">
      <c r="A3645" t="str">
        <f>"20190312154908386"</f>
        <v>20190312154908386</v>
      </c>
      <c r="B3645" t="str">
        <f>"1552376948379104"</f>
        <v>1552376948379104</v>
      </c>
      <c r="C3645" t="s">
        <v>40</v>
      </c>
      <c r="D3645">
        <v>4.5792359999999999</v>
      </c>
      <c r="E3645">
        <v>0.48671140000000002</v>
      </c>
      <c r="F3645" t="s">
        <v>50</v>
      </c>
      <c r="G3645">
        <v>-257.3954</v>
      </c>
      <c r="H3645" s="1">
        <v>2.4645240000000001E-6</v>
      </c>
      <c r="I3645">
        <v>213.1103</v>
      </c>
      <c r="J3645">
        <v>-282.35789999999997</v>
      </c>
      <c r="K3645">
        <v>1.1097239999999999</v>
      </c>
      <c r="L3645">
        <v>214.74459999999999</v>
      </c>
      <c r="M3645">
        <v>0.99978579999999995</v>
      </c>
      <c r="N3645">
        <v>0</v>
      </c>
      <c r="O3645">
        <v>-1.8014369999999998E-2</v>
      </c>
      <c r="P3645">
        <v>0.99446029999999996</v>
      </c>
      <c r="Q3645">
        <v>2.2660300000000001E-2</v>
      </c>
      <c r="R3645">
        <v>-0.1026425</v>
      </c>
      <c r="S3645">
        <v>2.9996339999999999</v>
      </c>
      <c r="T3645">
        <v>-0.13172879999999901</v>
      </c>
      <c r="U3645">
        <v>-0.19464110000000001</v>
      </c>
      <c r="V3645">
        <v>8.4700029999999996E-2</v>
      </c>
      <c r="W3645">
        <v>3.2854189999999998E-2</v>
      </c>
      <c r="X3645">
        <v>0.99586470000000005</v>
      </c>
      <c r="Y3645">
        <v>4.6736550000000002E-2</v>
      </c>
      <c r="Z3645">
        <v>-2.3486310000000001E-4</v>
      </c>
      <c r="AA3645">
        <v>0.9989072</v>
      </c>
      <c r="AB3645">
        <v>31</v>
      </c>
      <c r="AC3645">
        <v>24.962499999999899</v>
      </c>
      <c r="AD3645">
        <v>-1.1097215354759999</v>
      </c>
      <c r="AE3645">
        <v>-1.6342999999999901</v>
      </c>
      <c r="AF3645">
        <v>1.1820016972095799</v>
      </c>
      <c r="AG3645">
        <v>-1.1097215354759999</v>
      </c>
      <c r="AH3645">
        <v>24.938815169936198</v>
      </c>
      <c r="AI3645">
        <v>92.545000228140395</v>
      </c>
      <c r="AJ3645">
        <v>87.286436216451406</v>
      </c>
      <c r="AK3645">
        <v>24.9914607812097</v>
      </c>
      <c r="AL3645">
        <v>88.117254758820295</v>
      </c>
      <c r="AM3645">
        <v>85.138593620162197</v>
      </c>
      <c r="AN3645">
        <v>0.99999999679432305</v>
      </c>
    </row>
    <row r="3646" spans="1:40" x14ac:dyDescent="0.25">
      <c r="A3646" t="str">
        <f>"20190312154908408"</f>
        <v>20190312154908408</v>
      </c>
      <c r="B3646" t="str">
        <f>"1552376948399600"</f>
        <v>1552376948399600</v>
      </c>
      <c r="C3646" t="s">
        <v>40</v>
      </c>
      <c r="D3646">
        <v>4.5759210000000001</v>
      </c>
      <c r="E3646">
        <v>0.48667379999999999</v>
      </c>
      <c r="F3646" t="s">
        <v>50</v>
      </c>
      <c r="G3646">
        <v>-256.71870000000001</v>
      </c>
      <c r="H3646" s="1">
        <v>2.105721E-6</v>
      </c>
      <c r="I3646">
        <v>213.0796</v>
      </c>
      <c r="J3646">
        <v>-282.0575</v>
      </c>
      <c r="K3646">
        <v>1.1097399999999999</v>
      </c>
      <c r="L3646">
        <v>214.73939999999999</v>
      </c>
      <c r="M3646">
        <v>0.99978750000000005</v>
      </c>
      <c r="N3646">
        <v>0</v>
      </c>
      <c r="O3646">
        <v>-1.7849130000000001E-2</v>
      </c>
      <c r="P3646">
        <v>0.99454529999999997</v>
      </c>
      <c r="Q3646">
        <v>2.2199469999999999E-2</v>
      </c>
      <c r="R3646">
        <v>-0.1019186</v>
      </c>
      <c r="S3646">
        <v>2.9995729999999998</v>
      </c>
      <c r="T3646">
        <v>-0.129828</v>
      </c>
      <c r="U3646">
        <v>-0.19479369999999999</v>
      </c>
      <c r="V3646">
        <v>8.4139179999999994E-2</v>
      </c>
      <c r="W3646">
        <v>3.2514389999999997E-2</v>
      </c>
      <c r="X3646">
        <v>0.99592340000000001</v>
      </c>
      <c r="Y3646">
        <v>4.6953969999999998E-2</v>
      </c>
      <c r="Z3646">
        <v>-2.4331710000000001E-4</v>
      </c>
      <c r="AA3646">
        <v>0.99889700000000003</v>
      </c>
      <c r="AB3646">
        <v>31</v>
      </c>
      <c r="AC3646">
        <v>25.3387999999999</v>
      </c>
      <c r="AD3646">
        <v>-1.1097378942789999</v>
      </c>
      <c r="AE3646">
        <v>-1.65979999999999</v>
      </c>
      <c r="AF3646">
        <v>1.20493466438456</v>
      </c>
      <c r="AG3646">
        <v>-1.1097378942789999</v>
      </c>
      <c r="AH3646">
        <v>25.316039497283999</v>
      </c>
      <c r="AI3646">
        <v>92.507140158792296</v>
      </c>
      <c r="AJ3646">
        <v>87.275023603352096</v>
      </c>
      <c r="AK3646">
        <v>25.368981878811699</v>
      </c>
      <c r="AL3646">
        <v>88.136734283669199</v>
      </c>
      <c r="AM3646">
        <v>85.170914471208405</v>
      </c>
      <c r="AN3646">
        <v>1.00000000291785</v>
      </c>
    </row>
    <row r="3647" spans="1:40" x14ac:dyDescent="0.25">
      <c r="A3647" t="str">
        <f>"20190312154908431"</f>
        <v>20190312154908431</v>
      </c>
      <c r="B3647" t="str">
        <f>"1552376948419116"</f>
        <v>1552376948419116</v>
      </c>
      <c r="C3647" t="s">
        <v>40</v>
      </c>
      <c r="D3647">
        <v>4.5309670000000004</v>
      </c>
      <c r="E3647">
        <v>0.48668919999999999</v>
      </c>
      <c r="F3647" t="s">
        <v>50</v>
      </c>
      <c r="G3647">
        <v>-256.24450000000002</v>
      </c>
      <c r="H3647" s="1">
        <v>1.853226E-6</v>
      </c>
      <c r="I3647">
        <v>213.08369999999999</v>
      </c>
      <c r="J3647">
        <v>-281.73849999999999</v>
      </c>
      <c r="K3647">
        <v>1.109756</v>
      </c>
      <c r="L3647">
        <v>214.73390000000001</v>
      </c>
      <c r="M3647">
        <v>0.99978920000000004</v>
      </c>
      <c r="N3647">
        <v>0</v>
      </c>
      <c r="O3647">
        <v>-1.7672750000000001E-2</v>
      </c>
      <c r="P3647">
        <v>0.99453970000000003</v>
      </c>
      <c r="Q3647">
        <v>2.201525E-2</v>
      </c>
      <c r="R3647">
        <v>-0.1020128</v>
      </c>
      <c r="S3647">
        <v>2.9995729999999998</v>
      </c>
      <c r="T3647">
        <v>-0.12895609999999999</v>
      </c>
      <c r="U3647">
        <v>-0.19239809999999999</v>
      </c>
      <c r="V3647">
        <v>8.4409330000000005E-2</v>
      </c>
      <c r="W3647">
        <v>3.2460540000000003E-2</v>
      </c>
      <c r="X3647">
        <v>0.99590230000000002</v>
      </c>
      <c r="Y3647">
        <v>4.6336460000000003E-2</v>
      </c>
      <c r="Z3647">
        <v>-2.3600309999999999E-4</v>
      </c>
      <c r="AA3647">
        <v>0.99892590000000003</v>
      </c>
      <c r="AB3647">
        <v>31</v>
      </c>
      <c r="AC3647">
        <v>25.4939999999999</v>
      </c>
      <c r="AD3647">
        <v>-1.109754146774</v>
      </c>
      <c r="AE3647">
        <v>-1.6502000000000101</v>
      </c>
      <c r="AF3647">
        <v>1.1971096610954499</v>
      </c>
      <c r="AG3647">
        <v>-1.109754146774</v>
      </c>
      <c r="AH3647">
        <v>25.471120315639201</v>
      </c>
      <c r="AI3647">
        <v>92.492001313209002</v>
      </c>
      <c r="AJ3647">
        <v>87.309152666049698</v>
      </c>
      <c r="AK3647">
        <v>25.523373521945299</v>
      </c>
      <c r="AL3647">
        <v>88.139821297359404</v>
      </c>
      <c r="AM3647">
        <v>85.155381001912104</v>
      </c>
      <c r="AN3647">
        <v>1.0000000063967101</v>
      </c>
    </row>
    <row r="3648" spans="1:40" x14ac:dyDescent="0.25">
      <c r="A3648" t="str">
        <f>"20190312154908453"</f>
        <v>20190312154908453</v>
      </c>
      <c r="B3648" t="str">
        <f>"1552376948439613"</f>
        <v>1552376948439613</v>
      </c>
      <c r="C3648" t="s">
        <v>40</v>
      </c>
      <c r="D3648">
        <v>4.5227740000000001</v>
      </c>
      <c r="E3648">
        <v>0.4866934</v>
      </c>
      <c r="F3648" t="s">
        <v>50</v>
      </c>
      <c r="G3648">
        <v>-255.54599999999999</v>
      </c>
      <c r="H3648" s="1">
        <v>1.4829560000000001E-6</v>
      </c>
      <c r="I3648">
        <v>213.05009999999999</v>
      </c>
      <c r="J3648">
        <v>-281.4357</v>
      </c>
      <c r="K3648">
        <v>1.1097669999999999</v>
      </c>
      <c r="L3648">
        <v>214.7287</v>
      </c>
      <c r="M3648">
        <v>0.99979099999999999</v>
      </c>
      <c r="N3648">
        <v>0</v>
      </c>
      <c r="O3648">
        <v>-1.7505300000000001E-2</v>
      </c>
      <c r="P3648">
        <v>0.99455930000000003</v>
      </c>
      <c r="Q3648">
        <v>2.172553E-2</v>
      </c>
      <c r="R3648">
        <v>-0.10188460000000001</v>
      </c>
      <c r="S3648">
        <v>2.9994809999999998</v>
      </c>
      <c r="T3648">
        <v>-0.12708519999999901</v>
      </c>
      <c r="U3648">
        <v>-0.19282530000000001</v>
      </c>
      <c r="V3648">
        <v>8.4447590000000003E-2</v>
      </c>
      <c r="W3648">
        <v>3.2298019999999997E-2</v>
      </c>
      <c r="X3648">
        <v>0.99590429999999996</v>
      </c>
      <c r="Y3648">
        <v>4.6647719999999997E-2</v>
      </c>
      <c r="Z3648">
        <v>-2.4625340000000002E-4</v>
      </c>
      <c r="AA3648">
        <v>0.9989114</v>
      </c>
      <c r="AB3648">
        <v>31</v>
      </c>
      <c r="AC3648">
        <v>25.889700000000001</v>
      </c>
      <c r="AD3648">
        <v>-1.1097655170439999</v>
      </c>
      <c r="AE3648">
        <v>-1.6786000000000101</v>
      </c>
      <c r="AF3648">
        <v>1.2228729966318601</v>
      </c>
      <c r="AG3648">
        <v>-1.1097655170439999</v>
      </c>
      <c r="AH3648">
        <v>25.867787508602401</v>
      </c>
      <c r="AI3648">
        <v>92.453828404288899</v>
      </c>
      <c r="AJ3648">
        <v>87.293416119012704</v>
      </c>
      <c r="AK3648">
        <v>25.920444218009099</v>
      </c>
      <c r="AL3648">
        <v>88.149137818012605</v>
      </c>
      <c r="AM3648">
        <v>85.153205239519906</v>
      </c>
      <c r="AN3648">
        <v>0.99999996615560804</v>
      </c>
    </row>
    <row r="3649" spans="1:40" x14ac:dyDescent="0.25">
      <c r="A3649" t="str">
        <f>"20190312154908477"</f>
        <v>20190312154908477</v>
      </c>
      <c r="B3649" t="str">
        <f>"1552376948469868"</f>
        <v>1552376948469868</v>
      </c>
      <c r="C3649" t="s">
        <v>40</v>
      </c>
      <c r="D3649">
        <v>4.4918690000000003</v>
      </c>
      <c r="E3649">
        <v>0.48811719999999997</v>
      </c>
      <c r="F3649" t="s">
        <v>50</v>
      </c>
      <c r="G3649">
        <v>-254.9873</v>
      </c>
      <c r="H3649" s="1">
        <v>1.1865270000000001E-6</v>
      </c>
      <c r="I3649">
        <v>213.03020000000001</v>
      </c>
      <c r="J3649">
        <v>-281.10599999999999</v>
      </c>
      <c r="K3649">
        <v>1.1097760000000001</v>
      </c>
      <c r="L3649">
        <v>214.72309999999999</v>
      </c>
      <c r="M3649">
        <v>0.99979249999999997</v>
      </c>
      <c r="N3649">
        <v>0</v>
      </c>
      <c r="O3649">
        <v>-1.7322420000000002E-2</v>
      </c>
      <c r="P3649">
        <v>0.99458360000000001</v>
      </c>
      <c r="Q3649">
        <v>2.1666580000000001E-2</v>
      </c>
      <c r="R3649">
        <v>-0.1016567</v>
      </c>
      <c r="S3649">
        <v>2.9994510000000001</v>
      </c>
      <c r="T3649">
        <v>-0.12585569999999999</v>
      </c>
      <c r="U3649">
        <v>-0.19262699999999999</v>
      </c>
      <c r="V3649">
        <v>8.4401589999999999E-2</v>
      </c>
      <c r="W3649">
        <v>3.23757E-2</v>
      </c>
      <c r="X3649">
        <v>0.9959057</v>
      </c>
      <c r="Y3649">
        <v>4.6765519999999998E-2</v>
      </c>
      <c r="Z3649">
        <v>-2.5400260000000001E-4</v>
      </c>
      <c r="AA3649">
        <v>0.99890579999999995</v>
      </c>
      <c r="AB3649">
        <v>31</v>
      </c>
      <c r="AC3649">
        <v>26.118699999999901</v>
      </c>
      <c r="AD3649">
        <v>-1.1097748134729899</v>
      </c>
      <c r="AE3649">
        <v>-1.6928999999999801</v>
      </c>
      <c r="AF3649">
        <v>1.23795525734203</v>
      </c>
      <c r="AG3649">
        <v>-1.1097748134729899</v>
      </c>
      <c r="AH3649">
        <v>26.097189375530998</v>
      </c>
      <c r="AI3649">
        <v>92.432286272495503</v>
      </c>
      <c r="AJ3649">
        <v>87.284133549049898</v>
      </c>
      <c r="AK3649">
        <v>26.150094199794601</v>
      </c>
      <c r="AL3649">
        <v>88.144684794937206</v>
      </c>
      <c r="AM3649">
        <v>85.1558395793936</v>
      </c>
      <c r="AN3649">
        <v>0.99999998881875396</v>
      </c>
    </row>
    <row r="3650" spans="1:40" x14ac:dyDescent="0.25">
      <c r="A3650" t="str">
        <f>"20190312154908497"</f>
        <v>20190312154908497</v>
      </c>
      <c r="B3650" t="str">
        <f>"1552376948489757"</f>
        <v>1552376948489757</v>
      </c>
      <c r="C3650" t="s">
        <v>40</v>
      </c>
      <c r="D3650">
        <v>4.4445399999999999</v>
      </c>
      <c r="E3650">
        <v>0.48791760000000001</v>
      </c>
      <c r="F3650" t="s">
        <v>49</v>
      </c>
      <c r="G3650">
        <v>-194.47800000000001</v>
      </c>
      <c r="H3650" s="1">
        <v>3.8375220000000003E-6</v>
      </c>
      <c r="I3650">
        <v>208.7473</v>
      </c>
      <c r="J3650">
        <v>-280.81830000000002</v>
      </c>
      <c r="K3650">
        <v>1.109791</v>
      </c>
      <c r="L3650">
        <v>214.7183</v>
      </c>
      <c r="M3650">
        <v>0.99979410000000002</v>
      </c>
      <c r="N3650">
        <v>0</v>
      </c>
      <c r="O3650">
        <v>-1.7162799999999999E-2</v>
      </c>
      <c r="P3650">
        <v>0.99462099999999998</v>
      </c>
      <c r="Q3650">
        <v>2.1007040000000001E-2</v>
      </c>
      <c r="R3650">
        <v>-0.1014299</v>
      </c>
      <c r="S3650">
        <v>2.9960939999999998</v>
      </c>
      <c r="T3650">
        <v>-3.8382289999999999E-2</v>
      </c>
      <c r="U3650">
        <v>-0.20668030000000001</v>
      </c>
      <c r="V3650">
        <v>8.4333480000000002E-2</v>
      </c>
      <c r="W3650">
        <v>3.1830959999999998E-2</v>
      </c>
      <c r="X3650">
        <v>0.99592910000000001</v>
      </c>
      <c r="Y3650">
        <v>5.1683640000000003E-2</v>
      </c>
      <c r="Z3650">
        <v>-1.1107620000000001E-4</v>
      </c>
      <c r="AA3650">
        <v>0.99866350000000004</v>
      </c>
      <c r="AB3650">
        <v>31</v>
      </c>
      <c r="AC3650">
        <v>86.340299999999999</v>
      </c>
      <c r="AD3650">
        <v>-1.109787162478</v>
      </c>
      <c r="AE3650">
        <v>-5.9710000000000001</v>
      </c>
      <c r="AF3650">
        <v>4.4874544062193999</v>
      </c>
      <c r="AG3650">
        <v>-1.109787162478</v>
      </c>
      <c r="AH3650">
        <v>86.415857053929898</v>
      </c>
      <c r="AI3650">
        <v>90.734785049417297</v>
      </c>
      <c r="AJ3650">
        <v>87.027380478855207</v>
      </c>
      <c r="AK3650">
        <v>86.539408508257907</v>
      </c>
      <c r="AL3650">
        <v>88.175912322747195</v>
      </c>
      <c r="AM3650">
        <v>85.159843302722507</v>
      </c>
      <c r="AN3650">
        <v>1.0000000590451099</v>
      </c>
    </row>
    <row r="3651" spans="1:40" x14ac:dyDescent="0.25">
      <c r="A3651" t="str">
        <f>"20190312154908520"</f>
        <v>20190312154908520</v>
      </c>
      <c r="B3651" t="str">
        <f>"1552376948509255"</f>
        <v>1552376948509255</v>
      </c>
      <c r="C3651" t="s">
        <v>40</v>
      </c>
      <c r="D3651">
        <v>4.4566600000000003</v>
      </c>
      <c r="E3651">
        <v>0.48664600000000002</v>
      </c>
      <c r="F3651" t="s">
        <v>49</v>
      </c>
      <c r="G3651">
        <v>-203.23939999999999</v>
      </c>
      <c r="H3651">
        <v>8.0001260000000005E-2</v>
      </c>
      <c r="I3651">
        <v>209.42619999999999</v>
      </c>
      <c r="J3651">
        <v>-280.5034</v>
      </c>
      <c r="K3651">
        <v>1.1097999999999999</v>
      </c>
      <c r="L3651">
        <v>214.7131</v>
      </c>
      <c r="M3651">
        <v>0.99979569999999995</v>
      </c>
      <c r="N3651">
        <v>0</v>
      </c>
      <c r="O3651">
        <v>-1.6988179999999999E-2</v>
      </c>
      <c r="P3651">
        <v>0.99463089999999998</v>
      </c>
      <c r="Q3651">
        <v>2.0926239999999999E-2</v>
      </c>
      <c r="R3651">
        <v>-0.1013498</v>
      </c>
      <c r="S3651">
        <v>2.996216</v>
      </c>
      <c r="T3651">
        <v>-3.977203E-2</v>
      </c>
      <c r="U3651">
        <v>-0.2043915</v>
      </c>
      <c r="V3651">
        <v>8.4427089999999996E-2</v>
      </c>
      <c r="W3651">
        <v>3.1868609999999999E-2</v>
      </c>
      <c r="X3651">
        <v>0.99591989999999997</v>
      </c>
      <c r="Y3651">
        <v>5.1095750000000002E-2</v>
      </c>
      <c r="Z3651">
        <v>-1.135125E-4</v>
      </c>
      <c r="AA3651">
        <v>0.99869379999999996</v>
      </c>
      <c r="AB3651">
        <v>31</v>
      </c>
      <c r="AC3651">
        <v>77.263999999999996</v>
      </c>
      <c r="AD3651">
        <v>-1.0297987399999999</v>
      </c>
      <c r="AE3651">
        <v>-5.2869000000000002</v>
      </c>
      <c r="AF3651">
        <v>3.9727810321259098</v>
      </c>
      <c r="AG3651">
        <v>-1.0297987399999999</v>
      </c>
      <c r="AH3651">
        <v>77.328995919970794</v>
      </c>
      <c r="AI3651">
        <v>90.761964312491799</v>
      </c>
      <c r="AJ3651">
        <v>87.059012120842198</v>
      </c>
      <c r="AK3651">
        <v>77.437827220067206</v>
      </c>
      <c r="AL3651">
        <v>88.173753923934697</v>
      </c>
      <c r="AM3651">
        <v>85.154451755986798</v>
      </c>
      <c r="AN3651">
        <v>0.99999999452260502</v>
      </c>
    </row>
    <row r="3652" spans="1:40" x14ac:dyDescent="0.25">
      <c r="A3652" t="str">
        <f>"20190312154908542"</f>
        <v>20190312154908542</v>
      </c>
      <c r="B3652" t="str">
        <f>"1552376948529751"</f>
        <v>1552376948529751</v>
      </c>
      <c r="C3652" t="s">
        <v>40</v>
      </c>
      <c r="D3652">
        <v>4.4750949999999996</v>
      </c>
      <c r="E3652">
        <v>0.4866626</v>
      </c>
      <c r="F3652" t="s">
        <v>50</v>
      </c>
      <c r="G3652">
        <v>-237.1199</v>
      </c>
      <c r="H3652" s="1">
        <v>2.36981E-6</v>
      </c>
      <c r="I3652">
        <v>211.92320000000001</v>
      </c>
      <c r="J3652">
        <v>-280.20310000000001</v>
      </c>
      <c r="K3652">
        <v>1.109802</v>
      </c>
      <c r="L3652">
        <v>214.70820000000001</v>
      </c>
      <c r="M3652">
        <v>0.99979750000000001</v>
      </c>
      <c r="N3652">
        <v>0</v>
      </c>
      <c r="O3652">
        <v>-1.6821920000000001E-2</v>
      </c>
      <c r="P3652">
        <v>0.99465130000000002</v>
      </c>
      <c r="Q3652">
        <v>2.1169799999999999E-2</v>
      </c>
      <c r="R3652">
        <v>-0.1010984</v>
      </c>
      <c r="S3652">
        <v>2.9981689999999999</v>
      </c>
      <c r="T3652">
        <v>-7.6696520000000004E-2</v>
      </c>
      <c r="U3652">
        <v>-0.19281010000000001</v>
      </c>
      <c r="V3652">
        <v>8.4340970000000001E-2</v>
      </c>
      <c r="W3652">
        <v>3.2206039999999998E-2</v>
      </c>
      <c r="X3652">
        <v>0.99591640000000003</v>
      </c>
      <c r="Y3652">
        <v>4.7369410000000001E-2</v>
      </c>
      <c r="Z3652">
        <v>-1.7539509999999999E-4</v>
      </c>
      <c r="AA3652">
        <v>0.99887740000000003</v>
      </c>
      <c r="AB3652">
        <v>31</v>
      </c>
      <c r="AC3652">
        <v>43.083199999999998</v>
      </c>
      <c r="AD3652">
        <v>-1.1097996301899999</v>
      </c>
      <c r="AE3652">
        <v>-2.7849999999999899</v>
      </c>
      <c r="AF3652">
        <v>2.0584593224446999</v>
      </c>
      <c r="AG3652">
        <v>-1.1097996301899999</v>
      </c>
      <c r="AH3652">
        <v>43.095477969965202</v>
      </c>
      <c r="AI3652">
        <v>91.473482188744299</v>
      </c>
      <c r="AJ3652">
        <v>87.265340464695797</v>
      </c>
      <c r="AK3652">
        <v>43.158882416729497</v>
      </c>
      <c r="AL3652">
        <v>88.154410785585398</v>
      </c>
      <c r="AM3652">
        <v>85.159354036994998</v>
      </c>
      <c r="AN3652">
        <v>1.00000005201099</v>
      </c>
    </row>
    <row r="3653" spans="1:40" x14ac:dyDescent="0.25">
      <c r="A3653" t="str">
        <f>"20190312154908565"</f>
        <v>20190312154908565</v>
      </c>
      <c r="B3653" t="str">
        <f>"1552376948560006"</f>
        <v>1552376948560006</v>
      </c>
      <c r="C3653" t="s">
        <v>40</v>
      </c>
      <c r="D3653">
        <v>4.4861599999999999</v>
      </c>
      <c r="E3653">
        <v>0.51398639999999995</v>
      </c>
      <c r="F3653" t="s">
        <v>50</v>
      </c>
      <c r="G3653">
        <v>-234.76</v>
      </c>
      <c r="H3653" s="1">
        <v>1.11969E-6</v>
      </c>
      <c r="I3653">
        <v>211.792</v>
      </c>
      <c r="J3653">
        <v>-279.8854</v>
      </c>
      <c r="K3653">
        <v>1.109801</v>
      </c>
      <c r="L3653">
        <v>214.703</v>
      </c>
      <c r="M3653">
        <v>0.99979949999999995</v>
      </c>
      <c r="N3653">
        <v>0</v>
      </c>
      <c r="O3653">
        <v>-1.6645900000000002E-2</v>
      </c>
      <c r="P3653">
        <v>0.99468849999999998</v>
      </c>
      <c r="Q3653">
        <v>2.1339529999999999E-2</v>
      </c>
      <c r="R3653">
        <v>-0.1006952</v>
      </c>
      <c r="S3653">
        <v>2.998138</v>
      </c>
      <c r="T3653">
        <v>-7.3219779999999998E-2</v>
      </c>
      <c r="U3653">
        <v>-0.19239809999999999</v>
      </c>
      <c r="V3653">
        <v>8.4112610000000004E-2</v>
      </c>
      <c r="W3653">
        <v>3.2451010000000002E-2</v>
      </c>
      <c r="X3653">
        <v>0.99592769999999997</v>
      </c>
      <c r="Y3653">
        <v>4.7410019999999997E-2</v>
      </c>
      <c r="Z3653">
        <v>-1.7223599999999901E-4</v>
      </c>
      <c r="AA3653">
        <v>0.99887550000000003</v>
      </c>
      <c r="AB3653">
        <v>31</v>
      </c>
      <c r="AC3653">
        <v>45.125399999999999</v>
      </c>
      <c r="AD3653">
        <v>-1.10979988031</v>
      </c>
      <c r="AE3653">
        <v>-2.911</v>
      </c>
      <c r="AF3653">
        <v>2.1580972849233002</v>
      </c>
      <c r="AG3653">
        <v>-1.10979988031</v>
      </c>
      <c r="AH3653">
        <v>45.140416198466397</v>
      </c>
      <c r="AI3653">
        <v>91.406755782933899</v>
      </c>
      <c r="AJ3653">
        <v>87.262856691099998</v>
      </c>
      <c r="AK3653">
        <v>45.205599368178902</v>
      </c>
      <c r="AL3653">
        <v>88.140367586086697</v>
      </c>
      <c r="AM3653">
        <v>85.172452966905198</v>
      </c>
      <c r="AN3653">
        <v>0.99999999141916096</v>
      </c>
    </row>
    <row r="3654" spans="1:40" x14ac:dyDescent="0.25">
      <c r="A3654" t="str">
        <f>"20190312154908587"</f>
        <v>20190312154908587</v>
      </c>
      <c r="B3654" t="str">
        <f>"1552376948579527"</f>
        <v>1552376948579527</v>
      </c>
      <c r="C3654" t="s">
        <v>40</v>
      </c>
      <c r="D3654">
        <v>4.4139499999999998</v>
      </c>
      <c r="E3654">
        <v>0.51820089999999996</v>
      </c>
      <c r="F3654" t="s">
        <v>41</v>
      </c>
      <c r="G3654">
        <v>-278.92919999999998</v>
      </c>
      <c r="H3654">
        <v>0.94607640000000004</v>
      </c>
      <c r="I3654">
        <v>214.57769999999999</v>
      </c>
      <c r="J3654">
        <v>-279.58710000000002</v>
      </c>
      <c r="K3654">
        <v>1.109788</v>
      </c>
      <c r="L3654">
        <v>214.69820000000001</v>
      </c>
      <c r="M3654">
        <v>0.99980179999999996</v>
      </c>
      <c r="N3654">
        <v>0</v>
      </c>
      <c r="O3654">
        <v>-1.6480370000000001E-2</v>
      </c>
      <c r="P3654">
        <v>0.99469399999999997</v>
      </c>
      <c r="Q3654">
        <v>2.093045E-2</v>
      </c>
      <c r="R3654">
        <v>-0.1007282</v>
      </c>
      <c r="S3654">
        <v>2.9873660000000002</v>
      </c>
      <c r="T3654">
        <v>-0.51156849999999998</v>
      </c>
      <c r="U3654">
        <v>-0.391571</v>
      </c>
      <c r="V3654">
        <v>8.4310560000000007E-2</v>
      </c>
      <c r="W3654">
        <v>3.2090220000000003E-2</v>
      </c>
      <c r="X3654">
        <v>0.99592270000000005</v>
      </c>
      <c r="Y3654">
        <v>0.112235</v>
      </c>
      <c r="Z3654">
        <v>-6.7111559999999898E-3</v>
      </c>
      <c r="AA3654">
        <v>0.99365899999999996</v>
      </c>
      <c r="AB3654">
        <v>31</v>
      </c>
      <c r="AC3654">
        <v>0.65790000000004001</v>
      </c>
      <c r="AD3654">
        <v>-0.16371159999999901</v>
      </c>
      <c r="AE3654">
        <v>-0.12050000000002099</v>
      </c>
      <c r="AF3654">
        <v>0.103443107913595</v>
      </c>
      <c r="AG3654">
        <v>-0.16371159999999901</v>
      </c>
      <c r="AH3654">
        <v>0.62250174677707704</v>
      </c>
      <c r="AI3654">
        <v>104.54374236062699</v>
      </c>
      <c r="AJ3654">
        <v>80.565189340649695</v>
      </c>
      <c r="AK3654">
        <v>0.65192820869317802</v>
      </c>
      <c r="AL3654">
        <v>88.161050189504095</v>
      </c>
      <c r="AM3654">
        <v>85.161121557116104</v>
      </c>
      <c r="AN3654">
        <v>1.00000003856122</v>
      </c>
    </row>
    <row r="3655" spans="1:40" x14ac:dyDescent="0.25">
      <c r="A3655" t="str">
        <f>"20190312154908608"</f>
        <v>20190312154908608</v>
      </c>
      <c r="B3655" t="str">
        <f>"1552376948599047"</f>
        <v>1552376948599047</v>
      </c>
      <c r="C3655" t="s">
        <v>40</v>
      </c>
      <c r="D3655">
        <v>4.4399259999999998</v>
      </c>
      <c r="E3655">
        <v>0.52049880000000004</v>
      </c>
      <c r="F3655" t="s">
        <v>41</v>
      </c>
      <c r="G3655">
        <v>-278.66410000000002</v>
      </c>
      <c r="H3655">
        <v>0.92066400000000004</v>
      </c>
      <c r="I3655">
        <v>214.56780000000001</v>
      </c>
      <c r="J3655">
        <v>-279.27789999999999</v>
      </c>
      <c r="K3655">
        <v>1.1097809999999999</v>
      </c>
      <c r="L3655">
        <v>214.69329999999999</v>
      </c>
      <c r="M3655">
        <v>0.99980409999999997</v>
      </c>
      <c r="N3655">
        <v>0</v>
      </c>
      <c r="O3655">
        <v>-1.630844E-2</v>
      </c>
      <c r="P3655">
        <v>0.99473199999999995</v>
      </c>
      <c r="Q3655">
        <v>2.0884799999999999E-2</v>
      </c>
      <c r="R3655">
        <v>-0.1003595</v>
      </c>
      <c r="S3655">
        <v>2.986237</v>
      </c>
      <c r="T3655">
        <v>-0.6119388</v>
      </c>
      <c r="U3655">
        <v>-0.4212341</v>
      </c>
      <c r="V3655">
        <v>8.4112699999999999E-2</v>
      </c>
      <c r="W3655">
        <v>3.2080690000000002E-2</v>
      </c>
      <c r="X3655">
        <v>0.99593969999999998</v>
      </c>
      <c r="Y3655">
        <v>0.1213678</v>
      </c>
      <c r="Z3655">
        <v>-8.9577449999999996E-3</v>
      </c>
      <c r="AA3655">
        <v>0.99256719999999998</v>
      </c>
      <c r="AB3655">
        <v>31</v>
      </c>
      <c r="AC3655">
        <v>0.61379999999996904</v>
      </c>
      <c r="AD3655">
        <v>-0.18911700000000001</v>
      </c>
      <c r="AE3655">
        <v>-0.12549999999998801</v>
      </c>
      <c r="AF3655">
        <v>0.105829241327248</v>
      </c>
      <c r="AG3655">
        <v>-0.18911700000000001</v>
      </c>
      <c r="AH3655">
        <v>0.56434156480566799</v>
      </c>
      <c r="AI3655">
        <v>108.230309589161</v>
      </c>
      <c r="AJ3655">
        <v>79.378854138324797</v>
      </c>
      <c r="AK3655">
        <v>0.60452168677079798</v>
      </c>
      <c r="AL3655">
        <v>88.161596431391501</v>
      </c>
      <c r="AM3655">
        <v>85.172505717775394</v>
      </c>
      <c r="AN3655">
        <v>1.0000000015041199</v>
      </c>
    </row>
    <row r="3656" spans="1:40" x14ac:dyDescent="0.25">
      <c r="A3656" t="str">
        <f>"20190312154908633"</f>
        <v>20190312154908633</v>
      </c>
      <c r="B3656" t="str">
        <f>"1552376948619543"</f>
        <v>1552376948619543</v>
      </c>
      <c r="C3656" t="s">
        <v>40</v>
      </c>
      <c r="D3656">
        <v>4.4649190000000001</v>
      </c>
      <c r="E3656">
        <v>0.52130779999999999</v>
      </c>
      <c r="F3656" t="s">
        <v>41</v>
      </c>
      <c r="G3656">
        <v>-278.3897</v>
      </c>
      <c r="H3656">
        <v>0.91428580000000004</v>
      </c>
      <c r="I3656">
        <v>214.5633</v>
      </c>
      <c r="J3656">
        <v>-278.95429999999999</v>
      </c>
      <c r="K3656">
        <v>1.109766</v>
      </c>
      <c r="L3656">
        <v>214.6883</v>
      </c>
      <c r="M3656">
        <v>0.9998068</v>
      </c>
      <c r="N3656">
        <v>0</v>
      </c>
      <c r="O3656">
        <v>-1.612912E-2</v>
      </c>
      <c r="P3656">
        <v>0.99478960000000005</v>
      </c>
      <c r="Q3656">
        <v>2.139274E-2</v>
      </c>
      <c r="R3656">
        <v>-9.9681339999999993E-2</v>
      </c>
      <c r="S3656">
        <v>2.985687</v>
      </c>
      <c r="T3656">
        <v>-0.65729769999999998</v>
      </c>
      <c r="U3656">
        <v>-0.43635560000000001</v>
      </c>
      <c r="V3656">
        <v>8.3612080000000005E-2</v>
      </c>
      <c r="W3656">
        <v>3.2603029999999998E-2</v>
      </c>
      <c r="X3656">
        <v>0.99596490000000004</v>
      </c>
      <c r="Y3656">
        <v>0.12605710000000001</v>
      </c>
      <c r="Z3656">
        <v>-1.015159E-2</v>
      </c>
      <c r="AA3656">
        <v>0.99197109999999999</v>
      </c>
      <c r="AB3656">
        <v>31</v>
      </c>
      <c r="AC3656">
        <v>0.564599999999984</v>
      </c>
      <c r="AD3656">
        <v>-0.19548019999999999</v>
      </c>
      <c r="AE3656">
        <v>-0.125</v>
      </c>
      <c r="AF3656">
        <v>0.103993110587514</v>
      </c>
      <c r="AG3656">
        <v>-0.19548019999999999</v>
      </c>
      <c r="AH3656">
        <v>0.50844189468600398</v>
      </c>
      <c r="AI3656">
        <v>110.639939061329</v>
      </c>
      <c r="AJ3656">
        <v>78.440557978731803</v>
      </c>
      <c r="AK3656">
        <v>0.55456310363528605</v>
      </c>
      <c r="AL3656">
        <v>88.131652904544893</v>
      </c>
      <c r="AM3656">
        <v>85.201224156291104</v>
      </c>
      <c r="AN3656">
        <v>1.0000000097595501</v>
      </c>
    </row>
    <row r="3657" spans="1:40" x14ac:dyDescent="0.25">
      <c r="A3657" t="str">
        <f>"20190312154908655"</f>
        <v>20190312154908655</v>
      </c>
      <c r="B3657" t="str">
        <f>"1552376948649799"</f>
        <v>1552376948649799</v>
      </c>
      <c r="C3657" t="s">
        <v>40</v>
      </c>
      <c r="D3657">
        <v>4.4473630000000002</v>
      </c>
      <c r="E3657">
        <v>0.5221789</v>
      </c>
      <c r="F3657" t="s">
        <v>41</v>
      </c>
      <c r="G3657">
        <v>-278.11059999999998</v>
      </c>
      <c r="H3657">
        <v>0.91891880000000004</v>
      </c>
      <c r="I3657">
        <v>214.56360000000001</v>
      </c>
      <c r="J3657">
        <v>-278.64659999999998</v>
      </c>
      <c r="K3657">
        <v>1.1097589999999999</v>
      </c>
      <c r="L3657">
        <v>214.68350000000001</v>
      </c>
      <c r="M3657">
        <v>0.99980979999999997</v>
      </c>
      <c r="N3657">
        <v>0</v>
      </c>
      <c r="O3657">
        <v>-1.5959060000000001E-2</v>
      </c>
      <c r="P3657">
        <v>0.99483750000000004</v>
      </c>
      <c r="Q3657">
        <v>2.1492009999999999E-2</v>
      </c>
      <c r="R3657">
        <v>-9.9180149999999995E-2</v>
      </c>
      <c r="S3657">
        <v>2.986145</v>
      </c>
      <c r="T3657">
        <v>-0.67550949999999998</v>
      </c>
      <c r="U3657">
        <v>-0.44012449999999997</v>
      </c>
      <c r="V3657">
        <v>8.3279649999999997E-2</v>
      </c>
      <c r="W3657">
        <v>3.268977E-2</v>
      </c>
      <c r="X3657">
        <v>0.99598989999999998</v>
      </c>
      <c r="Y3657">
        <v>0.12725410000000001</v>
      </c>
      <c r="Z3657">
        <v>-1.059445E-2</v>
      </c>
      <c r="AA3657">
        <v>0.99181350000000001</v>
      </c>
      <c r="AB3657">
        <v>31</v>
      </c>
      <c r="AC3657">
        <v>0.53600000000000103</v>
      </c>
      <c r="AD3657">
        <v>-0.19084019999999899</v>
      </c>
      <c r="AE3657">
        <v>-0.11990000000000101</v>
      </c>
      <c r="AF3657">
        <v>9.9337417890125498E-2</v>
      </c>
      <c r="AG3657">
        <v>-0.19084019999999899</v>
      </c>
      <c r="AH3657">
        <v>0.47990750753970302</v>
      </c>
      <c r="AI3657">
        <v>111.27621850032099</v>
      </c>
      <c r="AJ3657">
        <v>78.305340481461698</v>
      </c>
      <c r="AK3657">
        <v>0.52592691538091796</v>
      </c>
      <c r="AL3657">
        <v>88.126680401812905</v>
      </c>
      <c r="AM3657">
        <v>85.220334269371307</v>
      </c>
      <c r="AN3657">
        <v>1.0000000010343899</v>
      </c>
    </row>
    <row r="3658" spans="1:40" x14ac:dyDescent="0.25">
      <c r="A3658" t="str">
        <f>"20190312154908679"</f>
        <v>20190312154908679</v>
      </c>
      <c r="B3658" t="str">
        <f>"1552376948669320"</f>
        <v>1552376948669320</v>
      </c>
      <c r="C3658" t="s">
        <v>40</v>
      </c>
      <c r="D3658">
        <v>4.4856959999999999</v>
      </c>
      <c r="E3658">
        <v>0.52238709999999999</v>
      </c>
      <c r="F3658" t="s">
        <v>41</v>
      </c>
      <c r="G3658">
        <v>-277.83199999999999</v>
      </c>
      <c r="H3658">
        <v>0.9213228</v>
      </c>
      <c r="I3658">
        <v>214.56180000000001</v>
      </c>
      <c r="J3658">
        <v>-278.32760000000002</v>
      </c>
      <c r="K3658">
        <v>1.1097429999999999</v>
      </c>
      <c r="L3658">
        <v>214.67859999999999</v>
      </c>
      <c r="M3658">
        <v>0.99981299999999995</v>
      </c>
      <c r="N3658">
        <v>0</v>
      </c>
      <c r="O3658">
        <v>-1.5782649999999999E-2</v>
      </c>
      <c r="P3658">
        <v>0.99485069999999998</v>
      </c>
      <c r="Q3658">
        <v>2.154557E-2</v>
      </c>
      <c r="R3658">
        <v>-9.903671E-2</v>
      </c>
      <c r="S3658">
        <v>2.9861759999999999</v>
      </c>
      <c r="T3658">
        <v>-0.69076729999999997</v>
      </c>
      <c r="U3658">
        <v>-0.44485469999999999</v>
      </c>
      <c r="V3658">
        <v>8.3311860000000001E-2</v>
      </c>
      <c r="W3658">
        <v>3.2701210000000001E-2</v>
      </c>
      <c r="X3658">
        <v>0.99598679999999995</v>
      </c>
      <c r="Y3658">
        <v>0.1287971</v>
      </c>
      <c r="Z3658">
        <v>-1.10417E-2</v>
      </c>
      <c r="AA3658">
        <v>0.99160950000000003</v>
      </c>
      <c r="AB3658">
        <v>31</v>
      </c>
      <c r="AC3658">
        <v>0.49560000000002402</v>
      </c>
      <c r="AD3658">
        <v>-0.18842019999999901</v>
      </c>
      <c r="AE3658">
        <v>-0.116799999999983</v>
      </c>
      <c r="AF3658">
        <v>9.5839262856605295E-2</v>
      </c>
      <c r="AG3658">
        <v>-0.18842019999999901</v>
      </c>
      <c r="AH3658">
        <v>0.43747574014354201</v>
      </c>
      <c r="AI3658">
        <v>112.81751629218201</v>
      </c>
      <c r="AJ3658">
        <v>77.643235001872696</v>
      </c>
      <c r="AK3658">
        <v>0.48587278096954301</v>
      </c>
      <c r="AL3658">
        <v>88.126024530160905</v>
      </c>
      <c r="AM3658">
        <v>85.218479398164902</v>
      </c>
      <c r="AN3658">
        <v>0.99999997046318101</v>
      </c>
    </row>
    <row r="3659" spans="1:40" x14ac:dyDescent="0.25">
      <c r="A3659" t="str">
        <f>"20190312154908700"</f>
        <v>20190312154908700</v>
      </c>
      <c r="B3659" t="str">
        <f>"1552376948689815"</f>
        <v>1552376948689815</v>
      </c>
      <c r="C3659" t="s">
        <v>40</v>
      </c>
      <c r="D3659">
        <v>4.4673360000000004</v>
      </c>
      <c r="E3659">
        <v>0.52234519999999995</v>
      </c>
      <c r="F3659" t="s">
        <v>41</v>
      </c>
      <c r="G3659">
        <v>-277.55070000000001</v>
      </c>
      <c r="H3659">
        <v>0.92887909999999996</v>
      </c>
      <c r="I3659">
        <v>214.5624</v>
      </c>
      <c r="J3659">
        <v>-278.01299999999998</v>
      </c>
      <c r="K3659">
        <v>1.10972</v>
      </c>
      <c r="L3659">
        <v>214.6738</v>
      </c>
      <c r="M3659">
        <v>0.99981660000000006</v>
      </c>
      <c r="N3659">
        <v>0</v>
      </c>
      <c r="O3659">
        <v>-1.5608469999999999E-2</v>
      </c>
      <c r="P3659">
        <v>0.99484799999999995</v>
      </c>
      <c r="Q3659">
        <v>2.1686489999999999E-2</v>
      </c>
      <c r="R3659">
        <v>-9.9032220000000004E-2</v>
      </c>
      <c r="S3659">
        <v>2.9862060000000001</v>
      </c>
      <c r="T3659">
        <v>-0.69525809999999999</v>
      </c>
      <c r="U3659">
        <v>-0.44583129999999999</v>
      </c>
      <c r="V3659">
        <v>8.3480929999999995E-2</v>
      </c>
      <c r="W3659">
        <v>3.2771740000000001E-2</v>
      </c>
      <c r="X3659">
        <v>0.99597040000000003</v>
      </c>
      <c r="Y3659">
        <v>0.12923229999999999</v>
      </c>
      <c r="Z3659">
        <v>-1.120079E-2</v>
      </c>
      <c r="AA3659">
        <v>0.99155110000000002</v>
      </c>
      <c r="AB3659">
        <v>31</v>
      </c>
      <c r="AC3659">
        <v>0.46229999999997001</v>
      </c>
      <c r="AD3659">
        <v>-0.1808409</v>
      </c>
      <c r="AE3659">
        <v>-0.111400000000003</v>
      </c>
      <c r="AF3659">
        <v>9.1008417566387806E-2</v>
      </c>
      <c r="AG3659">
        <v>-0.1808409</v>
      </c>
      <c r="AH3659">
        <v>0.40535896228658103</v>
      </c>
      <c r="AI3659">
        <v>113.522989495351</v>
      </c>
      <c r="AJ3659">
        <v>77.346169605675101</v>
      </c>
      <c r="AK3659">
        <v>0.45310247349446398</v>
      </c>
      <c r="AL3659">
        <v>88.121981431914705</v>
      </c>
      <c r="AM3659">
        <v>85.208742557873407</v>
      </c>
      <c r="AN3659">
        <v>1.0000000451462201</v>
      </c>
    </row>
    <row r="3660" spans="1:40" x14ac:dyDescent="0.25">
      <c r="A3660" t="str">
        <f>"20190312154908722"</f>
        <v>20190312154908722</v>
      </c>
      <c r="B3660" t="str">
        <f>"1552376948709336"</f>
        <v>1552376948709336</v>
      </c>
      <c r="C3660" t="s">
        <v>40</v>
      </c>
      <c r="D3660">
        <v>4.5311059999999896</v>
      </c>
      <c r="E3660">
        <v>0.52247869999999996</v>
      </c>
      <c r="F3660" t="s">
        <v>41</v>
      </c>
      <c r="G3660">
        <v>-277.26960000000003</v>
      </c>
      <c r="H3660">
        <v>0.93572339999999998</v>
      </c>
      <c r="I3660">
        <v>214.56270000000001</v>
      </c>
      <c r="J3660">
        <v>-277.70080000000002</v>
      </c>
      <c r="K3660">
        <v>1.1096969999999999</v>
      </c>
      <c r="L3660">
        <v>214.66909999999999</v>
      </c>
      <c r="M3660">
        <v>0.99982040000000005</v>
      </c>
      <c r="N3660">
        <v>0</v>
      </c>
      <c r="O3660">
        <v>-1.543569E-2</v>
      </c>
      <c r="P3660">
        <v>0.99485440000000003</v>
      </c>
      <c r="Q3660">
        <v>2.1187109999999999E-2</v>
      </c>
      <c r="R3660">
        <v>-9.9076929999999994E-2</v>
      </c>
      <c r="S3660">
        <v>2.98645</v>
      </c>
      <c r="T3660">
        <v>-0.69904489999999997</v>
      </c>
      <c r="U3660">
        <v>-0.44540410000000002</v>
      </c>
      <c r="V3660">
        <v>8.3697859999999999E-2</v>
      </c>
      <c r="W3660">
        <v>3.2175530000000001E-2</v>
      </c>
      <c r="X3660">
        <v>0.99597159999999996</v>
      </c>
      <c r="Y3660">
        <v>0.1292171</v>
      </c>
      <c r="Z3660">
        <v>-1.1297369999999999E-2</v>
      </c>
      <c r="AA3660">
        <v>0.99155199999999999</v>
      </c>
      <c r="AB3660">
        <v>31</v>
      </c>
      <c r="AC3660">
        <v>0.43119999999998898</v>
      </c>
      <c r="AD3660">
        <v>-0.17397359999999901</v>
      </c>
      <c r="AE3660">
        <v>-0.106399999999979</v>
      </c>
      <c r="AF3660">
        <v>8.6463974893249598E-2</v>
      </c>
      <c r="AG3660">
        <v>-0.17397359999999901</v>
      </c>
      <c r="AH3660">
        <v>0.37521751575046403</v>
      </c>
      <c r="AI3660">
        <v>114.31439155817399</v>
      </c>
      <c r="AJ3660">
        <v>77.023460927601903</v>
      </c>
      <c r="AK3660">
        <v>0.42252930854231802</v>
      </c>
      <c r="AL3660">
        <v>88.156159712827503</v>
      </c>
      <c r="AM3660">
        <v>85.196356146329606</v>
      </c>
      <c r="AN3660">
        <v>1.00000001225296</v>
      </c>
    </row>
    <row r="3661" spans="1:40" x14ac:dyDescent="0.25">
      <c r="A3661" t="str">
        <f>"20190312154908743"</f>
        <v>20190312154908743</v>
      </c>
      <c r="B3661" t="str">
        <f>"1552376948729831"</f>
        <v>1552376948729831</v>
      </c>
      <c r="C3661" t="s">
        <v>40</v>
      </c>
      <c r="D3661">
        <v>4.5924449999999997</v>
      </c>
      <c r="E3661">
        <v>0.52279849999999894</v>
      </c>
      <c r="F3661" t="s">
        <v>41</v>
      </c>
      <c r="G3661">
        <v>-276.98840000000001</v>
      </c>
      <c r="H3661">
        <v>0.94156150000000005</v>
      </c>
      <c r="I3661">
        <v>214.56219999999999</v>
      </c>
      <c r="J3661">
        <v>-277.41079999999999</v>
      </c>
      <c r="K3661">
        <v>1.109672</v>
      </c>
      <c r="L3661">
        <v>214.66480000000001</v>
      </c>
      <c r="M3661">
        <v>0.99982409999999999</v>
      </c>
      <c r="N3661">
        <v>0</v>
      </c>
      <c r="O3661">
        <v>-1.527475E-2</v>
      </c>
      <c r="P3661">
        <v>0.99482789999999999</v>
      </c>
      <c r="Q3661">
        <v>2.1540810000000001E-2</v>
      </c>
      <c r="R3661">
        <v>-9.9268049999999997E-2</v>
      </c>
      <c r="S3661">
        <v>2.9861149999999999</v>
      </c>
      <c r="T3661">
        <v>-0.70489119999999905</v>
      </c>
      <c r="U3661">
        <v>-0.4464264</v>
      </c>
      <c r="V3661">
        <v>8.4049600000000002E-2</v>
      </c>
      <c r="W3661">
        <v>3.2412879999999998E-2</v>
      </c>
      <c r="X3661">
        <v>0.99593419999999999</v>
      </c>
      <c r="Y3661">
        <v>0.12965850000000001</v>
      </c>
      <c r="Z3661">
        <v>-1.147872E-2</v>
      </c>
      <c r="AA3661">
        <v>0.99149229999999999</v>
      </c>
      <c r="AB3661">
        <v>31</v>
      </c>
      <c r="AC3661">
        <v>0.42239999999998101</v>
      </c>
      <c r="AD3661">
        <v>-0.1681105</v>
      </c>
      <c r="AE3661">
        <v>-0.10260000000002301</v>
      </c>
      <c r="AF3661">
        <v>8.3627394062664895E-2</v>
      </c>
      <c r="AG3661">
        <v>-0.1681105</v>
      </c>
      <c r="AH3661">
        <v>0.36876204309262001</v>
      </c>
      <c r="AI3661">
        <v>113.969405886687</v>
      </c>
      <c r="AJ3661">
        <v>77.222649665564603</v>
      </c>
      <c r="AK3661">
        <v>0.41381170316196397</v>
      </c>
      <c r="AL3661">
        <v>88.142553310648495</v>
      </c>
      <c r="AM3661">
        <v>85.176083616678</v>
      </c>
      <c r="AN3661">
        <v>0.99999993038984403</v>
      </c>
    </row>
    <row r="3662" spans="1:40" x14ac:dyDescent="0.25">
      <c r="A3662" t="str">
        <f>"20190312154908760"</f>
        <v>20190312154908760</v>
      </c>
      <c r="B3662" t="str">
        <f>"1552376948749351"</f>
        <v>1552376948749351</v>
      </c>
      <c r="C3662" t="s">
        <v>40</v>
      </c>
      <c r="D3662">
        <v>4.5523129999999998</v>
      </c>
      <c r="E3662">
        <v>0.52310380000000001</v>
      </c>
      <c r="F3662" t="s">
        <v>41</v>
      </c>
      <c r="G3662">
        <v>-276.70890000000003</v>
      </c>
      <c r="H3662">
        <v>0.94303910000000002</v>
      </c>
      <c r="I3662">
        <v>214.55889999999999</v>
      </c>
      <c r="J3662">
        <v>-277.17860000000002</v>
      </c>
      <c r="K3662">
        <v>1.1096490000000001</v>
      </c>
      <c r="L3662">
        <v>214.66130000000001</v>
      </c>
      <c r="M3662">
        <v>0.99982729999999997</v>
      </c>
      <c r="N3662">
        <v>0</v>
      </c>
      <c r="O3662">
        <v>-1.5145749999999999E-2</v>
      </c>
      <c r="P3662">
        <v>0.9948226</v>
      </c>
      <c r="Q3662">
        <v>2.1734679999999999E-2</v>
      </c>
      <c r="R3662">
        <v>-9.9277619999999997E-2</v>
      </c>
      <c r="S3662">
        <v>2.986084</v>
      </c>
      <c r="T3662">
        <v>-0.70897919999999903</v>
      </c>
      <c r="U3662">
        <v>-0.44952389999999998</v>
      </c>
      <c r="V3662">
        <v>8.4187799999999993E-2</v>
      </c>
      <c r="W3662">
        <v>3.2489129999999998E-2</v>
      </c>
      <c r="X3662">
        <v>0.99592009999999997</v>
      </c>
      <c r="Y3662">
        <v>0.13072629999999999</v>
      </c>
      <c r="Z3662">
        <v>-1.169719E-2</v>
      </c>
      <c r="AA3662">
        <v>0.99134949999999999</v>
      </c>
      <c r="AB3662">
        <v>31</v>
      </c>
      <c r="AC3662">
        <v>0.46969999999998802</v>
      </c>
      <c r="AD3662">
        <v>-0.16660989999999901</v>
      </c>
      <c r="AE3662">
        <v>-0.10240000000001701</v>
      </c>
      <c r="AF3662">
        <v>8.5057291418186701E-2</v>
      </c>
      <c r="AG3662">
        <v>-0.16660989999999901</v>
      </c>
      <c r="AH3662">
        <v>0.42066882438832298</v>
      </c>
      <c r="AI3662">
        <v>111.216389958058</v>
      </c>
      <c r="AJ3662">
        <v>78.5691708427035</v>
      </c>
      <c r="AK3662">
        <v>0.460386643391902</v>
      </c>
      <c r="AL3662">
        <v>88.138182311213299</v>
      </c>
      <c r="AM3662">
        <v>85.168121247281206</v>
      </c>
      <c r="AN3662">
        <v>0.999999987410503</v>
      </c>
    </row>
    <row r="3663" spans="1:40" x14ac:dyDescent="0.25">
      <c r="A3663" t="str">
        <f>"20190312154908777"</f>
        <v>20190312154908777</v>
      </c>
      <c r="B3663" t="str">
        <f>"1552376948769847"</f>
        <v>1552376948769847</v>
      </c>
      <c r="C3663" t="s">
        <v>40</v>
      </c>
      <c r="D3663">
        <v>4.6106400000000001</v>
      </c>
      <c r="E3663">
        <v>0.52831549999999905</v>
      </c>
      <c r="F3663" t="s">
        <v>41</v>
      </c>
      <c r="G3663">
        <v>-276.43459999999999</v>
      </c>
      <c r="H3663">
        <v>0.93240319999999999</v>
      </c>
      <c r="I3663">
        <v>214.54849999999999</v>
      </c>
      <c r="J3663">
        <v>-276.94240000000002</v>
      </c>
      <c r="K3663">
        <v>1.1096189999999999</v>
      </c>
      <c r="L3663">
        <v>214.65790000000001</v>
      </c>
      <c r="M3663">
        <v>0.99983080000000002</v>
      </c>
      <c r="N3663">
        <v>0</v>
      </c>
      <c r="O3663">
        <v>-1.501414E-2</v>
      </c>
      <c r="P3663">
        <v>0.99484189999999995</v>
      </c>
      <c r="Q3663">
        <v>2.180636E-2</v>
      </c>
      <c r="R3663">
        <v>-9.9065739999999999E-2</v>
      </c>
      <c r="S3663">
        <v>2.9860530000000001</v>
      </c>
      <c r="T3663">
        <v>-0.71145919999999996</v>
      </c>
      <c r="U3663">
        <v>-0.45188899999999999</v>
      </c>
      <c r="V3663">
        <v>8.4106890000000004E-2</v>
      </c>
      <c r="W3663">
        <v>3.2420980000000002E-2</v>
      </c>
      <c r="X3663">
        <v>0.99592919999999996</v>
      </c>
      <c r="Y3663">
        <v>0.13157769999999999</v>
      </c>
      <c r="Z3663">
        <v>-1.1866689999999999E-2</v>
      </c>
      <c r="AA3663">
        <v>0.99123479999999997</v>
      </c>
      <c r="AB3663">
        <v>31</v>
      </c>
      <c r="AC3663">
        <v>0.507800000000031</v>
      </c>
      <c r="AD3663">
        <v>-0.17721580000000001</v>
      </c>
      <c r="AE3663">
        <v>-0.10940000000002199</v>
      </c>
      <c r="AF3663">
        <v>9.1153673738453997E-2</v>
      </c>
      <c r="AG3663">
        <v>-0.17721580000000001</v>
      </c>
      <c r="AH3663">
        <v>0.45627904433143701</v>
      </c>
      <c r="AI3663">
        <v>110.85021167838001</v>
      </c>
      <c r="AJ3663">
        <v>78.702400067757694</v>
      </c>
      <c r="AK3663">
        <v>0.49790059078260401</v>
      </c>
      <c r="AL3663">
        <v>88.1420891561731</v>
      </c>
      <c r="AM3663">
        <v>85.172786944456504</v>
      </c>
      <c r="AN3663">
        <v>1.00000003015113</v>
      </c>
    </row>
    <row r="3664" spans="1:40" x14ac:dyDescent="0.25">
      <c r="A3664" t="str">
        <f>"20190312154908795"</f>
        <v>20190312154908795</v>
      </c>
      <c r="B3664" t="str">
        <f>"1552376948779607"</f>
        <v>1552376948779607</v>
      </c>
      <c r="C3664" t="s">
        <v>40</v>
      </c>
      <c r="D3664">
        <v>4.5925339999999997</v>
      </c>
      <c r="E3664">
        <v>0.528524199999999</v>
      </c>
      <c r="F3664" t="s">
        <v>41</v>
      </c>
      <c r="G3664">
        <v>-276.1696</v>
      </c>
      <c r="H3664">
        <v>0.89855419999999997</v>
      </c>
      <c r="I3664">
        <v>214.53110000000001</v>
      </c>
      <c r="J3664">
        <v>-276.6977</v>
      </c>
      <c r="K3664">
        <v>1.1095839999999999</v>
      </c>
      <c r="L3664">
        <v>214.65440000000001</v>
      </c>
      <c r="M3664">
        <v>0.99983469999999997</v>
      </c>
      <c r="N3664">
        <v>0</v>
      </c>
      <c r="O3664">
        <v>-1.487812E-2</v>
      </c>
      <c r="P3664">
        <v>0.99486019999999997</v>
      </c>
      <c r="Q3664">
        <v>2.175419E-2</v>
      </c>
      <c r="R3664">
        <v>-9.8894049999999997E-2</v>
      </c>
      <c r="S3664">
        <v>2.9847410000000001</v>
      </c>
      <c r="T3664">
        <v>-0.81525800000000004</v>
      </c>
      <c r="U3664">
        <v>-0.48880000000000001</v>
      </c>
      <c r="V3664">
        <v>8.4070610000000004E-2</v>
      </c>
      <c r="W3664">
        <v>3.2203179999999998E-2</v>
      </c>
      <c r="X3664">
        <v>0.99593929999999997</v>
      </c>
      <c r="Y3664">
        <v>0.14236480000000001</v>
      </c>
      <c r="Z3664">
        <v>-1.5008779999999999E-2</v>
      </c>
      <c r="AA3664">
        <v>0.98970040000000004</v>
      </c>
      <c r="AB3664">
        <v>31</v>
      </c>
      <c r="AC3664">
        <v>0.52809999999999402</v>
      </c>
      <c r="AD3664">
        <v>-0.21102979999999999</v>
      </c>
      <c r="AE3664">
        <v>-0.12330000000000001</v>
      </c>
      <c r="AF3664">
        <v>0.100248453448051</v>
      </c>
      <c r="AG3664">
        <v>-0.21102979999999999</v>
      </c>
      <c r="AH3664">
        <v>0.46019075788888603</v>
      </c>
      <c r="AI3664">
        <v>114.13534541352099</v>
      </c>
      <c r="AJ3664">
        <v>77.710621034295201</v>
      </c>
      <c r="AK3664">
        <v>0.51609966339178504</v>
      </c>
      <c r="AL3664">
        <v>88.154574641965397</v>
      </c>
      <c r="AM3664">
        <v>85.174908059551399</v>
      </c>
      <c r="AN3664">
        <v>1.00000000077618</v>
      </c>
    </row>
    <row r="3665" spans="1:40" x14ac:dyDescent="0.25">
      <c r="A3665" t="str">
        <f>"20190312154908810"</f>
        <v>20190312154908810</v>
      </c>
      <c r="B3665" t="str">
        <f>"1552376948799127"</f>
        <v>1552376948799127</v>
      </c>
      <c r="C3665" t="s">
        <v>40</v>
      </c>
      <c r="D3665">
        <v>4.6616869999999997</v>
      </c>
      <c r="E3665">
        <v>0.52863260000000001</v>
      </c>
      <c r="F3665" t="s">
        <v>41</v>
      </c>
      <c r="G3665">
        <v>-275.89210000000003</v>
      </c>
      <c r="H3665">
        <v>0.89134979999999997</v>
      </c>
      <c r="I3665">
        <v>214.52199999999999</v>
      </c>
      <c r="J3665">
        <v>-276.47059999999999</v>
      </c>
      <c r="K3665">
        <v>1.109551</v>
      </c>
      <c r="L3665">
        <v>214.65110000000001</v>
      </c>
      <c r="M3665">
        <v>0.99983840000000002</v>
      </c>
      <c r="N3665">
        <v>0</v>
      </c>
      <c r="O3665">
        <v>-1.475186E-2</v>
      </c>
      <c r="P3665">
        <v>0.99491309999999999</v>
      </c>
      <c r="Q3665">
        <v>2.1955559999999999E-2</v>
      </c>
      <c r="R3665">
        <v>-9.8317009999999996E-2</v>
      </c>
      <c r="S3665">
        <v>2.984467</v>
      </c>
      <c r="T3665">
        <v>-0.80851070000000003</v>
      </c>
      <c r="U3665">
        <v>-0.4901123</v>
      </c>
      <c r="V3665">
        <v>8.3618680000000001E-2</v>
      </c>
      <c r="W3665">
        <v>3.2234159999999998E-2</v>
      </c>
      <c r="X3665">
        <v>0.99597630000000004</v>
      </c>
      <c r="Y3665">
        <v>0.1429754</v>
      </c>
      <c r="Z3665">
        <v>-1.500373E-2</v>
      </c>
      <c r="AA3665">
        <v>0.98961250000000001</v>
      </c>
      <c r="AB3665">
        <v>31</v>
      </c>
      <c r="AC3665">
        <v>0.57849999999996204</v>
      </c>
      <c r="AD3665">
        <v>-0.21820120000000001</v>
      </c>
      <c r="AE3665">
        <v>-0.129099999999994</v>
      </c>
      <c r="AF3665">
        <v>0.10616427277473001</v>
      </c>
      <c r="AG3665">
        <v>-0.21820120000000001</v>
      </c>
      <c r="AH3665">
        <v>0.51108049146652301</v>
      </c>
      <c r="AI3665">
        <v>112.68578298991</v>
      </c>
      <c r="AJ3665">
        <v>78.265111833561306</v>
      </c>
      <c r="AK3665">
        <v>0.56576133241225501</v>
      </c>
      <c r="AL3665">
        <v>88.152798616643906</v>
      </c>
      <c r="AM3665">
        <v>85.200901804285706</v>
      </c>
      <c r="AN3665">
        <v>0.99999995743876802</v>
      </c>
    </row>
    <row r="3666" spans="1:40" x14ac:dyDescent="0.25">
      <c r="A3666" t="str">
        <f>"20190312154908833"</f>
        <v>20190312154908833</v>
      </c>
      <c r="B3666" t="str">
        <f>"1552376948819623"</f>
        <v>1552376948819623</v>
      </c>
      <c r="C3666" t="s">
        <v>40</v>
      </c>
      <c r="D3666">
        <v>4.645759</v>
      </c>
      <c r="E3666">
        <v>0.52863530000000003</v>
      </c>
      <c r="F3666" t="s">
        <v>41</v>
      </c>
      <c r="G3666">
        <v>-275.61579999999998</v>
      </c>
      <c r="H3666">
        <v>0.87960179999999999</v>
      </c>
      <c r="I3666">
        <v>214.51060000000001</v>
      </c>
      <c r="J3666">
        <v>-276.15480000000002</v>
      </c>
      <c r="K3666">
        <v>1.109513</v>
      </c>
      <c r="L3666">
        <v>214.64660000000001</v>
      </c>
      <c r="M3666">
        <v>0.9998435</v>
      </c>
      <c r="N3666">
        <v>0</v>
      </c>
      <c r="O3666">
        <v>-1.4576159999999999E-2</v>
      </c>
      <c r="P3666">
        <v>0.99497650000000004</v>
      </c>
      <c r="Q3666">
        <v>2.1952920000000001E-2</v>
      </c>
      <c r="R3666">
        <v>-9.7671900000000006E-2</v>
      </c>
      <c r="S3666">
        <v>2.9846499999999998</v>
      </c>
      <c r="T3666">
        <v>-0.80287109999999995</v>
      </c>
      <c r="U3666">
        <v>-0.48976140000000001</v>
      </c>
      <c r="V3666">
        <v>8.3148009999999994E-2</v>
      </c>
      <c r="W3666">
        <v>3.1964409999999999E-2</v>
      </c>
      <c r="X3666">
        <v>0.99602440000000003</v>
      </c>
      <c r="Y3666">
        <v>0.1430785</v>
      </c>
      <c r="Z3666">
        <v>-1.4961550000000001E-2</v>
      </c>
      <c r="AA3666">
        <v>0.98959830000000004</v>
      </c>
      <c r="AB3666">
        <v>31</v>
      </c>
      <c r="AC3666">
        <v>0.539000000000044</v>
      </c>
      <c r="AD3666">
        <v>-0.22991120000000001</v>
      </c>
      <c r="AE3666">
        <v>-0.13599999999999501</v>
      </c>
      <c r="AF3666">
        <v>0.109412891892717</v>
      </c>
      <c r="AG3666">
        <v>-0.22991120000000001</v>
      </c>
      <c r="AH3666">
        <v>0.46191238271722901</v>
      </c>
      <c r="AI3666">
        <v>115.842566891977</v>
      </c>
      <c r="AJ3666">
        <v>76.673989941702899</v>
      </c>
      <c r="AK3666">
        <v>0.52744041379598094</v>
      </c>
      <c r="AL3666">
        <v>88.168262127569605</v>
      </c>
      <c r="AM3666">
        <v>85.228019091478203</v>
      </c>
      <c r="AN3666">
        <v>0.99999996023448301</v>
      </c>
    </row>
    <row r="3667" spans="1:40" x14ac:dyDescent="0.25">
      <c r="A3667" t="str">
        <f>"20190312154908849"</f>
        <v>20190312154908849</v>
      </c>
      <c r="B3667" t="str">
        <f>"1552376948840119"</f>
        <v>1552376948840119</v>
      </c>
      <c r="C3667" t="s">
        <v>40</v>
      </c>
      <c r="D3667">
        <v>4.643281</v>
      </c>
      <c r="E3667">
        <v>0.52846439999999995</v>
      </c>
      <c r="F3667" t="s">
        <v>41</v>
      </c>
      <c r="G3667">
        <v>-275.33049999999997</v>
      </c>
      <c r="H3667">
        <v>0.88801799999999997</v>
      </c>
      <c r="I3667">
        <v>214.51179999999999</v>
      </c>
      <c r="J3667">
        <v>-275.92739999999998</v>
      </c>
      <c r="K3667">
        <v>1.109478</v>
      </c>
      <c r="L3667">
        <v>214.64340000000001</v>
      </c>
      <c r="M3667">
        <v>0.9998475</v>
      </c>
      <c r="N3667">
        <v>0</v>
      </c>
      <c r="O3667">
        <v>-1.444928E-2</v>
      </c>
      <c r="P3667">
        <v>0.99500270000000002</v>
      </c>
      <c r="Q3667">
        <v>2.227167E-2</v>
      </c>
      <c r="R3667">
        <v>-9.7333199999999995E-2</v>
      </c>
      <c r="S3667">
        <v>2.984985</v>
      </c>
      <c r="T3667">
        <v>-0.80211589999999999</v>
      </c>
      <c r="U3667">
        <v>-0.48744199999999999</v>
      </c>
      <c r="V3667">
        <v>8.2935149999999999E-2</v>
      </c>
      <c r="W3667">
        <v>3.2074980000000003E-2</v>
      </c>
      <c r="X3667">
        <v>0.9960386</v>
      </c>
      <c r="Y3667">
        <v>0.1424627</v>
      </c>
      <c r="Z3667">
        <v>-1.489971E-2</v>
      </c>
      <c r="AA3667">
        <v>0.98968800000000001</v>
      </c>
      <c r="AB3667">
        <v>31</v>
      </c>
      <c r="AC3667">
        <v>0.59690000000000498</v>
      </c>
      <c r="AD3667">
        <v>-0.22145999999999999</v>
      </c>
      <c r="AE3667">
        <v>-0.13160000000002001</v>
      </c>
      <c r="AF3667">
        <v>0.108692693037423</v>
      </c>
      <c r="AG3667">
        <v>-0.22145999999999999</v>
      </c>
      <c r="AH3667">
        <v>0.52926171310748804</v>
      </c>
      <c r="AI3667">
        <v>112.28763500404</v>
      </c>
      <c r="AJ3667">
        <v>78.3947162095495</v>
      </c>
      <c r="AK3667">
        <v>0.58393201152291696</v>
      </c>
      <c r="AL3667">
        <v>88.161923697265394</v>
      </c>
      <c r="AM3667">
        <v>85.240246771564202</v>
      </c>
      <c r="AN3667">
        <v>0.99999996806874003</v>
      </c>
    </row>
    <row r="3668" spans="1:40" x14ac:dyDescent="0.25">
      <c r="A3668" t="str">
        <f>"20190312154908864"</f>
        <v>20190312154908864</v>
      </c>
      <c r="B3668" t="str">
        <f>"1552376948849879"</f>
        <v>1552376948849879</v>
      </c>
      <c r="C3668" t="s">
        <v>40</v>
      </c>
      <c r="D3668">
        <v>4.6403679999999996</v>
      </c>
      <c r="E3668">
        <v>0.52838280000000004</v>
      </c>
      <c r="F3668" t="s">
        <v>41</v>
      </c>
      <c r="G3668">
        <v>-275.0532</v>
      </c>
      <c r="H3668">
        <v>0.87502829999999998</v>
      </c>
      <c r="I3668">
        <v>214.50139999999999</v>
      </c>
      <c r="J3668">
        <v>-275.7072</v>
      </c>
      <c r="K3668">
        <v>1.1094489999999999</v>
      </c>
      <c r="L3668">
        <v>214.6403</v>
      </c>
      <c r="M3668">
        <v>0.9998513</v>
      </c>
      <c r="N3668">
        <v>0</v>
      </c>
      <c r="O3668">
        <v>-1.432695E-2</v>
      </c>
      <c r="P3668">
        <v>0.9950445</v>
      </c>
      <c r="Q3668">
        <v>2.224346E-2</v>
      </c>
      <c r="R3668">
        <v>-9.6914310000000004E-2</v>
      </c>
      <c r="S3668">
        <v>2.985535</v>
      </c>
      <c r="T3668">
        <v>-0.80074140000000005</v>
      </c>
      <c r="U3668">
        <v>-0.48497010000000002</v>
      </c>
      <c r="V3668">
        <v>8.2637530000000001E-2</v>
      </c>
      <c r="W3668">
        <v>3.1836679999999999E-2</v>
      </c>
      <c r="X3668">
        <v>0.99607100000000004</v>
      </c>
      <c r="Y3668">
        <v>0.14179120000000001</v>
      </c>
      <c r="Z3668">
        <v>-1.4817439999999999E-2</v>
      </c>
      <c r="AA3668">
        <v>0.98978569999999999</v>
      </c>
      <c r="AB3668">
        <v>32</v>
      </c>
      <c r="AC3668">
        <v>0.65399999999999603</v>
      </c>
      <c r="AD3668">
        <v>-0.23442069999999901</v>
      </c>
      <c r="AE3668">
        <v>-0.13890000000000599</v>
      </c>
      <c r="AF3668">
        <v>0.115336585749933</v>
      </c>
      <c r="AG3668">
        <v>-0.23442069999999901</v>
      </c>
      <c r="AH3668">
        <v>0.58411483425161703</v>
      </c>
      <c r="AI3668">
        <v>111.490770146945</v>
      </c>
      <c r="AJ3668">
        <v>78.830327237970593</v>
      </c>
      <c r="AK3668">
        <v>0.63987946692618303</v>
      </c>
      <c r="AL3668">
        <v>88.175584291957804</v>
      </c>
      <c r="AM3668">
        <v>85.257403070496395</v>
      </c>
      <c r="AN3668">
        <v>0.99999998629946096</v>
      </c>
    </row>
    <row r="3669" spans="1:40" x14ac:dyDescent="0.25">
      <c r="A3669" t="str">
        <f>"20190312154908880"</f>
        <v>20190312154908880</v>
      </c>
      <c r="B3669" t="str">
        <f>"1552376948869399"</f>
        <v>1552376948869399</v>
      </c>
      <c r="C3669" t="s">
        <v>40</v>
      </c>
      <c r="D3669">
        <v>4.6749460000000003</v>
      </c>
      <c r="E3669">
        <v>0.52843980000000002</v>
      </c>
      <c r="F3669" t="s">
        <v>41</v>
      </c>
      <c r="G3669">
        <v>-275.03089999999997</v>
      </c>
      <c r="H3669">
        <v>0.92819510000000005</v>
      </c>
      <c r="I3669">
        <v>214.5308</v>
      </c>
      <c r="J3669">
        <v>-275.49270000000001</v>
      </c>
      <c r="K3669">
        <v>1.1094170000000001</v>
      </c>
      <c r="L3669">
        <v>214.63740000000001</v>
      </c>
      <c r="M3669">
        <v>0.9998551</v>
      </c>
      <c r="N3669">
        <v>0</v>
      </c>
      <c r="O3669">
        <v>-1.420747E-2</v>
      </c>
      <c r="P3669">
        <v>0.9950369</v>
      </c>
      <c r="Q3669">
        <v>2.2128269999999998E-2</v>
      </c>
      <c r="R3669">
        <v>-9.7016190000000002E-2</v>
      </c>
      <c r="S3669">
        <v>2.9857480000000001</v>
      </c>
      <c r="T3669">
        <v>-0.80021949999999997</v>
      </c>
      <c r="U3669">
        <v>-0.48336790000000002</v>
      </c>
      <c r="V3669">
        <v>8.2858989999999993E-2</v>
      </c>
      <c r="W3669">
        <v>3.1503539999999997E-2</v>
      </c>
      <c r="X3669">
        <v>0.99606320000000004</v>
      </c>
      <c r="Y3669">
        <v>0.14139589999999999</v>
      </c>
      <c r="Z3669">
        <v>-1.478723E-2</v>
      </c>
      <c r="AA3669">
        <v>0.98984269999999996</v>
      </c>
      <c r="AB3669">
        <v>32</v>
      </c>
      <c r="AC3669">
        <v>0.46180000000003901</v>
      </c>
      <c r="AD3669">
        <v>-0.18122189999999999</v>
      </c>
      <c r="AE3669">
        <v>-0.106600000000014</v>
      </c>
      <c r="AF3669">
        <v>8.7268670137131396E-2</v>
      </c>
      <c r="AG3669">
        <v>-0.18122189999999999</v>
      </c>
      <c r="AH3669">
        <v>0.40417486226931998</v>
      </c>
      <c r="AI3669">
        <v>113.666639350992</v>
      </c>
      <c r="AJ3669">
        <v>77.815849978129506</v>
      </c>
      <c r="AK3669">
        <v>0.45145821192834401</v>
      </c>
      <c r="AL3669">
        <v>88.194681397831204</v>
      </c>
      <c r="AM3669">
        <v>85.244714542587204</v>
      </c>
      <c r="AN3669">
        <v>0.99999999182529498</v>
      </c>
    </row>
    <row r="3670" spans="1:40" x14ac:dyDescent="0.25">
      <c r="A3670" t="str">
        <f>"20190312154908901"</f>
        <v>20190312154908901</v>
      </c>
      <c r="B3670" t="str">
        <f>"1552376948889896"</f>
        <v>1552376948889896</v>
      </c>
      <c r="C3670" t="s">
        <v>40</v>
      </c>
      <c r="D3670">
        <v>4.6408990000000001</v>
      </c>
      <c r="E3670">
        <v>0.52841130000000003</v>
      </c>
      <c r="F3670" t="s">
        <v>41</v>
      </c>
      <c r="G3670">
        <v>-274.75479999999999</v>
      </c>
      <c r="H3670">
        <v>0.91166930000000002</v>
      </c>
      <c r="I3670">
        <v>214.51730000000001</v>
      </c>
      <c r="J3670">
        <v>-275.19529999999997</v>
      </c>
      <c r="K3670">
        <v>1.1093679999999999</v>
      </c>
      <c r="L3670">
        <v>214.63329999999999</v>
      </c>
      <c r="M3670">
        <v>0.99986030000000004</v>
      </c>
      <c r="N3670">
        <v>0</v>
      </c>
      <c r="O3670">
        <v>-1.4041680000000001E-2</v>
      </c>
      <c r="P3670">
        <v>0.99507299999999999</v>
      </c>
      <c r="Q3670">
        <v>2.209065E-2</v>
      </c>
      <c r="R3670">
        <v>-9.6654669999999998E-2</v>
      </c>
      <c r="S3670">
        <v>2.9855649999999998</v>
      </c>
      <c r="T3670">
        <v>-0.80009030000000003</v>
      </c>
      <c r="U3670">
        <v>-0.4843597</v>
      </c>
      <c r="V3670">
        <v>8.2662029999999997E-2</v>
      </c>
      <c r="W3670">
        <v>3.1148470000000001E-2</v>
      </c>
      <c r="X3670">
        <v>0.9960907</v>
      </c>
      <c r="Y3670">
        <v>0.1418691</v>
      </c>
      <c r="Z3670">
        <v>-1.489071E-2</v>
      </c>
      <c r="AA3670">
        <v>0.98977340000000003</v>
      </c>
      <c r="AB3670">
        <v>32</v>
      </c>
      <c r="AC3670">
        <v>0.44049999999998501</v>
      </c>
      <c r="AD3670">
        <v>-0.1976987</v>
      </c>
      <c r="AE3670">
        <v>-0.115999999999985</v>
      </c>
      <c r="AF3670">
        <v>9.2398431471121506E-2</v>
      </c>
      <c r="AG3670">
        <v>-0.1976987</v>
      </c>
      <c r="AH3670">
        <v>0.37201190471919898</v>
      </c>
      <c r="AI3670">
        <v>117.282896701067</v>
      </c>
      <c r="AJ3670">
        <v>76.051422500289405</v>
      </c>
      <c r="AK3670">
        <v>0.43129468275509703</v>
      </c>
      <c r="AL3670">
        <v>88.215035343947704</v>
      </c>
      <c r="AM3670">
        <v>85.256096818676198</v>
      </c>
      <c r="AN3670">
        <v>0.99999996050677498</v>
      </c>
    </row>
    <row r="3671" spans="1:40" x14ac:dyDescent="0.25">
      <c r="A3671" t="str">
        <f>"20190312154908923"</f>
        <v>20190312154908923</v>
      </c>
      <c r="B3671" t="str">
        <f>"1552376948909483"</f>
        <v>1552376948909483</v>
      </c>
      <c r="C3671" t="s">
        <v>40</v>
      </c>
      <c r="D3671">
        <v>4.6515680000000001</v>
      </c>
      <c r="E3671">
        <v>0.52844950000000002</v>
      </c>
      <c r="F3671" t="s">
        <v>41</v>
      </c>
      <c r="G3671">
        <v>-274.46910000000003</v>
      </c>
      <c r="H3671">
        <v>0.91469469999999997</v>
      </c>
      <c r="I3671">
        <v>214.51570000000001</v>
      </c>
      <c r="J3671">
        <v>-274.88220000000001</v>
      </c>
      <c r="K3671">
        <v>1.1093170000000001</v>
      </c>
      <c r="L3671">
        <v>214.62909999999999</v>
      </c>
      <c r="M3671">
        <v>0.99986600000000003</v>
      </c>
      <c r="N3671">
        <v>0</v>
      </c>
      <c r="O3671">
        <v>-1.3867350000000001E-2</v>
      </c>
      <c r="P3671">
        <v>0.9950466</v>
      </c>
      <c r="Q3671">
        <v>2.1889169999999999E-2</v>
      </c>
      <c r="R3671">
        <v>-9.6972909999999996E-2</v>
      </c>
      <c r="S3671">
        <v>2.9856569999999998</v>
      </c>
      <c r="T3671">
        <v>-0.80040840000000002</v>
      </c>
      <c r="U3671">
        <v>-0.48355100000000001</v>
      </c>
      <c r="V3671">
        <v>8.3154549999999994E-2</v>
      </c>
      <c r="W3671">
        <v>3.0600369999999998E-2</v>
      </c>
      <c r="X3671">
        <v>0.99606669999999997</v>
      </c>
      <c r="Y3671">
        <v>0.14176949999999999</v>
      </c>
      <c r="Z3671">
        <v>-1.492889E-2</v>
      </c>
      <c r="AA3671">
        <v>0.98978710000000003</v>
      </c>
      <c r="AB3671">
        <v>32</v>
      </c>
      <c r="AC3671">
        <v>0.41309999999998498</v>
      </c>
      <c r="AD3671">
        <v>-0.1946223</v>
      </c>
      <c r="AE3671">
        <v>-0.113399999999984</v>
      </c>
      <c r="AF3671">
        <v>8.9240487768354804E-2</v>
      </c>
      <c r="AG3671">
        <v>-0.1946223</v>
      </c>
      <c r="AH3671">
        <v>0.34369261245294003</v>
      </c>
      <c r="AI3671">
        <v>118.726874966255</v>
      </c>
      <c r="AJ3671">
        <v>75.444459672766897</v>
      </c>
      <c r="AK3671">
        <v>0.40492754434485001</v>
      </c>
      <c r="AL3671">
        <v>88.246454150802805</v>
      </c>
      <c r="AM3671">
        <v>85.227847216978802</v>
      </c>
      <c r="AN3671">
        <v>0.99999996633936405</v>
      </c>
    </row>
    <row r="3672" spans="1:40" x14ac:dyDescent="0.25">
      <c r="A3672" t="str">
        <f>"20190312154908945"</f>
        <v>20190312154908945</v>
      </c>
      <c r="B3672" t="str">
        <f>"1552376948939740"</f>
        <v>1552376948939740</v>
      </c>
      <c r="C3672" t="s">
        <v>40</v>
      </c>
      <c r="D3672">
        <v>4.6685470000000002</v>
      </c>
      <c r="E3672">
        <v>0.52840909999999996</v>
      </c>
      <c r="F3672" t="s">
        <v>41</v>
      </c>
      <c r="G3672">
        <v>-274.18090000000001</v>
      </c>
      <c r="H3672">
        <v>0.92102269999999997</v>
      </c>
      <c r="I3672">
        <v>214.51499999999999</v>
      </c>
      <c r="J3672">
        <v>-274.56169999999997</v>
      </c>
      <c r="K3672">
        <v>1.1092649999999999</v>
      </c>
      <c r="L3672">
        <v>214.62479999999999</v>
      </c>
      <c r="M3672">
        <v>0.99987150000000002</v>
      </c>
      <c r="N3672">
        <v>0</v>
      </c>
      <c r="O3672">
        <v>-1.3688870000000001E-2</v>
      </c>
      <c r="P3672">
        <v>0.99502480000000004</v>
      </c>
      <c r="Q3672">
        <v>2.190696E-2</v>
      </c>
      <c r="R3672">
        <v>-9.7191780000000005E-2</v>
      </c>
      <c r="S3672">
        <v>2.985382</v>
      </c>
      <c r="T3672">
        <v>-0.80161640000000001</v>
      </c>
      <c r="U3672">
        <v>-0.48400880000000002</v>
      </c>
      <c r="V3672">
        <v>8.3551639999999996E-2</v>
      </c>
      <c r="W3672">
        <v>3.0260530000000001E-2</v>
      </c>
      <c r="X3672">
        <v>0.99604389999999998</v>
      </c>
      <c r="Y3672">
        <v>0.14207790000000001</v>
      </c>
      <c r="Z3672">
        <v>-1.503902E-2</v>
      </c>
      <c r="AA3672">
        <v>0.98974119999999999</v>
      </c>
      <c r="AB3672">
        <v>32</v>
      </c>
      <c r="AC3672">
        <v>0.380799999999965</v>
      </c>
      <c r="AD3672">
        <v>-0.1882423</v>
      </c>
      <c r="AE3672">
        <v>-0.109800000000006</v>
      </c>
      <c r="AF3672">
        <v>8.5326422215203604E-2</v>
      </c>
      <c r="AG3672">
        <v>-0.1882423</v>
      </c>
      <c r="AH3672">
        <v>0.31190003590904802</v>
      </c>
      <c r="AI3672">
        <v>120.205531961688</v>
      </c>
      <c r="AJ3672">
        <v>74.6999610578046</v>
      </c>
      <c r="AK3672">
        <v>0.37416225656445201</v>
      </c>
      <c r="AL3672">
        <v>88.2659346526669</v>
      </c>
      <c r="AM3672">
        <v>85.205055389024594</v>
      </c>
      <c r="AN3672">
        <v>1.0000000134748901</v>
      </c>
    </row>
    <row r="3673" spans="1:40" x14ac:dyDescent="0.25">
      <c r="A3673" t="str">
        <f>"20190312154908967"</f>
        <v>20190312154908967</v>
      </c>
      <c r="B3673" t="str">
        <f>"1552376948959259"</f>
        <v>1552376948959259</v>
      </c>
      <c r="C3673" t="s">
        <v>40</v>
      </c>
      <c r="D3673">
        <v>4.6451849999999997</v>
      </c>
      <c r="E3673">
        <v>0.52838850000000004</v>
      </c>
      <c r="F3673" t="s">
        <v>41</v>
      </c>
      <c r="G3673">
        <v>-273.63189999999997</v>
      </c>
      <c r="H3673">
        <v>0.85981859999999999</v>
      </c>
      <c r="I3673">
        <v>214.4735</v>
      </c>
      <c r="J3673">
        <v>-274.25130000000001</v>
      </c>
      <c r="K3673">
        <v>1.109218</v>
      </c>
      <c r="L3673">
        <v>214.6207</v>
      </c>
      <c r="M3673">
        <v>0.99987669999999995</v>
      </c>
      <c r="N3673">
        <v>0</v>
      </c>
      <c r="O3673">
        <v>-1.3516439999999999E-2</v>
      </c>
      <c r="P3673">
        <v>0.9949886</v>
      </c>
      <c r="Q3673">
        <v>2.2107849999999998E-2</v>
      </c>
      <c r="R3673">
        <v>-9.7516080000000005E-2</v>
      </c>
      <c r="S3673">
        <v>2.9852910000000001</v>
      </c>
      <c r="T3673">
        <v>-0.80096219999999996</v>
      </c>
      <c r="U3673">
        <v>-0.48457339999999999</v>
      </c>
      <c r="V3673">
        <v>8.4048390000000001E-2</v>
      </c>
      <c r="W3673">
        <v>3.011279E-2</v>
      </c>
      <c r="X3673">
        <v>0.99600650000000002</v>
      </c>
      <c r="Y3673">
        <v>0.14242479999999999</v>
      </c>
      <c r="Z3673">
        <v>-1.511799E-2</v>
      </c>
      <c r="AA3673">
        <v>0.98969019999999996</v>
      </c>
      <c r="AB3673">
        <v>32</v>
      </c>
      <c r="AC3673">
        <v>0.61940000000004103</v>
      </c>
      <c r="AD3673">
        <v>-0.24939939999999999</v>
      </c>
      <c r="AE3673">
        <v>-0.147199999999998</v>
      </c>
      <c r="AF3673">
        <v>0.120346172458521</v>
      </c>
      <c r="AG3673">
        <v>-0.24939939999999999</v>
      </c>
      <c r="AH3673">
        <v>0.53867010038684804</v>
      </c>
      <c r="AI3673">
        <v>114.315904320058</v>
      </c>
      <c r="AJ3673">
        <v>77.406165544549907</v>
      </c>
      <c r="AK3673">
        <v>0.60568039343910796</v>
      </c>
      <c r="AL3673">
        <v>88.274403246342203</v>
      </c>
      <c r="AM3673">
        <v>85.176501245680896</v>
      </c>
      <c r="AN3673">
        <v>0.99999993001271004</v>
      </c>
    </row>
    <row r="3674" spans="1:40" x14ac:dyDescent="0.25">
      <c r="A3674" t="str">
        <f>"20190312154908983"</f>
        <v>20190312154908983</v>
      </c>
      <c r="B3674" t="str">
        <f>"1552376948969019"</f>
        <v>1552376948969019</v>
      </c>
      <c r="C3674" t="s">
        <v>40</v>
      </c>
      <c r="D3674">
        <v>4.6817820000000001</v>
      </c>
      <c r="E3674">
        <v>0.5283561</v>
      </c>
      <c r="F3674" t="s">
        <v>41</v>
      </c>
      <c r="G3674">
        <v>-273.34100000000001</v>
      </c>
      <c r="H3674">
        <v>0.86539940000000004</v>
      </c>
      <c r="I3674">
        <v>214.47229999999999</v>
      </c>
      <c r="J3674">
        <v>-274.00029999999998</v>
      </c>
      <c r="K3674">
        <v>1.1091850000000001</v>
      </c>
      <c r="L3674">
        <v>214.61750000000001</v>
      </c>
      <c r="M3674">
        <v>0.99988060000000001</v>
      </c>
      <c r="N3674">
        <v>0</v>
      </c>
      <c r="O3674">
        <v>-1.3377129999999999E-2</v>
      </c>
      <c r="P3674">
        <v>0.99498330000000001</v>
      </c>
      <c r="Q3674">
        <v>2.2626199999999999E-2</v>
      </c>
      <c r="R3674">
        <v>-9.744775E-2</v>
      </c>
      <c r="S3674">
        <v>2.9851990000000002</v>
      </c>
      <c r="T3674">
        <v>-0.79960410000000004</v>
      </c>
      <c r="U3674">
        <v>-0.4861298</v>
      </c>
      <c r="V3674">
        <v>8.4119040000000006E-2</v>
      </c>
      <c r="W3674">
        <v>3.0355380000000001E-2</v>
      </c>
      <c r="X3674">
        <v>0.99599329999999997</v>
      </c>
      <c r="Y3674">
        <v>0.14305850000000001</v>
      </c>
      <c r="Z3674">
        <v>-1.5212379999999999E-2</v>
      </c>
      <c r="AA3674">
        <v>0.98959730000000001</v>
      </c>
      <c r="AB3674">
        <v>32</v>
      </c>
      <c r="AC3674">
        <v>0.65929999999997302</v>
      </c>
      <c r="AD3674">
        <v>-0.24378559999999999</v>
      </c>
      <c r="AE3674">
        <v>-0.14520000000001601</v>
      </c>
      <c r="AF3674">
        <v>0.12063614810033101</v>
      </c>
      <c r="AG3674">
        <v>-0.24378559999999999</v>
      </c>
      <c r="AH3674">
        <v>0.58491059671233403</v>
      </c>
      <c r="AI3674">
        <v>112.20526584094701</v>
      </c>
      <c r="AJ3674">
        <v>78.3463156192919</v>
      </c>
      <c r="AK3674">
        <v>0.64506193899673203</v>
      </c>
      <c r="AL3674">
        <v>88.260497727491895</v>
      </c>
      <c r="AM3674">
        <v>85.172402151080306</v>
      </c>
      <c r="AN3674">
        <v>1.00000005781517</v>
      </c>
    </row>
    <row r="3675" spans="1:40" x14ac:dyDescent="0.25">
      <c r="A3675" t="str">
        <f>"20190312154909001"</f>
        <v>20190312154909001</v>
      </c>
      <c r="B3675" t="str">
        <f>"1552376948989515"</f>
        <v>1552376948989515</v>
      </c>
      <c r="C3675" t="s">
        <v>40</v>
      </c>
      <c r="D3675">
        <v>4.6377420000000003</v>
      </c>
      <c r="E3675">
        <v>0.52832819999999903</v>
      </c>
      <c r="F3675" t="s">
        <v>41</v>
      </c>
      <c r="G3675">
        <v>-273.3159</v>
      </c>
      <c r="H3675">
        <v>0.92628730000000004</v>
      </c>
      <c r="I3675">
        <v>214.5059</v>
      </c>
      <c r="J3675">
        <v>-273.75920000000002</v>
      </c>
      <c r="K3675">
        <v>1.109148</v>
      </c>
      <c r="L3675">
        <v>214.61439999999999</v>
      </c>
      <c r="M3675">
        <v>0.99988440000000001</v>
      </c>
      <c r="N3675">
        <v>0</v>
      </c>
      <c r="O3675">
        <v>-1.324375E-2</v>
      </c>
      <c r="P3675">
        <v>0.99491779999999996</v>
      </c>
      <c r="Q3675">
        <v>2.3082680000000001E-2</v>
      </c>
      <c r="R3675">
        <v>-9.8012080000000001E-2</v>
      </c>
      <c r="S3675">
        <v>2.9857480000000001</v>
      </c>
      <c r="T3675">
        <v>-0.79793719999999901</v>
      </c>
      <c r="U3675">
        <v>-0.4856567</v>
      </c>
      <c r="V3675">
        <v>8.4816429999999998E-2</v>
      </c>
      <c r="W3675">
        <v>3.055509E-2</v>
      </c>
      <c r="X3675">
        <v>0.99592800000000004</v>
      </c>
      <c r="Y3675">
        <v>0.14302509999999999</v>
      </c>
      <c r="Z3675">
        <v>-1.520967E-2</v>
      </c>
      <c r="AA3675">
        <v>0.98960219999999999</v>
      </c>
      <c r="AB3675">
        <v>32</v>
      </c>
      <c r="AC3675">
        <v>0.44330000000002201</v>
      </c>
      <c r="AD3675">
        <v>-0.18286069999999999</v>
      </c>
      <c r="AE3675">
        <v>-0.10849999999999201</v>
      </c>
      <c r="AF3675">
        <v>8.8423947235586997E-2</v>
      </c>
      <c r="AG3675">
        <v>-0.18286069999999999</v>
      </c>
      <c r="AH3675">
        <v>0.38318266397167</v>
      </c>
      <c r="AI3675">
        <v>114.938206949709</v>
      </c>
      <c r="AJ3675">
        <v>77.005783747009403</v>
      </c>
      <c r="AK3675">
        <v>0.43368857953333001</v>
      </c>
      <c r="AL3675">
        <v>88.249049795285899</v>
      </c>
      <c r="AM3675">
        <v>85.132252780619197</v>
      </c>
      <c r="AN3675">
        <v>1.0000000107534199</v>
      </c>
    </row>
    <row r="3676" spans="1:40" x14ac:dyDescent="0.25">
      <c r="A3676" t="str">
        <f>"20190312154909022"</f>
        <v>20190312154909022</v>
      </c>
      <c r="B3676" t="str">
        <f>"1552376949010011"</f>
        <v>1552376949010011</v>
      </c>
      <c r="C3676" t="s">
        <v>40</v>
      </c>
      <c r="D3676">
        <v>4.6951470000000004</v>
      </c>
      <c r="E3676">
        <v>0.52833140000000001</v>
      </c>
      <c r="F3676" t="s">
        <v>41</v>
      </c>
      <c r="G3676">
        <v>-273.03109999999998</v>
      </c>
      <c r="H3676">
        <v>0.91510530000000001</v>
      </c>
      <c r="I3676">
        <v>214.49520000000001</v>
      </c>
      <c r="J3676">
        <v>-273.44110000000001</v>
      </c>
      <c r="K3676">
        <v>1.109105</v>
      </c>
      <c r="L3676">
        <v>214.6103</v>
      </c>
      <c r="M3676">
        <v>0.99988929999999998</v>
      </c>
      <c r="N3676">
        <v>0</v>
      </c>
      <c r="O3676">
        <v>-1.3068049999999999E-2</v>
      </c>
      <c r="P3676">
        <v>0.99487669999999995</v>
      </c>
      <c r="Q3676">
        <v>2.3659159999999999E-2</v>
      </c>
      <c r="R3676">
        <v>-9.8289219999999997E-2</v>
      </c>
      <c r="S3676">
        <v>2.9858090000000002</v>
      </c>
      <c r="T3676">
        <v>-0.79577659999999995</v>
      </c>
      <c r="U3676">
        <v>-0.48716739999999997</v>
      </c>
      <c r="V3676">
        <v>8.5269349999999994E-2</v>
      </c>
      <c r="W3676">
        <v>3.0792440000000001E-2</v>
      </c>
      <c r="X3676">
        <v>0.99588200000000004</v>
      </c>
      <c r="Y3676">
        <v>0.14367939999999901</v>
      </c>
      <c r="Z3676">
        <v>-1.529986E-2</v>
      </c>
      <c r="AA3676">
        <v>0.989506</v>
      </c>
      <c r="AB3676">
        <v>32</v>
      </c>
      <c r="AC3676">
        <v>0.41000000000002501</v>
      </c>
      <c r="AD3676">
        <v>-0.1939997</v>
      </c>
      <c r="AE3676">
        <v>-0.11509999999998401</v>
      </c>
      <c r="AF3676">
        <v>9.0872912972618999E-2</v>
      </c>
      <c r="AG3676">
        <v>-0.1939997</v>
      </c>
      <c r="AH3676">
        <v>0.34075160451137299</v>
      </c>
      <c r="AI3676">
        <v>118.81532592225</v>
      </c>
      <c r="AJ3676">
        <v>75.067669435269195</v>
      </c>
      <c r="AK3676">
        <v>0.40249897625869102</v>
      </c>
      <c r="AL3676">
        <v>88.235444216049004</v>
      </c>
      <c r="AM3676">
        <v>85.106159952250096</v>
      </c>
      <c r="AN3676">
        <v>0.99999999716728805</v>
      </c>
    </row>
    <row r="3677" spans="1:40" x14ac:dyDescent="0.25">
      <c r="A3677" t="str">
        <f>"20190312154909046"</f>
        <v>20190312154909046</v>
      </c>
      <c r="B3677" t="str">
        <f>"1552376949039291"</f>
        <v>1552376949039291</v>
      </c>
      <c r="C3677" t="s">
        <v>40</v>
      </c>
      <c r="D3677">
        <v>4.7114900000000004</v>
      </c>
      <c r="E3677">
        <v>0.52829630000000005</v>
      </c>
      <c r="F3677" t="s">
        <v>41</v>
      </c>
      <c r="G3677">
        <v>-272.73700000000002</v>
      </c>
      <c r="H3677">
        <v>0.92213509999999999</v>
      </c>
      <c r="I3677">
        <v>214.495</v>
      </c>
      <c r="J3677">
        <v>-273.10829999999999</v>
      </c>
      <c r="K3677">
        <v>1.109064</v>
      </c>
      <c r="L3677">
        <v>214.6061</v>
      </c>
      <c r="M3677">
        <v>0.99989410000000001</v>
      </c>
      <c r="N3677">
        <v>0</v>
      </c>
      <c r="O3677">
        <v>-1.288426E-2</v>
      </c>
      <c r="P3677">
        <v>0.99478409999999995</v>
      </c>
      <c r="Q3677">
        <v>2.4474019999999999E-2</v>
      </c>
      <c r="R3677">
        <v>-9.9025020000000005E-2</v>
      </c>
      <c r="S3677">
        <v>2.9860530000000001</v>
      </c>
      <c r="T3677">
        <v>-0.79299059999999999</v>
      </c>
      <c r="U3677">
        <v>-0.48840329999999899</v>
      </c>
      <c r="V3677">
        <v>8.6189199999999994E-2</v>
      </c>
      <c r="W3677">
        <v>3.1254270000000001E-2</v>
      </c>
      <c r="X3677">
        <v>0.99578849999999997</v>
      </c>
      <c r="Y3677">
        <v>0.1442532</v>
      </c>
      <c r="Z3677">
        <v>-1.536847E-2</v>
      </c>
      <c r="AA3677">
        <v>0.98942149999999995</v>
      </c>
      <c r="AB3677">
        <v>32</v>
      </c>
      <c r="AC3677">
        <v>0.37129999999996199</v>
      </c>
      <c r="AD3677">
        <v>-0.18692889999999901</v>
      </c>
      <c r="AE3677">
        <v>-0.111099999999993</v>
      </c>
      <c r="AF3677">
        <v>8.6243939612045406E-2</v>
      </c>
      <c r="AG3677">
        <v>-0.18692889999999901</v>
      </c>
      <c r="AH3677">
        <v>0.30236250172350698</v>
      </c>
      <c r="AI3677">
        <v>120.732171377291</v>
      </c>
      <c r="AJ3677">
        <v>74.080070929402197</v>
      </c>
      <c r="AK3677">
        <v>0.36579162541468002</v>
      </c>
      <c r="AL3677">
        <v>88.208970697413804</v>
      </c>
      <c r="AM3677">
        <v>85.053165650419302</v>
      </c>
      <c r="AN3677">
        <v>1.00000007216105</v>
      </c>
    </row>
    <row r="3678" spans="1:40" x14ac:dyDescent="0.25">
      <c r="A3678" t="str">
        <f>"20190312154909068"</f>
        <v>20190312154909068</v>
      </c>
      <c r="B3678" t="str">
        <f>"1552376949059787"</f>
        <v>1552376949059787</v>
      </c>
      <c r="C3678" t="s">
        <v>40</v>
      </c>
      <c r="D3678">
        <v>4.7039559999999998</v>
      </c>
      <c r="E3678">
        <v>0.52828809999999904</v>
      </c>
      <c r="F3678" t="s">
        <v>41</v>
      </c>
      <c r="G3678">
        <v>-272.1755</v>
      </c>
      <c r="H3678">
        <v>0.86245300000000003</v>
      </c>
      <c r="I3678">
        <v>214.4528</v>
      </c>
      <c r="J3678">
        <v>-272.77569999999997</v>
      </c>
      <c r="K3678">
        <v>1.1090279999999999</v>
      </c>
      <c r="L3678">
        <v>214.602</v>
      </c>
      <c r="M3678">
        <v>0.99989870000000003</v>
      </c>
      <c r="N3678">
        <v>0</v>
      </c>
      <c r="O3678">
        <v>-1.2701169999999999E-2</v>
      </c>
      <c r="P3678">
        <v>0.99469490000000005</v>
      </c>
      <c r="Q3678">
        <v>2.5291669999999999E-2</v>
      </c>
      <c r="R3678">
        <v>-9.9710989999999999E-2</v>
      </c>
      <c r="S3678">
        <v>2.9863279999999999</v>
      </c>
      <c r="T3678">
        <v>-0.78954530000000001</v>
      </c>
      <c r="U3678">
        <v>-0.49053960000000002</v>
      </c>
      <c r="V3678">
        <v>8.7058499999999997E-2</v>
      </c>
      <c r="W3678">
        <v>3.1733730000000002E-2</v>
      </c>
      <c r="X3678">
        <v>0.99569759999999996</v>
      </c>
      <c r="Y3678">
        <v>0.145113299999999</v>
      </c>
      <c r="Z3678">
        <v>-1.5460049999999999E-2</v>
      </c>
      <c r="AA3678">
        <v>0.98929420000000001</v>
      </c>
      <c r="AB3678">
        <v>33</v>
      </c>
      <c r="AC3678">
        <v>0.60019999999997198</v>
      </c>
      <c r="AD3678">
        <v>-0.24657499999999999</v>
      </c>
      <c r="AE3678">
        <v>-0.14920000000000699</v>
      </c>
      <c r="AF3678">
        <v>0.12214877803288</v>
      </c>
      <c r="AG3678">
        <v>-0.24657499999999999</v>
      </c>
      <c r="AH3678">
        <v>0.519475061422636</v>
      </c>
      <c r="AI3678">
        <v>114.799769789268</v>
      </c>
      <c r="AJ3678">
        <v>76.767908881063903</v>
      </c>
      <c r="AK3678">
        <v>0.58785533427874703</v>
      </c>
      <c r="AL3678">
        <v>88.181485829080401</v>
      </c>
      <c r="AM3678">
        <v>85.003069606536798</v>
      </c>
      <c r="AN3678">
        <v>0.99999996134386004</v>
      </c>
    </row>
    <row r="3679" spans="1:40" x14ac:dyDescent="0.25">
      <c r="A3679" t="str">
        <f>"20190312154909091"</f>
        <v>20190312154909091</v>
      </c>
      <c r="B3679" t="str">
        <f>"1552376949079307"</f>
        <v>1552376949079307</v>
      </c>
      <c r="C3679" t="s">
        <v>40</v>
      </c>
      <c r="D3679">
        <v>4.741263</v>
      </c>
      <c r="E3679">
        <v>0.52816409999999903</v>
      </c>
      <c r="F3679" t="s">
        <v>41</v>
      </c>
      <c r="G3679">
        <v>-271.87670000000003</v>
      </c>
      <c r="H3679">
        <v>0.87240099999999998</v>
      </c>
      <c r="I3679">
        <v>214.45310000000001</v>
      </c>
      <c r="J3679">
        <v>-272.45010000000002</v>
      </c>
      <c r="K3679">
        <v>1.108994</v>
      </c>
      <c r="L3679">
        <v>214.59800000000001</v>
      </c>
      <c r="M3679">
        <v>0.99990279999999998</v>
      </c>
      <c r="N3679">
        <v>0</v>
      </c>
      <c r="O3679">
        <v>-1.252227E-2</v>
      </c>
      <c r="P3679">
        <v>0.9946429</v>
      </c>
      <c r="Q3679">
        <v>2.651541E-2</v>
      </c>
      <c r="R3679">
        <v>-9.9913189999999999E-2</v>
      </c>
      <c r="S3679">
        <v>2.9865110000000001</v>
      </c>
      <c r="T3679">
        <v>-0.78617630000000005</v>
      </c>
      <c r="U3679">
        <v>-0.49348449999999999</v>
      </c>
      <c r="V3679">
        <v>8.7438950000000001E-2</v>
      </c>
      <c r="W3679">
        <v>3.2649739999999997E-2</v>
      </c>
      <c r="X3679">
        <v>0.99563469999999998</v>
      </c>
      <c r="Y3679">
        <v>0.14622579999999999</v>
      </c>
      <c r="Z3679">
        <v>-1.55832E-2</v>
      </c>
      <c r="AA3679">
        <v>0.98912849999999997</v>
      </c>
      <c r="AB3679">
        <v>33</v>
      </c>
      <c r="AC3679">
        <v>0.57339999999999203</v>
      </c>
      <c r="AD3679">
        <v>-0.236593</v>
      </c>
      <c r="AE3679">
        <v>-0.14489999999997799</v>
      </c>
      <c r="AF3679">
        <v>0.11871081258885199</v>
      </c>
      <c r="AG3679">
        <v>-0.236593</v>
      </c>
      <c r="AH3679">
        <v>0.49582252881938399</v>
      </c>
      <c r="AI3679">
        <v>114.894012083513</v>
      </c>
      <c r="AJ3679">
        <v>76.535585110892697</v>
      </c>
      <c r="AK3679">
        <v>0.56205736785434501</v>
      </c>
      <c r="AL3679">
        <v>88.128975204209397</v>
      </c>
      <c r="AM3679">
        <v>84.981028614249993</v>
      </c>
      <c r="AN3679">
        <v>1.00000001567163</v>
      </c>
    </row>
    <row r="3680" spans="1:40" x14ac:dyDescent="0.25">
      <c r="A3680" t="str">
        <f>"20190312154909112"</f>
        <v>20190312154909112</v>
      </c>
      <c r="B3680" t="str">
        <f>"1552376949099333"</f>
        <v>1552376949099333</v>
      </c>
      <c r="C3680" t="s">
        <v>40</v>
      </c>
      <c r="D3680">
        <v>4.7296339999999999</v>
      </c>
      <c r="E3680">
        <v>0.52802879999999996</v>
      </c>
      <c r="F3680" t="s">
        <v>41</v>
      </c>
      <c r="G3680">
        <v>-271.57740000000001</v>
      </c>
      <c r="H3680">
        <v>0.88066639999999996</v>
      </c>
      <c r="I3680">
        <v>214.4537</v>
      </c>
      <c r="J3680">
        <v>-272.1164</v>
      </c>
      <c r="K3680">
        <v>1.10897</v>
      </c>
      <c r="L3680">
        <v>214.5941</v>
      </c>
      <c r="M3680">
        <v>0.99990679999999998</v>
      </c>
      <c r="N3680">
        <v>0</v>
      </c>
      <c r="O3680">
        <v>-1.233942E-2</v>
      </c>
      <c r="P3680">
        <v>0.99463679999999999</v>
      </c>
      <c r="Q3680">
        <v>2.7033450000000001E-2</v>
      </c>
      <c r="R3680">
        <v>-9.9833580000000005E-2</v>
      </c>
      <c r="S3680">
        <v>2.9873660000000002</v>
      </c>
      <c r="T3680">
        <v>-0.78153850000000002</v>
      </c>
      <c r="U3680">
        <v>-0.4936371</v>
      </c>
      <c r="V3680">
        <v>8.7541289999999994E-2</v>
      </c>
      <c r="W3680">
        <v>3.2877539999999997E-2</v>
      </c>
      <c r="X3680">
        <v>0.99561820000000001</v>
      </c>
      <c r="Y3680">
        <v>0.14645069999999999</v>
      </c>
      <c r="Z3680">
        <v>-1.556539E-2</v>
      </c>
      <c r="AA3680">
        <v>0.98909550000000002</v>
      </c>
      <c r="AB3680">
        <v>33</v>
      </c>
      <c r="AC3680">
        <v>0.53899999999998705</v>
      </c>
      <c r="AD3680">
        <v>-0.228303599999999</v>
      </c>
      <c r="AE3680">
        <v>-0.140399999999999</v>
      </c>
      <c r="AF3680">
        <v>0.114500863380081</v>
      </c>
      <c r="AG3680">
        <v>-0.228303599999999</v>
      </c>
      <c r="AH3680">
        <v>0.46291646300581002</v>
      </c>
      <c r="AI3680">
        <v>115.58311516960001</v>
      </c>
      <c r="AJ3680">
        <v>76.106925532011303</v>
      </c>
      <c r="AK3680">
        <v>0.52870089200752601</v>
      </c>
      <c r="AL3680">
        <v>88.115916194938706</v>
      </c>
      <c r="AM3680">
        <v>84.975101535276707</v>
      </c>
      <c r="AN3680">
        <v>1.0000000051312701</v>
      </c>
    </row>
    <row r="3681" spans="1:40" x14ac:dyDescent="0.25">
      <c r="A3681" t="str">
        <f>"20190312154909127"</f>
        <v>20190312154909127</v>
      </c>
      <c r="B3681" t="str">
        <f>"1552376949119829"</f>
        <v>1552376949119829</v>
      </c>
      <c r="C3681" t="s">
        <v>40</v>
      </c>
      <c r="D3681">
        <v>4.7527530000000002</v>
      </c>
      <c r="E3681">
        <v>0.52794940000000001</v>
      </c>
      <c r="F3681" t="s">
        <v>41</v>
      </c>
      <c r="G3681">
        <v>-271.27640000000002</v>
      </c>
      <c r="H3681">
        <v>0.88983500000000004</v>
      </c>
      <c r="I3681">
        <v>214.4554</v>
      </c>
      <c r="J3681">
        <v>-271.89769999999999</v>
      </c>
      <c r="K3681">
        <v>1.1089610000000001</v>
      </c>
      <c r="L3681">
        <v>214.59139999999999</v>
      </c>
      <c r="M3681">
        <v>0.99990939999999995</v>
      </c>
      <c r="N3681">
        <v>0</v>
      </c>
      <c r="O3681">
        <v>-1.2219850000000001E-2</v>
      </c>
      <c r="P3681">
        <v>0.9946583</v>
      </c>
      <c r="Q3681">
        <v>2.8314349999999999E-2</v>
      </c>
      <c r="R3681">
        <v>-9.9264489999999997E-2</v>
      </c>
      <c r="S3681">
        <v>2.9879760000000002</v>
      </c>
      <c r="T3681">
        <v>-0.77948319999999904</v>
      </c>
      <c r="U3681">
        <v>-0.49237059999999999</v>
      </c>
      <c r="V3681">
        <v>8.7090500000000001E-2</v>
      </c>
      <c r="W3681">
        <v>3.3980320000000001E-2</v>
      </c>
      <c r="X3681">
        <v>0.99562070000000003</v>
      </c>
      <c r="Y3681">
        <v>0.14615799999999901</v>
      </c>
      <c r="Z3681">
        <v>-1.5516399999999901E-2</v>
      </c>
      <c r="AA3681">
        <v>0.98913960000000001</v>
      </c>
      <c r="AB3681">
        <v>33</v>
      </c>
      <c r="AC3681">
        <v>0.62129999999996199</v>
      </c>
      <c r="AD3681">
        <v>-0.21912599999999999</v>
      </c>
      <c r="AE3681">
        <v>-0.13599999999999501</v>
      </c>
      <c r="AF3681">
        <v>0.114773643544477</v>
      </c>
      <c r="AG3681">
        <v>-0.21912599999999999</v>
      </c>
      <c r="AH3681">
        <v>0.55681978296998702</v>
      </c>
      <c r="AI3681">
        <v>111.078090038806</v>
      </c>
      <c r="AJ3681">
        <v>78.353111665498403</v>
      </c>
      <c r="AK3681">
        <v>0.60929259295942395</v>
      </c>
      <c r="AL3681">
        <v>88.052696204213902</v>
      </c>
      <c r="AM3681">
        <v>85.0008580557421</v>
      </c>
      <c r="AN3681">
        <v>0.99999999780302096</v>
      </c>
    </row>
    <row r="3682" spans="1:40" x14ac:dyDescent="0.25">
      <c r="A3682" t="str">
        <f>"20190312154909146"</f>
        <v>20190312154909146</v>
      </c>
      <c r="B3682" t="str">
        <f>"1552376949139353"</f>
        <v>1552376949139353</v>
      </c>
      <c r="C3682" t="s">
        <v>40</v>
      </c>
      <c r="D3682">
        <v>4.7716719999999997</v>
      </c>
      <c r="E3682">
        <v>0.52782499999999999</v>
      </c>
      <c r="F3682" t="s">
        <v>41</v>
      </c>
      <c r="G3682">
        <v>-270.98489999999998</v>
      </c>
      <c r="H3682">
        <v>0.87217369999999905</v>
      </c>
      <c r="I3682">
        <v>214.4417</v>
      </c>
      <c r="J3682">
        <v>-271.62380000000002</v>
      </c>
      <c r="K3682">
        <v>1.1089439999999999</v>
      </c>
      <c r="L3682">
        <v>214.5882</v>
      </c>
      <c r="M3682">
        <v>0.99991240000000003</v>
      </c>
      <c r="N3682">
        <v>0</v>
      </c>
      <c r="O3682">
        <v>-1.2070300000000001E-2</v>
      </c>
      <c r="P3682">
        <v>0.99471500000000002</v>
      </c>
      <c r="Q3682">
        <v>2.970739E-2</v>
      </c>
      <c r="R3682">
        <v>-9.8284189999999994E-2</v>
      </c>
      <c r="S3682">
        <v>2.9892880000000002</v>
      </c>
      <c r="T3682">
        <v>-0.77549239999999997</v>
      </c>
      <c r="U3682">
        <v>-0.48986819999999998</v>
      </c>
      <c r="V3682">
        <v>8.6258280000000007E-2</v>
      </c>
      <c r="W3682">
        <v>3.5166459999999997E-2</v>
      </c>
      <c r="X3682">
        <v>0.99565199999999998</v>
      </c>
      <c r="Y3682">
        <v>0.14549329999999999</v>
      </c>
      <c r="Z3682">
        <v>-1.538759E-2</v>
      </c>
      <c r="AA3682">
        <v>0.9892396</v>
      </c>
      <c r="AB3682">
        <v>33</v>
      </c>
      <c r="AC3682">
        <v>0.638900000000035</v>
      </c>
      <c r="AD3682">
        <v>-0.23677029999999999</v>
      </c>
      <c r="AE3682">
        <v>-0.14650000000000299</v>
      </c>
      <c r="AF3682">
        <v>0.12276012103944001</v>
      </c>
      <c r="AG3682">
        <v>-0.23677029999999999</v>
      </c>
      <c r="AH3682">
        <v>0.56668269666773996</v>
      </c>
      <c r="AI3682">
        <v>112.21247577508301</v>
      </c>
      <c r="AJ3682">
        <v>77.776917933952504</v>
      </c>
      <c r="AK3682">
        <v>0.62630623578432398</v>
      </c>
      <c r="AL3682">
        <v>87.984694811183601</v>
      </c>
      <c r="AM3682">
        <v>85.048545138882702</v>
      </c>
      <c r="AN3682">
        <v>1.0000000379407401</v>
      </c>
    </row>
    <row r="3683" spans="1:40" x14ac:dyDescent="0.25">
      <c r="A3683" t="str">
        <f>"20190312154909167"</f>
        <v>20190312154909167</v>
      </c>
      <c r="B3683" t="str">
        <f>"1552376949159845"</f>
        <v>1552376949159845</v>
      </c>
      <c r="C3683" t="s">
        <v>40</v>
      </c>
      <c r="D3683">
        <v>4.7768750000000004</v>
      </c>
      <c r="E3683">
        <v>0.52766669999999904</v>
      </c>
      <c r="F3683" t="s">
        <v>41</v>
      </c>
      <c r="G3683">
        <v>-270.68700000000001</v>
      </c>
      <c r="H3683">
        <v>0.86734619999999996</v>
      </c>
      <c r="I3683">
        <v>214.4357</v>
      </c>
      <c r="J3683">
        <v>-271.30059999999997</v>
      </c>
      <c r="K3683">
        <v>1.108922</v>
      </c>
      <c r="L3683">
        <v>214.58449999999999</v>
      </c>
      <c r="M3683">
        <v>0.99991569999999996</v>
      </c>
      <c r="N3683">
        <v>0</v>
      </c>
      <c r="O3683">
        <v>-1.1894389999999999E-2</v>
      </c>
      <c r="P3683">
        <v>0.99480440000000003</v>
      </c>
      <c r="Q3683">
        <v>3.0082770000000002E-2</v>
      </c>
      <c r="R3683">
        <v>-9.7259239999999997E-2</v>
      </c>
      <c r="S3683">
        <v>2.990936</v>
      </c>
      <c r="T3683">
        <v>-0.7713856</v>
      </c>
      <c r="U3683">
        <v>-0.48594670000000001</v>
      </c>
      <c r="V3683">
        <v>8.5407330000000004E-2</v>
      </c>
      <c r="W3683">
        <v>3.532325E-2</v>
      </c>
      <c r="X3683">
        <v>0.99571980000000004</v>
      </c>
      <c r="Y3683">
        <v>0.1443943</v>
      </c>
      <c r="Z3683">
        <v>-1.520788E-2</v>
      </c>
      <c r="AA3683">
        <v>0.98940340000000004</v>
      </c>
      <c r="AB3683">
        <v>33</v>
      </c>
      <c r="AC3683">
        <v>0.61359999999996195</v>
      </c>
      <c r="AD3683">
        <v>-0.24157579999999901</v>
      </c>
      <c r="AE3683">
        <v>-0.14879999999999399</v>
      </c>
      <c r="AF3683">
        <v>0.12342279750575701</v>
      </c>
      <c r="AG3683">
        <v>-0.24157579999999901</v>
      </c>
      <c r="AH3683">
        <v>0.53675025714358704</v>
      </c>
      <c r="AI3683">
        <v>113.683432425733</v>
      </c>
      <c r="AJ3683">
        <v>77.050252834090401</v>
      </c>
      <c r="AK3683">
        <v>0.60140908925081404</v>
      </c>
      <c r="AL3683">
        <v>87.975705809541296</v>
      </c>
      <c r="AM3683">
        <v>85.0974848713564</v>
      </c>
      <c r="AN3683">
        <v>1.0000000320601601</v>
      </c>
    </row>
    <row r="3684" spans="1:40" x14ac:dyDescent="0.25">
      <c r="A3684" t="str">
        <f>"20190312154909184"</f>
        <v>20190312154909184</v>
      </c>
      <c r="B3684" t="str">
        <f>"1552376949169606"</f>
        <v>1552376949169606</v>
      </c>
      <c r="C3684" t="s">
        <v>40</v>
      </c>
      <c r="D3684">
        <v>4.7772379999999997</v>
      </c>
      <c r="E3684">
        <v>0.52759330000000004</v>
      </c>
      <c r="F3684" t="s">
        <v>41</v>
      </c>
      <c r="G3684">
        <v>-270.38369999999998</v>
      </c>
      <c r="H3684">
        <v>0.87294130000000003</v>
      </c>
      <c r="I3684">
        <v>214.4367</v>
      </c>
      <c r="J3684">
        <v>-271.05099999999999</v>
      </c>
      <c r="K3684">
        <v>1.1089089999999999</v>
      </c>
      <c r="L3684">
        <v>214.58160000000001</v>
      </c>
      <c r="M3684">
        <v>0.99991799999999997</v>
      </c>
      <c r="N3684">
        <v>0</v>
      </c>
      <c r="O3684">
        <v>-1.175872E-2</v>
      </c>
      <c r="P3684">
        <v>0.99483969999999999</v>
      </c>
      <c r="Q3684">
        <v>3.1045349999999999E-2</v>
      </c>
      <c r="R3684">
        <v>-9.6592520000000001E-2</v>
      </c>
      <c r="S3684">
        <v>2.9918819999999999</v>
      </c>
      <c r="T3684">
        <v>-0.77002869999999901</v>
      </c>
      <c r="U3684">
        <v>-0.4813385</v>
      </c>
      <c r="V3684">
        <v>8.4875019999999995E-2</v>
      </c>
      <c r="W3684">
        <v>3.6133350000000002E-2</v>
      </c>
      <c r="X3684">
        <v>0.99573619999999996</v>
      </c>
      <c r="Y3684">
        <v>0.14304810000000001</v>
      </c>
      <c r="Z3684">
        <v>-1.5043839999999999E-2</v>
      </c>
      <c r="AA3684">
        <v>0.98960139999999996</v>
      </c>
      <c r="AB3684">
        <v>34</v>
      </c>
      <c r="AC3684">
        <v>0.667300000000011</v>
      </c>
      <c r="AD3684">
        <v>-0.235967699999999</v>
      </c>
      <c r="AE3684">
        <v>-0.144900000000006</v>
      </c>
      <c r="AF3684">
        <v>0.12242418752159701</v>
      </c>
      <c r="AG3684">
        <v>-0.235967699999999</v>
      </c>
      <c r="AH3684">
        <v>0.59759662549357995</v>
      </c>
      <c r="AI3684">
        <v>111.147836137585</v>
      </c>
      <c r="AJ3684">
        <v>78.422521943774697</v>
      </c>
      <c r="AK3684">
        <v>0.65405669779838405</v>
      </c>
      <c r="AL3684">
        <v>87.929260745971305</v>
      </c>
      <c r="AM3684">
        <v>85.127972622420302</v>
      </c>
      <c r="AN3684">
        <v>0.99999998399633105</v>
      </c>
    </row>
    <row r="3685" spans="1:40" x14ac:dyDescent="0.25">
      <c r="A3685" t="str">
        <f>"20190312154909201"</f>
        <v>20190312154909201</v>
      </c>
      <c r="B3685" t="str">
        <f>"1552376949189125"</f>
        <v>1552376949189125</v>
      </c>
      <c r="C3685" t="s">
        <v>40</v>
      </c>
      <c r="D3685">
        <v>4.798311</v>
      </c>
      <c r="E3685">
        <v>0.52758660000000002</v>
      </c>
      <c r="F3685" t="s">
        <v>41</v>
      </c>
      <c r="G3685">
        <v>-270.3596</v>
      </c>
      <c r="H3685">
        <v>0.93169939999999996</v>
      </c>
      <c r="I3685">
        <v>214.47069999999999</v>
      </c>
      <c r="J3685">
        <v>-270.78519999999997</v>
      </c>
      <c r="K3685">
        <v>1.1089009999999999</v>
      </c>
      <c r="L3685">
        <v>214.57859999999999</v>
      </c>
      <c r="M3685">
        <v>0.99992049999999999</v>
      </c>
      <c r="N3685">
        <v>0</v>
      </c>
      <c r="O3685">
        <v>-1.161449E-2</v>
      </c>
      <c r="P3685">
        <v>0.99489539999999999</v>
      </c>
      <c r="Q3685">
        <v>3.2337659999999997E-2</v>
      </c>
      <c r="R3685">
        <v>-9.5590990000000001E-2</v>
      </c>
      <c r="S3685">
        <v>2.993042</v>
      </c>
      <c r="T3685">
        <v>-0.76717590000000002</v>
      </c>
      <c r="U3685">
        <v>-0.47866819999999999</v>
      </c>
      <c r="V3685">
        <v>8.4015950000000006E-2</v>
      </c>
      <c r="W3685">
        <v>3.7281759999999997E-2</v>
      </c>
      <c r="X3685">
        <v>0.99576679999999995</v>
      </c>
      <c r="Y3685">
        <v>0.142321</v>
      </c>
      <c r="Z3685">
        <v>-1.4930250000000001E-2</v>
      </c>
      <c r="AA3685">
        <v>0.98970789999999997</v>
      </c>
      <c r="AB3685">
        <v>34</v>
      </c>
      <c r="AC3685">
        <v>0.425599999999974</v>
      </c>
      <c r="AD3685">
        <v>-0.17720159999999899</v>
      </c>
      <c r="AE3685">
        <v>-0.1079</v>
      </c>
      <c r="AF3685">
        <v>8.8529499712891396E-2</v>
      </c>
      <c r="AG3685">
        <v>-0.17720159999999899</v>
      </c>
      <c r="AH3685">
        <v>0.36703964003093997</v>
      </c>
      <c r="AI3685">
        <v>115.141933260041</v>
      </c>
      <c r="AJ3685">
        <v>76.439342180707797</v>
      </c>
      <c r="AK3685">
        <v>0.41708030008143199</v>
      </c>
      <c r="AL3685">
        <v>87.863417492573205</v>
      </c>
      <c r="AM3685">
        <v>85.177198995798307</v>
      </c>
      <c r="AN3685">
        <v>1.0000000647326599</v>
      </c>
    </row>
    <row r="3686" spans="1:40" x14ac:dyDescent="0.25">
      <c r="A3686" t="str">
        <f>"20190312154909223"</f>
        <v>20190312154909223</v>
      </c>
      <c r="B3686" t="str">
        <f>"1552376949219382"</f>
        <v>1552376949219382</v>
      </c>
      <c r="C3686" t="s">
        <v>40</v>
      </c>
      <c r="D3686">
        <v>4.805828</v>
      </c>
      <c r="E3686">
        <v>0.52774359999999998</v>
      </c>
      <c r="F3686" t="s">
        <v>41</v>
      </c>
      <c r="G3686">
        <v>-270.0607</v>
      </c>
      <c r="H3686">
        <v>0.92417199999999999</v>
      </c>
      <c r="I3686">
        <v>214.4631</v>
      </c>
      <c r="J3686">
        <v>-270.45249999999999</v>
      </c>
      <c r="K3686">
        <v>1.108886</v>
      </c>
      <c r="L3686">
        <v>214.57490000000001</v>
      </c>
      <c r="M3686">
        <v>0.99992329999999996</v>
      </c>
      <c r="N3686">
        <v>0</v>
      </c>
      <c r="O3686">
        <v>-1.1433759999999999E-2</v>
      </c>
      <c r="P3686">
        <v>0.9949249</v>
      </c>
      <c r="Q3686">
        <v>3.3176240000000003E-2</v>
      </c>
      <c r="R3686">
        <v>-9.4995709999999997E-2</v>
      </c>
      <c r="S3686">
        <v>2.9945369999999998</v>
      </c>
      <c r="T3686">
        <v>-0.76352500000000001</v>
      </c>
      <c r="U3686">
        <v>-0.47566219999999998</v>
      </c>
      <c r="V3686">
        <v>8.3599999999999994E-2</v>
      </c>
      <c r="W3686">
        <v>3.7958859999999997E-2</v>
      </c>
      <c r="X3686">
        <v>0.9957762</v>
      </c>
      <c r="Y3686">
        <v>0.141515</v>
      </c>
      <c r="Z3686">
        <v>-1.47999E-2</v>
      </c>
      <c r="AA3686">
        <v>0.98982550000000002</v>
      </c>
      <c r="AB3686">
        <v>34</v>
      </c>
      <c r="AC3686">
        <v>0.39179999999998899</v>
      </c>
      <c r="AD3686">
        <v>-0.18471399999999999</v>
      </c>
      <c r="AE3686">
        <v>-0.111800000000016</v>
      </c>
      <c r="AF3686">
        <v>8.9017212877572999E-2</v>
      </c>
      <c r="AG3686">
        <v>-0.18471399999999999</v>
      </c>
      <c r="AH3686">
        <v>0.32604148842063002</v>
      </c>
      <c r="AI3686">
        <v>118.657994644421</v>
      </c>
      <c r="AJ3686">
        <v>74.729048211556204</v>
      </c>
      <c r="AK3686">
        <v>0.38515760171134</v>
      </c>
      <c r="AL3686">
        <v>87.824594981152799</v>
      </c>
      <c r="AM3686">
        <v>85.201009237565899</v>
      </c>
      <c r="AN3686">
        <v>1.00000003776946</v>
      </c>
    </row>
    <row r="3687" spans="1:40" x14ac:dyDescent="0.25">
      <c r="A3687" t="str">
        <f>"20190312154909239"</f>
        <v>20190312154909239</v>
      </c>
      <c r="B3687" t="str">
        <f>"1552376949229141"</f>
        <v>1552376949229141</v>
      </c>
      <c r="C3687" t="s">
        <v>40</v>
      </c>
      <c r="D3687">
        <v>4.8050129999999998</v>
      </c>
      <c r="E3687">
        <v>0.52957759999999998</v>
      </c>
      <c r="F3687" t="s">
        <v>41</v>
      </c>
      <c r="G3687">
        <v>-269.75400000000002</v>
      </c>
      <c r="H3687">
        <v>0.93094069999999995</v>
      </c>
      <c r="I3687">
        <v>214.4641</v>
      </c>
      <c r="J3687">
        <v>-270.2056</v>
      </c>
      <c r="K3687">
        <v>1.1088769999999999</v>
      </c>
      <c r="L3687">
        <v>214.57220000000001</v>
      </c>
      <c r="M3687">
        <v>0.99992530000000002</v>
      </c>
      <c r="N3687">
        <v>0</v>
      </c>
      <c r="O3687">
        <v>-1.1299780000000001E-2</v>
      </c>
      <c r="P3687">
        <v>0.99494530000000003</v>
      </c>
      <c r="Q3687">
        <v>3.3316119999999998E-2</v>
      </c>
      <c r="R3687">
        <v>-9.4733070000000003E-2</v>
      </c>
      <c r="S3687">
        <v>2.995422</v>
      </c>
      <c r="T3687">
        <v>-0.76315940000000004</v>
      </c>
      <c r="U3687">
        <v>-0.47467039999999999</v>
      </c>
      <c r="V3687">
        <v>8.3470489999999994E-2</v>
      </c>
      <c r="W3687">
        <v>3.7995080000000001E-2</v>
      </c>
      <c r="X3687">
        <v>0.9957857</v>
      </c>
      <c r="Y3687">
        <v>0.14129120000000001</v>
      </c>
      <c r="Z3687">
        <v>-1.4794699999999999E-2</v>
      </c>
      <c r="AA3687">
        <v>0.9898576</v>
      </c>
      <c r="AB3687">
        <v>34</v>
      </c>
      <c r="AC3687">
        <v>0.45159999999998401</v>
      </c>
      <c r="AD3687">
        <v>-0.17793629999999999</v>
      </c>
      <c r="AE3687">
        <v>-0.108100000000007</v>
      </c>
      <c r="AF3687">
        <v>8.9803889471884196E-2</v>
      </c>
      <c r="AG3687">
        <v>-0.17793629999999999</v>
      </c>
      <c r="AH3687">
        <v>0.39482007789539297</v>
      </c>
      <c r="AI3687">
        <v>113.72320983420499</v>
      </c>
      <c r="AJ3687">
        <v>77.185791575435303</v>
      </c>
      <c r="AK3687">
        <v>0.44227701650808499</v>
      </c>
      <c r="AL3687">
        <v>87.822518266548499</v>
      </c>
      <c r="AM3687">
        <v>85.208454513379607</v>
      </c>
      <c r="AN3687">
        <v>1.00000005456476</v>
      </c>
    </row>
    <row r="3688" spans="1:40" x14ac:dyDescent="0.25">
      <c r="A3688" t="str">
        <f>"20190312154909257"</f>
        <v>20190312154909257</v>
      </c>
      <c r="B3688" t="str">
        <f>"1552376949249638"</f>
        <v>1552376949249638</v>
      </c>
      <c r="C3688" t="s">
        <v>40</v>
      </c>
      <c r="D3688">
        <v>4.8143320000000003</v>
      </c>
      <c r="E3688">
        <v>0.53081619999999996</v>
      </c>
      <c r="F3688" t="s">
        <v>41</v>
      </c>
      <c r="G3688">
        <v>-269.45940000000002</v>
      </c>
      <c r="H3688">
        <v>0.90698190000000001</v>
      </c>
      <c r="I3688">
        <v>214.45079999999999</v>
      </c>
      <c r="J3688">
        <v>-269.93790000000001</v>
      </c>
      <c r="K3688">
        <v>1.108868</v>
      </c>
      <c r="L3688">
        <v>214.5693</v>
      </c>
      <c r="M3688">
        <v>0.99992749999999997</v>
      </c>
      <c r="N3688">
        <v>0</v>
      </c>
      <c r="O3688">
        <v>-1.115496E-2</v>
      </c>
      <c r="P3688">
        <v>0.99492689999999995</v>
      </c>
      <c r="Q3688">
        <v>3.3378150000000002E-2</v>
      </c>
      <c r="R3688">
        <v>-9.4904009999999997E-2</v>
      </c>
      <c r="S3688">
        <v>2.9960019999999998</v>
      </c>
      <c r="T3688">
        <v>-0.81059989999999904</v>
      </c>
      <c r="U3688">
        <v>-0.48672490000000002</v>
      </c>
      <c r="V3688">
        <v>8.3785899999999996E-2</v>
      </c>
      <c r="W3688">
        <v>3.7956009999999998E-2</v>
      </c>
      <c r="X3688">
        <v>0.9957606</v>
      </c>
      <c r="Y3688">
        <v>0.1446585</v>
      </c>
      <c r="Z3688">
        <v>-1.615923E-2</v>
      </c>
      <c r="AA3688">
        <v>0.9893497</v>
      </c>
      <c r="AB3688">
        <v>34</v>
      </c>
      <c r="AC3688">
        <v>0.47849999999999598</v>
      </c>
      <c r="AD3688">
        <v>-0.20188610000000001</v>
      </c>
      <c r="AE3688">
        <v>-0.118500000000011</v>
      </c>
      <c r="AF3688">
        <v>9.6902007543632998E-2</v>
      </c>
      <c r="AG3688">
        <v>-0.20188610000000001</v>
      </c>
      <c r="AH3688">
        <v>0.41087755239201101</v>
      </c>
      <c r="AI3688">
        <v>115.558686205835</v>
      </c>
      <c r="AJ3688">
        <v>76.729762404732398</v>
      </c>
      <c r="AK3688">
        <v>0.46794055124432798</v>
      </c>
      <c r="AL3688">
        <v>87.824758209840596</v>
      </c>
      <c r="AM3688">
        <v>85.190312806978298</v>
      </c>
      <c r="AN3688">
        <v>0.99999995412314402</v>
      </c>
    </row>
    <row r="3689" spans="1:40" x14ac:dyDescent="0.25">
      <c r="A3689" t="str">
        <f>"20190312154909275"</f>
        <v>20190312154909275</v>
      </c>
      <c r="B3689" t="str">
        <f>"1552376949269158"</f>
        <v>1552376949269158</v>
      </c>
      <c r="C3689" t="s">
        <v>40</v>
      </c>
      <c r="D3689">
        <v>3.601283</v>
      </c>
      <c r="E3689">
        <v>0.53081619999999996</v>
      </c>
      <c r="F3689" t="s">
        <v>41</v>
      </c>
      <c r="G3689">
        <v>-269.15699999999998</v>
      </c>
      <c r="H3689">
        <v>0.89708589999999999</v>
      </c>
      <c r="I3689">
        <v>214.43950000000001</v>
      </c>
      <c r="J3689">
        <v>-269.66890000000001</v>
      </c>
      <c r="K3689">
        <v>1.10886</v>
      </c>
      <c r="L3689">
        <v>214.56639999999999</v>
      </c>
      <c r="M3689">
        <v>0.99992950000000003</v>
      </c>
      <c r="N3689">
        <v>0</v>
      </c>
      <c r="O3689">
        <v>-1.1007889999999999E-2</v>
      </c>
      <c r="P3689">
        <v>0.99492420000000004</v>
      </c>
      <c r="Q3689">
        <v>3.3069800000000003E-2</v>
      </c>
      <c r="R3689">
        <v>-9.5040150000000004E-2</v>
      </c>
      <c r="S3689">
        <v>2.995117</v>
      </c>
      <c r="T3689">
        <v>-0.81233239999999995</v>
      </c>
      <c r="U3689">
        <v>-0.49736019999999997</v>
      </c>
      <c r="V3689">
        <v>8.4068370000000003E-2</v>
      </c>
      <c r="W3689">
        <v>3.7555270000000002E-2</v>
      </c>
      <c r="X3689">
        <v>0.99575199999999997</v>
      </c>
      <c r="Y3689">
        <v>0.148123799999999</v>
      </c>
      <c r="Z3689">
        <v>-1.6690299999999901E-2</v>
      </c>
      <c r="AA3689">
        <v>0.98882789999999998</v>
      </c>
      <c r="AB3689">
        <v>34</v>
      </c>
      <c r="AC3689">
        <v>0.511900000000025</v>
      </c>
      <c r="AD3689">
        <v>-0.21177409999999999</v>
      </c>
      <c r="AE3689">
        <v>-0.126899999999977</v>
      </c>
      <c r="AF3689">
        <v>0.10442050398180799</v>
      </c>
      <c r="AG3689">
        <v>-0.21177409999999999</v>
      </c>
      <c r="AH3689">
        <v>0.44199793836601398</v>
      </c>
      <c r="AI3689">
        <v>114.999326112302</v>
      </c>
      <c r="AJ3689">
        <v>76.707781472871204</v>
      </c>
      <c r="AK3689">
        <v>0.50111285016693796</v>
      </c>
      <c r="AL3689">
        <v>87.847735332782705</v>
      </c>
      <c r="AM3689">
        <v>85.174132728399798</v>
      </c>
      <c r="AN3689">
        <v>0.999999967321614</v>
      </c>
    </row>
    <row r="3690" spans="1:40" x14ac:dyDescent="0.25">
      <c r="A3690" t="str">
        <f>"20190312154909357"</f>
        <v>20190312154909357</v>
      </c>
      <c r="B3690" t="str">
        <f>"1552376949349523"</f>
        <v>1552376949349523</v>
      </c>
      <c r="C3690" t="s">
        <v>40</v>
      </c>
      <c r="D3690">
        <v>4.246683</v>
      </c>
      <c r="E3690">
        <v>0.53220190000000001</v>
      </c>
      <c r="F3690" t="s">
        <v>41</v>
      </c>
      <c r="G3690">
        <v>-267.91849999999999</v>
      </c>
      <c r="H3690">
        <v>0.89956119999999995</v>
      </c>
      <c r="I3690">
        <v>214.43039999999999</v>
      </c>
      <c r="J3690">
        <v>-268.38720000000001</v>
      </c>
      <c r="K3690">
        <v>1.1088290000000001</v>
      </c>
      <c r="L3690">
        <v>214.55330000000001</v>
      </c>
      <c r="M3690">
        <v>0.99993949999999998</v>
      </c>
      <c r="N3690">
        <v>0</v>
      </c>
      <c r="O3690">
        <v>-1.0211639999999999E-2</v>
      </c>
      <c r="P3690">
        <v>0.99444129999999997</v>
      </c>
      <c r="Q3690">
        <v>3.3685729999999997E-2</v>
      </c>
      <c r="R3690">
        <v>-9.9760050000000003E-2</v>
      </c>
      <c r="S3690">
        <v>2.993347</v>
      </c>
      <c r="T3690">
        <v>-0.889059499999999</v>
      </c>
      <c r="U3690">
        <v>-0.5317383</v>
      </c>
      <c r="V3690">
        <v>8.9582350000000005E-2</v>
      </c>
      <c r="W3690">
        <v>3.7806859999999998E-2</v>
      </c>
      <c r="X3690">
        <v>0.99526159999999997</v>
      </c>
      <c r="Y3690">
        <v>0.1586255</v>
      </c>
      <c r="Z3690">
        <v>-1.994423E-2</v>
      </c>
      <c r="AA3690">
        <v>0.98713740000000005</v>
      </c>
      <c r="AB3690">
        <v>35</v>
      </c>
      <c r="AC3690">
        <v>0.468700000000012</v>
      </c>
      <c r="AD3690">
        <v>-0.2092678</v>
      </c>
      <c r="AE3690">
        <v>-0.122900000000015</v>
      </c>
      <c r="AF3690">
        <v>9.9540587220793605E-2</v>
      </c>
      <c r="AG3690">
        <v>-0.2092678</v>
      </c>
      <c r="AH3690">
        <v>0.39605633085797298</v>
      </c>
      <c r="AI3690">
        <v>117.13251301264</v>
      </c>
      <c r="AJ3690">
        <v>75.892092246240196</v>
      </c>
      <c r="AK3690">
        <v>0.45887030611467999</v>
      </c>
      <c r="AL3690">
        <v>87.833310122583896</v>
      </c>
      <c r="AM3690">
        <v>84.856732567043807</v>
      </c>
      <c r="AN3690">
        <v>1.00000000426457</v>
      </c>
    </row>
    <row r="3691" spans="1:40" x14ac:dyDescent="0.25">
      <c r="A3691" t="str">
        <f>"20190312154909380"</f>
        <v>20190312154909380</v>
      </c>
      <c r="B3691" t="str">
        <f>"1552376949369043"</f>
        <v>1552376949369043</v>
      </c>
      <c r="C3691" t="s">
        <v>40</v>
      </c>
      <c r="D3691">
        <v>4.7834440000000003</v>
      </c>
      <c r="E3691">
        <v>0.52633249999999998</v>
      </c>
      <c r="F3691" t="s">
        <v>41</v>
      </c>
      <c r="G3691">
        <v>-267.61579999999998</v>
      </c>
      <c r="H3691">
        <v>0.87531399999999904</v>
      </c>
      <c r="I3691">
        <v>214.4196</v>
      </c>
      <c r="J3691">
        <v>-268.02449999999999</v>
      </c>
      <c r="K3691">
        <v>1.108833</v>
      </c>
      <c r="L3691">
        <v>214.5498</v>
      </c>
      <c r="M3691">
        <v>0.99994300000000003</v>
      </c>
      <c r="N3691">
        <v>0</v>
      </c>
      <c r="O3691">
        <v>-9.9226009999999996E-3</v>
      </c>
      <c r="P3691">
        <v>0.99430890000000005</v>
      </c>
      <c r="Q3691">
        <v>3.4351680000000002E-2</v>
      </c>
      <c r="R3691">
        <v>-0.1008482</v>
      </c>
      <c r="S3691">
        <v>2.9954830000000001</v>
      </c>
      <c r="T3691">
        <v>-0.90673959999999998</v>
      </c>
      <c r="U3691">
        <v>-0.5183411</v>
      </c>
      <c r="V3691">
        <v>9.0956770000000006E-2</v>
      </c>
      <c r="W3691">
        <v>3.836722E-2</v>
      </c>
      <c r="X3691">
        <v>0.99511550000000004</v>
      </c>
      <c r="Y3691">
        <v>0.15443270000000001</v>
      </c>
      <c r="Z3691">
        <v>-1.978649E-2</v>
      </c>
      <c r="AA3691">
        <v>0.98780509999999999</v>
      </c>
      <c r="AB3691">
        <v>35</v>
      </c>
      <c r="AC3691">
        <v>0.40870000000001</v>
      </c>
      <c r="AD3691">
        <v>-0.233519</v>
      </c>
      <c r="AE3691">
        <v>-0.13020000000000201</v>
      </c>
      <c r="AF3691">
        <v>9.7299979476744403E-2</v>
      </c>
      <c r="AG3691">
        <v>-0.233519</v>
      </c>
      <c r="AH3691">
        <v>0.31624243529718299</v>
      </c>
      <c r="AI3691">
        <v>125.213199839631</v>
      </c>
      <c r="AJ3691">
        <v>72.898162330738501</v>
      </c>
      <c r="AK3691">
        <v>0.40497862567037701</v>
      </c>
      <c r="AL3691">
        <v>87.801180577016694</v>
      </c>
      <c r="AM3691">
        <v>84.777492380092099</v>
      </c>
      <c r="AN3691">
        <v>1.0000000179598001</v>
      </c>
    </row>
    <row r="3692" spans="1:40" x14ac:dyDescent="0.25">
      <c r="A3692" t="str">
        <f>"20190312154909396"</f>
        <v>20190312154909396</v>
      </c>
      <c r="B3692" t="str">
        <f>"1552376949389538"</f>
        <v>1552376949389538</v>
      </c>
      <c r="C3692" t="s">
        <v>40</v>
      </c>
      <c r="D3692">
        <v>4.9833720000000001</v>
      </c>
      <c r="E3692">
        <v>0.52419659999999901</v>
      </c>
      <c r="F3692" t="s">
        <v>41</v>
      </c>
      <c r="G3692">
        <v>-267.29180000000002</v>
      </c>
      <c r="H3692">
        <v>0.90036919999999898</v>
      </c>
      <c r="I3692">
        <v>214.4333</v>
      </c>
      <c r="J3692">
        <v>-267.76889999999997</v>
      </c>
      <c r="K3692">
        <v>1.1088389999999999</v>
      </c>
      <c r="L3692">
        <v>214.54740000000001</v>
      </c>
      <c r="M3692">
        <v>0.99994550000000004</v>
      </c>
      <c r="N3692">
        <v>0</v>
      </c>
      <c r="O3692">
        <v>-9.6900240000000002E-3</v>
      </c>
      <c r="P3692">
        <v>0.99430859999999999</v>
      </c>
      <c r="Q3692">
        <v>3.4436069999999999E-2</v>
      </c>
      <c r="R3692">
        <v>-0.1008197</v>
      </c>
      <c r="S3692">
        <v>2.9983219999999999</v>
      </c>
      <c r="T3692">
        <v>-0.85303340000000005</v>
      </c>
      <c r="U3692">
        <v>-0.47644039999999999</v>
      </c>
      <c r="V3692">
        <v>9.1157879999999997E-2</v>
      </c>
      <c r="W3692">
        <v>3.837103E-2</v>
      </c>
      <c r="X3692">
        <v>0.99509689999999995</v>
      </c>
      <c r="Y3692">
        <v>0.14222570000000001</v>
      </c>
      <c r="Z3692">
        <v>-1.7034710000000002E-2</v>
      </c>
      <c r="AA3692">
        <v>0.98968769999999995</v>
      </c>
      <c r="AB3692">
        <v>35</v>
      </c>
      <c r="AC3692">
        <v>0.47709999999995001</v>
      </c>
      <c r="AD3692">
        <v>-0.20846980000000001</v>
      </c>
      <c r="AE3692">
        <v>-0.114100000000007</v>
      </c>
      <c r="AF3692">
        <v>9.2725472971338305E-2</v>
      </c>
      <c r="AG3692">
        <v>-0.20846980000000001</v>
      </c>
      <c r="AH3692">
        <v>0.40503480879403297</v>
      </c>
      <c r="AI3692">
        <v>116.643673224301</v>
      </c>
      <c r="AJ3692">
        <v>77.105360575537702</v>
      </c>
      <c r="AK3692">
        <v>0.46487726034364901</v>
      </c>
      <c r="AL3692">
        <v>87.800962008679093</v>
      </c>
      <c r="AM3692">
        <v>84.765911927132194</v>
      </c>
      <c r="AN3692">
        <v>0.99999996770948196</v>
      </c>
    </row>
    <row r="3693" spans="1:40" x14ac:dyDescent="0.25">
      <c r="A3693" t="str">
        <f>"20190312154909413"</f>
        <v>20190312154909413</v>
      </c>
      <c r="B3693" t="str">
        <f>"1552376949409490"</f>
        <v>1552376949409490</v>
      </c>
      <c r="C3693" t="s">
        <v>40</v>
      </c>
      <c r="D3693">
        <v>6.2454289999999997</v>
      </c>
      <c r="E3693">
        <v>0.50194289999999997</v>
      </c>
      <c r="F3693" t="s">
        <v>41</v>
      </c>
      <c r="G3693">
        <v>-266.97820000000002</v>
      </c>
      <c r="H3693">
        <v>0.89542960000000005</v>
      </c>
      <c r="I3693">
        <v>214.4256</v>
      </c>
      <c r="J3693">
        <v>-267.50189999999998</v>
      </c>
      <c r="K3693">
        <v>1.108841</v>
      </c>
      <c r="L3693">
        <v>214.54509999999999</v>
      </c>
      <c r="M3693">
        <v>0.99994839999999996</v>
      </c>
      <c r="N3693">
        <v>0</v>
      </c>
      <c r="O3693">
        <v>-9.4234560000000002E-3</v>
      </c>
      <c r="P3693">
        <v>0.99423589999999995</v>
      </c>
      <c r="Q3693">
        <v>3.4679420000000002E-2</v>
      </c>
      <c r="R3693">
        <v>-0.1014526</v>
      </c>
      <c r="S3693">
        <v>2.9985050000000002</v>
      </c>
      <c r="T3693">
        <v>-0.80934209999999995</v>
      </c>
      <c r="U3693">
        <v>-0.46063229999999999</v>
      </c>
      <c r="V3693">
        <v>9.205402E-2</v>
      </c>
      <c r="W3693">
        <v>3.8526360000000003E-2</v>
      </c>
      <c r="X3693">
        <v>0.99500840000000002</v>
      </c>
      <c r="Y3693">
        <v>0.13802229999999999</v>
      </c>
      <c r="Z3693">
        <v>-1.5713890000000001E-2</v>
      </c>
      <c r="AA3693">
        <v>0.99030450000000003</v>
      </c>
      <c r="AB3693">
        <v>35</v>
      </c>
      <c r="AC3693">
        <v>0.52369999999996197</v>
      </c>
      <c r="AD3693">
        <v>-0.213411399999999</v>
      </c>
      <c r="AE3693">
        <v>-0.11949999999998701</v>
      </c>
      <c r="AF3693">
        <v>9.8942222841185895E-2</v>
      </c>
      <c r="AG3693">
        <v>-0.213411399999999</v>
      </c>
      <c r="AH3693">
        <v>0.453258948013531</v>
      </c>
      <c r="AI3693">
        <v>114.70268638450599</v>
      </c>
      <c r="AJ3693">
        <v>77.686028144034196</v>
      </c>
      <c r="AK3693">
        <v>0.51066394337670595</v>
      </c>
      <c r="AL3693">
        <v>87.792055673433197</v>
      </c>
      <c r="AM3693">
        <v>84.714280067005902</v>
      </c>
      <c r="AN3693">
        <v>0.99999996954178405</v>
      </c>
    </row>
    <row r="3694" spans="1:40" x14ac:dyDescent="0.25">
      <c r="A3694" t="str">
        <f>"20190312154909429"</f>
        <v>20190312154909429</v>
      </c>
      <c r="B3694" t="str">
        <f>"1552376949419249"</f>
        <v>1552376949419249</v>
      </c>
      <c r="C3694" t="s">
        <v>40</v>
      </c>
      <c r="D3694">
        <v>4.9111710000000004</v>
      </c>
      <c r="E3694">
        <v>0.50305069999999996</v>
      </c>
      <c r="F3694" t="s">
        <v>41</v>
      </c>
      <c r="G3694">
        <v>-266.59230000000002</v>
      </c>
      <c r="H3694">
        <v>1.0443789999999999</v>
      </c>
      <c r="I3694">
        <v>214.45160000000001</v>
      </c>
      <c r="J3694">
        <v>-267.24740000000003</v>
      </c>
      <c r="K3694">
        <v>1.108849</v>
      </c>
      <c r="L3694">
        <v>214.5429</v>
      </c>
      <c r="M3694">
        <v>0.99995120000000004</v>
      </c>
      <c r="N3694">
        <v>0</v>
      </c>
      <c r="O3694">
        <v>-9.1464140000000003E-3</v>
      </c>
      <c r="P3694">
        <v>0.99422520000000003</v>
      </c>
      <c r="Q3694">
        <v>3.4684729999999997E-2</v>
      </c>
      <c r="R3694">
        <v>-0.1015542</v>
      </c>
      <c r="S3694">
        <v>2.9933779999999999</v>
      </c>
      <c r="T3694">
        <v>-0.21215390000000001</v>
      </c>
      <c r="U3694">
        <v>-0.30784610000000001</v>
      </c>
      <c r="V3694">
        <v>9.2429010000000006E-2</v>
      </c>
      <c r="W3694">
        <v>3.8446319999999999E-2</v>
      </c>
      <c r="X3694">
        <v>0.99497679999999999</v>
      </c>
      <c r="Y3694">
        <v>9.2991939999999995E-2</v>
      </c>
      <c r="Z3694">
        <v>-2.636963E-3</v>
      </c>
      <c r="AA3694">
        <v>0.99566330000000003</v>
      </c>
      <c r="AB3694">
        <v>35</v>
      </c>
      <c r="AC3694">
        <v>0.65510000000000401</v>
      </c>
      <c r="AD3694">
        <v>-6.4469999999999805E-2</v>
      </c>
      <c r="AE3694">
        <v>-9.1299999999989695E-2</v>
      </c>
      <c r="AF3694">
        <v>8.4501518414759405E-2</v>
      </c>
      <c r="AG3694">
        <v>-6.4469999999999805E-2</v>
      </c>
      <c r="AH3694">
        <v>0.64973487780333905</v>
      </c>
      <c r="AI3694">
        <v>95.619610000642098</v>
      </c>
      <c r="AJ3694">
        <v>82.589967414577899</v>
      </c>
      <c r="AK3694">
        <v>0.65837094327477697</v>
      </c>
      <c r="AL3694">
        <v>87.796645176550101</v>
      </c>
      <c r="AM3694">
        <v>84.6927033409806</v>
      </c>
      <c r="AN3694">
        <v>1.00000003697468</v>
      </c>
    </row>
    <row r="3695" spans="1:40" x14ac:dyDescent="0.25">
      <c r="A3695" t="str">
        <f>"20190312154909442"</f>
        <v>20190312154909442</v>
      </c>
      <c r="B3695" t="str">
        <f>"1552376949439745"</f>
        <v>1552376949439745</v>
      </c>
      <c r="C3695" t="s">
        <v>40</v>
      </c>
      <c r="D3695">
        <v>4.9414300000000004</v>
      </c>
      <c r="E3695">
        <v>0.50182689999999996</v>
      </c>
      <c r="F3695" t="s">
        <v>41</v>
      </c>
      <c r="G3695">
        <v>-266.2722</v>
      </c>
      <c r="H3695">
        <v>1.0481579999999999</v>
      </c>
      <c r="I3695">
        <v>214.43879999999999</v>
      </c>
      <c r="J3695">
        <v>-267.0351</v>
      </c>
      <c r="K3695">
        <v>1.1088559999999901</v>
      </c>
      <c r="L3695">
        <v>214.5411</v>
      </c>
      <c r="M3695">
        <v>0.99995389999999995</v>
      </c>
      <c r="N3695">
        <v>0</v>
      </c>
      <c r="O3695">
        <v>-8.8988650000000006E-3</v>
      </c>
      <c r="P3695">
        <v>0.99425140000000001</v>
      </c>
      <c r="Q3695">
        <v>3.444084E-2</v>
      </c>
      <c r="R3695">
        <v>-0.1013802</v>
      </c>
      <c r="S3695">
        <v>2.991425</v>
      </c>
      <c r="T3695">
        <v>-0.1864365</v>
      </c>
      <c r="U3695">
        <v>-0.31809999999999999</v>
      </c>
      <c r="V3695">
        <v>9.2499380000000006E-2</v>
      </c>
      <c r="W3695">
        <v>3.8130879999999999E-2</v>
      </c>
      <c r="X3695">
        <v>0.99498240000000004</v>
      </c>
      <c r="Y3695">
        <v>9.6719449999999998E-2</v>
      </c>
      <c r="Z3695">
        <v>-2.4501420000000002E-3</v>
      </c>
      <c r="AA3695">
        <v>0.99530870000000005</v>
      </c>
      <c r="AB3695">
        <v>35</v>
      </c>
      <c r="AC3695">
        <v>0.76290000000000102</v>
      </c>
      <c r="AD3695">
        <v>-6.0697999999999898E-2</v>
      </c>
      <c r="AE3695">
        <v>-0.10230000000001301</v>
      </c>
      <c r="AF3695">
        <v>9.4916737372947299E-2</v>
      </c>
      <c r="AG3695">
        <v>-6.0697999999999898E-2</v>
      </c>
      <c r="AH3695">
        <v>0.75906006528737202</v>
      </c>
      <c r="AI3695">
        <v>94.536728809108595</v>
      </c>
      <c r="AJ3695">
        <v>82.872439706803604</v>
      </c>
      <c r="AK3695">
        <v>0.767375799039554</v>
      </c>
      <c r="AL3695">
        <v>87.814731820996101</v>
      </c>
      <c r="AM3695">
        <v>84.688715500426596</v>
      </c>
      <c r="AN3695">
        <v>1.0000000378098499</v>
      </c>
    </row>
    <row r="3696" spans="1:40" x14ac:dyDescent="0.25">
      <c r="A3696" t="str">
        <f>"20190312154909458"</f>
        <v>20190312154909458</v>
      </c>
      <c r="B3696" t="str">
        <f>"1552376949449506"</f>
        <v>1552376949449506</v>
      </c>
      <c r="C3696" t="s">
        <v>40</v>
      </c>
      <c r="D3696">
        <v>4.9277319999999998</v>
      </c>
      <c r="E3696">
        <v>0.50232159999999904</v>
      </c>
      <c r="F3696" t="s">
        <v>50</v>
      </c>
      <c r="G3696">
        <v>-247.607</v>
      </c>
      <c r="H3696" s="1">
        <v>2.6021449999999998E-6</v>
      </c>
      <c r="I3696">
        <v>212.5378</v>
      </c>
      <c r="J3696">
        <v>-266.79759999999999</v>
      </c>
      <c r="K3696">
        <v>1.1088559999999901</v>
      </c>
      <c r="L3696">
        <v>214.53919999999999</v>
      </c>
      <c r="M3696">
        <v>0.99995679999999998</v>
      </c>
      <c r="N3696">
        <v>0</v>
      </c>
      <c r="O3696">
        <v>-8.6025519999999994E-3</v>
      </c>
      <c r="P3696">
        <v>0.99431360000000002</v>
      </c>
      <c r="Q3696">
        <v>3.3877909999999997E-2</v>
      </c>
      <c r="R3696">
        <v>-0.1009608</v>
      </c>
      <c r="S3696">
        <v>2.9917910000000001</v>
      </c>
      <c r="T3696">
        <v>-0.17075589999999999</v>
      </c>
      <c r="U3696">
        <v>-0.3085022</v>
      </c>
      <c r="V3696">
        <v>9.2372590000000004E-2</v>
      </c>
      <c r="W3696">
        <v>3.7489990000000001E-2</v>
      </c>
      <c r="X3696">
        <v>0.99501850000000003</v>
      </c>
      <c r="Y3696">
        <v>9.3874040000000006E-2</v>
      </c>
      <c r="Z3696">
        <v>-2.1804429999999998E-3</v>
      </c>
      <c r="AA3696">
        <v>0.99558170000000001</v>
      </c>
      <c r="AB3696">
        <v>35</v>
      </c>
      <c r="AC3696">
        <v>19.1905999999999</v>
      </c>
      <c r="AD3696">
        <v>-1.1088533978549999</v>
      </c>
      <c r="AE3696">
        <v>-2.0013999999999799</v>
      </c>
      <c r="AF3696">
        <v>1.83019215442268</v>
      </c>
      <c r="AG3696">
        <v>-1.1088533978549999</v>
      </c>
      <c r="AH3696">
        <v>19.143880080242301</v>
      </c>
      <c r="AI3696">
        <v>93.299974284408293</v>
      </c>
      <c r="AJ3696">
        <v>84.539009060602694</v>
      </c>
      <c r="AK3696">
        <v>19.263107322203801</v>
      </c>
      <c r="AL3696">
        <v>87.851478318299698</v>
      </c>
      <c r="AM3696">
        <v>84.696145528095798</v>
      </c>
      <c r="AN3696">
        <v>1.0000000050378699</v>
      </c>
    </row>
    <row r="3697" spans="1:40" x14ac:dyDescent="0.25">
      <c r="A3697" t="str">
        <f>"20190312154909482"</f>
        <v>20190312154909482</v>
      </c>
      <c r="B3697" t="str">
        <f>"1552376949470002"</f>
        <v>1552376949470002</v>
      </c>
      <c r="C3697" t="s">
        <v>40</v>
      </c>
      <c r="D3697">
        <v>4.9578800000000003</v>
      </c>
      <c r="E3697">
        <v>0.50230459999999999</v>
      </c>
      <c r="F3697" t="s">
        <v>50</v>
      </c>
      <c r="G3697">
        <v>-246.2998</v>
      </c>
      <c r="H3697" s="1">
        <v>1.912387E-6</v>
      </c>
      <c r="I3697">
        <v>212.4032</v>
      </c>
      <c r="J3697">
        <v>-266.40969999999999</v>
      </c>
      <c r="K3697">
        <v>1.10886</v>
      </c>
      <c r="L3697">
        <v>214.53630000000001</v>
      </c>
      <c r="M3697">
        <v>0.9999614</v>
      </c>
      <c r="N3697">
        <v>0</v>
      </c>
      <c r="O3697">
        <v>-8.0918180000000006E-3</v>
      </c>
      <c r="P3697">
        <v>0.99444779999999999</v>
      </c>
      <c r="Q3697">
        <v>3.3253919999999999E-2</v>
      </c>
      <c r="R3697">
        <v>-9.9838640000000006E-2</v>
      </c>
      <c r="S3697">
        <v>2.991028</v>
      </c>
      <c r="T3697">
        <v>-0.16180349999999999</v>
      </c>
      <c r="U3697">
        <v>-0.3116913</v>
      </c>
      <c r="V3697">
        <v>9.1755069999999994E-2</v>
      </c>
      <c r="W3697">
        <v>3.674616E-2</v>
      </c>
      <c r="X3697">
        <v>0.99510339999999997</v>
      </c>
      <c r="Y3697">
        <v>9.5469449999999997E-2</v>
      </c>
      <c r="Z3697">
        <v>-2.1372399999999999E-3</v>
      </c>
      <c r="AA3697">
        <v>0.99543009999999998</v>
      </c>
      <c r="AB3697">
        <v>36</v>
      </c>
      <c r="AC3697">
        <v>20.1098999999999</v>
      </c>
      <c r="AD3697">
        <v>-1.1088580876130001</v>
      </c>
      <c r="AE3697">
        <v>-2.13310000000001</v>
      </c>
      <c r="AF3697">
        <v>1.9643974369658199</v>
      </c>
      <c r="AG3697">
        <v>-1.1088580876130001</v>
      </c>
      <c r="AH3697">
        <v>20.066171779762701</v>
      </c>
      <c r="AI3697">
        <v>93.147934093461004</v>
      </c>
      <c r="AJ3697">
        <v>84.408789769709699</v>
      </c>
      <c r="AK3697">
        <v>20.192564805981601</v>
      </c>
      <c r="AL3697">
        <v>87.894126069731698</v>
      </c>
      <c r="AM3697">
        <v>84.731849101112601</v>
      </c>
      <c r="AN3697">
        <v>1.0000000249184999</v>
      </c>
    </row>
    <row r="3698" spans="1:40" x14ac:dyDescent="0.25">
      <c r="A3698" t="str">
        <f>"20190312154909504"</f>
        <v>20190312154909504</v>
      </c>
      <c r="B3698" t="str">
        <f>"1552376949489522"</f>
        <v>1552376949489522</v>
      </c>
      <c r="C3698" t="s">
        <v>40</v>
      </c>
      <c r="D3698">
        <v>4.9840859999999996</v>
      </c>
      <c r="E3698">
        <v>0.50175729999999996</v>
      </c>
      <c r="F3698" t="s">
        <v>50</v>
      </c>
      <c r="G3698">
        <v>-245.62639999999999</v>
      </c>
      <c r="H3698" s="1">
        <v>1.554549E-6</v>
      </c>
      <c r="I3698">
        <v>212.3922</v>
      </c>
      <c r="J3698">
        <v>-266.06540000000001</v>
      </c>
      <c r="K3698">
        <v>1.108862</v>
      </c>
      <c r="L3698">
        <v>214.53389999999999</v>
      </c>
      <c r="M3698">
        <v>0.99996549999999995</v>
      </c>
      <c r="N3698">
        <v>0</v>
      </c>
      <c r="O3698">
        <v>-7.6133490000000002E-3</v>
      </c>
      <c r="P3698">
        <v>0.99464350000000001</v>
      </c>
      <c r="Q3698">
        <v>3.2639029999999999E-2</v>
      </c>
      <c r="R3698">
        <v>-9.8077440000000002E-2</v>
      </c>
      <c r="S3698">
        <v>2.9911189999999999</v>
      </c>
      <c r="T3698">
        <v>-0.15958639999999999</v>
      </c>
      <c r="U3698">
        <v>-0.30857849999999998</v>
      </c>
      <c r="V3698">
        <v>9.04668E-2</v>
      </c>
      <c r="W3698">
        <v>3.6033759999999998E-2</v>
      </c>
      <c r="X3698">
        <v>0.9952474</v>
      </c>
      <c r="Y3698">
        <v>9.4921220000000001E-2</v>
      </c>
      <c r="Z3698">
        <v>-2.1189059999999998E-3</v>
      </c>
      <c r="AA3698">
        <v>0.99548250000000005</v>
      </c>
      <c r="AB3698">
        <v>36</v>
      </c>
      <c r="AC3698">
        <v>20.439</v>
      </c>
      <c r="AD3698">
        <v>-1.108860445451</v>
      </c>
      <c r="AE3698">
        <v>-2.1416999999999802</v>
      </c>
      <c r="AF3698">
        <v>1.9802626245912001</v>
      </c>
      <c r="AG3698">
        <v>-1.108860445451</v>
      </c>
      <c r="AH3698">
        <v>20.395335603898701</v>
      </c>
      <c r="AI3698">
        <v>93.097474801959393</v>
      </c>
      <c r="AJ3698">
        <v>84.454312676031904</v>
      </c>
      <c r="AK3698">
        <v>20.5212262290901</v>
      </c>
      <c r="AL3698">
        <v>87.934970647146898</v>
      </c>
      <c r="AM3698">
        <v>84.8061555636164</v>
      </c>
      <c r="AN3698">
        <v>1.0000000304843599</v>
      </c>
    </row>
    <row r="3699" spans="1:40" x14ac:dyDescent="0.25">
      <c r="A3699" t="str">
        <f>"20190312154909524"</f>
        <v>20190312154909524</v>
      </c>
      <c r="B3699" t="str">
        <f>"1552376949519781"</f>
        <v>1552376949519781</v>
      </c>
      <c r="C3699" t="s">
        <v>40</v>
      </c>
      <c r="D3699">
        <v>5.0089899999999998</v>
      </c>
      <c r="E3699">
        <v>0.50095469999999998</v>
      </c>
      <c r="F3699" t="s">
        <v>50</v>
      </c>
      <c r="G3699">
        <v>-244.57310000000001</v>
      </c>
      <c r="H3699" s="1">
        <v>9.9434709999999992E-7</v>
      </c>
      <c r="I3699">
        <v>212.38460000000001</v>
      </c>
      <c r="J3699">
        <v>-265.71499999999997</v>
      </c>
      <c r="K3699">
        <v>1.1088610000000001</v>
      </c>
      <c r="L3699">
        <v>214.5316</v>
      </c>
      <c r="M3699">
        <v>0.99996949999999996</v>
      </c>
      <c r="N3699">
        <v>0</v>
      </c>
      <c r="O3699">
        <v>-7.1104779999999999E-3</v>
      </c>
      <c r="P3699">
        <v>0.9948671</v>
      </c>
      <c r="Q3699">
        <v>3.2388809999999997E-2</v>
      </c>
      <c r="R3699">
        <v>-9.5868809999999999E-2</v>
      </c>
      <c r="S3699">
        <v>2.99173</v>
      </c>
      <c r="T3699">
        <v>-0.15435360000000001</v>
      </c>
      <c r="U3699">
        <v>-0.29917909999999998</v>
      </c>
      <c r="V3699">
        <v>8.8755589999999995E-2</v>
      </c>
      <c r="W3699">
        <v>3.569543E-2</v>
      </c>
      <c r="X3699">
        <v>0.99541360000000001</v>
      </c>
      <c r="Y3699">
        <v>9.2315800000000003E-2</v>
      </c>
      <c r="Z3699">
        <v>-2.0082860000000002E-3</v>
      </c>
      <c r="AA3699">
        <v>0.99572780000000005</v>
      </c>
      <c r="AB3699">
        <v>36</v>
      </c>
      <c r="AC3699">
        <v>21.1418999999999</v>
      </c>
      <c r="AD3699">
        <v>-1.1088600056528899</v>
      </c>
      <c r="AE3699">
        <v>-2.14699999999999</v>
      </c>
      <c r="AF3699">
        <v>1.99119437731808</v>
      </c>
      <c r="AG3699">
        <v>-1.1088600056528899</v>
      </c>
      <c r="AH3699">
        <v>21.099183768113999</v>
      </c>
      <c r="AI3699">
        <v>92.995107716900804</v>
      </c>
      <c r="AJ3699">
        <v>84.608789753052704</v>
      </c>
      <c r="AK3699">
        <v>21.221922185349801</v>
      </c>
      <c r="AL3699">
        <v>87.954367896935594</v>
      </c>
      <c r="AM3699">
        <v>84.904723015627397</v>
      </c>
      <c r="AN3699">
        <v>0.999999976772046</v>
      </c>
    </row>
    <row r="3700" spans="1:40" x14ac:dyDescent="0.25">
      <c r="A3700" t="str">
        <f>"20190312154909543"</f>
        <v>20190312154909543</v>
      </c>
      <c r="B3700" t="str">
        <f>"1552376949529537"</f>
        <v>1552376949529537</v>
      </c>
      <c r="C3700" t="s">
        <v>40</v>
      </c>
      <c r="D3700">
        <v>5.0131540000000001</v>
      </c>
      <c r="E3700">
        <v>0.50072989999999995</v>
      </c>
      <c r="F3700" t="s">
        <v>50</v>
      </c>
      <c r="G3700">
        <v>-243.52799999999999</v>
      </c>
      <c r="H3700" s="1">
        <v>4.3708660000000001E-7</v>
      </c>
      <c r="I3700">
        <v>212.40950000000001</v>
      </c>
      <c r="J3700">
        <v>-265.42899999999997</v>
      </c>
      <c r="K3700">
        <v>1.1088639999999901</v>
      </c>
      <c r="L3700">
        <v>214.5299</v>
      </c>
      <c r="M3700">
        <v>0.99997259999999999</v>
      </c>
      <c r="N3700">
        <v>0</v>
      </c>
      <c r="O3700">
        <v>-6.691944E-3</v>
      </c>
      <c r="P3700">
        <v>0.99498399999999998</v>
      </c>
      <c r="Q3700">
        <v>3.2601449999999997E-2</v>
      </c>
      <c r="R3700">
        <v>-9.4573790000000005E-2</v>
      </c>
      <c r="S3700">
        <v>2.9927670000000002</v>
      </c>
      <c r="T3700">
        <v>-0.1495725</v>
      </c>
      <c r="U3700">
        <v>-0.28623959999999998</v>
      </c>
      <c r="V3700">
        <v>8.7875019999999998E-2</v>
      </c>
      <c r="W3700">
        <v>3.5843630000000001E-2</v>
      </c>
      <c r="X3700">
        <v>0.99548639999999999</v>
      </c>
      <c r="Y3700">
        <v>8.8444519999999999E-2</v>
      </c>
      <c r="Z3700">
        <v>-1.870287E-3</v>
      </c>
      <c r="AA3700">
        <v>0.9960793</v>
      </c>
      <c r="AB3700">
        <v>36</v>
      </c>
      <c r="AC3700">
        <v>21.901</v>
      </c>
      <c r="AD3700">
        <v>-1.1088635629133901</v>
      </c>
      <c r="AE3700">
        <v>-2.1203999999999801</v>
      </c>
      <c r="AF3700">
        <v>1.96879145124698</v>
      </c>
      <c r="AG3700">
        <v>-1.1088635629133901</v>
      </c>
      <c r="AH3700">
        <v>21.8591842736076</v>
      </c>
      <c r="AI3700">
        <v>92.892299560723799</v>
      </c>
      <c r="AJ3700">
        <v>84.853426708920594</v>
      </c>
      <c r="AK3700">
        <v>21.975660519929701</v>
      </c>
      <c r="AL3700">
        <v>87.945871228995998</v>
      </c>
      <c r="AM3700">
        <v>84.955379596310493</v>
      </c>
      <c r="AN3700">
        <v>0.99999997876826796</v>
      </c>
    </row>
    <row r="3701" spans="1:40" x14ac:dyDescent="0.25">
      <c r="A3701" t="str">
        <f>"20190312154909558"</f>
        <v>20190312154909558</v>
      </c>
      <c r="B3701" t="str">
        <f>"1552376949549057"</f>
        <v>1552376949549057</v>
      </c>
      <c r="C3701" t="s">
        <v>40</v>
      </c>
      <c r="D3701">
        <v>4.9484909999999998</v>
      </c>
      <c r="E3701">
        <v>0.50065850000000001</v>
      </c>
      <c r="F3701" t="s">
        <v>50</v>
      </c>
      <c r="G3701">
        <v>-243.20609999999999</v>
      </c>
      <c r="H3701" s="1">
        <v>2.6423519999999999E-7</v>
      </c>
      <c r="I3701">
        <v>212.44540000000001</v>
      </c>
      <c r="J3701">
        <v>-265.16840000000002</v>
      </c>
      <c r="K3701">
        <v>1.108865</v>
      </c>
      <c r="L3701">
        <v>214.5284</v>
      </c>
      <c r="M3701">
        <v>0.99997539999999996</v>
      </c>
      <c r="N3701">
        <v>0</v>
      </c>
      <c r="O3701">
        <v>-6.3074079999999996E-3</v>
      </c>
      <c r="P3701">
        <v>0.99511609999999995</v>
      </c>
      <c r="Q3701">
        <v>3.2838369999999999E-2</v>
      </c>
      <c r="R3701">
        <v>-9.3091160000000006E-2</v>
      </c>
      <c r="S3701">
        <v>2.9932560000000001</v>
      </c>
      <c r="T3701">
        <v>-0.14935560000000001</v>
      </c>
      <c r="U3701">
        <v>-0.2807617</v>
      </c>
      <c r="V3701">
        <v>8.6773100000000006E-2</v>
      </c>
      <c r="W3701">
        <v>3.6026620000000002E-2</v>
      </c>
      <c r="X3701">
        <v>0.99557649999999998</v>
      </c>
      <c r="Y3701">
        <v>8.7006959999999994E-2</v>
      </c>
      <c r="Z3701">
        <v>-1.8508019999999999E-3</v>
      </c>
      <c r="AA3701">
        <v>0.99620600000000004</v>
      </c>
      <c r="AB3701">
        <v>36</v>
      </c>
      <c r="AC3701">
        <v>21.962299999999999</v>
      </c>
      <c r="AD3701">
        <v>-1.1088647357648</v>
      </c>
      <c r="AE3701">
        <v>-2.08299999999999</v>
      </c>
      <c r="AF3701">
        <v>1.93953257587959</v>
      </c>
      <c r="AG3701">
        <v>-1.1088647357648</v>
      </c>
      <c r="AH3701">
        <v>21.919622483900898</v>
      </c>
      <c r="AI3701">
        <v>92.884745042449197</v>
      </c>
      <c r="AJ3701">
        <v>84.943418084710402</v>
      </c>
      <c r="AK3701">
        <v>22.0331844600788</v>
      </c>
      <c r="AL3701">
        <v>87.935379999234698</v>
      </c>
      <c r="AM3701">
        <v>85.018765500824998</v>
      </c>
      <c r="AN3701">
        <v>1.0000000277922401</v>
      </c>
    </row>
    <row r="3702" spans="1:40" x14ac:dyDescent="0.25">
      <c r="A3702" t="str">
        <f>"20190312154909582"</f>
        <v>20190312154909582</v>
      </c>
      <c r="B3702" t="str">
        <f>"1552376949569553"</f>
        <v>1552376949569553</v>
      </c>
      <c r="C3702" t="s">
        <v>40</v>
      </c>
      <c r="D3702">
        <v>4.9614010000000004</v>
      </c>
      <c r="E3702">
        <v>0.5005077</v>
      </c>
      <c r="F3702" t="s">
        <v>50</v>
      </c>
      <c r="G3702">
        <v>-242.48589999999999</v>
      </c>
      <c r="H3702" s="1">
        <v>-1.188072E-7</v>
      </c>
      <c r="I3702">
        <v>212.4401</v>
      </c>
      <c r="J3702">
        <v>-264.78609999999998</v>
      </c>
      <c r="K3702">
        <v>1.10887</v>
      </c>
      <c r="L3702">
        <v>214.5265</v>
      </c>
      <c r="M3702">
        <v>0.99997899999999995</v>
      </c>
      <c r="N3702">
        <v>0</v>
      </c>
      <c r="O3702">
        <v>-5.7405809999999998E-3</v>
      </c>
      <c r="P3702">
        <v>0.99518390000000001</v>
      </c>
      <c r="Q3702">
        <v>3.2902899999999999E-2</v>
      </c>
      <c r="R3702">
        <v>-9.2339980000000002E-2</v>
      </c>
      <c r="S3702">
        <v>2.9937740000000002</v>
      </c>
      <c r="T3702">
        <v>-0.1463544</v>
      </c>
      <c r="U3702">
        <v>-0.27563480000000001</v>
      </c>
      <c r="V3702">
        <v>8.6584690000000006E-2</v>
      </c>
      <c r="W3702">
        <v>3.6020419999999997E-2</v>
      </c>
      <c r="X3702">
        <v>0.99559310000000001</v>
      </c>
      <c r="Y3702">
        <v>8.5868749999999994E-2</v>
      </c>
      <c r="Z3702">
        <v>-1.813371E-3</v>
      </c>
      <c r="AA3702">
        <v>0.99630479999999999</v>
      </c>
      <c r="AB3702">
        <v>36</v>
      </c>
      <c r="AC3702">
        <v>22.300199999999901</v>
      </c>
      <c r="AD3702">
        <v>-1.1088701188071901</v>
      </c>
      <c r="AE3702">
        <v>-2.08639999999999</v>
      </c>
      <c r="AF3702">
        <v>1.95356059005772</v>
      </c>
      <c r="AG3702">
        <v>-1.1088701188071901</v>
      </c>
      <c r="AH3702">
        <v>22.2572552710709</v>
      </c>
      <c r="AI3702">
        <v>92.841247351575404</v>
      </c>
      <c r="AJ3702">
        <v>84.983897952631196</v>
      </c>
      <c r="AK3702">
        <v>22.370324184531199</v>
      </c>
      <c r="AL3702">
        <v>87.935735406345302</v>
      </c>
      <c r="AM3702">
        <v>85.029609449175993</v>
      </c>
      <c r="AN3702">
        <v>0.99999999998349098</v>
      </c>
    </row>
    <row r="3703" spans="1:40" x14ac:dyDescent="0.25">
      <c r="A3703" t="str">
        <f>"20190312154909597"</f>
        <v>20190312154909597</v>
      </c>
      <c r="B3703" t="str">
        <f>"1552376949589074"</f>
        <v>1552376949589074</v>
      </c>
      <c r="C3703" t="s">
        <v>40</v>
      </c>
      <c r="D3703">
        <v>4.9520900000000001</v>
      </c>
      <c r="E3703">
        <v>0.50038320000000003</v>
      </c>
      <c r="F3703" t="s">
        <v>50</v>
      </c>
      <c r="G3703">
        <v>-242.40389999999999</v>
      </c>
      <c r="H3703" s="1">
        <v>-1.6475820000000001E-7</v>
      </c>
      <c r="I3703">
        <v>212.49379999999999</v>
      </c>
      <c r="J3703">
        <v>-264.51949999999999</v>
      </c>
      <c r="K3703">
        <v>1.1088709999999999</v>
      </c>
      <c r="L3703">
        <v>214.52520000000001</v>
      </c>
      <c r="M3703">
        <v>0.99998140000000002</v>
      </c>
      <c r="N3703">
        <v>0</v>
      </c>
      <c r="O3703">
        <v>-5.3447449999999997E-3</v>
      </c>
      <c r="P3703">
        <v>0.99520390000000003</v>
      </c>
      <c r="Q3703">
        <v>3.2761579999999998E-2</v>
      </c>
      <c r="R3703">
        <v>-9.2176300000000003E-2</v>
      </c>
      <c r="S3703">
        <v>2.994202</v>
      </c>
      <c r="T3703">
        <v>-0.14834020000000001</v>
      </c>
      <c r="U3703">
        <v>-0.27192690000000003</v>
      </c>
      <c r="V3703">
        <v>8.6814390000000005E-2</v>
      </c>
      <c r="W3703">
        <v>3.5837910000000001E-2</v>
      </c>
      <c r="X3703">
        <v>0.99557969999999896</v>
      </c>
      <c r="Y3703">
        <v>8.5024520000000006E-2</v>
      </c>
      <c r="Z3703">
        <v>-1.8364869999999999E-3</v>
      </c>
      <c r="AA3703">
        <v>0.99637719999999996</v>
      </c>
      <c r="AB3703">
        <v>37</v>
      </c>
      <c r="AC3703">
        <v>22.115600000000001</v>
      </c>
      <c r="AD3703">
        <v>-1.1088711647581999</v>
      </c>
      <c r="AE3703">
        <v>-2.0314000000000099</v>
      </c>
      <c r="AF3703">
        <v>1.9084106340332101</v>
      </c>
      <c r="AG3703">
        <v>-1.1088711647581999</v>
      </c>
      <c r="AH3703">
        <v>22.071118983591301</v>
      </c>
      <c r="AI3703">
        <v>92.865494761597901</v>
      </c>
      <c r="AJ3703">
        <v>85.058130497780894</v>
      </c>
      <c r="AK3703">
        <v>22.1812064504158</v>
      </c>
      <c r="AL3703">
        <v>87.946199249247798</v>
      </c>
      <c r="AM3703">
        <v>85.016423108250194</v>
      </c>
      <c r="AN3703">
        <v>1.00000001657816</v>
      </c>
    </row>
    <row r="3704" spans="1:40" x14ac:dyDescent="0.25">
      <c r="A3704" t="str">
        <f>"20190312154909615"</f>
        <v>20190312154909615</v>
      </c>
      <c r="B3704" t="str">
        <f>"1552376949609575"</f>
        <v>1552376949609575</v>
      </c>
      <c r="C3704" t="s">
        <v>40</v>
      </c>
      <c r="D3704">
        <v>4.9656599999999997</v>
      </c>
      <c r="E3704">
        <v>0.50061270000000002</v>
      </c>
      <c r="F3704" t="s">
        <v>50</v>
      </c>
      <c r="G3704">
        <v>-242.34209999999999</v>
      </c>
      <c r="H3704" s="1">
        <v>-1.9882E-7</v>
      </c>
      <c r="I3704">
        <v>212.52080000000001</v>
      </c>
      <c r="J3704">
        <v>-264.23689999999999</v>
      </c>
      <c r="K3704">
        <v>1.1088750000000001</v>
      </c>
      <c r="L3704">
        <v>214.524</v>
      </c>
      <c r="M3704">
        <v>0.99998359999999997</v>
      </c>
      <c r="N3704">
        <v>0</v>
      </c>
      <c r="O3704">
        <v>-4.9249539999999996E-3</v>
      </c>
      <c r="P3704">
        <v>0.99518600000000002</v>
      </c>
      <c r="Q3704">
        <v>3.2791340000000002E-2</v>
      </c>
      <c r="R3704">
        <v>-9.2358480000000007E-2</v>
      </c>
      <c r="S3704">
        <v>2.9943240000000002</v>
      </c>
      <c r="T3704">
        <v>-0.1497164</v>
      </c>
      <c r="U3704">
        <v>-0.27062989999999998</v>
      </c>
      <c r="V3704">
        <v>8.7413999999999895E-2</v>
      </c>
      <c r="W3704">
        <v>3.5829800000000002E-2</v>
      </c>
      <c r="X3704">
        <v>0.99552750000000001</v>
      </c>
      <c r="Y3704">
        <v>8.5008769999999997E-2</v>
      </c>
      <c r="Z3704">
        <v>-1.874002E-3</v>
      </c>
      <c r="AA3704">
        <v>0.9963784</v>
      </c>
      <c r="AB3704">
        <v>37</v>
      </c>
      <c r="AC3704">
        <v>21.8948</v>
      </c>
      <c r="AD3704">
        <v>-1.1088751988200001</v>
      </c>
      <c r="AE3704">
        <v>-2.0031999999999899</v>
      </c>
      <c r="AF3704">
        <v>1.8905354378527399</v>
      </c>
      <c r="AG3704">
        <v>-1.1088751988200001</v>
      </c>
      <c r="AH3704">
        <v>21.8488236771448</v>
      </c>
      <c r="AI3704">
        <v>92.894594907687306</v>
      </c>
      <c r="AJ3704">
        <v>85.054627299650093</v>
      </c>
      <c r="AK3704">
        <v>21.958479558550899</v>
      </c>
      <c r="AL3704">
        <v>87.946664167396605</v>
      </c>
      <c r="AM3704">
        <v>84.981915886632194</v>
      </c>
      <c r="AN3704">
        <v>0.99999999261014405</v>
      </c>
    </row>
    <row r="3705" spans="1:40" x14ac:dyDescent="0.25">
      <c r="A3705" t="str">
        <f>"20190312154909632"</f>
        <v>20190312154909632</v>
      </c>
      <c r="B3705" t="str">
        <f>"1552376949619330"</f>
        <v>1552376949619330</v>
      </c>
      <c r="C3705" t="s">
        <v>40</v>
      </c>
      <c r="D3705">
        <v>4.9978639999999999</v>
      </c>
      <c r="E3705">
        <v>0.50070199999999998</v>
      </c>
      <c r="F3705" t="s">
        <v>50</v>
      </c>
      <c r="G3705">
        <v>-241.6979</v>
      </c>
      <c r="H3705" s="1">
        <v>-5.392867E-7</v>
      </c>
      <c r="I3705">
        <v>212.46709999999999</v>
      </c>
      <c r="J3705">
        <v>-263.95760000000001</v>
      </c>
      <c r="K3705">
        <v>1.108876</v>
      </c>
      <c r="L3705">
        <v>214.523</v>
      </c>
      <c r="M3705">
        <v>0.99998569999999998</v>
      </c>
      <c r="N3705">
        <v>0</v>
      </c>
      <c r="O3705">
        <v>-4.5104180000000004E-3</v>
      </c>
      <c r="P3705">
        <v>0.99518139999999999</v>
      </c>
      <c r="Q3705">
        <v>3.2741510000000001E-2</v>
      </c>
      <c r="R3705">
        <v>-9.2424000000000006E-2</v>
      </c>
      <c r="S3705">
        <v>2.9940190000000002</v>
      </c>
      <c r="T3705">
        <v>-0.14730009999999999</v>
      </c>
      <c r="U3705">
        <v>-0.27323910000000001</v>
      </c>
      <c r="V3705">
        <v>8.7891520000000001E-2</v>
      </c>
      <c r="W3705">
        <v>3.5749749999999997E-2</v>
      </c>
      <c r="X3705">
        <v>0.99548829999999999</v>
      </c>
      <c r="Y3705">
        <v>8.6293209999999995E-2</v>
      </c>
      <c r="Z3705">
        <v>-1.8957589999999999E-3</v>
      </c>
      <c r="AA3705">
        <v>0.99626800000000004</v>
      </c>
      <c r="AB3705">
        <v>37</v>
      </c>
      <c r="AC3705">
        <v>22.259699999999999</v>
      </c>
      <c r="AD3705">
        <v>-1.1088765392866999</v>
      </c>
      <c r="AE3705">
        <v>-2.0558999999999998</v>
      </c>
      <c r="AF3705">
        <v>1.9506783065364901</v>
      </c>
      <c r="AG3705">
        <v>-1.1088765392866999</v>
      </c>
      <c r="AH3705">
        <v>22.214086874472802</v>
      </c>
      <c r="AI3705">
        <v>92.846765993246805</v>
      </c>
      <c r="AJ3705">
        <v>84.981577263607704</v>
      </c>
      <c r="AK3705">
        <v>22.327122714348899</v>
      </c>
      <c r="AL3705">
        <v>87.951253567361803</v>
      </c>
      <c r="AM3705">
        <v>84.954446853987804</v>
      </c>
      <c r="AN3705">
        <v>0.99999995967493005</v>
      </c>
    </row>
    <row r="3706" spans="1:40" x14ac:dyDescent="0.25">
      <c r="A3706" t="str">
        <f>"20190312154909648"</f>
        <v>20190312154909648</v>
      </c>
      <c r="B3706" t="str">
        <f>"1552376949639826"</f>
        <v>1552376949639826</v>
      </c>
      <c r="C3706" t="s">
        <v>40</v>
      </c>
      <c r="D3706">
        <v>5.1366550000000002</v>
      </c>
      <c r="E3706">
        <v>0.5010618</v>
      </c>
      <c r="F3706" t="s">
        <v>50</v>
      </c>
      <c r="G3706">
        <v>-241.3331</v>
      </c>
      <c r="H3706" s="1">
        <v>-7.3272540000000001E-7</v>
      </c>
      <c r="I3706">
        <v>212.4513</v>
      </c>
      <c r="J3706">
        <v>-263.68639999999999</v>
      </c>
      <c r="K3706">
        <v>1.1088769999999999</v>
      </c>
      <c r="L3706">
        <v>214.52199999999999</v>
      </c>
      <c r="M3706">
        <v>0.99998750000000003</v>
      </c>
      <c r="N3706">
        <v>0</v>
      </c>
      <c r="O3706">
        <v>-4.1082890000000002E-3</v>
      </c>
      <c r="P3706">
        <v>0.99511930000000004</v>
      </c>
      <c r="Q3706">
        <v>3.2543929999999999E-2</v>
      </c>
      <c r="R3706">
        <v>-9.31612E-2</v>
      </c>
      <c r="S3706">
        <v>2.9938660000000001</v>
      </c>
      <c r="T3706">
        <v>-0.14673610000000001</v>
      </c>
      <c r="U3706">
        <v>-0.27413939999999998</v>
      </c>
      <c r="V3706">
        <v>8.9028910000000003E-2</v>
      </c>
      <c r="W3706">
        <v>3.552959E-2</v>
      </c>
      <c r="X3706">
        <v>0.99539509999999998</v>
      </c>
      <c r="Y3706">
        <v>8.6994950000000001E-2</v>
      </c>
      <c r="Z3706">
        <v>-1.925384E-3</v>
      </c>
      <c r="AA3706">
        <v>0.99620690000000001</v>
      </c>
      <c r="AB3706">
        <v>37</v>
      </c>
      <c r="AC3706">
        <v>22.353299999999901</v>
      </c>
      <c r="AD3706">
        <v>-1.10887773272539</v>
      </c>
      <c r="AE3706">
        <v>-2.0707000000000102</v>
      </c>
      <c r="AF3706">
        <v>1.9740318829718999</v>
      </c>
      <c r="AG3706">
        <v>-1.10887773272539</v>
      </c>
      <c r="AH3706">
        <v>22.307190971963699</v>
      </c>
      <c r="AI3706">
        <v>92.834738396944104</v>
      </c>
      <c r="AJ3706">
        <v>84.942893710291401</v>
      </c>
      <c r="AK3706">
        <v>22.421801461095399</v>
      </c>
      <c r="AL3706">
        <v>87.963875809615601</v>
      </c>
      <c r="AM3706">
        <v>84.889020762317998</v>
      </c>
      <c r="AN3706">
        <v>0.99999995184268198</v>
      </c>
    </row>
    <row r="3707" spans="1:40" x14ac:dyDescent="0.25">
      <c r="A3707" t="str">
        <f>"20190312154909672"</f>
        <v>20190312154909672</v>
      </c>
      <c r="B3707" t="str">
        <f>"1552376949659346"</f>
        <v>1552376949659346</v>
      </c>
      <c r="C3707" t="s">
        <v>40</v>
      </c>
      <c r="D3707">
        <v>5.0165179999999996</v>
      </c>
      <c r="E3707">
        <v>0.50123620000000002</v>
      </c>
      <c r="F3707" t="s">
        <v>41</v>
      </c>
      <c r="G3707">
        <v>-262.66180000000003</v>
      </c>
      <c r="H3707">
        <v>1.0589759999999999</v>
      </c>
      <c r="I3707">
        <v>214.42619999999999</v>
      </c>
      <c r="J3707">
        <v>-263.30149999999998</v>
      </c>
      <c r="K3707">
        <v>1.1088819999999999</v>
      </c>
      <c r="L3707">
        <v>214.52090000000001</v>
      </c>
      <c r="M3707">
        <v>0.99998969999999998</v>
      </c>
      <c r="N3707">
        <v>0</v>
      </c>
      <c r="O3707">
        <v>-3.5386720000000001E-3</v>
      </c>
      <c r="P3707">
        <v>0.99512849999999997</v>
      </c>
      <c r="Q3707">
        <v>3.2341210000000002E-2</v>
      </c>
      <c r="R3707">
        <v>-9.3134010000000003E-2</v>
      </c>
      <c r="S3707">
        <v>2.9933169999999998</v>
      </c>
      <c r="T3707">
        <v>-0.1458371</v>
      </c>
      <c r="U3707">
        <v>-0.27941890000000003</v>
      </c>
      <c r="V3707">
        <v>8.9568170000000003E-2</v>
      </c>
      <c r="W3707">
        <v>3.5309899999999998E-2</v>
      </c>
      <c r="X3707">
        <v>0.99535459999999998</v>
      </c>
      <c r="Y3707">
        <v>8.9318720000000004E-2</v>
      </c>
      <c r="Z3707">
        <v>-1.9979210000000002E-3</v>
      </c>
      <c r="AA3707">
        <v>0.99600109999999997</v>
      </c>
      <c r="AB3707">
        <v>37</v>
      </c>
      <c r="AC3707">
        <v>0.63969999999994798</v>
      </c>
      <c r="AD3707">
        <v>-4.9905999999999999E-2</v>
      </c>
      <c r="AE3707">
        <v>-9.4700000000017298E-2</v>
      </c>
      <c r="AF3707">
        <v>9.1888443004592896E-2</v>
      </c>
      <c r="AG3707">
        <v>-4.9905999999999999E-2</v>
      </c>
      <c r="AH3707">
        <v>0.636241798441182</v>
      </c>
      <c r="AI3707">
        <v>94.439154544077596</v>
      </c>
      <c r="AJ3707">
        <v>81.7819507642334</v>
      </c>
      <c r="AK3707">
        <v>0.64477726454759399</v>
      </c>
      <c r="AL3707">
        <v>87.976471146903506</v>
      </c>
      <c r="AM3707">
        <v>84.858020234665702</v>
      </c>
      <c r="AN3707">
        <v>1.0000000129281501</v>
      </c>
    </row>
    <row r="3708" spans="1:40" x14ac:dyDescent="0.25">
      <c r="A3708" t="str">
        <f>"20190312154909694"</f>
        <v>20190312154909694</v>
      </c>
      <c r="B3708" t="str">
        <f>"1552376949679842"</f>
        <v>1552376949679842</v>
      </c>
      <c r="C3708" t="s">
        <v>40</v>
      </c>
      <c r="D3708">
        <v>5.0076369999999999</v>
      </c>
      <c r="E3708">
        <v>0.50140079999999998</v>
      </c>
      <c r="F3708" t="s">
        <v>50</v>
      </c>
      <c r="G3708">
        <v>-240.5127</v>
      </c>
      <c r="H3708" s="1">
        <v>-1.1663219999999999E-6</v>
      </c>
      <c r="I3708">
        <v>212.38290000000001</v>
      </c>
      <c r="J3708">
        <v>-262.92469999999997</v>
      </c>
      <c r="K3708">
        <v>1.108884</v>
      </c>
      <c r="L3708">
        <v>214.52</v>
      </c>
      <c r="M3708">
        <v>0.99999139999999997</v>
      </c>
      <c r="N3708">
        <v>0</v>
      </c>
      <c r="O3708">
        <v>-2.9815879999999999E-3</v>
      </c>
      <c r="P3708">
        <v>0.99518969999999995</v>
      </c>
      <c r="Q3708">
        <v>3.1847019999999997E-2</v>
      </c>
      <c r="R3708">
        <v>-9.264646E-2</v>
      </c>
      <c r="S3708">
        <v>2.9931640000000002</v>
      </c>
      <c r="T3708">
        <v>-0.14564479999999999</v>
      </c>
      <c r="U3708">
        <v>-0.28080749999999999</v>
      </c>
      <c r="V3708">
        <v>8.9634899999999906E-2</v>
      </c>
      <c r="W3708">
        <v>3.4815249999999999E-2</v>
      </c>
      <c r="X3708">
        <v>0.99536599999999997</v>
      </c>
      <c r="Y3708">
        <v>9.0334709999999999E-2</v>
      </c>
      <c r="Z3708">
        <v>-2.0470280000000002E-3</v>
      </c>
      <c r="AA3708">
        <v>0.9959093</v>
      </c>
      <c r="AB3708">
        <v>37</v>
      </c>
      <c r="AC3708">
        <v>22.4119999999999</v>
      </c>
      <c r="AD3708">
        <v>-1.1088851663220001</v>
      </c>
      <c r="AE3708">
        <v>-2.1371000000000002</v>
      </c>
      <c r="AF3708">
        <v>2.0652566742539298</v>
      </c>
      <c r="AG3708">
        <v>-1.1088851663220001</v>
      </c>
      <c r="AH3708">
        <v>22.364018485340299</v>
      </c>
      <c r="AI3708">
        <v>92.826590229360605</v>
      </c>
      <c r="AJ3708">
        <v>84.723853997395594</v>
      </c>
      <c r="AK3708">
        <v>22.486534509685701</v>
      </c>
      <c r="AL3708">
        <v>88.004829906551194</v>
      </c>
      <c r="AM3708">
        <v>84.854268539210906</v>
      </c>
      <c r="AN3708">
        <v>0.99999999544328599</v>
      </c>
    </row>
    <row r="3709" spans="1:40" x14ac:dyDescent="0.25">
      <c r="A3709" t="str">
        <f>"20190312154909716"</f>
        <v>20190312154909716</v>
      </c>
      <c r="B3709" t="str">
        <f>"1552376949709122"</f>
        <v>1552376949709122</v>
      </c>
      <c r="C3709" t="s">
        <v>40</v>
      </c>
      <c r="D3709">
        <v>4.9715669999999896</v>
      </c>
      <c r="E3709">
        <v>0.50167259999999902</v>
      </c>
      <c r="F3709" t="s">
        <v>50</v>
      </c>
      <c r="G3709">
        <v>-240.32859999999999</v>
      </c>
      <c r="H3709" s="1">
        <v>-1.265031E-6</v>
      </c>
      <c r="I3709">
        <v>212.39930000000001</v>
      </c>
      <c r="J3709">
        <v>-262.53620000000001</v>
      </c>
      <c r="K3709">
        <v>1.1088880000000001</v>
      </c>
      <c r="L3709">
        <v>214.51929999999999</v>
      </c>
      <c r="M3709">
        <v>0.99999300000000002</v>
      </c>
      <c r="N3709">
        <v>0</v>
      </c>
      <c r="O3709">
        <v>-2.4078329999999998E-3</v>
      </c>
      <c r="P3709">
        <v>0.99527969999999999</v>
      </c>
      <c r="Q3709">
        <v>3.160818E-2</v>
      </c>
      <c r="R3709">
        <v>-9.1757539999999999E-2</v>
      </c>
      <c r="S3709">
        <v>2.993042</v>
      </c>
      <c r="T3709">
        <v>-0.1468806</v>
      </c>
      <c r="U3709">
        <v>-0.28089899999999901</v>
      </c>
      <c r="V3709">
        <v>8.9316610000000005E-2</v>
      </c>
      <c r="W3709">
        <v>3.4595559999999997E-2</v>
      </c>
      <c r="X3709">
        <v>0.99540229999999996</v>
      </c>
      <c r="Y3709">
        <v>9.0936909999999996E-2</v>
      </c>
      <c r="Z3709">
        <v>-2.1072690000000002E-3</v>
      </c>
      <c r="AA3709">
        <v>0.99585440000000003</v>
      </c>
      <c r="AB3709">
        <v>38</v>
      </c>
      <c r="AC3709">
        <v>22.207599999999999</v>
      </c>
      <c r="AD3709">
        <v>-1.1088892650309901</v>
      </c>
      <c r="AE3709">
        <v>-2.1199999999999699</v>
      </c>
      <c r="AF3709">
        <v>2.0614281174424902</v>
      </c>
      <c r="AG3709">
        <v>-1.1088892650309901</v>
      </c>
      <c r="AH3709">
        <v>22.157893076658201</v>
      </c>
      <c r="AI3709">
        <v>92.852672452926996</v>
      </c>
      <c r="AJ3709">
        <v>84.684867875021496</v>
      </c>
      <c r="AK3709">
        <v>22.2811881838043</v>
      </c>
      <c r="AL3709">
        <v>88.017424860851605</v>
      </c>
      <c r="AM3709">
        <v>84.8726292450946</v>
      </c>
      <c r="AN3709">
        <v>1.00000002421944</v>
      </c>
    </row>
    <row r="3710" spans="1:40" x14ac:dyDescent="0.25">
      <c r="A3710" t="str">
        <f>"20190312154909738"</f>
        <v>20190312154909738</v>
      </c>
      <c r="B3710" t="str">
        <f>"1552376949729617"</f>
        <v>1552376949729617</v>
      </c>
      <c r="C3710" t="s">
        <v>40</v>
      </c>
      <c r="D3710">
        <v>4.9537269999999998</v>
      </c>
      <c r="E3710">
        <v>0.50184019999999996</v>
      </c>
      <c r="F3710" t="s">
        <v>50</v>
      </c>
      <c r="G3710">
        <v>-240.08580000000001</v>
      </c>
      <c r="H3710" s="1">
        <v>-1.3949040000000001E-6</v>
      </c>
      <c r="I3710">
        <v>212.41540000000001</v>
      </c>
      <c r="J3710">
        <v>-262.18040000000002</v>
      </c>
      <c r="K3710">
        <v>1.108897</v>
      </c>
      <c r="L3710">
        <v>214.5188</v>
      </c>
      <c r="M3710">
        <v>0.99999400000000005</v>
      </c>
      <c r="N3710">
        <v>0</v>
      </c>
      <c r="O3710">
        <v>-1.8838100000000001E-3</v>
      </c>
      <c r="P3710">
        <v>0.99542459999999999</v>
      </c>
      <c r="Q3710">
        <v>3.08837E-2</v>
      </c>
      <c r="R3710">
        <v>-9.0422450000000001E-2</v>
      </c>
      <c r="S3710">
        <v>2.993042</v>
      </c>
      <c r="T3710">
        <v>-0.14783499999999999</v>
      </c>
      <c r="U3710">
        <v>-0.28048709999999999</v>
      </c>
      <c r="V3710">
        <v>8.8503199999999893E-2</v>
      </c>
      <c r="W3710">
        <v>3.3912659999999997E-2</v>
      </c>
      <c r="X3710">
        <v>0.99549840000000001</v>
      </c>
      <c r="Y3710">
        <v>9.1320380000000007E-2</v>
      </c>
      <c r="Z3710">
        <v>-2.1562109999999999E-3</v>
      </c>
      <c r="AA3710">
        <v>0.99581920000000002</v>
      </c>
      <c r="AB3710">
        <v>38</v>
      </c>
      <c r="AC3710">
        <v>22.0946</v>
      </c>
      <c r="AD3710">
        <v>-1.1088983949040001</v>
      </c>
      <c r="AE3710">
        <v>-2.1033999999999899</v>
      </c>
      <c r="AF3710">
        <v>2.0566401180132599</v>
      </c>
      <c r="AG3710">
        <v>-1.1088983949040001</v>
      </c>
      <c r="AH3710">
        <v>22.043496523395</v>
      </c>
      <c r="AI3710">
        <v>92.867405332561603</v>
      </c>
      <c r="AJ3710">
        <v>84.669781149603494</v>
      </c>
      <c r="AK3710">
        <v>22.1669836288605</v>
      </c>
      <c r="AL3710">
        <v>88.056575027250602</v>
      </c>
      <c r="AM3710">
        <v>84.919566802535897</v>
      </c>
      <c r="AN3710">
        <v>0.99999997466053703</v>
      </c>
    </row>
    <row r="3711" spans="1:40" x14ac:dyDescent="0.25">
      <c r="A3711" t="str">
        <f>"20190312154909760"</f>
        <v>20190312154909760</v>
      </c>
      <c r="B3711" t="str">
        <f>"1552376949749138"</f>
        <v>1552376949749138</v>
      </c>
      <c r="C3711" t="s">
        <v>40</v>
      </c>
      <c r="D3711">
        <v>4.923908</v>
      </c>
      <c r="E3711">
        <v>0.5021641</v>
      </c>
      <c r="F3711" t="s">
        <v>50</v>
      </c>
      <c r="G3711">
        <v>-240.0805</v>
      </c>
      <c r="H3711" s="1">
        <v>-1.400024E-6</v>
      </c>
      <c r="I3711">
        <v>212.46799999999999</v>
      </c>
      <c r="J3711">
        <v>-261.79750000000001</v>
      </c>
      <c r="K3711">
        <v>1.1089150000000001</v>
      </c>
      <c r="L3711">
        <v>214.51849999999999</v>
      </c>
      <c r="M3711">
        <v>0.99999479999999996</v>
      </c>
      <c r="N3711">
        <v>0</v>
      </c>
      <c r="O3711">
        <v>-1.3245349999999999E-3</v>
      </c>
      <c r="P3711">
        <v>0.99557329999999999</v>
      </c>
      <c r="Q3711">
        <v>3.018643E-2</v>
      </c>
      <c r="R3711">
        <v>-8.9009840000000007E-2</v>
      </c>
      <c r="S3711">
        <v>2.9932249999999998</v>
      </c>
      <c r="T3711">
        <v>-0.1501902</v>
      </c>
      <c r="U3711">
        <v>-0.27777099999999999</v>
      </c>
      <c r="V3711">
        <v>8.7647619999999996E-2</v>
      </c>
      <c r="W3711">
        <v>3.32936E-2</v>
      </c>
      <c r="X3711">
        <v>0.99559500000000001</v>
      </c>
      <c r="Y3711">
        <v>9.0972109999999995E-2</v>
      </c>
      <c r="Z3711">
        <v>-2.2097499999999999E-3</v>
      </c>
      <c r="AA3711">
        <v>0.99585100000000004</v>
      </c>
      <c r="AB3711">
        <v>38</v>
      </c>
      <c r="AC3711">
        <v>21.716999999999999</v>
      </c>
      <c r="AD3711">
        <v>-1.1089164000239999</v>
      </c>
      <c r="AE3711">
        <v>-2.0504999999999902</v>
      </c>
      <c r="AF3711">
        <v>2.01652184746332</v>
      </c>
      <c r="AG3711">
        <v>-1.1089164000239999</v>
      </c>
      <c r="AH3711">
        <v>21.663711332461698</v>
      </c>
      <c r="AI3711">
        <v>92.917693013540202</v>
      </c>
      <c r="AJ3711">
        <v>84.682064282493201</v>
      </c>
      <c r="AK3711">
        <v>21.7856017736433</v>
      </c>
      <c r="AL3711">
        <v>88.0920646192383</v>
      </c>
      <c r="AM3711">
        <v>84.968912829960601</v>
      </c>
      <c r="AN3711">
        <v>0.99999998655881195</v>
      </c>
    </row>
    <row r="3712" spans="1:40" x14ac:dyDescent="0.25">
      <c r="A3712" t="str">
        <f>"20190312154909782"</f>
        <v>20190312154909782</v>
      </c>
      <c r="B3712" t="str">
        <f>"1552376949769634"</f>
        <v>1552376949769634</v>
      </c>
      <c r="C3712" t="s">
        <v>40</v>
      </c>
      <c r="D3712">
        <v>4.8705860000000003</v>
      </c>
      <c r="E3712">
        <v>0.50246759999999902</v>
      </c>
      <c r="F3712" t="s">
        <v>50</v>
      </c>
      <c r="G3712">
        <v>-240.21449999999999</v>
      </c>
      <c r="H3712" s="1">
        <v>-1.3313470000000001E-6</v>
      </c>
      <c r="I3712">
        <v>212.5273</v>
      </c>
      <c r="J3712">
        <v>-261.4246</v>
      </c>
      <c r="K3712">
        <v>1.1089370000000001</v>
      </c>
      <c r="L3712">
        <v>214.51840000000001</v>
      </c>
      <c r="M3712">
        <v>0.99999490000000002</v>
      </c>
      <c r="N3712">
        <v>0</v>
      </c>
      <c r="O3712">
        <v>-7.8556449999999897E-4</v>
      </c>
      <c r="P3712">
        <v>0.99569879999999999</v>
      </c>
      <c r="Q3712">
        <v>2.9732910000000001E-2</v>
      </c>
      <c r="R3712">
        <v>-8.77521E-2</v>
      </c>
      <c r="S3712">
        <v>2.9932859999999999</v>
      </c>
      <c r="T3712">
        <v>-0.1537924</v>
      </c>
      <c r="U3712">
        <v>-0.276153599999999</v>
      </c>
      <c r="V3712">
        <v>8.6926390000000006E-2</v>
      </c>
      <c r="W3712">
        <v>3.2953320000000001E-2</v>
      </c>
      <c r="X3712">
        <v>0.99566949999999999</v>
      </c>
      <c r="Y3712">
        <v>9.0967320000000004E-2</v>
      </c>
      <c r="Z3712">
        <v>-2.290182E-3</v>
      </c>
      <c r="AA3712">
        <v>0.99585119999999905</v>
      </c>
      <c r="AB3712">
        <v>38</v>
      </c>
      <c r="AC3712">
        <v>21.210100000000001</v>
      </c>
      <c r="AD3712">
        <v>-1.108938331347</v>
      </c>
      <c r="AE3712">
        <v>-1.9911000000000101</v>
      </c>
      <c r="AF3712">
        <v>1.9691017576782299</v>
      </c>
      <c r="AG3712">
        <v>-1.108938331347</v>
      </c>
      <c r="AH3712">
        <v>21.1543360025229</v>
      </c>
      <c r="AI3712">
        <v>92.987881411111999</v>
      </c>
      <c r="AJ3712">
        <v>84.682080229185999</v>
      </c>
      <c r="AK3712">
        <v>21.274704173324199</v>
      </c>
      <c r="AL3712">
        <v>88.111571836048498</v>
      </c>
      <c r="AM3712">
        <v>85.010473969710205</v>
      </c>
      <c r="AN3712">
        <v>0.99999993590384995</v>
      </c>
    </row>
    <row r="3713" spans="1:40" x14ac:dyDescent="0.25">
      <c r="A3713" t="str">
        <f>"20190312154909798"</f>
        <v>20190312154909798</v>
      </c>
      <c r="B3713" t="str">
        <f>"1552376949789153"</f>
        <v>1552376949789153</v>
      </c>
      <c r="C3713" t="s">
        <v>40</v>
      </c>
      <c r="D3713">
        <v>4.8886599999999998</v>
      </c>
      <c r="E3713">
        <v>0.50272320000000004</v>
      </c>
      <c r="F3713" t="s">
        <v>50</v>
      </c>
      <c r="G3713">
        <v>-240.2056</v>
      </c>
      <c r="H3713" s="1">
        <v>-1.337965E-6</v>
      </c>
      <c r="I3713">
        <v>212.57060000000001</v>
      </c>
      <c r="J3713">
        <v>-261.13490000000002</v>
      </c>
      <c r="K3713">
        <v>1.1089599999999999</v>
      </c>
      <c r="L3713">
        <v>214.51849999999999</v>
      </c>
      <c r="M3713">
        <v>0.99999470000000001</v>
      </c>
      <c r="N3713">
        <v>0</v>
      </c>
      <c r="O3713">
        <v>-3.7285399999999999E-4</v>
      </c>
      <c r="P3713">
        <v>0.99576679999999995</v>
      </c>
      <c r="Q3713">
        <v>2.9568000000000001E-2</v>
      </c>
      <c r="R3713">
        <v>-8.7030839999999998E-2</v>
      </c>
      <c r="S3713">
        <v>2.9934080000000001</v>
      </c>
      <c r="T3713">
        <v>-0.15644050000000001</v>
      </c>
      <c r="U3713">
        <v>-0.27478029999999998</v>
      </c>
      <c r="V3713">
        <v>8.6616109999999996E-2</v>
      </c>
      <c r="W3713">
        <v>3.2909000000000001E-2</v>
      </c>
      <c r="X3713">
        <v>0.99569810000000003</v>
      </c>
      <c r="Y3713">
        <v>9.091697E-2</v>
      </c>
      <c r="Z3713">
        <v>-2.3497140000000001E-3</v>
      </c>
      <c r="AA3713">
        <v>0.99585570000000001</v>
      </c>
      <c r="AB3713">
        <v>38</v>
      </c>
      <c r="AC3713">
        <v>20.929300000000001</v>
      </c>
      <c r="AD3713">
        <v>-1.1089613379649901</v>
      </c>
      <c r="AE3713">
        <v>-1.94789999999997</v>
      </c>
      <c r="AF3713">
        <v>1.9347111498446501</v>
      </c>
      <c r="AG3713">
        <v>-1.1089613379649901</v>
      </c>
      <c r="AH3713">
        <v>20.8719296250996</v>
      </c>
      <c r="AI3713">
        <v>93.028404801710806</v>
      </c>
      <c r="AJ3713">
        <v>84.704134872868295</v>
      </c>
      <c r="AK3713">
        <v>20.990720539265499</v>
      </c>
      <c r="AL3713">
        <v>88.114112739897493</v>
      </c>
      <c r="AM3713">
        <v>85.028336532607995</v>
      </c>
      <c r="AN3713">
        <v>1.00000002956807</v>
      </c>
    </row>
    <row r="3714" spans="1:40" x14ac:dyDescent="0.25">
      <c r="A3714" t="str">
        <f>"20190312154909816"</f>
        <v>20190312154909816</v>
      </c>
      <c r="B3714" t="str">
        <f>"1552376949809651"</f>
        <v>1552376949809651</v>
      </c>
      <c r="C3714" t="s">
        <v>40</v>
      </c>
      <c r="D3714">
        <v>4.864077</v>
      </c>
      <c r="E3714">
        <v>0.50291620000000004</v>
      </c>
      <c r="F3714" t="s">
        <v>50</v>
      </c>
      <c r="G3714">
        <v>-240.2371</v>
      </c>
      <c r="H3714" s="1">
        <v>-1.322512E-6</v>
      </c>
      <c r="I3714">
        <v>212.6009</v>
      </c>
      <c r="J3714">
        <v>-260.83879999999999</v>
      </c>
      <c r="K3714">
        <v>1.1089869999999999</v>
      </c>
      <c r="L3714">
        <v>214.5187</v>
      </c>
      <c r="M3714">
        <v>0.9999943</v>
      </c>
      <c r="N3714">
        <v>0</v>
      </c>
      <c r="O3714" s="1">
        <v>4.38059E-5</v>
      </c>
      <c r="P3714">
        <v>0.99582269999999995</v>
      </c>
      <c r="Q3714">
        <v>2.9770830000000002E-2</v>
      </c>
      <c r="R3714">
        <v>-8.6319880000000002E-2</v>
      </c>
      <c r="S3714">
        <v>2.9935</v>
      </c>
      <c r="T3714">
        <v>-0.15885260000000001</v>
      </c>
      <c r="U3714">
        <v>-0.27468870000000001</v>
      </c>
      <c r="V3714">
        <v>8.6319510000000002E-2</v>
      </c>
      <c r="W3714">
        <v>3.3265000000000003E-2</v>
      </c>
      <c r="X3714">
        <v>0.99571200000000004</v>
      </c>
      <c r="Y3714">
        <v>9.1294009999999995E-2</v>
      </c>
      <c r="Z3714">
        <v>-2.4178479999999998E-3</v>
      </c>
      <c r="AA3714">
        <v>0.99582110000000001</v>
      </c>
      <c r="AB3714">
        <v>38</v>
      </c>
      <c r="AC3714">
        <v>20.601699999999902</v>
      </c>
      <c r="AD3714">
        <v>-1.1089883225120001</v>
      </c>
      <c r="AE3714">
        <v>-1.9177999999999999</v>
      </c>
      <c r="AF3714">
        <v>1.9132062809183801</v>
      </c>
      <c r="AG3714">
        <v>-1.1089883225120001</v>
      </c>
      <c r="AH3714">
        <v>20.542601833028101</v>
      </c>
      <c r="AI3714">
        <v>93.076812468042604</v>
      </c>
      <c r="AJ3714">
        <v>84.679186877833502</v>
      </c>
      <c r="AK3714">
        <v>20.661285135323599</v>
      </c>
      <c r="AL3714">
        <v>88.093704217102797</v>
      </c>
      <c r="AM3714">
        <v>85.045344956893203</v>
      </c>
      <c r="AN3714">
        <v>1.00000000248782</v>
      </c>
    </row>
    <row r="3715" spans="1:40" x14ac:dyDescent="0.25">
      <c r="A3715" t="str">
        <f>"20190312154909833"</f>
        <v>20190312154909833</v>
      </c>
      <c r="B3715" t="str">
        <f>"1552376949829170"</f>
        <v>1552376949829170</v>
      </c>
      <c r="C3715" t="s">
        <v>40</v>
      </c>
      <c r="D3715">
        <v>4.8067970000000004</v>
      </c>
      <c r="E3715">
        <v>0.503081</v>
      </c>
      <c r="F3715" t="s">
        <v>50</v>
      </c>
      <c r="G3715">
        <v>-240.1567</v>
      </c>
      <c r="H3715" s="1">
        <v>-1.3663829999999999E-6</v>
      </c>
      <c r="I3715">
        <v>212.62610000000001</v>
      </c>
      <c r="J3715">
        <v>-260.55340000000001</v>
      </c>
      <c r="K3715">
        <v>1.109019</v>
      </c>
      <c r="L3715">
        <v>214.51910000000001</v>
      </c>
      <c r="M3715">
        <v>0.99999360000000004</v>
      </c>
      <c r="N3715">
        <v>0</v>
      </c>
      <c r="O3715">
        <v>4.3992020000000002E-4</v>
      </c>
      <c r="P3715">
        <v>0.99589079999999996</v>
      </c>
      <c r="Q3715">
        <v>2.9738460000000001E-2</v>
      </c>
      <c r="R3715">
        <v>-8.5542419999999994E-2</v>
      </c>
      <c r="S3715">
        <v>2.9936829999999999</v>
      </c>
      <c r="T3715">
        <v>-0.1605239</v>
      </c>
      <c r="U3715">
        <v>-0.27395629999999999</v>
      </c>
      <c r="V3715">
        <v>8.5936520000000002E-2</v>
      </c>
      <c r="W3715">
        <v>3.3409399999999999E-2</v>
      </c>
      <c r="X3715">
        <v>0.99574030000000002</v>
      </c>
      <c r="Y3715">
        <v>9.1437879999999999E-2</v>
      </c>
      <c r="Z3715">
        <v>-2.4681569999999999E-3</v>
      </c>
      <c r="AA3715">
        <v>0.99580769999999996</v>
      </c>
      <c r="AB3715">
        <v>38</v>
      </c>
      <c r="AC3715">
        <v>20.396699999999999</v>
      </c>
      <c r="AD3715">
        <v>-1.1090203663830001</v>
      </c>
      <c r="AE3715">
        <v>-1.893</v>
      </c>
      <c r="AF3715">
        <v>1.89641416552881</v>
      </c>
      <c r="AG3715">
        <v>-1.1090203663830001</v>
      </c>
      <c r="AH3715">
        <v>20.3362571273037</v>
      </c>
      <c r="AI3715">
        <v>93.108026328037795</v>
      </c>
      <c r="AJ3715">
        <v>84.672412041941598</v>
      </c>
      <c r="AK3715">
        <v>20.454575693670101</v>
      </c>
      <c r="AL3715">
        <v>88.085426118230401</v>
      </c>
      <c r="AM3715">
        <v>85.067359003526406</v>
      </c>
      <c r="AN3715">
        <v>1.0000000092610799</v>
      </c>
    </row>
    <row r="3716" spans="1:40" x14ac:dyDescent="0.25">
      <c r="A3716" t="str">
        <f>"20190312154909846"</f>
        <v>20190312154909846</v>
      </c>
      <c r="B3716" t="str">
        <f>"1552376949839906"</f>
        <v>1552376949839906</v>
      </c>
      <c r="C3716" t="s">
        <v>40</v>
      </c>
      <c r="D3716">
        <v>4.7910029999999999</v>
      </c>
      <c r="E3716">
        <v>0.50317020000000001</v>
      </c>
      <c r="F3716" t="s">
        <v>41</v>
      </c>
      <c r="G3716">
        <v>-259.60390000000001</v>
      </c>
      <c r="H3716">
        <v>1.0575349999999999</v>
      </c>
      <c r="I3716">
        <v>214.43219999999999</v>
      </c>
      <c r="J3716">
        <v>-260.31810000000002</v>
      </c>
      <c r="K3716">
        <v>1.1090469999999999</v>
      </c>
      <c r="L3716">
        <v>214.51939999999999</v>
      </c>
      <c r="M3716">
        <v>0.99999269999999996</v>
      </c>
      <c r="N3716">
        <v>0</v>
      </c>
      <c r="O3716">
        <v>7.6361289999999997E-4</v>
      </c>
      <c r="P3716">
        <v>0.99590449999999997</v>
      </c>
      <c r="Q3716">
        <v>2.9835009999999999E-2</v>
      </c>
      <c r="R3716">
        <v>-8.534601E-2</v>
      </c>
      <c r="S3716">
        <v>2.993805</v>
      </c>
      <c r="T3716">
        <v>-0.16260559999999999</v>
      </c>
      <c r="U3716">
        <v>-0.272644</v>
      </c>
      <c r="V3716">
        <v>8.6062459999999993E-2</v>
      </c>
      <c r="W3716">
        <v>3.3671520000000003E-2</v>
      </c>
      <c r="X3716">
        <v>0.99572059999999996</v>
      </c>
      <c r="Y3716">
        <v>9.1319929999999994E-2</v>
      </c>
      <c r="Z3716">
        <v>-2.514404E-3</v>
      </c>
      <c r="AA3716">
        <v>0.99581839999999999</v>
      </c>
      <c r="AB3716">
        <v>38</v>
      </c>
      <c r="AC3716">
        <v>0.71420000000000505</v>
      </c>
      <c r="AD3716">
        <v>-5.1511999999999697E-2</v>
      </c>
      <c r="AE3716">
        <v>-8.7199999999995698E-2</v>
      </c>
      <c r="AF3716">
        <v>8.7297890350062995E-2</v>
      </c>
      <c r="AG3716">
        <v>-5.1511999999999697E-2</v>
      </c>
      <c r="AH3716">
        <v>0.71049145784780199</v>
      </c>
      <c r="AI3716">
        <v>94.115953424217295</v>
      </c>
      <c r="AJ3716">
        <v>82.995192953262602</v>
      </c>
      <c r="AK3716">
        <v>0.71768552965645505</v>
      </c>
      <c r="AL3716">
        <v>88.070399306484404</v>
      </c>
      <c r="AM3716">
        <v>85.060068710200596</v>
      </c>
      <c r="AN3716">
        <v>1.0000000157723601</v>
      </c>
    </row>
    <row r="3717" spans="1:40" x14ac:dyDescent="0.25">
      <c r="A3717" t="str">
        <f>"20190312154909860"</f>
        <v>20190312154909860</v>
      </c>
      <c r="B3717" t="str">
        <f>"1552376949849666"</f>
        <v>1552376949849666</v>
      </c>
      <c r="C3717" t="s">
        <v>40</v>
      </c>
      <c r="D3717">
        <v>4.7626569999999999</v>
      </c>
      <c r="E3717">
        <v>0.50327259999999996</v>
      </c>
      <c r="F3717" t="s">
        <v>41</v>
      </c>
      <c r="G3717">
        <v>-259.26330000000002</v>
      </c>
      <c r="H3717">
        <v>1.0516369999999999</v>
      </c>
      <c r="I3717">
        <v>214.42310000000001</v>
      </c>
      <c r="J3717">
        <v>-260.0831</v>
      </c>
      <c r="K3717">
        <v>1.109076</v>
      </c>
      <c r="L3717">
        <v>214.5198</v>
      </c>
      <c r="M3717">
        <v>0.99999179999999999</v>
      </c>
      <c r="N3717">
        <v>0</v>
      </c>
      <c r="O3717">
        <v>1.08219E-3</v>
      </c>
      <c r="P3717">
        <v>0.99590279999999998</v>
      </c>
      <c r="Q3717">
        <v>2.9847619999999998E-2</v>
      </c>
      <c r="R3717">
        <v>-8.5363739999999994E-2</v>
      </c>
      <c r="S3717">
        <v>2.9938660000000001</v>
      </c>
      <c r="T3717">
        <v>-0.1630894</v>
      </c>
      <c r="U3717">
        <v>-0.27276610000000001</v>
      </c>
      <c r="V3717">
        <v>8.6397080000000001E-2</v>
      </c>
      <c r="W3717">
        <v>3.3875959999999997E-2</v>
      </c>
      <c r="X3717">
        <v>0.99568469999999998</v>
      </c>
      <c r="Y3717">
        <v>9.1673820000000003E-2</v>
      </c>
      <c r="Z3717">
        <v>-2.5487370000000001E-3</v>
      </c>
      <c r="AA3717">
        <v>0.99578580000000005</v>
      </c>
      <c r="AB3717">
        <v>39</v>
      </c>
      <c r="AC3717">
        <v>0.81979999999998598</v>
      </c>
      <c r="AD3717">
        <v>-5.7438999999999803E-2</v>
      </c>
      <c r="AE3717">
        <v>-9.6699999999998398E-2</v>
      </c>
      <c r="AF3717">
        <v>9.7116919455143405E-2</v>
      </c>
      <c r="AG3717">
        <v>-5.7438999999999803E-2</v>
      </c>
      <c r="AH3717">
        <v>0.81574528542173597</v>
      </c>
      <c r="AI3717">
        <v>93.999563174823706</v>
      </c>
      <c r="AJ3717">
        <v>83.210721705973995</v>
      </c>
      <c r="AK3717">
        <v>0.82351156971426098</v>
      </c>
      <c r="AL3717">
        <v>88.058679096747795</v>
      </c>
      <c r="AM3717">
        <v>85.040779416659404</v>
      </c>
      <c r="AN3717">
        <v>1.0000000289562601</v>
      </c>
    </row>
    <row r="3718" spans="1:40" x14ac:dyDescent="0.25">
      <c r="A3718" t="str">
        <f>"20190312154909878"</f>
        <v>20190312154909878</v>
      </c>
      <c r="B3718" t="str">
        <f>"1552376949869185"</f>
        <v>1552376949869185</v>
      </c>
      <c r="C3718" t="s">
        <v>40</v>
      </c>
      <c r="D3718">
        <v>4.7764550000000003</v>
      </c>
      <c r="E3718">
        <v>0.50348149999999903</v>
      </c>
      <c r="F3718" t="s">
        <v>50</v>
      </c>
      <c r="G3718">
        <v>-239.7997</v>
      </c>
      <c r="H3718" s="1">
        <v>3.7633780000000001E-6</v>
      </c>
      <c r="I3718">
        <v>212.66589999999999</v>
      </c>
      <c r="J3718">
        <v>-259.77980000000002</v>
      </c>
      <c r="K3718">
        <v>1.1091169999999999</v>
      </c>
      <c r="L3718">
        <v>214.5204</v>
      </c>
      <c r="M3718">
        <v>0.99999000000000005</v>
      </c>
      <c r="N3718">
        <v>0</v>
      </c>
      <c r="O3718">
        <v>1.4893790000000001E-3</v>
      </c>
      <c r="P3718">
        <v>0.99593589999999999</v>
      </c>
      <c r="Q3718">
        <v>2.940895E-2</v>
      </c>
      <c r="R3718">
        <v>-8.5126709999999994E-2</v>
      </c>
      <c r="S3718">
        <v>2.993805</v>
      </c>
      <c r="T3718">
        <v>-0.16369779999999901</v>
      </c>
      <c r="U3718">
        <v>-0.27363589999999999</v>
      </c>
      <c r="V3718">
        <v>8.6565970000000006E-2</v>
      </c>
      <c r="W3718">
        <v>3.3709639999999999E-2</v>
      </c>
      <c r="X3718">
        <v>0.99567559999999999</v>
      </c>
      <c r="Y3718">
        <v>9.2365370000000002E-2</v>
      </c>
      <c r="Z3718">
        <v>-2.5993050000000001E-3</v>
      </c>
      <c r="AA3718">
        <v>0.99572179999999999</v>
      </c>
      <c r="AB3718">
        <v>39</v>
      </c>
      <c r="AC3718">
        <v>19.9801</v>
      </c>
      <c r="AD3718">
        <v>-1.109113236622</v>
      </c>
      <c r="AE3718">
        <v>-1.8545</v>
      </c>
      <c r="AF3718">
        <v>1.8785170179108499</v>
      </c>
      <c r="AG3718">
        <v>-1.109113236622</v>
      </c>
      <c r="AH3718">
        <v>19.916468177179102</v>
      </c>
      <c r="AI3718">
        <v>93.173354237407594</v>
      </c>
      <c r="AJ3718">
        <v>84.611814767421194</v>
      </c>
      <c r="AK3718">
        <v>20.035584918110501</v>
      </c>
      <c r="AL3718">
        <v>88.0682138308714</v>
      </c>
      <c r="AM3718">
        <v>85.031088376544702</v>
      </c>
      <c r="AN3718">
        <v>0.99999995371316397</v>
      </c>
    </row>
    <row r="3719" spans="1:40" x14ac:dyDescent="0.25">
      <c r="A3719" t="str">
        <f>"20190312154909895"</f>
        <v>20190312154909895</v>
      </c>
      <c r="B3719" t="str">
        <f>"1552376949889682"</f>
        <v>1552376949889682</v>
      </c>
      <c r="C3719" t="s">
        <v>40</v>
      </c>
      <c r="D3719">
        <v>4.6994879999999997</v>
      </c>
      <c r="E3719">
        <v>0.50364179999999903</v>
      </c>
      <c r="F3719" t="s">
        <v>50</v>
      </c>
      <c r="G3719">
        <v>-239.7987</v>
      </c>
      <c r="H3719" s="1">
        <v>3.761886E-6</v>
      </c>
      <c r="I3719">
        <v>212.68799999999999</v>
      </c>
      <c r="J3719">
        <v>-259.4683</v>
      </c>
      <c r="K3719">
        <v>1.109167</v>
      </c>
      <c r="L3719">
        <v>214.52119999999999</v>
      </c>
      <c r="M3719">
        <v>0.99998799999999999</v>
      </c>
      <c r="N3719">
        <v>0</v>
      </c>
      <c r="O3719">
        <v>1.900861E-3</v>
      </c>
      <c r="P3719">
        <v>0.99596300000000004</v>
      </c>
      <c r="Q3719">
        <v>2.898104E-2</v>
      </c>
      <c r="R3719">
        <v>-8.4958350000000002E-2</v>
      </c>
      <c r="S3719">
        <v>2.993652</v>
      </c>
      <c r="T3719">
        <v>-0.16617190000000001</v>
      </c>
      <c r="U3719">
        <v>-0.2745514</v>
      </c>
      <c r="V3719">
        <v>8.6807850000000006E-2</v>
      </c>
      <c r="W3719">
        <v>3.3602890000000003E-2</v>
      </c>
      <c r="X3719">
        <v>0.99565820000000005</v>
      </c>
      <c r="Y3719">
        <v>9.3075690000000003E-2</v>
      </c>
      <c r="Z3719">
        <v>-2.681063E-3</v>
      </c>
      <c r="AA3719">
        <v>0.99565539999999997</v>
      </c>
      <c r="AB3719">
        <v>39</v>
      </c>
      <c r="AC3719">
        <v>19.669599999999999</v>
      </c>
      <c r="AD3719">
        <v>-1.109163238114</v>
      </c>
      <c r="AE3719">
        <v>-1.8331999999999999</v>
      </c>
      <c r="AF3719">
        <v>1.8647079057536</v>
      </c>
      <c r="AG3719">
        <v>-1.109163238114</v>
      </c>
      <c r="AH3719">
        <v>19.604278886481001</v>
      </c>
      <c r="AI3719">
        <v>93.223686867414798</v>
      </c>
      <c r="AJ3719">
        <v>84.5665215933913</v>
      </c>
      <c r="AK3719">
        <v>19.723973466862301</v>
      </c>
      <c r="AL3719">
        <v>88.074333719809701</v>
      </c>
      <c r="AM3719">
        <v>85.017187555489699</v>
      </c>
      <c r="AN3719">
        <v>1.0000000041326</v>
      </c>
    </row>
    <row r="3720" spans="1:40" x14ac:dyDescent="0.25">
      <c r="A3720" t="str">
        <f>"20190312154909912"</f>
        <v>20190312154909912</v>
      </c>
      <c r="B3720" t="str">
        <f>"1552376949899441"</f>
        <v>1552376949899441</v>
      </c>
      <c r="C3720" t="s">
        <v>40</v>
      </c>
      <c r="D3720">
        <v>4.6773160000000003</v>
      </c>
      <c r="E3720">
        <v>0.5037315</v>
      </c>
      <c r="F3720" t="s">
        <v>41</v>
      </c>
      <c r="G3720">
        <v>-258.56290000000001</v>
      </c>
      <c r="H3720">
        <v>1.0582210000000001</v>
      </c>
      <c r="I3720">
        <v>214.43799999999999</v>
      </c>
      <c r="J3720">
        <v>-259.19529999999997</v>
      </c>
      <c r="K3720">
        <v>1.1092139999999999</v>
      </c>
      <c r="L3720">
        <v>214.52199999999999</v>
      </c>
      <c r="M3720">
        <v>0.99998569999999998</v>
      </c>
      <c r="N3720">
        <v>0</v>
      </c>
      <c r="O3720">
        <v>2.25633E-3</v>
      </c>
      <c r="P3720">
        <v>0.99595449999999996</v>
      </c>
      <c r="Q3720">
        <v>2.8277770000000001E-2</v>
      </c>
      <c r="R3720">
        <v>-8.5295109999999993E-2</v>
      </c>
      <c r="S3720">
        <v>2.9935909999999999</v>
      </c>
      <c r="T3720">
        <v>-0.16845489999999999</v>
      </c>
      <c r="U3720">
        <v>-0.27528380000000002</v>
      </c>
      <c r="V3720">
        <v>8.7499099999999996E-2</v>
      </c>
      <c r="W3720">
        <v>3.3214960000000002E-2</v>
      </c>
      <c r="X3720">
        <v>0.99561069999999996</v>
      </c>
      <c r="Y3720">
        <v>9.3667529999999999E-2</v>
      </c>
      <c r="Z3720">
        <v>-2.7544140000000002E-3</v>
      </c>
      <c r="AA3720">
        <v>0.99559969999999998</v>
      </c>
      <c r="AB3720">
        <v>39</v>
      </c>
      <c r="AC3720">
        <v>0.63239999999996099</v>
      </c>
      <c r="AD3720">
        <v>-5.0992999999999997E-2</v>
      </c>
      <c r="AE3720">
        <v>-8.4000000000031605E-2</v>
      </c>
      <c r="AF3720">
        <v>8.4884368537151395E-2</v>
      </c>
      <c r="AG3720">
        <v>-5.0992999999999997E-2</v>
      </c>
      <c r="AH3720">
        <v>0.62819523348884998</v>
      </c>
      <c r="AI3720">
        <v>94.5991266046953</v>
      </c>
      <c r="AJ3720">
        <v>82.304564460302998</v>
      </c>
      <c r="AK3720">
        <v>0.63595195844423802</v>
      </c>
      <c r="AL3720">
        <v>88.096572870798397</v>
      </c>
      <c r="AM3720">
        <v>84.977473224031002</v>
      </c>
      <c r="AN3720">
        <v>0.99999999601154999</v>
      </c>
    </row>
    <row r="3721" spans="1:40" x14ac:dyDescent="0.25">
      <c r="A3721" t="str">
        <f>"20190312154909928"</f>
        <v>20190312154909928</v>
      </c>
      <c r="B3721" t="str">
        <f>"1552376949919938"</f>
        <v>1552376949919938</v>
      </c>
      <c r="C3721" t="s">
        <v>40</v>
      </c>
      <c r="D3721">
        <v>4.677073</v>
      </c>
      <c r="E3721">
        <v>0.50393589999999999</v>
      </c>
      <c r="F3721" t="s">
        <v>41</v>
      </c>
      <c r="G3721">
        <v>-258.22160000000002</v>
      </c>
      <c r="H3721">
        <v>1.0536840000000001</v>
      </c>
      <c r="I3721">
        <v>214.4316</v>
      </c>
      <c r="J3721">
        <v>-258.90190000000001</v>
      </c>
      <c r="K3721">
        <v>1.1092649999999999</v>
      </c>
      <c r="L3721">
        <v>214.523</v>
      </c>
      <c r="M3721">
        <v>0.99998299999999996</v>
      </c>
      <c r="N3721">
        <v>0</v>
      </c>
      <c r="O3721">
        <v>2.6323190000000002E-3</v>
      </c>
      <c r="P3721">
        <v>0.9959112</v>
      </c>
      <c r="Q3721">
        <v>2.7714889999999999E-2</v>
      </c>
      <c r="R3721">
        <v>-8.5983069999999995E-2</v>
      </c>
      <c r="S3721">
        <v>2.9933169999999998</v>
      </c>
      <c r="T3721">
        <v>-0.1709552</v>
      </c>
      <c r="U3721">
        <v>-0.27684019999999998</v>
      </c>
      <c r="V3721">
        <v>8.8561810000000005E-2</v>
      </c>
      <c r="W3721">
        <v>3.3021469999999997E-2</v>
      </c>
      <c r="X3721">
        <v>0.99552320000000005</v>
      </c>
      <c r="Y3721">
        <v>9.4556909999999994E-2</v>
      </c>
      <c r="Z3721">
        <v>-2.8421539999999999E-3</v>
      </c>
      <c r="AA3721">
        <v>0.99551540000000005</v>
      </c>
      <c r="AB3721">
        <v>39</v>
      </c>
      <c r="AC3721">
        <v>0.68029999999998803</v>
      </c>
      <c r="AD3721">
        <v>-5.5580999999999797E-2</v>
      </c>
      <c r="AE3721">
        <v>-9.1399999999993001E-2</v>
      </c>
      <c r="AF3721">
        <v>9.2583436426165497E-2</v>
      </c>
      <c r="AG3721">
        <v>-5.5580999999999797E-2</v>
      </c>
      <c r="AH3721">
        <v>0.67562719059829501</v>
      </c>
      <c r="AI3721">
        <v>94.659541226218806</v>
      </c>
      <c r="AJ3721">
        <v>82.1971678338966</v>
      </c>
      <c r="AK3721">
        <v>0.68420248533400096</v>
      </c>
      <c r="AL3721">
        <v>88.107665174086904</v>
      </c>
      <c r="AM3721">
        <v>84.916345962949094</v>
      </c>
      <c r="AN3721">
        <v>1.0000000267048299</v>
      </c>
    </row>
    <row r="3722" spans="1:40" x14ac:dyDescent="0.25">
      <c r="A3722" t="str">
        <f>"20190312154909950"</f>
        <v>20190312154909950</v>
      </c>
      <c r="B3722" t="str">
        <f>"1552376949939458"</f>
        <v>1552376949939458</v>
      </c>
      <c r="C3722" t="s">
        <v>40</v>
      </c>
      <c r="D3722">
        <v>4.6451880000000001</v>
      </c>
      <c r="E3722">
        <v>0.50409789999999999</v>
      </c>
      <c r="F3722" t="s">
        <v>41</v>
      </c>
      <c r="G3722">
        <v>-257.87729999999999</v>
      </c>
      <c r="H3722">
        <v>1.050143</v>
      </c>
      <c r="I3722">
        <v>214.42689999999999</v>
      </c>
      <c r="J3722">
        <v>-258.52800000000002</v>
      </c>
      <c r="K3722">
        <v>1.1093360000000001</v>
      </c>
      <c r="L3722">
        <v>214.52430000000001</v>
      </c>
      <c r="M3722">
        <v>0.99997879999999995</v>
      </c>
      <c r="N3722">
        <v>0</v>
      </c>
      <c r="O3722">
        <v>3.1011929999999999E-3</v>
      </c>
      <c r="P3722">
        <v>0.99597729999999995</v>
      </c>
      <c r="Q3722">
        <v>2.641129E-2</v>
      </c>
      <c r="R3722">
        <v>-8.5625179999999995E-2</v>
      </c>
      <c r="S3722">
        <v>2.99295</v>
      </c>
      <c r="T3722">
        <v>-0.1727602</v>
      </c>
      <c r="U3722">
        <v>-0.28036499999999998</v>
      </c>
      <c r="V3722">
        <v>8.8672650000000006E-2</v>
      </c>
      <c r="W3722">
        <v>3.2228439999999997E-2</v>
      </c>
      <c r="X3722">
        <v>0.99553930000000002</v>
      </c>
      <c r="Y3722">
        <v>9.6190239999999996E-2</v>
      </c>
      <c r="Z3722">
        <v>-2.9462920000000001E-3</v>
      </c>
      <c r="AA3722">
        <v>0.99535859999999998</v>
      </c>
      <c r="AB3722">
        <v>39</v>
      </c>
      <c r="AC3722">
        <v>0.65070000000002803</v>
      </c>
      <c r="AD3722">
        <v>-5.9193000000000003E-2</v>
      </c>
      <c r="AE3722">
        <v>-9.7400000000021594E-2</v>
      </c>
      <c r="AF3722">
        <v>9.8619299827672605E-2</v>
      </c>
      <c r="AG3722">
        <v>-5.9193000000000003E-2</v>
      </c>
      <c r="AH3722">
        <v>0.64517286859087097</v>
      </c>
      <c r="AI3722">
        <v>95.182210065581998</v>
      </c>
      <c r="AJ3722">
        <v>81.309200300645998</v>
      </c>
      <c r="AK3722">
        <v>0.65534541114840705</v>
      </c>
      <c r="AL3722">
        <v>88.1531266058726</v>
      </c>
      <c r="AM3722">
        <v>84.910098774077696</v>
      </c>
      <c r="AN3722">
        <v>1.0000000045236701</v>
      </c>
    </row>
    <row r="3723" spans="1:40" x14ac:dyDescent="0.25">
      <c r="A3723" t="str">
        <f>"20190312154909972"</f>
        <v>20190312154909972</v>
      </c>
      <c r="B3723" t="str">
        <f>"1552376949959954"</f>
        <v>1552376949959954</v>
      </c>
      <c r="C3723" t="s">
        <v>40</v>
      </c>
      <c r="D3723">
        <v>4.6321349999999999</v>
      </c>
      <c r="E3723">
        <v>0.50427630000000001</v>
      </c>
      <c r="F3723" t="s">
        <v>41</v>
      </c>
      <c r="G3723">
        <v>-257.52940000000001</v>
      </c>
      <c r="H3723">
        <v>1.050605</v>
      </c>
      <c r="I3723">
        <v>214.43029999999999</v>
      </c>
      <c r="J3723">
        <v>-258.14109999999999</v>
      </c>
      <c r="K3723">
        <v>1.1094120000000001</v>
      </c>
      <c r="L3723">
        <v>214.52600000000001</v>
      </c>
      <c r="M3723">
        <v>0.99997400000000003</v>
      </c>
      <c r="N3723">
        <v>0</v>
      </c>
      <c r="O3723">
        <v>3.572942E-3</v>
      </c>
      <c r="P3723">
        <v>0.9960523</v>
      </c>
      <c r="Q3723">
        <v>2.5859500000000001E-2</v>
      </c>
      <c r="R3723">
        <v>-8.4920609999999994E-2</v>
      </c>
      <c r="S3723">
        <v>2.9926300000000001</v>
      </c>
      <c r="T3723">
        <v>-0.17617189999999999</v>
      </c>
      <c r="U3723">
        <v>-0.28094479999999999</v>
      </c>
      <c r="V3723">
        <v>8.8438399999999903E-2</v>
      </c>
      <c r="W3723">
        <v>3.2240350000000001E-2</v>
      </c>
      <c r="X3723">
        <v>0.99555979999999999</v>
      </c>
      <c r="Y3723">
        <v>9.6852339999999995E-2</v>
      </c>
      <c r="Z3723">
        <v>-3.0517880000000002E-3</v>
      </c>
      <c r="AA3723">
        <v>0.99529409999999896</v>
      </c>
      <c r="AB3723">
        <v>39</v>
      </c>
      <c r="AC3723">
        <v>0.61169999999998403</v>
      </c>
      <c r="AD3723">
        <v>-5.8806999999999998E-2</v>
      </c>
      <c r="AE3723">
        <v>-9.5699999999993596E-2</v>
      </c>
      <c r="AF3723">
        <v>9.7009825689773593E-2</v>
      </c>
      <c r="AG3723">
        <v>-5.8806999999999998E-2</v>
      </c>
      <c r="AH3723">
        <v>0.60588813339803504</v>
      </c>
      <c r="AI3723">
        <v>95.474421389387203</v>
      </c>
      <c r="AJ3723">
        <v>80.903478697811593</v>
      </c>
      <c r="AK3723">
        <v>0.61641674192214702</v>
      </c>
      <c r="AL3723">
        <v>88.152443948064999</v>
      </c>
      <c r="AM3723">
        <v>84.923578598281296</v>
      </c>
      <c r="AN3723">
        <v>1.00000005306935</v>
      </c>
    </row>
    <row r="3724" spans="1:40" x14ac:dyDescent="0.25">
      <c r="A3724" t="str">
        <f>"20190312154909995"</f>
        <v>20190312154909995</v>
      </c>
      <c r="B3724" t="str">
        <f>"1552376949989234"</f>
        <v>1552376949989234</v>
      </c>
      <c r="C3724" t="s">
        <v>40</v>
      </c>
      <c r="D3724">
        <v>4.6080310000000004</v>
      </c>
      <c r="E3724">
        <v>0.50456629999999902</v>
      </c>
      <c r="F3724" t="s">
        <v>41</v>
      </c>
      <c r="G3724">
        <v>-257.18009999999998</v>
      </c>
      <c r="H3724">
        <v>1.052637</v>
      </c>
      <c r="I3724">
        <v>214.4358</v>
      </c>
      <c r="J3724">
        <v>-257.7482</v>
      </c>
      <c r="K3724">
        <v>1.1094869999999999</v>
      </c>
      <c r="L3724">
        <v>214.52780000000001</v>
      </c>
      <c r="M3724">
        <v>0.99996790000000002</v>
      </c>
      <c r="N3724">
        <v>0</v>
      </c>
      <c r="O3724">
        <v>4.0366450000000002E-3</v>
      </c>
      <c r="P3724">
        <v>0.99615379999999998</v>
      </c>
      <c r="Q3724">
        <v>2.5577949999999999E-2</v>
      </c>
      <c r="R3724">
        <v>-8.3804619999999996E-2</v>
      </c>
      <c r="S3724">
        <v>2.9925839999999999</v>
      </c>
      <c r="T3724">
        <v>-0.17696439999999999</v>
      </c>
      <c r="U3724">
        <v>-0.28002929999999998</v>
      </c>
      <c r="V3724">
        <v>8.7784619999999994E-2</v>
      </c>
      <c r="W3724">
        <v>3.256539E-2</v>
      </c>
      <c r="X3724">
        <v>0.99560700000000002</v>
      </c>
      <c r="Y3724">
        <v>9.7010830000000006E-2</v>
      </c>
      <c r="Z3724">
        <v>-3.0975949999999999E-3</v>
      </c>
      <c r="AA3724">
        <v>0.99527849999999995</v>
      </c>
      <c r="AB3724">
        <v>39</v>
      </c>
      <c r="AC3724">
        <v>0.56810000000001504</v>
      </c>
      <c r="AD3724">
        <v>-5.6849999999999998E-2</v>
      </c>
      <c r="AE3724">
        <v>-9.2000000000012905E-2</v>
      </c>
      <c r="AF3724">
        <v>9.3381292590547393E-2</v>
      </c>
      <c r="AG3724">
        <v>-5.6849999999999998E-2</v>
      </c>
      <c r="AH3724">
        <v>0.56223757968450905</v>
      </c>
      <c r="AI3724">
        <v>95.696263709466393</v>
      </c>
      <c r="AJ3724">
        <v>80.569902455676299</v>
      </c>
      <c r="AK3724">
        <v>0.57276791487946999</v>
      </c>
      <c r="AL3724">
        <v>88.133810591634798</v>
      </c>
      <c r="AM3724">
        <v>84.961149728060704</v>
      </c>
      <c r="AN3724">
        <v>0.99999997129169704</v>
      </c>
    </row>
    <row r="3725" spans="1:40" x14ac:dyDescent="0.25">
      <c r="A3725" t="str">
        <f>"20190312154910016"</f>
        <v>20190312154910016</v>
      </c>
      <c r="B3725" t="str">
        <f>"1552376950009730"</f>
        <v>1552376950009730</v>
      </c>
      <c r="C3725" t="s">
        <v>40</v>
      </c>
      <c r="D3725">
        <v>4.6403299999999996</v>
      </c>
      <c r="E3725">
        <v>0.50473219999999996</v>
      </c>
      <c r="F3725" t="s">
        <v>41</v>
      </c>
      <c r="G3725">
        <v>-256.8304</v>
      </c>
      <c r="H3725">
        <v>1.0553300000000001</v>
      </c>
      <c r="I3725">
        <v>214.4419</v>
      </c>
      <c r="J3725">
        <v>-257.36489999999998</v>
      </c>
      <c r="K3725">
        <v>1.109564</v>
      </c>
      <c r="L3725">
        <v>214.52969999999999</v>
      </c>
      <c r="M3725">
        <v>0.99996169999999995</v>
      </c>
      <c r="N3725">
        <v>0</v>
      </c>
      <c r="O3725">
        <v>4.4627820000000002E-3</v>
      </c>
      <c r="P3725">
        <v>0.99625560000000002</v>
      </c>
      <c r="Q3725">
        <v>2.4971360000000001E-2</v>
      </c>
      <c r="R3725">
        <v>-8.2774539999999994E-2</v>
      </c>
      <c r="S3725">
        <v>2.9926300000000001</v>
      </c>
      <c r="T3725">
        <v>-0.17671700000000001</v>
      </c>
      <c r="U3725">
        <v>-0.2791748</v>
      </c>
      <c r="V3725">
        <v>8.7180380000000002E-2</v>
      </c>
      <c r="W3725">
        <v>3.2590639999999997E-2</v>
      </c>
      <c r="X3725">
        <v>0.99565930000000002</v>
      </c>
      <c r="Y3725">
        <v>9.7151349999999997E-2</v>
      </c>
      <c r="Z3725">
        <v>-3.122494E-3</v>
      </c>
      <c r="AA3725">
        <v>0.9952647</v>
      </c>
      <c r="AB3725">
        <v>39</v>
      </c>
      <c r="AC3725">
        <v>0.53449999999997999</v>
      </c>
      <c r="AD3725">
        <v>-5.4234000000000102E-2</v>
      </c>
      <c r="AE3725">
        <v>-8.7799999999987194E-2</v>
      </c>
      <c r="AF3725">
        <v>8.9289423462858106E-2</v>
      </c>
      <c r="AG3725">
        <v>-5.4234000000000102E-2</v>
      </c>
      <c r="AH3725">
        <v>0.52880159605836896</v>
      </c>
      <c r="AI3725">
        <v>95.774614825083603</v>
      </c>
      <c r="AJ3725">
        <v>80.415872026739194</v>
      </c>
      <c r="AK3725">
        <v>0.53902231483697205</v>
      </c>
      <c r="AL3725">
        <v>88.132363167944504</v>
      </c>
      <c r="AM3725">
        <v>84.995917998608306</v>
      </c>
      <c r="AN3725">
        <v>1.0000000050745199</v>
      </c>
    </row>
    <row r="3726" spans="1:40" x14ac:dyDescent="0.25">
      <c r="A3726" t="str">
        <f>"20190312154910039"</f>
        <v>20190312154910039</v>
      </c>
      <c r="B3726" t="str">
        <f>"1552376950029250"</f>
        <v>1552376950029250</v>
      </c>
      <c r="C3726" t="s">
        <v>40</v>
      </c>
      <c r="D3726">
        <v>4.6303549999999998</v>
      </c>
      <c r="E3726">
        <v>0.50489129999999904</v>
      </c>
      <c r="F3726" t="s">
        <v>41</v>
      </c>
      <c r="G3726">
        <v>-256.47280000000001</v>
      </c>
      <c r="H3726">
        <v>1.0565329999999999</v>
      </c>
      <c r="I3726">
        <v>214.447</v>
      </c>
      <c r="J3726">
        <v>-256.98250000000002</v>
      </c>
      <c r="K3726">
        <v>1.109637</v>
      </c>
      <c r="L3726">
        <v>214.53190000000001</v>
      </c>
      <c r="M3726">
        <v>0.99995449999999997</v>
      </c>
      <c r="N3726">
        <v>0</v>
      </c>
      <c r="O3726">
        <v>4.8579219999999998E-3</v>
      </c>
      <c r="P3726">
        <v>0.99637310000000001</v>
      </c>
      <c r="Q3726">
        <v>2.374306E-2</v>
      </c>
      <c r="R3726">
        <v>-8.1714629999999996E-2</v>
      </c>
      <c r="S3726">
        <v>2.9927060000000001</v>
      </c>
      <c r="T3726">
        <v>-0.17799479999999901</v>
      </c>
      <c r="U3726">
        <v>-0.27719120000000003</v>
      </c>
      <c r="V3726">
        <v>8.6516739999999995E-2</v>
      </c>
      <c r="W3726">
        <v>3.2039230000000002E-2</v>
      </c>
      <c r="X3726">
        <v>0.99573500000000004</v>
      </c>
      <c r="Y3726">
        <v>9.6885490000000005E-2</v>
      </c>
      <c r="Z3726">
        <v>-3.1606020000000002E-3</v>
      </c>
      <c r="AA3726">
        <v>0.99529049999999997</v>
      </c>
      <c r="AB3726">
        <v>39</v>
      </c>
      <c r="AC3726">
        <v>0.50970000000000903</v>
      </c>
      <c r="AD3726">
        <v>-5.3103999999999998E-2</v>
      </c>
      <c r="AE3726">
        <v>-8.4900000000004597E-2</v>
      </c>
      <c r="AF3726">
        <v>8.6461966525877607E-2</v>
      </c>
      <c r="AG3726">
        <v>-5.3103999999999998E-2</v>
      </c>
      <c r="AH3726">
        <v>0.50395879901171203</v>
      </c>
      <c r="AI3726">
        <v>95.929269958392993</v>
      </c>
      <c r="AJ3726">
        <v>80.2647976089943</v>
      </c>
      <c r="AK3726">
        <v>0.51407215210790103</v>
      </c>
      <c r="AL3726">
        <v>88.1639729945299</v>
      </c>
      <c r="AM3726">
        <v>85.034194825804505</v>
      </c>
      <c r="AN3726">
        <v>0.99999992439210705</v>
      </c>
    </row>
    <row r="3727" spans="1:40" x14ac:dyDescent="0.25">
      <c r="A3727" t="str">
        <f>"20190312154910061"</f>
        <v>20190312154910061</v>
      </c>
      <c r="B3727" t="str">
        <f>"1552376950049747"</f>
        <v>1552376950049747</v>
      </c>
      <c r="C3727" t="s">
        <v>40</v>
      </c>
      <c r="D3727">
        <v>4.6240860000000001</v>
      </c>
      <c r="E3727">
        <v>0.50505599999999995</v>
      </c>
      <c r="F3727" t="s">
        <v>50</v>
      </c>
      <c r="G3727">
        <v>-238.62350000000001</v>
      </c>
      <c r="H3727" s="1">
        <v>3.1297010000000001E-6</v>
      </c>
      <c r="I3727">
        <v>212.84389999999999</v>
      </c>
      <c r="J3727">
        <v>-256.59059999999999</v>
      </c>
      <c r="K3727">
        <v>1.1096980000000001</v>
      </c>
      <c r="L3727">
        <v>214.5342</v>
      </c>
      <c r="M3727">
        <v>0.99994620000000001</v>
      </c>
      <c r="N3727">
        <v>0</v>
      </c>
      <c r="O3727">
        <v>5.2401619999999996E-3</v>
      </c>
      <c r="P3727">
        <v>0.99649299999999996</v>
      </c>
      <c r="Q3727">
        <v>2.2868340000000001E-2</v>
      </c>
      <c r="R3727">
        <v>-8.0493880000000004E-2</v>
      </c>
      <c r="S3727">
        <v>2.992661</v>
      </c>
      <c r="T3727">
        <v>-0.1808796</v>
      </c>
      <c r="U3727">
        <v>-0.27514650000000002</v>
      </c>
      <c r="V3727">
        <v>8.5680019999999996E-2</v>
      </c>
      <c r="W3727">
        <v>3.1881E-2</v>
      </c>
      <c r="X3727">
        <v>0.99581249999999999</v>
      </c>
      <c r="Y3727">
        <v>9.6587110000000004E-2</v>
      </c>
      <c r="Z3727">
        <v>-3.225931E-3</v>
      </c>
      <c r="AA3727">
        <v>0.99531930000000002</v>
      </c>
      <c r="AB3727">
        <v>39</v>
      </c>
      <c r="AC3727">
        <v>17.967099999999899</v>
      </c>
      <c r="AD3727">
        <v>-1.1096948702989999</v>
      </c>
      <c r="AE3727">
        <v>-1.6902999999999999</v>
      </c>
      <c r="AF3727">
        <v>1.7777092859819299</v>
      </c>
      <c r="AG3727">
        <v>-1.1096948702989999</v>
      </c>
      <c r="AH3727">
        <v>17.8903493338773</v>
      </c>
      <c r="AI3727">
        <v>93.532020559648004</v>
      </c>
      <c r="AJ3727">
        <v>84.325321595310896</v>
      </c>
      <c r="AK3727">
        <v>18.0126697715469</v>
      </c>
      <c r="AL3727">
        <v>88.173043677548506</v>
      </c>
      <c r="AM3727">
        <v>85.0823642672745</v>
      </c>
      <c r="AN3727">
        <v>0.99999999957222496</v>
      </c>
    </row>
    <row r="3728" spans="1:40" x14ac:dyDescent="0.25">
      <c r="A3728" t="str">
        <f>"20190312154910083"</f>
        <v>20190312154910083</v>
      </c>
      <c r="B3728" t="str">
        <f>"1552376950080003"</f>
        <v>1552376950080003</v>
      </c>
      <c r="C3728" t="s">
        <v>40</v>
      </c>
      <c r="D3728">
        <v>4.5962230000000002</v>
      </c>
      <c r="E3728">
        <v>0.50537500000000002</v>
      </c>
      <c r="F3728" t="s">
        <v>50</v>
      </c>
      <c r="G3728">
        <v>-238.43940000000001</v>
      </c>
      <c r="H3728" s="1">
        <v>3.0302170000000001E-6</v>
      </c>
      <c r="I3728">
        <v>212.8785</v>
      </c>
      <c r="J3728">
        <v>-256.20999999999998</v>
      </c>
      <c r="K3728">
        <v>1.109734</v>
      </c>
      <c r="L3728">
        <v>214.53649999999999</v>
      </c>
      <c r="M3728">
        <v>0.99993810000000005</v>
      </c>
      <c r="N3728">
        <v>0</v>
      </c>
      <c r="O3728">
        <v>5.5881059999999998E-3</v>
      </c>
      <c r="P3728">
        <v>0.9965522</v>
      </c>
      <c r="Q3728">
        <v>2.1594760000000001E-2</v>
      </c>
      <c r="R3728">
        <v>-8.0110890000000004E-2</v>
      </c>
      <c r="S3728">
        <v>2.9927060000000001</v>
      </c>
      <c r="T3728">
        <v>-0.18296280000000001</v>
      </c>
      <c r="U3728">
        <v>-0.27297969999999999</v>
      </c>
      <c r="V3728">
        <v>8.5647899999999999E-2</v>
      </c>
      <c r="W3728">
        <v>3.128239E-2</v>
      </c>
      <c r="X3728">
        <v>0.9958342</v>
      </c>
      <c r="Y3728">
        <v>9.6213209999999993E-2</v>
      </c>
      <c r="Z3728">
        <v>-3.2728919999999999E-3</v>
      </c>
      <c r="AA3728">
        <v>0.9953554</v>
      </c>
      <c r="AB3728">
        <v>39</v>
      </c>
      <c r="AC3728">
        <v>17.770599999999899</v>
      </c>
      <c r="AD3728">
        <v>-1.109730969783</v>
      </c>
      <c r="AE3728">
        <v>-1.6579999999999799</v>
      </c>
      <c r="AF3728">
        <v>1.75051513017825</v>
      </c>
      <c r="AG3728">
        <v>-1.109730969783</v>
      </c>
      <c r="AH3728">
        <v>17.692656368080002</v>
      </c>
      <c r="AI3728">
        <v>93.571649961701993</v>
      </c>
      <c r="AJ3728">
        <v>84.349533461076703</v>
      </c>
      <c r="AK3728">
        <v>17.8136435185293</v>
      </c>
      <c r="AL3728">
        <v>88.207358537062504</v>
      </c>
      <c r="AM3728">
        <v>85.084305365159295</v>
      </c>
      <c r="AN3728">
        <v>0.99999995229407901</v>
      </c>
    </row>
    <row r="3729" spans="1:40" x14ac:dyDescent="0.25">
      <c r="A3729" t="str">
        <f>"20190312154910107"</f>
        <v>20190312154910107</v>
      </c>
      <c r="B3729" t="str">
        <f>"1552376950099522"</f>
        <v>1552376950099522</v>
      </c>
      <c r="C3729" t="s">
        <v>40</v>
      </c>
      <c r="D3729">
        <v>4.5430359999999999</v>
      </c>
      <c r="E3729">
        <v>0.52606390000000003</v>
      </c>
      <c r="F3729" t="s">
        <v>50</v>
      </c>
      <c r="G3729">
        <v>-238.32660000000001</v>
      </c>
      <c r="H3729" s="1">
        <v>2.9693659999999998E-6</v>
      </c>
      <c r="I3729">
        <v>212.89760000000001</v>
      </c>
      <c r="J3729">
        <v>-255.8073</v>
      </c>
      <c r="K3729">
        <v>1.109761</v>
      </c>
      <c r="L3729">
        <v>214.53909999999999</v>
      </c>
      <c r="M3729">
        <v>0.99992939999999997</v>
      </c>
      <c r="N3729">
        <v>0</v>
      </c>
      <c r="O3729">
        <v>5.9221650000000001E-3</v>
      </c>
      <c r="P3729">
        <v>0.9965543</v>
      </c>
      <c r="Q3729">
        <v>2.0824789999999999E-2</v>
      </c>
      <c r="R3729">
        <v>-8.0288360000000003E-2</v>
      </c>
      <c r="S3729">
        <v>2.9923250000000001</v>
      </c>
      <c r="T3729">
        <v>-0.18568580000000001</v>
      </c>
      <c r="U3729">
        <v>-0.274231</v>
      </c>
      <c r="V3729">
        <v>8.6161219999999997E-2</v>
      </c>
      <c r="W3729">
        <v>3.116849E-2</v>
      </c>
      <c r="X3729">
        <v>0.9957935</v>
      </c>
      <c r="Y3729">
        <v>9.6962209999999993E-2</v>
      </c>
      <c r="Z3729">
        <v>-3.3657079999999998E-3</v>
      </c>
      <c r="AA3729">
        <v>0.99528240000000001</v>
      </c>
      <c r="AB3729">
        <v>39</v>
      </c>
      <c r="AC3729">
        <v>17.480699999999899</v>
      </c>
      <c r="AD3729">
        <v>-1.109758030634</v>
      </c>
      <c r="AE3729">
        <v>-1.64149999999997</v>
      </c>
      <c r="AF3729">
        <v>1.7380566081545601</v>
      </c>
      <c r="AG3729">
        <v>-1.109758030634</v>
      </c>
      <c r="AH3729">
        <v>17.401152564088001</v>
      </c>
      <c r="AI3729">
        <v>93.631076074230094</v>
      </c>
      <c r="AJ3729">
        <v>84.296118221606903</v>
      </c>
      <c r="AK3729">
        <v>17.522913976230502</v>
      </c>
      <c r="AL3729">
        <v>88.213887728956195</v>
      </c>
      <c r="AM3729">
        <v>85.054788306768003</v>
      </c>
      <c r="AN3729">
        <v>0.99999996262150803</v>
      </c>
    </row>
    <row r="3730" spans="1:40" x14ac:dyDescent="0.25">
      <c r="A3730" t="str">
        <f>"20190312154910128"</f>
        <v>20190312154910128</v>
      </c>
      <c r="B3730" t="str">
        <f>"1552376950119043"</f>
        <v>1552376950119043</v>
      </c>
      <c r="C3730" t="s">
        <v>40</v>
      </c>
      <c r="D3730">
        <v>4.4882799999999996</v>
      </c>
      <c r="E3730">
        <v>0.53358409999999901</v>
      </c>
      <c r="F3730" t="s">
        <v>50</v>
      </c>
      <c r="G3730">
        <v>-226.40610000000001</v>
      </c>
      <c r="H3730" s="1">
        <v>2.066376E-6</v>
      </c>
      <c r="I3730">
        <v>210.1747</v>
      </c>
      <c r="J3730">
        <v>-255.4323</v>
      </c>
      <c r="K3730">
        <v>1.1097840000000001</v>
      </c>
      <c r="L3730">
        <v>214.54159999999999</v>
      </c>
      <c r="M3730">
        <v>0.99992179999999997</v>
      </c>
      <c r="N3730">
        <v>0</v>
      </c>
      <c r="O3730">
        <v>6.1941499999999998E-3</v>
      </c>
      <c r="P3730">
        <v>0.99654880000000001</v>
      </c>
      <c r="Q3730">
        <v>2.0361270000000001E-2</v>
      </c>
      <c r="R3730">
        <v>-8.0473939999999994E-2</v>
      </c>
      <c r="S3730">
        <v>2.977112</v>
      </c>
      <c r="T3730">
        <v>-0.112372</v>
      </c>
      <c r="U3730">
        <v>-0.44192500000000001</v>
      </c>
      <c r="V3730">
        <v>8.6620119999999995E-2</v>
      </c>
      <c r="W3730">
        <v>3.1255699999999997E-2</v>
      </c>
      <c r="X3730">
        <v>0.99575100000000005</v>
      </c>
      <c r="Y3730">
        <v>0.1528457</v>
      </c>
      <c r="Z3730">
        <v>-3.1003670000000001E-3</v>
      </c>
      <c r="AA3730">
        <v>0.98824520000000005</v>
      </c>
      <c r="AB3730">
        <v>39</v>
      </c>
      <c r="AC3730">
        <v>29.0261999999999</v>
      </c>
      <c r="AD3730">
        <v>-1.109781933624</v>
      </c>
      <c r="AE3730">
        <v>-4.3668999999999798</v>
      </c>
      <c r="AF3730">
        <v>4.5401294913608199</v>
      </c>
      <c r="AG3730">
        <v>-1.109781933624</v>
      </c>
      <c r="AH3730">
        <v>28.957198862999402</v>
      </c>
      <c r="AI3730">
        <v>92.168317622265604</v>
      </c>
      <c r="AJ3730">
        <v>81.089275618570497</v>
      </c>
      <c r="AK3730">
        <v>29.331957959362601</v>
      </c>
      <c r="AL3730">
        <v>88.208888611216395</v>
      </c>
      <c r="AM3730">
        <v>85.028370328542906</v>
      </c>
      <c r="AN3730">
        <v>1.00000000898615</v>
      </c>
    </row>
    <row r="3731" spans="1:40" x14ac:dyDescent="0.25">
      <c r="A3731" t="str">
        <f>"20190312154910150"</f>
        <v>20190312154910150</v>
      </c>
      <c r="B3731" t="str">
        <f>"1552376950139538"</f>
        <v>1552376950139538</v>
      </c>
      <c r="C3731" t="s">
        <v>40</v>
      </c>
      <c r="D3731">
        <v>4.4897080000000003</v>
      </c>
      <c r="E3731">
        <v>0.53668950000000004</v>
      </c>
      <c r="F3731" t="s">
        <v>50</v>
      </c>
      <c r="G3731">
        <v>-226.21879999999999</v>
      </c>
      <c r="H3731">
        <v>6.3541109999999998E-2</v>
      </c>
      <c r="I3731">
        <v>209.6028</v>
      </c>
      <c r="J3731">
        <v>-255.0515</v>
      </c>
      <c r="K3731">
        <v>1.1097999999999999</v>
      </c>
      <c r="L3731">
        <v>214.54419999999999</v>
      </c>
      <c r="M3731">
        <v>0.99991470000000005</v>
      </c>
      <c r="N3731">
        <v>0</v>
      </c>
      <c r="O3731">
        <v>6.436326E-3</v>
      </c>
      <c r="P3731">
        <v>0.99655210000000005</v>
      </c>
      <c r="Q3731">
        <v>1.9785750000000001E-2</v>
      </c>
      <c r="R3731">
        <v>-8.057781E-2</v>
      </c>
      <c r="S3731">
        <v>2.972</v>
      </c>
      <c r="T3731">
        <v>-0.1064382</v>
      </c>
      <c r="U3731">
        <v>-0.50244140000000004</v>
      </c>
      <c r="V3731">
        <v>8.6967600000000006E-2</v>
      </c>
      <c r="W3731">
        <v>3.118278E-2</v>
      </c>
      <c r="X3731">
        <v>0.99572300000000002</v>
      </c>
      <c r="Y3731">
        <v>0.17292439999999901</v>
      </c>
      <c r="Z3731">
        <v>-3.3026050000000001E-3</v>
      </c>
      <c r="AA3731">
        <v>0.98492959999999996</v>
      </c>
      <c r="AB3731">
        <v>39</v>
      </c>
      <c r="AC3731">
        <v>28.832699999999999</v>
      </c>
      <c r="AD3731">
        <v>-1.0462588899999901</v>
      </c>
      <c r="AE3731">
        <v>-4.9413999999999803</v>
      </c>
      <c r="AF3731">
        <v>5.1203363874919097</v>
      </c>
      <c r="AG3731">
        <v>-1.0462588899999901</v>
      </c>
      <c r="AH3731">
        <v>28.763502166374401</v>
      </c>
      <c r="AI3731">
        <v>92.050973276070096</v>
      </c>
      <c r="AJ3731">
        <v>79.906224136164099</v>
      </c>
      <c r="AK3731">
        <v>29.234424216341299</v>
      </c>
      <c r="AL3731">
        <v>88.213068660492993</v>
      </c>
      <c r="AM3731">
        <v>85.008387345652693</v>
      </c>
      <c r="AN3731">
        <v>1.00000001097364</v>
      </c>
    </row>
    <row r="3732" spans="1:40" x14ac:dyDescent="0.25">
      <c r="A3732" t="str">
        <f>"20190312154910173"</f>
        <v>20190312154910173</v>
      </c>
      <c r="B3732" t="str">
        <f>"1552376950159058"</f>
        <v>1552376950159058</v>
      </c>
      <c r="C3732" t="s">
        <v>40</v>
      </c>
      <c r="D3732">
        <v>4.4632750000000003</v>
      </c>
      <c r="E3732">
        <v>0.53797329999999999</v>
      </c>
      <c r="F3732" t="s">
        <v>50</v>
      </c>
      <c r="G3732">
        <v>-226.8663</v>
      </c>
      <c r="H3732">
        <v>8.0001139999999998E-2</v>
      </c>
      <c r="I3732">
        <v>209.53960000000001</v>
      </c>
      <c r="J3732">
        <v>-254.66919999999999</v>
      </c>
      <c r="K3732">
        <v>1.109802</v>
      </c>
      <c r="L3732">
        <v>214.54679999999999</v>
      </c>
      <c r="M3732">
        <v>0.99990800000000002</v>
      </c>
      <c r="N3732">
        <v>0</v>
      </c>
      <c r="O3732">
        <v>6.6507169999999996E-3</v>
      </c>
      <c r="P3732">
        <v>0.99654699999999996</v>
      </c>
      <c r="Q3732">
        <v>1.9369589999999999E-2</v>
      </c>
      <c r="R3732">
        <v>-8.0741320000000005E-2</v>
      </c>
      <c r="S3732">
        <v>2.9698790000000002</v>
      </c>
      <c r="T3732">
        <v>-0.1085098</v>
      </c>
      <c r="U3732">
        <v>-0.52732849999999998</v>
      </c>
      <c r="V3732">
        <v>8.7346649999999998E-2</v>
      </c>
      <c r="W3732">
        <v>3.121662E-2</v>
      </c>
      <c r="X3732">
        <v>0.99568869999999998</v>
      </c>
      <c r="Y3732">
        <v>0.18124779999999999</v>
      </c>
      <c r="Z3732">
        <v>-3.5254219999999998E-3</v>
      </c>
      <c r="AA3732">
        <v>0.98343119999999995</v>
      </c>
      <c r="AB3732">
        <v>39</v>
      </c>
      <c r="AC3732">
        <v>27.802899999999902</v>
      </c>
      <c r="AD3732">
        <v>-1.0298008599999999</v>
      </c>
      <c r="AE3732">
        <v>-5.0071999999999797</v>
      </c>
      <c r="AF3732">
        <v>5.1851213321521401</v>
      </c>
      <c r="AG3732">
        <v>-1.0298008599999999</v>
      </c>
      <c r="AH3732">
        <v>27.732130417568801</v>
      </c>
      <c r="AI3732">
        <v>92.090443523969796</v>
      </c>
      <c r="AJ3732">
        <v>79.409593328957698</v>
      </c>
      <c r="AK3732">
        <v>28.231490051668199</v>
      </c>
      <c r="AL3732">
        <v>88.211128719592594</v>
      </c>
      <c r="AM3732">
        <v>84.9865701167857</v>
      </c>
      <c r="AN3732">
        <v>0.99999995096906702</v>
      </c>
    </row>
    <row r="3733" spans="1:40" x14ac:dyDescent="0.25">
      <c r="A3733" t="str">
        <f>"20190312154910195"</f>
        <v>20190312154910195</v>
      </c>
      <c r="B3733" t="str">
        <f>"1552376950189314"</f>
        <v>1552376950189314</v>
      </c>
      <c r="C3733" t="s">
        <v>40</v>
      </c>
      <c r="D3733">
        <v>4.4447799999999997</v>
      </c>
      <c r="E3733">
        <v>0.53919069999999902</v>
      </c>
      <c r="F3733" t="s">
        <v>50</v>
      </c>
      <c r="G3733">
        <v>-225.8854</v>
      </c>
      <c r="H3733">
        <v>8.0001439999999993E-2</v>
      </c>
      <c r="I3733">
        <v>209.3278</v>
      </c>
      <c r="J3733">
        <v>-254.28059999999999</v>
      </c>
      <c r="K3733">
        <v>1.1098059999999901</v>
      </c>
      <c r="L3733">
        <v>214.5496</v>
      </c>
      <c r="M3733">
        <v>0.99990159999999995</v>
      </c>
      <c r="N3733">
        <v>0</v>
      </c>
      <c r="O3733">
        <v>6.8458829999999997E-3</v>
      </c>
      <c r="P3733">
        <v>0.99652600000000002</v>
      </c>
      <c r="Q3733">
        <v>1.9140000000000001E-2</v>
      </c>
      <c r="R3733">
        <v>-8.1051709999999999E-2</v>
      </c>
      <c r="S3733">
        <v>2.968826</v>
      </c>
      <c r="T3733">
        <v>-0.1062157</v>
      </c>
      <c r="U3733">
        <v>-0.53829959999999999</v>
      </c>
      <c r="V3733">
        <v>8.7853299999999995E-2</v>
      </c>
      <c r="W3733">
        <v>3.139202E-2</v>
      </c>
      <c r="X3733">
        <v>0.99563869999999999</v>
      </c>
      <c r="Y3733">
        <v>0.18502179999999999</v>
      </c>
      <c r="Z3733">
        <v>-3.5248969999999999E-3</v>
      </c>
      <c r="AA3733">
        <v>0.98272809999999999</v>
      </c>
      <c r="AB3733">
        <v>38</v>
      </c>
      <c r="AC3733">
        <v>28.3951999999999</v>
      </c>
      <c r="AD3733">
        <v>-1.0298045600000001</v>
      </c>
      <c r="AE3733">
        <v>-5.2218</v>
      </c>
      <c r="AF3733">
        <v>5.4092005031942696</v>
      </c>
      <c r="AG3733">
        <v>-1.0298045600000001</v>
      </c>
      <c r="AH3733">
        <v>28.3227501164688</v>
      </c>
      <c r="AI3733">
        <v>92.0453991021256</v>
      </c>
      <c r="AJ3733">
        <v>79.187611682897099</v>
      </c>
      <c r="AK3733">
        <v>28.853043542674801</v>
      </c>
      <c r="AL3733">
        <v>88.201074273765798</v>
      </c>
      <c r="AM3733">
        <v>84.957387533205903</v>
      </c>
      <c r="AN3733">
        <v>1.0000000410891201</v>
      </c>
    </row>
    <row r="3734" spans="1:40" x14ac:dyDescent="0.25">
      <c r="A3734" t="str">
        <f>"20190312154910217"</f>
        <v>20190312154910217</v>
      </c>
      <c r="B3734" t="str">
        <f>"1552376950209810"</f>
        <v>1552376950209810</v>
      </c>
      <c r="C3734" t="s">
        <v>40</v>
      </c>
      <c r="D3734">
        <v>4.4423490000000001</v>
      </c>
      <c r="E3734">
        <v>0.53959690000000005</v>
      </c>
      <c r="F3734" t="s">
        <v>50</v>
      </c>
      <c r="G3734">
        <v>-224.98699999999999</v>
      </c>
      <c r="H3734">
        <v>8.0001699999999995E-2</v>
      </c>
      <c r="I3734">
        <v>209.13079999999999</v>
      </c>
      <c r="J3734">
        <v>-253.90539999999999</v>
      </c>
      <c r="K3734">
        <v>1.1097980000000001</v>
      </c>
      <c r="L3734">
        <v>214.55240000000001</v>
      </c>
      <c r="M3734">
        <v>0.99989609999999995</v>
      </c>
      <c r="N3734">
        <v>0</v>
      </c>
      <c r="O3734">
        <v>7.0178519999999998E-3</v>
      </c>
      <c r="P3734">
        <v>0.99652640000000003</v>
      </c>
      <c r="Q3734">
        <v>1.8725840000000001E-2</v>
      </c>
      <c r="R3734">
        <v>-8.1146640000000006E-2</v>
      </c>
      <c r="S3734">
        <v>2.9678040000000001</v>
      </c>
      <c r="T3734">
        <v>-0.1043317</v>
      </c>
      <c r="U3734">
        <v>-0.54899600000000004</v>
      </c>
      <c r="V3734">
        <v>8.8121290000000005E-2</v>
      </c>
      <c r="W3734">
        <v>3.1321479999999999E-2</v>
      </c>
      <c r="X3734">
        <v>0.99561719999999998</v>
      </c>
      <c r="Y3734">
        <v>0.18867780000000001</v>
      </c>
      <c r="Z3734">
        <v>-3.5321720000000001E-3</v>
      </c>
      <c r="AA3734">
        <v>0.98203269999999998</v>
      </c>
      <c r="AB3734">
        <v>38</v>
      </c>
      <c r="AC3734">
        <v>28.918399999999899</v>
      </c>
      <c r="AD3734">
        <v>-1.0297962999999899</v>
      </c>
      <c r="AE3734">
        <v>-5.4216000000000104</v>
      </c>
      <c r="AF3734">
        <v>5.61754587244479</v>
      </c>
      <c r="AG3734">
        <v>-1.0297962999999899</v>
      </c>
      <c r="AH3734">
        <v>28.8443012343769</v>
      </c>
      <c r="AI3734">
        <v>92.007023220774897</v>
      </c>
      <c r="AJ3734">
        <v>78.979364649806399</v>
      </c>
      <c r="AK3734">
        <v>29.404268665416399</v>
      </c>
      <c r="AL3734">
        <v>88.205117837747906</v>
      </c>
      <c r="AM3734">
        <v>84.941976428357904</v>
      </c>
      <c r="AN3734">
        <v>1.0000000028982401</v>
      </c>
    </row>
    <row r="3735" spans="1:40" x14ac:dyDescent="0.25">
      <c r="A3735" t="str">
        <f>"20190312154910240"</f>
        <v>20190312154910240</v>
      </c>
      <c r="B3735" t="str">
        <f>"1552376950229330"</f>
        <v>1552376950229330</v>
      </c>
      <c r="C3735" t="s">
        <v>40</v>
      </c>
      <c r="D3735">
        <v>4.4594329999999998</v>
      </c>
      <c r="E3735">
        <v>0.53993869999999999</v>
      </c>
      <c r="F3735" t="s">
        <v>50</v>
      </c>
      <c r="G3735">
        <v>-225.1848</v>
      </c>
      <c r="H3735">
        <v>8.0001639999999999E-2</v>
      </c>
      <c r="I3735">
        <v>209.2079</v>
      </c>
      <c r="J3735">
        <v>-253.52350000000001</v>
      </c>
      <c r="K3735">
        <v>1.1097900000000001</v>
      </c>
      <c r="L3735">
        <v>214.55520000000001</v>
      </c>
      <c r="M3735">
        <v>0.99989090000000003</v>
      </c>
      <c r="N3735">
        <v>0</v>
      </c>
      <c r="O3735">
        <v>7.1800350000000004E-3</v>
      </c>
      <c r="P3735">
        <v>0.99650570000000005</v>
      </c>
      <c r="Q3735">
        <v>1.8253800000000001E-2</v>
      </c>
      <c r="R3735">
        <v>-8.1507999999999997E-2</v>
      </c>
      <c r="S3735">
        <v>2.967514</v>
      </c>
      <c r="T3735">
        <v>-0.10640230000000001</v>
      </c>
      <c r="U3735">
        <v>-0.55221560000000003</v>
      </c>
      <c r="V3735">
        <v>8.8645699999999994E-2</v>
      </c>
      <c r="W3735">
        <v>3.1156090000000001E-2</v>
      </c>
      <c r="X3735">
        <v>0.99557580000000001</v>
      </c>
      <c r="Y3735">
        <v>0.18987860000000001</v>
      </c>
      <c r="Z3735">
        <v>-3.6293250000000001E-3</v>
      </c>
      <c r="AA3735">
        <v>0.98180089999999998</v>
      </c>
      <c r="AB3735">
        <v>38</v>
      </c>
      <c r="AC3735">
        <v>28.338699999999999</v>
      </c>
      <c r="AD3735">
        <v>-1.02978836</v>
      </c>
      <c r="AE3735">
        <v>-5.3473000000000104</v>
      </c>
      <c r="AF3735">
        <v>5.5435833665745102</v>
      </c>
      <c r="AG3735">
        <v>-1.02978836</v>
      </c>
      <c r="AH3735">
        <v>28.263533749194501</v>
      </c>
      <c r="AI3735">
        <v>92.047680072575801</v>
      </c>
      <c r="AJ3735">
        <v>78.902931043465799</v>
      </c>
      <c r="AK3735">
        <v>28.820463573655601</v>
      </c>
      <c r="AL3735">
        <v>88.214598551128603</v>
      </c>
      <c r="AM3735">
        <v>84.911823180766007</v>
      </c>
      <c r="AN3735">
        <v>0.99999996780910805</v>
      </c>
    </row>
    <row r="3736" spans="1:40" x14ac:dyDescent="0.25">
      <c r="A3736" t="str">
        <f>"20190312154910262"</f>
        <v>20190312154910262</v>
      </c>
      <c r="B3736" t="str">
        <f>"1552376950259587"</f>
        <v>1552376950259587</v>
      </c>
      <c r="C3736" t="s">
        <v>40</v>
      </c>
      <c r="D3736">
        <v>4.5202689999999999</v>
      </c>
      <c r="E3736">
        <v>0.54063300000000003</v>
      </c>
      <c r="F3736" t="s">
        <v>50</v>
      </c>
      <c r="G3736">
        <v>-225.40049999999999</v>
      </c>
      <c r="H3736">
        <v>8.0001569999999994E-2</v>
      </c>
      <c r="I3736">
        <v>209.28460000000001</v>
      </c>
      <c r="J3736">
        <v>-253.1337</v>
      </c>
      <c r="K3736">
        <v>1.109777</v>
      </c>
      <c r="L3736">
        <v>214.5582</v>
      </c>
      <c r="M3736">
        <v>0.99988630000000001</v>
      </c>
      <c r="N3736">
        <v>0</v>
      </c>
      <c r="O3736">
        <v>7.3336969999999897E-3</v>
      </c>
      <c r="P3736">
        <v>0.99649500000000002</v>
      </c>
      <c r="Q3736">
        <v>1.7222689999999999E-2</v>
      </c>
      <c r="R3736">
        <v>-8.186156E-2</v>
      </c>
      <c r="S3736">
        <v>2.9670260000000002</v>
      </c>
      <c r="T3736">
        <v>-0.1086444</v>
      </c>
      <c r="U3736">
        <v>-0.55606080000000002</v>
      </c>
      <c r="V3736">
        <v>8.9154300000000006E-2</v>
      </c>
      <c r="W3736">
        <v>3.039876E-2</v>
      </c>
      <c r="X3736">
        <v>0.99555389999999999</v>
      </c>
      <c r="Y3736">
        <v>0.1912817</v>
      </c>
      <c r="Z3736">
        <v>-3.736952E-3</v>
      </c>
      <c r="AA3736">
        <v>0.98152799999999996</v>
      </c>
      <c r="AB3736">
        <v>38</v>
      </c>
      <c r="AC3736">
        <v>27.7332</v>
      </c>
      <c r="AD3736">
        <v>-1.0297754299999999</v>
      </c>
      <c r="AE3736">
        <v>-5.2735999999999796</v>
      </c>
      <c r="AF3736">
        <v>5.4695846828918002</v>
      </c>
      <c r="AG3736">
        <v>-1.0297754299999999</v>
      </c>
      <c r="AH3736">
        <v>27.6569744077316</v>
      </c>
      <c r="AI3736">
        <v>92.091878614616107</v>
      </c>
      <c r="AJ3736">
        <v>78.813244856912306</v>
      </c>
      <c r="AK3736">
        <v>28.2114343383933</v>
      </c>
      <c r="AL3736">
        <v>88.258011111808997</v>
      </c>
      <c r="AM3736">
        <v>84.882672623479493</v>
      </c>
      <c r="AN3736">
        <v>1.0000000708116099</v>
      </c>
    </row>
    <row r="3737" spans="1:40" x14ac:dyDescent="0.25">
      <c r="A3737" t="str">
        <f>"20190312154910284"</f>
        <v>20190312154910284</v>
      </c>
      <c r="B3737" t="str">
        <f>"1552376950279106"</f>
        <v>1552376950279106</v>
      </c>
      <c r="C3737" t="s">
        <v>40</v>
      </c>
      <c r="D3737">
        <v>4.4862679999999999</v>
      </c>
      <c r="E3737">
        <v>0.54102490000000003</v>
      </c>
      <c r="F3737" t="s">
        <v>50</v>
      </c>
      <c r="G3737">
        <v>-226.67070000000001</v>
      </c>
      <c r="H3737">
        <v>8.0001199999999995E-2</v>
      </c>
      <c r="I3737">
        <v>209.5401</v>
      </c>
      <c r="J3737">
        <v>-252.75309999999999</v>
      </c>
      <c r="K3737">
        <v>1.1097669999999999</v>
      </c>
      <c r="L3737">
        <v>214.56110000000001</v>
      </c>
      <c r="M3737">
        <v>0.99988200000000005</v>
      </c>
      <c r="N3737">
        <v>0</v>
      </c>
      <c r="O3737">
        <v>7.4746509999999997E-3</v>
      </c>
      <c r="P3737">
        <v>0.9965039</v>
      </c>
      <c r="Q3737">
        <v>1.599068E-2</v>
      </c>
      <c r="R3737">
        <v>-8.2002729999999996E-2</v>
      </c>
      <c r="S3737">
        <v>2.96637</v>
      </c>
      <c r="T3737">
        <v>-0.1154327</v>
      </c>
      <c r="U3737">
        <v>-0.5625</v>
      </c>
      <c r="V3737">
        <v>8.9437450000000002E-2</v>
      </c>
      <c r="W3737">
        <v>2.939833E-2</v>
      </c>
      <c r="X3737">
        <v>0.99555850000000001</v>
      </c>
      <c r="Y3737">
        <v>0.19349810000000001</v>
      </c>
      <c r="Z3737">
        <v>-4.0185170000000001E-3</v>
      </c>
      <c r="AA3737">
        <v>0.98109239999999998</v>
      </c>
      <c r="AB3737">
        <v>38</v>
      </c>
      <c r="AC3737">
        <v>26.0823999999999</v>
      </c>
      <c r="AD3737">
        <v>-1.0297657999999901</v>
      </c>
      <c r="AE3737">
        <v>-5.0210000000000097</v>
      </c>
      <c r="AF3737">
        <v>5.20800611921275</v>
      </c>
      <c r="AG3737">
        <v>-1.0297657999999901</v>
      </c>
      <c r="AH3737">
        <v>26.005050276654199</v>
      </c>
      <c r="AI3737">
        <v>92.223546126071497</v>
      </c>
      <c r="AJ3737">
        <v>78.675247025013505</v>
      </c>
      <c r="AK3737">
        <v>26.541408878051701</v>
      </c>
      <c r="AL3737">
        <v>88.315357083644301</v>
      </c>
      <c r="AM3737">
        <v>84.866530518941801</v>
      </c>
      <c r="AN3737">
        <v>1.00000002309577</v>
      </c>
    </row>
    <row r="3738" spans="1:40" x14ac:dyDescent="0.25">
      <c r="A3738" t="str">
        <f>"20190312154910307"</f>
        <v>20190312154910307</v>
      </c>
      <c r="B3738" t="str">
        <f>"1552376950299826"</f>
        <v>1552376950299826</v>
      </c>
      <c r="C3738" t="s">
        <v>40</v>
      </c>
      <c r="D3738">
        <v>4.5052989999999999</v>
      </c>
      <c r="E3738">
        <v>0.541431</v>
      </c>
      <c r="F3738" t="s">
        <v>50</v>
      </c>
      <c r="G3738">
        <v>-226.82380000000001</v>
      </c>
      <c r="H3738">
        <v>5.4069869999999999E-2</v>
      </c>
      <c r="I3738">
        <v>209.6122</v>
      </c>
      <c r="J3738">
        <v>-252.3698</v>
      </c>
      <c r="K3738">
        <v>1.1097589999999999</v>
      </c>
      <c r="L3738">
        <v>214.5642</v>
      </c>
      <c r="M3738">
        <v>0.9998783</v>
      </c>
      <c r="N3738">
        <v>0</v>
      </c>
      <c r="O3738">
        <v>7.6074250000000001E-3</v>
      </c>
      <c r="P3738">
        <v>0.99651690000000004</v>
      </c>
      <c r="Q3738">
        <v>1.4785919999999999E-2</v>
      </c>
      <c r="R3738">
        <v>-8.2070219999999999E-2</v>
      </c>
      <c r="S3738">
        <v>2.9658660000000001</v>
      </c>
      <c r="T3738">
        <v>-0.120754</v>
      </c>
      <c r="U3738">
        <v>-0.56607059999999998</v>
      </c>
      <c r="V3738">
        <v>8.9638839999999997E-2</v>
      </c>
      <c r="W3738">
        <v>2.8394050000000001E-2</v>
      </c>
      <c r="X3738">
        <v>0.9955695</v>
      </c>
      <c r="Y3738">
        <v>0.1947836</v>
      </c>
      <c r="Z3738">
        <v>-4.2351339999999998E-3</v>
      </c>
      <c r="AA3738">
        <v>0.98083710000000002</v>
      </c>
      <c r="AB3738">
        <v>38</v>
      </c>
      <c r="AC3738">
        <v>25.5459999999999</v>
      </c>
      <c r="AD3738">
        <v>-1.05568913</v>
      </c>
      <c r="AE3738">
        <v>-4.9519999999999902</v>
      </c>
      <c r="AF3738">
        <v>5.1377576969098699</v>
      </c>
      <c r="AG3738">
        <v>-1.05568913</v>
      </c>
      <c r="AH3738">
        <v>25.4656709654002</v>
      </c>
      <c r="AI3738">
        <v>92.327025084549405</v>
      </c>
      <c r="AJ3738">
        <v>78.593562239834796</v>
      </c>
      <c r="AK3738">
        <v>26.000219833866399</v>
      </c>
      <c r="AL3738">
        <v>88.372922068795404</v>
      </c>
      <c r="AM3738">
        <v>84.855089783992895</v>
      </c>
      <c r="AN3738">
        <v>0.999999986521099</v>
      </c>
    </row>
    <row r="3739" spans="1:40" x14ac:dyDescent="0.25">
      <c r="A3739" t="str">
        <f>"20190312154910330"</f>
        <v>20190312154910330</v>
      </c>
      <c r="B3739" t="str">
        <f>"1552376950319324"</f>
        <v>1552376950319324</v>
      </c>
      <c r="C3739" t="s">
        <v>40</v>
      </c>
      <c r="D3739">
        <v>4.5079089999999997</v>
      </c>
      <c r="E3739">
        <v>0.54180200000000001</v>
      </c>
      <c r="F3739" t="s">
        <v>50</v>
      </c>
      <c r="G3739">
        <v>-226.601</v>
      </c>
      <c r="H3739">
        <v>2.1506150000000002E-2</v>
      </c>
      <c r="I3739">
        <v>209.6163</v>
      </c>
      <c r="J3739">
        <v>-251.98840000000001</v>
      </c>
      <c r="K3739">
        <v>1.1097570000000001</v>
      </c>
      <c r="L3739">
        <v>214.56720000000001</v>
      </c>
      <c r="M3739">
        <v>0.99987490000000001</v>
      </c>
      <c r="N3739">
        <v>0</v>
      </c>
      <c r="O3739">
        <v>7.7326529999999999E-3</v>
      </c>
      <c r="P3739">
        <v>0.99658009999999997</v>
      </c>
      <c r="Q3739">
        <v>1.3630949999999999E-2</v>
      </c>
      <c r="R3739">
        <v>-8.1502240000000004E-2</v>
      </c>
      <c r="S3739">
        <v>2.9654690000000001</v>
      </c>
      <c r="T3739">
        <v>-0.12523580000000001</v>
      </c>
      <c r="U3739">
        <v>-0.56939700000000004</v>
      </c>
      <c r="V3739">
        <v>8.9197109999999996E-2</v>
      </c>
      <c r="W3739">
        <v>2.7412619999999999E-2</v>
      </c>
      <c r="X3739">
        <v>0.99563670000000004</v>
      </c>
      <c r="Y3739">
        <v>0.1959784</v>
      </c>
      <c r="Z3739">
        <v>-4.4225380000000002E-3</v>
      </c>
      <c r="AA3739">
        <v>0.98059819999999998</v>
      </c>
      <c r="AB3739">
        <v>38</v>
      </c>
      <c r="AC3739">
        <v>25.3874</v>
      </c>
      <c r="AD3739">
        <v>-1.0882508500000001</v>
      </c>
      <c r="AE3739">
        <v>-4.9509000000000096</v>
      </c>
      <c r="AF3739">
        <v>5.1379875601086704</v>
      </c>
      <c r="AG3739">
        <v>-1.0882508500000001</v>
      </c>
      <c r="AH3739">
        <v>25.303562355899398</v>
      </c>
      <c r="AI3739">
        <v>92.413456582892394</v>
      </c>
      <c r="AJ3739">
        <v>78.521919834484805</v>
      </c>
      <c r="AK3739">
        <v>25.842861180203101</v>
      </c>
      <c r="AL3739">
        <v>88.429175805039407</v>
      </c>
      <c r="AM3739">
        <v>84.880651960070296</v>
      </c>
      <c r="AN3739">
        <v>1.0000000072772499</v>
      </c>
    </row>
    <row r="3740" spans="1:40" x14ac:dyDescent="0.25">
      <c r="A3740" t="str">
        <f>"20190312154910351"</f>
        <v>20190312154910351</v>
      </c>
      <c r="B3740" t="str">
        <f>"1552376950339819"</f>
        <v>1552376950339819</v>
      </c>
      <c r="C3740" t="s">
        <v>40</v>
      </c>
      <c r="D3740">
        <v>4.4907779999999997</v>
      </c>
      <c r="E3740">
        <v>0.54203230000000002</v>
      </c>
      <c r="F3740" t="s">
        <v>50</v>
      </c>
      <c r="G3740">
        <v>-226.35560000000001</v>
      </c>
      <c r="H3740" s="1">
        <v>2.0631639999999999E-6</v>
      </c>
      <c r="I3740">
        <v>209.63319999999999</v>
      </c>
      <c r="J3740">
        <v>-251.61590000000001</v>
      </c>
      <c r="K3740">
        <v>1.1097649999999999</v>
      </c>
      <c r="L3740">
        <v>214.5702</v>
      </c>
      <c r="M3740">
        <v>0.99987179999999998</v>
      </c>
      <c r="N3740">
        <v>0</v>
      </c>
      <c r="O3740">
        <v>7.8503900000000005E-3</v>
      </c>
      <c r="P3740">
        <v>0.99664399999999997</v>
      </c>
      <c r="Q3740">
        <v>1.295368E-2</v>
      </c>
      <c r="R3740">
        <v>-8.082715E-2</v>
      </c>
      <c r="S3740">
        <v>2.9653779999999998</v>
      </c>
      <c r="T3740">
        <v>-0.1283841</v>
      </c>
      <c r="U3740">
        <v>-0.5708008</v>
      </c>
      <c r="V3740">
        <v>8.8640590000000005E-2</v>
      </c>
      <c r="W3740">
        <v>2.688258E-2</v>
      </c>
      <c r="X3740">
        <v>0.99570080000000005</v>
      </c>
      <c r="Y3740">
        <v>0.19653760000000001</v>
      </c>
      <c r="Z3740">
        <v>-4.5505930000000003E-3</v>
      </c>
      <c r="AA3740">
        <v>0.98048570000000002</v>
      </c>
      <c r="AB3740">
        <v>38</v>
      </c>
      <c r="AC3740">
        <v>25.260300000000001</v>
      </c>
      <c r="AD3740">
        <v>-1.10976293683599</v>
      </c>
      <c r="AE3740">
        <v>-4.93700000000001</v>
      </c>
      <c r="AF3740">
        <v>5.1256412739740496</v>
      </c>
      <c r="AG3740">
        <v>-1.10976293683599</v>
      </c>
      <c r="AH3740">
        <v>25.173959381484199</v>
      </c>
      <c r="AI3740">
        <v>92.473493787722504</v>
      </c>
      <c r="AJ3740">
        <v>78.4913863250639</v>
      </c>
      <c r="AK3740">
        <v>25.714431807567799</v>
      </c>
      <c r="AL3740">
        <v>88.459555976992306</v>
      </c>
      <c r="AM3740">
        <v>84.912750330020302</v>
      </c>
      <c r="AN3740">
        <v>0.99999995521182095</v>
      </c>
    </row>
    <row r="3741" spans="1:40" x14ac:dyDescent="0.25">
      <c r="A3741" t="str">
        <f>"20190312154910373"</f>
        <v>20190312154910373</v>
      </c>
      <c r="B3741" t="str">
        <f>"1552376950369100"</f>
        <v>1552376950369100</v>
      </c>
      <c r="C3741" t="s">
        <v>40</v>
      </c>
      <c r="D3741">
        <v>4.5577899999999998</v>
      </c>
      <c r="E3741">
        <v>0.54224619999999901</v>
      </c>
      <c r="F3741" t="s">
        <v>50</v>
      </c>
      <c r="G3741">
        <v>-226.19909999999999</v>
      </c>
      <c r="H3741" s="1">
        <v>1.9778229999999999E-6</v>
      </c>
      <c r="I3741">
        <v>209.68</v>
      </c>
      <c r="J3741">
        <v>-251.22710000000001</v>
      </c>
      <c r="K3741">
        <v>1.1097669999999999</v>
      </c>
      <c r="L3741">
        <v>214.57339999999999</v>
      </c>
      <c r="M3741">
        <v>0.99986900000000001</v>
      </c>
      <c r="N3741">
        <v>0</v>
      </c>
      <c r="O3741">
        <v>7.9673279999999992E-3</v>
      </c>
      <c r="P3741">
        <v>0.99667810000000001</v>
      </c>
      <c r="Q3741">
        <v>1.247177E-2</v>
      </c>
      <c r="R3741">
        <v>-8.0483479999999996E-2</v>
      </c>
      <c r="S3741">
        <v>2.9655300000000002</v>
      </c>
      <c r="T3741">
        <v>-0.1294825</v>
      </c>
      <c r="U3741">
        <v>-0.57057190000000002</v>
      </c>
      <c r="V3741">
        <v>8.8414469999999995E-2</v>
      </c>
      <c r="W3741">
        <v>2.653223E-2</v>
      </c>
      <c r="X3741">
        <v>0.99573029999999996</v>
      </c>
      <c r="Y3741">
        <v>0.19656660000000001</v>
      </c>
      <c r="Z3741">
        <v>-4.5949800000000002E-3</v>
      </c>
      <c r="AA3741">
        <v>0.98047969999999895</v>
      </c>
      <c r="AB3741">
        <v>38</v>
      </c>
      <c r="AC3741">
        <v>25.027999999999999</v>
      </c>
      <c r="AD3741">
        <v>-1.1097650221769999</v>
      </c>
      <c r="AE3741">
        <v>-4.8933999999999802</v>
      </c>
      <c r="AF3741">
        <v>5.0830448320185004</v>
      </c>
      <c r="AG3741">
        <v>-1.1097650221769999</v>
      </c>
      <c r="AH3741">
        <v>24.940982843175</v>
      </c>
      <c r="AI3741">
        <v>92.496479927687901</v>
      </c>
      <c r="AJ3741">
        <v>78.480711394630404</v>
      </c>
      <c r="AK3741">
        <v>25.477863889115699</v>
      </c>
      <c r="AL3741">
        <v>88.479636715487203</v>
      </c>
      <c r="AM3741">
        <v>84.925809491640194</v>
      </c>
      <c r="AN3741">
        <v>0.99999995403611996</v>
      </c>
    </row>
    <row r="3742" spans="1:40" x14ac:dyDescent="0.25">
      <c r="A3742" t="str">
        <f>"20190312154910396"</f>
        <v>20190312154910396</v>
      </c>
      <c r="B3742" t="str">
        <f>"1552376950389596"</f>
        <v>1552376950389596</v>
      </c>
      <c r="C3742" t="s">
        <v>40</v>
      </c>
      <c r="D3742">
        <v>4.605086</v>
      </c>
      <c r="E3742">
        <v>0.53434429999999999</v>
      </c>
      <c r="F3742" t="s">
        <v>50</v>
      </c>
      <c r="G3742">
        <v>-225.97370000000001</v>
      </c>
      <c r="H3742" s="1">
        <v>1.856642E-6</v>
      </c>
      <c r="I3742">
        <v>209.70859999999999</v>
      </c>
      <c r="J3742">
        <v>-250.85400000000001</v>
      </c>
      <c r="K3742">
        <v>1.1097680000000001</v>
      </c>
      <c r="L3742">
        <v>214.57650000000001</v>
      </c>
      <c r="M3742">
        <v>0.99986660000000005</v>
      </c>
      <c r="N3742">
        <v>0</v>
      </c>
      <c r="O3742">
        <v>8.0727319999999905E-3</v>
      </c>
      <c r="P3742">
        <v>0.99671719999999997</v>
      </c>
      <c r="Q3742">
        <v>1.18707E-2</v>
      </c>
      <c r="R3742">
        <v>-8.0088930000000003E-2</v>
      </c>
      <c r="S3742">
        <v>2.9655149999999999</v>
      </c>
      <c r="T3742">
        <v>-0.13032009999999999</v>
      </c>
      <c r="U3742">
        <v>-0.57127380000000005</v>
      </c>
      <c r="V3742">
        <v>8.8125739999999994E-2</v>
      </c>
      <c r="W3742">
        <v>2.6040299999999999E-2</v>
      </c>
      <c r="X3742">
        <v>0.99576889999999996</v>
      </c>
      <c r="Y3742">
        <v>0.19689190000000001</v>
      </c>
      <c r="Z3742">
        <v>-4.6362649999999997E-3</v>
      </c>
      <c r="AA3742">
        <v>0.98041429999999996</v>
      </c>
      <c r="AB3742">
        <v>38</v>
      </c>
      <c r="AC3742">
        <v>24.880299999999998</v>
      </c>
      <c r="AD3742">
        <v>-1.1097661433579999</v>
      </c>
      <c r="AE3742">
        <v>-4.8679000000000201</v>
      </c>
      <c r="AF3742">
        <v>5.0589197701508999</v>
      </c>
      <c r="AG3742">
        <v>-1.1097661433579999</v>
      </c>
      <c r="AH3742">
        <v>24.792680557682001</v>
      </c>
      <c r="AI3742">
        <v>92.511275777757703</v>
      </c>
      <c r="AJ3742">
        <v>78.467178538889797</v>
      </c>
      <c r="AK3742">
        <v>25.327875145164299</v>
      </c>
      <c r="AL3742">
        <v>88.507832000491106</v>
      </c>
      <c r="AM3742">
        <v>84.942488934744304</v>
      </c>
      <c r="AN3742">
        <v>0.999999972740923</v>
      </c>
    </row>
    <row r="3743" spans="1:40" x14ac:dyDescent="0.25">
      <c r="A3743" t="str">
        <f>"20190312154910417"</f>
        <v>20190312154910417</v>
      </c>
      <c r="B3743" t="str">
        <f>"1552376950409116"</f>
        <v>1552376950409116</v>
      </c>
      <c r="C3743" t="s">
        <v>40</v>
      </c>
      <c r="D3743">
        <v>4.6036270000000004</v>
      </c>
      <c r="E3743">
        <v>0.53085550000000004</v>
      </c>
      <c r="F3743" t="s">
        <v>41</v>
      </c>
      <c r="G3743">
        <v>-249.9924</v>
      </c>
      <c r="H3743">
        <v>1.0048969999999999</v>
      </c>
      <c r="I3743">
        <v>214.43199999999999</v>
      </c>
      <c r="J3743">
        <v>-250.4838</v>
      </c>
      <c r="K3743">
        <v>1.1097729999999999</v>
      </c>
      <c r="L3743">
        <v>214.5796</v>
      </c>
      <c r="M3743">
        <v>0.99986450000000004</v>
      </c>
      <c r="N3743">
        <v>0</v>
      </c>
      <c r="O3743">
        <v>8.1679040000000001E-3</v>
      </c>
      <c r="P3743">
        <v>0.99673710000000004</v>
      </c>
      <c r="Q3743">
        <v>1.1076030000000001E-2</v>
      </c>
      <c r="R3743">
        <v>-7.9952869999999995E-2</v>
      </c>
      <c r="S3743">
        <v>2.974167</v>
      </c>
      <c r="T3743">
        <v>-0.3620256</v>
      </c>
      <c r="U3743">
        <v>-0.49850460000000002</v>
      </c>
      <c r="V3743">
        <v>8.8085839999999999E-2</v>
      </c>
      <c r="W3743">
        <v>2.5337680000000001E-2</v>
      </c>
      <c r="X3743">
        <v>0.99579059999999997</v>
      </c>
      <c r="Y3743">
        <v>0.17206189999999999</v>
      </c>
      <c r="Z3743">
        <v>-1.134603E-2</v>
      </c>
      <c r="AA3743">
        <v>0.98502080000000003</v>
      </c>
      <c r="AB3743">
        <v>38</v>
      </c>
      <c r="AC3743">
        <v>0.49139999999999801</v>
      </c>
      <c r="AD3743">
        <v>-0.104875999999999</v>
      </c>
      <c r="AE3743">
        <v>-0.147599999999982</v>
      </c>
      <c r="AF3743">
        <v>0.145529000447113</v>
      </c>
      <c r="AG3743">
        <v>-0.104875999999999</v>
      </c>
      <c r="AH3743">
        <v>0.47051961730216202</v>
      </c>
      <c r="AI3743">
        <v>102.021089253797</v>
      </c>
      <c r="AJ3743">
        <v>72.813463716225996</v>
      </c>
      <c r="AK3743">
        <v>0.50355374649912898</v>
      </c>
      <c r="AL3743">
        <v>88.548102515964999</v>
      </c>
      <c r="AM3743">
        <v>84.9448765079174</v>
      </c>
      <c r="AN3743">
        <v>1.0000000161423199</v>
      </c>
    </row>
    <row r="3744" spans="1:40" x14ac:dyDescent="0.25">
      <c r="A3744" t="str">
        <f>"20190312154910441"</f>
        <v>20190312154910441</v>
      </c>
      <c r="B3744" t="str">
        <f>"1552376950429613"</f>
        <v>1552376950429613</v>
      </c>
      <c r="C3744" t="s">
        <v>40</v>
      </c>
      <c r="D3744">
        <v>4.5956010000000003</v>
      </c>
      <c r="E3744">
        <v>0.52960959999999901</v>
      </c>
      <c r="F3744" t="s">
        <v>41</v>
      </c>
      <c r="G3744">
        <v>-249.66749999999999</v>
      </c>
      <c r="H3744">
        <v>0.97698799999999997</v>
      </c>
      <c r="I3744">
        <v>214.45179999999999</v>
      </c>
      <c r="J3744">
        <v>-250.09630000000001</v>
      </c>
      <c r="K3744">
        <v>1.109774</v>
      </c>
      <c r="L3744">
        <v>214.58279999999999</v>
      </c>
      <c r="M3744">
        <v>0.99986260000000005</v>
      </c>
      <c r="N3744">
        <v>0</v>
      </c>
      <c r="O3744">
        <v>8.2552270000000004E-3</v>
      </c>
      <c r="P3744">
        <v>0.99673809999999996</v>
      </c>
      <c r="Q3744">
        <v>1.1016420000000001E-2</v>
      </c>
      <c r="R3744">
        <v>-7.9952789999999996E-2</v>
      </c>
      <c r="S3744">
        <v>2.9778440000000002</v>
      </c>
      <c r="T3744">
        <v>-0.48449520000000001</v>
      </c>
      <c r="U3744">
        <v>-0.46583560000000002</v>
      </c>
      <c r="V3744">
        <v>8.8173100000000004E-2</v>
      </c>
      <c r="W3744">
        <v>2.5360549999999999E-2</v>
      </c>
      <c r="X3744">
        <v>0.99578230000000001</v>
      </c>
      <c r="Y3744">
        <v>0.16053829999999999</v>
      </c>
      <c r="Z3744">
        <v>-1.422435E-2</v>
      </c>
      <c r="AA3744">
        <v>0.98692709999999995</v>
      </c>
      <c r="AB3744">
        <v>38</v>
      </c>
      <c r="AC3744">
        <v>0.428800000000023</v>
      </c>
      <c r="AD3744">
        <v>-0.13278599999999999</v>
      </c>
      <c r="AE3744">
        <v>-0.13100000000000001</v>
      </c>
      <c r="AF3744">
        <v>0.123687289049439</v>
      </c>
      <c r="AG3744">
        <v>-0.13278599999999999</v>
      </c>
      <c r="AH3744">
        <v>0.393215419538964</v>
      </c>
      <c r="AI3744">
        <v>107.85541532129599</v>
      </c>
      <c r="AJ3744">
        <v>72.538848586566502</v>
      </c>
      <c r="AK3744">
        <v>0.43306931712094598</v>
      </c>
      <c r="AL3744">
        <v>88.546791747402807</v>
      </c>
      <c r="AM3744">
        <v>84.939852806040705</v>
      </c>
      <c r="AN3744">
        <v>1.0000000210266</v>
      </c>
    </row>
    <row r="3745" spans="1:40" x14ac:dyDescent="0.25">
      <c r="A3745" t="str">
        <f>"20190312154910462"</f>
        <v>20190312154910462</v>
      </c>
      <c r="B3745" t="str">
        <f>"1552376950449132"</f>
        <v>1552376950449132</v>
      </c>
      <c r="C3745" t="s">
        <v>40</v>
      </c>
      <c r="D3745">
        <v>4.6447609999999999</v>
      </c>
      <c r="E3745">
        <v>0.52931309999999998</v>
      </c>
      <c r="F3745" t="s">
        <v>41</v>
      </c>
      <c r="G3745">
        <v>-249.3322</v>
      </c>
      <c r="H3745">
        <v>0.9712113</v>
      </c>
      <c r="I3745">
        <v>214.46619999999999</v>
      </c>
      <c r="J3745">
        <v>-249.727</v>
      </c>
      <c r="K3745">
        <v>1.1097680000000001</v>
      </c>
      <c r="L3745">
        <v>214.58600000000001</v>
      </c>
      <c r="M3745">
        <v>0.999861</v>
      </c>
      <c r="N3745">
        <v>0</v>
      </c>
      <c r="O3745">
        <v>8.3242790000000004E-3</v>
      </c>
      <c r="P3745">
        <v>0.99674209999999996</v>
      </c>
      <c r="Q3745">
        <v>1.1401629999999999E-2</v>
      </c>
      <c r="R3745">
        <v>-7.984629E-2</v>
      </c>
      <c r="S3745">
        <v>2.9794010000000002</v>
      </c>
      <c r="T3745">
        <v>-0.54041669999999997</v>
      </c>
      <c r="U3745">
        <v>-0.45355220000000002</v>
      </c>
      <c r="V3745">
        <v>8.8136539999999999E-2</v>
      </c>
      <c r="W3745">
        <v>2.581197E-2</v>
      </c>
      <c r="X3745">
        <v>0.99577389999999999</v>
      </c>
      <c r="Y3745">
        <v>0.15609729999999999</v>
      </c>
      <c r="Z3745">
        <v>-1.5453400000000001E-2</v>
      </c>
      <c r="AA3745">
        <v>0.98762079999999997</v>
      </c>
      <c r="AB3745">
        <v>38</v>
      </c>
      <c r="AC3745">
        <v>0.39480000000000298</v>
      </c>
      <c r="AD3745">
        <v>-0.13855669999999901</v>
      </c>
      <c r="AE3745">
        <v>-0.11979999999999701</v>
      </c>
      <c r="AF3745">
        <v>0.110607841171669</v>
      </c>
      <c r="AG3745">
        <v>-0.13855669999999901</v>
      </c>
      <c r="AH3745">
        <v>0.353877326772365</v>
      </c>
      <c r="AI3745">
        <v>110.491196834729</v>
      </c>
      <c r="AJ3745">
        <v>72.642851792197106</v>
      </c>
      <c r="AK3745">
        <v>0.39580451746676998</v>
      </c>
      <c r="AL3745">
        <v>88.520918761387193</v>
      </c>
      <c r="AM3745">
        <v>84.941897607168599</v>
      </c>
      <c r="AN3745">
        <v>0.99999998369983101</v>
      </c>
    </row>
    <row r="3746" spans="1:40" x14ac:dyDescent="0.25">
      <c r="A3746" t="str">
        <f>"20190312154910486"</f>
        <v>20190312154910486</v>
      </c>
      <c r="B3746" t="str">
        <f>"1552376950479388"</f>
        <v>1552376950479388</v>
      </c>
      <c r="C3746" t="s">
        <v>40</v>
      </c>
      <c r="D3746">
        <v>4.6674610000000003</v>
      </c>
      <c r="E3746">
        <v>0.52946079999999995</v>
      </c>
      <c r="F3746" t="s">
        <v>41</v>
      </c>
      <c r="G3746">
        <v>-248.99510000000001</v>
      </c>
      <c r="H3746">
        <v>0.96936770000000005</v>
      </c>
      <c r="I3746">
        <v>214.47540000000001</v>
      </c>
      <c r="J3746">
        <v>-249.3391</v>
      </c>
      <c r="K3746">
        <v>1.109766</v>
      </c>
      <c r="L3746">
        <v>214.58920000000001</v>
      </c>
      <c r="M3746">
        <v>0.99985970000000002</v>
      </c>
      <c r="N3746">
        <v>0</v>
      </c>
      <c r="O3746">
        <v>8.3801659999999997E-3</v>
      </c>
      <c r="P3746">
        <v>0.99671849999999995</v>
      </c>
      <c r="Q3746">
        <v>1.1671910000000001E-2</v>
      </c>
      <c r="R3746">
        <v>-8.0101919999999993E-2</v>
      </c>
      <c r="S3746">
        <v>2.9803310000000001</v>
      </c>
      <c r="T3746">
        <v>-0.57179150000000001</v>
      </c>
      <c r="U3746">
        <v>-0.44985960000000003</v>
      </c>
      <c r="V3746">
        <v>8.8448479999999996E-2</v>
      </c>
      <c r="W3746">
        <v>2.6140400000000001E-2</v>
      </c>
      <c r="X3746">
        <v>0.99573769999999995</v>
      </c>
      <c r="Y3746">
        <v>0.15462590000000001</v>
      </c>
      <c r="Z3746">
        <v>-1.6203160000000001E-2</v>
      </c>
      <c r="AA3746">
        <v>0.98784019999999995</v>
      </c>
      <c r="AB3746">
        <v>38</v>
      </c>
      <c r="AC3746">
        <v>0.34399999999999398</v>
      </c>
      <c r="AD3746">
        <v>-0.1403983</v>
      </c>
      <c r="AE3746">
        <v>-0.113799999999997</v>
      </c>
      <c r="AF3746">
        <v>0.10144749635964299</v>
      </c>
      <c r="AG3746">
        <v>-0.1403983</v>
      </c>
      <c r="AH3746">
        <v>0.29825359557488501</v>
      </c>
      <c r="AI3746">
        <v>114.02061761073401</v>
      </c>
      <c r="AJ3746">
        <v>71.214859794970906</v>
      </c>
      <c r="AK3746">
        <v>0.34490358715716002</v>
      </c>
      <c r="AL3746">
        <v>88.502094796593596</v>
      </c>
      <c r="AM3746">
        <v>84.923905348126894</v>
      </c>
      <c r="AN3746">
        <v>1.00000001066388</v>
      </c>
    </row>
    <row r="3747" spans="1:40" x14ac:dyDescent="0.25">
      <c r="A3747" t="str">
        <f>"20190312154910508"</f>
        <v>20190312154910508</v>
      </c>
      <c r="B3747" t="str">
        <f>"1552376950499884"</f>
        <v>1552376950499884</v>
      </c>
      <c r="C3747" t="s">
        <v>40</v>
      </c>
      <c r="D3747">
        <v>4.6413580000000003</v>
      </c>
      <c r="E3747">
        <v>0.52940140000000002</v>
      </c>
      <c r="F3747" t="s">
        <v>41</v>
      </c>
      <c r="G3747">
        <v>-248.3458</v>
      </c>
      <c r="H3747">
        <v>0.9086938</v>
      </c>
      <c r="I3747">
        <v>214.4391</v>
      </c>
      <c r="J3747">
        <v>-248.96530000000001</v>
      </c>
      <c r="K3747">
        <v>1.1097649999999999</v>
      </c>
      <c r="L3747">
        <v>214.5924</v>
      </c>
      <c r="M3747">
        <v>0.99985860000000004</v>
      </c>
      <c r="N3747">
        <v>0</v>
      </c>
      <c r="O3747">
        <v>8.4169509999999902E-3</v>
      </c>
      <c r="P3747">
        <v>0.99671690000000002</v>
      </c>
      <c r="Q3747">
        <v>1.103823E-2</v>
      </c>
      <c r="R3747">
        <v>-8.0211829999999998E-2</v>
      </c>
      <c r="S3747">
        <v>2.9807429999999999</v>
      </c>
      <c r="T3747">
        <v>-0.60339069999999995</v>
      </c>
      <c r="U3747">
        <v>-0.45045469999999999</v>
      </c>
      <c r="V3747">
        <v>8.8596069999999999E-2</v>
      </c>
      <c r="W3747">
        <v>2.5553610000000001E-2</v>
      </c>
      <c r="X3747">
        <v>0.99573979999999995</v>
      </c>
      <c r="Y3747">
        <v>0.15451029999999999</v>
      </c>
      <c r="Z3747">
        <v>-1.7074809999999999E-2</v>
      </c>
      <c r="AA3747">
        <v>0.98784360000000004</v>
      </c>
      <c r="AB3747">
        <v>38</v>
      </c>
      <c r="AC3747">
        <v>0.61950000000001604</v>
      </c>
      <c r="AD3747">
        <v>-0.20107119999999901</v>
      </c>
      <c r="AE3747">
        <v>-0.15330000000000099</v>
      </c>
      <c r="AF3747">
        <v>0.144195545178711</v>
      </c>
      <c r="AG3747">
        <v>-0.20107119999999901</v>
      </c>
      <c r="AH3747">
        <v>0.56236339812589597</v>
      </c>
      <c r="AI3747">
        <v>109.103150946827</v>
      </c>
      <c r="AJ3747">
        <v>75.618624330799904</v>
      </c>
      <c r="AK3747">
        <v>0.614389594858613</v>
      </c>
      <c r="AL3747">
        <v>88.535726607537896</v>
      </c>
      <c r="AM3747">
        <v>84.915490126866402</v>
      </c>
      <c r="AN3747">
        <v>0.99999999995375799</v>
      </c>
    </row>
    <row r="3748" spans="1:40" x14ac:dyDescent="0.25">
      <c r="A3748" t="str">
        <f>"20190312154910531"</f>
        <v>20190312154910531</v>
      </c>
      <c r="B3748" t="str">
        <f>"1552376950519404"</f>
        <v>1552376950519404</v>
      </c>
      <c r="C3748" t="s">
        <v>40</v>
      </c>
      <c r="D3748">
        <v>4.6322890000000001</v>
      </c>
      <c r="E3748">
        <v>0.5292983</v>
      </c>
      <c r="F3748" t="s">
        <v>41</v>
      </c>
      <c r="G3748">
        <v>-248.00790000000001</v>
      </c>
      <c r="H3748">
        <v>0.91147239999999996</v>
      </c>
      <c r="I3748">
        <v>214.44749999999999</v>
      </c>
      <c r="J3748">
        <v>-248.57929999999999</v>
      </c>
      <c r="K3748">
        <v>1.1097619999999999</v>
      </c>
      <c r="L3748">
        <v>214.59569999999999</v>
      </c>
      <c r="M3748">
        <v>0.99985769999999996</v>
      </c>
      <c r="N3748">
        <v>0</v>
      </c>
      <c r="O3748">
        <v>8.4410459999999903E-3</v>
      </c>
      <c r="P3748">
        <v>0.99672769999999999</v>
      </c>
      <c r="Q3748">
        <v>1.1011480000000001E-2</v>
      </c>
      <c r="R3748">
        <v>-8.0079520000000001E-2</v>
      </c>
      <c r="S3748">
        <v>2.980515</v>
      </c>
      <c r="T3748">
        <v>-0.61742039999999998</v>
      </c>
      <c r="U3748">
        <v>-0.4499512</v>
      </c>
      <c r="V3748">
        <v>8.8488890000000001E-2</v>
      </c>
      <c r="W3748">
        <v>2.556839E-2</v>
      </c>
      <c r="X3748">
        <v>0.99574890000000005</v>
      </c>
      <c r="Y3748">
        <v>0.15423629999999999</v>
      </c>
      <c r="Z3748">
        <v>-1.7442280000000001E-2</v>
      </c>
      <c r="AA3748">
        <v>0.98788010000000004</v>
      </c>
      <c r="AB3748">
        <v>38</v>
      </c>
      <c r="AC3748">
        <v>0.57139999999998203</v>
      </c>
      <c r="AD3748">
        <v>-0.19828960000000001</v>
      </c>
      <c r="AE3748">
        <v>-0.148200000000002</v>
      </c>
      <c r="AF3748">
        <v>0.137503214487257</v>
      </c>
      <c r="AG3748">
        <v>-0.19828960000000001</v>
      </c>
      <c r="AH3748">
        <v>0.51232062950294299</v>
      </c>
      <c r="AI3748">
        <v>110.496364739323</v>
      </c>
      <c r="AJ3748">
        <v>74.976283571581504</v>
      </c>
      <c r="AK3748">
        <v>0.56630232815765502</v>
      </c>
      <c r="AL3748">
        <v>88.534879424519005</v>
      </c>
      <c r="AM3748">
        <v>84.921655148370206</v>
      </c>
      <c r="AN3748">
        <v>0.99999994903591505</v>
      </c>
    </row>
    <row r="3749" spans="1:40" x14ac:dyDescent="0.25">
      <c r="A3749" t="str">
        <f>"20190312154910552"</f>
        <v>20190312154910552</v>
      </c>
      <c r="B3749" t="str">
        <f>"1552376950539900"</f>
        <v>1552376950539900</v>
      </c>
      <c r="C3749" t="s">
        <v>40</v>
      </c>
      <c r="D3749">
        <v>4.6524929999999998</v>
      </c>
      <c r="E3749">
        <v>0.52927829999999998</v>
      </c>
      <c r="F3749" t="s">
        <v>41</v>
      </c>
      <c r="G3749">
        <v>-247.66890000000001</v>
      </c>
      <c r="H3749">
        <v>0.91806860000000001</v>
      </c>
      <c r="I3749">
        <v>214.45869999999999</v>
      </c>
      <c r="J3749">
        <v>-248.21530000000001</v>
      </c>
      <c r="K3749">
        <v>1.1097619999999999</v>
      </c>
      <c r="L3749">
        <v>214.59880000000001</v>
      </c>
      <c r="M3749">
        <v>0.99985710000000005</v>
      </c>
      <c r="N3749">
        <v>0</v>
      </c>
      <c r="O3749">
        <v>8.4541709999999999E-3</v>
      </c>
      <c r="P3749">
        <v>0.99668650000000003</v>
      </c>
      <c r="Q3749">
        <v>1.1155440000000001E-2</v>
      </c>
      <c r="R3749">
        <v>-8.0571669999999998E-2</v>
      </c>
      <c r="S3749">
        <v>2.9807890000000001</v>
      </c>
      <c r="T3749">
        <v>-0.62764140000000002</v>
      </c>
      <c r="U3749">
        <v>-0.44822689999999998</v>
      </c>
      <c r="V3749">
        <v>8.8994550000000006E-2</v>
      </c>
      <c r="W3749">
        <v>2.5745239999999999E-2</v>
      </c>
      <c r="X3749">
        <v>0.99569929999999995</v>
      </c>
      <c r="Y3749">
        <v>0.15357939999999901</v>
      </c>
      <c r="Z3749">
        <v>-1.7658819999999999E-2</v>
      </c>
      <c r="AA3749">
        <v>0.98797849999999998</v>
      </c>
      <c r="AB3749">
        <v>38</v>
      </c>
      <c r="AC3749">
        <v>0.54640000000000499</v>
      </c>
      <c r="AD3749">
        <v>-0.19169340000000001</v>
      </c>
      <c r="AE3749">
        <v>-0.14010000000001799</v>
      </c>
      <c r="AF3749">
        <v>0.129732219278761</v>
      </c>
      <c r="AG3749">
        <v>-0.19169340000000001</v>
      </c>
      <c r="AH3749">
        <v>0.48875065369458998</v>
      </c>
      <c r="AI3749">
        <v>110.760909643362</v>
      </c>
      <c r="AJ3749">
        <v>75.134411693533096</v>
      </c>
      <c r="AK3749">
        <v>0.54079017170196597</v>
      </c>
      <c r="AL3749">
        <v>88.524743362071305</v>
      </c>
      <c r="AM3749">
        <v>84.892535481716294</v>
      </c>
      <c r="AN3749">
        <v>0.99999997166642396</v>
      </c>
    </row>
    <row r="3750" spans="1:40" x14ac:dyDescent="0.25">
      <c r="A3750" t="str">
        <f>"20190312154910572"</f>
        <v>20190312154910572</v>
      </c>
      <c r="B3750" t="str">
        <f>"1552376950559420"</f>
        <v>1552376950559420</v>
      </c>
      <c r="C3750" t="s">
        <v>40</v>
      </c>
      <c r="D3750">
        <v>4.6413789999999997</v>
      </c>
      <c r="E3750">
        <v>0.52901679999999995</v>
      </c>
      <c r="F3750" t="s">
        <v>41</v>
      </c>
      <c r="G3750">
        <v>-247.3321</v>
      </c>
      <c r="H3750">
        <v>0.91985989999999995</v>
      </c>
      <c r="I3750">
        <v>214.46549999999999</v>
      </c>
      <c r="J3750">
        <v>-247.8897</v>
      </c>
      <c r="K3750">
        <v>1.109764</v>
      </c>
      <c r="L3750">
        <v>214.60159999999999</v>
      </c>
      <c r="M3750">
        <v>0.99985670000000004</v>
      </c>
      <c r="N3750">
        <v>0</v>
      </c>
      <c r="O3750">
        <v>8.460202E-3</v>
      </c>
      <c r="P3750">
        <v>0.99667890000000003</v>
      </c>
      <c r="Q3750">
        <v>1.098533E-2</v>
      </c>
      <c r="R3750">
        <v>-8.068939E-2</v>
      </c>
      <c r="S3750">
        <v>2.9808650000000001</v>
      </c>
      <c r="T3750">
        <v>-0.64103840000000001</v>
      </c>
      <c r="U3750">
        <v>-0.44883729999999999</v>
      </c>
      <c r="V3750">
        <v>8.9118439999999993E-2</v>
      </c>
      <c r="W3750">
        <v>2.56008E-2</v>
      </c>
      <c r="X3750">
        <v>0.99569200000000002</v>
      </c>
      <c r="Y3750">
        <v>0.15363019999999999</v>
      </c>
      <c r="Z3750">
        <v>-1.8033469999999999E-2</v>
      </c>
      <c r="AA3750">
        <v>0.98796390000000001</v>
      </c>
      <c r="AB3750">
        <v>38</v>
      </c>
      <c r="AC3750">
        <v>0.55760000000000698</v>
      </c>
      <c r="AD3750">
        <v>-0.18990409999999899</v>
      </c>
      <c r="AE3750">
        <v>-0.136099999999999</v>
      </c>
      <c r="AF3750">
        <v>0.126919315888915</v>
      </c>
      <c r="AG3750">
        <v>-0.18990409999999899</v>
      </c>
      <c r="AH3750">
        <v>0.50152684987746898</v>
      </c>
      <c r="AI3750">
        <v>110.15717536697601</v>
      </c>
      <c r="AJ3750">
        <v>75.798549145373002</v>
      </c>
      <c r="AK3750">
        <v>0.55109097351575098</v>
      </c>
      <c r="AL3750">
        <v>88.533021976146898</v>
      </c>
      <c r="AM3750">
        <v>84.885425726656706</v>
      </c>
      <c r="AN3750">
        <v>1.0000000280863299</v>
      </c>
    </row>
    <row r="3751" spans="1:40" x14ac:dyDescent="0.25">
      <c r="A3751" t="str">
        <f>"20190312154910586"</f>
        <v>20190312154910586</v>
      </c>
      <c r="B3751" t="str">
        <f>"1552376950579916"</f>
        <v>1552376950579916</v>
      </c>
      <c r="C3751" t="s">
        <v>40</v>
      </c>
      <c r="D3751">
        <v>4.6803080000000001</v>
      </c>
      <c r="E3751">
        <v>0.52878979999999998</v>
      </c>
      <c r="F3751" t="s">
        <v>41</v>
      </c>
      <c r="G3751">
        <v>-246.99870000000001</v>
      </c>
      <c r="H3751">
        <v>0.91401290000000002</v>
      </c>
      <c r="I3751">
        <v>214.46799999999999</v>
      </c>
      <c r="J3751">
        <v>-247.6446</v>
      </c>
      <c r="K3751">
        <v>1.1097619999999999</v>
      </c>
      <c r="L3751">
        <v>214.6036</v>
      </c>
      <c r="M3751">
        <v>0.99985630000000003</v>
      </c>
      <c r="N3751">
        <v>0</v>
      </c>
      <c r="O3751">
        <v>8.4624790000000002E-3</v>
      </c>
      <c r="P3751">
        <v>0.99665700000000002</v>
      </c>
      <c r="Q3751">
        <v>1.140946E-2</v>
      </c>
      <c r="R3751">
        <v>-8.0899869999999999E-2</v>
      </c>
      <c r="S3751">
        <v>2.9810789999999998</v>
      </c>
      <c r="T3751">
        <v>-0.6549488</v>
      </c>
      <c r="U3751">
        <v>-0.44648739999999998</v>
      </c>
      <c r="V3751">
        <v>8.9331419999999995E-2</v>
      </c>
      <c r="W3751">
        <v>2.6041729999999999E-2</v>
      </c>
      <c r="X3751">
        <v>0.99566140000000003</v>
      </c>
      <c r="Y3751">
        <v>0.1527242</v>
      </c>
      <c r="Z3751">
        <v>-1.8318350000000001E-2</v>
      </c>
      <c r="AA3751">
        <v>0.98809899999999995</v>
      </c>
      <c r="AB3751">
        <v>38</v>
      </c>
      <c r="AC3751">
        <v>0.64589999999998304</v>
      </c>
      <c r="AD3751">
        <v>-0.19574910000000001</v>
      </c>
      <c r="AE3751">
        <v>-0.13560000000000999</v>
      </c>
      <c r="AF3751">
        <v>0.12965575694769199</v>
      </c>
      <c r="AG3751">
        <v>-0.19574910000000001</v>
      </c>
      <c r="AH3751">
        <v>0.59259804069817901</v>
      </c>
      <c r="AI3751">
        <v>107.884385243144</v>
      </c>
      <c r="AJ3751">
        <v>77.6586119278398</v>
      </c>
      <c r="AK3751">
        <v>0.63741725996384102</v>
      </c>
      <c r="AL3751">
        <v>88.507750004107706</v>
      </c>
      <c r="AM3751">
        <v>84.873110982772801</v>
      </c>
      <c r="AN3751">
        <v>0.99999994887528298</v>
      </c>
    </row>
    <row r="3752" spans="1:40" x14ac:dyDescent="0.25">
      <c r="A3752" t="str">
        <f>"20190312154910608"</f>
        <v>20190312154910608</v>
      </c>
      <c r="B3752" t="str">
        <f>"1552376950599437"</f>
        <v>1552376950599437</v>
      </c>
      <c r="C3752" t="s">
        <v>40</v>
      </c>
      <c r="D3752">
        <v>4.6545899999999998</v>
      </c>
      <c r="E3752">
        <v>0.52866299999999999</v>
      </c>
      <c r="F3752" t="s">
        <v>41</v>
      </c>
      <c r="G3752">
        <v>-246.67179999999999</v>
      </c>
      <c r="H3752">
        <v>0.89228369999999901</v>
      </c>
      <c r="I3752">
        <v>214.45820000000001</v>
      </c>
      <c r="J3752">
        <v>-247.2809</v>
      </c>
      <c r="K3752">
        <v>1.109766</v>
      </c>
      <c r="L3752">
        <v>214.60669999999999</v>
      </c>
      <c r="M3752">
        <v>0.99985610000000003</v>
      </c>
      <c r="N3752">
        <v>0</v>
      </c>
      <c r="O3752">
        <v>8.4628629999999993E-3</v>
      </c>
      <c r="P3752">
        <v>0.99663299999999999</v>
      </c>
      <c r="Q3752">
        <v>1.1040019999999999E-2</v>
      </c>
      <c r="R3752">
        <v>-8.1247070000000005E-2</v>
      </c>
      <c r="S3752">
        <v>2.9816129999999998</v>
      </c>
      <c r="T3752">
        <v>-0.66664409999999996</v>
      </c>
      <c r="U3752">
        <v>-0.44462590000000002</v>
      </c>
      <c r="V3752">
        <v>8.9679110000000006E-2</v>
      </c>
      <c r="W3752">
        <v>2.5694229999999998E-2</v>
      </c>
      <c r="X3752">
        <v>0.99563919999999995</v>
      </c>
      <c r="Y3752">
        <v>0.15198010000000001</v>
      </c>
      <c r="Z3752">
        <v>-1.8553710000000001E-2</v>
      </c>
      <c r="AA3752">
        <v>0.98820940000000002</v>
      </c>
      <c r="AB3752">
        <v>38</v>
      </c>
      <c r="AC3752">
        <v>0.60910000000001197</v>
      </c>
      <c r="AD3752">
        <v>-0.21748229999999999</v>
      </c>
      <c r="AE3752">
        <v>-0.14849999999998401</v>
      </c>
      <c r="AF3752">
        <v>0.13714636583072801</v>
      </c>
      <c r="AG3752">
        <v>-0.21748229999999999</v>
      </c>
      <c r="AH3752">
        <v>0.54253499095205104</v>
      </c>
      <c r="AI3752">
        <v>111.23802372087</v>
      </c>
      <c r="AJ3752">
        <v>75.813508280771202</v>
      </c>
      <c r="AK3752">
        <v>0.60037645929966998</v>
      </c>
      <c r="AL3752">
        <v>88.527666993995993</v>
      </c>
      <c r="AM3752">
        <v>84.853149256688695</v>
      </c>
      <c r="AN3752">
        <v>0.99999997640116201</v>
      </c>
    </row>
    <row r="3753" spans="1:40" x14ac:dyDescent="0.25">
      <c r="A3753" t="str">
        <f>"20190312154910631"</f>
        <v>20190312154910631</v>
      </c>
      <c r="B3753" t="str">
        <f>"1552376950619933"</f>
        <v>1552376950619933</v>
      </c>
      <c r="C3753" t="s">
        <v>40</v>
      </c>
      <c r="D3753">
        <v>4.6745519999999896</v>
      </c>
      <c r="E3753">
        <v>0.52851899999999996</v>
      </c>
      <c r="F3753" t="s">
        <v>41</v>
      </c>
      <c r="G3753">
        <v>-246.33590000000001</v>
      </c>
      <c r="H3753">
        <v>0.89481840000000001</v>
      </c>
      <c r="I3753">
        <v>214.4658</v>
      </c>
      <c r="J3753">
        <v>-246.8937</v>
      </c>
      <c r="K3753">
        <v>1.1097760000000001</v>
      </c>
      <c r="L3753">
        <v>214.61</v>
      </c>
      <c r="M3753">
        <v>0.99985559999999996</v>
      </c>
      <c r="N3753">
        <v>0</v>
      </c>
      <c r="O3753">
        <v>8.4621499999999999E-3</v>
      </c>
      <c r="P3753">
        <v>0.99659500000000001</v>
      </c>
      <c r="Q3753">
        <v>1.123535E-2</v>
      </c>
      <c r="R3753">
        <v>-8.1682980000000002E-2</v>
      </c>
      <c r="S3753">
        <v>2.98143</v>
      </c>
      <c r="T3753">
        <v>-0.67817740000000004</v>
      </c>
      <c r="U3753">
        <v>-0.44412230000000003</v>
      </c>
      <c r="V3753">
        <v>9.0114410000000006E-2</v>
      </c>
      <c r="W3753">
        <v>2.590874E-2</v>
      </c>
      <c r="X3753">
        <v>0.99559439999999999</v>
      </c>
      <c r="Y3753">
        <v>0.15169779999999999</v>
      </c>
      <c r="Z3753">
        <v>-1.8836539999999999E-2</v>
      </c>
      <c r="AA3753">
        <v>0.9882474</v>
      </c>
      <c r="AB3753">
        <v>38</v>
      </c>
      <c r="AC3753">
        <v>0.55779999999998597</v>
      </c>
      <c r="AD3753">
        <v>-0.2149576</v>
      </c>
      <c r="AE3753">
        <v>-0.14420000000001201</v>
      </c>
      <c r="AF3753">
        <v>0.13071888070652901</v>
      </c>
      <c r="AG3753">
        <v>-0.2149576</v>
      </c>
      <c r="AH3753">
        <v>0.488551137632736</v>
      </c>
      <c r="AI3753">
        <v>113.027362210127</v>
      </c>
      <c r="AJ3753">
        <v>75.020573329704803</v>
      </c>
      <c r="AK3753">
        <v>0.54952380262657197</v>
      </c>
      <c r="AL3753">
        <v>88.515372476680199</v>
      </c>
      <c r="AM3753">
        <v>84.8280702768472</v>
      </c>
      <c r="AN3753">
        <v>1.00000003950469</v>
      </c>
    </row>
    <row r="3754" spans="1:40" x14ac:dyDescent="0.25">
      <c r="A3754" t="str">
        <f>"20190312154910653"</f>
        <v>20190312154910653</v>
      </c>
      <c r="B3754" t="str">
        <f>"1552376950639453"</f>
        <v>1552376950639453</v>
      </c>
      <c r="C3754" t="s">
        <v>40</v>
      </c>
      <c r="D3754">
        <v>4.6896269999999998</v>
      </c>
      <c r="E3754">
        <v>0.52833459999999999</v>
      </c>
      <c r="F3754" t="s">
        <v>41</v>
      </c>
      <c r="G3754">
        <v>-245.99789999999999</v>
      </c>
      <c r="H3754">
        <v>0.90334829999999999</v>
      </c>
      <c r="I3754">
        <v>214.47640000000001</v>
      </c>
      <c r="J3754">
        <v>-246.5274</v>
      </c>
      <c r="K3754">
        <v>1.109782</v>
      </c>
      <c r="L3754">
        <v>214.6131</v>
      </c>
      <c r="M3754">
        <v>0.99985539999999995</v>
      </c>
      <c r="N3754">
        <v>0</v>
      </c>
      <c r="O3754">
        <v>8.4609530000000002E-3</v>
      </c>
      <c r="P3754">
        <v>0.99655249999999995</v>
      </c>
      <c r="Q3754">
        <v>1.118336E-2</v>
      </c>
      <c r="R3754">
        <v>-8.2208509999999999E-2</v>
      </c>
      <c r="S3754">
        <v>2.9815830000000001</v>
      </c>
      <c r="T3754">
        <v>-0.68715309999999996</v>
      </c>
      <c r="U3754">
        <v>-0.4440308</v>
      </c>
      <c r="V3754">
        <v>9.0638380000000004E-2</v>
      </c>
      <c r="W3754">
        <v>2.5872030000000001E-2</v>
      </c>
      <c r="X3754">
        <v>0.99554779999999998</v>
      </c>
      <c r="Y3754">
        <v>0.1515582</v>
      </c>
      <c r="Z3754">
        <v>-1.906265E-2</v>
      </c>
      <c r="AA3754">
        <v>0.98826449999999999</v>
      </c>
      <c r="AB3754">
        <v>37</v>
      </c>
      <c r="AC3754">
        <v>0.52950000000001296</v>
      </c>
      <c r="AD3754">
        <v>-0.2064337</v>
      </c>
      <c r="AE3754">
        <v>-0.13669999999999</v>
      </c>
      <c r="AF3754">
        <v>0.123567602687216</v>
      </c>
      <c r="AG3754">
        <v>-0.2064337</v>
      </c>
      <c r="AH3754">
        <v>0.46242931739925702</v>
      </c>
      <c r="AI3754">
        <v>113.329542563065</v>
      </c>
      <c r="AJ3754">
        <v>75.039307165354202</v>
      </c>
      <c r="AK3754">
        <v>0.52127219235241995</v>
      </c>
      <c r="AL3754">
        <v>88.517476525486799</v>
      </c>
      <c r="AM3754">
        <v>84.797920456498701</v>
      </c>
      <c r="AN3754">
        <v>1.0000000499750901</v>
      </c>
    </row>
    <row r="3755" spans="1:40" x14ac:dyDescent="0.25">
      <c r="A3755" t="str">
        <f>"20190312154910676"</f>
        <v>20190312154910676</v>
      </c>
      <c r="B3755" t="str">
        <f>"1552376950669708"</f>
        <v>1552376950669708</v>
      </c>
      <c r="C3755" t="s">
        <v>40</v>
      </c>
      <c r="D3755">
        <v>4.6941680000000003</v>
      </c>
      <c r="E3755">
        <v>0.52816249999999998</v>
      </c>
      <c r="F3755" t="s">
        <v>41</v>
      </c>
      <c r="G3755">
        <v>-245.6617</v>
      </c>
      <c r="H3755">
        <v>0.90822080000000005</v>
      </c>
      <c r="I3755">
        <v>214.48419999999999</v>
      </c>
      <c r="J3755">
        <v>-246.14670000000001</v>
      </c>
      <c r="K3755">
        <v>1.1097900000000001</v>
      </c>
      <c r="L3755">
        <v>214.6163</v>
      </c>
      <c r="M3755">
        <v>0.9998551</v>
      </c>
      <c r="N3755">
        <v>0</v>
      </c>
      <c r="O3755">
        <v>8.4606119999999993E-3</v>
      </c>
      <c r="P3755">
        <v>0.99648959999999998</v>
      </c>
      <c r="Q3755">
        <v>1.136531E-2</v>
      </c>
      <c r="R3755">
        <v>-8.2940680000000003E-2</v>
      </c>
      <c r="S3755">
        <v>2.9815670000000001</v>
      </c>
      <c r="T3755">
        <v>-0.69423100000000004</v>
      </c>
      <c r="U3755">
        <v>-0.4437256</v>
      </c>
      <c r="V3755">
        <v>9.1370190000000004E-2</v>
      </c>
      <c r="W3755">
        <v>2.6066990000000002E-2</v>
      </c>
      <c r="X3755">
        <v>0.99547580000000002</v>
      </c>
      <c r="Y3755">
        <v>0.1513803</v>
      </c>
      <c r="Z3755">
        <v>-1.923381E-2</v>
      </c>
      <c r="AA3755">
        <v>0.98828850000000001</v>
      </c>
      <c r="AB3755">
        <v>37</v>
      </c>
      <c r="AC3755">
        <v>0.48500000000001298</v>
      </c>
      <c r="AD3755">
        <v>-0.2015692</v>
      </c>
      <c r="AE3755">
        <v>-0.13210000000000799</v>
      </c>
      <c r="AF3755">
        <v>0.117332137291731</v>
      </c>
      <c r="AG3755">
        <v>-0.2015692</v>
      </c>
      <c r="AH3755">
        <v>0.41683750284151899</v>
      </c>
      <c r="AI3755">
        <v>114.960983700668</v>
      </c>
      <c r="AJ3755">
        <v>74.279059547372299</v>
      </c>
      <c r="AK3755">
        <v>0.47765099874828998</v>
      </c>
      <c r="AL3755">
        <v>88.506302348320602</v>
      </c>
      <c r="AM3755">
        <v>84.755775176921105</v>
      </c>
      <c r="AN3755">
        <v>1.0000000339869599</v>
      </c>
    </row>
    <row r="3756" spans="1:40" x14ac:dyDescent="0.25">
      <c r="A3756" t="str">
        <f>"20190312154910698"</f>
        <v>20190312154910698</v>
      </c>
      <c r="B3756" t="str">
        <f>"1552376950689229"</f>
        <v>1552376950689229</v>
      </c>
      <c r="C3756" t="s">
        <v>40</v>
      </c>
      <c r="D3756">
        <v>4.6316119999999996</v>
      </c>
      <c r="E3756">
        <v>0.52797720000000004</v>
      </c>
      <c r="F3756" t="s">
        <v>41</v>
      </c>
      <c r="G3756">
        <v>-245.32470000000001</v>
      </c>
      <c r="H3756">
        <v>0.91621989999999998</v>
      </c>
      <c r="I3756">
        <v>214.49359999999999</v>
      </c>
      <c r="J3756">
        <v>-245.78290000000001</v>
      </c>
      <c r="K3756">
        <v>1.1097939999999999</v>
      </c>
      <c r="L3756">
        <v>214.61940000000001</v>
      </c>
      <c r="M3756">
        <v>0.99985500000000005</v>
      </c>
      <c r="N3756">
        <v>0</v>
      </c>
      <c r="O3756">
        <v>8.4606639999999997E-3</v>
      </c>
      <c r="P3756">
        <v>0.99645629999999996</v>
      </c>
      <c r="Q3756">
        <v>1.1557899999999999E-2</v>
      </c>
      <c r="R3756">
        <v>-8.3315230000000004E-2</v>
      </c>
      <c r="S3756">
        <v>2.9815830000000001</v>
      </c>
      <c r="T3756">
        <v>-0.70212640000000004</v>
      </c>
      <c r="U3756">
        <v>-0.44442749999999998</v>
      </c>
      <c r="V3756">
        <v>9.1744300000000001E-2</v>
      </c>
      <c r="W3756">
        <v>2.6269580000000001E-2</v>
      </c>
      <c r="X3756">
        <v>0.99543599999999999</v>
      </c>
      <c r="Y3756">
        <v>0.15150939999999999</v>
      </c>
      <c r="Z3756">
        <v>-1.9461369999999999E-2</v>
      </c>
      <c r="AA3756">
        <v>0.98826420000000004</v>
      </c>
      <c r="AB3756">
        <v>37</v>
      </c>
      <c r="AC3756">
        <v>0.45820000000000499</v>
      </c>
      <c r="AD3756">
        <v>-0.193574099999999</v>
      </c>
      <c r="AE3756">
        <v>-0.125800000000026</v>
      </c>
      <c r="AF3756">
        <v>0.11121460069957501</v>
      </c>
      <c r="AG3756">
        <v>-0.193574099999999</v>
      </c>
      <c r="AH3756">
        <v>0.39205138892166302</v>
      </c>
      <c r="AI3756">
        <v>115.40793035608399</v>
      </c>
      <c r="AJ3756">
        <v>74.162764409681998</v>
      </c>
      <c r="AK3756">
        <v>0.45115841026737002</v>
      </c>
      <c r="AL3756">
        <v>88.494690722161593</v>
      </c>
      <c r="AM3756">
        <v>84.734214105462897</v>
      </c>
      <c r="AN3756">
        <v>0.999999968755932</v>
      </c>
    </row>
    <row r="3757" spans="1:40" x14ac:dyDescent="0.25">
      <c r="A3757" t="str">
        <f>"20190312154910721"</f>
        <v>20190312154910721</v>
      </c>
      <c r="B3757" t="str">
        <f>"1552376950709724"</f>
        <v>1552376950709724</v>
      </c>
      <c r="C3757" t="s">
        <v>40</v>
      </c>
      <c r="D3757">
        <v>4.5903090000000004</v>
      </c>
      <c r="E3757">
        <v>0.52259420000000001</v>
      </c>
      <c r="F3757" t="s">
        <v>41</v>
      </c>
      <c r="G3757">
        <v>-244.98869999999999</v>
      </c>
      <c r="H3757">
        <v>0.92217450000000001</v>
      </c>
      <c r="I3757">
        <v>214.50110000000001</v>
      </c>
      <c r="J3757">
        <v>-245.40389999999999</v>
      </c>
      <c r="K3757">
        <v>1.1097999999999999</v>
      </c>
      <c r="L3757">
        <v>214.62260000000001</v>
      </c>
      <c r="M3757">
        <v>0.99985500000000005</v>
      </c>
      <c r="N3757">
        <v>0</v>
      </c>
      <c r="O3757">
        <v>8.4609170000000001E-3</v>
      </c>
      <c r="P3757">
        <v>0.99643490000000001</v>
      </c>
      <c r="Q3757">
        <v>1.1887790000000001E-2</v>
      </c>
      <c r="R3757">
        <v>-8.3526740000000002E-2</v>
      </c>
      <c r="S3757">
        <v>2.9816889999999998</v>
      </c>
      <c r="T3757">
        <v>-0.704403</v>
      </c>
      <c r="U3757">
        <v>-0.44401550000000001</v>
      </c>
      <c r="V3757">
        <v>9.1956070000000001E-2</v>
      </c>
      <c r="W3757">
        <v>2.6608489999999999E-2</v>
      </c>
      <c r="X3757">
        <v>0.9954075</v>
      </c>
      <c r="Y3757">
        <v>0.15134800000000001</v>
      </c>
      <c r="Z3757">
        <v>-1.9503670000000001E-2</v>
      </c>
      <c r="AA3757">
        <v>0.9882881</v>
      </c>
      <c r="AB3757">
        <v>37</v>
      </c>
      <c r="AC3757">
        <v>0.41519999999999802</v>
      </c>
      <c r="AD3757">
        <v>-0.187625499999999</v>
      </c>
      <c r="AE3757">
        <v>-0.121499999999997</v>
      </c>
      <c r="AF3757">
        <v>0.10521767700203399</v>
      </c>
      <c r="AG3757">
        <v>-0.187625499999999</v>
      </c>
      <c r="AH3757">
        <v>0.34858800122790201</v>
      </c>
      <c r="AI3757">
        <v>117.261276745092</v>
      </c>
      <c r="AJ3757">
        <v>73.204104206386603</v>
      </c>
      <c r="AK3757">
        <v>0.40961894780883601</v>
      </c>
      <c r="AL3757">
        <v>88.475265882542402</v>
      </c>
      <c r="AM3757">
        <v>84.721977589364101</v>
      </c>
      <c r="AN3757">
        <v>1.00000001080308</v>
      </c>
    </row>
    <row r="3758" spans="1:40" x14ac:dyDescent="0.25">
      <c r="A3758" t="str">
        <f>"20190312154910742"</f>
        <v>20190312154910742</v>
      </c>
      <c r="B3758" t="str">
        <f>"1552376950729244"</f>
        <v>1552376950729244</v>
      </c>
      <c r="C3758" t="s">
        <v>40</v>
      </c>
      <c r="D3758">
        <v>4.653448</v>
      </c>
      <c r="E3758">
        <v>0.52363210000000004</v>
      </c>
      <c r="F3758" t="s">
        <v>41</v>
      </c>
      <c r="G3758">
        <v>-244.61099999999999</v>
      </c>
      <c r="H3758">
        <v>1.0146759999999999</v>
      </c>
      <c r="I3758">
        <v>214.5119</v>
      </c>
      <c r="J3758">
        <v>-245.0334</v>
      </c>
      <c r="K3758">
        <v>1.109809</v>
      </c>
      <c r="L3758">
        <v>214.6258</v>
      </c>
      <c r="M3758">
        <v>0.99985489999999999</v>
      </c>
      <c r="N3758">
        <v>0</v>
      </c>
      <c r="O3758">
        <v>8.4613129999999998E-3</v>
      </c>
      <c r="P3758">
        <v>0.99642830000000004</v>
      </c>
      <c r="Q3758">
        <v>1.201351E-2</v>
      </c>
      <c r="R3758">
        <v>-8.358894E-2</v>
      </c>
      <c r="S3758">
        <v>2.9801790000000001</v>
      </c>
      <c r="T3758">
        <v>-0.357693599999999</v>
      </c>
      <c r="U3758">
        <v>-0.41508479999999998</v>
      </c>
      <c r="V3758">
        <v>9.2018509999999998E-2</v>
      </c>
      <c r="W3758">
        <v>2.6741480000000001E-2</v>
      </c>
      <c r="X3758">
        <v>0.99539820000000001</v>
      </c>
      <c r="Y3758">
        <v>0.14524409999999999</v>
      </c>
      <c r="Z3758">
        <v>-9.6513250000000005E-3</v>
      </c>
      <c r="AA3758">
        <v>0.98934880000000003</v>
      </c>
      <c r="AB3758">
        <v>37</v>
      </c>
      <c r="AC3758">
        <v>0.42240000000000999</v>
      </c>
      <c r="AD3758">
        <v>-9.5133000000000106E-2</v>
      </c>
      <c r="AE3758">
        <v>-0.1139</v>
      </c>
      <c r="AF3758">
        <v>0.112166475796492</v>
      </c>
      <c r="AG3758">
        <v>-9.5133000000000106E-2</v>
      </c>
      <c r="AH3758">
        <v>0.402393480060108</v>
      </c>
      <c r="AI3758">
        <v>102.829489394535</v>
      </c>
      <c r="AJ3758">
        <v>74.424281403363196</v>
      </c>
      <c r="AK3758">
        <v>0.42842982946626101</v>
      </c>
      <c r="AL3758">
        <v>88.467643456543598</v>
      </c>
      <c r="AM3758">
        <v>84.718364901478594</v>
      </c>
      <c r="AN3758">
        <v>1.0000000447492201</v>
      </c>
    </row>
    <row r="3759" spans="1:40" x14ac:dyDescent="0.25">
      <c r="A3759" t="str">
        <f>"20190312154910765"</f>
        <v>20190312154910765</v>
      </c>
      <c r="B3759" t="str">
        <f>"1552376950759501"</f>
        <v>1552376950759501</v>
      </c>
      <c r="C3759" t="s">
        <v>40</v>
      </c>
      <c r="D3759">
        <v>4.6621560000000004</v>
      </c>
      <c r="E3759">
        <v>0.52443700000000004</v>
      </c>
      <c r="F3759" t="s">
        <v>50</v>
      </c>
      <c r="G3759">
        <v>-228.69110000000001</v>
      </c>
      <c r="H3759" s="1">
        <v>3.1908270000000001E-6</v>
      </c>
      <c r="I3759">
        <v>212.26779999999999</v>
      </c>
      <c r="J3759">
        <v>-244.6617</v>
      </c>
      <c r="K3759">
        <v>1.1098159999999999</v>
      </c>
      <c r="L3759">
        <v>214.62889999999999</v>
      </c>
      <c r="M3759">
        <v>0.99985469999999999</v>
      </c>
      <c r="N3759">
        <v>0</v>
      </c>
      <c r="O3759">
        <v>8.4616090000000001E-3</v>
      </c>
      <c r="P3759">
        <v>0.99643990000000005</v>
      </c>
      <c r="Q3759">
        <v>1.219071E-2</v>
      </c>
      <c r="R3759">
        <v>-8.3420049999999996E-2</v>
      </c>
      <c r="S3759">
        <v>2.9771730000000001</v>
      </c>
      <c r="T3759">
        <v>-0.2021792</v>
      </c>
      <c r="U3759">
        <v>-0.42956539999999999</v>
      </c>
      <c r="V3759">
        <v>9.1850249999999994E-2</v>
      </c>
      <c r="W3759">
        <v>2.692452E-2</v>
      </c>
      <c r="X3759">
        <v>0.99540879999999998</v>
      </c>
      <c r="Y3759">
        <v>0.1508187</v>
      </c>
      <c r="Z3759">
        <v>-5.6600460000000002E-3</v>
      </c>
      <c r="AA3759">
        <v>0.98854520000000001</v>
      </c>
      <c r="AB3759">
        <v>37</v>
      </c>
      <c r="AC3759">
        <v>15.9705999999999</v>
      </c>
      <c r="AD3759">
        <v>-1.109812809173</v>
      </c>
      <c r="AE3759">
        <v>-2.3610999999999902</v>
      </c>
      <c r="AF3759">
        <v>2.4844265485520598</v>
      </c>
      <c r="AG3759">
        <v>-1.109812809173</v>
      </c>
      <c r="AH3759">
        <v>15.875026479337899</v>
      </c>
      <c r="AI3759">
        <v>93.951067573451297</v>
      </c>
      <c r="AJ3759">
        <v>81.105411989176901</v>
      </c>
      <c r="AK3759">
        <v>16.1065367309746</v>
      </c>
      <c r="AL3759">
        <v>88.457152250556504</v>
      </c>
      <c r="AM3759">
        <v>84.728023965310797</v>
      </c>
      <c r="AN3759">
        <v>1.00000003865986</v>
      </c>
    </row>
    <row r="3760" spans="1:40" x14ac:dyDescent="0.25">
      <c r="A3760" t="str">
        <f>"20190312154910786"</f>
        <v>20190312154910786</v>
      </c>
      <c r="B3760" t="str">
        <f>"1552376950779996"</f>
        <v>1552376950779996</v>
      </c>
      <c r="C3760" t="s">
        <v>40</v>
      </c>
      <c r="D3760">
        <v>4.7126080000000004</v>
      </c>
      <c r="E3760">
        <v>0.52405079999999904</v>
      </c>
      <c r="F3760" t="s">
        <v>50</v>
      </c>
      <c r="G3760">
        <v>-218.00720000000001</v>
      </c>
      <c r="H3760" s="1">
        <v>2.8953730000000002E-6</v>
      </c>
      <c r="I3760">
        <v>210.7011</v>
      </c>
      <c r="J3760">
        <v>-244.30420000000001</v>
      </c>
      <c r="K3760">
        <v>1.109818</v>
      </c>
      <c r="L3760">
        <v>214.6319</v>
      </c>
      <c r="M3760">
        <v>0.99985460000000004</v>
      </c>
      <c r="N3760">
        <v>0</v>
      </c>
      <c r="O3760">
        <v>8.4616840000000006E-3</v>
      </c>
      <c r="P3760">
        <v>0.99646559999999995</v>
      </c>
      <c r="Q3760">
        <v>1.1990199999999999E-2</v>
      </c>
      <c r="R3760">
        <v>-8.3140839999999994E-2</v>
      </c>
      <c r="S3760">
        <v>2.9755250000000002</v>
      </c>
      <c r="T3760">
        <v>-0.1238918</v>
      </c>
      <c r="U3760">
        <v>-0.43847659999999999</v>
      </c>
      <c r="V3760">
        <v>9.1571520000000003E-2</v>
      </c>
      <c r="W3760">
        <v>2.672909E-2</v>
      </c>
      <c r="X3760">
        <v>0.99543970000000004</v>
      </c>
      <c r="Y3760">
        <v>0.15401579999999901</v>
      </c>
      <c r="Z3760">
        <v>-3.5381639999999999E-3</v>
      </c>
      <c r="AA3760">
        <v>0.988062</v>
      </c>
      <c r="AB3760">
        <v>37</v>
      </c>
      <c r="AC3760">
        <v>26.297000000000001</v>
      </c>
      <c r="AD3760">
        <v>-1.1098151046269999</v>
      </c>
      <c r="AE3760">
        <v>-3.9308000000000001</v>
      </c>
      <c r="AF3760">
        <v>4.1459775145812996</v>
      </c>
      <c r="AG3760">
        <v>-1.1098151046269999</v>
      </c>
      <c r="AH3760">
        <v>26.217118672632399</v>
      </c>
      <c r="AI3760">
        <v>92.394262268051406</v>
      </c>
      <c r="AJ3760">
        <v>81.013658130018598</v>
      </c>
      <c r="AK3760">
        <v>26.5661086840501</v>
      </c>
      <c r="AL3760">
        <v>88.468353524146707</v>
      </c>
      <c r="AM3760">
        <v>84.744094877293406</v>
      </c>
      <c r="AN3760">
        <v>0.99999999193171396</v>
      </c>
    </row>
    <row r="3761" spans="1:40" x14ac:dyDescent="0.25">
      <c r="A3761" t="str">
        <f>"20190312154910808"</f>
        <v>20190312154910808</v>
      </c>
      <c r="B3761" t="str">
        <f>"1552376950799517"</f>
        <v>1552376950799517</v>
      </c>
      <c r="C3761" t="s">
        <v>40</v>
      </c>
      <c r="D3761">
        <v>4.7400260000000003</v>
      </c>
      <c r="E3761">
        <v>0.52384909999999996</v>
      </c>
      <c r="F3761" t="s">
        <v>50</v>
      </c>
      <c r="G3761">
        <v>-215.2294</v>
      </c>
      <c r="H3761" s="1">
        <v>1.4311730000000001E-6</v>
      </c>
      <c r="I3761">
        <v>210.38059999999999</v>
      </c>
      <c r="J3761">
        <v>-243.9349</v>
      </c>
      <c r="K3761">
        <v>1.1098220000000001</v>
      </c>
      <c r="L3761">
        <v>214.63509999999999</v>
      </c>
      <c r="M3761">
        <v>0.99985449999999998</v>
      </c>
      <c r="N3761">
        <v>0</v>
      </c>
      <c r="O3761">
        <v>8.4618269999999999E-3</v>
      </c>
      <c r="P3761">
        <v>0.99648429999999999</v>
      </c>
      <c r="Q3761">
        <v>1.178264E-2</v>
      </c>
      <c r="R3761">
        <v>-8.294588E-2</v>
      </c>
      <c r="S3761">
        <v>2.975708</v>
      </c>
      <c r="T3761">
        <v>-0.1135861</v>
      </c>
      <c r="U3761">
        <v>-0.4351044</v>
      </c>
      <c r="V3761">
        <v>9.1376750000000007E-2</v>
      </c>
      <c r="W3761">
        <v>2.6525070000000001E-2</v>
      </c>
      <c r="X3761">
        <v>0.99546310000000005</v>
      </c>
      <c r="Y3761">
        <v>0.15293380000000001</v>
      </c>
      <c r="Z3761">
        <v>-3.223605E-3</v>
      </c>
      <c r="AA3761">
        <v>0.98823119999999998</v>
      </c>
      <c r="AB3761">
        <v>37</v>
      </c>
      <c r="AC3761">
        <v>28.705500000000001</v>
      </c>
      <c r="AD3761">
        <v>-1.10982056882699</v>
      </c>
      <c r="AE3761">
        <v>-4.2545000000000002</v>
      </c>
      <c r="AF3761">
        <v>4.4907069662258303</v>
      </c>
      <c r="AG3761">
        <v>-1.10982056882699</v>
      </c>
      <c r="AH3761">
        <v>28.626596761657702</v>
      </c>
      <c r="AI3761">
        <v>92.193382740108802</v>
      </c>
      <c r="AJ3761">
        <v>81.084564342460794</v>
      </c>
      <c r="AK3761">
        <v>28.9979342868772</v>
      </c>
      <c r="AL3761">
        <v>88.480047223273601</v>
      </c>
      <c r="AM3761">
        <v>84.755334226070005</v>
      </c>
      <c r="AN3761">
        <v>1.0000000366203301</v>
      </c>
    </row>
    <row r="3762" spans="1:40" x14ac:dyDescent="0.25">
      <c r="A3762" t="str">
        <f>"20190312154910832"</f>
        <v>20190312154910832</v>
      </c>
      <c r="B3762" t="str">
        <f>"1552376950819581"</f>
        <v>1552376950819581</v>
      </c>
      <c r="C3762" t="s">
        <v>40</v>
      </c>
      <c r="D3762">
        <v>4.7479909999999999</v>
      </c>
      <c r="E3762">
        <v>0.52390389999999998</v>
      </c>
      <c r="F3762" t="s">
        <v>50</v>
      </c>
      <c r="G3762">
        <v>-213.96469999999999</v>
      </c>
      <c r="H3762" s="1">
        <v>7.627943E-7</v>
      </c>
      <c r="I3762">
        <v>210.27520000000001</v>
      </c>
      <c r="J3762">
        <v>-243.55430000000001</v>
      </c>
      <c r="K3762">
        <v>1.109823</v>
      </c>
      <c r="L3762">
        <v>214.63829999999999</v>
      </c>
      <c r="M3762">
        <v>0.99985460000000004</v>
      </c>
      <c r="N3762">
        <v>0</v>
      </c>
      <c r="O3762">
        <v>8.4618000000000002E-3</v>
      </c>
      <c r="P3762">
        <v>0.99651809999999996</v>
      </c>
      <c r="Q3762">
        <v>1.17327E-2</v>
      </c>
      <c r="R3762">
        <v>-8.2549209999999998E-2</v>
      </c>
      <c r="S3762">
        <v>2.9758300000000002</v>
      </c>
      <c r="T3762">
        <v>-0.1101975</v>
      </c>
      <c r="U3762">
        <v>-0.43290709999999999</v>
      </c>
      <c r="V3762">
        <v>9.0980370000000005E-2</v>
      </c>
      <c r="W3762">
        <v>2.6478359999999999E-2</v>
      </c>
      <c r="X3762">
        <v>0.99550059999999996</v>
      </c>
      <c r="Y3762">
        <v>0.15222060000000001</v>
      </c>
      <c r="Z3762">
        <v>-3.1144100000000002E-3</v>
      </c>
      <c r="AA3762">
        <v>0.98834160000000004</v>
      </c>
      <c r="AB3762">
        <v>37</v>
      </c>
      <c r="AC3762">
        <v>29.589600000000001</v>
      </c>
      <c r="AD3762">
        <v>-1.1098222372057001</v>
      </c>
      <c r="AE3762">
        <v>-4.36309999999997</v>
      </c>
      <c r="AF3762">
        <v>4.6070093119110904</v>
      </c>
      <c r="AG3762">
        <v>-1.1098222372057001</v>
      </c>
      <c r="AH3762">
        <v>29.510984437603501</v>
      </c>
      <c r="AI3762">
        <v>92.127962651374602</v>
      </c>
      <c r="AJ3762">
        <v>81.127077380157203</v>
      </c>
      <c r="AK3762">
        <v>29.889035492546501</v>
      </c>
      <c r="AL3762">
        <v>88.482724375481297</v>
      </c>
      <c r="AM3762">
        <v>84.778154449026701</v>
      </c>
      <c r="AN3762">
        <v>0.99999998793699296</v>
      </c>
    </row>
    <row r="3763" spans="1:40" x14ac:dyDescent="0.25">
      <c r="A3763" t="str">
        <f>"20190312154910850"</f>
        <v>20190312154910850</v>
      </c>
      <c r="B3763" t="str">
        <f>"1552376950840077"</f>
        <v>1552376950840077</v>
      </c>
      <c r="C3763" t="s">
        <v>40</v>
      </c>
      <c r="D3763">
        <v>4.786448</v>
      </c>
      <c r="E3763">
        <v>0.52400550000000001</v>
      </c>
      <c r="F3763" t="s">
        <v>50</v>
      </c>
      <c r="G3763">
        <v>-213.49860000000001</v>
      </c>
      <c r="H3763" s="1">
        <v>5.1484110000000004E-7</v>
      </c>
      <c r="I3763">
        <v>210.273</v>
      </c>
      <c r="J3763">
        <v>-243.2423</v>
      </c>
      <c r="K3763">
        <v>1.109826</v>
      </c>
      <c r="L3763">
        <v>214.64089999999999</v>
      </c>
      <c r="M3763">
        <v>0.99985460000000004</v>
      </c>
      <c r="N3763">
        <v>0</v>
      </c>
      <c r="O3763">
        <v>8.4619640000000006E-3</v>
      </c>
      <c r="P3763">
        <v>0.99652030000000003</v>
      </c>
      <c r="Q3763">
        <v>1.182713E-2</v>
      </c>
      <c r="R3763">
        <v>-8.2508940000000003E-2</v>
      </c>
      <c r="S3763">
        <v>2.9759829999999998</v>
      </c>
      <c r="T3763">
        <v>-0.10988970000000001</v>
      </c>
      <c r="U3763">
        <v>-0.4322357</v>
      </c>
      <c r="V3763">
        <v>9.0940370000000006E-2</v>
      </c>
      <c r="W3763">
        <v>2.6574170000000001E-2</v>
      </c>
      <c r="X3763">
        <v>0.99550170000000004</v>
      </c>
      <c r="Y3763">
        <v>0.15199599999999999</v>
      </c>
      <c r="Z3763">
        <v>-3.1014910000000001E-3</v>
      </c>
      <c r="AA3763">
        <v>0.98837629999999999</v>
      </c>
      <c r="AB3763">
        <v>37</v>
      </c>
      <c r="AC3763">
        <v>29.743699999999901</v>
      </c>
      <c r="AD3763">
        <v>-1.10982548515889</v>
      </c>
      <c r="AE3763">
        <v>-4.3678999999999899</v>
      </c>
      <c r="AF3763">
        <v>4.6131741468022804</v>
      </c>
      <c r="AG3763">
        <v>-1.10982548515889</v>
      </c>
      <c r="AH3763">
        <v>29.665240029699799</v>
      </c>
      <c r="AI3763">
        <v>92.117108105059003</v>
      </c>
      <c r="AJ3763">
        <v>81.160860903501799</v>
      </c>
      <c r="AK3763">
        <v>30.0422960896124</v>
      </c>
      <c r="AL3763">
        <v>88.477232931564899</v>
      </c>
      <c r="AM3763">
        <v>84.7804433130202</v>
      </c>
      <c r="AN3763">
        <v>0.99999998605490703</v>
      </c>
    </row>
    <row r="3764" spans="1:40" x14ac:dyDescent="0.25">
      <c r="A3764" t="str">
        <f>"20190312154910865"</f>
        <v>20190312154910865</v>
      </c>
      <c r="B3764" t="str">
        <f>"1552376950859597"</f>
        <v>1552376950859597</v>
      </c>
      <c r="C3764" t="s">
        <v>40</v>
      </c>
      <c r="D3764">
        <v>4.7287109999999997</v>
      </c>
      <c r="E3764">
        <v>0.52403379999999999</v>
      </c>
      <c r="F3764" t="s">
        <v>50</v>
      </c>
      <c r="G3764">
        <v>-212.9622</v>
      </c>
      <c r="H3764" s="1">
        <v>2.3103120000000001E-7</v>
      </c>
      <c r="I3764">
        <v>210.23519999999999</v>
      </c>
      <c r="J3764">
        <v>-243.00059999999999</v>
      </c>
      <c r="K3764">
        <v>1.1098239999999999</v>
      </c>
      <c r="L3764">
        <v>214.643</v>
      </c>
      <c r="M3764">
        <v>0.99985460000000004</v>
      </c>
      <c r="N3764">
        <v>0</v>
      </c>
      <c r="O3764">
        <v>8.4619550000000002E-3</v>
      </c>
      <c r="P3764">
        <v>0.99653840000000005</v>
      </c>
      <c r="Q3764">
        <v>1.175142E-2</v>
      </c>
      <c r="R3764">
        <v>-8.2302109999999998E-2</v>
      </c>
      <c r="S3764">
        <v>2.9759519999999999</v>
      </c>
      <c r="T3764">
        <v>-0.1090745</v>
      </c>
      <c r="U3764">
        <v>-0.43299870000000001</v>
      </c>
      <c r="V3764">
        <v>9.0733659999999994E-2</v>
      </c>
      <c r="W3764">
        <v>2.6499809999999999E-2</v>
      </c>
      <c r="X3764">
        <v>0.99552260000000004</v>
      </c>
      <c r="Y3764">
        <v>0.15224699999999999</v>
      </c>
      <c r="Z3764">
        <v>-3.0830459999999999E-3</v>
      </c>
      <c r="AA3764">
        <v>0.98833769999999999</v>
      </c>
      <c r="AB3764">
        <v>37</v>
      </c>
      <c r="AC3764">
        <v>30.038399999999999</v>
      </c>
      <c r="AD3764">
        <v>-1.1098237689688</v>
      </c>
      <c r="AE3764">
        <v>-4.4077999999999999</v>
      </c>
      <c r="AF3764">
        <v>4.6556323035979998</v>
      </c>
      <c r="AG3764">
        <v>-1.1098237689688</v>
      </c>
      <c r="AH3764">
        <v>29.959986225852901</v>
      </c>
      <c r="AI3764">
        <v>92.096331276500095</v>
      </c>
      <c r="AJ3764">
        <v>81.167167020974105</v>
      </c>
      <c r="AK3764">
        <v>30.339864792015302</v>
      </c>
      <c r="AL3764">
        <v>88.481495031782003</v>
      </c>
      <c r="AM3764">
        <v>84.792350932180995</v>
      </c>
      <c r="AN3764">
        <v>1.0000000420488899</v>
      </c>
    </row>
    <row r="3765" spans="1:40" x14ac:dyDescent="0.25">
      <c r="A3765" t="str">
        <f>"20190312154910886"</f>
        <v>20190312154910886</v>
      </c>
      <c r="B3765" t="str">
        <f>"1552376950880093"</f>
        <v>1552376950880093</v>
      </c>
      <c r="C3765" t="s">
        <v>40</v>
      </c>
      <c r="D3765">
        <v>4.8914039999999996</v>
      </c>
      <c r="E3765">
        <v>0.52434590000000003</v>
      </c>
      <c r="F3765" t="s">
        <v>50</v>
      </c>
      <c r="G3765">
        <v>-212.19030000000001</v>
      </c>
      <c r="H3765" s="1">
        <v>-1.7657090000000001E-7</v>
      </c>
      <c r="I3765">
        <v>210.16329999999999</v>
      </c>
      <c r="J3765">
        <v>-242.64500000000001</v>
      </c>
      <c r="K3765">
        <v>1.1098319999999999</v>
      </c>
      <c r="L3765">
        <v>214.64599999999999</v>
      </c>
      <c r="M3765">
        <v>0.99985449999999998</v>
      </c>
      <c r="N3765">
        <v>0</v>
      </c>
      <c r="O3765">
        <v>8.4623040000000004E-3</v>
      </c>
      <c r="P3765">
        <v>0.99656060000000002</v>
      </c>
      <c r="Q3765">
        <v>1.104714E-2</v>
      </c>
      <c r="R3765">
        <v>-8.2127980000000003E-2</v>
      </c>
      <c r="S3765">
        <v>2.9759519999999999</v>
      </c>
      <c r="T3765">
        <v>-0.1071974</v>
      </c>
      <c r="U3765">
        <v>-0.43269350000000001</v>
      </c>
      <c r="V3765">
        <v>9.0560130000000003E-2</v>
      </c>
      <c r="W3765">
        <v>2.5796240000000002E-2</v>
      </c>
      <c r="X3765">
        <v>0.99555680000000002</v>
      </c>
      <c r="Y3765">
        <v>0.1521517</v>
      </c>
      <c r="Z3765">
        <v>-3.0283509999999999E-3</v>
      </c>
      <c r="AA3765">
        <v>0.98835249999999997</v>
      </c>
      <c r="AB3765">
        <v>37</v>
      </c>
      <c r="AC3765">
        <v>30.454699999999999</v>
      </c>
      <c r="AD3765">
        <v>-1.1098321765708901</v>
      </c>
      <c r="AE3765">
        <v>-4.4826999999999897</v>
      </c>
      <c r="AF3765">
        <v>4.7341309429837404</v>
      </c>
      <c r="AG3765">
        <v>-1.1098321765708901</v>
      </c>
      <c r="AH3765">
        <v>30.376186323991099</v>
      </c>
      <c r="AI3765">
        <v>92.067506255770198</v>
      </c>
      <c r="AJ3765">
        <v>81.141710087403894</v>
      </c>
      <c r="AK3765">
        <v>30.762906540756099</v>
      </c>
      <c r="AL3765">
        <v>88.521820292998797</v>
      </c>
      <c r="AM3765">
        <v>84.802433641110596</v>
      </c>
      <c r="AN3765">
        <v>0.99999996258499602</v>
      </c>
    </row>
    <row r="3766" spans="1:40" x14ac:dyDescent="0.25">
      <c r="A3766" t="str">
        <f>"20190312154910921"</f>
        <v>20190312154910921</v>
      </c>
      <c r="B3766" t="str">
        <f>"1552376950910007"</f>
        <v>1552376950910007</v>
      </c>
      <c r="C3766" t="s">
        <v>40</v>
      </c>
      <c r="D3766">
        <v>4.7543049999999996</v>
      </c>
      <c r="E3766">
        <v>0.52453669999999997</v>
      </c>
      <c r="F3766" t="s">
        <v>50</v>
      </c>
      <c r="G3766">
        <v>-212.25620000000001</v>
      </c>
      <c r="H3766" s="1">
        <v>-1.434135E-7</v>
      </c>
      <c r="I3766">
        <v>210.20740000000001</v>
      </c>
      <c r="J3766">
        <v>-242.07390000000001</v>
      </c>
      <c r="K3766">
        <v>1.109839</v>
      </c>
      <c r="L3766">
        <v>214.6508</v>
      </c>
      <c r="M3766">
        <v>0.99985429999999997</v>
      </c>
      <c r="N3766">
        <v>0</v>
      </c>
      <c r="O3766">
        <v>8.4627799999999996E-3</v>
      </c>
      <c r="P3766">
        <v>0.99656029999999995</v>
      </c>
      <c r="Q3766">
        <v>1.0817210000000001E-2</v>
      </c>
      <c r="R3766">
        <v>-8.2161880000000007E-2</v>
      </c>
      <c r="S3766">
        <v>2.975708</v>
      </c>
      <c r="T3766">
        <v>-0.1086762</v>
      </c>
      <c r="U3766">
        <v>-0.4346313</v>
      </c>
      <c r="V3766">
        <v>9.0594519999999998E-2</v>
      </c>
      <c r="W3766">
        <v>2.556553E-2</v>
      </c>
      <c r="X3766">
        <v>0.99555959999999999</v>
      </c>
      <c r="Y3766">
        <v>0.1527907</v>
      </c>
      <c r="Z3766">
        <v>-3.0818260000000002E-3</v>
      </c>
      <c r="AA3766">
        <v>0.98825379999999996</v>
      </c>
      <c r="AB3766">
        <v>37</v>
      </c>
      <c r="AC3766">
        <v>29.817699999999999</v>
      </c>
      <c r="AD3766">
        <v>-1.1098391434135</v>
      </c>
      <c r="AE3766">
        <v>-4.4433999999999898</v>
      </c>
      <c r="AF3766">
        <v>4.6892539023673701</v>
      </c>
      <c r="AG3766">
        <v>-1.1098391434135</v>
      </c>
      <c r="AH3766">
        <v>29.7387196752417</v>
      </c>
      <c r="AI3766">
        <v>92.111206754179094</v>
      </c>
      <c r="AJ3766">
        <v>81.039279169584503</v>
      </c>
      <c r="AK3766">
        <v>30.126604405537101</v>
      </c>
      <c r="AL3766">
        <v>88.535043331188604</v>
      </c>
      <c r="AM3766">
        <v>84.800485237336503</v>
      </c>
      <c r="AN3766">
        <v>0.99999994026518302</v>
      </c>
    </row>
    <row r="3767" spans="1:40" x14ac:dyDescent="0.25">
      <c r="A3767" t="str">
        <f>"20190312154910943"</f>
        <v>20190312154910943</v>
      </c>
      <c r="B3767" t="str">
        <f>"1552376950939289"</f>
        <v>1552376950939289</v>
      </c>
      <c r="C3767" t="s">
        <v>40</v>
      </c>
      <c r="D3767">
        <v>4.7276910000000001</v>
      </c>
      <c r="E3767">
        <v>0.52475349999999998</v>
      </c>
      <c r="F3767" t="s">
        <v>50</v>
      </c>
      <c r="G3767">
        <v>-212.35059999999999</v>
      </c>
      <c r="H3767" s="1">
        <v>-9.6836189999999995E-8</v>
      </c>
      <c r="I3767">
        <v>210.29060000000001</v>
      </c>
      <c r="J3767">
        <v>-241.71459999999999</v>
      </c>
      <c r="K3767">
        <v>1.109842</v>
      </c>
      <c r="L3767">
        <v>214.65389999999999</v>
      </c>
      <c r="M3767">
        <v>0.99985460000000004</v>
      </c>
      <c r="N3767">
        <v>0</v>
      </c>
      <c r="O3767">
        <v>8.4627839999999992E-3</v>
      </c>
      <c r="P3767">
        <v>0.99654160000000003</v>
      </c>
      <c r="Q3767">
        <v>1.118502E-2</v>
      </c>
      <c r="R3767">
        <v>-8.234271E-2</v>
      </c>
      <c r="S3767">
        <v>2.975571</v>
      </c>
      <c r="T3767">
        <v>-0.1111047</v>
      </c>
      <c r="U3767">
        <v>-0.43649290000000002</v>
      </c>
      <c r="V3767">
        <v>9.0775010000000003E-2</v>
      </c>
      <c r="W3767">
        <v>2.5932569999999999E-2</v>
      </c>
      <c r="X3767">
        <v>0.99553369999999997</v>
      </c>
      <c r="Y3767">
        <v>0.15339729999999999</v>
      </c>
      <c r="Z3767">
        <v>-3.1619109999999999E-3</v>
      </c>
      <c r="AA3767">
        <v>0.98815949999999997</v>
      </c>
      <c r="AB3767">
        <v>37</v>
      </c>
      <c r="AC3767">
        <v>29.364000000000001</v>
      </c>
      <c r="AD3767">
        <v>-1.10984209683619</v>
      </c>
      <c r="AE3767">
        <v>-4.3632999999999802</v>
      </c>
      <c r="AF3767">
        <v>4.6052355054011098</v>
      </c>
      <c r="AG3767">
        <v>-1.10984209683619</v>
      </c>
      <c r="AH3767">
        <v>29.285087417120501</v>
      </c>
      <c r="AI3767">
        <v>92.144025573466706</v>
      </c>
      <c r="AJ3767">
        <v>81.063122194175705</v>
      </c>
      <c r="AK3767">
        <v>29.665742676840399</v>
      </c>
      <c r="AL3767">
        <v>88.514006562380999</v>
      </c>
      <c r="AM3767">
        <v>84.790048481949498</v>
      </c>
      <c r="AN3767">
        <v>0.999999974231497</v>
      </c>
    </row>
    <row r="3768" spans="1:40" x14ac:dyDescent="0.25">
      <c r="A3768" t="str">
        <f>"20190312154910966"</f>
        <v>20190312154910966</v>
      </c>
      <c r="B3768" t="str">
        <f>"1552376950959783"</f>
        <v>1552376950959783</v>
      </c>
      <c r="C3768" t="s">
        <v>40</v>
      </c>
      <c r="D3768">
        <v>4.7127270000000001</v>
      </c>
      <c r="E3768">
        <v>0.52491219999999905</v>
      </c>
      <c r="F3768" t="s">
        <v>50</v>
      </c>
      <c r="G3768">
        <v>-212.61410000000001</v>
      </c>
      <c r="H3768" s="1">
        <v>4.0151819999999997E-8</v>
      </c>
      <c r="I3768">
        <v>210.36439999999999</v>
      </c>
      <c r="J3768">
        <v>-241.34639999999999</v>
      </c>
      <c r="K3768">
        <v>1.1098460000000001</v>
      </c>
      <c r="L3768">
        <v>214.65700000000001</v>
      </c>
      <c r="M3768">
        <v>0.99985460000000004</v>
      </c>
      <c r="N3768">
        <v>0</v>
      </c>
      <c r="O3768">
        <v>8.4626130000000008E-3</v>
      </c>
      <c r="P3768">
        <v>0.99657499999999999</v>
      </c>
      <c r="Q3768">
        <v>1.154725E-2</v>
      </c>
      <c r="R3768">
        <v>-8.1883880000000006E-2</v>
      </c>
      <c r="S3768">
        <v>2.9754489999999998</v>
      </c>
      <c r="T3768">
        <v>-0.11347839999999999</v>
      </c>
      <c r="U3768">
        <v>-0.43858340000000001</v>
      </c>
      <c r="V3768">
        <v>9.0316590000000002E-2</v>
      </c>
      <c r="W3768">
        <v>2.6294359999999999E-2</v>
      </c>
      <c r="X3768">
        <v>0.99556599999999995</v>
      </c>
      <c r="Y3768">
        <v>0.1540773</v>
      </c>
      <c r="Z3768">
        <v>-3.2422689999999999E-3</v>
      </c>
      <c r="AA3768">
        <v>0.98805350000000003</v>
      </c>
      <c r="AB3768">
        <v>37</v>
      </c>
      <c r="AC3768">
        <v>28.732299999999899</v>
      </c>
      <c r="AD3768">
        <v>-1.10984595984817</v>
      </c>
      <c r="AE3768">
        <v>-4.2926000000000197</v>
      </c>
      <c r="AF3768">
        <v>4.5290132426542504</v>
      </c>
      <c r="AG3768">
        <v>-1.10984595984817</v>
      </c>
      <c r="AH3768">
        <v>28.653121709253099</v>
      </c>
      <c r="AI3768">
        <v>92.191003494051103</v>
      </c>
      <c r="AJ3768">
        <v>81.017938363560901</v>
      </c>
      <c r="AK3768">
        <v>29.0300723852353</v>
      </c>
      <c r="AL3768">
        <v>88.493270594790502</v>
      </c>
      <c r="AM3768">
        <v>84.816382654796698</v>
      </c>
      <c r="AN3768">
        <v>1.0000000700765099</v>
      </c>
    </row>
    <row r="3769" spans="1:40" x14ac:dyDescent="0.25">
      <c r="A3769" t="str">
        <f>"20190312154910989"</f>
        <v>20190312154910989</v>
      </c>
      <c r="B3769" t="str">
        <f>"1552376950979304"</f>
        <v>1552376950979304</v>
      </c>
      <c r="C3769" t="s">
        <v>40</v>
      </c>
      <c r="D3769">
        <v>4.7541650000000004</v>
      </c>
      <c r="E3769">
        <v>0.52507389999999998</v>
      </c>
      <c r="F3769" t="s">
        <v>50</v>
      </c>
      <c r="G3769">
        <v>-212.56</v>
      </c>
      <c r="H3769" s="1">
        <v>9.0837200000000006E-9</v>
      </c>
      <c r="I3769">
        <v>210.41650000000001</v>
      </c>
      <c r="J3769">
        <v>-240.97720000000001</v>
      </c>
      <c r="K3769">
        <v>1.109842</v>
      </c>
      <c r="L3769">
        <v>214.6601</v>
      </c>
      <c r="M3769">
        <v>0.99985460000000004</v>
      </c>
      <c r="N3769">
        <v>0</v>
      </c>
      <c r="O3769">
        <v>8.4628020000000002E-3</v>
      </c>
      <c r="P3769">
        <v>0.9966161</v>
      </c>
      <c r="Q3769">
        <v>1.141821E-2</v>
      </c>
      <c r="R3769">
        <v>-8.1402649999999993E-2</v>
      </c>
      <c r="S3769">
        <v>2.9756320000000001</v>
      </c>
      <c r="T3769">
        <v>-0.1147239</v>
      </c>
      <c r="U3769">
        <v>-0.43833919999999998</v>
      </c>
      <c r="V3769">
        <v>8.9835849999999995E-2</v>
      </c>
      <c r="W3769">
        <v>2.616423E-2</v>
      </c>
      <c r="X3769">
        <v>0.99561290000000002</v>
      </c>
      <c r="Y3769">
        <v>0.15398689999999901</v>
      </c>
      <c r="Z3769">
        <v>-3.2759220000000001E-3</v>
      </c>
      <c r="AA3769">
        <v>0.98806740000000004</v>
      </c>
      <c r="AB3769">
        <v>37</v>
      </c>
      <c r="AC3769">
        <v>28.417200000000001</v>
      </c>
      <c r="AD3769">
        <v>-1.10984199091628</v>
      </c>
      <c r="AE3769">
        <v>-4.2435999999999803</v>
      </c>
      <c r="AF3769">
        <v>4.4772831977105101</v>
      </c>
      <c r="AG3769">
        <v>-1.10984199091628</v>
      </c>
      <c r="AH3769">
        <v>28.337983979077499</v>
      </c>
      <c r="AI3769">
        <v>92.215359988999893</v>
      </c>
      <c r="AJ3769">
        <v>81.021722353874495</v>
      </c>
      <c r="AK3769">
        <v>28.710958710495099</v>
      </c>
      <c r="AL3769">
        <v>88.500729025161206</v>
      </c>
      <c r="AM3769">
        <v>84.844066636178596</v>
      </c>
      <c r="AN3769">
        <v>1.00000004676156</v>
      </c>
    </row>
    <row r="3770" spans="1:40" x14ac:dyDescent="0.25">
      <c r="A3770" t="str">
        <f>"20190312154911010"</f>
        <v>20190312154911010</v>
      </c>
      <c r="B3770" t="str">
        <f>"1552376950999800"</f>
        <v>1552376950999800</v>
      </c>
      <c r="C3770" t="s">
        <v>40</v>
      </c>
      <c r="D3770">
        <v>4.6431259999999996</v>
      </c>
      <c r="E3770">
        <v>0.52532570000000001</v>
      </c>
      <c r="F3770" t="s">
        <v>50</v>
      </c>
      <c r="G3770">
        <v>-212.1833</v>
      </c>
      <c r="H3770" s="1">
        <v>-1.9154440000000001E-7</v>
      </c>
      <c r="I3770">
        <v>210.42</v>
      </c>
      <c r="J3770">
        <v>-240.61179999999999</v>
      </c>
      <c r="K3770">
        <v>1.1098440000000001</v>
      </c>
      <c r="L3770">
        <v>214.66319999999999</v>
      </c>
      <c r="M3770">
        <v>0.99985460000000004</v>
      </c>
      <c r="N3770">
        <v>0</v>
      </c>
      <c r="O3770">
        <v>8.4628159999999997E-3</v>
      </c>
      <c r="P3770">
        <v>0.99660680000000001</v>
      </c>
      <c r="Q3770">
        <v>1.103322E-2</v>
      </c>
      <c r="R3770">
        <v>-8.1568559999999998E-2</v>
      </c>
      <c r="S3770">
        <v>2.9756930000000001</v>
      </c>
      <c r="T3770">
        <v>-0.11469600000000001</v>
      </c>
      <c r="U3770">
        <v>-0.43818659999999998</v>
      </c>
      <c r="V3770">
        <v>9.0001739999999997E-2</v>
      </c>
      <c r="W3770">
        <v>2.5777169999999999E-2</v>
      </c>
      <c r="X3770">
        <v>0.99560800000000005</v>
      </c>
      <c r="Y3770">
        <v>0.1539345</v>
      </c>
      <c r="Z3770">
        <v>-3.27407E-3</v>
      </c>
      <c r="AA3770">
        <v>0.98807560000000005</v>
      </c>
      <c r="AB3770">
        <v>37</v>
      </c>
      <c r="AC3770">
        <v>28.4284999999999</v>
      </c>
      <c r="AD3770">
        <v>-1.1098441915443999</v>
      </c>
      <c r="AE3770">
        <v>-4.2431999999999999</v>
      </c>
      <c r="AF3770">
        <v>4.4769848345174896</v>
      </c>
      <c r="AG3770">
        <v>-1.1098441915443999</v>
      </c>
      <c r="AH3770">
        <v>28.349302554727299</v>
      </c>
      <c r="AI3770">
        <v>92.214505859919399</v>
      </c>
      <c r="AJ3770">
        <v>81.025836947279402</v>
      </c>
      <c r="AK3770">
        <v>28.7220838846604</v>
      </c>
      <c r="AL3770">
        <v>88.522913390570494</v>
      </c>
      <c r="AM3770">
        <v>84.8345719128355</v>
      </c>
      <c r="AN3770">
        <v>1.00000003268011</v>
      </c>
    </row>
    <row r="3771" spans="1:40" x14ac:dyDescent="0.25">
      <c r="A3771" t="str">
        <f>"20190312154911032"</f>
        <v>20190312154911032</v>
      </c>
      <c r="B3771" t="str">
        <f>"1552376951019320"</f>
        <v>1552376951019320</v>
      </c>
      <c r="C3771" t="s">
        <v>40</v>
      </c>
      <c r="D3771">
        <v>4.7184699999999999</v>
      </c>
      <c r="E3771">
        <v>0.52507729999999997</v>
      </c>
      <c r="F3771" t="s">
        <v>50</v>
      </c>
      <c r="G3771">
        <v>-211.8433</v>
      </c>
      <c r="H3771" s="1">
        <v>-3.7166170000000001E-7</v>
      </c>
      <c r="I3771">
        <v>210.40199999999999</v>
      </c>
      <c r="J3771">
        <v>-240.25700000000001</v>
      </c>
      <c r="K3771">
        <v>1.109842</v>
      </c>
      <c r="L3771">
        <v>214.6662</v>
      </c>
      <c r="M3771">
        <v>0.99985460000000004</v>
      </c>
      <c r="N3771">
        <v>0</v>
      </c>
      <c r="O3771">
        <v>8.4630109999999995E-3</v>
      </c>
      <c r="P3771">
        <v>0.99658630000000004</v>
      </c>
      <c r="Q3771">
        <v>1.1404839999999999E-2</v>
      </c>
      <c r="R3771">
        <v>-8.1765760000000007E-2</v>
      </c>
      <c r="S3771">
        <v>2.9754330000000002</v>
      </c>
      <c r="T3771">
        <v>-0.1147875</v>
      </c>
      <c r="U3771">
        <v>-0.44071959999999999</v>
      </c>
      <c r="V3771">
        <v>9.0198860000000006E-2</v>
      </c>
      <c r="W3771">
        <v>2.6146119999999998E-2</v>
      </c>
      <c r="X3771">
        <v>0.99558049999999998</v>
      </c>
      <c r="Y3771">
        <v>0.1547694</v>
      </c>
      <c r="Z3771">
        <v>-3.2927770000000002E-3</v>
      </c>
      <c r="AA3771">
        <v>0.98794510000000002</v>
      </c>
      <c r="AB3771">
        <v>37</v>
      </c>
      <c r="AC3771">
        <v>28.413699999999999</v>
      </c>
      <c r="AD3771">
        <v>-1.1098423716617001</v>
      </c>
      <c r="AE3771">
        <v>-4.2641999999999802</v>
      </c>
      <c r="AF3771">
        <v>4.4978279175025602</v>
      </c>
      <c r="AG3771">
        <v>-1.1098423716617001</v>
      </c>
      <c r="AH3771">
        <v>28.334313047258998</v>
      </c>
      <c r="AI3771">
        <v>92.2153925431614</v>
      </c>
      <c r="AJ3771">
        <v>80.980050511951205</v>
      </c>
      <c r="AK3771">
        <v>28.710546876112801</v>
      </c>
      <c r="AL3771">
        <v>88.501766926150296</v>
      </c>
      <c r="AM3771">
        <v>84.823177883035498</v>
      </c>
      <c r="AN3771">
        <v>0.999999992958302</v>
      </c>
    </row>
    <row r="3772" spans="1:40" x14ac:dyDescent="0.25">
      <c r="A3772" t="str">
        <f>"20190312154911055"</f>
        <v>20190312154911055</v>
      </c>
      <c r="B3772" t="str">
        <f>"1552376951049579"</f>
        <v>1552376951049579</v>
      </c>
      <c r="C3772" t="s">
        <v>40</v>
      </c>
      <c r="D3772">
        <v>4.6628879999999997</v>
      </c>
      <c r="E3772">
        <v>0.51372439999999997</v>
      </c>
      <c r="F3772" t="s">
        <v>50</v>
      </c>
      <c r="G3772">
        <v>-211.05080000000001</v>
      </c>
      <c r="H3772" s="1">
        <v>-7.9128459999999999E-7</v>
      </c>
      <c r="I3772">
        <v>210.35329999999999</v>
      </c>
      <c r="J3772">
        <v>-239.875</v>
      </c>
      <c r="K3772">
        <v>1.109845</v>
      </c>
      <c r="L3772">
        <v>214.6694</v>
      </c>
      <c r="M3772">
        <v>0.99985460000000004</v>
      </c>
      <c r="N3772">
        <v>0</v>
      </c>
      <c r="O3772">
        <v>8.4632100000000005E-3</v>
      </c>
      <c r="P3772">
        <v>0.99654620000000005</v>
      </c>
      <c r="Q3772">
        <v>1.1311969999999999E-2</v>
      </c>
      <c r="R3772">
        <v>-8.2268599999999997E-2</v>
      </c>
      <c r="S3772">
        <v>2.9755099999999999</v>
      </c>
      <c r="T3772">
        <v>-0.11307</v>
      </c>
      <c r="U3772">
        <v>-0.43939210000000001</v>
      </c>
      <c r="V3772">
        <v>9.0701359999999995E-2</v>
      </c>
      <c r="W3772">
        <v>2.604983E-2</v>
      </c>
      <c r="X3772">
        <v>0.99553740000000002</v>
      </c>
      <c r="Y3772">
        <v>0.15433839999999999</v>
      </c>
      <c r="Z3772">
        <v>-3.2354340000000001E-3</v>
      </c>
      <c r="AA3772">
        <v>0.98801269999999997</v>
      </c>
      <c r="AB3772">
        <v>37</v>
      </c>
      <c r="AC3772">
        <v>28.824199999999902</v>
      </c>
      <c r="AD3772">
        <v>-1.1098457912846</v>
      </c>
      <c r="AE3772">
        <v>-4.3160999999999996</v>
      </c>
      <c r="AF3772">
        <v>4.5533148841864497</v>
      </c>
      <c r="AG3772">
        <v>-1.1098457912846</v>
      </c>
      <c r="AH3772">
        <v>28.7449540096374</v>
      </c>
      <c r="AI3772">
        <v>92.183895625234399</v>
      </c>
      <c r="AJ3772">
        <v>80.998908318090798</v>
      </c>
      <c r="AK3772">
        <v>29.124505405777398</v>
      </c>
      <c r="AL3772">
        <v>88.507285860808196</v>
      </c>
      <c r="AM3772">
        <v>84.794271565762003</v>
      </c>
      <c r="AN3772">
        <v>1.0000000225738099</v>
      </c>
    </row>
    <row r="3773" spans="1:40" x14ac:dyDescent="0.25">
      <c r="A3773" t="str">
        <f>"20190312154911076"</f>
        <v>20190312154911076</v>
      </c>
      <c r="B3773" t="str">
        <f>"1552376951070072"</f>
        <v>1552376951070072</v>
      </c>
      <c r="C3773" t="s">
        <v>40</v>
      </c>
      <c r="D3773">
        <v>4.6623519999999896</v>
      </c>
      <c r="E3773">
        <v>0.51413149999999996</v>
      </c>
      <c r="F3773" t="s">
        <v>49</v>
      </c>
      <c r="G3773">
        <v>-203.62979999999999</v>
      </c>
      <c r="H3773" s="1">
        <v>4.1951419999999998E-6</v>
      </c>
      <c r="I3773">
        <v>210.4014</v>
      </c>
      <c r="J3773">
        <v>-239.52930000000001</v>
      </c>
      <c r="K3773">
        <v>1.1098429999999999</v>
      </c>
      <c r="L3773">
        <v>214.67240000000001</v>
      </c>
      <c r="M3773">
        <v>0.99985460000000004</v>
      </c>
      <c r="N3773">
        <v>0</v>
      </c>
      <c r="O3773">
        <v>8.4632300000000004E-3</v>
      </c>
      <c r="P3773">
        <v>0.99652030000000003</v>
      </c>
      <c r="Q3773">
        <v>1.158329E-2</v>
      </c>
      <c r="R3773">
        <v>-8.2539100000000004E-2</v>
      </c>
      <c r="S3773">
        <v>2.982437</v>
      </c>
      <c r="T3773">
        <v>-9.1323379999999996E-2</v>
      </c>
      <c r="U3773">
        <v>-0.35119630000000002</v>
      </c>
      <c r="V3773">
        <v>9.0971979999999994E-2</v>
      </c>
      <c r="W3773">
        <v>2.6317719999999999E-2</v>
      </c>
      <c r="X3773">
        <v>0.99550559999999999</v>
      </c>
      <c r="Y3773">
        <v>0.1252868</v>
      </c>
      <c r="Z3773">
        <v>-2.1693720000000001E-3</v>
      </c>
      <c r="AA3773">
        <v>0.99211819999999895</v>
      </c>
      <c r="AB3773">
        <v>37</v>
      </c>
      <c r="AC3773">
        <v>35.899500000000003</v>
      </c>
      <c r="AD3773">
        <v>-1.1098388048579999</v>
      </c>
      <c r="AE3773">
        <v>-4.2710000000000097</v>
      </c>
      <c r="AF3773">
        <v>4.5703988474219699</v>
      </c>
      <c r="AG3773">
        <v>-1.1098388048579999</v>
      </c>
      <c r="AH3773">
        <v>35.828298722114702</v>
      </c>
      <c r="AI3773">
        <v>91.760007924297895</v>
      </c>
      <c r="AJ3773">
        <v>82.730386850817695</v>
      </c>
      <c r="AK3773">
        <v>36.135678727794399</v>
      </c>
      <c r="AL3773">
        <v>88.491931538476607</v>
      </c>
      <c r="AM3773">
        <v>84.778659413575696</v>
      </c>
      <c r="AN3773">
        <v>0.99999996158123805</v>
      </c>
    </row>
    <row r="3774" spans="1:40" x14ac:dyDescent="0.25">
      <c r="A3774" t="str">
        <f>"20190312154911100"</f>
        <v>20190312154911100</v>
      </c>
      <c r="B3774" t="str">
        <f>"1552376951089592"</f>
        <v>1552376951089592</v>
      </c>
      <c r="C3774" t="s">
        <v>40</v>
      </c>
      <c r="D3774">
        <v>4.6118240000000004</v>
      </c>
      <c r="E3774">
        <v>0.51450609999999997</v>
      </c>
      <c r="F3774" t="s">
        <v>49</v>
      </c>
      <c r="G3774">
        <v>-203.51609999999999</v>
      </c>
      <c r="H3774" s="1">
        <v>4.1464480000000003E-6</v>
      </c>
      <c r="I3774">
        <v>210.38130000000001</v>
      </c>
      <c r="J3774">
        <v>-239.14349999999999</v>
      </c>
      <c r="K3774">
        <v>1.10985</v>
      </c>
      <c r="L3774">
        <v>214.6756</v>
      </c>
      <c r="M3774">
        <v>0.99985469999999999</v>
      </c>
      <c r="N3774">
        <v>0</v>
      </c>
      <c r="O3774">
        <v>8.4632539999999999E-3</v>
      </c>
      <c r="P3774">
        <v>0.99650249999999996</v>
      </c>
      <c r="Q3774">
        <v>1.147575E-2</v>
      </c>
      <c r="R3774">
        <v>-8.2771990000000004E-2</v>
      </c>
      <c r="S3774">
        <v>2.982132</v>
      </c>
      <c r="T3774">
        <v>-9.1901780000000002E-2</v>
      </c>
      <c r="U3774">
        <v>-0.35533140000000002</v>
      </c>
      <c r="V3774">
        <v>9.1204610000000005E-2</v>
      </c>
      <c r="W3774">
        <v>2.620666E-2</v>
      </c>
      <c r="X3774">
        <v>0.99548729999999996</v>
      </c>
      <c r="Y3774">
        <v>0.12665380000000001</v>
      </c>
      <c r="Z3774">
        <v>-2.2041349999999999E-3</v>
      </c>
      <c r="AA3774">
        <v>0.99194459999999995</v>
      </c>
      <c r="AB3774">
        <v>37</v>
      </c>
      <c r="AC3774">
        <v>35.627399999999902</v>
      </c>
      <c r="AD3774">
        <v>-1.1098458535519999</v>
      </c>
      <c r="AE3774">
        <v>-4.29429999999999</v>
      </c>
      <c r="AF3774">
        <v>4.5913112518586203</v>
      </c>
      <c r="AG3774">
        <v>-1.1098458535519999</v>
      </c>
      <c r="AH3774">
        <v>35.555766321261601</v>
      </c>
      <c r="AI3774">
        <v>91.773150526767694</v>
      </c>
      <c r="AJ3774">
        <v>82.642119913025198</v>
      </c>
      <c r="AK3774">
        <v>35.868153221517403</v>
      </c>
      <c r="AL3774">
        <v>88.498297087037997</v>
      </c>
      <c r="AM3774">
        <v>84.765285991561001</v>
      </c>
      <c r="AN3774">
        <v>1.0000000171874399</v>
      </c>
    </row>
    <row r="3775" spans="1:40" x14ac:dyDescent="0.25">
      <c r="A3775" t="str">
        <f>"20190312154911123"</f>
        <v>20190312154911123</v>
      </c>
      <c r="B3775" t="str">
        <f>"1552376951109622"</f>
        <v>1552376951109622</v>
      </c>
      <c r="C3775" t="s">
        <v>40</v>
      </c>
      <c r="D3775">
        <v>4.5893680000000003</v>
      </c>
      <c r="E3775">
        <v>0.51489510000000005</v>
      </c>
      <c r="F3775" t="s">
        <v>49</v>
      </c>
      <c r="G3775">
        <v>-202.4494</v>
      </c>
      <c r="H3775" s="1">
        <v>3.684443E-6</v>
      </c>
      <c r="I3775">
        <v>210.25550000000001</v>
      </c>
      <c r="J3775">
        <v>-238.78309999999999</v>
      </c>
      <c r="K3775">
        <v>1.1098490000000001</v>
      </c>
      <c r="L3775">
        <v>214.67869999999999</v>
      </c>
      <c r="M3775">
        <v>0.99985469999999999</v>
      </c>
      <c r="N3775">
        <v>0</v>
      </c>
      <c r="O3775">
        <v>8.463277E-3</v>
      </c>
      <c r="P3775">
        <v>0.99649920000000003</v>
      </c>
      <c r="Q3775">
        <v>1.19008E-2</v>
      </c>
      <c r="R3775">
        <v>-8.2752389999999995E-2</v>
      </c>
      <c r="S3775">
        <v>2.981735</v>
      </c>
      <c r="T3775">
        <v>-9.0185399999999999E-2</v>
      </c>
      <c r="U3775">
        <v>-0.35917660000000001</v>
      </c>
      <c r="V3775">
        <v>9.1185000000000002E-2</v>
      </c>
      <c r="W3775">
        <v>2.6628510000000001E-2</v>
      </c>
      <c r="X3775">
        <v>0.99547790000000003</v>
      </c>
      <c r="Y3775">
        <v>0.12793209999999999</v>
      </c>
      <c r="Z3775">
        <v>-2.1823680000000001E-3</v>
      </c>
      <c r="AA3775">
        <v>0.99178049999999995</v>
      </c>
      <c r="AB3775">
        <v>37</v>
      </c>
      <c r="AC3775">
        <v>36.333699999999901</v>
      </c>
      <c r="AD3775">
        <v>-1.1098453155570001</v>
      </c>
      <c r="AE3775">
        <v>-4.42319999999998</v>
      </c>
      <c r="AF3775">
        <v>4.7262319709304697</v>
      </c>
      <c r="AG3775">
        <v>-1.1098453155570001</v>
      </c>
      <c r="AH3775">
        <v>36.2616197294495</v>
      </c>
      <c r="AI3775">
        <v>91.738388078870301</v>
      </c>
      <c r="AJ3775">
        <v>82.574098979102402</v>
      </c>
      <c r="AK3775">
        <v>36.585162165428599</v>
      </c>
      <c r="AL3775">
        <v>88.474118421750106</v>
      </c>
      <c r="AM3775">
        <v>84.766356117294606</v>
      </c>
      <c r="AN3775">
        <v>1.00000001557911</v>
      </c>
    </row>
    <row r="3776" spans="1:40" x14ac:dyDescent="0.25">
      <c r="A3776" t="str">
        <f>"20190312154911145"</f>
        <v>20190312154911145</v>
      </c>
      <c r="B3776" t="str">
        <f>"1552376951139877"</f>
        <v>1552376951139877</v>
      </c>
      <c r="C3776" t="s">
        <v>40</v>
      </c>
      <c r="D3776">
        <v>4.5807349999999998</v>
      </c>
      <c r="E3776">
        <v>0.51541939999999997</v>
      </c>
      <c r="F3776" t="s">
        <v>49</v>
      </c>
      <c r="G3776">
        <v>-201.62629999999999</v>
      </c>
      <c r="H3776" s="1">
        <v>3.3273139999999999E-6</v>
      </c>
      <c r="I3776">
        <v>210.1653</v>
      </c>
      <c r="J3776">
        <v>-238.4171</v>
      </c>
      <c r="K3776">
        <v>1.10985</v>
      </c>
      <c r="L3776">
        <v>214.68180000000001</v>
      </c>
      <c r="M3776">
        <v>0.99985489999999999</v>
      </c>
      <c r="N3776">
        <v>0</v>
      </c>
      <c r="O3776">
        <v>8.463122E-3</v>
      </c>
      <c r="P3776">
        <v>0.996502</v>
      </c>
      <c r="Q3776">
        <v>1.209317E-2</v>
      </c>
      <c r="R3776">
        <v>-8.2691169999999994E-2</v>
      </c>
      <c r="S3776">
        <v>2.9815369999999999</v>
      </c>
      <c r="T3776">
        <v>-8.9056369999999996E-2</v>
      </c>
      <c r="U3776">
        <v>-0.36216739999999997</v>
      </c>
      <c r="V3776">
        <v>9.1123800000000005E-2</v>
      </c>
      <c r="W3776">
        <v>2.6817750000000001E-2</v>
      </c>
      <c r="X3776">
        <v>0.99547839999999999</v>
      </c>
      <c r="Y3776">
        <v>0.12892129999999999</v>
      </c>
      <c r="Z3776">
        <v>-2.1697830000000002E-3</v>
      </c>
      <c r="AA3776">
        <v>0.99165250000000005</v>
      </c>
      <c r="AB3776">
        <v>36</v>
      </c>
      <c r="AC3776">
        <v>36.790799999999997</v>
      </c>
      <c r="AD3776">
        <v>-1.1098466726859999</v>
      </c>
      <c r="AE3776">
        <v>-4.5164999999999997</v>
      </c>
      <c r="AF3776">
        <v>4.8234130752959103</v>
      </c>
      <c r="AG3776">
        <v>-1.1098466726859999</v>
      </c>
      <c r="AH3776">
        <v>36.718336193123797</v>
      </c>
      <c r="AI3776">
        <v>91.716554137288995</v>
      </c>
      <c r="AJ3776">
        <v>82.516332190961705</v>
      </c>
      <c r="AK3776">
        <v>37.050415464918501</v>
      </c>
      <c r="AL3776">
        <v>88.463271858383095</v>
      </c>
      <c r="AM3776">
        <v>84.769851870922494</v>
      </c>
      <c r="AN3776">
        <v>0.99999999175403098</v>
      </c>
    </row>
    <row r="3777" spans="1:40" x14ac:dyDescent="0.25">
      <c r="A3777" t="str">
        <f>"20190312154911167"</f>
        <v>20190312154911167</v>
      </c>
      <c r="B3777" t="str">
        <f>"1552376951159396"</f>
        <v>1552376951159396</v>
      </c>
      <c r="C3777" t="s">
        <v>40</v>
      </c>
      <c r="D3777">
        <v>4.5679259999999999</v>
      </c>
      <c r="E3777">
        <v>0.51563049999999999</v>
      </c>
      <c r="F3777" t="s">
        <v>49</v>
      </c>
      <c r="G3777">
        <v>-200.58869999999999</v>
      </c>
      <c r="H3777" s="1">
        <v>2.8785960000000002E-6</v>
      </c>
      <c r="I3777">
        <v>210.03450000000001</v>
      </c>
      <c r="J3777">
        <v>-238.0558</v>
      </c>
      <c r="K3777">
        <v>1.1098600000000001</v>
      </c>
      <c r="L3777">
        <v>214.6849</v>
      </c>
      <c r="M3777">
        <v>0.99985489999999999</v>
      </c>
      <c r="N3777">
        <v>0</v>
      </c>
      <c r="O3777">
        <v>8.4631459999999995E-3</v>
      </c>
      <c r="P3777">
        <v>0.99647960000000002</v>
      </c>
      <c r="Q3777">
        <v>1.201727E-2</v>
      </c>
      <c r="R3777">
        <v>-8.2972089999999998E-2</v>
      </c>
      <c r="S3777">
        <v>2.9811709999999998</v>
      </c>
      <c r="T3777">
        <v>-8.7464449999999999E-2</v>
      </c>
      <c r="U3777">
        <v>-0.3662415</v>
      </c>
      <c r="V3777">
        <v>9.1404239999999998E-2</v>
      </c>
      <c r="W3777">
        <v>2.6738140000000001E-2</v>
      </c>
      <c r="X3777">
        <v>0.99545479999999997</v>
      </c>
      <c r="Y3777">
        <v>0.13027259999999999</v>
      </c>
      <c r="Z3777">
        <v>-2.1508439999999998E-3</v>
      </c>
      <c r="AA3777">
        <v>0.99147589999999997</v>
      </c>
      <c r="AB3777">
        <v>36</v>
      </c>
      <c r="AC3777">
        <v>37.467100000000002</v>
      </c>
      <c r="AD3777">
        <v>-1.1098571214040001</v>
      </c>
      <c r="AE3777">
        <v>-4.6503999999999897</v>
      </c>
      <c r="AF3777">
        <v>4.9630687244305296</v>
      </c>
      <c r="AG3777">
        <v>-1.1098571214040001</v>
      </c>
      <c r="AH3777">
        <v>37.394082091226501</v>
      </c>
      <c r="AI3777">
        <v>91.685270829408793</v>
      </c>
      <c r="AJ3777">
        <v>82.439697047367403</v>
      </c>
      <c r="AK3777">
        <v>37.738325472107803</v>
      </c>
      <c r="AL3777">
        <v>88.467834764591501</v>
      </c>
      <c r="AM3777">
        <v>84.753721712632498</v>
      </c>
      <c r="AN3777">
        <v>0.99999996103183797</v>
      </c>
    </row>
    <row r="3778" spans="1:40" x14ac:dyDescent="0.25">
      <c r="A3778" t="str">
        <f>"20190312154911189"</f>
        <v>20190312154911189</v>
      </c>
      <c r="B3778" t="str">
        <f>"1552376951179893"</f>
        <v>1552376951179893</v>
      </c>
      <c r="C3778" t="s">
        <v>40</v>
      </c>
      <c r="D3778">
        <v>4.5642290000000001</v>
      </c>
      <c r="E3778">
        <v>0.51570249999999995</v>
      </c>
      <c r="F3778" t="s">
        <v>49</v>
      </c>
      <c r="G3778">
        <v>-200.36359999999999</v>
      </c>
      <c r="H3778" s="1">
        <v>2.779768E-6</v>
      </c>
      <c r="I3778">
        <v>210.02330000000001</v>
      </c>
      <c r="J3778">
        <v>-237.7046</v>
      </c>
      <c r="K3778">
        <v>1.109861</v>
      </c>
      <c r="L3778">
        <v>214.68780000000001</v>
      </c>
      <c r="M3778">
        <v>0.99985500000000005</v>
      </c>
      <c r="N3778">
        <v>0</v>
      </c>
      <c r="O3778">
        <v>8.4631700000000008E-3</v>
      </c>
      <c r="P3778">
        <v>0.99643280000000001</v>
      </c>
      <c r="Q3778">
        <v>1.21692E-2</v>
      </c>
      <c r="R3778">
        <v>-8.3510280000000006E-2</v>
      </c>
      <c r="S3778">
        <v>2.980972</v>
      </c>
      <c r="T3778">
        <v>-8.7775710000000007E-2</v>
      </c>
      <c r="U3778">
        <v>-0.36866759999999998</v>
      </c>
      <c r="V3778">
        <v>9.1942120000000002E-2</v>
      </c>
      <c r="W3778">
        <v>2.6886380000000001E-2</v>
      </c>
      <c r="X3778">
        <v>0.99540130000000004</v>
      </c>
      <c r="Y3778">
        <v>0.13107469999999999</v>
      </c>
      <c r="Z3778">
        <v>-2.1702919999999999E-3</v>
      </c>
      <c r="AA3778">
        <v>0.99137010000000003</v>
      </c>
      <c r="AB3778">
        <v>36</v>
      </c>
      <c r="AC3778">
        <v>37.341000000000001</v>
      </c>
      <c r="AD3778">
        <v>-1.109858220232</v>
      </c>
      <c r="AE3778">
        <v>-4.6645000000000003</v>
      </c>
      <c r="AF3778">
        <v>4.9760622805175796</v>
      </c>
      <c r="AG3778">
        <v>-1.109858220232</v>
      </c>
      <c r="AH3778">
        <v>37.267764697276803</v>
      </c>
      <c r="AI3778">
        <v>91.690804830713503</v>
      </c>
      <c r="AJ3778">
        <v>82.394742247906393</v>
      </c>
      <c r="AK3778">
        <v>37.614880919925803</v>
      </c>
      <c r="AL3778">
        <v>88.459338227058097</v>
      </c>
      <c r="AM3778">
        <v>84.722741075137094</v>
      </c>
      <c r="AN3778">
        <v>0.99999998945064394</v>
      </c>
    </row>
    <row r="3779" spans="1:40" x14ac:dyDescent="0.25">
      <c r="A3779" t="str">
        <f>"20190312154911212"</f>
        <v>20190312154911212</v>
      </c>
      <c r="B3779" t="str">
        <f>"1552376951199412"</f>
        <v>1552376951199412</v>
      </c>
      <c r="C3779" t="s">
        <v>40</v>
      </c>
      <c r="D3779">
        <v>4.5487169999999999</v>
      </c>
      <c r="E3779">
        <v>0.5158102</v>
      </c>
      <c r="F3779" t="s">
        <v>49</v>
      </c>
      <c r="G3779">
        <v>-199.50450000000001</v>
      </c>
      <c r="H3779" s="1">
        <v>2.6877320000000002E-6</v>
      </c>
      <c r="I3779">
        <v>209.93709999999999</v>
      </c>
      <c r="J3779">
        <v>-237.33969999999999</v>
      </c>
      <c r="K3779">
        <v>1.109864</v>
      </c>
      <c r="L3779">
        <v>214.6909</v>
      </c>
      <c r="M3779">
        <v>0.99985500000000005</v>
      </c>
      <c r="N3779">
        <v>0</v>
      </c>
      <c r="O3779">
        <v>8.4631959999999992E-3</v>
      </c>
      <c r="P3779">
        <v>0.99639239999999996</v>
      </c>
      <c r="Q3779">
        <v>1.238536E-2</v>
      </c>
      <c r="R3779">
        <v>-8.3958519999999995E-2</v>
      </c>
      <c r="S3779">
        <v>2.980728</v>
      </c>
      <c r="T3779">
        <v>-8.6601499999999998E-2</v>
      </c>
      <c r="U3779">
        <v>-0.370697</v>
      </c>
      <c r="V3779">
        <v>9.2390139999999996E-2</v>
      </c>
      <c r="W3779">
        <v>2.7098029999999999E-2</v>
      </c>
      <c r="X3779">
        <v>0.99535410000000002</v>
      </c>
      <c r="Y3779">
        <v>0.1317506</v>
      </c>
      <c r="Z3779">
        <v>-2.1511360000000001E-3</v>
      </c>
      <c r="AA3779">
        <v>0.99128059999999996</v>
      </c>
      <c r="AB3779">
        <v>36</v>
      </c>
      <c r="AC3779">
        <v>37.835199999999901</v>
      </c>
      <c r="AD3779">
        <v>-1.1098613122680001</v>
      </c>
      <c r="AE3779">
        <v>-4.7538000000000098</v>
      </c>
      <c r="AF3779">
        <v>5.0695768713486897</v>
      </c>
      <c r="AG3779">
        <v>-1.1098613122680001</v>
      </c>
      <c r="AH3779">
        <v>37.761619489116498</v>
      </c>
      <c r="AI3779">
        <v>91.668549170860899</v>
      </c>
      <c r="AJ3779">
        <v>82.353640687264303</v>
      </c>
      <c r="AK3779">
        <v>38.116562124984497</v>
      </c>
      <c r="AL3779">
        <v>88.447207191399997</v>
      </c>
      <c r="AM3779">
        <v>84.696922010041305</v>
      </c>
      <c r="AN3779">
        <v>1.00000001279295</v>
      </c>
    </row>
    <row r="3780" spans="1:40" x14ac:dyDescent="0.25">
      <c r="A3780" t="str">
        <f>"20190312154911233"</f>
        <v>20190312154911233</v>
      </c>
      <c r="B3780" t="str">
        <f>"1552376951219908"</f>
        <v>1552376951219908</v>
      </c>
      <c r="C3780" t="s">
        <v>40</v>
      </c>
      <c r="D3780">
        <v>4.533798</v>
      </c>
      <c r="E3780">
        <v>0.5159106</v>
      </c>
      <c r="F3780" t="s">
        <v>49</v>
      </c>
      <c r="G3780">
        <v>-199.2396</v>
      </c>
      <c r="H3780" s="1">
        <v>2.7357969999999998E-6</v>
      </c>
      <c r="I3780">
        <v>209.9248</v>
      </c>
      <c r="J3780">
        <v>-236.98259999999999</v>
      </c>
      <c r="K3780">
        <v>1.1098650000000001</v>
      </c>
      <c r="L3780">
        <v>214.69390000000001</v>
      </c>
      <c r="M3780">
        <v>0.99985500000000005</v>
      </c>
      <c r="N3780">
        <v>0</v>
      </c>
      <c r="O3780">
        <v>8.4632230000000006E-3</v>
      </c>
      <c r="P3780">
        <v>0.9963919</v>
      </c>
      <c r="Q3780">
        <v>1.265062E-2</v>
      </c>
      <c r="R3780">
        <v>-8.3925420000000001E-2</v>
      </c>
      <c r="S3780">
        <v>2.9805299999999999</v>
      </c>
      <c r="T3780">
        <v>-8.6823230000000001E-2</v>
      </c>
      <c r="U3780">
        <v>-0.37284850000000003</v>
      </c>
      <c r="V3780">
        <v>9.235691E-2</v>
      </c>
      <c r="W3780">
        <v>2.7359709999999999E-2</v>
      </c>
      <c r="X3780">
        <v>0.99534999999999996</v>
      </c>
      <c r="Y3780">
        <v>0.13246260000000001</v>
      </c>
      <c r="Z3780">
        <v>-2.1670180000000002E-3</v>
      </c>
      <c r="AA3780">
        <v>0.9911856</v>
      </c>
      <c r="AB3780">
        <v>36</v>
      </c>
      <c r="AC3780">
        <v>37.743000000000002</v>
      </c>
      <c r="AD3780">
        <v>-1.1098622642029901</v>
      </c>
      <c r="AE3780">
        <v>-4.7690999999999999</v>
      </c>
      <c r="AF3780">
        <v>5.0840643667716696</v>
      </c>
      <c r="AG3780">
        <v>-1.1098622642029901</v>
      </c>
      <c r="AH3780">
        <v>37.669220942943198</v>
      </c>
      <c r="AI3780">
        <v>91.672483274688503</v>
      </c>
      <c r="AJ3780">
        <v>82.313464989694396</v>
      </c>
      <c r="AK3780">
        <v>38.026960320005202</v>
      </c>
      <c r="AL3780">
        <v>88.432208431204103</v>
      </c>
      <c r="AM3780">
        <v>84.698796789683399</v>
      </c>
      <c r="AN3780">
        <v>0.999999987528016</v>
      </c>
    </row>
    <row r="3781" spans="1:40" x14ac:dyDescent="0.25">
      <c r="A3781" t="str">
        <f>"20190312154911256"</f>
        <v>20190312154911256</v>
      </c>
      <c r="B3781" t="str">
        <f>"1552376951249188"</f>
        <v>1552376951249188</v>
      </c>
      <c r="C3781" t="s">
        <v>40</v>
      </c>
      <c r="D3781">
        <v>4.5225269999999904</v>
      </c>
      <c r="E3781">
        <v>0.51600889999999999</v>
      </c>
      <c r="F3781" t="s">
        <v>49</v>
      </c>
      <c r="G3781">
        <v>-198.63159999999999</v>
      </c>
      <c r="H3781" s="1">
        <v>2.8469970000000001E-6</v>
      </c>
      <c r="I3781">
        <v>209.88650000000001</v>
      </c>
      <c r="J3781">
        <v>-236.61869999999999</v>
      </c>
      <c r="K3781">
        <v>1.1098680000000001</v>
      </c>
      <c r="L3781">
        <v>214.697</v>
      </c>
      <c r="M3781">
        <v>0.99985520000000006</v>
      </c>
      <c r="N3781">
        <v>0</v>
      </c>
      <c r="O3781">
        <v>8.4632500000000003E-3</v>
      </c>
      <c r="P3781">
        <v>0.99637339999999996</v>
      </c>
      <c r="Q3781">
        <v>1.2174559999999999E-2</v>
      </c>
      <c r="R3781">
        <v>-8.4215010000000007E-2</v>
      </c>
      <c r="S3781">
        <v>2.9804689999999998</v>
      </c>
      <c r="T3781">
        <v>-8.625352E-2</v>
      </c>
      <c r="U3781">
        <v>-0.37361149999999999</v>
      </c>
      <c r="V3781">
        <v>9.2646430000000002E-2</v>
      </c>
      <c r="W3781">
        <v>2.6879710000000001E-2</v>
      </c>
      <c r="X3781">
        <v>0.9953362</v>
      </c>
      <c r="Y3781">
        <v>0.13271569999999999</v>
      </c>
      <c r="Z3781">
        <v>-2.156462E-3</v>
      </c>
      <c r="AA3781">
        <v>0.99115180000000003</v>
      </c>
      <c r="AB3781">
        <v>36</v>
      </c>
      <c r="AC3781">
        <v>37.987099999999998</v>
      </c>
      <c r="AD3781">
        <v>-1.1098651530029999</v>
      </c>
      <c r="AE3781">
        <v>-4.8104999999999896</v>
      </c>
      <c r="AF3781">
        <v>5.1275491139625302</v>
      </c>
      <c r="AG3781">
        <v>-1.1098651530029999</v>
      </c>
      <c r="AH3781">
        <v>37.913169435704503</v>
      </c>
      <c r="AI3781">
        <v>91.661670848358895</v>
      </c>
      <c r="AJ3781">
        <v>82.297792417269605</v>
      </c>
      <c r="AK3781">
        <v>38.274429809395997</v>
      </c>
      <c r="AL3781">
        <v>88.459720568083995</v>
      </c>
      <c r="AM3781">
        <v>84.682200418732094</v>
      </c>
      <c r="AN3781">
        <v>1.0000000154159301</v>
      </c>
    </row>
    <row r="3782" spans="1:40" x14ac:dyDescent="0.25">
      <c r="A3782" t="str">
        <f>"20190312154911277"</f>
        <v>20190312154911277</v>
      </c>
      <c r="B3782" t="str">
        <f>"1552376951269685"</f>
        <v>1552376951269685</v>
      </c>
      <c r="C3782" t="s">
        <v>40</v>
      </c>
      <c r="D3782">
        <v>4.5192540000000001</v>
      </c>
      <c r="E3782">
        <v>0.5161135</v>
      </c>
      <c r="F3782" t="s">
        <v>49</v>
      </c>
      <c r="G3782">
        <v>-199.41929999999999</v>
      </c>
      <c r="H3782" s="1">
        <v>2.696325E-6</v>
      </c>
      <c r="I3782">
        <v>210.01159999999999</v>
      </c>
      <c r="J3782">
        <v>-236.26519999999999</v>
      </c>
      <c r="K3782">
        <v>1.109866</v>
      </c>
      <c r="L3782">
        <v>214.7</v>
      </c>
      <c r="M3782">
        <v>0.9998551</v>
      </c>
      <c r="N3782">
        <v>0</v>
      </c>
      <c r="O3782">
        <v>8.4634540000000005E-3</v>
      </c>
      <c r="P3782">
        <v>0.99634239999999996</v>
      </c>
      <c r="Q3782">
        <v>1.2326709999999999E-2</v>
      </c>
      <c r="R3782">
        <v>-8.4558750000000002E-2</v>
      </c>
      <c r="S3782">
        <v>2.980286</v>
      </c>
      <c r="T3782">
        <v>-8.8918689999999995E-2</v>
      </c>
      <c r="U3782">
        <v>-0.37538149999999998</v>
      </c>
      <c r="V3782">
        <v>9.299019E-2</v>
      </c>
      <c r="W3782">
        <v>2.702796E-2</v>
      </c>
      <c r="X3782">
        <v>0.99530010000000002</v>
      </c>
      <c r="Y3782">
        <v>0.1332989</v>
      </c>
      <c r="Z3782">
        <v>-2.23179E-3</v>
      </c>
      <c r="AA3782">
        <v>0.99107339999999999</v>
      </c>
      <c r="AB3782">
        <v>36</v>
      </c>
      <c r="AC3782">
        <v>36.8459</v>
      </c>
      <c r="AD3782">
        <v>-1.1098633036750001</v>
      </c>
      <c r="AE3782">
        <v>-4.6883999999999997</v>
      </c>
      <c r="AF3782">
        <v>4.9956492089943199</v>
      </c>
      <c r="AG3782">
        <v>-1.1098633036750001</v>
      </c>
      <c r="AH3782">
        <v>36.772063211111998</v>
      </c>
      <c r="AI3782">
        <v>91.713063500059505</v>
      </c>
      <c r="AJ3782">
        <v>82.263476366302299</v>
      </c>
      <c r="AK3782">
        <v>37.126445296771799</v>
      </c>
      <c r="AL3782">
        <v>88.451223338536806</v>
      </c>
      <c r="AM3782">
        <v>84.662390259245996</v>
      </c>
      <c r="AN3782">
        <v>0.99999998755900299</v>
      </c>
    </row>
    <row r="3783" spans="1:40" x14ac:dyDescent="0.25">
      <c r="A3783" t="str">
        <f>"20190312154911300"</f>
        <v>20190312154911300</v>
      </c>
      <c r="B3783" t="str">
        <f>"1552376951289205"</f>
        <v>1552376951289205</v>
      </c>
      <c r="C3783" t="s">
        <v>40</v>
      </c>
      <c r="D3783">
        <v>4.5018770000000004</v>
      </c>
      <c r="E3783">
        <v>0.51616099999999998</v>
      </c>
      <c r="F3783" t="s">
        <v>49</v>
      </c>
      <c r="G3783">
        <v>-199.1028</v>
      </c>
      <c r="H3783" s="1">
        <v>2.7539969999999999E-6</v>
      </c>
      <c r="I3783">
        <v>209.9941</v>
      </c>
      <c r="J3783">
        <v>-235.8946</v>
      </c>
      <c r="K3783">
        <v>1.109872</v>
      </c>
      <c r="L3783">
        <v>214.70310000000001</v>
      </c>
      <c r="M3783">
        <v>0.9998551</v>
      </c>
      <c r="N3783">
        <v>0</v>
      </c>
      <c r="O3783">
        <v>8.4634819999999996E-3</v>
      </c>
      <c r="P3783">
        <v>0.99634889999999998</v>
      </c>
      <c r="Q3783">
        <v>1.2575029999999999E-2</v>
      </c>
      <c r="R3783">
        <v>-8.4443439999999995E-2</v>
      </c>
      <c r="S3783">
        <v>2.9800719999999998</v>
      </c>
      <c r="T3783">
        <v>-8.9000460000000003E-2</v>
      </c>
      <c r="U3783">
        <v>-0.37736510000000001</v>
      </c>
      <c r="V3783">
        <v>9.2875020000000003E-2</v>
      </c>
      <c r="W3783">
        <v>2.7272959999999999E-2</v>
      </c>
      <c r="X3783">
        <v>0.99530419999999997</v>
      </c>
      <c r="Y3783">
        <v>0.13395670000000001</v>
      </c>
      <c r="Z3783">
        <v>-2.2436890000000001E-3</v>
      </c>
      <c r="AA3783">
        <v>0.99098470000000005</v>
      </c>
      <c r="AB3783">
        <v>36</v>
      </c>
      <c r="AC3783">
        <v>36.791800000000002</v>
      </c>
      <c r="AD3783">
        <v>-1.109869246003</v>
      </c>
      <c r="AE3783">
        <v>-4.7089999999999996</v>
      </c>
      <c r="AF3783">
        <v>5.0157612344241702</v>
      </c>
      <c r="AG3783">
        <v>-1.109869246003</v>
      </c>
      <c r="AH3783">
        <v>36.717748469761098</v>
      </c>
      <c r="AI3783">
        <v>91.715433531517803</v>
      </c>
      <c r="AJ3783">
        <v>82.221360081906397</v>
      </c>
      <c r="AK3783">
        <v>37.075365449211901</v>
      </c>
      <c r="AL3783">
        <v>88.437180741840606</v>
      </c>
      <c r="AM3783">
        <v>84.668984706423402</v>
      </c>
      <c r="AN3783">
        <v>1.0000000171123999</v>
      </c>
    </row>
    <row r="3784" spans="1:40" x14ac:dyDescent="0.25">
      <c r="A3784" t="str">
        <f>"20190312154911323"</f>
        <v>20190312154911323</v>
      </c>
      <c r="B3784" t="str">
        <f>"1552376951319461"</f>
        <v>1552376951319461</v>
      </c>
      <c r="C3784" t="s">
        <v>40</v>
      </c>
      <c r="D3784">
        <v>4.2622249999999999</v>
      </c>
      <c r="E3784">
        <v>0.52178069999999999</v>
      </c>
      <c r="F3784" t="s">
        <v>49</v>
      </c>
      <c r="G3784">
        <v>-198.74979999999999</v>
      </c>
      <c r="H3784" s="1">
        <v>2.815877E-6</v>
      </c>
      <c r="I3784">
        <v>210.0026</v>
      </c>
      <c r="J3784">
        <v>-235.53579999999999</v>
      </c>
      <c r="K3784">
        <v>1.10988</v>
      </c>
      <c r="L3784">
        <v>214.7062</v>
      </c>
      <c r="M3784">
        <v>0.9998553</v>
      </c>
      <c r="N3784">
        <v>0</v>
      </c>
      <c r="O3784">
        <v>8.4635079999999998E-3</v>
      </c>
      <c r="P3784">
        <v>0.99636190000000002</v>
      </c>
      <c r="Q3784">
        <v>1.3028639999999999E-2</v>
      </c>
      <c r="R3784">
        <v>-8.4221939999999995E-2</v>
      </c>
      <c r="S3784">
        <v>2.9801329999999999</v>
      </c>
      <c r="T3784">
        <v>-8.9044929999999994E-2</v>
      </c>
      <c r="U3784">
        <v>-0.37712099999999998</v>
      </c>
      <c r="V3784">
        <v>9.2653509999999994E-2</v>
      </c>
      <c r="W3784">
        <v>2.7722449999999999E-2</v>
      </c>
      <c r="X3784">
        <v>0.99531239999999999</v>
      </c>
      <c r="Y3784">
        <v>0.1338742</v>
      </c>
      <c r="Z3784">
        <v>-2.24355E-3</v>
      </c>
      <c r="AA3784">
        <v>0.99099579999999998</v>
      </c>
      <c r="AB3784">
        <v>36</v>
      </c>
      <c r="AC3784">
        <v>36.786000000000001</v>
      </c>
      <c r="AD3784">
        <v>-1.109877184123</v>
      </c>
      <c r="AE3784">
        <v>-4.70359999999999</v>
      </c>
      <c r="AF3784">
        <v>5.01031648051221</v>
      </c>
      <c r="AG3784">
        <v>-1.109877184123</v>
      </c>
      <c r="AH3784">
        <v>36.711987537233298</v>
      </c>
      <c r="AI3784">
        <v>91.715743985174399</v>
      </c>
      <c r="AJ3784">
        <v>82.2284963769266</v>
      </c>
      <c r="AK3784">
        <v>37.068924013689703</v>
      </c>
      <c r="AL3784">
        <v>88.411417077554503</v>
      </c>
      <c r="AM3784">
        <v>84.681669924672093</v>
      </c>
      <c r="AN3784">
        <v>0.99999999037154097</v>
      </c>
    </row>
    <row r="3785" spans="1:40" x14ac:dyDescent="0.25">
      <c r="A3785" t="str">
        <f>"20190312154911434"</f>
        <v>20190312154911434</v>
      </c>
      <c r="B3785" t="str">
        <f>"1552376951429753"</f>
        <v>1552376951429753</v>
      </c>
      <c r="C3785" t="s">
        <v>40</v>
      </c>
      <c r="D3785">
        <v>3.1919420000000001</v>
      </c>
      <c r="E3785">
        <v>0.53899269999999999</v>
      </c>
      <c r="F3785" t="s">
        <v>49</v>
      </c>
      <c r="G3785">
        <v>-200.32310000000001</v>
      </c>
      <c r="H3785" s="1">
        <v>2.7879329999999999E-6</v>
      </c>
      <c r="I3785">
        <v>209.7243</v>
      </c>
      <c r="J3785">
        <v>-233.74680000000001</v>
      </c>
      <c r="K3785">
        <v>1.1098939999999999</v>
      </c>
      <c r="L3785">
        <v>214.72130000000001</v>
      </c>
      <c r="M3785">
        <v>0.99985550000000001</v>
      </c>
      <c r="N3785">
        <v>0</v>
      </c>
      <c r="O3785">
        <v>8.4636469999999995E-3</v>
      </c>
      <c r="P3785">
        <v>0.99622460000000002</v>
      </c>
      <c r="Q3785">
        <v>1.552508E-2</v>
      </c>
      <c r="R3785">
        <v>-8.5414080000000003E-2</v>
      </c>
      <c r="S3785">
        <v>2.9765929999999998</v>
      </c>
      <c r="T3785">
        <v>-9.3819860000000005E-2</v>
      </c>
      <c r="U3785">
        <v>-0.42112729999999998</v>
      </c>
      <c r="V3785">
        <v>9.3844759999999999E-2</v>
      </c>
      <c r="W3785">
        <v>3.0198579999999999E-2</v>
      </c>
      <c r="X3785">
        <v>0.99512880000000004</v>
      </c>
      <c r="Y3785">
        <v>0.1483843</v>
      </c>
      <c r="Z3785">
        <v>-2.5917689999999998E-3</v>
      </c>
      <c r="AA3785">
        <v>0.98892639999999998</v>
      </c>
      <c r="AB3785">
        <v>36</v>
      </c>
      <c r="AC3785">
        <v>33.423699999999997</v>
      </c>
      <c r="AD3785">
        <v>-1.1098912120669999</v>
      </c>
      <c r="AE3785">
        <v>-4.9970000000000097</v>
      </c>
      <c r="AF3785">
        <v>5.2740496545487199</v>
      </c>
      <c r="AG3785">
        <v>-1.1098912120669999</v>
      </c>
      <c r="AH3785">
        <v>33.344240794584799</v>
      </c>
      <c r="AI3785">
        <v>91.883042546640496</v>
      </c>
      <c r="AJ3785">
        <v>81.012001189547803</v>
      </c>
      <c r="AK3785">
        <v>33.777001827108897</v>
      </c>
      <c r="AL3785">
        <v>88.269485831170698</v>
      </c>
      <c r="AM3785">
        <v>84.612703642015106</v>
      </c>
      <c r="AN3785">
        <v>1.0000000609014501</v>
      </c>
    </row>
    <row r="3786" spans="1:40" x14ac:dyDescent="0.25">
      <c r="A3786" t="str">
        <f>"20190312154911453"</f>
        <v>20190312154911453</v>
      </c>
      <c r="B3786" t="str">
        <f>"1552376951449268"</f>
        <v>1552376951449268</v>
      </c>
      <c r="C3786" t="s">
        <v>40</v>
      </c>
      <c r="D3786">
        <v>4.1758519999999999</v>
      </c>
      <c r="E3786">
        <v>0.54008230000000002</v>
      </c>
      <c r="F3786" t="s">
        <v>41</v>
      </c>
      <c r="G3786">
        <v>-232.93879999999999</v>
      </c>
      <c r="H3786">
        <v>0.84740459999999995</v>
      </c>
      <c r="I3786">
        <v>214.57740000000001</v>
      </c>
      <c r="J3786">
        <v>-233.45</v>
      </c>
      <c r="K3786">
        <v>1.109896</v>
      </c>
      <c r="L3786">
        <v>214.72380000000001</v>
      </c>
      <c r="M3786">
        <v>0.99985559999999996</v>
      </c>
      <c r="N3786">
        <v>0</v>
      </c>
      <c r="O3786">
        <v>8.4634930000000008E-3</v>
      </c>
      <c r="P3786">
        <v>0.99622889999999997</v>
      </c>
      <c r="Q3786">
        <v>1.5777989999999999E-2</v>
      </c>
      <c r="R3786">
        <v>-8.5319279999999997E-2</v>
      </c>
      <c r="S3786">
        <v>2.9810639999999999</v>
      </c>
      <c r="T3786">
        <v>-0.96845349999999997</v>
      </c>
      <c r="U3786">
        <v>-0.52957149999999997</v>
      </c>
      <c r="V3786">
        <v>9.3749840000000001E-2</v>
      </c>
      <c r="W3786">
        <v>3.0447849999999999E-2</v>
      </c>
      <c r="X3786">
        <v>0.99513010000000002</v>
      </c>
      <c r="Y3786">
        <v>0.1741182</v>
      </c>
      <c r="Z3786">
        <v>-3.003662E-2</v>
      </c>
      <c r="AA3786">
        <v>0.98426659999999999</v>
      </c>
      <c r="AB3786">
        <v>36</v>
      </c>
      <c r="AC3786">
        <v>0.51120000000000199</v>
      </c>
      <c r="AD3786">
        <v>-0.26249139999999899</v>
      </c>
      <c r="AE3786">
        <v>-0.146399999999999</v>
      </c>
      <c r="AF3786">
        <v>0.121190434335082</v>
      </c>
      <c r="AG3786">
        <v>-0.26249139999999899</v>
      </c>
      <c r="AH3786">
        <v>0.41002806445953099</v>
      </c>
      <c r="AI3786">
        <v>121.546782174516</v>
      </c>
      <c r="AJ3786">
        <v>73.534101972820906</v>
      </c>
      <c r="AK3786">
        <v>0.501708949584035</v>
      </c>
      <c r="AL3786">
        <v>88.255197053483997</v>
      </c>
      <c r="AM3786">
        <v>84.618127642353599</v>
      </c>
      <c r="AN3786">
        <v>1.0000000099978199</v>
      </c>
    </row>
    <row r="3787" spans="1:40" x14ac:dyDescent="0.25">
      <c r="A3787" t="str">
        <f>"20190312154911467"</f>
        <v>20190312154911467</v>
      </c>
      <c r="B3787" t="str">
        <f>"1552376951460005"</f>
        <v>1552376951460005</v>
      </c>
      <c r="C3787" t="s">
        <v>40</v>
      </c>
      <c r="D3787">
        <v>4.2977059999999998</v>
      </c>
      <c r="E3787">
        <v>0.53910669999999905</v>
      </c>
      <c r="F3787" t="s">
        <v>41</v>
      </c>
      <c r="G3787">
        <v>-232.61660000000001</v>
      </c>
      <c r="H3787">
        <v>0.85269799999999996</v>
      </c>
      <c r="I3787">
        <v>214.5728</v>
      </c>
      <c r="J3787">
        <v>-233.21879999999999</v>
      </c>
      <c r="K3787">
        <v>1.1099030000000001</v>
      </c>
      <c r="L3787">
        <v>214.72579999999999</v>
      </c>
      <c r="M3787">
        <v>0.99985570000000001</v>
      </c>
      <c r="N3787">
        <v>0</v>
      </c>
      <c r="O3787">
        <v>8.4635100000000005E-3</v>
      </c>
      <c r="P3787">
        <v>0.9962242</v>
      </c>
      <c r="Q3787">
        <v>1.620839E-2</v>
      </c>
      <c r="R3787">
        <v>-8.5292839999999995E-2</v>
      </c>
      <c r="S3787">
        <v>2.9797060000000002</v>
      </c>
      <c r="T3787">
        <v>-0.91955960000000003</v>
      </c>
      <c r="U3787">
        <v>-0.53962710000000003</v>
      </c>
      <c r="V3787">
        <v>9.3723429999999996E-2</v>
      </c>
      <c r="W3787">
        <v>3.0876319999999999E-2</v>
      </c>
      <c r="X3787">
        <v>0.99511939999999999</v>
      </c>
      <c r="Y3787">
        <v>0.17810860000000001</v>
      </c>
      <c r="Z3787">
        <v>-2.918929E-2</v>
      </c>
      <c r="AA3787">
        <v>0.98357779999999995</v>
      </c>
      <c r="AB3787">
        <v>36</v>
      </c>
      <c r="AC3787">
        <v>0.60219999999998197</v>
      </c>
      <c r="AD3787">
        <v>-0.25720500000000002</v>
      </c>
      <c r="AE3787">
        <v>-0.152999999999991</v>
      </c>
      <c r="AF3787">
        <v>0.13496424549698999</v>
      </c>
      <c r="AG3787">
        <v>-0.25720500000000002</v>
      </c>
      <c r="AH3787">
        <v>0.51297898939202702</v>
      </c>
      <c r="AI3787">
        <v>115.86843014873401</v>
      </c>
      <c r="AJ3787">
        <v>75.259594502745998</v>
      </c>
      <c r="AK3787">
        <v>0.58950589746434001</v>
      </c>
      <c r="AL3787">
        <v>88.230636007891107</v>
      </c>
      <c r="AM3787">
        <v>84.619577343089702</v>
      </c>
      <c r="AN3787">
        <v>1.0000000243620299</v>
      </c>
    </row>
    <row r="3788" spans="1:40" x14ac:dyDescent="0.25">
      <c r="A3788" t="str">
        <f>"20190312154911488"</f>
        <v>20190312154911488</v>
      </c>
      <c r="B3788" t="str">
        <f>"1552376951479524"</f>
        <v>1552376951479524</v>
      </c>
      <c r="C3788" t="s">
        <v>40</v>
      </c>
      <c r="D3788">
        <v>4.5554319999999997</v>
      </c>
      <c r="E3788">
        <v>0.53604390000000002</v>
      </c>
      <c r="F3788" t="s">
        <v>41</v>
      </c>
      <c r="G3788">
        <v>-232.29939999999999</v>
      </c>
      <c r="H3788">
        <v>0.84598410000000002</v>
      </c>
      <c r="I3788">
        <v>214.56059999999999</v>
      </c>
      <c r="J3788">
        <v>-232.89510000000001</v>
      </c>
      <c r="K3788">
        <v>1.1099030000000001</v>
      </c>
      <c r="L3788">
        <v>214.7285</v>
      </c>
      <c r="M3788">
        <v>0.99985559999999996</v>
      </c>
      <c r="N3788">
        <v>0</v>
      </c>
      <c r="O3788">
        <v>8.4637150000000001E-3</v>
      </c>
      <c r="P3788">
        <v>0.99621559999999998</v>
      </c>
      <c r="Q3788">
        <v>1.6541420000000001E-2</v>
      </c>
      <c r="R3788">
        <v>-8.5326230000000003E-2</v>
      </c>
      <c r="S3788">
        <v>2.9795530000000001</v>
      </c>
      <c r="T3788">
        <v>-0.85532240000000004</v>
      </c>
      <c r="U3788">
        <v>-0.53419490000000003</v>
      </c>
      <c r="V3788">
        <v>9.3757060000000003E-2</v>
      </c>
      <c r="W3788">
        <v>3.120566E-2</v>
      </c>
      <c r="X3788">
        <v>0.99510589999999999</v>
      </c>
      <c r="Y3788">
        <v>0.17751410000000001</v>
      </c>
      <c r="Z3788">
        <v>-2.7152760000000001E-2</v>
      </c>
      <c r="AA3788">
        <v>0.98374360000000005</v>
      </c>
      <c r="AB3788">
        <v>36</v>
      </c>
      <c r="AC3788">
        <v>0.59570000000002199</v>
      </c>
      <c r="AD3788">
        <v>-0.26391890000000001</v>
      </c>
      <c r="AE3788">
        <v>-0.16790000000000299</v>
      </c>
      <c r="AF3788">
        <v>0.146328208727565</v>
      </c>
      <c r="AG3788">
        <v>-0.26391890000000001</v>
      </c>
      <c r="AH3788">
        <v>0.50282441452476201</v>
      </c>
      <c r="AI3788">
        <v>116.746572998871</v>
      </c>
      <c r="AJ3788">
        <v>73.774341867561603</v>
      </c>
      <c r="AK3788">
        <v>0.58642776391367901</v>
      </c>
      <c r="AL3788">
        <v>88.211757014097202</v>
      </c>
      <c r="AM3788">
        <v>84.617585476500807</v>
      </c>
      <c r="AN3788">
        <v>0.99999996586534401</v>
      </c>
    </row>
    <row r="3789" spans="1:40" x14ac:dyDescent="0.25">
      <c r="A3789" t="str">
        <f>"20190312154911500"</f>
        <v>20190312154911500</v>
      </c>
      <c r="B3789" t="str">
        <f>"1552376951489285"</f>
        <v>1552376951489285</v>
      </c>
      <c r="C3789" t="s">
        <v>40</v>
      </c>
      <c r="D3789">
        <v>4.9816779999999996</v>
      </c>
      <c r="E3789">
        <v>0.53494819999999998</v>
      </c>
      <c r="F3789" t="s">
        <v>41</v>
      </c>
      <c r="G3789">
        <v>-231.96459999999999</v>
      </c>
      <c r="H3789">
        <v>0.88358329999999996</v>
      </c>
      <c r="I3789">
        <v>214.56780000000001</v>
      </c>
      <c r="J3789">
        <v>-232.67869999999999</v>
      </c>
      <c r="K3789">
        <v>1.1099079999999999</v>
      </c>
      <c r="L3789">
        <v>214.7303</v>
      </c>
      <c r="M3789">
        <v>0.99985559999999996</v>
      </c>
      <c r="N3789">
        <v>0</v>
      </c>
      <c r="O3789">
        <v>8.4637329999999993E-3</v>
      </c>
      <c r="P3789">
        <v>0.99622940000000004</v>
      </c>
      <c r="Q3789">
        <v>1.6150540000000001E-2</v>
      </c>
      <c r="R3789">
        <v>-8.5242250000000006E-2</v>
      </c>
      <c r="S3789">
        <v>2.979355</v>
      </c>
      <c r="T3789">
        <v>-0.72459830000000003</v>
      </c>
      <c r="U3789">
        <v>-0.51457209999999998</v>
      </c>
      <c r="V3789">
        <v>9.3673149999999997E-2</v>
      </c>
      <c r="W3789">
        <v>3.081294E-2</v>
      </c>
      <c r="X3789">
        <v>0.99512610000000001</v>
      </c>
      <c r="Y3789">
        <v>0.173376799999999</v>
      </c>
      <c r="Z3789">
        <v>-2.264909E-2</v>
      </c>
      <c r="AA3789">
        <v>0.98459509999999995</v>
      </c>
      <c r="AB3789">
        <v>36</v>
      </c>
      <c r="AC3789">
        <v>0.71410000000000196</v>
      </c>
      <c r="AD3789">
        <v>-0.22632469999999899</v>
      </c>
      <c r="AE3789">
        <v>-0.16249999999999401</v>
      </c>
      <c r="AF3789">
        <v>0.15384594851033101</v>
      </c>
      <c r="AG3789">
        <v>-0.22632469999999899</v>
      </c>
      <c r="AH3789">
        <v>0.65056739941575503</v>
      </c>
      <c r="AI3789">
        <v>108.703561916792</v>
      </c>
      <c r="AJ3789">
        <v>76.695134650862599</v>
      </c>
      <c r="AK3789">
        <v>0.705782818497102</v>
      </c>
      <c r="AL3789">
        <v>88.2342691451761</v>
      </c>
      <c r="AM3789">
        <v>84.622482857547595</v>
      </c>
      <c r="AN3789">
        <v>1.00000002560178</v>
      </c>
    </row>
    <row r="3790" spans="1:40" x14ac:dyDescent="0.25">
      <c r="A3790" t="str">
        <f>"20190312154911524"</f>
        <v>20190312154911524</v>
      </c>
      <c r="B3790" t="str">
        <f>"1552376951519541"</f>
        <v>1552376951519541</v>
      </c>
      <c r="C3790" t="s">
        <v>40</v>
      </c>
      <c r="D3790">
        <v>4.4636990000000001</v>
      </c>
      <c r="E3790">
        <v>0.53349009999999997</v>
      </c>
      <c r="F3790" t="s">
        <v>41</v>
      </c>
      <c r="G3790">
        <v>-231.93950000000001</v>
      </c>
      <c r="H3790">
        <v>0.94481930000000003</v>
      </c>
      <c r="I3790">
        <v>214.60429999999999</v>
      </c>
      <c r="J3790">
        <v>-232.32400000000001</v>
      </c>
      <c r="K3790">
        <v>1.109907</v>
      </c>
      <c r="L3790">
        <v>214.73330000000001</v>
      </c>
      <c r="M3790">
        <v>0.99985579999999996</v>
      </c>
      <c r="N3790">
        <v>0</v>
      </c>
      <c r="O3790">
        <v>8.4635830000000002E-3</v>
      </c>
      <c r="P3790">
        <v>0.99624020000000002</v>
      </c>
      <c r="Q3790">
        <v>1.6360570000000001E-2</v>
      </c>
      <c r="R3790">
        <v>-8.5078470000000003E-2</v>
      </c>
      <c r="S3790">
        <v>2.9786990000000002</v>
      </c>
      <c r="T3790">
        <v>-0.66516239999999904</v>
      </c>
      <c r="U3790">
        <v>-0.50752259999999905</v>
      </c>
      <c r="V3790">
        <v>9.3509200000000001E-2</v>
      </c>
      <c r="W3790">
        <v>3.1018830000000001E-2</v>
      </c>
      <c r="X3790">
        <v>0.99513510000000005</v>
      </c>
      <c r="Y3790">
        <v>0.17197970000000001</v>
      </c>
      <c r="Z3790">
        <v>-2.0692189999999999E-2</v>
      </c>
      <c r="AA3790">
        <v>0.98488310000000001</v>
      </c>
      <c r="AB3790">
        <v>36</v>
      </c>
      <c r="AC3790">
        <v>0.38450000000000201</v>
      </c>
      <c r="AD3790">
        <v>-0.165087699999999</v>
      </c>
      <c r="AE3790">
        <v>-0.12900000000001899</v>
      </c>
      <c r="AF3790">
        <v>0.113451478977339</v>
      </c>
      <c r="AG3790">
        <v>-0.165087699999999</v>
      </c>
      <c r="AH3790">
        <v>0.32889722360212797</v>
      </c>
      <c r="AI3790">
        <v>115.384633344275</v>
      </c>
      <c r="AJ3790">
        <v>70.968377700404602</v>
      </c>
      <c r="AK3790">
        <v>0.38509553420758302</v>
      </c>
      <c r="AL3790">
        <v>88.2224668352208</v>
      </c>
      <c r="AM3790">
        <v>84.631888009851195</v>
      </c>
      <c r="AN3790">
        <v>1.0000000027756</v>
      </c>
    </row>
    <row r="3791" spans="1:40" x14ac:dyDescent="0.25">
      <c r="A3791" t="str">
        <f>"20190312154911547"</f>
        <v>20190312154911547</v>
      </c>
      <c r="B3791" t="str">
        <f>"1552376951540037"</f>
        <v>1552376951540037</v>
      </c>
      <c r="C3791" t="s">
        <v>40</v>
      </c>
      <c r="D3791">
        <v>4.4177929999999996</v>
      </c>
      <c r="E3791">
        <v>0.53308420000000001</v>
      </c>
      <c r="F3791" t="s">
        <v>41</v>
      </c>
      <c r="G3791">
        <v>-231.60079999999999</v>
      </c>
      <c r="H3791">
        <v>0.98725960000000001</v>
      </c>
      <c r="I3791">
        <v>214.6113</v>
      </c>
      <c r="J3791">
        <v>-231.95830000000001</v>
      </c>
      <c r="K3791">
        <v>1.1099060000000001</v>
      </c>
      <c r="L3791">
        <v>214.7364</v>
      </c>
      <c r="M3791">
        <v>0.99985579999999996</v>
      </c>
      <c r="N3791">
        <v>0</v>
      </c>
      <c r="O3791">
        <v>8.4636119999999902E-3</v>
      </c>
      <c r="P3791">
        <v>0.99623830000000002</v>
      </c>
      <c r="Q3791">
        <v>1.6138940000000001E-2</v>
      </c>
      <c r="R3791">
        <v>-8.5140270000000004E-2</v>
      </c>
      <c r="S3791">
        <v>2.976791</v>
      </c>
      <c r="T3791">
        <v>-0.5049536</v>
      </c>
      <c r="U3791">
        <v>-0.50131229999999904</v>
      </c>
      <c r="V3791">
        <v>9.357116E-2</v>
      </c>
      <c r="W3791">
        <v>3.079291E-2</v>
      </c>
      <c r="X3791">
        <v>0.99513629999999997</v>
      </c>
      <c r="Y3791">
        <v>0.17190259999999999</v>
      </c>
      <c r="Z3791">
        <v>-1.5793560000000002E-2</v>
      </c>
      <c r="AA3791">
        <v>0.98498730000000001</v>
      </c>
      <c r="AB3791">
        <v>36</v>
      </c>
      <c r="AC3791">
        <v>0.35750000000001497</v>
      </c>
      <c r="AD3791">
        <v>-0.1226464</v>
      </c>
      <c r="AE3791">
        <v>-0.12510000000000299</v>
      </c>
      <c r="AF3791">
        <v>0.11596233049905399</v>
      </c>
      <c r="AG3791">
        <v>-0.1226464</v>
      </c>
      <c r="AH3791">
        <v>0.32260179404168898</v>
      </c>
      <c r="AI3791">
        <v>109.68553948997901</v>
      </c>
      <c r="AJ3791">
        <v>70.228535699475103</v>
      </c>
      <c r="AK3791">
        <v>0.36408971290967301</v>
      </c>
      <c r="AL3791">
        <v>88.235417297673905</v>
      </c>
      <c r="AM3791">
        <v>84.628358291701304</v>
      </c>
      <c r="AN3791">
        <v>1.00000001043385</v>
      </c>
    </row>
    <row r="3792" spans="1:40" x14ac:dyDescent="0.25">
      <c r="A3792" t="str">
        <f>"20190312154911568"</f>
        <v>20190312154911568</v>
      </c>
      <c r="B3792" t="str">
        <f>"1552376951559557"</f>
        <v>1552376951559557</v>
      </c>
      <c r="C3792" t="s">
        <v>40</v>
      </c>
      <c r="D3792">
        <v>4.4517030000000002</v>
      </c>
      <c r="E3792">
        <v>0.53230180000000005</v>
      </c>
      <c r="F3792" t="s">
        <v>41</v>
      </c>
      <c r="G3792">
        <v>-230.97290000000001</v>
      </c>
      <c r="H3792">
        <v>0.96731339999999999</v>
      </c>
      <c r="I3792">
        <v>214.57040000000001</v>
      </c>
      <c r="J3792">
        <v>-231.6172</v>
      </c>
      <c r="K3792">
        <v>1.1098980000000001</v>
      </c>
      <c r="L3792">
        <v>214.73929999999999</v>
      </c>
      <c r="M3792">
        <v>0.99985590000000002</v>
      </c>
      <c r="N3792">
        <v>0</v>
      </c>
      <c r="O3792">
        <v>8.4636399999999997E-3</v>
      </c>
      <c r="P3792">
        <v>0.99624679999999999</v>
      </c>
      <c r="Q3792">
        <v>1.561942E-2</v>
      </c>
      <c r="R3792">
        <v>-8.5138930000000002E-2</v>
      </c>
      <c r="S3792">
        <v>2.9754939999999999</v>
      </c>
      <c r="T3792">
        <v>-0.43066389999999999</v>
      </c>
      <c r="U3792">
        <v>-0.5007935</v>
      </c>
      <c r="V3792">
        <v>9.3569849999999996E-2</v>
      </c>
      <c r="W3792">
        <v>3.027007E-2</v>
      </c>
      <c r="X3792">
        <v>0.9951525</v>
      </c>
      <c r="Y3792">
        <v>0.172478399999999</v>
      </c>
      <c r="Z3792">
        <v>-1.3542510000000001E-2</v>
      </c>
      <c r="AA3792">
        <v>0.98492020000000002</v>
      </c>
      <c r="AB3792">
        <v>36</v>
      </c>
      <c r="AC3792">
        <v>0.64429999999998699</v>
      </c>
      <c r="AD3792">
        <v>-0.14258460000000001</v>
      </c>
      <c r="AE3792">
        <v>-0.16889999999997901</v>
      </c>
      <c r="AF3792">
        <v>0.16670821370074401</v>
      </c>
      <c r="AG3792">
        <v>-0.14258460000000001</v>
      </c>
      <c r="AH3792">
        <v>0.61467940351980699</v>
      </c>
      <c r="AI3792">
        <v>102.61918732507</v>
      </c>
      <c r="AJ3792">
        <v>74.825739356320895</v>
      </c>
      <c r="AK3792">
        <v>0.65265056943506805</v>
      </c>
      <c r="AL3792">
        <v>88.265387857054407</v>
      </c>
      <c r="AM3792">
        <v>84.628519986812293</v>
      </c>
      <c r="AN3792">
        <v>1.0000000461115299</v>
      </c>
    </row>
    <row r="3793" spans="1:40" x14ac:dyDescent="0.25">
      <c r="A3793" t="str">
        <f>"20190312154911587"</f>
        <v>20190312154911587</v>
      </c>
      <c r="B3793" t="str">
        <f>"1552376951580053"</f>
        <v>1552376951580053</v>
      </c>
      <c r="C3793" t="s">
        <v>40</v>
      </c>
      <c r="D3793">
        <v>4.4081380000000001</v>
      </c>
      <c r="E3793">
        <v>0.53170010000000001</v>
      </c>
      <c r="F3793" t="s">
        <v>41</v>
      </c>
      <c r="G3793">
        <v>-230.6473</v>
      </c>
      <c r="H3793">
        <v>0.98504849999999999</v>
      </c>
      <c r="I3793">
        <v>214.57730000000001</v>
      </c>
      <c r="J3793">
        <v>-231.31399999999999</v>
      </c>
      <c r="K3793">
        <v>1.109896</v>
      </c>
      <c r="L3793">
        <v>214.74189999999999</v>
      </c>
      <c r="M3793">
        <v>0.99985579999999996</v>
      </c>
      <c r="N3793">
        <v>0</v>
      </c>
      <c r="O3793">
        <v>8.4638430000000004E-3</v>
      </c>
      <c r="P3793">
        <v>0.99622860000000002</v>
      </c>
      <c r="Q3793">
        <v>1.5725670000000001E-2</v>
      </c>
      <c r="R3793">
        <v>-8.5331019999999994E-2</v>
      </c>
      <c r="S3793">
        <v>2.9748990000000002</v>
      </c>
      <c r="T3793">
        <v>-0.38296150000000001</v>
      </c>
      <c r="U3793">
        <v>-0.49624629999999997</v>
      </c>
      <c r="V3793">
        <v>9.3762010000000007E-2</v>
      </c>
      <c r="W3793">
        <v>3.0373020000000001E-2</v>
      </c>
      <c r="X3793">
        <v>0.99513130000000005</v>
      </c>
      <c r="Y3793">
        <v>0.17143620000000001</v>
      </c>
      <c r="Z3793">
        <v>-1.199276E-2</v>
      </c>
      <c r="AA3793">
        <v>0.98512219999999995</v>
      </c>
      <c r="AB3793">
        <v>36</v>
      </c>
      <c r="AC3793">
        <v>0.66670000000002005</v>
      </c>
      <c r="AD3793">
        <v>-0.124847499999999</v>
      </c>
      <c r="AE3793">
        <v>-0.16459999999997799</v>
      </c>
      <c r="AF3793">
        <v>0.164790833225854</v>
      </c>
      <c r="AG3793">
        <v>-0.124847499999999</v>
      </c>
      <c r="AH3793">
        <v>0.64399718975990194</v>
      </c>
      <c r="AI3793">
        <v>100.636928554118</v>
      </c>
      <c r="AJ3793">
        <v>75.646712751118201</v>
      </c>
      <c r="AK3793">
        <v>0.67636920198229999</v>
      </c>
      <c r="AL3793">
        <v>88.259486584186902</v>
      </c>
      <c r="AM3793">
        <v>84.617439557928904</v>
      </c>
      <c r="AN3793">
        <v>1.00000006955142</v>
      </c>
    </row>
    <row r="3794" spans="1:40" x14ac:dyDescent="0.25">
      <c r="A3794" t="str">
        <f>"20190312154911602"</f>
        <v>20190312154911602</v>
      </c>
      <c r="B3794" t="str">
        <f>"1552376951589812"</f>
        <v>1552376951589812</v>
      </c>
      <c r="C3794" t="s">
        <v>40</v>
      </c>
      <c r="D3794">
        <v>4.4747979999999998</v>
      </c>
      <c r="E3794">
        <v>0.53125440000000002</v>
      </c>
      <c r="F3794" t="s">
        <v>41</v>
      </c>
      <c r="G3794">
        <v>-230.32550000000001</v>
      </c>
      <c r="H3794">
        <v>0.99491229999999997</v>
      </c>
      <c r="I3794">
        <v>214.57749999999999</v>
      </c>
      <c r="J3794">
        <v>-231.07599999999999</v>
      </c>
      <c r="K3794">
        <v>1.1098950000000001</v>
      </c>
      <c r="L3794">
        <v>214.7439</v>
      </c>
      <c r="M3794">
        <v>0.99985590000000002</v>
      </c>
      <c r="N3794">
        <v>0</v>
      </c>
      <c r="O3794">
        <v>8.4638600000000001E-3</v>
      </c>
      <c r="P3794">
        <v>0.99622909999999998</v>
      </c>
      <c r="Q3794">
        <v>1.5713049999999999E-2</v>
      </c>
      <c r="R3794">
        <v>-8.5327180000000002E-2</v>
      </c>
      <c r="S3794">
        <v>2.974548</v>
      </c>
      <c r="T3794">
        <v>-0.34614739999999999</v>
      </c>
      <c r="U3794">
        <v>-0.49343870000000001</v>
      </c>
      <c r="V3794">
        <v>9.3758149999999998E-2</v>
      </c>
      <c r="W3794">
        <v>3.0358240000000002E-2</v>
      </c>
      <c r="X3794">
        <v>0.99513200000000002</v>
      </c>
      <c r="Y3794">
        <v>0.17081740000000001</v>
      </c>
      <c r="Z3794">
        <v>-1.0814300000000001E-2</v>
      </c>
      <c r="AA3794">
        <v>0.98524339999999999</v>
      </c>
      <c r="AB3794">
        <v>35</v>
      </c>
      <c r="AC3794">
        <v>0.75049999999998795</v>
      </c>
      <c r="AD3794">
        <v>-0.11498269999999999</v>
      </c>
      <c r="AE3794">
        <v>-0.16640000000001001</v>
      </c>
      <c r="AF3794">
        <v>0.168966581502316</v>
      </c>
      <c r="AG3794">
        <v>-0.11498269999999999</v>
      </c>
      <c r="AH3794">
        <v>0.73267256623034704</v>
      </c>
      <c r="AI3794">
        <v>98.694438261637998</v>
      </c>
      <c r="AJ3794">
        <v>77.013677108068805</v>
      </c>
      <c r="AK3794">
        <v>0.76064434282418203</v>
      </c>
      <c r="AL3794">
        <v>88.260333607837197</v>
      </c>
      <c r="AM3794">
        <v>84.617663609971501</v>
      </c>
      <c r="AN3794">
        <v>0.999999955425659</v>
      </c>
    </row>
    <row r="3795" spans="1:40" x14ac:dyDescent="0.25">
      <c r="A3795" t="str">
        <f>"20190312154911621"</f>
        <v>20190312154911621</v>
      </c>
      <c r="B3795" t="str">
        <f>"1552376951609333"</f>
        <v>1552376951609333</v>
      </c>
      <c r="C3795" t="s">
        <v>40</v>
      </c>
      <c r="D3795">
        <v>4.512073</v>
      </c>
      <c r="E3795">
        <v>0.52998579999999995</v>
      </c>
      <c r="F3795" t="s">
        <v>41</v>
      </c>
      <c r="G3795">
        <v>-230.31290000000001</v>
      </c>
      <c r="H3795">
        <v>1.0236419999999999</v>
      </c>
      <c r="I3795">
        <v>214.61770000000001</v>
      </c>
      <c r="J3795">
        <v>-230.786</v>
      </c>
      <c r="K3795">
        <v>1.109896</v>
      </c>
      <c r="L3795">
        <v>214.74639999999999</v>
      </c>
      <c r="M3795">
        <v>0.99985590000000002</v>
      </c>
      <c r="N3795">
        <v>0</v>
      </c>
      <c r="O3795">
        <v>8.4638819999999903E-3</v>
      </c>
      <c r="P3795">
        <v>0.99623910000000004</v>
      </c>
      <c r="Q3795">
        <v>1.560839E-2</v>
      </c>
      <c r="R3795">
        <v>-8.5229959999999994E-2</v>
      </c>
      <c r="S3795">
        <v>2.9746860000000002</v>
      </c>
      <c r="T3795">
        <v>-0.336458799999999</v>
      </c>
      <c r="U3795">
        <v>-0.49021910000000002</v>
      </c>
      <c r="V3795">
        <v>9.3660999999999994E-2</v>
      </c>
      <c r="W3795">
        <v>3.0250530000000001E-2</v>
      </c>
      <c r="X3795">
        <v>0.99514449999999999</v>
      </c>
      <c r="Y3795">
        <v>0.16984270000000001</v>
      </c>
      <c r="Z3795">
        <v>-1.0459380000000001E-2</v>
      </c>
      <c r="AA3795">
        <v>0.98541570000000001</v>
      </c>
      <c r="AB3795">
        <v>35</v>
      </c>
      <c r="AC3795">
        <v>0.473099999999959</v>
      </c>
      <c r="AD3795">
        <v>-8.6253999999999997E-2</v>
      </c>
      <c r="AE3795">
        <v>-0.12869999999998</v>
      </c>
      <c r="AF3795">
        <v>0.12871643704299099</v>
      </c>
      <c r="AG3795">
        <v>-8.6253999999999997E-2</v>
      </c>
      <c r="AH3795">
        <v>0.45782441157030901</v>
      </c>
      <c r="AI3795">
        <v>100.27987666596501</v>
      </c>
      <c r="AJ3795">
        <v>74.296775840759693</v>
      </c>
      <c r="AK3795">
        <v>0.483333079263919</v>
      </c>
      <c r="AL3795">
        <v>88.266507895779995</v>
      </c>
      <c r="AM3795">
        <v>84.623275101075293</v>
      </c>
      <c r="AN3795">
        <v>1.00000002668326</v>
      </c>
    </row>
    <row r="3796" spans="1:40" x14ac:dyDescent="0.25">
      <c r="A3796" t="str">
        <f>"20190312154911635"</f>
        <v>20190312154911635</v>
      </c>
      <c r="B3796" t="str">
        <f>"1552376951629829"</f>
        <v>1552376951629829</v>
      </c>
      <c r="C3796" t="s">
        <v>40</v>
      </c>
      <c r="D3796">
        <v>4.4591760000000003</v>
      </c>
      <c r="E3796">
        <v>0.52948859999999998</v>
      </c>
      <c r="F3796" t="s">
        <v>41</v>
      </c>
      <c r="G3796">
        <v>-229.9948</v>
      </c>
      <c r="H3796">
        <v>1.026718</v>
      </c>
      <c r="I3796">
        <v>214.61840000000001</v>
      </c>
      <c r="J3796">
        <v>-230.54820000000001</v>
      </c>
      <c r="K3796">
        <v>1.1099000000000001</v>
      </c>
      <c r="L3796">
        <v>214.7484</v>
      </c>
      <c r="M3796">
        <v>0.99985610000000003</v>
      </c>
      <c r="N3796">
        <v>0</v>
      </c>
      <c r="O3796">
        <v>8.4637229999999994E-3</v>
      </c>
      <c r="P3796">
        <v>0.99619939999999996</v>
      </c>
      <c r="Q3796">
        <v>1.526254E-2</v>
      </c>
      <c r="R3796">
        <v>-8.5756639999999995E-2</v>
      </c>
      <c r="S3796">
        <v>2.975098</v>
      </c>
      <c r="T3796">
        <v>-0.31280960000000002</v>
      </c>
      <c r="U3796">
        <v>-0.48074339999999999</v>
      </c>
      <c r="V3796">
        <v>9.4187229999999997E-2</v>
      </c>
      <c r="W3796">
        <v>2.9901170000000001E-2</v>
      </c>
      <c r="X3796">
        <v>0.99510540000000003</v>
      </c>
      <c r="Y3796">
        <v>0.16692789999999999</v>
      </c>
      <c r="Z3796">
        <v>-9.5775760000000008E-3</v>
      </c>
      <c r="AA3796">
        <v>0.98592259999999998</v>
      </c>
      <c r="AB3796">
        <v>35</v>
      </c>
      <c r="AC3796">
        <v>0.55340000000001</v>
      </c>
      <c r="AD3796">
        <v>-8.3182000000000006E-2</v>
      </c>
      <c r="AE3796">
        <v>-0.12999999999999501</v>
      </c>
      <c r="AF3796">
        <v>0.13185639515221501</v>
      </c>
      <c r="AG3796">
        <v>-8.3182000000000006E-2</v>
      </c>
      <c r="AH3796">
        <v>0.54070237909922902</v>
      </c>
      <c r="AI3796">
        <v>98.500544969417902</v>
      </c>
      <c r="AJ3796">
        <v>76.295262755510706</v>
      </c>
      <c r="AK3796">
        <v>0.56272943483534299</v>
      </c>
      <c r="AL3796">
        <v>88.286533823644703</v>
      </c>
      <c r="AM3796">
        <v>84.593033558937293</v>
      </c>
      <c r="AN3796">
        <v>1.0000000356858001</v>
      </c>
    </row>
    <row r="3797" spans="1:40" x14ac:dyDescent="0.25">
      <c r="A3797" t="str">
        <f>"20190312154911656"</f>
        <v>20190312154911656</v>
      </c>
      <c r="B3797" t="str">
        <f>"1552376951649349"</f>
        <v>1552376951649349</v>
      </c>
      <c r="C3797" t="s">
        <v>40</v>
      </c>
      <c r="D3797">
        <v>4.4327519999999998</v>
      </c>
      <c r="E3797">
        <v>0.52913710000000003</v>
      </c>
      <c r="F3797" t="s">
        <v>41</v>
      </c>
      <c r="G3797">
        <v>-229.6788</v>
      </c>
      <c r="H3797">
        <v>1.0253209999999999</v>
      </c>
      <c r="I3797">
        <v>214.608</v>
      </c>
      <c r="J3797">
        <v>-230.23269999999999</v>
      </c>
      <c r="K3797">
        <v>1.1099000000000001</v>
      </c>
      <c r="L3797">
        <v>214.751</v>
      </c>
      <c r="M3797">
        <v>0.99985610000000003</v>
      </c>
      <c r="N3797">
        <v>0</v>
      </c>
      <c r="O3797">
        <v>8.4639280000000008E-3</v>
      </c>
      <c r="P3797">
        <v>0.99618510000000005</v>
      </c>
      <c r="Q3797">
        <v>1.514485E-2</v>
      </c>
      <c r="R3797">
        <v>-8.5942969999999994E-2</v>
      </c>
      <c r="S3797">
        <v>2.97464</v>
      </c>
      <c r="T3797">
        <v>-0.28954180000000002</v>
      </c>
      <c r="U3797">
        <v>-0.47930909999999899</v>
      </c>
      <c r="V3797">
        <v>9.4373520000000002E-2</v>
      </c>
      <c r="W3797">
        <v>2.97801E-2</v>
      </c>
      <c r="X3797">
        <v>0.99509130000000001</v>
      </c>
      <c r="Y3797">
        <v>0.16662439999999901</v>
      </c>
      <c r="Z3797">
        <v>-8.8556380000000007E-3</v>
      </c>
      <c r="AA3797">
        <v>0.98598070000000004</v>
      </c>
      <c r="AB3797">
        <v>35</v>
      </c>
      <c r="AC3797">
        <v>0.55389999999999795</v>
      </c>
      <c r="AD3797">
        <v>-8.4579000000000099E-2</v>
      </c>
      <c r="AE3797">
        <v>-0.14299999999997201</v>
      </c>
      <c r="AF3797">
        <v>0.144524326342864</v>
      </c>
      <c r="AG3797">
        <v>-8.4579000000000099E-2</v>
      </c>
      <c r="AH3797">
        <v>0.54084704682678297</v>
      </c>
      <c r="AI3797">
        <v>98.591354226794294</v>
      </c>
      <c r="AJ3797">
        <v>75.039069272632105</v>
      </c>
      <c r="AK3797">
        <v>0.566177018437795</v>
      </c>
      <c r="AL3797">
        <v>88.293473577068298</v>
      </c>
      <c r="AM3797">
        <v>84.5823265458408</v>
      </c>
      <c r="AN3797">
        <v>0.99999995548444398</v>
      </c>
    </row>
    <row r="3798" spans="1:40" x14ac:dyDescent="0.25">
      <c r="A3798" t="str">
        <f>"20190312154911670"</f>
        <v>20190312154911670</v>
      </c>
      <c r="B3798" t="str">
        <f>"1552376951660085"</f>
        <v>1552376951660085</v>
      </c>
      <c r="C3798" t="s">
        <v>40</v>
      </c>
      <c r="D3798">
        <v>4.4718600000000004</v>
      </c>
      <c r="E3798">
        <v>0.528927699999999</v>
      </c>
      <c r="F3798" t="s">
        <v>41</v>
      </c>
      <c r="G3798">
        <v>-229.35839999999999</v>
      </c>
      <c r="H3798">
        <v>1.0306070000000001</v>
      </c>
      <c r="I3798">
        <v>214.6103</v>
      </c>
      <c r="J3798">
        <v>-230</v>
      </c>
      <c r="K3798">
        <v>1.1098980000000001</v>
      </c>
      <c r="L3798">
        <v>214.75299999999999</v>
      </c>
      <c r="M3798">
        <v>0.99985619999999997</v>
      </c>
      <c r="N3798">
        <v>0</v>
      </c>
      <c r="O3798">
        <v>8.4637689999999995E-3</v>
      </c>
      <c r="P3798">
        <v>0.99616839999999995</v>
      </c>
      <c r="Q3798">
        <v>1.509947E-2</v>
      </c>
      <c r="R3798">
        <v>-8.6145470000000002E-2</v>
      </c>
      <c r="S3798">
        <v>2.9743650000000001</v>
      </c>
      <c r="T3798">
        <v>-0.26990579999999997</v>
      </c>
      <c r="U3798">
        <v>-0.47785949999999999</v>
      </c>
      <c r="V3798">
        <v>9.4575619999999999E-2</v>
      </c>
      <c r="W3798">
        <v>2.9731489999999999E-2</v>
      </c>
      <c r="X3798">
        <v>0.9950736</v>
      </c>
      <c r="Y3798">
        <v>0.166276799999999</v>
      </c>
      <c r="Z3798">
        <v>-8.2429819999999994E-3</v>
      </c>
      <c r="AA3798">
        <v>0.98604460000000005</v>
      </c>
      <c r="AB3798">
        <v>35</v>
      </c>
      <c r="AC3798">
        <v>0.64160000000001005</v>
      </c>
      <c r="AD3798">
        <v>-7.9291E-2</v>
      </c>
      <c r="AE3798">
        <v>-0.14269999999999</v>
      </c>
      <c r="AF3798">
        <v>0.14600108621065699</v>
      </c>
      <c r="AG3798">
        <v>-7.9291E-2</v>
      </c>
      <c r="AH3798">
        <v>0.63118354062024096</v>
      </c>
      <c r="AI3798">
        <v>96.9777889519887</v>
      </c>
      <c r="AJ3798">
        <v>76.975795321162593</v>
      </c>
      <c r="AK3798">
        <v>0.65268372264489305</v>
      </c>
      <c r="AL3798">
        <v>88.296260016660796</v>
      </c>
      <c r="AM3798">
        <v>84.570697904650601</v>
      </c>
      <c r="AN3798">
        <v>0.99999998940648205</v>
      </c>
    </row>
    <row r="3799" spans="1:40" x14ac:dyDescent="0.25">
      <c r="A3799" t="str">
        <f>"20190312154911692"</f>
        <v>20190312154911692</v>
      </c>
      <c r="B3799" t="str">
        <f>"1552376951679605"</f>
        <v>1552376951679605</v>
      </c>
      <c r="C3799" t="s">
        <v>40</v>
      </c>
      <c r="D3799">
        <v>4.4720469999999999</v>
      </c>
      <c r="E3799">
        <v>0.52861569999999902</v>
      </c>
      <c r="F3799" t="s">
        <v>41</v>
      </c>
      <c r="G3799">
        <v>-229.04390000000001</v>
      </c>
      <c r="H3799">
        <v>1.0259499999999999</v>
      </c>
      <c r="I3799">
        <v>214.5993</v>
      </c>
      <c r="J3799">
        <v>-229.66059999999999</v>
      </c>
      <c r="K3799">
        <v>1.109901</v>
      </c>
      <c r="L3799">
        <v>214.7559</v>
      </c>
      <c r="M3799">
        <v>0.99985619999999997</v>
      </c>
      <c r="N3799">
        <v>0</v>
      </c>
      <c r="O3799">
        <v>8.4637979999999998E-3</v>
      </c>
      <c r="P3799">
        <v>0.99617820000000001</v>
      </c>
      <c r="Q3799">
        <v>1.487657E-2</v>
      </c>
      <c r="R3799">
        <v>-8.6071190000000006E-2</v>
      </c>
      <c r="S3799">
        <v>2.9742280000000001</v>
      </c>
      <c r="T3799">
        <v>-0.26124190000000003</v>
      </c>
      <c r="U3799">
        <v>-0.47726439999999998</v>
      </c>
      <c r="V3799">
        <v>9.4501509999999997E-2</v>
      </c>
      <c r="W3799">
        <v>2.9505090000000001E-2</v>
      </c>
      <c r="X3799">
        <v>0.99508739999999996</v>
      </c>
      <c r="Y3799">
        <v>0.16613629999999999</v>
      </c>
      <c r="Z3799">
        <v>-7.9737660000000002E-3</v>
      </c>
      <c r="AA3799">
        <v>0.98607060000000002</v>
      </c>
      <c r="AB3799">
        <v>35</v>
      </c>
      <c r="AC3799">
        <v>0.61669999999998004</v>
      </c>
      <c r="AD3799">
        <v>-8.3951000000000095E-2</v>
      </c>
      <c r="AE3799">
        <v>-0.15659999999999699</v>
      </c>
      <c r="AF3799">
        <v>0.159045800923379</v>
      </c>
      <c r="AG3799">
        <v>-8.3951000000000095E-2</v>
      </c>
      <c r="AH3799">
        <v>0.60482316249770196</v>
      </c>
      <c r="AI3799">
        <v>97.645614475121803</v>
      </c>
      <c r="AJ3799">
        <v>75.266908758075203</v>
      </c>
      <c r="AK3799">
        <v>0.63099476629056195</v>
      </c>
      <c r="AL3799">
        <v>88.309237509043101</v>
      </c>
      <c r="AM3799">
        <v>84.575001731221704</v>
      </c>
      <c r="AN3799">
        <v>1.00000000968347</v>
      </c>
    </row>
    <row r="3800" spans="1:40" x14ac:dyDescent="0.25">
      <c r="A3800" t="str">
        <f>"20190312154911714"</f>
        <v>20190312154911714</v>
      </c>
      <c r="B3800" t="str">
        <f>"1552376951709861"</f>
        <v>1552376951709861</v>
      </c>
      <c r="C3800" t="s">
        <v>40</v>
      </c>
      <c r="D3800">
        <v>4.4915649999999996</v>
      </c>
      <c r="E3800">
        <v>0.52835580000000004</v>
      </c>
      <c r="F3800" t="s">
        <v>50</v>
      </c>
      <c r="G3800">
        <v>-216.26939999999999</v>
      </c>
      <c r="H3800" s="1">
        <v>1.886874E-6</v>
      </c>
      <c r="I3800">
        <v>212.6173</v>
      </c>
      <c r="J3800">
        <v>-229.3133</v>
      </c>
      <c r="K3800">
        <v>1.109904</v>
      </c>
      <c r="L3800">
        <v>214.75880000000001</v>
      </c>
      <c r="M3800">
        <v>0.99985619999999997</v>
      </c>
      <c r="N3800">
        <v>0</v>
      </c>
      <c r="O3800">
        <v>8.4640059999999996E-3</v>
      </c>
      <c r="P3800">
        <v>0.99619639999999998</v>
      </c>
      <c r="Q3800">
        <v>1.472117E-2</v>
      </c>
      <c r="R3800">
        <v>-8.5884790000000003E-2</v>
      </c>
      <c r="S3800">
        <v>2.9741520000000001</v>
      </c>
      <c r="T3800">
        <v>-0.24650569999999999</v>
      </c>
      <c r="U3800">
        <v>-0.4749756</v>
      </c>
      <c r="V3800">
        <v>9.431552E-2</v>
      </c>
      <c r="W3800">
        <v>2.9345900000000001E-2</v>
      </c>
      <c r="X3800">
        <v>0.99510969999999999</v>
      </c>
      <c r="Y3800">
        <v>0.16547439999999999</v>
      </c>
      <c r="Z3800">
        <v>-7.4989790000000002E-3</v>
      </c>
      <c r="AA3800">
        <v>0.9861856</v>
      </c>
      <c r="AB3800">
        <v>35</v>
      </c>
      <c r="AC3800">
        <v>13.043900000000001</v>
      </c>
      <c r="AD3800">
        <v>-1.1099021131260001</v>
      </c>
      <c r="AE3800">
        <v>-2.1415000000000002</v>
      </c>
      <c r="AF3800">
        <v>2.2360740005744302</v>
      </c>
      <c r="AG3800">
        <v>-1.1099021131260001</v>
      </c>
      <c r="AH3800">
        <v>12.9341164954497</v>
      </c>
      <c r="AI3800">
        <v>94.833298752401205</v>
      </c>
      <c r="AJ3800">
        <v>80.191551453954702</v>
      </c>
      <c r="AK3800">
        <v>13.1728235073059</v>
      </c>
      <c r="AL3800">
        <v>88.318362286930807</v>
      </c>
      <c r="AM3800">
        <v>84.585735861345199</v>
      </c>
      <c r="AN3800">
        <v>0.99999995709688405</v>
      </c>
    </row>
    <row r="3801" spans="1:40" x14ac:dyDescent="0.25">
      <c r="A3801" t="str">
        <f>"20190312154911737"</f>
        <v>20190312154911737</v>
      </c>
      <c r="B3801" t="str">
        <f>"1552376951729380"</f>
        <v>1552376951729380</v>
      </c>
      <c r="C3801" t="s">
        <v>40</v>
      </c>
      <c r="D3801">
        <v>4.4836980000000004</v>
      </c>
      <c r="E3801">
        <v>0.52824879999999996</v>
      </c>
      <c r="F3801" t="s">
        <v>50</v>
      </c>
      <c r="G3801">
        <v>-214.8982</v>
      </c>
      <c r="H3801" s="1">
        <v>1.163778E-6</v>
      </c>
      <c r="I3801">
        <v>212.46610000000001</v>
      </c>
      <c r="J3801">
        <v>-228.958</v>
      </c>
      <c r="K3801">
        <v>1.1099060000000001</v>
      </c>
      <c r="L3801">
        <v>214.76179999999999</v>
      </c>
      <c r="M3801">
        <v>0.99985630000000003</v>
      </c>
      <c r="N3801">
        <v>0</v>
      </c>
      <c r="O3801">
        <v>8.463857E-3</v>
      </c>
      <c r="P3801">
        <v>0.99619789999999997</v>
      </c>
      <c r="Q3801">
        <v>1.463359E-2</v>
      </c>
      <c r="R3801">
        <v>-8.5883600000000004E-2</v>
      </c>
      <c r="S3801">
        <v>2.9740600000000001</v>
      </c>
      <c r="T3801">
        <v>-0.22899</v>
      </c>
      <c r="U3801">
        <v>-0.47302250000000001</v>
      </c>
      <c r="V3801">
        <v>9.4314029999999993E-2</v>
      </c>
      <c r="W3801">
        <v>2.925438E-2</v>
      </c>
      <c r="X3801">
        <v>0.99511260000000001</v>
      </c>
      <c r="Y3801">
        <v>0.164928399999999</v>
      </c>
      <c r="Z3801">
        <v>-6.9474280000000003E-3</v>
      </c>
      <c r="AA3801">
        <v>0.98628110000000002</v>
      </c>
      <c r="AB3801">
        <v>35</v>
      </c>
      <c r="AC3801">
        <v>14.0597999999999</v>
      </c>
      <c r="AD3801">
        <v>-1.1099048362219901</v>
      </c>
      <c r="AE3801">
        <v>-2.2956999999999801</v>
      </c>
      <c r="AF3801">
        <v>2.4000624306564</v>
      </c>
      <c r="AG3801">
        <v>-1.1099048362219901</v>
      </c>
      <c r="AH3801">
        <v>13.9551563857395</v>
      </c>
      <c r="AI3801">
        <v>94.481845533477099</v>
      </c>
      <c r="AJ3801">
        <v>80.241513852092496</v>
      </c>
      <c r="AK3801">
        <v>14.203470638085699</v>
      </c>
      <c r="AL3801">
        <v>88.323608356098205</v>
      </c>
      <c r="AM3801">
        <v>84.585836572286397</v>
      </c>
      <c r="AN3801">
        <v>1.0000000208413899</v>
      </c>
    </row>
    <row r="3802" spans="1:40" x14ac:dyDescent="0.25">
      <c r="A3802" t="str">
        <f>"20190312154911759"</f>
        <v>20190312154911759</v>
      </c>
      <c r="B3802" t="str">
        <f>"1552376951749877"</f>
        <v>1552376951749877</v>
      </c>
      <c r="C3802" t="s">
        <v>40</v>
      </c>
      <c r="D3802">
        <v>4.5248460000000001</v>
      </c>
      <c r="E3802">
        <v>0.52821370000000001</v>
      </c>
      <c r="F3802" t="s">
        <v>50</v>
      </c>
      <c r="G3802">
        <v>-213.9384</v>
      </c>
      <c r="H3802" s="1">
        <v>6.5703690000000004E-7</v>
      </c>
      <c r="I3802">
        <v>212.37469999999999</v>
      </c>
      <c r="J3802">
        <v>-228.60429999999999</v>
      </c>
      <c r="K3802">
        <v>1.1099049999999999</v>
      </c>
      <c r="L3802">
        <v>214.76480000000001</v>
      </c>
      <c r="M3802">
        <v>0.99985639999999998</v>
      </c>
      <c r="N3802">
        <v>0</v>
      </c>
      <c r="O3802">
        <v>8.4638869999999998E-3</v>
      </c>
      <c r="P3802">
        <v>0.99623200000000001</v>
      </c>
      <c r="Q3802">
        <v>1.3899470000000001E-2</v>
      </c>
      <c r="R3802">
        <v>-8.5609899999999906E-2</v>
      </c>
      <c r="S3802">
        <v>2.973938</v>
      </c>
      <c r="T3802">
        <v>-0.2197664</v>
      </c>
      <c r="U3802">
        <v>-0.47265629999999997</v>
      </c>
      <c r="V3802">
        <v>9.4040570000000004E-2</v>
      </c>
      <c r="W3802">
        <v>2.8517020000000001E-2</v>
      </c>
      <c r="X3802">
        <v>0.99515989999999999</v>
      </c>
      <c r="Y3802">
        <v>0.1648559</v>
      </c>
      <c r="Z3802">
        <v>-6.6660299999999999E-3</v>
      </c>
      <c r="AA3802">
        <v>0.98629520000000004</v>
      </c>
      <c r="AB3802">
        <v>35</v>
      </c>
      <c r="AC3802">
        <v>14.665899999999899</v>
      </c>
      <c r="AD3802">
        <v>-1.1099043429630999</v>
      </c>
      <c r="AE3802">
        <v>-2.3901000000000101</v>
      </c>
      <c r="AF3802">
        <v>2.5002091754815701</v>
      </c>
      <c r="AG3802">
        <v>-1.1099043429630999</v>
      </c>
      <c r="AH3802">
        <v>14.563888423604499</v>
      </c>
      <c r="AI3802">
        <v>94.295453493567095</v>
      </c>
      <c r="AJ3802">
        <v>80.258882984142204</v>
      </c>
      <c r="AK3802">
        <v>14.818561994569301</v>
      </c>
      <c r="AL3802">
        <v>88.365873636443197</v>
      </c>
      <c r="AM3802">
        <v>84.601696934463007</v>
      </c>
      <c r="AN3802">
        <v>1.0000000379017999</v>
      </c>
    </row>
    <row r="3803" spans="1:40" x14ac:dyDescent="0.25">
      <c r="A3803" t="str">
        <f>"20190312154911781"</f>
        <v>20190312154911781</v>
      </c>
      <c r="B3803" t="str">
        <f>"1552376951769397"</f>
        <v>1552376951769397</v>
      </c>
      <c r="C3803" t="s">
        <v>40</v>
      </c>
      <c r="D3803">
        <v>4.5494260000000004</v>
      </c>
      <c r="E3803">
        <v>0.52818730000000003</v>
      </c>
      <c r="F3803" t="s">
        <v>50</v>
      </c>
      <c r="G3803">
        <v>-213.19040000000001</v>
      </c>
      <c r="H3803" s="1">
        <v>2.6136530000000001E-7</v>
      </c>
      <c r="I3803">
        <v>212.31960000000001</v>
      </c>
      <c r="J3803">
        <v>-228.2646</v>
      </c>
      <c r="K3803">
        <v>1.109901</v>
      </c>
      <c r="L3803">
        <v>214.76769999999999</v>
      </c>
      <c r="M3803">
        <v>0.99985630000000003</v>
      </c>
      <c r="N3803">
        <v>0</v>
      </c>
      <c r="O3803">
        <v>8.4640930000000007E-3</v>
      </c>
      <c r="P3803">
        <v>0.99620249999999999</v>
      </c>
      <c r="Q3803">
        <v>1.2837360000000001E-2</v>
      </c>
      <c r="R3803">
        <v>-8.6115999999999998E-2</v>
      </c>
      <c r="S3803">
        <v>2.9737849999999999</v>
      </c>
      <c r="T3803">
        <v>-0.21413270000000001</v>
      </c>
      <c r="U3803">
        <v>-0.47175600000000001</v>
      </c>
      <c r="V3803">
        <v>9.4546660000000005E-2</v>
      </c>
      <c r="W3803">
        <v>2.7450760000000001E-2</v>
      </c>
      <c r="X3803">
        <v>0.99514190000000002</v>
      </c>
      <c r="Y3803">
        <v>0.16459660000000001</v>
      </c>
      <c r="Z3803">
        <v>-6.4868149999999999E-3</v>
      </c>
      <c r="AA3803">
        <v>0.98633959999999998</v>
      </c>
      <c r="AB3803">
        <v>35</v>
      </c>
      <c r="AC3803">
        <v>15.0741999999999</v>
      </c>
      <c r="AD3803">
        <v>-1.1099007386347</v>
      </c>
      <c r="AE3803">
        <v>-2.4480999999999802</v>
      </c>
      <c r="AF3803">
        <v>2.56208270767761</v>
      </c>
      <c r="AG3803">
        <v>-1.1099007386347</v>
      </c>
      <c r="AH3803">
        <v>14.973845722953399</v>
      </c>
      <c r="AI3803">
        <v>94.178654141314695</v>
      </c>
      <c r="AJ3803">
        <v>80.290496233047804</v>
      </c>
      <c r="AK3803">
        <v>15.231946795646699</v>
      </c>
      <c r="AL3803">
        <v>88.426989722713699</v>
      </c>
      <c r="AM3803">
        <v>84.572720775299103</v>
      </c>
      <c r="AN3803">
        <v>1.00000000813867</v>
      </c>
    </row>
    <row r="3804" spans="1:40" x14ac:dyDescent="0.25">
      <c r="A3804" t="str">
        <f>"20190312154911803"</f>
        <v>20190312154911803</v>
      </c>
      <c r="B3804" t="str">
        <f>"1552376951789893"</f>
        <v>1552376951789893</v>
      </c>
      <c r="C3804" t="s">
        <v>40</v>
      </c>
      <c r="D3804">
        <v>4.5330469999999998</v>
      </c>
      <c r="E3804">
        <v>0.52818929999999997</v>
      </c>
      <c r="F3804" t="s">
        <v>50</v>
      </c>
      <c r="G3804">
        <v>-212.64830000000001</v>
      </c>
      <c r="H3804" s="1">
        <v>-2.543053E-8</v>
      </c>
      <c r="I3804">
        <v>212.28100000000001</v>
      </c>
      <c r="J3804">
        <v>-227.92060000000001</v>
      </c>
      <c r="K3804">
        <v>1.109901</v>
      </c>
      <c r="L3804">
        <v>214.7706</v>
      </c>
      <c r="M3804">
        <v>0.99985650000000004</v>
      </c>
      <c r="N3804">
        <v>0</v>
      </c>
      <c r="O3804">
        <v>8.4639420000000003E-3</v>
      </c>
      <c r="P3804">
        <v>0.99620050000000004</v>
      </c>
      <c r="Q3804">
        <v>1.1966940000000001E-2</v>
      </c>
      <c r="R3804">
        <v>-8.6265599999999998E-2</v>
      </c>
      <c r="S3804">
        <v>2.9732210000000001</v>
      </c>
      <c r="T3804">
        <v>-0.21131539999999999</v>
      </c>
      <c r="U3804">
        <v>-0.47344969999999997</v>
      </c>
      <c r="V3804">
        <v>9.4696180000000005E-2</v>
      </c>
      <c r="W3804">
        <v>2.6577030000000001E-2</v>
      </c>
      <c r="X3804">
        <v>0.99515140000000002</v>
      </c>
      <c r="Y3804">
        <v>0.16518329999999901</v>
      </c>
      <c r="Z3804">
        <v>-6.4232780000000001E-3</v>
      </c>
      <c r="AA3804">
        <v>0.98624199999999995</v>
      </c>
      <c r="AB3804">
        <v>35</v>
      </c>
      <c r="AC3804">
        <v>15.2723</v>
      </c>
      <c r="AD3804">
        <v>-1.1099010254305299</v>
      </c>
      <c r="AE3804">
        <v>-2.4896000000000198</v>
      </c>
      <c r="AF3804">
        <v>2.6053843721483498</v>
      </c>
      <c r="AG3804">
        <v>-1.1099010254305299</v>
      </c>
      <c r="AH3804">
        <v>15.1726184600933</v>
      </c>
      <c r="AI3804">
        <v>94.123682772549898</v>
      </c>
      <c r="AJ3804">
        <v>80.256412844472294</v>
      </c>
      <c r="AK3804">
        <v>15.4346447626257</v>
      </c>
      <c r="AL3804">
        <v>88.477069039605396</v>
      </c>
      <c r="AM3804">
        <v>84.564240801927895</v>
      </c>
      <c r="AN3804">
        <v>1.0000000069760799</v>
      </c>
    </row>
    <row r="3805" spans="1:40" x14ac:dyDescent="0.25">
      <c r="A3805" t="str">
        <f>"20190312154911826"</f>
        <v>20190312154911826</v>
      </c>
      <c r="B3805" t="str">
        <f>"1552376951820148"</f>
        <v>1552376951820148</v>
      </c>
      <c r="C3805" t="s">
        <v>40</v>
      </c>
      <c r="D3805">
        <v>4.5562209999999999</v>
      </c>
      <c r="E3805">
        <v>0.52817860000000005</v>
      </c>
      <c r="F3805" t="s">
        <v>50</v>
      </c>
      <c r="G3805">
        <v>-212.07640000000001</v>
      </c>
      <c r="H3805" s="1">
        <v>-3.2810599999999999E-7</v>
      </c>
      <c r="I3805">
        <v>212.24379999999999</v>
      </c>
      <c r="J3805">
        <v>-227.5609</v>
      </c>
      <c r="K3805">
        <v>1.1099000000000001</v>
      </c>
      <c r="L3805">
        <v>214.77369999999999</v>
      </c>
      <c r="M3805">
        <v>0.99985639999999998</v>
      </c>
      <c r="N3805">
        <v>0</v>
      </c>
      <c r="O3805">
        <v>8.4639720000000002E-3</v>
      </c>
      <c r="P3805">
        <v>0.99620129999999996</v>
      </c>
      <c r="Q3805">
        <v>1.14868E-2</v>
      </c>
      <c r="R3805">
        <v>-8.6320889999999997E-2</v>
      </c>
      <c r="S3805">
        <v>2.9729000000000001</v>
      </c>
      <c r="T3805">
        <v>-0.2082552</v>
      </c>
      <c r="U3805">
        <v>-0.47412109999999902</v>
      </c>
      <c r="V3805">
        <v>9.4751479999999999E-2</v>
      </c>
      <c r="W3805">
        <v>2.6092730000000001E-2</v>
      </c>
      <c r="X3805">
        <v>0.99515900000000002</v>
      </c>
      <c r="Y3805">
        <v>0.16542860000000001</v>
      </c>
      <c r="Z3805">
        <v>-6.3395760000000004E-3</v>
      </c>
      <c r="AA3805">
        <v>0.98620140000000001</v>
      </c>
      <c r="AB3805">
        <v>35</v>
      </c>
      <c r="AC3805">
        <v>15.484499999999899</v>
      </c>
      <c r="AD3805">
        <v>-1.109900328106</v>
      </c>
      <c r="AE3805">
        <v>-2.5298999999999898</v>
      </c>
      <c r="AF3805">
        <v>2.6476346301186799</v>
      </c>
      <c r="AG3805">
        <v>-1.109900328106</v>
      </c>
      <c r="AH3805">
        <v>15.3855379703538</v>
      </c>
      <c r="AI3805">
        <v>94.066555443282297</v>
      </c>
      <c r="AJ3805">
        <v>80.2358367719455</v>
      </c>
      <c r="AK3805">
        <v>15.6510902658611</v>
      </c>
      <c r="AL3805">
        <v>88.504827083732494</v>
      </c>
      <c r="AM3805">
        <v>84.561126783508897</v>
      </c>
      <c r="AN3805">
        <v>1.0000000544010199</v>
      </c>
    </row>
    <row r="3806" spans="1:40" x14ac:dyDescent="0.25">
      <c r="A3806" t="str">
        <f>"20190312154911847"</f>
        <v>20190312154911847</v>
      </c>
      <c r="B3806" t="str">
        <f>"1552376951839669"</f>
        <v>1552376951839669</v>
      </c>
      <c r="C3806" t="s">
        <v>40</v>
      </c>
      <c r="D3806">
        <v>4.629956</v>
      </c>
      <c r="E3806">
        <v>0.52807419999999905</v>
      </c>
      <c r="F3806" t="s">
        <v>50</v>
      </c>
      <c r="G3806">
        <v>-211.26410000000001</v>
      </c>
      <c r="H3806" s="1">
        <v>-7.5722060000000001E-7</v>
      </c>
      <c r="I3806">
        <v>212.17160000000001</v>
      </c>
      <c r="J3806">
        <v>-227.22290000000001</v>
      </c>
      <c r="K3806">
        <v>1.1098889999999999</v>
      </c>
      <c r="L3806">
        <v>214.7765</v>
      </c>
      <c r="M3806">
        <v>0.99985650000000004</v>
      </c>
      <c r="N3806">
        <v>0</v>
      </c>
      <c r="O3806">
        <v>8.4639989999999998E-3</v>
      </c>
      <c r="P3806">
        <v>0.99622960000000005</v>
      </c>
      <c r="Q3806">
        <v>1.1257090000000001E-2</v>
      </c>
      <c r="R3806">
        <v>-8.6022979999999999E-2</v>
      </c>
      <c r="S3806">
        <v>2.972626</v>
      </c>
      <c r="T3806">
        <v>-0.20245270000000001</v>
      </c>
      <c r="U3806">
        <v>-0.47462460000000001</v>
      </c>
      <c r="V3806">
        <v>9.4453700000000002E-2</v>
      </c>
      <c r="W3806">
        <v>2.5859630000000002E-2</v>
      </c>
      <c r="X3806">
        <v>0.99519340000000001</v>
      </c>
      <c r="Y3806">
        <v>0.165628</v>
      </c>
      <c r="Z3806">
        <v>-6.1705669999999897E-3</v>
      </c>
      <c r="AA3806">
        <v>0.98616899999999996</v>
      </c>
      <c r="AB3806">
        <v>35</v>
      </c>
      <c r="AC3806">
        <v>15.958799999999901</v>
      </c>
      <c r="AD3806">
        <v>-1.1098897572205999</v>
      </c>
      <c r="AE3806">
        <v>-2.6048999999999798</v>
      </c>
      <c r="AF3806">
        <v>2.7270485689497099</v>
      </c>
      <c r="AG3806">
        <v>-1.1098897572205999</v>
      </c>
      <c r="AH3806">
        <v>15.8614500963068</v>
      </c>
      <c r="AI3806">
        <v>93.944997789695194</v>
      </c>
      <c r="AJ3806">
        <v>80.2445512407091</v>
      </c>
      <c r="AK3806">
        <v>16.132397476141701</v>
      </c>
      <c r="AL3806">
        <v>88.518187249696794</v>
      </c>
      <c r="AM3806">
        <v>84.578304067668796</v>
      </c>
      <c r="AN3806">
        <v>1.0000000626554899</v>
      </c>
    </row>
    <row r="3807" spans="1:40" x14ac:dyDescent="0.25">
      <c r="A3807" t="str">
        <f>"20190312154911869"</f>
        <v>20190312154911869</v>
      </c>
      <c r="B3807" t="str">
        <f>"1552376951860165"</f>
        <v>1552376951860165</v>
      </c>
      <c r="C3807" t="s">
        <v>40</v>
      </c>
      <c r="D3807">
        <v>4.50101</v>
      </c>
      <c r="E3807">
        <v>0.52799989999999997</v>
      </c>
      <c r="F3807" t="s">
        <v>50</v>
      </c>
      <c r="G3807">
        <v>-210.8663</v>
      </c>
      <c r="H3807" s="1">
        <v>-9.6897179999999994E-7</v>
      </c>
      <c r="I3807">
        <v>212.17320000000001</v>
      </c>
      <c r="J3807">
        <v>-226.8706</v>
      </c>
      <c r="K3807">
        <v>1.109885</v>
      </c>
      <c r="L3807">
        <v>214.77950000000001</v>
      </c>
      <c r="M3807">
        <v>0.99985659999999998</v>
      </c>
      <c r="N3807">
        <v>0</v>
      </c>
      <c r="O3807">
        <v>8.4640289999999997E-3</v>
      </c>
      <c r="P3807">
        <v>0.99624310000000005</v>
      </c>
      <c r="Q3807">
        <v>1.042269E-2</v>
      </c>
      <c r="R3807">
        <v>-8.5973590000000003E-2</v>
      </c>
      <c r="S3807">
        <v>2.972763</v>
      </c>
      <c r="T3807">
        <v>-0.2017198</v>
      </c>
      <c r="U3807">
        <v>-0.47314450000000002</v>
      </c>
      <c r="V3807">
        <v>9.4404349999999998E-2</v>
      </c>
      <c r="W3807">
        <v>2.502163E-2</v>
      </c>
      <c r="X3807">
        <v>0.99521950000000003</v>
      </c>
      <c r="Y3807">
        <v>0.16514599999999999</v>
      </c>
      <c r="Z3807">
        <v>-6.1320069999999897E-3</v>
      </c>
      <c r="AA3807">
        <v>0.98624999999999996</v>
      </c>
      <c r="AB3807">
        <v>35</v>
      </c>
      <c r="AC3807">
        <v>16.004300000000001</v>
      </c>
      <c r="AD3807">
        <v>-1.1098859689717999</v>
      </c>
      <c r="AE3807">
        <v>-2.6063000000000001</v>
      </c>
      <c r="AF3807">
        <v>2.7288969863333401</v>
      </c>
      <c r="AG3807">
        <v>-1.1098859689717999</v>
      </c>
      <c r="AH3807">
        <v>15.9071383983025</v>
      </c>
      <c r="AI3807">
        <v>93.933936277817907</v>
      </c>
      <c r="AJ3807">
        <v>80.265567014534099</v>
      </c>
      <c r="AK3807">
        <v>16.177632016116899</v>
      </c>
      <c r="AL3807">
        <v>88.566216650419193</v>
      </c>
      <c r="AM3807">
        <v>84.581261185525406</v>
      </c>
      <c r="AN3807">
        <v>1.00000005822351</v>
      </c>
    </row>
    <row r="3808" spans="1:40" x14ac:dyDescent="0.25">
      <c r="A3808" t="str">
        <f>"20190312154911904"</f>
        <v>20190312154911904</v>
      </c>
      <c r="B3808" t="str">
        <f>"1552376951900181"</f>
        <v>1552376951900181</v>
      </c>
      <c r="C3808" t="s">
        <v>40</v>
      </c>
      <c r="D3808">
        <v>4.5159159999999998</v>
      </c>
      <c r="E3808">
        <v>0.5279431</v>
      </c>
      <c r="F3808" t="s">
        <v>50</v>
      </c>
      <c r="G3808">
        <v>-210.4631</v>
      </c>
      <c r="H3808" s="1">
        <v>-1.183563E-6</v>
      </c>
      <c r="I3808">
        <v>212.17339999999999</v>
      </c>
      <c r="J3808">
        <v>-226.34870000000001</v>
      </c>
      <c r="K3808">
        <v>1.109885</v>
      </c>
      <c r="L3808">
        <v>214.78399999999999</v>
      </c>
      <c r="M3808">
        <v>0.99985670000000004</v>
      </c>
      <c r="N3808">
        <v>0</v>
      </c>
      <c r="O3808">
        <v>8.4640710000000001E-3</v>
      </c>
      <c r="P3808">
        <v>0.99624369999999995</v>
      </c>
      <c r="Q3808">
        <v>9.6717399999999999E-3</v>
      </c>
      <c r="R3808">
        <v>-8.6053959999999999E-2</v>
      </c>
      <c r="S3808">
        <v>2.9726870000000001</v>
      </c>
      <c r="T3808">
        <v>-0.20108799999999999</v>
      </c>
      <c r="U3808">
        <v>-0.47216799999999998</v>
      </c>
      <c r="V3808">
        <v>9.4484929999999995E-2</v>
      </c>
      <c r="W3808">
        <v>2.4265599999999998E-2</v>
      </c>
      <c r="X3808">
        <v>0.99523050000000002</v>
      </c>
      <c r="Y3808">
        <v>0.16483709999999999</v>
      </c>
      <c r="Z3808">
        <v>-6.1027859999999998E-3</v>
      </c>
      <c r="AA3808">
        <v>0.98630189999999995</v>
      </c>
      <c r="AB3808">
        <v>35</v>
      </c>
      <c r="AC3808">
        <v>15.8856</v>
      </c>
      <c r="AD3808">
        <v>-1.1098861835630001</v>
      </c>
      <c r="AE3808">
        <v>-2.61060000000003</v>
      </c>
      <c r="AF3808">
        <v>2.7319923506007502</v>
      </c>
      <c r="AG3808">
        <v>-1.1098861835630001</v>
      </c>
      <c r="AH3808">
        <v>15.7878908480221</v>
      </c>
      <c r="AI3808">
        <v>93.962569988299094</v>
      </c>
      <c r="AJ3808">
        <v>80.182557053196902</v>
      </c>
      <c r="AK3808">
        <v>16.060919244341701</v>
      </c>
      <c r="AL3808">
        <v>88.609547034381606</v>
      </c>
      <c r="AM3808">
        <v>84.576723104882007</v>
      </c>
      <c r="AN3808">
        <v>0.99999998473535701</v>
      </c>
    </row>
    <row r="3809" spans="1:40" x14ac:dyDescent="0.25">
      <c r="A3809" t="str">
        <f>"20190312154911926"</f>
        <v>20190312154911926</v>
      </c>
      <c r="B3809" t="str">
        <f>"1552376951919705"</f>
        <v>1552376951919705</v>
      </c>
      <c r="C3809" t="s">
        <v>40</v>
      </c>
      <c r="D3809">
        <v>4.4292540000000002</v>
      </c>
      <c r="E3809">
        <v>0.52796189999999998</v>
      </c>
      <c r="F3809" t="s">
        <v>49</v>
      </c>
      <c r="G3809">
        <v>-209.68960000000001</v>
      </c>
      <c r="H3809" s="1">
        <v>6.730648E-6</v>
      </c>
      <c r="I3809">
        <v>212.1371</v>
      </c>
      <c r="J3809">
        <v>-226.00049999999999</v>
      </c>
      <c r="K3809">
        <v>1.109885</v>
      </c>
      <c r="L3809">
        <v>214.7869</v>
      </c>
      <c r="M3809">
        <v>0.99985679999999999</v>
      </c>
      <c r="N3809">
        <v>0</v>
      </c>
      <c r="O3809">
        <v>8.4640989999999992E-3</v>
      </c>
      <c r="P3809">
        <v>0.9962818</v>
      </c>
      <c r="Q3809">
        <v>9.3335299999999996E-3</v>
      </c>
      <c r="R3809">
        <v>-8.5648559999999999E-2</v>
      </c>
      <c r="S3809">
        <v>2.972458</v>
      </c>
      <c r="T3809">
        <v>-0.19803380000000001</v>
      </c>
      <c r="U3809">
        <v>-0.47227479999999999</v>
      </c>
      <c r="V3809">
        <v>9.4079949999999996E-2</v>
      </c>
      <c r="W3809">
        <v>2.3924279999999999E-2</v>
      </c>
      <c r="X3809">
        <v>0.99527719999999997</v>
      </c>
      <c r="Y3809">
        <v>0.16489489999999901</v>
      </c>
      <c r="Z3809">
        <v>-6.0126519999999899E-3</v>
      </c>
      <c r="AA3809">
        <v>0.98629279999999997</v>
      </c>
      <c r="AB3809">
        <v>35</v>
      </c>
      <c r="AC3809">
        <v>16.310899999999901</v>
      </c>
      <c r="AD3809">
        <v>-1.109878269352</v>
      </c>
      <c r="AE3809">
        <v>-2.6497999999999902</v>
      </c>
      <c r="AF3809">
        <v>2.7752575179763301</v>
      </c>
      <c r="AG3809">
        <v>-1.109878269352</v>
      </c>
      <c r="AH3809">
        <v>16.214738850674699</v>
      </c>
      <c r="AI3809">
        <v>93.859762049259302</v>
      </c>
      <c r="AJ3809">
        <v>80.287567128677296</v>
      </c>
      <c r="AK3809">
        <v>16.4879240676152</v>
      </c>
      <c r="AL3809">
        <v>88.629109007948301</v>
      </c>
      <c r="AM3809">
        <v>84.600082456444795</v>
      </c>
      <c r="AN3809">
        <v>1.0000000565026701</v>
      </c>
    </row>
    <row r="3810" spans="1:40" x14ac:dyDescent="0.25">
      <c r="A3810" t="str">
        <f>"20190312154911948"</f>
        <v>20190312154911948</v>
      </c>
      <c r="B3810" t="str">
        <f>"1552376951939221"</f>
        <v>1552376951939221</v>
      </c>
      <c r="C3810" t="s">
        <v>40</v>
      </c>
      <c r="D3810">
        <v>4.3918509999999999</v>
      </c>
      <c r="E3810">
        <v>0.52806169999999997</v>
      </c>
      <c r="F3810" t="s">
        <v>49</v>
      </c>
      <c r="G3810">
        <v>-209.16739999999999</v>
      </c>
      <c r="H3810" s="1">
        <v>6.5008560000000004E-6</v>
      </c>
      <c r="I3810">
        <v>212.11670000000001</v>
      </c>
      <c r="J3810">
        <v>-225.649</v>
      </c>
      <c r="K3810">
        <v>1.109885</v>
      </c>
      <c r="L3810">
        <v>214.78989999999999</v>
      </c>
      <c r="M3810">
        <v>0.99985679999999999</v>
      </c>
      <c r="N3810">
        <v>0</v>
      </c>
      <c r="O3810">
        <v>8.4641259999999902E-3</v>
      </c>
      <c r="P3810">
        <v>0.99626320000000002</v>
      </c>
      <c r="Q3810">
        <v>1.003506E-2</v>
      </c>
      <c r="R3810">
        <v>-8.5784830000000006E-2</v>
      </c>
      <c r="S3810">
        <v>2.9725039999999998</v>
      </c>
      <c r="T3810">
        <v>-0.19598940000000001</v>
      </c>
      <c r="U3810">
        <v>-0.47152709999999998</v>
      </c>
      <c r="V3810">
        <v>9.4216140000000004E-2</v>
      </c>
      <c r="W3810">
        <v>2.4621690000000002E-2</v>
      </c>
      <c r="X3810">
        <v>0.9952472</v>
      </c>
      <c r="Y3810">
        <v>0.16465879999999999</v>
      </c>
      <c r="Z3810">
        <v>-5.943009E-3</v>
      </c>
      <c r="AA3810">
        <v>0.98633269999999995</v>
      </c>
      <c r="AB3810">
        <v>35</v>
      </c>
      <c r="AC3810">
        <v>16.4816</v>
      </c>
      <c r="AD3810">
        <v>-1.1098784991440001</v>
      </c>
      <c r="AE3810">
        <v>-2.67319999999998</v>
      </c>
      <c r="AF3810">
        <v>2.8002486380611198</v>
      </c>
      <c r="AG3810">
        <v>-1.1098784991440001</v>
      </c>
      <c r="AH3810">
        <v>16.385979270817199</v>
      </c>
      <c r="AI3810">
        <v>93.819713463380793</v>
      </c>
      <c r="AJ3810">
        <v>80.302235798379101</v>
      </c>
      <c r="AK3810">
        <v>16.660538388103699</v>
      </c>
      <c r="AL3810">
        <v>88.589138431357696</v>
      </c>
      <c r="AM3810">
        <v>84.592149810561907</v>
      </c>
      <c r="AN3810">
        <v>0.99999994888139598</v>
      </c>
    </row>
    <row r="3811" spans="1:40" x14ac:dyDescent="0.25">
      <c r="A3811" t="str">
        <f>"20190312154911971"</f>
        <v>20190312154911971</v>
      </c>
      <c r="B3811" t="str">
        <f>"1552376951959717"</f>
        <v>1552376951959717</v>
      </c>
      <c r="C3811" t="s">
        <v>40</v>
      </c>
      <c r="D3811">
        <v>4.3406399999999996</v>
      </c>
      <c r="E3811">
        <v>0.52816169999999996</v>
      </c>
      <c r="F3811" t="s">
        <v>49</v>
      </c>
      <c r="G3811">
        <v>-208.2182</v>
      </c>
      <c r="H3811" s="1">
        <v>6.0886329999999999E-6</v>
      </c>
      <c r="I3811">
        <v>212.01750000000001</v>
      </c>
      <c r="J3811">
        <v>-225.2962</v>
      </c>
      <c r="K3811">
        <v>1.109893</v>
      </c>
      <c r="L3811">
        <v>214.7929</v>
      </c>
      <c r="M3811">
        <v>0.99985679999999999</v>
      </c>
      <c r="N3811">
        <v>0</v>
      </c>
      <c r="O3811">
        <v>8.4641539999999998E-3</v>
      </c>
      <c r="P3811">
        <v>0.99625609999999998</v>
      </c>
      <c r="Q3811">
        <v>1.0218329999999999E-2</v>
      </c>
      <c r="R3811">
        <v>-8.5845870000000005E-2</v>
      </c>
      <c r="S3811">
        <v>2.972458</v>
      </c>
      <c r="T3811">
        <v>-0.1892672</v>
      </c>
      <c r="U3811">
        <v>-0.47277829999999899</v>
      </c>
      <c r="V3811">
        <v>9.4277050000000001E-2</v>
      </c>
      <c r="W3811">
        <v>2.4800450000000002E-2</v>
      </c>
      <c r="X3811">
        <v>0.99523709999999999</v>
      </c>
      <c r="Y3811">
        <v>0.16508989999999901</v>
      </c>
      <c r="Z3811">
        <v>-5.7531120000000003E-3</v>
      </c>
      <c r="AA3811">
        <v>0.98626170000000002</v>
      </c>
      <c r="AB3811">
        <v>35</v>
      </c>
      <c r="AC3811">
        <v>17.077999999999999</v>
      </c>
      <c r="AD3811">
        <v>-1.109886911367</v>
      </c>
      <c r="AE3811">
        <v>-2.7753999999999901</v>
      </c>
      <c r="AF3811">
        <v>2.9079010977248498</v>
      </c>
      <c r="AG3811">
        <v>-1.109886911367</v>
      </c>
      <c r="AH3811">
        <v>16.9840061928818</v>
      </c>
      <c r="AI3811">
        <v>93.685425995483499</v>
      </c>
      <c r="AJ3811">
        <v>80.284360143114299</v>
      </c>
      <c r="AK3811">
        <v>17.2668527563659</v>
      </c>
      <c r="AL3811">
        <v>88.578893259329107</v>
      </c>
      <c r="AM3811">
        <v>84.588619834119598</v>
      </c>
      <c r="AN3811">
        <v>1.0000000548466501</v>
      </c>
    </row>
    <row r="3812" spans="1:40" x14ac:dyDescent="0.25">
      <c r="A3812" t="str">
        <f>"20190312154911993"</f>
        <v>20190312154911993</v>
      </c>
      <c r="B3812" t="str">
        <f>"1552376951989973"</f>
        <v>1552376951989973</v>
      </c>
      <c r="C3812" t="s">
        <v>40</v>
      </c>
      <c r="D3812">
        <v>4.3579939999999997</v>
      </c>
      <c r="E3812">
        <v>0.52818169999999898</v>
      </c>
      <c r="F3812" t="s">
        <v>49</v>
      </c>
      <c r="G3812">
        <v>-207.3691</v>
      </c>
      <c r="H3812" s="1">
        <v>5.7192560000000001E-6</v>
      </c>
      <c r="I3812">
        <v>211.93520000000001</v>
      </c>
      <c r="J3812">
        <v>-224.94630000000001</v>
      </c>
      <c r="K3812">
        <v>1.1098950000000001</v>
      </c>
      <c r="L3812">
        <v>214.79580000000001</v>
      </c>
      <c r="M3812">
        <v>0.99985690000000005</v>
      </c>
      <c r="N3812">
        <v>0</v>
      </c>
      <c r="O3812">
        <v>8.4641830000000001E-3</v>
      </c>
      <c r="P3812">
        <v>0.99628280000000002</v>
      </c>
      <c r="Q3812">
        <v>1.0750050000000001E-2</v>
      </c>
      <c r="R3812">
        <v>-8.5469870000000003E-2</v>
      </c>
      <c r="S3812">
        <v>2.9723510000000002</v>
      </c>
      <c r="T3812">
        <v>-0.1840212</v>
      </c>
      <c r="U3812">
        <v>-0.47380070000000002</v>
      </c>
      <c r="V3812">
        <v>9.3901570000000004E-2</v>
      </c>
      <c r="W3812">
        <v>2.5329089999999999E-2</v>
      </c>
      <c r="X3812">
        <v>0.99525920000000001</v>
      </c>
      <c r="Y3812">
        <v>0.16544439999999999</v>
      </c>
      <c r="Z3812">
        <v>-5.604899E-3</v>
      </c>
      <c r="AA3812">
        <v>0.98620319999999995</v>
      </c>
      <c r="AB3812">
        <v>35</v>
      </c>
      <c r="AC3812">
        <v>17.577200000000001</v>
      </c>
      <c r="AD3812">
        <v>-1.109889280744</v>
      </c>
      <c r="AE3812">
        <v>-2.8605999999999998</v>
      </c>
      <c r="AF3812">
        <v>2.99764650314189</v>
      </c>
      <c r="AG3812">
        <v>-1.109889280744</v>
      </c>
      <c r="AH3812">
        <v>17.4844410751355</v>
      </c>
      <c r="AI3812">
        <v>93.580090610373205</v>
      </c>
      <c r="AJ3812">
        <v>80.271422666557996</v>
      </c>
      <c r="AK3812">
        <v>17.774234680660498</v>
      </c>
      <c r="AL3812">
        <v>88.548594779783002</v>
      </c>
      <c r="AM3812">
        <v>84.610163700434896</v>
      </c>
      <c r="AN3812">
        <v>0.99999997141666597</v>
      </c>
    </row>
    <row r="3813" spans="1:40" x14ac:dyDescent="0.25">
      <c r="A3813" t="str">
        <f>"20190312154912016"</f>
        <v>20190312154912016</v>
      </c>
      <c r="B3813" t="str">
        <f>"1552376952009493"</f>
        <v>1552376952009493</v>
      </c>
      <c r="C3813" t="s">
        <v>40</v>
      </c>
      <c r="D3813">
        <v>4.2668499999999998</v>
      </c>
      <c r="E3813">
        <v>0.52825330000000004</v>
      </c>
      <c r="F3813" t="s">
        <v>49</v>
      </c>
      <c r="G3813">
        <v>-206.33750000000001</v>
      </c>
      <c r="H3813" s="1">
        <v>5.2706279999999999E-6</v>
      </c>
      <c r="I3813">
        <v>211.83439999999999</v>
      </c>
      <c r="J3813">
        <v>-224.6103</v>
      </c>
      <c r="K3813">
        <v>1.1098969999999999</v>
      </c>
      <c r="L3813">
        <v>214.7987</v>
      </c>
      <c r="M3813">
        <v>0.99985690000000005</v>
      </c>
      <c r="N3813">
        <v>0</v>
      </c>
      <c r="O3813">
        <v>8.4642099999999998E-3</v>
      </c>
      <c r="P3813">
        <v>0.99625870000000005</v>
      </c>
      <c r="Q3813">
        <v>1.109747E-2</v>
      </c>
      <c r="R3813">
        <v>-8.5704890000000006E-2</v>
      </c>
      <c r="S3813">
        <v>2.9725190000000001</v>
      </c>
      <c r="T3813">
        <v>-0.1772909</v>
      </c>
      <c r="U3813">
        <v>-0.473053</v>
      </c>
      <c r="V3813">
        <v>9.4136330000000004E-2</v>
      </c>
      <c r="W3813">
        <v>2.5672779999999999E-2</v>
      </c>
      <c r="X3813">
        <v>0.99522820000000001</v>
      </c>
      <c r="Y3813">
        <v>0.16521749999999999</v>
      </c>
      <c r="Z3813">
        <v>-5.3933619999999996E-3</v>
      </c>
      <c r="AA3813">
        <v>0.98624239999999996</v>
      </c>
      <c r="AB3813">
        <v>35</v>
      </c>
      <c r="AC3813">
        <v>18.272799999999901</v>
      </c>
      <c r="AD3813">
        <v>-1.1098917293720001</v>
      </c>
      <c r="AE3813">
        <v>-2.9643000000000002</v>
      </c>
      <c r="AF3813">
        <v>3.1077037591369199</v>
      </c>
      <c r="AG3813">
        <v>-1.1098917293720001</v>
      </c>
      <c r="AH3813">
        <v>18.181693367061499</v>
      </c>
      <c r="AI3813">
        <v>93.443439654762102</v>
      </c>
      <c r="AJ3813">
        <v>80.300459284407296</v>
      </c>
      <c r="AK3813">
        <v>18.4787352380873</v>
      </c>
      <c r="AL3813">
        <v>88.528896362800197</v>
      </c>
      <c r="AM3813">
        <v>84.596601104264707</v>
      </c>
      <c r="AN3813">
        <v>0.99999995516701701</v>
      </c>
    </row>
    <row r="3814" spans="1:40" x14ac:dyDescent="0.25">
      <c r="A3814" t="str">
        <f>"20190312154912037"</f>
        <v>20190312154912037</v>
      </c>
      <c r="B3814" t="str">
        <f>"1552376952029989"</f>
        <v>1552376952029989</v>
      </c>
      <c r="C3814" t="s">
        <v>40</v>
      </c>
      <c r="D3814">
        <v>4.2838770000000004</v>
      </c>
      <c r="E3814">
        <v>0.52842690000000003</v>
      </c>
      <c r="F3814" t="s">
        <v>49</v>
      </c>
      <c r="G3814">
        <v>-205.53059999999999</v>
      </c>
      <c r="H3814" s="1">
        <v>4.9200420000000002E-6</v>
      </c>
      <c r="I3814">
        <v>211.75139999999999</v>
      </c>
      <c r="J3814">
        <v>-224.27260000000001</v>
      </c>
      <c r="K3814">
        <v>1.1098980000000001</v>
      </c>
      <c r="L3814">
        <v>214.8015</v>
      </c>
      <c r="M3814">
        <v>0.99985710000000005</v>
      </c>
      <c r="N3814">
        <v>0</v>
      </c>
      <c r="O3814">
        <v>8.4642380000000007E-3</v>
      </c>
      <c r="P3814">
        <v>0.99624999999999997</v>
      </c>
      <c r="Q3814">
        <v>1.100521E-2</v>
      </c>
      <c r="R3814">
        <v>-8.5819409999999999E-2</v>
      </c>
      <c r="S3814">
        <v>2.9723510000000002</v>
      </c>
      <c r="T3814">
        <v>-0.17290620000000001</v>
      </c>
      <c r="U3814">
        <v>-0.47471619999999998</v>
      </c>
      <c r="V3814">
        <v>9.4250710000000001E-2</v>
      </c>
      <c r="W3814">
        <v>2.557649E-2</v>
      </c>
      <c r="X3814">
        <v>0.99521990000000005</v>
      </c>
      <c r="Y3814">
        <v>0.16577809999999901</v>
      </c>
      <c r="Z3814">
        <v>-5.2764519999999896E-3</v>
      </c>
      <c r="AA3814">
        <v>0.98614900000000005</v>
      </c>
      <c r="AB3814">
        <v>35</v>
      </c>
      <c r="AC3814">
        <v>18.742000000000001</v>
      </c>
      <c r="AD3814">
        <v>-1.109893079958</v>
      </c>
      <c r="AE3814">
        <v>-3.0501000000000098</v>
      </c>
      <c r="AF3814">
        <v>3.1977195309506001</v>
      </c>
      <c r="AG3814">
        <v>-1.109893079958</v>
      </c>
      <c r="AH3814">
        <v>18.6517856281238</v>
      </c>
      <c r="AI3814">
        <v>93.356569029117495</v>
      </c>
      <c r="AJ3814">
        <v>80.271614035856302</v>
      </c>
      <c r="AK3814">
        <v>18.956433735411501</v>
      </c>
      <c r="AL3814">
        <v>88.534415253423703</v>
      </c>
      <c r="AM3814">
        <v>84.590029802777494</v>
      </c>
      <c r="AN3814">
        <v>1.0000000012661101</v>
      </c>
    </row>
    <row r="3815" spans="1:40" x14ac:dyDescent="0.25">
      <c r="A3815" t="str">
        <f>"20190312154912060"</f>
        <v>20190312154912060</v>
      </c>
      <c r="B3815" t="str">
        <f>"1552376952049509"</f>
        <v>1552376952049509</v>
      </c>
      <c r="C3815" t="s">
        <v>40</v>
      </c>
      <c r="D3815">
        <v>4.219004</v>
      </c>
      <c r="E3815">
        <v>0.52857169999999998</v>
      </c>
      <c r="F3815" t="s">
        <v>49</v>
      </c>
      <c r="G3815">
        <v>-204.8826</v>
      </c>
      <c r="H3815" s="1">
        <v>4.637896E-6</v>
      </c>
      <c r="I3815">
        <v>211.6917</v>
      </c>
      <c r="J3815">
        <v>-223.92140000000001</v>
      </c>
      <c r="K3815">
        <v>1.1098939999999999</v>
      </c>
      <c r="L3815">
        <v>214.80449999999999</v>
      </c>
      <c r="M3815">
        <v>0.999857</v>
      </c>
      <c r="N3815">
        <v>0</v>
      </c>
      <c r="O3815">
        <v>8.4640859999999991E-3</v>
      </c>
      <c r="P3815">
        <v>0.99627100000000002</v>
      </c>
      <c r="Q3815">
        <v>1.078166E-2</v>
      </c>
      <c r="R3815">
        <v>-8.5603299999999993E-2</v>
      </c>
      <c r="S3815">
        <v>2.9721220000000002</v>
      </c>
      <c r="T3815">
        <v>-0.17012550000000001</v>
      </c>
      <c r="U3815">
        <v>-0.47666930000000002</v>
      </c>
      <c r="V3815">
        <v>9.4034549999999995E-2</v>
      </c>
      <c r="W3815">
        <v>2.5349590000000002E-2</v>
      </c>
      <c r="X3815">
        <v>0.99524619999999997</v>
      </c>
      <c r="Y3815">
        <v>0.16642979999999999</v>
      </c>
      <c r="Z3815">
        <v>-5.2103669999999996E-3</v>
      </c>
      <c r="AA3815">
        <v>0.98603949999999996</v>
      </c>
      <c r="AB3815">
        <v>35</v>
      </c>
      <c r="AC3815">
        <v>19.038799999999998</v>
      </c>
      <c r="AD3815">
        <v>-1.109889362104</v>
      </c>
      <c r="AE3815">
        <v>-3.1127999999999898</v>
      </c>
      <c r="AF3815">
        <v>3.26305120170526</v>
      </c>
      <c r="AG3815">
        <v>-1.109889362104</v>
      </c>
      <c r="AH3815">
        <v>18.949047357703801</v>
      </c>
      <c r="AI3815">
        <v>93.303602481880404</v>
      </c>
      <c r="AJ3815">
        <v>80.229415075659901</v>
      </c>
      <c r="AK3815">
        <v>19.259952058755601</v>
      </c>
      <c r="AL3815">
        <v>88.547419950941105</v>
      </c>
      <c r="AM3815">
        <v>84.6025057697249</v>
      </c>
      <c r="AN3815">
        <v>1.0000000484606499</v>
      </c>
    </row>
    <row r="3816" spans="1:40" x14ac:dyDescent="0.25">
      <c r="A3816" t="str">
        <f>"20190312154912081"</f>
        <v>20190312154912081</v>
      </c>
      <c r="B3816" t="str">
        <f>"1552376952079765"</f>
        <v>1552376952079765</v>
      </c>
      <c r="C3816" t="s">
        <v>40</v>
      </c>
      <c r="D3816">
        <v>4.2490779999999999</v>
      </c>
      <c r="E3816">
        <v>0.52881990000000001</v>
      </c>
      <c r="F3816" t="s">
        <v>49</v>
      </c>
      <c r="G3816">
        <v>-204.23750000000001</v>
      </c>
      <c r="H3816" s="1">
        <v>4.3559129999999998E-6</v>
      </c>
      <c r="I3816">
        <v>211.6447</v>
      </c>
      <c r="J3816">
        <v>-223.5829</v>
      </c>
      <c r="K3816">
        <v>1.10989</v>
      </c>
      <c r="L3816">
        <v>214.8073</v>
      </c>
      <c r="M3816">
        <v>0.99985729999999995</v>
      </c>
      <c r="N3816">
        <v>0</v>
      </c>
      <c r="O3816">
        <v>8.4572039999999994E-3</v>
      </c>
      <c r="P3816">
        <v>0.99623700000000004</v>
      </c>
      <c r="Q3816">
        <v>1.0073469999999999E-2</v>
      </c>
      <c r="R3816">
        <v>-8.6084419999999995E-2</v>
      </c>
      <c r="S3816">
        <v>2.9720610000000001</v>
      </c>
      <c r="T3816">
        <v>-0.16758139999999999</v>
      </c>
      <c r="U3816">
        <v>-0.47709659999999898</v>
      </c>
      <c r="V3816">
        <v>9.4508750000000002E-2</v>
      </c>
      <c r="W3816">
        <v>2.4636459999999999E-2</v>
      </c>
      <c r="X3816">
        <v>0.99521919999999997</v>
      </c>
      <c r="Y3816">
        <v>0.16657239999999901</v>
      </c>
      <c r="Z3816">
        <v>-5.1362279999999996E-3</v>
      </c>
      <c r="AA3816">
        <v>0.98601589999999995</v>
      </c>
      <c r="AB3816">
        <v>35</v>
      </c>
      <c r="AC3816">
        <v>19.345399999999898</v>
      </c>
      <c r="AD3816">
        <v>-1.109885644087</v>
      </c>
      <c r="AE3816">
        <v>-3.1625999999999901</v>
      </c>
      <c r="AF3816">
        <v>3.3154833405567001</v>
      </c>
      <c r="AG3816">
        <v>-1.109885644087</v>
      </c>
      <c r="AH3816">
        <v>19.2562253529846</v>
      </c>
      <c r="AI3816">
        <v>93.251019120135297</v>
      </c>
      <c r="AJ3816">
        <v>80.230756853840305</v>
      </c>
      <c r="AK3816">
        <v>19.571062586619799</v>
      </c>
      <c r="AL3816">
        <v>88.588292069262195</v>
      </c>
      <c r="AM3816">
        <v>84.575302806098406</v>
      </c>
      <c r="AN3816">
        <v>1.0000000575182599</v>
      </c>
    </row>
    <row r="3817" spans="1:40" x14ac:dyDescent="0.25">
      <c r="A3817" t="str">
        <f>"20190312154912105"</f>
        <v>20190312154912105</v>
      </c>
      <c r="B3817" t="str">
        <f>"1552376952099285"</f>
        <v>1552376952099285</v>
      </c>
      <c r="C3817" t="s">
        <v>40</v>
      </c>
      <c r="D3817">
        <v>4.2884390000000003</v>
      </c>
      <c r="E3817">
        <v>0.52897569999999905</v>
      </c>
      <c r="F3817" t="s">
        <v>49</v>
      </c>
      <c r="G3817">
        <v>-203.8433</v>
      </c>
      <c r="H3817" s="1">
        <v>4.183589E-6</v>
      </c>
      <c r="I3817">
        <v>211.61660000000001</v>
      </c>
      <c r="J3817">
        <v>-223.23179999999999</v>
      </c>
      <c r="K3817">
        <v>1.109877</v>
      </c>
      <c r="L3817">
        <v>214.81030000000001</v>
      </c>
      <c r="M3817">
        <v>0.99985749999999995</v>
      </c>
      <c r="N3817">
        <v>0</v>
      </c>
      <c r="O3817">
        <v>8.4310010000000005E-3</v>
      </c>
      <c r="P3817">
        <v>0.99622900000000003</v>
      </c>
      <c r="Q3817">
        <v>1.0028469999999999E-2</v>
      </c>
      <c r="R3817">
        <v>-8.6182239999999993E-2</v>
      </c>
      <c r="S3817">
        <v>2.971527</v>
      </c>
      <c r="T3817">
        <v>-0.1670789</v>
      </c>
      <c r="U3817">
        <v>-0.48031620000000003</v>
      </c>
      <c r="V3817">
        <v>9.4581109999999996E-2</v>
      </c>
      <c r="W3817">
        <v>2.458546E-2</v>
      </c>
      <c r="X3817">
        <v>0.99521349999999997</v>
      </c>
      <c r="Y3817">
        <v>0.1676155</v>
      </c>
      <c r="Z3817">
        <v>-5.1489689999999998E-3</v>
      </c>
      <c r="AA3817">
        <v>0.98583900000000002</v>
      </c>
      <c r="AB3817">
        <v>35</v>
      </c>
      <c r="AC3817">
        <v>19.388500000000001</v>
      </c>
      <c r="AD3817">
        <v>-1.1098728164110001</v>
      </c>
      <c r="AE3817">
        <v>-3.1937000000000002</v>
      </c>
      <c r="AF3817">
        <v>3.3463924252525201</v>
      </c>
      <c r="AG3817">
        <v>-1.1098728164110001</v>
      </c>
      <c r="AH3817">
        <v>19.299311230853</v>
      </c>
      <c r="AI3817">
        <v>93.243078362255602</v>
      </c>
      <c r="AJ3817">
        <v>80.163039453936506</v>
      </c>
      <c r="AK3817">
        <v>19.618704695206699</v>
      </c>
      <c r="AL3817">
        <v>88.591214917149102</v>
      </c>
      <c r="AM3817">
        <v>84.571143319803994</v>
      </c>
      <c r="AN3817">
        <v>0.99999997089724602</v>
      </c>
    </row>
    <row r="3818" spans="1:40" x14ac:dyDescent="0.25">
      <c r="A3818" t="str">
        <f>"20190312154912127"</f>
        <v>20190312154912127</v>
      </c>
      <c r="B3818" t="str">
        <f>"1552376952119785"</f>
        <v>1552376952119785</v>
      </c>
      <c r="C3818" t="s">
        <v>40</v>
      </c>
      <c r="D3818">
        <v>4.2225780000000004</v>
      </c>
      <c r="E3818">
        <v>0.52914169999999905</v>
      </c>
      <c r="F3818" t="s">
        <v>49</v>
      </c>
      <c r="G3818">
        <v>-203.37799999999999</v>
      </c>
      <c r="H3818" s="1">
        <v>3.9794990000000004E-6</v>
      </c>
      <c r="I3818">
        <v>211.5909</v>
      </c>
      <c r="J3818">
        <v>-222.89519999999999</v>
      </c>
      <c r="K3818">
        <v>1.109856</v>
      </c>
      <c r="L3818">
        <v>214.81309999999999</v>
      </c>
      <c r="M3818">
        <v>0.99985809999999997</v>
      </c>
      <c r="N3818">
        <v>0</v>
      </c>
      <c r="O3818">
        <v>8.374935E-3</v>
      </c>
      <c r="P3818">
        <v>0.99622160000000004</v>
      </c>
      <c r="Q3818">
        <v>9.7852689999999992E-3</v>
      </c>
      <c r="R3818">
        <v>-8.6295369999999996E-2</v>
      </c>
      <c r="S3818">
        <v>2.9713750000000001</v>
      </c>
      <c r="T3818">
        <v>-0.1661069</v>
      </c>
      <c r="U3818">
        <v>-0.4818268</v>
      </c>
      <c r="V3818">
        <v>9.4639490000000007E-2</v>
      </c>
      <c r="W3818">
        <v>2.4333759999999999E-2</v>
      </c>
      <c r="X3818">
        <v>0.99521420000000005</v>
      </c>
      <c r="Y3818">
        <v>0.16805909999999999</v>
      </c>
      <c r="Z3818">
        <v>-5.1283120000000003E-3</v>
      </c>
      <c r="AA3818">
        <v>0.98576350000000001</v>
      </c>
      <c r="AB3818">
        <v>34</v>
      </c>
      <c r="AC3818">
        <v>19.517199999999999</v>
      </c>
      <c r="AD3818">
        <v>-1.1098520205009901</v>
      </c>
      <c r="AE3818">
        <v>-3.22219999999998</v>
      </c>
      <c r="AF3818">
        <v>3.37493587074382</v>
      </c>
      <c r="AG3818">
        <v>-1.1098520205009901</v>
      </c>
      <c r="AH3818">
        <v>19.428368877932499</v>
      </c>
      <c r="AI3818">
        <v>93.2213488441827</v>
      </c>
      <c r="AJ3818">
        <v>80.145388360769005</v>
      </c>
      <c r="AK3818">
        <v>19.7505311547832</v>
      </c>
      <c r="AL3818">
        <v>88.605640669775894</v>
      </c>
      <c r="AM3818">
        <v>84.567816205502893</v>
      </c>
      <c r="AN3818">
        <v>1.00000003441241</v>
      </c>
    </row>
    <row r="3819" spans="1:40" x14ac:dyDescent="0.25">
      <c r="A3819" t="str">
        <f>"20190312154912150"</f>
        <v>20190312154912150</v>
      </c>
      <c r="B3819" t="str">
        <f>"1552376952139301"</f>
        <v>1552376952139301</v>
      </c>
      <c r="C3819" t="s">
        <v>40</v>
      </c>
      <c r="D3819">
        <v>4.2062799999999996</v>
      </c>
      <c r="E3819">
        <v>0.52929619999999999</v>
      </c>
      <c r="F3819" t="s">
        <v>49</v>
      </c>
      <c r="G3819">
        <v>-203.04769999999999</v>
      </c>
      <c r="H3819" s="1">
        <v>3.833777E-6</v>
      </c>
      <c r="I3819">
        <v>211.5822</v>
      </c>
      <c r="J3819">
        <v>-222.53970000000001</v>
      </c>
      <c r="K3819">
        <v>1.109828</v>
      </c>
      <c r="L3819">
        <v>214.8159</v>
      </c>
      <c r="M3819">
        <v>0.99985889999999999</v>
      </c>
      <c r="N3819">
        <v>0</v>
      </c>
      <c r="O3819">
        <v>8.2755350000000005E-3</v>
      </c>
      <c r="P3819">
        <v>0.99623379999999995</v>
      </c>
      <c r="Q3819">
        <v>9.2348889999999996E-3</v>
      </c>
      <c r="R3819">
        <v>-8.6214680000000002E-2</v>
      </c>
      <c r="S3819">
        <v>2.9710999999999999</v>
      </c>
      <c r="T3819">
        <v>-0.1661407</v>
      </c>
      <c r="U3819">
        <v>-0.48365780000000003</v>
      </c>
      <c r="V3819">
        <v>9.4461840000000005E-2</v>
      </c>
      <c r="W3819">
        <v>2.3772689999999999E-2</v>
      </c>
      <c r="X3819">
        <v>0.99524460000000003</v>
      </c>
      <c r="Y3819">
        <v>0.16856670000000001</v>
      </c>
      <c r="Z3819">
        <v>-5.1381350000000003E-3</v>
      </c>
      <c r="AA3819">
        <v>0.98567689999999997</v>
      </c>
      <c r="AB3819">
        <v>34</v>
      </c>
      <c r="AC3819">
        <v>19.492000000000001</v>
      </c>
      <c r="AD3819">
        <v>-1.109824166223</v>
      </c>
      <c r="AE3819">
        <v>-3.23369999999999</v>
      </c>
      <c r="AF3819">
        <v>3.3842358275939701</v>
      </c>
      <c r="AG3819">
        <v>-1.109824166223</v>
      </c>
      <c r="AH3819">
        <v>19.403350679873199</v>
      </c>
      <c r="AI3819">
        <v>93.225030431864695</v>
      </c>
      <c r="AJ3819">
        <v>80.106278564066798</v>
      </c>
      <c r="AK3819">
        <v>19.727513259983901</v>
      </c>
      <c r="AL3819">
        <v>88.6377968644844</v>
      </c>
      <c r="AM3819">
        <v>84.578116890374503</v>
      </c>
      <c r="AN3819">
        <v>0.99999999691759001</v>
      </c>
    </row>
    <row r="3820" spans="1:40" x14ac:dyDescent="0.25">
      <c r="A3820" t="str">
        <f>"20190312154912172"</f>
        <v>20190312154912172</v>
      </c>
      <c r="B3820" t="str">
        <f>"1552376952169557"</f>
        <v>1552376952169557</v>
      </c>
      <c r="C3820" t="s">
        <v>40</v>
      </c>
      <c r="D3820">
        <v>4.1798320000000002</v>
      </c>
      <c r="E3820">
        <v>0.52954049999999997</v>
      </c>
      <c r="F3820" t="s">
        <v>49</v>
      </c>
      <c r="G3820">
        <v>-202.75980000000001</v>
      </c>
      <c r="H3820" s="1">
        <v>3.7053759999999999E-6</v>
      </c>
      <c r="I3820">
        <v>211.59020000000001</v>
      </c>
      <c r="J3820">
        <v>-222.1986</v>
      </c>
      <c r="K3820">
        <v>1.1097969999999999</v>
      </c>
      <c r="L3820">
        <v>214.8186</v>
      </c>
      <c r="M3820">
        <v>0.99985999999999997</v>
      </c>
      <c r="N3820">
        <v>0</v>
      </c>
      <c r="O3820">
        <v>8.1430189999999996E-3</v>
      </c>
      <c r="P3820">
        <v>0.99624970000000002</v>
      </c>
      <c r="Q3820">
        <v>8.4018649999999997E-3</v>
      </c>
      <c r="R3820">
        <v>-8.6116490000000004E-2</v>
      </c>
      <c r="S3820">
        <v>2.9709469999999998</v>
      </c>
      <c r="T3820">
        <v>-0.16669579999999901</v>
      </c>
      <c r="U3820">
        <v>-0.48451230000000001</v>
      </c>
      <c r="V3820">
        <v>9.4233289999999997E-2</v>
      </c>
      <c r="W3820">
        <v>2.2929390000000001E-2</v>
      </c>
      <c r="X3820">
        <v>0.995286</v>
      </c>
      <c r="Y3820">
        <v>0.16871839999999999</v>
      </c>
      <c r="Z3820">
        <v>-5.1522620000000003E-3</v>
      </c>
      <c r="AA3820">
        <v>0.98565080000000005</v>
      </c>
      <c r="AB3820">
        <v>34</v>
      </c>
      <c r="AC3820">
        <v>19.438799999999901</v>
      </c>
      <c r="AD3820">
        <v>-1.1097932946239999</v>
      </c>
      <c r="AE3820">
        <v>-3.2283999999999899</v>
      </c>
      <c r="AF3820">
        <v>3.3758921559274402</v>
      </c>
      <c r="AG3820">
        <v>-1.1097932946239999</v>
      </c>
      <c r="AH3820">
        <v>19.350484558213001</v>
      </c>
      <c r="AI3820">
        <v>93.233708119979298</v>
      </c>
      <c r="AJ3820">
        <v>80.103758569044899</v>
      </c>
      <c r="AK3820">
        <v>19.674082993697201</v>
      </c>
      <c r="AL3820">
        <v>88.686127508267205</v>
      </c>
      <c r="AM3820">
        <v>84.591380872520205</v>
      </c>
      <c r="AN3820">
        <v>0.99999994583299601</v>
      </c>
    </row>
    <row r="3821" spans="1:40" x14ac:dyDescent="0.25">
      <c r="A3821" t="str">
        <f>"20190312154912193"</f>
        <v>20190312154912193</v>
      </c>
      <c r="B3821" t="str">
        <f>"1552376952189077"</f>
        <v>1552376952189077</v>
      </c>
      <c r="C3821" t="s">
        <v>40</v>
      </c>
      <c r="D3821">
        <v>4.2012409999999996</v>
      </c>
      <c r="E3821">
        <v>0.52974580000000004</v>
      </c>
      <c r="F3821" t="s">
        <v>49</v>
      </c>
      <c r="G3821">
        <v>-202.50970000000001</v>
      </c>
      <c r="H3821" s="1">
        <v>3.5939699999999998E-6</v>
      </c>
      <c r="I3821">
        <v>211.59630000000001</v>
      </c>
      <c r="J3821">
        <v>-221.8655</v>
      </c>
      <c r="K3821">
        <v>1.1097649999999999</v>
      </c>
      <c r="L3821">
        <v>214.8212</v>
      </c>
      <c r="M3821">
        <v>0.99986149999999996</v>
      </c>
      <c r="N3821">
        <v>0</v>
      </c>
      <c r="O3821">
        <v>7.9668169999999993E-3</v>
      </c>
      <c r="P3821">
        <v>0.99623700000000004</v>
      </c>
      <c r="Q3821">
        <v>8.6918199999999994E-3</v>
      </c>
      <c r="R3821">
        <v>-8.62348E-2</v>
      </c>
      <c r="S3821">
        <v>2.9706730000000001</v>
      </c>
      <c r="T3821">
        <v>-0.1674465</v>
      </c>
      <c r="U3821">
        <v>-0.48619079999999898</v>
      </c>
      <c r="V3821">
        <v>9.4178120000000004E-2</v>
      </c>
      <c r="W3821">
        <v>2.3207789999999999E-2</v>
      </c>
      <c r="X3821">
        <v>0.99528479999999997</v>
      </c>
      <c r="Y3821">
        <v>0.16909879999999999</v>
      </c>
      <c r="Z3821">
        <v>-5.1764469999999998E-3</v>
      </c>
      <c r="AA3821">
        <v>0.9855855</v>
      </c>
      <c r="AB3821">
        <v>34</v>
      </c>
      <c r="AC3821">
        <v>19.355799999999899</v>
      </c>
      <c r="AD3821">
        <v>-1.1097614060299901</v>
      </c>
      <c r="AE3821">
        <v>-3.2248999999999901</v>
      </c>
      <c r="AF3821">
        <v>3.36824490465143</v>
      </c>
      <c r="AG3821">
        <v>-1.1097614060299901</v>
      </c>
      <c r="AH3821">
        <v>19.267862529860199</v>
      </c>
      <c r="AI3821">
        <v>93.247258906649805</v>
      </c>
      <c r="AJ3821">
        <v>80.084231400990703</v>
      </c>
      <c r="AK3821">
        <v>19.591507613902898</v>
      </c>
      <c r="AL3821">
        <v>88.670172157092495</v>
      </c>
      <c r="AM3821">
        <v>84.594522172660106</v>
      </c>
      <c r="AN3821">
        <v>0.99999997645722905</v>
      </c>
    </row>
    <row r="3822" spans="1:40" x14ac:dyDescent="0.25">
      <c r="A3822" t="str">
        <f>"20190312154912216"</f>
        <v>20190312154912216</v>
      </c>
      <c r="B3822" t="str">
        <f>"1552376952209577"</f>
        <v>1552376952209577</v>
      </c>
      <c r="C3822" t="s">
        <v>40</v>
      </c>
      <c r="D3822">
        <v>4.1683750000000002</v>
      </c>
      <c r="E3822">
        <v>0.52995349999999997</v>
      </c>
      <c r="F3822" t="s">
        <v>49</v>
      </c>
      <c r="G3822">
        <v>-201.9238</v>
      </c>
      <c r="H3822" s="1">
        <v>3.3386769999999999E-6</v>
      </c>
      <c r="I3822">
        <v>211.5444</v>
      </c>
      <c r="J3822">
        <v>-221.5265</v>
      </c>
      <c r="K3822">
        <v>1.1097220000000001</v>
      </c>
      <c r="L3822">
        <v>214.8237</v>
      </c>
      <c r="M3822">
        <v>0.99986339999999996</v>
      </c>
      <c r="N3822">
        <v>0</v>
      </c>
      <c r="O3822">
        <v>7.7269369999999997E-3</v>
      </c>
      <c r="P3822">
        <v>0.99619020000000003</v>
      </c>
      <c r="Q3822">
        <v>8.4529700000000006E-3</v>
      </c>
      <c r="R3822">
        <v>-8.6798790000000001E-2</v>
      </c>
      <c r="S3822">
        <v>2.97052</v>
      </c>
      <c r="T3822">
        <v>-0.16530999999999901</v>
      </c>
      <c r="U3822">
        <v>-0.48811339999999998</v>
      </c>
      <c r="V3822">
        <v>9.4504980000000002E-2</v>
      </c>
      <c r="W3822">
        <v>2.2955130000000001E-2</v>
      </c>
      <c r="X3822">
        <v>0.99525969999999997</v>
      </c>
      <c r="Y3822">
        <v>0.16949829999999999</v>
      </c>
      <c r="Z3822">
        <v>-5.1082710000000002E-3</v>
      </c>
      <c r="AA3822">
        <v>0.98551730000000004</v>
      </c>
      <c r="AB3822">
        <v>34</v>
      </c>
      <c r="AC3822">
        <v>19.602699999999999</v>
      </c>
      <c r="AD3822">
        <v>-1.1097186613229999</v>
      </c>
      <c r="AE3822">
        <v>-3.2793000000000001</v>
      </c>
      <c r="AF3822">
        <v>3.4200251360604201</v>
      </c>
      <c r="AG3822">
        <v>-1.1097186613229999</v>
      </c>
      <c r="AH3822">
        <v>19.515932018144699</v>
      </c>
      <c r="AI3822">
        <v>93.205711759900595</v>
      </c>
      <c r="AJ3822">
        <v>80.0602611007874</v>
      </c>
      <c r="AK3822">
        <v>19.844385855334899</v>
      </c>
      <c r="AL3822">
        <v>88.684652397594405</v>
      </c>
      <c r="AM3822">
        <v>84.575737330413801</v>
      </c>
      <c r="AN3822">
        <v>0.99999999984110299</v>
      </c>
    </row>
    <row r="3823" spans="1:40" x14ac:dyDescent="0.25">
      <c r="A3823" t="str">
        <f>"20190312154912238"</f>
        <v>20190312154912238</v>
      </c>
      <c r="B3823" t="str">
        <f>"1552376952229093"</f>
        <v>1552376952229093</v>
      </c>
      <c r="C3823" t="s">
        <v>40</v>
      </c>
      <c r="D3823">
        <v>4.1420050000000002</v>
      </c>
      <c r="E3823">
        <v>0.53017819999999904</v>
      </c>
      <c r="F3823" t="s">
        <v>49</v>
      </c>
      <c r="G3823">
        <v>-201.55510000000001</v>
      </c>
      <c r="H3823" s="1">
        <v>3.1774150000000001E-6</v>
      </c>
      <c r="I3823">
        <v>211.5189</v>
      </c>
      <c r="J3823">
        <v>-221.18430000000001</v>
      </c>
      <c r="K3823">
        <v>1.1096699999999999</v>
      </c>
      <c r="L3823">
        <v>214.82599999999999</v>
      </c>
      <c r="M3823">
        <v>0.99986580000000003</v>
      </c>
      <c r="N3823">
        <v>0</v>
      </c>
      <c r="O3823">
        <v>7.4122930000000004E-3</v>
      </c>
      <c r="P3823">
        <v>0.99613989999999997</v>
      </c>
      <c r="Q3823">
        <v>8.5458369999999902E-3</v>
      </c>
      <c r="R3823">
        <v>-8.7362250000000002E-2</v>
      </c>
      <c r="S3823">
        <v>2.970062</v>
      </c>
      <c r="T3823">
        <v>-0.16503319999999999</v>
      </c>
      <c r="U3823">
        <v>-0.49147030000000003</v>
      </c>
      <c r="V3823">
        <v>9.4758090000000003E-2</v>
      </c>
      <c r="W3823">
        <v>2.3030930000000002E-2</v>
      </c>
      <c r="X3823">
        <v>0.9952339</v>
      </c>
      <c r="Y3823">
        <v>0.170297</v>
      </c>
      <c r="Z3823">
        <v>-5.1047050000000002E-3</v>
      </c>
      <c r="AA3823">
        <v>0.98537960000000002</v>
      </c>
      <c r="AB3823">
        <v>34</v>
      </c>
      <c r="AC3823">
        <v>19.629200000000001</v>
      </c>
      <c r="AD3823">
        <v>-1.1096668225849999</v>
      </c>
      <c r="AE3823">
        <v>-3.3070999999999899</v>
      </c>
      <c r="AF3823">
        <v>3.4418262434956901</v>
      </c>
      <c r="AG3823">
        <v>-1.1096668225849999</v>
      </c>
      <c r="AH3823">
        <v>19.543411845639099</v>
      </c>
      <c r="AI3823">
        <v>93.2005912911428</v>
      </c>
      <c r="AJ3823">
        <v>80.011955333387405</v>
      </c>
      <c r="AK3823">
        <v>19.875172324179399</v>
      </c>
      <c r="AL3823">
        <v>88.680308252369699</v>
      </c>
      <c r="AM3823">
        <v>84.561156531435699</v>
      </c>
      <c r="AN3823">
        <v>1.00000001753316</v>
      </c>
    </row>
    <row r="3824" spans="1:40" x14ac:dyDescent="0.25">
      <c r="A3824" t="str">
        <f>"20190312154912261"</f>
        <v>20190312154912261</v>
      </c>
      <c r="B3824" t="str">
        <f>"1552376952249589"</f>
        <v>1552376952249589</v>
      </c>
      <c r="C3824" t="s">
        <v>40</v>
      </c>
      <c r="D3824">
        <v>4.1674220000000002</v>
      </c>
      <c r="E3824">
        <v>0.53040399999999999</v>
      </c>
      <c r="F3824" t="s">
        <v>49</v>
      </c>
      <c r="G3824">
        <v>-201.0976</v>
      </c>
      <c r="H3824" s="1">
        <v>2.9780940000000002E-6</v>
      </c>
      <c r="I3824">
        <v>211.47790000000001</v>
      </c>
      <c r="J3824">
        <v>-220.8391</v>
      </c>
      <c r="K3824">
        <v>1.1095999999999999</v>
      </c>
      <c r="L3824">
        <v>214.82820000000001</v>
      </c>
      <c r="M3824">
        <v>0.9998688</v>
      </c>
      <c r="N3824">
        <v>0</v>
      </c>
      <c r="O3824">
        <v>7.0104470000000004E-3</v>
      </c>
      <c r="P3824">
        <v>0.99607159999999995</v>
      </c>
      <c r="Q3824">
        <v>8.0808530000000007E-3</v>
      </c>
      <c r="R3824">
        <v>-8.8181499999999996E-2</v>
      </c>
      <c r="S3824">
        <v>2.9696199999999999</v>
      </c>
      <c r="T3824">
        <v>-0.164053</v>
      </c>
      <c r="U3824">
        <v>-0.49497989999999997</v>
      </c>
      <c r="V3824">
        <v>9.518016E-2</v>
      </c>
      <c r="W3824">
        <v>2.2547069999999999E-2</v>
      </c>
      <c r="X3824">
        <v>0.99520469999999905</v>
      </c>
      <c r="Y3824">
        <v>0.1710604</v>
      </c>
      <c r="Z3824">
        <v>-5.0735750000000003E-3</v>
      </c>
      <c r="AA3824">
        <v>0.98524750000000005</v>
      </c>
      <c r="AB3824">
        <v>34</v>
      </c>
      <c r="AC3824">
        <v>19.741499999999998</v>
      </c>
      <c r="AD3824">
        <v>-1.1095970219059901</v>
      </c>
      <c r="AE3824">
        <v>-3.3502999999999998</v>
      </c>
      <c r="AF3824">
        <v>3.47794937491572</v>
      </c>
      <c r="AG3824">
        <v>-1.1095970219059901</v>
      </c>
      <c r="AH3824">
        <v>19.657163710765499</v>
      </c>
      <c r="AI3824">
        <v>93.181463655315596</v>
      </c>
      <c r="AJ3824">
        <v>79.9664739091954</v>
      </c>
      <c r="AK3824">
        <v>19.9932844364636</v>
      </c>
      <c r="AL3824">
        <v>88.708038585196306</v>
      </c>
      <c r="AM3824">
        <v>84.536917836327902</v>
      </c>
      <c r="AN3824">
        <v>1.0000000140626499</v>
      </c>
    </row>
    <row r="3825" spans="1:40" x14ac:dyDescent="0.25">
      <c r="A3825" t="str">
        <f>"20190312154912283"</f>
        <v>20190312154912283</v>
      </c>
      <c r="B3825" t="str">
        <f>"1552376952279845"</f>
        <v>1552376952279845</v>
      </c>
      <c r="C3825" t="s">
        <v>40</v>
      </c>
      <c r="D3825">
        <v>4.1572009999999997</v>
      </c>
      <c r="E3825">
        <v>0.53081309999999904</v>
      </c>
      <c r="F3825" t="s">
        <v>49</v>
      </c>
      <c r="G3825">
        <v>-200.8013</v>
      </c>
      <c r="H3825" s="1">
        <v>2.8482519999999998E-6</v>
      </c>
      <c r="I3825">
        <v>211.46039999999999</v>
      </c>
      <c r="J3825">
        <v>-220.5025</v>
      </c>
      <c r="K3825">
        <v>1.1095250000000001</v>
      </c>
      <c r="L3825">
        <v>214.83009999999999</v>
      </c>
      <c r="M3825">
        <v>0.99987210000000004</v>
      </c>
      <c r="N3825">
        <v>0</v>
      </c>
      <c r="O3825">
        <v>6.5245370000000004E-3</v>
      </c>
      <c r="P3825">
        <v>0.99595860000000003</v>
      </c>
      <c r="Q3825">
        <v>7.815008E-3</v>
      </c>
      <c r="R3825">
        <v>-8.9473999999999998E-2</v>
      </c>
      <c r="S3825">
        <v>2.9689939999999999</v>
      </c>
      <c r="T3825">
        <v>-0.1644089</v>
      </c>
      <c r="U3825">
        <v>-0.49900820000000001</v>
      </c>
      <c r="V3825">
        <v>9.5991919999999994E-2</v>
      </c>
      <c r="W3825">
        <v>2.2259129999999999E-2</v>
      </c>
      <c r="X3825">
        <v>0.99513320000000005</v>
      </c>
      <c r="Y3825">
        <v>0.17191389999999901</v>
      </c>
      <c r="Z3825">
        <v>-5.0817980000000002E-3</v>
      </c>
      <c r="AA3825">
        <v>0.9850989</v>
      </c>
      <c r="AB3825">
        <v>34</v>
      </c>
      <c r="AC3825">
        <v>19.7012</v>
      </c>
      <c r="AD3825">
        <v>-1.1095221517479901</v>
      </c>
      <c r="AE3825">
        <v>-3.3696999999999901</v>
      </c>
      <c r="AF3825">
        <v>3.4874366009512299</v>
      </c>
      <c r="AG3825">
        <v>-1.1095221517479901</v>
      </c>
      <c r="AH3825">
        <v>19.6183383720095</v>
      </c>
      <c r="AI3825">
        <v>93.187076287514998</v>
      </c>
      <c r="AJ3825">
        <v>79.920160730501394</v>
      </c>
      <c r="AK3825">
        <v>19.9567646157771</v>
      </c>
      <c r="AL3825">
        <v>88.724540457609507</v>
      </c>
      <c r="AM3825">
        <v>84.490217081682303</v>
      </c>
      <c r="AN3825">
        <v>1.00000000165794</v>
      </c>
    </row>
    <row r="3826" spans="1:40" x14ac:dyDescent="0.25">
      <c r="A3826" t="str">
        <f>"20190312154912306"</f>
        <v>20190312154912306</v>
      </c>
      <c r="B3826" t="str">
        <f>"1552376952299365"</f>
        <v>1552376952299365</v>
      </c>
      <c r="C3826" t="s">
        <v>40</v>
      </c>
      <c r="D3826">
        <v>4.2917370000000004</v>
      </c>
      <c r="E3826">
        <v>0.54089799999999999</v>
      </c>
      <c r="F3826" t="s">
        <v>49</v>
      </c>
      <c r="G3826">
        <v>-200.29939999999999</v>
      </c>
      <c r="H3826" s="1">
        <v>2.6323390000000002E-6</v>
      </c>
      <c r="I3826">
        <v>211.38390000000001</v>
      </c>
      <c r="J3826">
        <v>-220.15280000000001</v>
      </c>
      <c r="K3826">
        <v>1.109432</v>
      </c>
      <c r="L3826">
        <v>214.83170000000001</v>
      </c>
      <c r="M3826">
        <v>0.99987590000000004</v>
      </c>
      <c r="N3826">
        <v>0</v>
      </c>
      <c r="O3826">
        <v>5.9054249999999997E-3</v>
      </c>
      <c r="P3826">
        <v>0.99579700000000004</v>
      </c>
      <c r="Q3826">
        <v>8.024214E-3</v>
      </c>
      <c r="R3826">
        <v>-9.1235689999999994E-2</v>
      </c>
      <c r="S3826">
        <v>2.9679720000000001</v>
      </c>
      <c r="T3826">
        <v>-0.1629958</v>
      </c>
      <c r="U3826">
        <v>-0.50627140000000004</v>
      </c>
      <c r="V3826">
        <v>9.7141409999999997E-2</v>
      </c>
      <c r="W3826">
        <v>2.2440760000000001E-2</v>
      </c>
      <c r="X3826">
        <v>0.99501759999999995</v>
      </c>
      <c r="Y3826">
        <v>0.17370539999999901</v>
      </c>
      <c r="Z3826">
        <v>-5.0539349999999999E-3</v>
      </c>
      <c r="AA3826">
        <v>0.98478469999999996</v>
      </c>
      <c r="AB3826">
        <v>34</v>
      </c>
      <c r="AC3826">
        <v>19.853400000000001</v>
      </c>
      <c r="AD3826">
        <v>-1.1094293676610001</v>
      </c>
      <c r="AE3826">
        <v>-3.4478</v>
      </c>
      <c r="AF3826">
        <v>3.5542213161351999</v>
      </c>
      <c r="AG3826">
        <v>-1.1094293676610001</v>
      </c>
      <c r="AH3826">
        <v>19.772754186233598</v>
      </c>
      <c r="AI3826">
        <v>93.1608863111327</v>
      </c>
      <c r="AJ3826">
        <v>79.809708310973406</v>
      </c>
      <c r="AK3826">
        <v>20.120266668091599</v>
      </c>
      <c r="AL3826">
        <v>88.714131265067493</v>
      </c>
      <c r="AM3826">
        <v>84.424007810064097</v>
      </c>
      <c r="AN3826">
        <v>1.0000000327779599</v>
      </c>
    </row>
    <row r="3827" spans="1:40" x14ac:dyDescent="0.25">
      <c r="A3827" t="str">
        <f>"20190312154912327"</f>
        <v>20190312154912327</v>
      </c>
      <c r="B3827" t="str">
        <f>"1552376952319862"</f>
        <v>1552376952319862</v>
      </c>
      <c r="C3827" t="s">
        <v>40</v>
      </c>
      <c r="D3827">
        <v>4.2233669999999996</v>
      </c>
      <c r="E3827">
        <v>0.54115780000000002</v>
      </c>
      <c r="F3827" t="s">
        <v>49</v>
      </c>
      <c r="G3827">
        <v>-179.95609999999999</v>
      </c>
      <c r="H3827">
        <v>5.1625999999999998E-2</v>
      </c>
      <c r="I3827">
        <v>206.7508</v>
      </c>
      <c r="J3827">
        <v>-219.8254</v>
      </c>
      <c r="K3827">
        <v>1.1093409999999999</v>
      </c>
      <c r="L3827">
        <v>214.833</v>
      </c>
      <c r="M3827">
        <v>0.99987990000000004</v>
      </c>
      <c r="N3827">
        <v>0</v>
      </c>
      <c r="O3827">
        <v>5.2070270000000004E-3</v>
      </c>
      <c r="P3827">
        <v>0.99560280000000001</v>
      </c>
      <c r="Q3827">
        <v>7.8524819999999992E-3</v>
      </c>
      <c r="R3827">
        <v>-9.3344440000000001E-2</v>
      </c>
      <c r="S3827">
        <v>2.9587859999999999</v>
      </c>
      <c r="T3827">
        <v>-7.786274E-2</v>
      </c>
      <c r="U3827">
        <v>-0.59481809999999902</v>
      </c>
      <c r="V3827">
        <v>9.8558980000000004E-2</v>
      </c>
      <c r="W3827">
        <v>2.2240059999999999E-2</v>
      </c>
      <c r="X3827">
        <v>0.99488259999999995</v>
      </c>
      <c r="Y3827">
        <v>0.202125</v>
      </c>
      <c r="Z3827">
        <v>-2.7684329999999998E-3</v>
      </c>
      <c r="AA3827">
        <v>0.9793558</v>
      </c>
      <c r="AB3827">
        <v>34</v>
      </c>
      <c r="AC3827">
        <v>39.869300000000003</v>
      </c>
      <c r="AD3827">
        <v>-1.057715</v>
      </c>
      <c r="AE3827">
        <v>-8.0822000000000003</v>
      </c>
      <c r="AF3827">
        <v>8.2841126901536892</v>
      </c>
      <c r="AG3827">
        <v>-1.057715</v>
      </c>
      <c r="AH3827">
        <v>39.799764586616803</v>
      </c>
      <c r="AI3827">
        <v>91.490401136336899</v>
      </c>
      <c r="AJ3827">
        <v>78.242066143070701</v>
      </c>
      <c r="AK3827">
        <v>40.6665285613919</v>
      </c>
      <c r="AL3827">
        <v>88.725633280462105</v>
      </c>
      <c r="AM3827">
        <v>84.342399563496301</v>
      </c>
      <c r="AN3827">
        <v>0.99999994029509998</v>
      </c>
    </row>
    <row r="3828" spans="1:40" x14ac:dyDescent="0.25">
      <c r="A3828" t="str">
        <f>"20190312154912351"</f>
        <v>20190312154912351</v>
      </c>
      <c r="B3828" t="str">
        <f>"1552376952339381"</f>
        <v>1552376952339381</v>
      </c>
      <c r="C3828" t="s">
        <v>40</v>
      </c>
      <c r="D3828">
        <v>4.1819160000000002</v>
      </c>
      <c r="E3828">
        <v>0.54323049999999995</v>
      </c>
      <c r="F3828" t="s">
        <v>49</v>
      </c>
      <c r="G3828">
        <v>-179.95</v>
      </c>
      <c r="H3828">
        <v>5.7754189999999997E-2</v>
      </c>
      <c r="I3828">
        <v>206.70050000000001</v>
      </c>
      <c r="J3828">
        <v>-219.4727</v>
      </c>
      <c r="K3828">
        <v>1.1092329999999999</v>
      </c>
      <c r="L3828">
        <v>214.834</v>
      </c>
      <c r="M3828">
        <v>0.9998842</v>
      </c>
      <c r="N3828">
        <v>0</v>
      </c>
      <c r="O3828">
        <v>4.3464819999999996E-3</v>
      </c>
      <c r="P3828">
        <v>0.99536950000000002</v>
      </c>
      <c r="Q3828">
        <v>8.1361200000000002E-3</v>
      </c>
      <c r="R3828">
        <v>-9.5779900000000001E-2</v>
      </c>
      <c r="S3828">
        <v>2.957306</v>
      </c>
      <c r="T3828">
        <v>-7.7989580000000003E-2</v>
      </c>
      <c r="U3828">
        <v>-0.60313419999999995</v>
      </c>
      <c r="V3828">
        <v>0.10014240000000001</v>
      </c>
      <c r="W3828">
        <v>2.2492249999999998E-2</v>
      </c>
      <c r="X3828">
        <v>0.99471880000000001</v>
      </c>
      <c r="Y3828">
        <v>0.20402139999999999</v>
      </c>
      <c r="Z3828">
        <v>-2.7758150000000001E-3</v>
      </c>
      <c r="AA3828">
        <v>0.97896249999999996</v>
      </c>
      <c r="AB3828">
        <v>34</v>
      </c>
      <c r="AC3828">
        <v>39.5227</v>
      </c>
      <c r="AD3828">
        <v>-1.0514788100000001</v>
      </c>
      <c r="AE3828">
        <v>-8.1334999999999908</v>
      </c>
      <c r="AF3828">
        <v>8.2995903952093393</v>
      </c>
      <c r="AG3828">
        <v>-1.0514788100000001</v>
      </c>
      <c r="AH3828">
        <v>39.460175768066399</v>
      </c>
      <c r="AI3828">
        <v>91.493708987728098</v>
      </c>
      <c r="AJ3828">
        <v>78.122208153832204</v>
      </c>
      <c r="AK3828">
        <v>40.337256724557101</v>
      </c>
      <c r="AL3828">
        <v>88.711180249223602</v>
      </c>
      <c r="AM3828">
        <v>84.251169879295603</v>
      </c>
      <c r="AN3828">
        <v>0.99999994633062905</v>
      </c>
    </row>
    <row r="3829" spans="1:40" x14ac:dyDescent="0.25">
      <c r="A3829" t="str">
        <f>"20190312154912373"</f>
        <v>20190312154912373</v>
      </c>
      <c r="B3829" t="str">
        <f>"1552376952369637"</f>
        <v>1552376952369637</v>
      </c>
      <c r="C3829" t="s">
        <v>40</v>
      </c>
      <c r="D3829">
        <v>4.2077109999999998</v>
      </c>
      <c r="E3829">
        <v>0.55508389999999996</v>
      </c>
      <c r="F3829" t="s">
        <v>49</v>
      </c>
      <c r="G3829">
        <v>-179.95650000000001</v>
      </c>
      <c r="H3829">
        <v>5.1321279999999997E-2</v>
      </c>
      <c r="I3829">
        <v>206.4529</v>
      </c>
      <c r="J3829">
        <v>-219.13159999999999</v>
      </c>
      <c r="K3829">
        <v>1.1091390000000001</v>
      </c>
      <c r="L3829">
        <v>214.83449999999999</v>
      </c>
      <c r="M3829">
        <v>0.99988790000000005</v>
      </c>
      <c r="N3829">
        <v>0</v>
      </c>
      <c r="O3829">
        <v>3.4020270000000002E-3</v>
      </c>
      <c r="P3829">
        <v>0.9951063</v>
      </c>
      <c r="Q3829">
        <v>7.6661150000000003E-3</v>
      </c>
      <c r="R3829">
        <v>-9.8513130000000004E-2</v>
      </c>
      <c r="S3829">
        <v>2.9543300000000001</v>
      </c>
      <c r="T3829">
        <v>-7.9091910000000001E-2</v>
      </c>
      <c r="U3829">
        <v>-0.62658689999999995</v>
      </c>
      <c r="V3829">
        <v>0.1019393</v>
      </c>
      <c r="W3829">
        <v>2.1991210000000001E-2</v>
      </c>
      <c r="X3829">
        <v>0.99454750000000003</v>
      </c>
      <c r="Y3829">
        <v>0.21072959999999999</v>
      </c>
      <c r="Z3829">
        <v>-2.879342E-3</v>
      </c>
      <c r="AA3829">
        <v>0.97754010000000002</v>
      </c>
      <c r="AB3829">
        <v>34</v>
      </c>
      <c r="AC3829">
        <v>39.175099999999901</v>
      </c>
      <c r="AD3829">
        <v>-1.0578177200000001</v>
      </c>
      <c r="AE3829">
        <v>-8.3815999999999899</v>
      </c>
      <c r="AF3829">
        <v>8.5089079174535502</v>
      </c>
      <c r="AG3829">
        <v>-1.0578177200000001</v>
      </c>
      <c r="AH3829">
        <v>39.119081613403303</v>
      </c>
      <c r="AI3829">
        <v>91.513581323072202</v>
      </c>
      <c r="AJ3829">
        <v>77.728569676014601</v>
      </c>
      <c r="AK3829">
        <v>40.0477594698201</v>
      </c>
      <c r="AL3829">
        <v>88.739894876713507</v>
      </c>
      <c r="AM3829">
        <v>84.147724699725998</v>
      </c>
      <c r="AN3829">
        <v>0.99999998197900097</v>
      </c>
    </row>
    <row r="3830" spans="1:40" x14ac:dyDescent="0.25">
      <c r="A3830" t="str">
        <f>"20190312154912395"</f>
        <v>20190312154912395</v>
      </c>
      <c r="B3830" t="str">
        <f>"1552376952389158"</f>
        <v>1552376952389158</v>
      </c>
      <c r="C3830" t="s">
        <v>40</v>
      </c>
      <c r="D3830">
        <v>4.1784140000000001</v>
      </c>
      <c r="E3830">
        <v>0.55531019999999998</v>
      </c>
      <c r="F3830" t="s">
        <v>49</v>
      </c>
      <c r="G3830">
        <v>-191.68899999999999</v>
      </c>
      <c r="H3830" s="1">
        <v>4.5772739999999999E-6</v>
      </c>
      <c r="I3830">
        <v>208.05500000000001</v>
      </c>
      <c r="J3830">
        <v>-218.7972</v>
      </c>
      <c r="K3830">
        <v>1.109046</v>
      </c>
      <c r="L3830">
        <v>214.83459999999999</v>
      </c>
      <c r="M3830">
        <v>0.99989090000000003</v>
      </c>
      <c r="N3830">
        <v>0</v>
      </c>
      <c r="O3830">
        <v>2.3583329999999998E-3</v>
      </c>
      <c r="P3830">
        <v>0.9948688</v>
      </c>
      <c r="Q3830">
        <v>6.669566E-3</v>
      </c>
      <c r="R3830">
        <v>-0.10095510000000001</v>
      </c>
      <c r="S3830">
        <v>2.943695</v>
      </c>
      <c r="T3830">
        <v>-0.11897389999999999</v>
      </c>
      <c r="U3830">
        <v>-0.72721859999999905</v>
      </c>
      <c r="V3830">
        <v>0.10334500000000001</v>
      </c>
      <c r="W3830">
        <v>2.0963869999999999E-2</v>
      </c>
      <c r="X3830">
        <v>0.99442459999999999</v>
      </c>
      <c r="Y3830">
        <v>0.2419337</v>
      </c>
      <c r="Z3830">
        <v>-4.9086599999999996E-3</v>
      </c>
      <c r="AA3830">
        <v>0.97028029999999998</v>
      </c>
      <c r="AB3830">
        <v>34</v>
      </c>
      <c r="AC3830">
        <v>27.108199999999901</v>
      </c>
      <c r="AD3830">
        <v>-1.1090414227259999</v>
      </c>
      <c r="AE3830">
        <v>-6.7795999999999799</v>
      </c>
      <c r="AF3830">
        <v>6.8327548922984001</v>
      </c>
      <c r="AG3830">
        <v>-1.1090414227259999</v>
      </c>
      <c r="AH3830">
        <v>27.0495249226441</v>
      </c>
      <c r="AI3830">
        <v>92.276410669013103</v>
      </c>
      <c r="AJ3830">
        <v>75.823546993799596</v>
      </c>
      <c r="AK3830">
        <v>27.921198234250198</v>
      </c>
      <c r="AL3830">
        <v>88.798770703714297</v>
      </c>
      <c r="AM3830">
        <v>84.066868000205403</v>
      </c>
      <c r="AN3830">
        <v>0.99999997897776804</v>
      </c>
    </row>
    <row r="3831" spans="1:40" x14ac:dyDescent="0.25">
      <c r="A3831" t="str">
        <f>"20190312154912417"</f>
        <v>20190312154912417</v>
      </c>
      <c r="B3831" t="str">
        <f>"1552376952409654"</f>
        <v>1552376952409654</v>
      </c>
      <c r="C3831" t="s">
        <v>40</v>
      </c>
      <c r="D3831">
        <v>4.208075</v>
      </c>
      <c r="E3831">
        <v>0.55535570000000001</v>
      </c>
      <c r="F3831" t="s">
        <v>49</v>
      </c>
      <c r="G3831">
        <v>-192.51939999999999</v>
      </c>
      <c r="H3831" s="1">
        <v>4.321751E-6</v>
      </c>
      <c r="I3831">
        <v>208.25700000000001</v>
      </c>
      <c r="J3831">
        <v>-218.4683</v>
      </c>
      <c r="K3831">
        <v>1.1089450000000001</v>
      </c>
      <c r="L3831">
        <v>214.83430000000001</v>
      </c>
      <c r="M3831">
        <v>0.99989300000000003</v>
      </c>
      <c r="N3831">
        <v>0</v>
      </c>
      <c r="O3831">
        <v>1.2054749999999999E-3</v>
      </c>
      <c r="P3831">
        <v>0.99441919999999995</v>
      </c>
      <c r="Q3831">
        <v>5.7986840000000001E-3</v>
      </c>
      <c r="R3831">
        <v>-0.10534200000000001</v>
      </c>
      <c r="S3831">
        <v>2.941589</v>
      </c>
      <c r="T3831">
        <v>-0.1241481</v>
      </c>
      <c r="U3831">
        <v>-0.73631289999999905</v>
      </c>
      <c r="V3831">
        <v>0.10658769999999999</v>
      </c>
      <c r="W3831">
        <v>2.0052819999999999E-2</v>
      </c>
      <c r="X3831">
        <v>0.99410100000000001</v>
      </c>
      <c r="Y3831">
        <v>0.2437839</v>
      </c>
      <c r="Z3831">
        <v>-5.1141659999999999E-3</v>
      </c>
      <c r="AA3831">
        <v>0.96981609999999996</v>
      </c>
      <c r="AB3831">
        <v>34</v>
      </c>
      <c r="AC3831">
        <v>25.948899999999998</v>
      </c>
      <c r="AD3831">
        <v>-1.1089406782489999</v>
      </c>
      <c r="AE3831">
        <v>-6.5773000000000001</v>
      </c>
      <c r="AF3831">
        <v>6.5972579120266097</v>
      </c>
      <c r="AG3831">
        <v>-1.1089406782489999</v>
      </c>
      <c r="AH3831">
        <v>25.8965111985103</v>
      </c>
      <c r="AI3831">
        <v>92.376217489936707</v>
      </c>
      <c r="AJ3831">
        <v>75.707645538440005</v>
      </c>
      <c r="AK3831">
        <v>26.746641913336401</v>
      </c>
      <c r="AL3831">
        <v>88.850980946203507</v>
      </c>
      <c r="AM3831">
        <v>83.880115801998002</v>
      </c>
      <c r="AN3831">
        <v>0.99999992579111796</v>
      </c>
    </row>
    <row r="3832" spans="1:40" x14ac:dyDescent="0.25">
      <c r="A3832" t="str">
        <f>"20190312154912439"</f>
        <v>20190312154912439</v>
      </c>
      <c r="B3832" t="str">
        <f>"1552376952429174"</f>
        <v>1552376952429174</v>
      </c>
      <c r="C3832" t="s">
        <v>40</v>
      </c>
      <c r="D3832">
        <v>4.2318809999999996</v>
      </c>
      <c r="E3832">
        <v>0.55537819999999904</v>
      </c>
      <c r="F3832" t="s">
        <v>49</v>
      </c>
      <c r="G3832">
        <v>-193.28389999999999</v>
      </c>
      <c r="H3832" s="1">
        <v>4.1384720000000003E-6</v>
      </c>
      <c r="I3832">
        <v>208.41069999999999</v>
      </c>
      <c r="J3832">
        <v>-218.11940000000001</v>
      </c>
      <c r="K3832">
        <v>1.1088169999999999</v>
      </c>
      <c r="L3832">
        <v>214.83330000000001</v>
      </c>
      <c r="M3832">
        <v>0.9998937</v>
      </c>
      <c r="N3832">
        <v>0</v>
      </c>
      <c r="O3832">
        <v>-1.681241E-4</v>
      </c>
      <c r="P3832">
        <v>0.99387519999999996</v>
      </c>
      <c r="Q3832">
        <v>5.1767640000000004E-3</v>
      </c>
      <c r="R3832">
        <v>-0.11039</v>
      </c>
      <c r="S3832">
        <v>2.9381870000000001</v>
      </c>
      <c r="T3832">
        <v>-0.12937650000000001</v>
      </c>
      <c r="U3832">
        <v>-0.74942019999999998</v>
      </c>
      <c r="V3832">
        <v>0.11027389999999999</v>
      </c>
      <c r="W3832">
        <v>1.938061E-2</v>
      </c>
      <c r="X3832">
        <v>0.99371220000000005</v>
      </c>
      <c r="Y3832">
        <v>0.24676219999999999</v>
      </c>
      <c r="Z3832">
        <v>-5.3374609999999999E-3</v>
      </c>
      <c r="AA3832">
        <v>0.96906139999999996</v>
      </c>
      <c r="AB3832">
        <v>34</v>
      </c>
      <c r="AC3832">
        <v>24.8355</v>
      </c>
      <c r="AD3832">
        <v>-1.108812861528</v>
      </c>
      <c r="AE3832">
        <v>-6.4226000000000099</v>
      </c>
      <c r="AF3832">
        <v>6.4064545706506202</v>
      </c>
      <c r="AG3832">
        <v>-1.108812861528</v>
      </c>
      <c r="AH3832">
        <v>24.7902628663469</v>
      </c>
      <c r="AI3832">
        <v>92.4796490688273</v>
      </c>
      <c r="AJ3832">
        <v>75.510276090572702</v>
      </c>
      <c r="AK3832">
        <v>25.628680401266799</v>
      </c>
      <c r="AL3832">
        <v>88.889503248600207</v>
      </c>
      <c r="AM3832">
        <v>83.667700463332906</v>
      </c>
      <c r="AN3832">
        <v>0.99999993874700899</v>
      </c>
    </row>
    <row r="3833" spans="1:40" x14ac:dyDescent="0.25">
      <c r="A3833" t="str">
        <f>"20190312154912462"</f>
        <v>20190312154912462</v>
      </c>
      <c r="B3833" t="str">
        <f>"1552376952449670"</f>
        <v>1552376952449670</v>
      </c>
      <c r="C3833" t="s">
        <v>40</v>
      </c>
      <c r="D3833">
        <v>4.2297729999999998</v>
      </c>
      <c r="E3833">
        <v>0.55533859999999902</v>
      </c>
      <c r="F3833" t="s">
        <v>49</v>
      </c>
      <c r="G3833">
        <v>-193.57749999999999</v>
      </c>
      <c r="H3833" s="1">
        <v>4.0781099999999998E-6</v>
      </c>
      <c r="I3833">
        <v>208.4419</v>
      </c>
      <c r="J3833">
        <v>-217.7852</v>
      </c>
      <c r="K3833">
        <v>1.1086780000000001</v>
      </c>
      <c r="L3833">
        <v>214.83179999999999</v>
      </c>
      <c r="M3833">
        <v>0.99989229999999996</v>
      </c>
      <c r="N3833">
        <v>0</v>
      </c>
      <c r="O3833">
        <v>-1.6559980000000001E-3</v>
      </c>
      <c r="P3833">
        <v>0.99338680000000001</v>
      </c>
      <c r="Q3833">
        <v>4.0912270000000002E-3</v>
      </c>
      <c r="R3833">
        <v>-0.114744</v>
      </c>
      <c r="S3833">
        <v>2.9342959999999998</v>
      </c>
      <c r="T3833">
        <v>-0.13257269999999999</v>
      </c>
      <c r="U3833">
        <v>-0.76417539999999995</v>
      </c>
      <c r="V3833">
        <v>0.1131532</v>
      </c>
      <c r="W3833">
        <v>1.8244030000000001E-2</v>
      </c>
      <c r="X3833">
        <v>0.99341009999999996</v>
      </c>
      <c r="Y3833">
        <v>0.25018210000000002</v>
      </c>
      <c r="Z3833">
        <v>-5.4826959999999996E-3</v>
      </c>
      <c r="AA3833">
        <v>0.96818329999999997</v>
      </c>
      <c r="AB3833">
        <v>34</v>
      </c>
      <c r="AC3833">
        <v>24.207699999999999</v>
      </c>
      <c r="AD3833">
        <v>-1.1086739218899999</v>
      </c>
      <c r="AE3833">
        <v>-6.3898999999999804</v>
      </c>
      <c r="AF3833">
        <v>6.3373723163245304</v>
      </c>
      <c r="AG3833">
        <v>-1.1086739218899999</v>
      </c>
      <c r="AH3833">
        <v>24.1708537186238</v>
      </c>
      <c r="AI3833">
        <v>92.540463176112993</v>
      </c>
      <c r="AJ3833">
        <v>75.308278175800893</v>
      </c>
      <c r="AK3833">
        <v>25.012429214850499</v>
      </c>
      <c r="AL3833">
        <v>88.954636145319</v>
      </c>
      <c r="AM3833">
        <v>83.501798298611703</v>
      </c>
      <c r="AN3833">
        <v>1.00000005904144</v>
      </c>
    </row>
    <row r="3834" spans="1:40" x14ac:dyDescent="0.25">
      <c r="A3834" t="str">
        <f>"20190312154912484"</f>
        <v>20190312154912484</v>
      </c>
      <c r="B3834" t="str">
        <f>"1552376952479926"</f>
        <v>1552376952479926</v>
      </c>
      <c r="C3834" t="s">
        <v>40</v>
      </c>
      <c r="D3834">
        <v>4.2356339999999904</v>
      </c>
      <c r="E3834">
        <v>0.55528979999999994</v>
      </c>
      <c r="F3834" t="s">
        <v>49</v>
      </c>
      <c r="G3834">
        <v>-193.68799999999999</v>
      </c>
      <c r="H3834" s="1">
        <v>4.0587520000000004E-6</v>
      </c>
      <c r="I3834">
        <v>208.441</v>
      </c>
      <c r="J3834">
        <v>-217.44919999999999</v>
      </c>
      <c r="K3834">
        <v>1.108509</v>
      </c>
      <c r="L3834">
        <v>214.8297</v>
      </c>
      <c r="M3834">
        <v>0.9998882</v>
      </c>
      <c r="N3834">
        <v>0</v>
      </c>
      <c r="O3834">
        <v>-3.358256E-3</v>
      </c>
      <c r="P3834">
        <v>0.99291169999999995</v>
      </c>
      <c r="Q3834">
        <v>3.6091690000000002E-3</v>
      </c>
      <c r="R3834">
        <v>-0.118801</v>
      </c>
      <c r="S3834">
        <v>2.9307400000000001</v>
      </c>
      <c r="T3834">
        <v>-0.13483879999999901</v>
      </c>
      <c r="U3834">
        <v>-0.7772675</v>
      </c>
      <c r="V3834">
        <v>0.1155258</v>
      </c>
      <c r="W3834">
        <v>1.7703389999999999E-2</v>
      </c>
      <c r="X3834">
        <v>0.99314669999999905</v>
      </c>
      <c r="Y3834">
        <v>0.25285530000000001</v>
      </c>
      <c r="Z3834">
        <v>-5.5632260000000001E-3</v>
      </c>
      <c r="AA3834">
        <v>0.96748809999999996</v>
      </c>
      <c r="AB3834">
        <v>34</v>
      </c>
      <c r="AC3834">
        <v>23.761199999999999</v>
      </c>
      <c r="AD3834">
        <v>-1.1085049412479999</v>
      </c>
      <c r="AE3834">
        <v>-6.3887000000000196</v>
      </c>
      <c r="AF3834">
        <v>6.2960803320196197</v>
      </c>
      <c r="AG3834">
        <v>-1.1085049412479999</v>
      </c>
      <c r="AH3834">
        <v>23.734350234465701</v>
      </c>
      <c r="AI3834">
        <v>92.5847661221257</v>
      </c>
      <c r="AJ3834">
        <v>75.143162963078495</v>
      </c>
      <c r="AK3834">
        <v>24.580252069584201</v>
      </c>
      <c r="AL3834">
        <v>88.985617472962602</v>
      </c>
      <c r="AM3834">
        <v>83.365002162605293</v>
      </c>
      <c r="AN3834">
        <v>0.99999999410201001</v>
      </c>
    </row>
    <row r="3835" spans="1:40" x14ac:dyDescent="0.25">
      <c r="A3835" t="str">
        <f>"20190312154912506"</f>
        <v>20190312154912506</v>
      </c>
      <c r="B3835" t="str">
        <f>"1552376952499445"</f>
        <v>1552376952499445</v>
      </c>
      <c r="C3835" t="s">
        <v>40</v>
      </c>
      <c r="D3835">
        <v>4.2501040000000003</v>
      </c>
      <c r="E3835">
        <v>0.55505170000000004</v>
      </c>
      <c r="F3835" t="s">
        <v>49</v>
      </c>
      <c r="G3835">
        <v>-193.78559999999999</v>
      </c>
      <c r="H3835" s="1">
        <v>4.0380159999999997E-6</v>
      </c>
      <c r="I3835">
        <v>208.4539</v>
      </c>
      <c r="J3835">
        <v>-217.1191</v>
      </c>
      <c r="K3835">
        <v>1.1083160000000001</v>
      </c>
      <c r="L3835">
        <v>214.82660000000001</v>
      </c>
      <c r="M3835">
        <v>0.99987969999999904</v>
      </c>
      <c r="N3835">
        <v>0</v>
      </c>
      <c r="O3835">
        <v>-5.2860429999999998E-3</v>
      </c>
      <c r="P3835">
        <v>0.99247379999999996</v>
      </c>
      <c r="Q3835">
        <v>3.4077389999999999E-3</v>
      </c>
      <c r="R3835">
        <v>-0.122409199999999</v>
      </c>
      <c r="S3835">
        <v>2.9275509999999998</v>
      </c>
      <c r="T3835">
        <v>-0.13713900000000001</v>
      </c>
      <c r="U3835">
        <v>-0.78877259999999905</v>
      </c>
      <c r="V3835">
        <v>0.11722870000000001</v>
      </c>
      <c r="W3835">
        <v>1.7438780000000001E-2</v>
      </c>
      <c r="X3835">
        <v>0.99295180000000005</v>
      </c>
      <c r="Y3835">
        <v>0.25479039999999997</v>
      </c>
      <c r="Z3835">
        <v>-5.6170019999999899E-3</v>
      </c>
      <c r="AA3835">
        <v>0.96697999999999995</v>
      </c>
      <c r="AB3835">
        <v>34</v>
      </c>
      <c r="AC3835">
        <v>23.333500000000001</v>
      </c>
      <c r="AD3835">
        <v>-1.1083119619840001</v>
      </c>
      <c r="AE3835">
        <v>-6.3727</v>
      </c>
      <c r="AF3835">
        <v>6.23616296729376</v>
      </c>
      <c r="AG3835">
        <v>-1.1083119619840001</v>
      </c>
      <c r="AH3835">
        <v>23.317907355968799</v>
      </c>
      <c r="AI3835">
        <v>92.628990762257899</v>
      </c>
      <c r="AJ3835">
        <v>75.027173669070905</v>
      </c>
      <c r="AK3835">
        <v>24.162841046144901</v>
      </c>
      <c r="AL3835">
        <v>89.000780834333696</v>
      </c>
      <c r="AM3835">
        <v>83.266781401133102</v>
      </c>
      <c r="AN3835">
        <v>0.99999997813740804</v>
      </c>
    </row>
    <row r="3836" spans="1:40" x14ac:dyDescent="0.25">
      <c r="A3836" t="str">
        <f>"20190312154912528"</f>
        <v>20190312154912528</v>
      </c>
      <c r="B3836" t="str">
        <f>"1552376952519100"</f>
        <v>1552376952519100</v>
      </c>
      <c r="C3836" t="s">
        <v>40</v>
      </c>
      <c r="D3836">
        <v>4.2692550000000002</v>
      </c>
      <c r="E3836">
        <v>0.55503919999999995</v>
      </c>
      <c r="F3836" t="s">
        <v>49</v>
      </c>
      <c r="G3836">
        <v>-193.4204</v>
      </c>
      <c r="H3836" s="1">
        <v>4.1268830000000004E-6</v>
      </c>
      <c r="I3836">
        <v>208.363</v>
      </c>
      <c r="J3836">
        <v>-216.77889999999999</v>
      </c>
      <c r="K3836">
        <v>1.1080920000000001</v>
      </c>
      <c r="L3836">
        <v>214.82259999999999</v>
      </c>
      <c r="M3836">
        <v>0.99986509999999995</v>
      </c>
      <c r="N3836">
        <v>0</v>
      </c>
      <c r="O3836">
        <v>-7.5606040000000003E-3</v>
      </c>
      <c r="P3836">
        <v>0.99194040000000006</v>
      </c>
      <c r="Q3836">
        <v>4.0649780000000003E-3</v>
      </c>
      <c r="R3836">
        <v>-0.12664030000000001</v>
      </c>
      <c r="S3836">
        <v>2.92482</v>
      </c>
      <c r="T3836">
        <v>-0.13678470000000001</v>
      </c>
      <c r="U3836">
        <v>-0.79772949999999998</v>
      </c>
      <c r="V3836">
        <v>0.11921669999999999</v>
      </c>
      <c r="W3836">
        <v>1.8022819999999998E-2</v>
      </c>
      <c r="X3836">
        <v>0.9927047</v>
      </c>
      <c r="Y3836">
        <v>0.25557849999999999</v>
      </c>
      <c r="Z3836">
        <v>-5.5190630000000003E-3</v>
      </c>
      <c r="AA3836">
        <v>0.96677259999999998</v>
      </c>
      <c r="AB3836">
        <v>34</v>
      </c>
      <c r="AC3836">
        <v>23.3584999999999</v>
      </c>
      <c r="AD3836">
        <v>-1.1080878731170001</v>
      </c>
      <c r="AE3836">
        <v>-6.4595999999999902</v>
      </c>
      <c r="AF3836">
        <v>6.2696852822884299</v>
      </c>
      <c r="AG3836">
        <v>-1.1080878731170001</v>
      </c>
      <c r="AH3836">
        <v>23.357845846417401</v>
      </c>
      <c r="AI3836">
        <v>92.623331493130706</v>
      </c>
      <c r="AJ3836">
        <v>74.974898058493594</v>
      </c>
      <c r="AK3836">
        <v>24.210034590196098</v>
      </c>
      <c r="AL3836">
        <v>88.967312600890196</v>
      </c>
      <c r="AM3836">
        <v>83.151984335319995</v>
      </c>
      <c r="AN3836">
        <v>1.00000003250086</v>
      </c>
    </row>
    <row r="3837" spans="1:40" x14ac:dyDescent="0.25">
      <c r="A3837" t="str">
        <f>"20190312154912552"</f>
        <v>20190312154912552</v>
      </c>
      <c r="B3837" t="str">
        <f>"1552376952539595"</f>
        <v>1552376952539595</v>
      </c>
      <c r="C3837" t="s">
        <v>40</v>
      </c>
      <c r="D3837">
        <v>4.2819229999999999</v>
      </c>
      <c r="E3837">
        <v>0.55501909999999999</v>
      </c>
      <c r="F3837" t="s">
        <v>49</v>
      </c>
      <c r="G3837">
        <v>-192.86799999999999</v>
      </c>
      <c r="H3837" s="1">
        <v>4.2707139999999996E-6</v>
      </c>
      <c r="I3837">
        <v>208.18979999999999</v>
      </c>
      <c r="J3837">
        <v>-216.42910000000001</v>
      </c>
      <c r="K3837">
        <v>1.1078650000000001</v>
      </c>
      <c r="L3837">
        <v>214.81729999999999</v>
      </c>
      <c r="M3837">
        <v>0.99984200000000001</v>
      </c>
      <c r="N3837">
        <v>0</v>
      </c>
      <c r="O3837">
        <v>-1.016008E-2</v>
      </c>
      <c r="P3837">
        <v>0.99126720000000001</v>
      </c>
      <c r="Q3837">
        <v>4.0025470000000004E-3</v>
      </c>
      <c r="R3837">
        <v>-0.13180929999999999</v>
      </c>
      <c r="S3837">
        <v>2.9214630000000001</v>
      </c>
      <c r="T3837">
        <v>-0.13538749999999999</v>
      </c>
      <c r="U3837">
        <v>-0.81039430000000001</v>
      </c>
      <c r="V3837">
        <v>0.12182</v>
      </c>
      <c r="W3837">
        <v>1.788122E-2</v>
      </c>
      <c r="X3837">
        <v>0.99239109999999997</v>
      </c>
      <c r="Y3837">
        <v>0.25724859999999999</v>
      </c>
      <c r="Z3837">
        <v>-5.3855650000000001E-3</v>
      </c>
      <c r="AA3837">
        <v>0.96633020000000003</v>
      </c>
      <c r="AB3837">
        <v>34</v>
      </c>
      <c r="AC3837">
        <v>23.5611</v>
      </c>
      <c r="AD3837">
        <v>-1.1078607292860001</v>
      </c>
      <c r="AE3837">
        <v>-6.6274999999999897</v>
      </c>
      <c r="AF3837">
        <v>6.3746890081200496</v>
      </c>
      <c r="AG3837">
        <v>-1.1078607292860001</v>
      </c>
      <c r="AH3837">
        <v>23.5789173229828</v>
      </c>
      <c r="AI3837">
        <v>92.596975759935304</v>
      </c>
      <c r="AJ3837">
        <v>74.871444115272098</v>
      </c>
      <c r="AK3837">
        <v>24.450549226342599</v>
      </c>
      <c r="AL3837">
        <v>88.975426929572095</v>
      </c>
      <c r="AM3837">
        <v>83.001723707770097</v>
      </c>
      <c r="AN3837">
        <v>0.99999997289394804</v>
      </c>
    </row>
    <row r="3838" spans="1:40" x14ac:dyDescent="0.25">
      <c r="A3838" t="str">
        <f>"20190312154912574"</f>
        <v>20190312154912574</v>
      </c>
      <c r="B3838" t="str">
        <f>"1552376952569851"</f>
        <v>1552376952569851</v>
      </c>
      <c r="C3838" t="s">
        <v>40</v>
      </c>
      <c r="D3838">
        <v>4.2783119999999997</v>
      </c>
      <c r="E3838">
        <v>0.55486880000000005</v>
      </c>
      <c r="F3838" t="s">
        <v>49</v>
      </c>
      <c r="G3838">
        <v>-192.14619999999999</v>
      </c>
      <c r="H3838" s="1">
        <v>4.5159089999999999E-6</v>
      </c>
      <c r="I3838">
        <v>207.9418</v>
      </c>
      <c r="J3838">
        <v>-216.09719999999999</v>
      </c>
      <c r="K3838">
        <v>1.1076469999999901</v>
      </c>
      <c r="L3838">
        <v>214.81120000000001</v>
      </c>
      <c r="M3838">
        <v>0.99981050000000005</v>
      </c>
      <c r="N3838">
        <v>0</v>
      </c>
      <c r="O3838">
        <v>-1.2885819999999999E-2</v>
      </c>
      <c r="P3838">
        <v>0.99066730000000003</v>
      </c>
      <c r="Q3838">
        <v>3.0852459999999998E-3</v>
      </c>
      <c r="R3838">
        <v>-0.13626820000000001</v>
      </c>
      <c r="S3838">
        <v>2.91716</v>
      </c>
      <c r="T3838">
        <v>-0.13308979999999901</v>
      </c>
      <c r="U3838">
        <v>-0.82597350000000003</v>
      </c>
      <c r="V3838">
        <v>0.12358420000000001</v>
      </c>
      <c r="W3838">
        <v>1.6892890000000001E-2</v>
      </c>
      <c r="X3838">
        <v>0.99219029999999997</v>
      </c>
      <c r="Y3838">
        <v>0.25977319999999998</v>
      </c>
      <c r="Z3838">
        <v>-5.232675E-3</v>
      </c>
      <c r="AA3838">
        <v>0.9656555</v>
      </c>
      <c r="AB3838">
        <v>34</v>
      </c>
      <c r="AC3838">
        <v>23.951000000000001</v>
      </c>
      <c r="AD3838">
        <v>-1.10764248409099</v>
      </c>
      <c r="AE3838">
        <v>-6.8694000000000104</v>
      </c>
      <c r="AF3838">
        <v>6.5472300888574901</v>
      </c>
      <c r="AG3838">
        <v>-1.10764248409099</v>
      </c>
      <c r="AH3838">
        <v>23.990130181267901</v>
      </c>
      <c r="AI3838">
        <v>92.550369724768501</v>
      </c>
      <c r="AJ3838">
        <v>74.734951101133902</v>
      </c>
      <c r="AK3838">
        <v>24.8921561907197</v>
      </c>
      <c r="AL3838">
        <v>89.032062666396499</v>
      </c>
      <c r="AM3838">
        <v>82.899979233594394</v>
      </c>
      <c r="AN3838">
        <v>1.0000000078181399</v>
      </c>
    </row>
    <row r="3839" spans="1:40" x14ac:dyDescent="0.25">
      <c r="A3839" t="str">
        <f>"20190312154912596"</f>
        <v>20190312154912596</v>
      </c>
      <c r="B3839" t="str">
        <f>"1552376952589371"</f>
        <v>1552376952589371</v>
      </c>
      <c r="C3839" t="s">
        <v>40</v>
      </c>
      <c r="D3839">
        <v>4.2911039999999998</v>
      </c>
      <c r="E3839">
        <v>0.55477369999999904</v>
      </c>
      <c r="F3839" t="s">
        <v>49</v>
      </c>
      <c r="G3839">
        <v>-192.5626</v>
      </c>
      <c r="H3839" s="1">
        <v>4.3884119999999997E-6</v>
      </c>
      <c r="I3839">
        <v>208.04130000000001</v>
      </c>
      <c r="J3839">
        <v>-215.7672</v>
      </c>
      <c r="K3839">
        <v>1.1074200000000001</v>
      </c>
      <c r="L3839">
        <v>214.804</v>
      </c>
      <c r="M3839">
        <v>0.99976759999999998</v>
      </c>
      <c r="N3839">
        <v>0</v>
      </c>
      <c r="O3839">
        <v>-1.586999E-2</v>
      </c>
      <c r="P3839">
        <v>0.99010169999999997</v>
      </c>
      <c r="Q3839">
        <v>2.141441E-3</v>
      </c>
      <c r="R3839">
        <v>-0.1403375</v>
      </c>
      <c r="S3839">
        <v>2.9133909999999998</v>
      </c>
      <c r="T3839">
        <v>-0.13711679999999901</v>
      </c>
      <c r="U3839">
        <v>-0.83805849999999904</v>
      </c>
      <c r="V3839">
        <v>0.1247024</v>
      </c>
      <c r="W3839">
        <v>1.588022E-2</v>
      </c>
      <c r="X3839">
        <v>0.99206709999999998</v>
      </c>
      <c r="Y3839">
        <v>0.2609089</v>
      </c>
      <c r="Z3839">
        <v>-5.2832699999999996E-3</v>
      </c>
      <c r="AA3839">
        <v>0.96534900000000001</v>
      </c>
      <c r="AB3839">
        <v>34</v>
      </c>
      <c r="AC3839">
        <v>23.204599999999999</v>
      </c>
      <c r="AD3839">
        <v>-1.1074156115880001</v>
      </c>
      <c r="AE3839">
        <v>-6.7626999999999899</v>
      </c>
      <c r="AF3839">
        <v>6.3801584786103698</v>
      </c>
      <c r="AG3839">
        <v>-1.1074156115880001</v>
      </c>
      <c r="AH3839">
        <v>23.260183005634801</v>
      </c>
      <c r="AI3839">
        <v>92.628832797697697</v>
      </c>
      <c r="AJ3839">
        <v>74.661293977488</v>
      </c>
      <c r="AK3839">
        <v>24.1447490151502</v>
      </c>
      <c r="AL3839">
        <v>89.090092170280499</v>
      </c>
      <c r="AM3839">
        <v>82.835521747135004</v>
      </c>
      <c r="AN3839">
        <v>1.0000000004277001</v>
      </c>
    </row>
    <row r="3840" spans="1:40" x14ac:dyDescent="0.25">
      <c r="A3840" t="str">
        <f>"20190312154912619"</f>
        <v>20190312154912619</v>
      </c>
      <c r="B3840" t="str">
        <f>"1552376952609868"</f>
        <v>1552376952609868</v>
      </c>
      <c r="C3840" t="s">
        <v>40</v>
      </c>
      <c r="D3840">
        <v>4.3181669999999999</v>
      </c>
      <c r="E3840">
        <v>0.55461530000000003</v>
      </c>
      <c r="F3840" t="s">
        <v>49</v>
      </c>
      <c r="G3840">
        <v>-192.9256</v>
      </c>
      <c r="H3840" s="1">
        <v>4.2733820000000004E-6</v>
      </c>
      <c r="I3840">
        <v>208.1412</v>
      </c>
      <c r="J3840">
        <v>-215.42740000000001</v>
      </c>
      <c r="K3840">
        <v>1.1071770000000001</v>
      </c>
      <c r="L3840">
        <v>214.7953</v>
      </c>
      <c r="M3840">
        <v>0.99970829999999999</v>
      </c>
      <c r="N3840">
        <v>0</v>
      </c>
      <c r="O3840">
        <v>-1.923557E-2</v>
      </c>
      <c r="P3840">
        <v>0.98947580000000002</v>
      </c>
      <c r="Q3840">
        <v>1.3650820000000001E-3</v>
      </c>
      <c r="R3840">
        <v>-0.1446916</v>
      </c>
      <c r="S3840">
        <v>2.9099729999999999</v>
      </c>
      <c r="T3840">
        <v>-0.1410825</v>
      </c>
      <c r="U3840">
        <v>-0.84883120000000001</v>
      </c>
      <c r="V3840">
        <v>0.12573110000000001</v>
      </c>
      <c r="W3840">
        <v>1.5031070000000001E-2</v>
      </c>
      <c r="X3840">
        <v>0.99195049999999996</v>
      </c>
      <c r="Y3840">
        <v>0.26124570000000003</v>
      </c>
      <c r="Z3840">
        <v>-5.2877419999999998E-3</v>
      </c>
      <c r="AA3840">
        <v>0.9652579</v>
      </c>
      <c r="AB3840">
        <v>33</v>
      </c>
      <c r="AC3840">
        <v>22.501799999999999</v>
      </c>
      <c r="AD3840">
        <v>-1.107172726618</v>
      </c>
      <c r="AE3840">
        <v>-6.6540999999999997</v>
      </c>
      <c r="AF3840">
        <v>6.2061705300716197</v>
      </c>
      <c r="AG3840">
        <v>-1.107172726618</v>
      </c>
      <c r="AH3840">
        <v>22.575384771103099</v>
      </c>
      <c r="AI3840">
        <v>92.707441750375693</v>
      </c>
      <c r="AJ3840">
        <v>74.6286101738268</v>
      </c>
      <c r="AK3840">
        <v>23.439078088914901</v>
      </c>
      <c r="AL3840">
        <v>89.138750710519503</v>
      </c>
      <c r="AM3840">
        <v>82.776201857073005</v>
      </c>
      <c r="AN3840">
        <v>1.0000000185114</v>
      </c>
    </row>
    <row r="3841" spans="1:40" x14ac:dyDescent="0.25">
      <c r="A3841" t="str">
        <f>"20190312154912641"</f>
        <v>20190312154912641</v>
      </c>
      <c r="B3841" t="str">
        <f>"1552376952629388"</f>
        <v>1552376952629388</v>
      </c>
      <c r="C3841" t="s">
        <v>40</v>
      </c>
      <c r="D3841">
        <v>4.2953789999999996</v>
      </c>
      <c r="E3841">
        <v>0.55448719999999996</v>
      </c>
      <c r="F3841" t="s">
        <v>49</v>
      </c>
      <c r="G3841">
        <v>-193.25919999999999</v>
      </c>
      <c r="H3841" s="1">
        <v>4.1897709999999999E-6</v>
      </c>
      <c r="I3841">
        <v>208.23349999999999</v>
      </c>
      <c r="J3841">
        <v>-215.09829999999999</v>
      </c>
      <c r="K3841">
        <v>1.1069370000000001</v>
      </c>
      <c r="L3841">
        <v>214.78559999999999</v>
      </c>
      <c r="M3841">
        <v>0.99963380000000002</v>
      </c>
      <c r="N3841">
        <v>0</v>
      </c>
      <c r="O3841">
        <v>-2.2777039999999998E-2</v>
      </c>
      <c r="P3841">
        <v>0.98882289999999995</v>
      </c>
      <c r="Q3841">
        <v>1.7019719999999999E-3</v>
      </c>
      <c r="R3841">
        <v>-0.14908660000000001</v>
      </c>
      <c r="S3841">
        <v>2.9062960000000002</v>
      </c>
      <c r="T3841">
        <v>-0.1451527</v>
      </c>
      <c r="U3841">
        <v>-0.86027529999999997</v>
      </c>
      <c r="V3841">
        <v>0.12663559999999999</v>
      </c>
      <c r="W3841">
        <v>1.5294739999999999E-2</v>
      </c>
      <c r="X3841">
        <v>0.99183140000000003</v>
      </c>
      <c r="Y3841">
        <v>0.26164110000000002</v>
      </c>
      <c r="Z3841">
        <v>-5.2806399999999996E-3</v>
      </c>
      <c r="AA3841">
        <v>0.96515079999999998</v>
      </c>
      <c r="AB3841">
        <v>33</v>
      </c>
      <c r="AC3841">
        <v>21.839099999999998</v>
      </c>
      <c r="AD3841">
        <v>-1.1069328102289999</v>
      </c>
      <c r="AE3841">
        <v>-6.5520999999999896</v>
      </c>
      <c r="AF3841">
        <v>6.0386840479361599</v>
      </c>
      <c r="AG3841">
        <v>-1.1069328102289999</v>
      </c>
      <c r="AH3841">
        <v>21.9309971115648</v>
      </c>
      <c r="AI3841">
        <v>92.785953176788496</v>
      </c>
      <c r="AJ3841">
        <v>74.605145690665594</v>
      </c>
      <c r="AK3841">
        <v>22.774100192644799</v>
      </c>
      <c r="AL3841">
        <v>89.1236417926456</v>
      </c>
      <c r="AM3841">
        <v>82.723924976591107</v>
      </c>
      <c r="AN3841">
        <v>1.0000000151424899</v>
      </c>
    </row>
    <row r="3842" spans="1:40" x14ac:dyDescent="0.25">
      <c r="A3842" t="str">
        <f>"20190312154912663"</f>
        <v>20190312154912663</v>
      </c>
      <c r="B3842" t="str">
        <f>"1552376952659644"</f>
        <v>1552376952659644</v>
      </c>
      <c r="C3842" t="s">
        <v>40</v>
      </c>
      <c r="D3842">
        <v>4.3220499999999999</v>
      </c>
      <c r="E3842">
        <v>0.55423719999999999</v>
      </c>
      <c r="F3842" t="s">
        <v>49</v>
      </c>
      <c r="G3842">
        <v>-193.05940000000001</v>
      </c>
      <c r="H3842" s="1">
        <v>4.24328E-6</v>
      </c>
      <c r="I3842">
        <v>208.1653</v>
      </c>
      <c r="J3842">
        <v>-214.762</v>
      </c>
      <c r="K3842">
        <v>1.106695</v>
      </c>
      <c r="L3842">
        <v>214.7741</v>
      </c>
      <c r="M3842">
        <v>0.99953740000000002</v>
      </c>
      <c r="N3842">
        <v>0</v>
      </c>
      <c r="O3842">
        <v>-2.666847E-2</v>
      </c>
      <c r="P3842">
        <v>0.98808269999999998</v>
      </c>
      <c r="Q3842">
        <v>2.0772669999999998E-3</v>
      </c>
      <c r="R3842">
        <v>-0.15391089999999999</v>
      </c>
      <c r="S3842">
        <v>2.902695</v>
      </c>
      <c r="T3842">
        <v>-0.14579159999999999</v>
      </c>
      <c r="U3842">
        <v>-0.87194819999999995</v>
      </c>
      <c r="V3842">
        <v>0.1276272</v>
      </c>
      <c r="W3842">
        <v>1.559368E-2</v>
      </c>
      <c r="X3842">
        <v>0.99169960000000001</v>
      </c>
      <c r="Y3842">
        <v>0.26177549999999999</v>
      </c>
      <c r="Z3842">
        <v>-5.119742E-3</v>
      </c>
      <c r="AA3842">
        <v>0.96511519999999995</v>
      </c>
      <c r="AB3842">
        <v>33</v>
      </c>
      <c r="AC3842">
        <v>21.702599999999901</v>
      </c>
      <c r="AD3842">
        <v>-1.1066907567199999</v>
      </c>
      <c r="AE3842">
        <v>-6.6087999999999996</v>
      </c>
      <c r="AF3842">
        <v>6.0133023017262897</v>
      </c>
      <c r="AG3842">
        <v>-1.1066907567199999</v>
      </c>
      <c r="AH3842">
        <v>21.819222412760599</v>
      </c>
      <c r="AI3842">
        <v>92.799413986662003</v>
      </c>
      <c r="AJ3842">
        <v>74.591977204962902</v>
      </c>
      <c r="AK3842">
        <v>22.659722763098198</v>
      </c>
      <c r="AL3842">
        <v>89.106511718778506</v>
      </c>
      <c r="AM3842">
        <v>82.666604593835402</v>
      </c>
      <c r="AN3842">
        <v>0.99999998083797104</v>
      </c>
    </row>
    <row r="3843" spans="1:40" x14ac:dyDescent="0.25">
      <c r="A3843" t="str">
        <f>"20190312154912685"</f>
        <v>20190312154912685</v>
      </c>
      <c r="B3843" t="str">
        <f>"1552376952679164"</f>
        <v>1552376952679164</v>
      </c>
      <c r="C3843" t="s">
        <v>40</v>
      </c>
      <c r="D3843">
        <v>4.3619139999999996</v>
      </c>
      <c r="E3843">
        <v>0.55405760000000004</v>
      </c>
      <c r="F3843" t="s">
        <v>49</v>
      </c>
      <c r="G3843">
        <v>-192.77619999999999</v>
      </c>
      <c r="H3843" s="1">
        <v>4.329961E-6</v>
      </c>
      <c r="I3843">
        <v>208.07259999999999</v>
      </c>
      <c r="J3843">
        <v>-214.4263</v>
      </c>
      <c r="K3843">
        <v>1.1064560000000001</v>
      </c>
      <c r="L3843">
        <v>214.7611</v>
      </c>
      <c r="M3843">
        <v>0.99941749999999996</v>
      </c>
      <c r="N3843">
        <v>0</v>
      </c>
      <c r="O3843">
        <v>-3.0828979999999999E-2</v>
      </c>
      <c r="P3843">
        <v>0.9872727</v>
      </c>
      <c r="Q3843">
        <v>1.40335E-3</v>
      </c>
      <c r="R3843">
        <v>-0.15903129999999999</v>
      </c>
      <c r="S3843">
        <v>2.8988649999999998</v>
      </c>
      <c r="T3843">
        <v>-0.1459192</v>
      </c>
      <c r="U3843">
        <v>-0.883606</v>
      </c>
      <c r="V3843">
        <v>0.1286438</v>
      </c>
      <c r="W3843">
        <v>1.4844649999999999E-2</v>
      </c>
      <c r="X3843">
        <v>0.99157980000000001</v>
      </c>
      <c r="Y3843">
        <v>0.26166899999999998</v>
      </c>
      <c r="Z3843">
        <v>-4.9209980000000002E-3</v>
      </c>
      <c r="AA3843">
        <v>0.96514509999999998</v>
      </c>
      <c r="AB3843">
        <v>33</v>
      </c>
      <c r="AC3843">
        <v>21.650099999999998</v>
      </c>
      <c r="AD3843">
        <v>-1.1064516700389999</v>
      </c>
      <c r="AE3843">
        <v>-6.6885000000000003</v>
      </c>
      <c r="AF3843">
        <v>6.0034841527365002</v>
      </c>
      <c r="AG3843">
        <v>-1.1064516700389999</v>
      </c>
      <c r="AH3843">
        <v>21.794065675487399</v>
      </c>
      <c r="AI3843">
        <v>92.8021305115183</v>
      </c>
      <c r="AJ3843">
        <v>74.599026688871106</v>
      </c>
      <c r="AK3843">
        <v>22.632882183622801</v>
      </c>
      <c r="AL3843">
        <v>89.149433004260899</v>
      </c>
      <c r="AM3843">
        <v>82.607951537041302</v>
      </c>
      <c r="AN3843">
        <v>1.0000000453400499</v>
      </c>
    </row>
    <row r="3844" spans="1:40" x14ac:dyDescent="0.25">
      <c r="A3844" t="str">
        <f>"20190312154912708"</f>
        <v>20190312154912708</v>
      </c>
      <c r="B3844" t="str">
        <f>"1552376952699660"</f>
        <v>1552376952699660</v>
      </c>
      <c r="C3844" t="s">
        <v>40</v>
      </c>
      <c r="D3844">
        <v>4.3428740000000001</v>
      </c>
      <c r="E3844">
        <v>0.55389860000000002</v>
      </c>
      <c r="F3844" t="s">
        <v>49</v>
      </c>
      <c r="G3844">
        <v>-192.8219</v>
      </c>
      <c r="H3844" s="1">
        <v>4.3240170000000003E-6</v>
      </c>
      <c r="I3844">
        <v>208.0608</v>
      </c>
      <c r="J3844">
        <v>-214.09370000000001</v>
      </c>
      <c r="K3844">
        <v>1.106231</v>
      </c>
      <c r="L3844">
        <v>214.74639999999999</v>
      </c>
      <c r="M3844">
        <v>0.99927250000000001</v>
      </c>
      <c r="N3844">
        <v>0</v>
      </c>
      <c r="O3844">
        <v>-3.5217209999999999E-2</v>
      </c>
      <c r="P3844">
        <v>0.98636900000000005</v>
      </c>
      <c r="Q3844">
        <v>1.089664E-3</v>
      </c>
      <c r="R3844">
        <v>-0.1645461</v>
      </c>
      <c r="S3844">
        <v>2.8942869999999998</v>
      </c>
      <c r="T3844">
        <v>-0.14822829999999901</v>
      </c>
      <c r="U3844">
        <v>-0.89761349999999995</v>
      </c>
      <c r="V3844">
        <v>0.12983629999999999</v>
      </c>
      <c r="W3844">
        <v>1.4458459999999999E-2</v>
      </c>
      <c r="X3844">
        <v>0.99143000000000003</v>
      </c>
      <c r="Y3844">
        <v>0.26211990000000002</v>
      </c>
      <c r="Z3844">
        <v>-4.7953229999999998E-3</v>
      </c>
      <c r="AA3844">
        <v>0.96502339999999998</v>
      </c>
      <c r="AB3844">
        <v>33</v>
      </c>
      <c r="AC3844">
        <v>21.271799999999999</v>
      </c>
      <c r="AD3844">
        <v>-1.106226675983</v>
      </c>
      <c r="AE3844">
        <v>-6.6855999999999902</v>
      </c>
      <c r="AF3844">
        <v>5.9176729025139698</v>
      </c>
      <c r="AG3844">
        <v>-1.106226675983</v>
      </c>
      <c r="AH3844">
        <v>21.4413013033335</v>
      </c>
      <c r="AI3844">
        <v>92.847193202719794</v>
      </c>
      <c r="AJ3844">
        <v>74.570808456947404</v>
      </c>
      <c r="AK3844">
        <v>22.2704286357523</v>
      </c>
      <c r="AL3844">
        <v>89.1715623803791</v>
      </c>
      <c r="AM3844">
        <v>82.539082692637507</v>
      </c>
      <c r="AN3844">
        <v>0.99999997838163002</v>
      </c>
    </row>
    <row r="3845" spans="1:40" x14ac:dyDescent="0.25">
      <c r="A3845" t="str">
        <f>"20190312154912730"</f>
        <v>20190312154912730</v>
      </c>
      <c r="B3845" t="str">
        <f>"1552376952719686"</f>
        <v>1552376952719686</v>
      </c>
      <c r="C3845" t="s">
        <v>40</v>
      </c>
      <c r="D3845">
        <v>4.3528209999999996</v>
      </c>
      <c r="E3845">
        <v>0.55379179999999995</v>
      </c>
      <c r="F3845" t="s">
        <v>49</v>
      </c>
      <c r="G3845">
        <v>-192.70189999999999</v>
      </c>
      <c r="H3845" s="1">
        <v>4.375681E-6</v>
      </c>
      <c r="I3845">
        <v>207.98990000000001</v>
      </c>
      <c r="J3845">
        <v>-213.76140000000001</v>
      </c>
      <c r="K3845">
        <v>1.106034</v>
      </c>
      <c r="L3845">
        <v>214.73009999999999</v>
      </c>
      <c r="M3845">
        <v>0.99910010000000005</v>
      </c>
      <c r="N3845">
        <v>0</v>
      </c>
      <c r="O3845">
        <v>-3.9803680000000001E-2</v>
      </c>
      <c r="P3845">
        <v>0.98538789999999998</v>
      </c>
      <c r="Q3845">
        <v>1.078578E-3</v>
      </c>
      <c r="R3845">
        <v>-0.17032369999999999</v>
      </c>
      <c r="S3845">
        <v>2.889389</v>
      </c>
      <c r="T3845">
        <v>-0.14941750000000001</v>
      </c>
      <c r="U3845">
        <v>-0.91259769999999896</v>
      </c>
      <c r="V3845">
        <v>0.1311022</v>
      </c>
      <c r="W3845">
        <v>1.4381690000000001E-2</v>
      </c>
      <c r="X3845">
        <v>0.99126449999999999</v>
      </c>
      <c r="Y3845">
        <v>0.26271080000000002</v>
      </c>
      <c r="Z3845">
        <v>-4.6222210000000001E-3</v>
      </c>
      <c r="AA3845">
        <v>0.96486349999999999</v>
      </c>
      <c r="AB3845">
        <v>33</v>
      </c>
      <c r="AC3845">
        <v>21.0595</v>
      </c>
      <c r="AD3845">
        <v>-1.106029624319</v>
      </c>
      <c r="AE3845">
        <v>-6.7401999999999802</v>
      </c>
      <c r="AF3845">
        <v>5.8818056182815601</v>
      </c>
      <c r="AG3845">
        <v>-1.106029624319</v>
      </c>
      <c r="AH3845">
        <v>21.257933751930899</v>
      </c>
      <c r="AI3845">
        <v>92.870690762362202</v>
      </c>
      <c r="AJ3845">
        <v>74.533896113878797</v>
      </c>
      <c r="AK3845">
        <v>22.084353879219702</v>
      </c>
      <c r="AL3845">
        <v>89.175961423341704</v>
      </c>
      <c r="AM3845">
        <v>82.4659271512418</v>
      </c>
      <c r="AN3845">
        <v>0.999999964406172</v>
      </c>
    </row>
    <row r="3846" spans="1:40" x14ac:dyDescent="0.25">
      <c r="A3846" t="str">
        <f>"20190312154912751"</f>
        <v>20190312154912751</v>
      </c>
      <c r="B3846" t="str">
        <f>"1552376952739206"</f>
        <v>1552376952739206</v>
      </c>
      <c r="C3846" t="s">
        <v>40</v>
      </c>
      <c r="D3846">
        <v>4.3321709999999998</v>
      </c>
      <c r="E3846">
        <v>0.55366159999999998</v>
      </c>
      <c r="F3846" t="s">
        <v>49</v>
      </c>
      <c r="G3846">
        <v>-192.49969999999999</v>
      </c>
      <c r="H3846" s="1">
        <v>4.4575519999999998E-6</v>
      </c>
      <c r="I3846">
        <v>207.88509999999999</v>
      </c>
      <c r="J3846">
        <v>-213.43629999999999</v>
      </c>
      <c r="K3846">
        <v>1.1058650000000001</v>
      </c>
      <c r="L3846">
        <v>214.71260000000001</v>
      </c>
      <c r="M3846">
        <v>0.99890319999999999</v>
      </c>
      <c r="N3846">
        <v>0</v>
      </c>
      <c r="O3846">
        <v>-4.4469300000000003E-2</v>
      </c>
      <c r="P3846">
        <v>0.98426230000000003</v>
      </c>
      <c r="Q3846">
        <v>1.18516E-3</v>
      </c>
      <c r="R3846">
        <v>-0.1767098</v>
      </c>
      <c r="S3846">
        <v>2.8841549999999998</v>
      </c>
      <c r="T3846">
        <v>-0.1500331</v>
      </c>
      <c r="U3846">
        <v>-0.92852780000000001</v>
      </c>
      <c r="V3846">
        <v>0.13290769999999999</v>
      </c>
      <c r="W3846">
        <v>1.44227E-2</v>
      </c>
      <c r="X3846">
        <v>0.99102349999999995</v>
      </c>
      <c r="Y3846">
        <v>0.26354630000000001</v>
      </c>
      <c r="Z3846">
        <v>-4.431038E-3</v>
      </c>
      <c r="AA3846">
        <v>0.96463659999999996</v>
      </c>
      <c r="AB3846">
        <v>33</v>
      </c>
      <c r="AC3846">
        <v>20.936599999999999</v>
      </c>
      <c r="AD3846">
        <v>-1.1058605424479999</v>
      </c>
      <c r="AE3846">
        <v>-6.8275000000000103</v>
      </c>
      <c r="AF3846">
        <v>5.8747938225524701</v>
      </c>
      <c r="AG3846">
        <v>-1.1058605424479999</v>
      </c>
      <c r="AH3846">
        <v>21.1661555068479</v>
      </c>
      <c r="AI3846">
        <v>92.882034218834406</v>
      </c>
      <c r="AJ3846">
        <v>74.4876854532679</v>
      </c>
      <c r="AK3846">
        <v>21.994141695845101</v>
      </c>
      <c r="AL3846">
        <v>89.173611529088006</v>
      </c>
      <c r="AM3846">
        <v>82.361551282044204</v>
      </c>
      <c r="AN3846">
        <v>1.0000000242734099</v>
      </c>
    </row>
    <row r="3847" spans="1:40" x14ac:dyDescent="0.25">
      <c r="A3847" t="str">
        <f>"20190312154912776"</f>
        <v>20190312154912776</v>
      </c>
      <c r="B3847" t="str">
        <f>"1552376952769462"</f>
        <v>1552376952769462</v>
      </c>
      <c r="C3847" t="s">
        <v>40</v>
      </c>
      <c r="D3847">
        <v>4.3202509999999998</v>
      </c>
      <c r="E3847">
        <v>0.55341099999999999</v>
      </c>
      <c r="F3847" t="s">
        <v>49</v>
      </c>
      <c r="G3847">
        <v>-192.29239999999999</v>
      </c>
      <c r="H3847" s="1">
        <v>4.5469340000000001E-6</v>
      </c>
      <c r="I3847">
        <v>207.76230000000001</v>
      </c>
      <c r="J3847">
        <v>-213.08779999999999</v>
      </c>
      <c r="K3847">
        <v>1.1056999999999999</v>
      </c>
      <c r="L3847">
        <v>214.6918</v>
      </c>
      <c r="M3847">
        <v>0.9986585</v>
      </c>
      <c r="N3847">
        <v>0</v>
      </c>
      <c r="O3847">
        <v>-4.96575E-2</v>
      </c>
      <c r="P3847">
        <v>0.98303220000000002</v>
      </c>
      <c r="Q3847">
        <v>1.114404E-3</v>
      </c>
      <c r="R3847">
        <v>-0.18343029999999999</v>
      </c>
      <c r="S3847">
        <v>2.8782960000000002</v>
      </c>
      <c r="T3847">
        <v>-0.15053900000000001</v>
      </c>
      <c r="U3847">
        <v>-0.9461212</v>
      </c>
      <c r="V3847">
        <v>0.1345354</v>
      </c>
      <c r="W3847">
        <v>1.428777E-2</v>
      </c>
      <c r="X3847">
        <v>0.99080579999999996</v>
      </c>
      <c r="Y3847">
        <v>0.26444250000000002</v>
      </c>
      <c r="Z3847">
        <v>-4.2103189999999997E-3</v>
      </c>
      <c r="AA3847">
        <v>0.96439219999999903</v>
      </c>
      <c r="AB3847">
        <v>33</v>
      </c>
      <c r="AC3847">
        <v>20.795400000000001</v>
      </c>
      <c r="AD3847">
        <v>-1.1056954530659999</v>
      </c>
      <c r="AE3847">
        <v>-6.9294999999999902</v>
      </c>
      <c r="AF3847">
        <v>5.8732458369453999</v>
      </c>
      <c r="AG3847">
        <v>-1.1056954530659999</v>
      </c>
      <c r="AH3847">
        <v>21.060289429689298</v>
      </c>
      <c r="AI3847">
        <v>92.895078785323307</v>
      </c>
      <c r="AJ3847">
        <v>74.417397187099297</v>
      </c>
      <c r="AK3847">
        <v>21.891856247436198</v>
      </c>
      <c r="AL3847">
        <v>89.181343244712195</v>
      </c>
      <c r="AM3847">
        <v>82.267450866994807</v>
      </c>
      <c r="AN3847">
        <v>1.00000002376918</v>
      </c>
    </row>
    <row r="3848" spans="1:40" x14ac:dyDescent="0.25">
      <c r="A3848" t="str">
        <f>"20190312154912797"</f>
        <v>20190312154912797</v>
      </c>
      <c r="B3848" t="str">
        <f>"1552376952789958"</f>
        <v>1552376952789958</v>
      </c>
      <c r="C3848" t="s">
        <v>40</v>
      </c>
      <c r="D3848">
        <v>4.3162190000000002</v>
      </c>
      <c r="E3848">
        <v>0.55331269999999999</v>
      </c>
      <c r="F3848" t="s">
        <v>49</v>
      </c>
      <c r="G3848">
        <v>-192.10730000000001</v>
      </c>
      <c r="H3848" s="1">
        <v>4.6279089999999998E-6</v>
      </c>
      <c r="I3848">
        <v>207.64940000000001</v>
      </c>
      <c r="J3848">
        <v>-212.7654</v>
      </c>
      <c r="K3848">
        <v>1.105556</v>
      </c>
      <c r="L3848">
        <v>214.67089999999999</v>
      </c>
      <c r="M3848">
        <v>0.99839990000000001</v>
      </c>
      <c r="N3848">
        <v>0</v>
      </c>
      <c r="O3848">
        <v>-5.4612269999999997E-2</v>
      </c>
      <c r="P3848">
        <v>0.98174150000000004</v>
      </c>
      <c r="Q3848">
        <v>1.140311E-4</v>
      </c>
      <c r="R3848">
        <v>-0.1902211</v>
      </c>
      <c r="S3848">
        <v>2.8720699999999999</v>
      </c>
      <c r="T3848">
        <v>-0.151361299999999</v>
      </c>
      <c r="U3848">
        <v>-0.96406559999999997</v>
      </c>
      <c r="V3848">
        <v>0.13646229999999901</v>
      </c>
      <c r="W3848">
        <v>1.322452E-2</v>
      </c>
      <c r="X3848">
        <v>0.99055700000000002</v>
      </c>
      <c r="Y3848">
        <v>0.265704</v>
      </c>
      <c r="Z3848">
        <v>-4.0176819999999999E-3</v>
      </c>
      <c r="AA3848">
        <v>0.96404630000000002</v>
      </c>
      <c r="AB3848">
        <v>33</v>
      </c>
      <c r="AC3848">
        <v>20.658099999999902</v>
      </c>
      <c r="AD3848">
        <v>-1.105551372091</v>
      </c>
      <c r="AE3848">
        <v>-7.0214999999999703</v>
      </c>
      <c r="AF3848">
        <v>5.8676472649509996</v>
      </c>
      <c r="AG3848">
        <v>-1.105551372091</v>
      </c>
      <c r="AH3848">
        <v>20.9569598866345</v>
      </c>
      <c r="AI3848">
        <v>92.908116459438801</v>
      </c>
      <c r="AJ3848">
        <v>74.358517920780699</v>
      </c>
      <c r="AK3848">
        <v>21.7909544525298</v>
      </c>
      <c r="AL3848">
        <v>89.242268737107395</v>
      </c>
      <c r="AM3848">
        <v>82.156123706716301</v>
      </c>
      <c r="AN3848">
        <v>1.00000000874976</v>
      </c>
    </row>
    <row r="3849" spans="1:40" x14ac:dyDescent="0.25">
      <c r="A3849" t="str">
        <f>"20190312154912820"</f>
        <v>20190312154912820</v>
      </c>
      <c r="B3849" t="str">
        <f>"1552376952809479"</f>
        <v>1552376952809479</v>
      </c>
      <c r="C3849" t="s">
        <v>40</v>
      </c>
      <c r="D3849">
        <v>4.2792450000000004</v>
      </c>
      <c r="E3849">
        <v>0.55322969999999905</v>
      </c>
      <c r="F3849" t="s">
        <v>49</v>
      </c>
      <c r="G3849">
        <v>-192.30029999999999</v>
      </c>
      <c r="H3849" s="1">
        <v>4.5851600000000003E-6</v>
      </c>
      <c r="I3849">
        <v>207.64920000000001</v>
      </c>
      <c r="J3849">
        <v>-212.435</v>
      </c>
      <c r="K3849">
        <v>1.1054029999999999</v>
      </c>
      <c r="L3849">
        <v>214.64769999999999</v>
      </c>
      <c r="M3849">
        <v>0.99809999999999999</v>
      </c>
      <c r="N3849">
        <v>0</v>
      </c>
      <c r="O3849">
        <v>-5.9838469999999998E-2</v>
      </c>
      <c r="P3849">
        <v>0.98031310000000005</v>
      </c>
      <c r="Q3849">
        <v>-1.016362E-3</v>
      </c>
      <c r="R3849">
        <v>-0.19744700000000001</v>
      </c>
      <c r="S3849">
        <v>2.865326</v>
      </c>
      <c r="T3849">
        <v>-0.15478839999999999</v>
      </c>
      <c r="U3849">
        <v>-0.98310850000000005</v>
      </c>
      <c r="V3849">
        <v>0.13856479999999999</v>
      </c>
      <c r="W3849">
        <v>1.202775E-2</v>
      </c>
      <c r="X3849">
        <v>0.9902803</v>
      </c>
      <c r="Y3849">
        <v>0.26707789999999998</v>
      </c>
      <c r="Z3849">
        <v>-3.8769130000000001E-3</v>
      </c>
      <c r="AA3849">
        <v>0.96366719999999895</v>
      </c>
      <c r="AB3849">
        <v>33</v>
      </c>
      <c r="AC3849">
        <v>20.134699999999999</v>
      </c>
      <c r="AD3849">
        <v>-1.10539841484</v>
      </c>
      <c r="AE3849">
        <v>-6.9984999999999697</v>
      </c>
      <c r="AF3849">
        <v>5.7654926378307598</v>
      </c>
      <c r="AG3849">
        <v>-1.10539841484</v>
      </c>
      <c r="AH3849">
        <v>20.462410710250101</v>
      </c>
      <c r="AI3849">
        <v>92.976492459214398</v>
      </c>
      <c r="AJ3849">
        <v>74.264277057537399</v>
      </c>
      <c r="AK3849">
        <v>21.287861872141399</v>
      </c>
      <c r="AL3849">
        <v>89.3108440513587</v>
      </c>
      <c r="AM3849">
        <v>82.034613929289705</v>
      </c>
      <c r="AN3849">
        <v>0.99999997156859499</v>
      </c>
    </row>
    <row r="3850" spans="1:40" x14ac:dyDescent="0.25">
      <c r="A3850" t="str">
        <f>"20190312154912841"</f>
        <v>20190312154912841</v>
      </c>
      <c r="B3850" t="str">
        <f>"1552376952829975"</f>
        <v>1552376952829975</v>
      </c>
      <c r="C3850" t="s">
        <v>40</v>
      </c>
      <c r="D3850">
        <v>4.2843049999999998</v>
      </c>
      <c r="E3850">
        <v>0.55307569999999995</v>
      </c>
      <c r="F3850" t="s">
        <v>49</v>
      </c>
      <c r="G3850">
        <v>-192.654</v>
      </c>
      <c r="H3850" s="1">
        <v>4.4865339999999998E-6</v>
      </c>
      <c r="I3850">
        <v>207.7064</v>
      </c>
      <c r="J3850">
        <v>-212.10579999999999</v>
      </c>
      <c r="K3850">
        <v>1.105253</v>
      </c>
      <c r="L3850">
        <v>214.62270000000001</v>
      </c>
      <c r="M3850">
        <v>0.99776450000000005</v>
      </c>
      <c r="N3850">
        <v>0</v>
      </c>
      <c r="O3850">
        <v>-6.5194799999999997E-2</v>
      </c>
      <c r="P3850">
        <v>0.97874620000000001</v>
      </c>
      <c r="Q3850">
        <v>-1.250405E-3</v>
      </c>
      <c r="R3850">
        <v>-0.20507230000000001</v>
      </c>
      <c r="S3850">
        <v>2.8580930000000002</v>
      </c>
      <c r="T3850">
        <v>-0.15971540000000001</v>
      </c>
      <c r="U3850">
        <v>-1.0029300000000001</v>
      </c>
      <c r="V3850">
        <v>0.1409598</v>
      </c>
      <c r="W3850">
        <v>1.17226E-2</v>
      </c>
      <c r="X3850">
        <v>0.98994590000000005</v>
      </c>
      <c r="Y3850">
        <v>0.26860460000000003</v>
      </c>
      <c r="Z3850">
        <v>-3.7583510000000001E-3</v>
      </c>
      <c r="AA3850">
        <v>0.96324319999999997</v>
      </c>
      <c r="AB3850">
        <v>33</v>
      </c>
      <c r="AC3850">
        <v>19.451799999999899</v>
      </c>
      <c r="AD3850">
        <v>-1.1052485134659999</v>
      </c>
      <c r="AE3850">
        <v>-6.9162999999999997</v>
      </c>
      <c r="AF3850">
        <v>5.6171901202273196</v>
      </c>
      <c r="AG3850">
        <v>-1.1052485134659999</v>
      </c>
      <c r="AH3850">
        <v>19.804600959631099</v>
      </c>
      <c r="AI3850">
        <v>93.073251513531005</v>
      </c>
      <c r="AJ3850">
        <v>74.165042812684405</v>
      </c>
      <c r="AK3850">
        <v>20.615446109495601</v>
      </c>
      <c r="AL3850">
        <v>89.328329100805703</v>
      </c>
      <c r="AM3850">
        <v>81.896049761740301</v>
      </c>
      <c r="AN3850">
        <v>0.99999998474680396</v>
      </c>
    </row>
    <row r="3851" spans="1:40" x14ac:dyDescent="0.25">
      <c r="A3851" t="str">
        <f>"20190312154912864"</f>
        <v>20190312154912864</v>
      </c>
      <c r="B3851" t="str">
        <f>"1552376952860230"</f>
        <v>1552376952860230</v>
      </c>
      <c r="C3851" t="s">
        <v>40</v>
      </c>
      <c r="D3851">
        <v>4.2901669999999896</v>
      </c>
      <c r="E3851">
        <v>0.55289829999999995</v>
      </c>
      <c r="F3851" t="s">
        <v>49</v>
      </c>
      <c r="G3851">
        <v>-192.5684</v>
      </c>
      <c r="H3851" s="1">
        <v>4.5412949999999997E-6</v>
      </c>
      <c r="I3851">
        <v>207.60509999999999</v>
      </c>
      <c r="J3851">
        <v>-211.77289999999999</v>
      </c>
      <c r="K3851">
        <v>1.105094</v>
      </c>
      <c r="L3851">
        <v>214.59549999999999</v>
      </c>
      <c r="M3851">
        <v>0.99738380000000004</v>
      </c>
      <c r="N3851">
        <v>0</v>
      </c>
      <c r="O3851">
        <v>-7.0776690000000003E-2</v>
      </c>
      <c r="P3851">
        <v>0.97702650000000002</v>
      </c>
      <c r="Q3851">
        <v>-1.666984E-3</v>
      </c>
      <c r="R3851">
        <v>-0.2131111</v>
      </c>
      <c r="S3851">
        <v>2.8504330000000002</v>
      </c>
      <c r="T3851">
        <v>-0.16125129999999999</v>
      </c>
      <c r="U3851">
        <v>-1.0238339999999999</v>
      </c>
      <c r="V3851">
        <v>0.14355780000000001</v>
      </c>
      <c r="W3851">
        <v>1.122863E-2</v>
      </c>
      <c r="X3851">
        <v>0.98957819999999996</v>
      </c>
      <c r="Y3851">
        <v>0.27029449999999999</v>
      </c>
      <c r="Z3851">
        <v>-3.542379E-3</v>
      </c>
      <c r="AA3851">
        <v>0.96277120000000005</v>
      </c>
      <c r="AB3851">
        <v>33</v>
      </c>
      <c r="AC3851">
        <v>19.204499999999999</v>
      </c>
      <c r="AD3851">
        <v>-1.105089458705</v>
      </c>
      <c r="AE3851">
        <v>-6.9903999999999904</v>
      </c>
      <c r="AF3851">
        <v>5.5971226087594603</v>
      </c>
      <c r="AG3851">
        <v>-1.105089458705</v>
      </c>
      <c r="AH3851">
        <v>19.593849949391299</v>
      </c>
      <c r="AI3851">
        <v>93.104143206323897</v>
      </c>
      <c r="AJ3851">
        <v>74.057632674150497</v>
      </c>
      <c r="AK3851">
        <v>20.407546644525599</v>
      </c>
      <c r="AL3851">
        <v>89.356633351347796</v>
      </c>
      <c r="AM3851">
        <v>81.745702243193307</v>
      </c>
      <c r="AN3851">
        <v>0.999999968993878</v>
      </c>
    </row>
    <row r="3852" spans="1:40" x14ac:dyDescent="0.25">
      <c r="A3852" t="str">
        <f>"20190312154912886"</f>
        <v>20190312154912886</v>
      </c>
      <c r="B3852" t="str">
        <f>"1552376952879750"</f>
        <v>1552376952879750</v>
      </c>
      <c r="C3852" t="s">
        <v>40</v>
      </c>
      <c r="D3852">
        <v>4.2504169999999997</v>
      </c>
      <c r="E3852">
        <v>0.55276689999999995</v>
      </c>
      <c r="F3852" t="s">
        <v>49</v>
      </c>
      <c r="G3852">
        <v>-192.35419999999999</v>
      </c>
      <c r="H3852" s="1">
        <v>4.6449640000000003E-6</v>
      </c>
      <c r="I3852">
        <v>207.4462</v>
      </c>
      <c r="J3852">
        <v>-211.4496</v>
      </c>
      <c r="K3852">
        <v>1.1049260000000001</v>
      </c>
      <c r="L3852">
        <v>214.5669</v>
      </c>
      <c r="M3852">
        <v>0.99696940000000001</v>
      </c>
      <c r="N3852">
        <v>0</v>
      </c>
      <c r="O3852">
        <v>-7.6392180000000004E-2</v>
      </c>
      <c r="P3852">
        <v>0.97499040000000003</v>
      </c>
      <c r="Q3852">
        <v>-3.2274729999999998E-3</v>
      </c>
      <c r="R3852">
        <v>-0.2222239</v>
      </c>
      <c r="S3852">
        <v>2.8420559999999999</v>
      </c>
      <c r="T3852">
        <v>-0.161737299999999</v>
      </c>
      <c r="U3852">
        <v>-1.046341</v>
      </c>
      <c r="V3852">
        <v>0.14720939999999999</v>
      </c>
      <c r="W3852">
        <v>9.5731389999999996E-3</v>
      </c>
      <c r="X3852">
        <v>0.98905900000000002</v>
      </c>
      <c r="Y3852">
        <v>0.27250920000000001</v>
      </c>
      <c r="Z3852">
        <v>-3.3128760000000002E-3</v>
      </c>
      <c r="AA3852">
        <v>0.96214750000000004</v>
      </c>
      <c r="AB3852">
        <v>33</v>
      </c>
      <c r="AC3852">
        <v>19.095400000000001</v>
      </c>
      <c r="AD3852">
        <v>-1.104921355036</v>
      </c>
      <c r="AE3852">
        <v>-7.1206999999999896</v>
      </c>
      <c r="AF3852">
        <v>5.6244581424345297</v>
      </c>
      <c r="AG3852">
        <v>-1.104921355036</v>
      </c>
      <c r="AH3852">
        <v>19.526217287667301</v>
      </c>
      <c r="AI3852">
        <v>93.112433151067606</v>
      </c>
      <c r="AJ3852">
        <v>73.9311403986665</v>
      </c>
      <c r="AK3852">
        <v>20.350148455527599</v>
      </c>
      <c r="AL3852">
        <v>89.451491148834705</v>
      </c>
      <c r="AM3852">
        <v>81.534367387151605</v>
      </c>
      <c r="AN3852">
        <v>0.99999997895983594</v>
      </c>
    </row>
    <row r="3853" spans="1:40" x14ac:dyDescent="0.25">
      <c r="A3853" t="str">
        <f>"20190312154912909"</f>
        <v>20190312154912909</v>
      </c>
      <c r="B3853" t="str">
        <f>"1552376952900246"</f>
        <v>1552376952900246</v>
      </c>
      <c r="C3853" t="s">
        <v>40</v>
      </c>
      <c r="D3853">
        <v>4.2517849999999999</v>
      </c>
      <c r="E3853">
        <v>0.55267390000000005</v>
      </c>
      <c r="F3853" t="s">
        <v>49</v>
      </c>
      <c r="G3853">
        <v>-192.65260000000001</v>
      </c>
      <c r="H3853" s="1">
        <v>4.5764940000000004E-6</v>
      </c>
      <c r="I3853">
        <v>207.45269999999999</v>
      </c>
      <c r="J3853">
        <v>-211.11799999999999</v>
      </c>
      <c r="K3853">
        <v>1.104749</v>
      </c>
      <c r="L3853">
        <v>214.53550000000001</v>
      </c>
      <c r="M3853">
        <v>0.99649239999999994</v>
      </c>
      <c r="N3853">
        <v>0</v>
      </c>
      <c r="O3853">
        <v>-8.2377309999999995E-2</v>
      </c>
      <c r="P3853">
        <v>0.97251679999999996</v>
      </c>
      <c r="Q3853">
        <v>-3.0984519999999998E-3</v>
      </c>
      <c r="R3853">
        <v>-0.23281270000000001</v>
      </c>
      <c r="S3853">
        <v>2.8321079999999998</v>
      </c>
      <c r="T3853">
        <v>-0.16647670000000001</v>
      </c>
      <c r="U3853">
        <v>-1.0718840000000001</v>
      </c>
      <c r="V3853">
        <v>0.1520291</v>
      </c>
      <c r="W3853">
        <v>9.5817220000000008E-3</v>
      </c>
      <c r="X3853">
        <v>0.98832960000000003</v>
      </c>
      <c r="Y3853">
        <v>0.27542670000000002</v>
      </c>
      <c r="Z3853">
        <v>-3.162439E-3</v>
      </c>
      <c r="AA3853">
        <v>0.96131690000000003</v>
      </c>
      <c r="AB3853">
        <v>33</v>
      </c>
      <c r="AC3853">
        <v>18.465399999999899</v>
      </c>
      <c r="AD3853">
        <v>-1.104744423506</v>
      </c>
      <c r="AE3853">
        <v>-7.0828000000000104</v>
      </c>
      <c r="AF3853">
        <v>5.5202022686945504</v>
      </c>
      <c r="AG3853">
        <v>-1.104744423506</v>
      </c>
      <c r="AH3853">
        <v>18.927093718965899</v>
      </c>
      <c r="AI3853">
        <v>93.207148510078795</v>
      </c>
      <c r="AJ3853">
        <v>73.740353447816204</v>
      </c>
      <c r="AK3853">
        <v>19.746593882872201</v>
      </c>
      <c r="AL3853">
        <v>89.450999383209194</v>
      </c>
      <c r="AM3853">
        <v>81.255061426977704</v>
      </c>
      <c r="AN3853">
        <v>1.0000000274397201</v>
      </c>
    </row>
    <row r="3854" spans="1:40" x14ac:dyDescent="0.25">
      <c r="A3854" t="str">
        <f>"20190312154912942"</f>
        <v>20190312154912942</v>
      </c>
      <c r="B3854" t="str">
        <f>"1552376952929527"</f>
        <v>1552376952929527</v>
      </c>
      <c r="C3854" t="s">
        <v>40</v>
      </c>
      <c r="D3854">
        <v>4.357119</v>
      </c>
      <c r="E3854">
        <v>0.54997989999999997</v>
      </c>
      <c r="F3854" t="s">
        <v>49</v>
      </c>
      <c r="G3854">
        <v>-192.40620000000001</v>
      </c>
      <c r="H3854" s="1">
        <v>4.7111350000000004E-6</v>
      </c>
      <c r="I3854">
        <v>207.22649999999999</v>
      </c>
      <c r="J3854">
        <v>-210.62430000000001</v>
      </c>
      <c r="K3854">
        <v>1.104506</v>
      </c>
      <c r="L3854">
        <v>214.4846</v>
      </c>
      <c r="M3854">
        <v>0.99568179999999995</v>
      </c>
      <c r="N3854">
        <v>0</v>
      </c>
      <c r="O3854">
        <v>-9.1651990000000003E-2</v>
      </c>
      <c r="P3854">
        <v>0.96975330000000004</v>
      </c>
      <c r="Q3854">
        <v>2.3933130000000001E-4</v>
      </c>
      <c r="R3854">
        <v>-0.2440879</v>
      </c>
      <c r="S3854">
        <v>2.8204959999999999</v>
      </c>
      <c r="T3854">
        <v>-0.166522</v>
      </c>
      <c r="U3854">
        <v>-1.101715</v>
      </c>
      <c r="V3854">
        <v>0.15434999999999999</v>
      </c>
      <c r="W3854">
        <v>1.280971E-2</v>
      </c>
      <c r="X3854">
        <v>0.98793319999999996</v>
      </c>
      <c r="Y3854">
        <v>0.27665009999999901</v>
      </c>
      <c r="Z3854">
        <v>-2.682958E-3</v>
      </c>
      <c r="AA3854">
        <v>0.96096700000000002</v>
      </c>
      <c r="AB3854">
        <v>33</v>
      </c>
      <c r="AC3854">
        <v>18.2181</v>
      </c>
      <c r="AD3854">
        <v>-1.1045012888650001</v>
      </c>
      <c r="AE3854">
        <v>-7.2581000000000104</v>
      </c>
      <c r="AF3854">
        <v>5.5400642104907902</v>
      </c>
      <c r="AG3854">
        <v>-1.1045012888650001</v>
      </c>
      <c r="AH3854">
        <v>18.747228750191798</v>
      </c>
      <c r="AI3854">
        <v>93.233775969071104</v>
      </c>
      <c r="AJ3854">
        <v>73.536864451283407</v>
      </c>
      <c r="AK3854">
        <v>19.579857516475499</v>
      </c>
      <c r="AL3854">
        <v>89.266037613706203</v>
      </c>
      <c r="AM3854">
        <v>81.120165284507294</v>
      </c>
      <c r="AN3854">
        <v>1.00000000941626</v>
      </c>
    </row>
    <row r="3855" spans="1:40" x14ac:dyDescent="0.25">
      <c r="A3855" t="str">
        <f>"20190312154912965"</f>
        <v>20190312154912965</v>
      </c>
      <c r="B3855" t="str">
        <f>"1552376952959783"</f>
        <v>1552376952959783</v>
      </c>
      <c r="C3855" t="s">
        <v>40</v>
      </c>
      <c r="D3855">
        <v>4.3903499999999998</v>
      </c>
      <c r="E3855">
        <v>0.58317949999999996</v>
      </c>
      <c r="F3855" t="s">
        <v>49</v>
      </c>
      <c r="G3855">
        <v>-191.27449999999999</v>
      </c>
      <c r="H3855" s="1">
        <v>5.1045699999999998E-6</v>
      </c>
      <c r="I3855">
        <v>206.82329999999999</v>
      </c>
      <c r="J3855">
        <v>-210.28960000000001</v>
      </c>
      <c r="K3855">
        <v>1.1043229999999999</v>
      </c>
      <c r="L3855">
        <v>214.44730000000001</v>
      </c>
      <c r="M3855">
        <v>0.99505250000000001</v>
      </c>
      <c r="N3855">
        <v>0</v>
      </c>
      <c r="O3855">
        <v>-9.8248199999999994E-2</v>
      </c>
      <c r="P3855">
        <v>0.96859220000000001</v>
      </c>
      <c r="Q3855">
        <v>1.6660360000000001E-3</v>
      </c>
      <c r="R3855">
        <v>-0.24865000000000001</v>
      </c>
      <c r="S3855">
        <v>2.8132630000000001</v>
      </c>
      <c r="T3855">
        <v>-0.1605828</v>
      </c>
      <c r="U3855">
        <v>-1.1138760000000001</v>
      </c>
      <c r="V3855">
        <v>0.152478799999999</v>
      </c>
      <c r="W3855">
        <v>1.420862E-2</v>
      </c>
      <c r="X3855">
        <v>0.98820459999999999</v>
      </c>
      <c r="Y3855">
        <v>0.27474589999999999</v>
      </c>
      <c r="Z3855">
        <v>-2.1814460000000001E-3</v>
      </c>
      <c r="AA3855">
        <v>0.96151439999999999</v>
      </c>
      <c r="AB3855">
        <v>33</v>
      </c>
      <c r="AC3855">
        <v>19.0151</v>
      </c>
      <c r="AD3855">
        <v>-1.1043178954299999</v>
      </c>
      <c r="AE3855">
        <v>-7.6240000000000201</v>
      </c>
      <c r="AF3855">
        <v>5.7021350919946796</v>
      </c>
      <c r="AG3855">
        <v>-1.1043178954299999</v>
      </c>
      <c r="AH3855">
        <v>19.615213814175998</v>
      </c>
      <c r="AI3855">
        <v>93.094461670159106</v>
      </c>
      <c r="AJ3855">
        <v>73.790872581002603</v>
      </c>
      <c r="AK3855">
        <v>20.457039756459601</v>
      </c>
      <c r="AL3855">
        <v>89.185878646918198</v>
      </c>
      <c r="AM3855">
        <v>81.228503484996807</v>
      </c>
      <c r="AN3855">
        <v>1.00000000039645</v>
      </c>
    </row>
    <row r="3856" spans="1:40" x14ac:dyDescent="0.25">
      <c r="A3856" t="str">
        <f>"20190312154912988"</f>
        <v>20190312154912988</v>
      </c>
      <c r="B3856" t="str">
        <f>"1552376952980279"</f>
        <v>1552376952980279</v>
      </c>
      <c r="C3856" t="s">
        <v>40</v>
      </c>
      <c r="D3856">
        <v>4.3764000000000003</v>
      </c>
      <c r="E3856">
        <v>0.58606650000000005</v>
      </c>
      <c r="F3856" t="s">
        <v>49</v>
      </c>
      <c r="G3856">
        <v>-199.89660000000001</v>
      </c>
      <c r="H3856" s="1">
        <v>2.7513260000000001E-6</v>
      </c>
      <c r="I3856">
        <v>209.21940000000001</v>
      </c>
      <c r="J3856">
        <v>-209.96019999999999</v>
      </c>
      <c r="K3856">
        <v>1.1040829999999999</v>
      </c>
      <c r="L3856">
        <v>214.40790000000001</v>
      </c>
      <c r="M3856">
        <v>0.9943516</v>
      </c>
      <c r="N3856">
        <v>0</v>
      </c>
      <c r="O3856">
        <v>-0.1051016</v>
      </c>
      <c r="P3856">
        <v>0.9680067</v>
      </c>
      <c r="Q3856">
        <v>1.334731E-3</v>
      </c>
      <c r="R3856">
        <v>-0.25092170000000003</v>
      </c>
      <c r="S3856">
        <v>2.743484</v>
      </c>
      <c r="T3856">
        <v>-0.291512099999999</v>
      </c>
      <c r="U3856">
        <v>-1.3800349999999999</v>
      </c>
      <c r="V3856">
        <v>0.1479905</v>
      </c>
      <c r="W3856">
        <v>1.388297E-2</v>
      </c>
      <c r="X3856">
        <v>0.98889130000000003</v>
      </c>
      <c r="Y3856">
        <v>0.3518848</v>
      </c>
      <c r="Z3856">
        <v>-7.1645320000000004E-3</v>
      </c>
      <c r="AA3856">
        <v>0.93601590000000001</v>
      </c>
      <c r="AB3856">
        <v>33</v>
      </c>
      <c r="AC3856">
        <v>10.0635999999999</v>
      </c>
      <c r="AD3856">
        <v>-1.104080248674</v>
      </c>
      <c r="AE3856">
        <v>-5.1885000000000003</v>
      </c>
      <c r="AF3856">
        <v>4.0633040088927501</v>
      </c>
      <c r="AG3856">
        <v>-1.104080248674</v>
      </c>
      <c r="AH3856">
        <v>10.453826528090801</v>
      </c>
      <c r="AI3856">
        <v>95.622094940690403</v>
      </c>
      <c r="AJ3856">
        <v>68.759364251180401</v>
      </c>
      <c r="AK3856">
        <v>11.269956599011801</v>
      </c>
      <c r="AL3856">
        <v>89.204538829477102</v>
      </c>
      <c r="AM3856">
        <v>81.488682339023597</v>
      </c>
      <c r="AN3856">
        <v>0.99999996408097902</v>
      </c>
    </row>
    <row r="3857" spans="1:40" x14ac:dyDescent="0.25">
      <c r="A3857" t="str">
        <f>"20190312154913009"</f>
        <v>20190312154913009</v>
      </c>
      <c r="B3857" t="str">
        <f>"1552376952999799"</f>
        <v>1552376952999799</v>
      </c>
      <c r="C3857" t="s">
        <v>40</v>
      </c>
      <c r="D3857">
        <v>4.2976890000000001</v>
      </c>
      <c r="E3857">
        <v>0.58877369999999996</v>
      </c>
      <c r="F3857" t="s">
        <v>49</v>
      </c>
      <c r="G3857">
        <v>-200.5172</v>
      </c>
      <c r="H3857" s="1">
        <v>2.8965230000000001E-6</v>
      </c>
      <c r="I3857">
        <v>209.542</v>
      </c>
      <c r="J3857">
        <v>-209.6446</v>
      </c>
      <c r="K3857">
        <v>1.1038250000000001</v>
      </c>
      <c r="L3857">
        <v>214.36770000000001</v>
      </c>
      <c r="M3857">
        <v>0.99360380000000004</v>
      </c>
      <c r="N3857">
        <v>0</v>
      </c>
      <c r="O3857">
        <v>-0.1119483</v>
      </c>
      <c r="P3857">
        <v>0.96827909999999995</v>
      </c>
      <c r="Q3857">
        <v>-1.884756E-3</v>
      </c>
      <c r="R3857">
        <v>-0.2498647</v>
      </c>
      <c r="S3857">
        <v>2.7343600000000001</v>
      </c>
      <c r="T3857">
        <v>-0.31970009999999999</v>
      </c>
      <c r="U3857">
        <v>-1.408981</v>
      </c>
      <c r="V3857">
        <v>0.14005619999999999</v>
      </c>
      <c r="W3857">
        <v>1.073561E-2</v>
      </c>
      <c r="X3857">
        <v>0.9900854</v>
      </c>
      <c r="Y3857">
        <v>0.35435830000000001</v>
      </c>
      <c r="Z3857">
        <v>-7.2579840000000003E-3</v>
      </c>
      <c r="AA3857">
        <v>0.93508150000000001</v>
      </c>
      <c r="AB3857">
        <v>33</v>
      </c>
      <c r="AC3857">
        <v>9.1273999999999909</v>
      </c>
      <c r="AD3857">
        <v>-1.1038221034769999</v>
      </c>
      <c r="AE3857">
        <v>-4.8257000000000101</v>
      </c>
      <c r="AF3857">
        <v>3.7308064094615401</v>
      </c>
      <c r="AG3857">
        <v>-1.1038221034769999</v>
      </c>
      <c r="AH3857">
        <v>9.5016946392690205</v>
      </c>
      <c r="AI3857">
        <v>96.171650329576806</v>
      </c>
      <c r="AJ3857">
        <v>68.562723569460999</v>
      </c>
      <c r="AK3857">
        <v>10.2674018485163</v>
      </c>
      <c r="AL3857">
        <v>89.384883068630302</v>
      </c>
      <c r="AM3857">
        <v>81.948434984433405</v>
      </c>
      <c r="AN3857">
        <v>1.0000000458868299</v>
      </c>
    </row>
    <row r="3858" spans="1:40" x14ac:dyDescent="0.25">
      <c r="A3858" t="str">
        <f>"20190312154913032"</f>
        <v>20190312154913032</v>
      </c>
      <c r="B3858" t="str">
        <f>"1552376953019319"</f>
        <v>1552376953019319</v>
      </c>
      <c r="C3858" t="s">
        <v>40</v>
      </c>
      <c r="D3858">
        <v>4.3000290000000003</v>
      </c>
      <c r="E3858">
        <v>0.59169890000000003</v>
      </c>
      <c r="F3858" t="s">
        <v>49</v>
      </c>
      <c r="G3858">
        <v>-199.99879999999999</v>
      </c>
      <c r="H3858" s="1">
        <v>2.7294180000000001E-6</v>
      </c>
      <c r="I3858">
        <v>209.31610000000001</v>
      </c>
      <c r="J3858">
        <v>-209.31649999999999</v>
      </c>
      <c r="K3858">
        <v>1.1035429999999999</v>
      </c>
      <c r="L3858">
        <v>214.32329999999999</v>
      </c>
      <c r="M3858">
        <v>0.99273719999999999</v>
      </c>
      <c r="N3858">
        <v>0</v>
      </c>
      <c r="O3858">
        <v>-0.119385199999999</v>
      </c>
      <c r="P3858">
        <v>0.96912540000000003</v>
      </c>
      <c r="Q3858">
        <v>-8.5234430000000003E-3</v>
      </c>
      <c r="R3858">
        <v>-0.2464209</v>
      </c>
      <c r="S3858">
        <v>2.7288969999999999</v>
      </c>
      <c r="T3858">
        <v>-0.31228280000000003</v>
      </c>
      <c r="U3858">
        <v>-1.4291529999999999</v>
      </c>
      <c r="V3858">
        <v>0.12902549999999999</v>
      </c>
      <c r="W3858">
        <v>4.2255449999999998E-3</v>
      </c>
      <c r="X3858">
        <v>0.99163230000000002</v>
      </c>
      <c r="Y3858">
        <v>0.35366389999999998</v>
      </c>
      <c r="Z3858">
        <v>-6.2733759999999998E-3</v>
      </c>
      <c r="AA3858">
        <v>0.93535159999999995</v>
      </c>
      <c r="AB3858">
        <v>33</v>
      </c>
      <c r="AC3858">
        <v>9.3177000000000003</v>
      </c>
      <c r="AD3858">
        <v>-1.1035402705820001</v>
      </c>
      <c r="AE3858">
        <v>-5.0071999999999797</v>
      </c>
      <c r="AF3858">
        <v>3.8173160272870601</v>
      </c>
      <c r="AG3858">
        <v>-1.1035402705820001</v>
      </c>
      <c r="AH3858">
        <v>9.7428576254296697</v>
      </c>
      <c r="AI3858">
        <v>96.020200608018698</v>
      </c>
      <c r="AJ3858">
        <v>68.604425709535406</v>
      </c>
      <c r="AK3858">
        <v>10.5220234503812</v>
      </c>
      <c r="AL3858">
        <v>89.757893391325695</v>
      </c>
      <c r="AM3858">
        <v>82.586650314046906</v>
      </c>
      <c r="AN3858">
        <v>1.0000000266420399</v>
      </c>
    </row>
    <row r="3859" spans="1:40" x14ac:dyDescent="0.25">
      <c r="A3859" t="str">
        <f>"20190312154913054"</f>
        <v>20190312154913054</v>
      </c>
      <c r="B3859" t="str">
        <f>"1552376953049575"</f>
        <v>1552376953049575</v>
      </c>
      <c r="C3859" t="s">
        <v>40</v>
      </c>
      <c r="D3859">
        <v>4.2759819999999999</v>
      </c>
      <c r="E3859">
        <v>0.59474819999999995</v>
      </c>
      <c r="F3859" t="s">
        <v>49</v>
      </c>
      <c r="G3859">
        <v>-199.41759999999999</v>
      </c>
      <c r="H3859" s="1">
        <v>2.873068E-6</v>
      </c>
      <c r="I3859">
        <v>209.0805</v>
      </c>
      <c r="J3859">
        <v>-208.99539999999999</v>
      </c>
      <c r="K3859">
        <v>1.1032390000000001</v>
      </c>
      <c r="L3859">
        <v>214.27709999999999</v>
      </c>
      <c r="M3859">
        <v>0.9917899</v>
      </c>
      <c r="N3859">
        <v>0</v>
      </c>
      <c r="O3859">
        <v>-0.1270116</v>
      </c>
      <c r="P3859">
        <v>0.96988569999999996</v>
      </c>
      <c r="Q3859">
        <v>-1.5993509999999999E-2</v>
      </c>
      <c r="R3859">
        <v>-0.2430348</v>
      </c>
      <c r="S3859">
        <v>2.7258149999999999</v>
      </c>
      <c r="T3859">
        <v>-0.30387700000000001</v>
      </c>
      <c r="U3859">
        <v>-1.4436800000000001</v>
      </c>
      <c r="V3859">
        <v>0.11783150000000001</v>
      </c>
      <c r="W3859">
        <v>-3.1037980000000001E-3</v>
      </c>
      <c r="X3859">
        <v>0.99302880000000004</v>
      </c>
      <c r="Y3859">
        <v>0.35092640000000003</v>
      </c>
      <c r="Z3859">
        <v>-5.183216E-3</v>
      </c>
      <c r="AA3859">
        <v>0.93638869999999996</v>
      </c>
      <c r="AB3859">
        <v>33</v>
      </c>
      <c r="AC3859">
        <v>9.5777999999999892</v>
      </c>
      <c r="AD3859">
        <v>-1.1032361269319999</v>
      </c>
      <c r="AE3859">
        <v>-5.1965999999999797</v>
      </c>
      <c r="AF3859">
        <v>3.89792299659833</v>
      </c>
      <c r="AG3859">
        <v>-1.1032361269319999</v>
      </c>
      <c r="AH3859">
        <v>10.0572244785261</v>
      </c>
      <c r="AI3859">
        <v>95.840042233805406</v>
      </c>
      <c r="AJ3859">
        <v>68.814943051976002</v>
      </c>
      <c r="AK3859">
        <v>10.842448886236101</v>
      </c>
      <c r="AL3859">
        <v>90.177834803071093</v>
      </c>
      <c r="AM3859">
        <v>83.232998820858199</v>
      </c>
      <c r="AN3859">
        <v>1.00000004679185</v>
      </c>
    </row>
    <row r="3860" spans="1:40" x14ac:dyDescent="0.25">
      <c r="A3860" t="str">
        <f>"20190312154913075"</f>
        <v>20190312154913075</v>
      </c>
      <c r="B3860" t="str">
        <f>"1552376953070071"</f>
        <v>1552376953070071</v>
      </c>
      <c r="C3860" t="s">
        <v>40</v>
      </c>
      <c r="D3860">
        <v>4.256901</v>
      </c>
      <c r="E3860">
        <v>0.59655659999999999</v>
      </c>
      <c r="F3860" t="s">
        <v>49</v>
      </c>
      <c r="G3860">
        <v>-199.05090000000001</v>
      </c>
      <c r="H3860" s="1">
        <v>2.9726999999999999E-6</v>
      </c>
      <c r="I3860">
        <v>208.95</v>
      </c>
      <c r="J3860">
        <v>-208.67339999999999</v>
      </c>
      <c r="K3860">
        <v>1.102935</v>
      </c>
      <c r="L3860">
        <v>214.22790000000001</v>
      </c>
      <c r="M3860">
        <v>0.99072899999999997</v>
      </c>
      <c r="N3860">
        <v>0</v>
      </c>
      <c r="O3860">
        <v>-0.13503419999999999</v>
      </c>
      <c r="P3860">
        <v>0.96962389999999998</v>
      </c>
      <c r="Q3860">
        <v>-2.070963E-2</v>
      </c>
      <c r="R3860">
        <v>-0.2437233</v>
      </c>
      <c r="S3860">
        <v>2.7226720000000002</v>
      </c>
      <c r="T3860">
        <v>-0.30205110000000002</v>
      </c>
      <c r="U3860">
        <v>-1.458496</v>
      </c>
      <c r="V3860">
        <v>0.110430399999999</v>
      </c>
      <c r="W3860">
        <v>-7.7361940000000001E-3</v>
      </c>
      <c r="X3860">
        <v>0.99385369999999995</v>
      </c>
      <c r="Y3860">
        <v>0.347831099999999</v>
      </c>
      <c r="Z3860">
        <v>-4.1786779999999999E-3</v>
      </c>
      <c r="AA3860">
        <v>0.93754789999999999</v>
      </c>
      <c r="AB3860">
        <v>33</v>
      </c>
      <c r="AC3860">
        <v>9.6224999999999703</v>
      </c>
      <c r="AD3860">
        <v>-1.1029320273000001</v>
      </c>
      <c r="AE3860">
        <v>-5.2779000000000096</v>
      </c>
      <c r="AF3860">
        <v>3.8907437428068401</v>
      </c>
      <c r="AG3860">
        <v>-1.1029320273000001</v>
      </c>
      <c r="AH3860">
        <v>10.1446683559885</v>
      </c>
      <c r="AI3860">
        <v>95.796278859535406</v>
      </c>
      <c r="AJ3860">
        <v>69.0168841466662</v>
      </c>
      <c r="AK3860">
        <v>10.9210183582864</v>
      </c>
      <c r="AL3860">
        <v>90.443255709545596</v>
      </c>
      <c r="AM3860">
        <v>83.659682337834298</v>
      </c>
      <c r="AN3860">
        <v>0.99999994947272597</v>
      </c>
    </row>
    <row r="3861" spans="1:40" x14ac:dyDescent="0.25">
      <c r="A3861" t="str">
        <f>"20190312154913098"</f>
        <v>20190312154913098</v>
      </c>
      <c r="B3861" t="str">
        <f>"1552376953089591"</f>
        <v>1552376953089591</v>
      </c>
      <c r="C3861" t="s">
        <v>40</v>
      </c>
      <c r="D3861">
        <v>4.3778249999999996</v>
      </c>
      <c r="E3861">
        <v>0.59794630000000004</v>
      </c>
      <c r="F3861" t="s">
        <v>49</v>
      </c>
      <c r="G3861">
        <v>-198.90539999999999</v>
      </c>
      <c r="H3861" s="1">
        <v>3.0046340000000001E-6</v>
      </c>
      <c r="I3861">
        <v>208.92679999999999</v>
      </c>
      <c r="J3861">
        <v>-208.34690000000001</v>
      </c>
      <c r="K3861">
        <v>1.102617</v>
      </c>
      <c r="L3861">
        <v>214.17490000000001</v>
      </c>
      <c r="M3861">
        <v>0.98952649999999998</v>
      </c>
      <c r="N3861">
        <v>0</v>
      </c>
      <c r="O3861">
        <v>-0.14357679999999901</v>
      </c>
      <c r="P3861">
        <v>0.96829019999999999</v>
      </c>
      <c r="Q3861">
        <v>-2.050513E-2</v>
      </c>
      <c r="R3861">
        <v>-0.24898529999999999</v>
      </c>
      <c r="S3861">
        <v>2.7168269999999999</v>
      </c>
      <c r="T3861">
        <v>-0.30676560000000003</v>
      </c>
      <c r="U3861">
        <v>-1.474426</v>
      </c>
      <c r="V3861">
        <v>0.107251399999999</v>
      </c>
      <c r="W3861">
        <v>-7.5170389999999997E-3</v>
      </c>
      <c r="X3861">
        <v>0.99420350000000002</v>
      </c>
      <c r="Y3861">
        <v>0.344864</v>
      </c>
      <c r="Z3861">
        <v>-3.2130750000000001E-3</v>
      </c>
      <c r="AA3861">
        <v>0.93864720000000001</v>
      </c>
      <c r="AB3861">
        <v>33</v>
      </c>
      <c r="AC3861">
        <v>9.4415000000000102</v>
      </c>
      <c r="AD3861">
        <v>-1.1026139953659999</v>
      </c>
      <c r="AE3861">
        <v>-5.2481000000000204</v>
      </c>
      <c r="AF3861">
        <v>3.7984053385683101</v>
      </c>
      <c r="AG3861">
        <v>-1.1026139953659999</v>
      </c>
      <c r="AH3861">
        <v>9.9931255364295097</v>
      </c>
      <c r="AI3861">
        <v>95.888549145406799</v>
      </c>
      <c r="AJ3861">
        <v>69.188110742639296</v>
      </c>
      <c r="AK3861">
        <v>10.747381017051501</v>
      </c>
      <c r="AL3861">
        <v>90.4306986722397</v>
      </c>
      <c r="AM3861">
        <v>83.842930352198294</v>
      </c>
      <c r="AN3861">
        <v>0.99999998404476798</v>
      </c>
    </row>
    <row r="3862" spans="1:40" x14ac:dyDescent="0.25">
      <c r="A3862" t="str">
        <f>"20190312154913120"</f>
        <v>20190312154913120</v>
      </c>
      <c r="B3862" t="str">
        <f>"1552376953110087"</f>
        <v>1552376953110087</v>
      </c>
      <c r="C3862" t="s">
        <v>40</v>
      </c>
      <c r="D3862">
        <v>4.4320440000000003</v>
      </c>
      <c r="E3862">
        <v>0.59878310000000001</v>
      </c>
      <c r="F3862" t="s">
        <v>49</v>
      </c>
      <c r="G3862">
        <v>-198.47839999999999</v>
      </c>
      <c r="H3862" s="1">
        <v>3.1398450000000002E-6</v>
      </c>
      <c r="I3862">
        <v>208.70230000000001</v>
      </c>
      <c r="J3862">
        <v>-208.02070000000001</v>
      </c>
      <c r="K3862">
        <v>1.102293</v>
      </c>
      <c r="L3862">
        <v>214.11859999999999</v>
      </c>
      <c r="M3862">
        <v>0.98818530000000004</v>
      </c>
      <c r="N3862">
        <v>0</v>
      </c>
      <c r="O3862">
        <v>-0.15252950000000001</v>
      </c>
      <c r="P3862">
        <v>0.96600339999999996</v>
      </c>
      <c r="Q3862">
        <v>-1.787151E-2</v>
      </c>
      <c r="R3862">
        <v>-0.2579108</v>
      </c>
      <c r="S3862">
        <v>2.705994</v>
      </c>
      <c r="T3862">
        <v>-0.30234129999999998</v>
      </c>
      <c r="U3862">
        <v>-1.50061</v>
      </c>
      <c r="V3862">
        <v>0.10746</v>
      </c>
      <c r="W3862">
        <v>-4.9289080000000001E-3</v>
      </c>
      <c r="X3862">
        <v>0.9941972</v>
      </c>
      <c r="Y3862">
        <v>0.34498640000000003</v>
      </c>
      <c r="Z3862">
        <v>-2.274084E-3</v>
      </c>
      <c r="AA3862">
        <v>0.93860489999999996</v>
      </c>
      <c r="AB3862">
        <v>32</v>
      </c>
      <c r="AC3862">
        <v>9.5423000000000098</v>
      </c>
      <c r="AD3862">
        <v>-1.102289860155</v>
      </c>
      <c r="AE3862">
        <v>-5.4162999999999704</v>
      </c>
      <c r="AF3862">
        <v>3.8583236399676402</v>
      </c>
      <c r="AG3862">
        <v>-1.102289860155</v>
      </c>
      <c r="AH3862">
        <v>10.154375758702001</v>
      </c>
      <c r="AI3862">
        <v>95.794247622729003</v>
      </c>
      <c r="AJ3862">
        <v>69.194881178990698</v>
      </c>
      <c r="AK3862">
        <v>10.9184729378906</v>
      </c>
      <c r="AL3862">
        <v>90.282406766914406</v>
      </c>
      <c r="AM3862">
        <v>83.831008536136196</v>
      </c>
      <c r="AN3862">
        <v>1.00000000911095</v>
      </c>
    </row>
    <row r="3863" spans="1:40" x14ac:dyDescent="0.25">
      <c r="A3863" t="str">
        <f>"20190312154913143"</f>
        <v>20190312154913143</v>
      </c>
      <c r="B3863" t="str">
        <f>"1552376953139368"</f>
        <v>1552376953139368</v>
      </c>
      <c r="C3863" t="s">
        <v>40</v>
      </c>
      <c r="D3863">
        <v>4.4187839999999996</v>
      </c>
      <c r="E3863">
        <v>0.59986359999999905</v>
      </c>
      <c r="F3863" t="s">
        <v>49</v>
      </c>
      <c r="G3863">
        <v>-197.828</v>
      </c>
      <c r="H3863" s="1">
        <v>3.3584779999999999E-6</v>
      </c>
      <c r="I3863">
        <v>208.31229999999999</v>
      </c>
      <c r="J3863">
        <v>-207.7045</v>
      </c>
      <c r="K3863">
        <v>1.1019760000000001</v>
      </c>
      <c r="L3863">
        <v>214.0608</v>
      </c>
      <c r="M3863">
        <v>0.9867397</v>
      </c>
      <c r="N3863">
        <v>0</v>
      </c>
      <c r="O3863">
        <v>-0.16161400000000001</v>
      </c>
      <c r="P3863">
        <v>0.96267499999999995</v>
      </c>
      <c r="Q3863">
        <v>-1.522305E-2</v>
      </c>
      <c r="R3863">
        <v>-0.27023160000000002</v>
      </c>
      <c r="S3863">
        <v>2.6909480000000001</v>
      </c>
      <c r="T3863">
        <v>-0.29101159999999998</v>
      </c>
      <c r="U3863">
        <v>-1.532913</v>
      </c>
      <c r="V3863">
        <v>0.11105370000000001</v>
      </c>
      <c r="W3863">
        <v>-2.392651E-3</v>
      </c>
      <c r="X3863">
        <v>0.99381149999999996</v>
      </c>
      <c r="Y3863">
        <v>0.347221</v>
      </c>
      <c r="Z3863">
        <v>-1.4249460000000001E-3</v>
      </c>
      <c r="AA3863">
        <v>0.93778220000000001</v>
      </c>
      <c r="AB3863">
        <v>32</v>
      </c>
      <c r="AC3863">
        <v>9.8764999999999894</v>
      </c>
      <c r="AD3863">
        <v>-1.1019726415219999</v>
      </c>
      <c r="AE3863">
        <v>-5.7484999999999999</v>
      </c>
      <c r="AF3863">
        <v>4.0389944462297898</v>
      </c>
      <c r="AG3863">
        <v>-1.1019726415219999</v>
      </c>
      <c r="AH3863">
        <v>10.577419431746501</v>
      </c>
      <c r="AI3863">
        <v>95.558936672764204</v>
      </c>
      <c r="AJ3863">
        <v>69.100611109655205</v>
      </c>
      <c r="AK3863">
        <v>11.3758349880098</v>
      </c>
      <c r="AL3863">
        <v>90.137088938609196</v>
      </c>
      <c r="AM3863">
        <v>83.623921192699896</v>
      </c>
      <c r="AN3863">
        <v>0.999999973297373</v>
      </c>
    </row>
    <row r="3864" spans="1:40" x14ac:dyDescent="0.25">
      <c r="A3864" t="str">
        <f>"20190312154913166"</f>
        <v>20190312154913166</v>
      </c>
      <c r="B3864" t="str">
        <f>"1552376953159864"</f>
        <v>1552376953159864</v>
      </c>
      <c r="C3864" t="s">
        <v>40</v>
      </c>
      <c r="D3864">
        <v>4.4345140000000001</v>
      </c>
      <c r="E3864">
        <v>0.60053029999999996</v>
      </c>
      <c r="F3864" t="s">
        <v>49</v>
      </c>
      <c r="G3864">
        <v>-197.16839999999999</v>
      </c>
      <c r="H3864" s="1">
        <v>3.6006919999999999E-6</v>
      </c>
      <c r="I3864">
        <v>207.83940000000001</v>
      </c>
      <c r="J3864">
        <v>-207.37280000000001</v>
      </c>
      <c r="K3864">
        <v>1.101648</v>
      </c>
      <c r="L3864">
        <v>213.99639999999999</v>
      </c>
      <c r="M3864">
        <v>0.9850546</v>
      </c>
      <c r="N3864">
        <v>0</v>
      </c>
      <c r="O3864">
        <v>-0.17158119999999999</v>
      </c>
      <c r="P3864">
        <v>0.95819949999999998</v>
      </c>
      <c r="Q3864">
        <v>-1.304666E-2</v>
      </c>
      <c r="R3864">
        <v>-0.28580349999999999</v>
      </c>
      <c r="S3864">
        <v>2.6694179999999998</v>
      </c>
      <c r="T3864">
        <v>-0.27919440000000001</v>
      </c>
      <c r="U3864">
        <v>-1.5762480000000001</v>
      </c>
      <c r="V3864">
        <v>0.11715159999999999</v>
      </c>
      <c r="W3864">
        <v>-3.873301E-4</v>
      </c>
      <c r="X3864">
        <v>0.99311400000000005</v>
      </c>
      <c r="Y3864">
        <v>0.352433099999999</v>
      </c>
      <c r="Z3864">
        <v>-6.9714799999999997E-4</v>
      </c>
      <c r="AA3864">
        <v>0.93583680000000002</v>
      </c>
      <c r="AB3864">
        <v>32</v>
      </c>
      <c r="AC3864">
        <v>10.2044</v>
      </c>
      <c r="AD3864">
        <v>-1.1016443993080001</v>
      </c>
      <c r="AE3864">
        <v>-6.1569999999999796</v>
      </c>
      <c r="AF3864">
        <v>4.2780355511341996</v>
      </c>
      <c r="AG3864">
        <v>-1.1016443993080001</v>
      </c>
      <c r="AH3864">
        <v>11.0154599272627</v>
      </c>
      <c r="AI3864">
        <v>95.326018711197605</v>
      </c>
      <c r="AJ3864">
        <v>68.775498147624305</v>
      </c>
      <c r="AK3864">
        <v>11.868258758909199</v>
      </c>
      <c r="AL3864">
        <v>90.022192379848605</v>
      </c>
      <c r="AM3864">
        <v>83.272258053779794</v>
      </c>
      <c r="AN3864">
        <v>1.0000000322015801</v>
      </c>
    </row>
    <row r="3865" spans="1:40" x14ac:dyDescent="0.25">
      <c r="A3865" t="str">
        <f>"20190312154913188"</f>
        <v>20190312154913188</v>
      </c>
      <c r="B3865" t="str">
        <f>"1552376953179383"</f>
        <v>1552376953179383</v>
      </c>
      <c r="C3865" t="s">
        <v>40</v>
      </c>
      <c r="D3865">
        <v>4.4739709999999997</v>
      </c>
      <c r="E3865">
        <v>0.60107049999999995</v>
      </c>
      <c r="F3865" t="s">
        <v>49</v>
      </c>
      <c r="G3865">
        <v>-196.6602</v>
      </c>
      <c r="H3865" s="1">
        <v>3.8047979999999999E-6</v>
      </c>
      <c r="I3865">
        <v>207.4091</v>
      </c>
      <c r="J3865">
        <v>-207.05930000000001</v>
      </c>
      <c r="K3865">
        <v>1.1013440000000001</v>
      </c>
      <c r="L3865">
        <v>213.93190000000001</v>
      </c>
      <c r="M3865">
        <v>0.98329149999999998</v>
      </c>
      <c r="N3865">
        <v>0</v>
      </c>
      <c r="O3865">
        <v>-0.18140909999999999</v>
      </c>
      <c r="P3865">
        <v>0.9530575</v>
      </c>
      <c r="Q3865">
        <v>-1.0349779999999999E-2</v>
      </c>
      <c r="R3865">
        <v>-0.30261339999999998</v>
      </c>
      <c r="S3865">
        <v>2.6425019999999999</v>
      </c>
      <c r="T3865">
        <v>-0.27174480000000001</v>
      </c>
      <c r="U3865">
        <v>-1.624908</v>
      </c>
      <c r="V3865">
        <v>0.1247472</v>
      </c>
      <c r="W3865">
        <v>2.1021989999999999E-3</v>
      </c>
      <c r="X3865">
        <v>0.99218629999999997</v>
      </c>
      <c r="Y3865">
        <v>0.35989280000000001</v>
      </c>
      <c r="Z3865">
        <v>-1.4552470000000001E-4</v>
      </c>
      <c r="AA3865">
        <v>0.93299370000000004</v>
      </c>
      <c r="AB3865">
        <v>32</v>
      </c>
      <c r="AC3865">
        <v>10.399100000000001</v>
      </c>
      <c r="AD3865">
        <v>-1.1013401952019899</v>
      </c>
      <c r="AE3865">
        <v>-6.5228000000000099</v>
      </c>
      <c r="AF3865">
        <v>4.4916845216474099</v>
      </c>
      <c r="AG3865">
        <v>-1.1013401952019899</v>
      </c>
      <c r="AH3865">
        <v>11.318836057962301</v>
      </c>
      <c r="AI3865">
        <v>95.167808196786595</v>
      </c>
      <c r="AJ3865">
        <v>68.355202262592101</v>
      </c>
      <c r="AK3865">
        <v>12.2271922277603</v>
      </c>
      <c r="AL3865">
        <v>89.879552777098297</v>
      </c>
      <c r="AM3865">
        <v>82.8338267158544</v>
      </c>
      <c r="AN3865">
        <v>0.99999996852808204</v>
      </c>
    </row>
    <row r="3866" spans="1:40" x14ac:dyDescent="0.25">
      <c r="A3866" t="str">
        <f>"20190312154913210"</f>
        <v>20190312154913210</v>
      </c>
      <c r="B3866" t="str">
        <f>"1552376953199879"</f>
        <v>1552376953199879</v>
      </c>
      <c r="C3866" t="s">
        <v>40</v>
      </c>
      <c r="D3866">
        <v>4.5142749999999996</v>
      </c>
      <c r="E3866">
        <v>0.62251499999999904</v>
      </c>
      <c r="F3866" t="s">
        <v>49</v>
      </c>
      <c r="G3866">
        <v>-196.1345</v>
      </c>
      <c r="H3866" s="1">
        <v>4.025752E-6</v>
      </c>
      <c r="I3866">
        <v>206.92679999999999</v>
      </c>
      <c r="J3866">
        <v>-206.73869999999999</v>
      </c>
      <c r="K3866">
        <v>1.1010599999999999</v>
      </c>
      <c r="L3866">
        <v>213.8621</v>
      </c>
      <c r="M3866">
        <v>0.98131570000000001</v>
      </c>
      <c r="N3866">
        <v>0</v>
      </c>
      <c r="O3866">
        <v>-0.19180549999999999</v>
      </c>
      <c r="P3866">
        <v>0.94739569999999995</v>
      </c>
      <c r="Q3866">
        <v>-6.7261880000000001E-3</v>
      </c>
      <c r="R3866">
        <v>-0.319994</v>
      </c>
      <c r="S3866">
        <v>2.6129609999999999</v>
      </c>
      <c r="T3866">
        <v>-0.26341340000000002</v>
      </c>
      <c r="U3866">
        <v>-1.67543</v>
      </c>
      <c r="V3866">
        <v>0.1324612</v>
      </c>
      <c r="W3866">
        <v>5.5106039999999997E-3</v>
      </c>
      <c r="X3866">
        <v>0.99117290000000002</v>
      </c>
      <c r="Y3866">
        <v>0.36764279999999999</v>
      </c>
      <c r="Z3866">
        <v>4.1286829999999999E-4</v>
      </c>
      <c r="AA3866">
        <v>0.92996699999999999</v>
      </c>
      <c r="AB3866">
        <v>32</v>
      </c>
      <c r="AC3866">
        <v>10.604199999999899</v>
      </c>
      <c r="AD3866">
        <v>-1.1010559742479999</v>
      </c>
      <c r="AE3866">
        <v>-6.9353000000000096</v>
      </c>
      <c r="AF3866">
        <v>4.7365574455754</v>
      </c>
      <c r="AG3866">
        <v>-1.1010559742479999</v>
      </c>
      <c r="AH3866">
        <v>11.6496784645687</v>
      </c>
      <c r="AI3866">
        <v>95.003701617151094</v>
      </c>
      <c r="AJ3866">
        <v>67.874192785178806</v>
      </c>
      <c r="AK3866">
        <v>12.6238785252988</v>
      </c>
      <c r="AL3866">
        <v>89.684264058756895</v>
      </c>
      <c r="AM3866">
        <v>82.388045051705006</v>
      </c>
      <c r="AN3866">
        <v>1.0000000269781399</v>
      </c>
    </row>
    <row r="3867" spans="1:40" x14ac:dyDescent="0.25">
      <c r="A3867" t="str">
        <f>"20190312154913233"</f>
        <v>20190312154913233</v>
      </c>
      <c r="B3867" t="str">
        <f>"1552376953230136"</f>
        <v>1552376953230136</v>
      </c>
      <c r="C3867" t="s">
        <v>40</v>
      </c>
      <c r="D3867">
        <v>4.4461279999999999</v>
      </c>
      <c r="E3867">
        <v>0.6433799</v>
      </c>
      <c r="F3867" t="s">
        <v>49</v>
      </c>
      <c r="G3867">
        <v>-201.0437</v>
      </c>
      <c r="H3867" s="1">
        <v>3.1170680000000002E-6</v>
      </c>
      <c r="I3867">
        <v>209.6155</v>
      </c>
      <c r="J3867">
        <v>-206.42429999999999</v>
      </c>
      <c r="K3867">
        <v>1.100805</v>
      </c>
      <c r="L3867">
        <v>213.78989999999999</v>
      </c>
      <c r="M3867">
        <v>0.97919909999999999</v>
      </c>
      <c r="N3867">
        <v>0</v>
      </c>
      <c r="O3867">
        <v>-0.2023295</v>
      </c>
      <c r="P3867">
        <v>0.94165960000000004</v>
      </c>
      <c r="Q3867">
        <v>-4.7331969999999998E-3</v>
      </c>
      <c r="R3867">
        <v>-0.33653359999999999</v>
      </c>
      <c r="S3867">
        <v>2.5267490000000001</v>
      </c>
      <c r="T3867">
        <v>-0.48850890000000002</v>
      </c>
      <c r="U3867">
        <v>-1.8840939999999999</v>
      </c>
      <c r="V3867">
        <v>0.13921649999999999</v>
      </c>
      <c r="W3867">
        <v>7.3044290000000003E-3</v>
      </c>
      <c r="X3867">
        <v>0.99023499999999998</v>
      </c>
      <c r="Y3867">
        <v>0.42064430000000003</v>
      </c>
      <c r="Z3867">
        <v>-2.1018460000000001E-3</v>
      </c>
      <c r="AA3867">
        <v>0.90722320000000001</v>
      </c>
      <c r="AB3867">
        <v>32</v>
      </c>
      <c r="AC3867">
        <v>5.3805999999999798</v>
      </c>
      <c r="AD3867">
        <v>-1.1008018829320001</v>
      </c>
      <c r="AE3867">
        <v>-4.1743999999999897</v>
      </c>
      <c r="AF3867">
        <v>2.9228905672622298</v>
      </c>
      <c r="AG3867">
        <v>-1.1008018829320001</v>
      </c>
      <c r="AH3867">
        <v>5.9583080343589696</v>
      </c>
      <c r="AI3867">
        <v>99.417784672335003</v>
      </c>
      <c r="AJ3867">
        <v>63.869410225808799</v>
      </c>
      <c r="AK3867">
        <v>6.7272943064774502</v>
      </c>
      <c r="AL3867">
        <v>89.581483313088697</v>
      </c>
      <c r="AM3867">
        <v>81.997273853434606</v>
      </c>
      <c r="AN3867">
        <v>0.99999997189013201</v>
      </c>
    </row>
    <row r="3868" spans="1:40" x14ac:dyDescent="0.25">
      <c r="A3868" t="str">
        <f>"20190312154913255"</f>
        <v>20190312154913255</v>
      </c>
      <c r="B3868" t="str">
        <f>"1552376953249655"</f>
        <v>1552376953249655</v>
      </c>
      <c r="C3868" t="s">
        <v>40</v>
      </c>
      <c r="D3868">
        <v>4.4296670000000002</v>
      </c>
      <c r="E3868">
        <v>0.64875130000000003</v>
      </c>
      <c r="F3868" t="s">
        <v>49</v>
      </c>
      <c r="G3868">
        <v>-201.2938</v>
      </c>
      <c r="H3868" s="1">
        <v>3.2656039999999998E-6</v>
      </c>
      <c r="I3868">
        <v>209.40199999999999</v>
      </c>
      <c r="J3868">
        <v>-206.1003</v>
      </c>
      <c r="K3868">
        <v>1.1005389999999999</v>
      </c>
      <c r="L3868">
        <v>213.7116</v>
      </c>
      <c r="M3868">
        <v>0.97682089999999999</v>
      </c>
      <c r="N3868">
        <v>0</v>
      </c>
      <c r="O3868">
        <v>-0.2135136</v>
      </c>
      <c r="P3868">
        <v>0.93559460000000005</v>
      </c>
      <c r="Q3868">
        <v>-4.2623720000000004E-3</v>
      </c>
      <c r="R3868">
        <v>-0.35305120000000001</v>
      </c>
      <c r="S3868">
        <v>2.438034</v>
      </c>
      <c r="T3868">
        <v>-0.52310749999999995</v>
      </c>
      <c r="U3868">
        <v>-2.0851440000000001</v>
      </c>
      <c r="V3868">
        <v>0.14532970000000001</v>
      </c>
      <c r="W3868">
        <v>7.5828950000000001E-3</v>
      </c>
      <c r="X3868">
        <v>0.98935419999999996</v>
      </c>
      <c r="Y3868">
        <v>0.46941939999999999</v>
      </c>
      <c r="Z3868">
        <v>-4.8637280000000003E-3</v>
      </c>
      <c r="AA3868">
        <v>0.88296189999999997</v>
      </c>
      <c r="AB3868">
        <v>32</v>
      </c>
      <c r="AC3868">
        <v>4.8064999999999998</v>
      </c>
      <c r="AD3868">
        <v>-1.1005357343959901</v>
      </c>
      <c r="AE3868">
        <v>-4.3095999999999801</v>
      </c>
      <c r="AF3868">
        <v>3.0939085114164899</v>
      </c>
      <c r="AG3868">
        <v>-1.1005357343959901</v>
      </c>
      <c r="AH3868">
        <v>5.45729949300227</v>
      </c>
      <c r="AI3868">
        <v>99.950232058449203</v>
      </c>
      <c r="AJ3868">
        <v>60.449784839924398</v>
      </c>
      <c r="AK3868">
        <v>6.3691103410147303</v>
      </c>
      <c r="AL3868">
        <v>89.565527946465807</v>
      </c>
      <c r="AM3868">
        <v>81.643385988539706</v>
      </c>
      <c r="AN3868">
        <v>0.99999997752815495</v>
      </c>
    </row>
    <row r="3869" spans="1:40" x14ac:dyDescent="0.25">
      <c r="A3869" t="str">
        <f>"20190312154913276"</f>
        <v>20190312154913276</v>
      </c>
      <c r="B3869" t="str">
        <f>"1552376953270151"</f>
        <v>1552376953270151</v>
      </c>
      <c r="C3869" t="s">
        <v>40</v>
      </c>
      <c r="D3869">
        <v>4.4083489999999896</v>
      </c>
      <c r="E3869">
        <v>0.65035129999999997</v>
      </c>
      <c r="F3869" t="s">
        <v>49</v>
      </c>
      <c r="G3869">
        <v>-201.12309999999999</v>
      </c>
      <c r="H3869" s="1">
        <v>3.2272530000000002E-6</v>
      </c>
      <c r="I3869">
        <v>209.18979999999999</v>
      </c>
      <c r="J3869">
        <v>-205.8015</v>
      </c>
      <c r="K3869">
        <v>1.100298</v>
      </c>
      <c r="L3869">
        <v>213.63560000000001</v>
      </c>
      <c r="M3869">
        <v>0.97443990000000003</v>
      </c>
      <c r="N3869">
        <v>0</v>
      </c>
      <c r="O3869">
        <v>-0.22412560000000001</v>
      </c>
      <c r="P3869">
        <v>0.92956499999999997</v>
      </c>
      <c r="Q3869">
        <v>-3.2579950000000001E-3</v>
      </c>
      <c r="R3869">
        <v>-0.36864429999999998</v>
      </c>
      <c r="S3869">
        <v>2.3860929999999998</v>
      </c>
      <c r="T3869">
        <v>-0.52759599999999995</v>
      </c>
      <c r="U3869">
        <v>-2.1677550000000001</v>
      </c>
      <c r="V3869">
        <v>0.15113409999999999</v>
      </c>
      <c r="W3869">
        <v>8.4011209999999992E-3</v>
      </c>
      <c r="X3869">
        <v>0.98847759999999996</v>
      </c>
      <c r="Y3869">
        <v>0.48604999999999998</v>
      </c>
      <c r="Z3869">
        <v>-4.656192E-3</v>
      </c>
      <c r="AA3869">
        <v>0.87391869999999905</v>
      </c>
      <c r="AB3869">
        <v>32</v>
      </c>
      <c r="AC3869">
        <v>4.6784000000000097</v>
      </c>
      <c r="AD3869">
        <v>-1.100294772747</v>
      </c>
      <c r="AE3869">
        <v>-4.4458000000000197</v>
      </c>
      <c r="AF3869">
        <v>3.1912460758958701</v>
      </c>
      <c r="AG3869">
        <v>-1.100294772747</v>
      </c>
      <c r="AH3869">
        <v>5.3989658348224001</v>
      </c>
      <c r="AI3869">
        <v>99.950761682449098</v>
      </c>
      <c r="AJ3869">
        <v>59.413316250113297</v>
      </c>
      <c r="AK3869">
        <v>6.3673803239193001</v>
      </c>
      <c r="AL3869">
        <v>89.518645575782799</v>
      </c>
      <c r="AM3869">
        <v>81.307036091547303</v>
      </c>
      <c r="AN3869">
        <v>1.00000003035931</v>
      </c>
    </row>
    <row r="3870" spans="1:40" x14ac:dyDescent="0.25">
      <c r="A3870" t="str">
        <f>"20190312154913299"</f>
        <v>20190312154913299</v>
      </c>
      <c r="B3870" t="str">
        <f>"1552376953289671"</f>
        <v>1552376953289671</v>
      </c>
      <c r="C3870" t="s">
        <v>40</v>
      </c>
      <c r="D3870">
        <v>4.4300069999999998</v>
      </c>
      <c r="E3870">
        <v>0.65061709999999995</v>
      </c>
      <c r="F3870" t="s">
        <v>49</v>
      </c>
      <c r="G3870">
        <v>-200.91820000000001</v>
      </c>
      <c r="H3870" s="1">
        <v>3.166503E-6</v>
      </c>
      <c r="I3870">
        <v>209.0188</v>
      </c>
      <c r="J3870">
        <v>-205.48240000000001</v>
      </c>
      <c r="K3870">
        <v>1.100044</v>
      </c>
      <c r="L3870">
        <v>213.5504</v>
      </c>
      <c r="M3870">
        <v>0.97168900000000002</v>
      </c>
      <c r="N3870">
        <v>0</v>
      </c>
      <c r="O3870">
        <v>-0.2357631</v>
      </c>
      <c r="P3870">
        <v>0.92269579999999995</v>
      </c>
      <c r="Q3870">
        <v>-1.132252E-3</v>
      </c>
      <c r="R3870">
        <v>-0.38552779999999998</v>
      </c>
      <c r="S3870">
        <v>2.345901</v>
      </c>
      <c r="T3870">
        <v>-0.52856769999999997</v>
      </c>
      <c r="U3870">
        <v>-2.2178650000000002</v>
      </c>
      <c r="V3870">
        <v>0.15738269999999999</v>
      </c>
      <c r="W3870">
        <v>1.0321739999999999E-2</v>
      </c>
      <c r="X3870">
        <v>0.98748369999999996</v>
      </c>
      <c r="Y3870">
        <v>0.49298910000000001</v>
      </c>
      <c r="Z3870">
        <v>-3.3200870000000002E-3</v>
      </c>
      <c r="AA3870">
        <v>0.87002919999999995</v>
      </c>
      <c r="AB3870">
        <v>32</v>
      </c>
      <c r="AC3870">
        <v>4.5641999999999996</v>
      </c>
      <c r="AD3870">
        <v>-1.100040833497</v>
      </c>
      <c r="AE3870">
        <v>-4.5315999999999903</v>
      </c>
      <c r="AF3870">
        <v>3.2330546965648499</v>
      </c>
      <c r="AG3870">
        <v>-1.100040833497</v>
      </c>
      <c r="AH3870">
        <v>5.3475878735320999</v>
      </c>
      <c r="AI3870">
        <v>99.983840601279994</v>
      </c>
      <c r="AJ3870">
        <v>58.843602699630601</v>
      </c>
      <c r="AK3870">
        <v>6.3450318022440504</v>
      </c>
      <c r="AL3870">
        <v>89.408597332764899</v>
      </c>
      <c r="AM3870">
        <v>80.9445018612426</v>
      </c>
      <c r="AN3870">
        <v>0.99999995517080198</v>
      </c>
    </row>
    <row r="3871" spans="1:40" x14ac:dyDescent="0.25">
      <c r="A3871" t="str">
        <f>"20190312154913322"</f>
        <v>20190312154913322</v>
      </c>
      <c r="B3871" t="str">
        <f>"1552376953310167"</f>
        <v>1552376953310167</v>
      </c>
      <c r="C3871" t="s">
        <v>40</v>
      </c>
      <c r="D3871">
        <v>4.4257439999999999</v>
      </c>
      <c r="E3871">
        <v>0.65085409999999999</v>
      </c>
      <c r="F3871" t="s">
        <v>49</v>
      </c>
      <c r="G3871">
        <v>-200.70509999999999</v>
      </c>
      <c r="H3871" s="1">
        <v>3.0988650000000002E-6</v>
      </c>
      <c r="I3871">
        <v>208.8672</v>
      </c>
      <c r="J3871">
        <v>-205.16929999999999</v>
      </c>
      <c r="K3871">
        <v>1.099791</v>
      </c>
      <c r="L3871">
        <v>213.46260000000001</v>
      </c>
      <c r="M3871">
        <v>0.9687694</v>
      </c>
      <c r="N3871">
        <v>0</v>
      </c>
      <c r="O3871">
        <v>-0.24748339999999999</v>
      </c>
      <c r="P3871">
        <v>0.91528390000000004</v>
      </c>
      <c r="Q3871">
        <v>-7.6880489999999998E-4</v>
      </c>
      <c r="R3871">
        <v>-0.40280850000000001</v>
      </c>
      <c r="S3871">
        <v>2.3060909999999999</v>
      </c>
      <c r="T3871">
        <v>-0.53100939999999996</v>
      </c>
      <c r="U3871">
        <v>-2.2606510000000002</v>
      </c>
      <c r="V3871">
        <v>0.16403319999999999</v>
      </c>
      <c r="W3871">
        <v>1.046383E-2</v>
      </c>
      <c r="X3871">
        <v>0.98639940000000004</v>
      </c>
      <c r="Y3871">
        <v>0.49826399999999998</v>
      </c>
      <c r="Z3871">
        <v>-1.807325E-3</v>
      </c>
      <c r="AA3871">
        <v>0.86702349999999995</v>
      </c>
      <c r="AB3871">
        <v>32</v>
      </c>
      <c r="AC3871">
        <v>4.4641999999999999</v>
      </c>
      <c r="AD3871">
        <v>-1.099787901135</v>
      </c>
      <c r="AE3871">
        <v>-4.5954000000000104</v>
      </c>
      <c r="AF3871">
        <v>3.2516486172259702</v>
      </c>
      <c r="AG3871">
        <v>-1.099787901135</v>
      </c>
      <c r="AH3871">
        <v>5.3063518825019003</v>
      </c>
      <c r="AI3871">
        <v>100.02175158938699</v>
      </c>
      <c r="AJ3871">
        <v>58.5006907751903</v>
      </c>
      <c r="AK3871">
        <v>6.3198198121720202</v>
      </c>
      <c r="AL3871">
        <v>89.400455809855202</v>
      </c>
      <c r="AM3871">
        <v>80.558403419211601</v>
      </c>
      <c r="AN3871">
        <v>1.00000007938043</v>
      </c>
    </row>
    <row r="3872" spans="1:40" x14ac:dyDescent="0.25">
      <c r="A3872" t="str">
        <f>"20190312154913344"</f>
        <v>20190312154913344</v>
      </c>
      <c r="B3872" t="str">
        <f>"1552376953339447"</f>
        <v>1552376953339447</v>
      </c>
      <c r="C3872" t="s">
        <v>40</v>
      </c>
      <c r="D3872">
        <v>4.4523919999999997</v>
      </c>
      <c r="E3872">
        <v>0.65011129999999995</v>
      </c>
      <c r="F3872" t="s">
        <v>49</v>
      </c>
      <c r="G3872">
        <v>-200.5094</v>
      </c>
      <c r="H3872" s="1">
        <v>3.068817E-6</v>
      </c>
      <c r="I3872">
        <v>208.71850000000001</v>
      </c>
      <c r="J3872">
        <v>-204.85890000000001</v>
      </c>
      <c r="K3872">
        <v>1.0995440000000001</v>
      </c>
      <c r="L3872">
        <v>213.37110000000001</v>
      </c>
      <c r="M3872">
        <v>0.96564700000000003</v>
      </c>
      <c r="N3872">
        <v>0</v>
      </c>
      <c r="O3872">
        <v>-0.25939699999999999</v>
      </c>
      <c r="P3872">
        <v>0.90749860000000004</v>
      </c>
      <c r="Q3872">
        <v>-3.1332700000000001E-3</v>
      </c>
      <c r="R3872">
        <v>-0.42004399999999997</v>
      </c>
      <c r="S3872">
        <v>2.2632140000000001</v>
      </c>
      <c r="T3872">
        <v>-0.53413459999999902</v>
      </c>
      <c r="U3872">
        <v>-2.3040620000000001</v>
      </c>
      <c r="V3872">
        <v>0.1704811</v>
      </c>
      <c r="W3872">
        <v>7.8766169999999903E-3</v>
      </c>
      <c r="X3872">
        <v>0.98532940000000002</v>
      </c>
      <c r="Y3872">
        <v>0.50398989999999999</v>
      </c>
      <c r="Z3872">
        <v>-2.8537590000000002E-4</v>
      </c>
      <c r="AA3872">
        <v>0.86370949999999902</v>
      </c>
      <c r="AB3872">
        <v>32</v>
      </c>
      <c r="AC3872">
        <v>4.3494999999999999</v>
      </c>
      <c r="AD3872">
        <v>-1.099540931183</v>
      </c>
      <c r="AE3872">
        <v>-4.6525999999999996</v>
      </c>
      <c r="AF3872">
        <v>3.2675388335479698</v>
      </c>
      <c r="AG3872">
        <v>-1.099540931183</v>
      </c>
      <c r="AH3872">
        <v>5.2510954268265904</v>
      </c>
      <c r="AI3872">
        <v>100.080906997038</v>
      </c>
      <c r="AJ3872">
        <v>58.107709242305098</v>
      </c>
      <c r="AK3872">
        <v>6.2817038667649703</v>
      </c>
      <c r="AL3872">
        <v>89.548698393790801</v>
      </c>
      <c r="AM3872">
        <v>80.183899454332604</v>
      </c>
      <c r="AN3872">
        <v>0.99999993652846497</v>
      </c>
    </row>
    <row r="3873" spans="1:40" x14ac:dyDescent="0.25">
      <c r="A3873" t="str">
        <f>"20190312154913367"</f>
        <v>20190312154913367</v>
      </c>
      <c r="B3873" t="str">
        <f>"1552376953359943"</f>
        <v>1552376953359943</v>
      </c>
      <c r="C3873" t="s">
        <v>40</v>
      </c>
      <c r="D3873">
        <v>4.5259179999999999</v>
      </c>
      <c r="E3873">
        <v>0.64929939999999997</v>
      </c>
      <c r="F3873" t="s">
        <v>49</v>
      </c>
      <c r="G3873">
        <v>-200.38040000000001</v>
      </c>
      <c r="H3873" s="1">
        <v>3.0409259999999998E-6</v>
      </c>
      <c r="I3873">
        <v>208.65100000000001</v>
      </c>
      <c r="J3873">
        <v>-204.54990000000001</v>
      </c>
      <c r="K3873">
        <v>1.099289</v>
      </c>
      <c r="L3873">
        <v>213.27549999999999</v>
      </c>
      <c r="M3873">
        <v>0.96229330000000002</v>
      </c>
      <c r="N3873">
        <v>0</v>
      </c>
      <c r="O3873">
        <v>-0.27157049999999999</v>
      </c>
      <c r="P3873">
        <v>0.89985749999999998</v>
      </c>
      <c r="Q3873">
        <v>-6.4138700000000003E-3</v>
      </c>
      <c r="R3873">
        <v>-0.43613689999999999</v>
      </c>
      <c r="S3873">
        <v>2.2206419999999998</v>
      </c>
      <c r="T3873">
        <v>-0.54520000000000002</v>
      </c>
      <c r="U3873">
        <v>-2.3404389999999999</v>
      </c>
      <c r="V3873">
        <v>0.175507</v>
      </c>
      <c r="W3873">
        <v>4.4081709999999998E-3</v>
      </c>
      <c r="X3873">
        <v>0.98446829999999996</v>
      </c>
      <c r="Y3873">
        <v>0.50799740000000004</v>
      </c>
      <c r="Z3873">
        <v>1.501631E-3</v>
      </c>
      <c r="AA3873">
        <v>0.86135729999999999</v>
      </c>
      <c r="AB3873">
        <v>32</v>
      </c>
      <c r="AC3873">
        <v>4.1694999999999904</v>
      </c>
      <c r="AD3873">
        <v>-1.0992859590740001</v>
      </c>
      <c r="AE3873">
        <v>-4.62450000000001</v>
      </c>
      <c r="AF3873">
        <v>3.2179142470751501</v>
      </c>
      <c r="AG3873">
        <v>-1.0992859590740001</v>
      </c>
      <c r="AH3873">
        <v>5.1095376346738197</v>
      </c>
      <c r="AI3873">
        <v>100.317649370811</v>
      </c>
      <c r="AJ3873">
        <v>57.797858831865597</v>
      </c>
      <c r="AK3873">
        <v>6.1376523656439304</v>
      </c>
      <c r="AL3873">
        <v>89.747429584888906</v>
      </c>
      <c r="AM3873">
        <v>79.891736900131505</v>
      </c>
      <c r="AN3873">
        <v>0.99999998636272702</v>
      </c>
    </row>
    <row r="3874" spans="1:40" x14ac:dyDescent="0.25">
      <c r="A3874" t="str">
        <f>"20190312154913389"</f>
        <v>20190312154913389</v>
      </c>
      <c r="B3874" t="str">
        <f>"1552376953379463"</f>
        <v>1552376953379463</v>
      </c>
      <c r="C3874" t="s">
        <v>40</v>
      </c>
      <c r="D3874">
        <v>4.5217499999999999</v>
      </c>
      <c r="E3874">
        <v>0.64829530000000002</v>
      </c>
      <c r="F3874" t="s">
        <v>49</v>
      </c>
      <c r="G3874">
        <v>-200.2791</v>
      </c>
      <c r="H3874" s="1">
        <v>3.0114449999999998E-6</v>
      </c>
      <c r="I3874">
        <v>208.6266</v>
      </c>
      <c r="J3874">
        <v>-204.24080000000001</v>
      </c>
      <c r="K3874">
        <v>1.099038</v>
      </c>
      <c r="L3874">
        <v>213.17509999999999</v>
      </c>
      <c r="M3874">
        <v>0.95868379999999997</v>
      </c>
      <c r="N3874">
        <v>0</v>
      </c>
      <c r="O3874">
        <v>-0.28404669999999999</v>
      </c>
      <c r="P3874">
        <v>0.89206869999999905</v>
      </c>
      <c r="Q3874">
        <v>-8.0774579999999992E-3</v>
      </c>
      <c r="R3874">
        <v>-0.45182749999999999</v>
      </c>
      <c r="S3874">
        <v>2.1798250000000001</v>
      </c>
      <c r="T3874">
        <v>-0.56107580000000001</v>
      </c>
      <c r="U3874">
        <v>-2.3727719999999999</v>
      </c>
      <c r="V3874">
        <v>0.1799202</v>
      </c>
      <c r="W3874">
        <v>2.571406E-3</v>
      </c>
      <c r="X3874">
        <v>0.98367789999999999</v>
      </c>
      <c r="Y3874">
        <v>0.51061049999999997</v>
      </c>
      <c r="Z3874">
        <v>3.6039499999999999E-3</v>
      </c>
      <c r="AA3874">
        <v>0.85980460000000003</v>
      </c>
      <c r="AB3874">
        <v>32</v>
      </c>
      <c r="AC3874">
        <v>3.9617</v>
      </c>
      <c r="AD3874">
        <v>-1.0990349885549999</v>
      </c>
      <c r="AE3874">
        <v>-4.54849999999999</v>
      </c>
      <c r="AF3874">
        <v>3.1316920515207798</v>
      </c>
      <c r="AG3874">
        <v>-1.0990349885549999</v>
      </c>
      <c r="AH3874">
        <v>4.9270532451201499</v>
      </c>
      <c r="AI3874">
        <v>100.66129167251199</v>
      </c>
      <c r="AJ3874">
        <v>57.559488236994497</v>
      </c>
      <c r="AK3874">
        <v>5.9406419427428503</v>
      </c>
      <c r="AL3874">
        <v>89.852669133896299</v>
      </c>
      <c r="AM3874">
        <v>79.6348541677132</v>
      </c>
      <c r="AN3874">
        <v>1.0000000507226301</v>
      </c>
    </row>
    <row r="3875" spans="1:40" x14ac:dyDescent="0.25">
      <c r="A3875" t="str">
        <f>"20190312154913412"</f>
        <v>20190312154913412</v>
      </c>
      <c r="B3875" t="str">
        <f>"1552376953399959"</f>
        <v>1552376953399959</v>
      </c>
      <c r="C3875" t="s">
        <v>40</v>
      </c>
      <c r="D3875">
        <v>4.5280360000000002</v>
      </c>
      <c r="E3875">
        <v>0.64740209999999998</v>
      </c>
      <c r="F3875" t="s">
        <v>49</v>
      </c>
      <c r="G3875">
        <v>-200.11539999999999</v>
      </c>
      <c r="H3875" s="1">
        <v>2.9745979999999998E-6</v>
      </c>
      <c r="I3875">
        <v>208.54640000000001</v>
      </c>
      <c r="J3875">
        <v>-203.92939999999999</v>
      </c>
      <c r="K3875">
        <v>1.0988100000000001</v>
      </c>
      <c r="L3875">
        <v>213.0693</v>
      </c>
      <c r="M3875">
        <v>0.95478739999999995</v>
      </c>
      <c r="N3875">
        <v>0</v>
      </c>
      <c r="O3875">
        <v>-0.29687799999999998</v>
      </c>
      <c r="P3875">
        <v>0.88420829999999995</v>
      </c>
      <c r="Q3875">
        <v>-9.141527E-3</v>
      </c>
      <c r="R3875">
        <v>-0.46700340000000001</v>
      </c>
      <c r="S3875">
        <v>2.1410680000000002</v>
      </c>
      <c r="T3875">
        <v>-0.57039569999999995</v>
      </c>
      <c r="U3875">
        <v>-2.4022670000000002</v>
      </c>
      <c r="V3875">
        <v>0.18351010000000001</v>
      </c>
      <c r="W3875">
        <v>1.3607179999999999E-3</v>
      </c>
      <c r="X3875">
        <v>0.98301680000000002</v>
      </c>
      <c r="Y3875">
        <v>0.51208199999999904</v>
      </c>
      <c r="Z3875">
        <v>5.9586730000000003E-3</v>
      </c>
      <c r="AA3875">
        <v>0.85891589999999995</v>
      </c>
      <c r="AB3875">
        <v>32</v>
      </c>
      <c r="AC3875">
        <v>3.8139999999999898</v>
      </c>
      <c r="AD3875">
        <v>-1.0988070254019999</v>
      </c>
      <c r="AE3875">
        <v>-4.5228999999999902</v>
      </c>
      <c r="AF3875">
        <v>3.0802565331538201</v>
      </c>
      <c r="AG3875">
        <v>-1.0988070254019999</v>
      </c>
      <c r="AH3875">
        <v>4.8187049519287504</v>
      </c>
      <c r="AI3875">
        <v>100.87570707047</v>
      </c>
      <c r="AJ3875">
        <v>57.412101668372799</v>
      </c>
      <c r="AK3875">
        <v>5.8236822202840202</v>
      </c>
      <c r="AL3875">
        <v>89.922036571096598</v>
      </c>
      <c r="AM3875">
        <v>79.425708861834494</v>
      </c>
      <c r="AN3875">
        <v>0.99999991871885896</v>
      </c>
    </row>
    <row r="3876" spans="1:40" x14ac:dyDescent="0.25">
      <c r="A3876" t="str">
        <f>"20190312154913434"</f>
        <v>20190312154913434</v>
      </c>
      <c r="B3876" t="str">
        <f>"1552376953430215"</f>
        <v>1552376953430215</v>
      </c>
      <c r="C3876" t="s">
        <v>40</v>
      </c>
      <c r="D3876">
        <v>4.5485379999999997</v>
      </c>
      <c r="E3876">
        <v>0.64558979999999999</v>
      </c>
      <c r="F3876" t="s">
        <v>49</v>
      </c>
      <c r="G3876">
        <v>-199.88810000000001</v>
      </c>
      <c r="H3876" s="1">
        <v>2.9719779999999999E-6</v>
      </c>
      <c r="I3876">
        <v>208.39189999999999</v>
      </c>
      <c r="J3876">
        <v>-203.63759999999999</v>
      </c>
      <c r="K3876">
        <v>1.0985940000000001</v>
      </c>
      <c r="L3876">
        <v>212.9657</v>
      </c>
      <c r="M3876">
        <v>0.95088410000000001</v>
      </c>
      <c r="N3876">
        <v>0</v>
      </c>
      <c r="O3876">
        <v>-0.30914899999999901</v>
      </c>
      <c r="P3876">
        <v>0.87769339999999996</v>
      </c>
      <c r="Q3876">
        <v>-8.6505519999999902E-3</v>
      </c>
      <c r="R3876">
        <v>-0.47914479999999998</v>
      </c>
      <c r="S3876">
        <v>2.1020050000000001</v>
      </c>
      <c r="T3876">
        <v>-0.57152219999999998</v>
      </c>
      <c r="U3876">
        <v>-2.4328609999999999</v>
      </c>
      <c r="V3876">
        <v>0.1844114</v>
      </c>
      <c r="W3876">
        <v>1.7874869999999999E-3</v>
      </c>
      <c r="X3876">
        <v>0.98284749999999999</v>
      </c>
      <c r="Y3876">
        <v>0.51436949999999904</v>
      </c>
      <c r="Z3876">
        <v>8.0890470000000003E-3</v>
      </c>
      <c r="AA3876">
        <v>0.85753049999999997</v>
      </c>
      <c r="AB3876">
        <v>32</v>
      </c>
      <c r="AC3876">
        <v>3.7494999999999798</v>
      </c>
      <c r="AD3876">
        <v>-1.0985910280219999</v>
      </c>
      <c r="AE3876">
        <v>-4.5738000000000003</v>
      </c>
      <c r="AF3876">
        <v>3.0839820884226099</v>
      </c>
      <c r="AG3876">
        <v>-1.0985910280219999</v>
      </c>
      <c r="AH3876">
        <v>4.8138411781087598</v>
      </c>
      <c r="AI3876">
        <v>100.877497872897</v>
      </c>
      <c r="AJ3876">
        <v>57.354388689974499</v>
      </c>
      <c r="AK3876">
        <v>5.8215903889416296</v>
      </c>
      <c r="AL3876">
        <v>89.897584482779195</v>
      </c>
      <c r="AM3876">
        <v>79.373164974621304</v>
      </c>
      <c r="AN3876">
        <v>0.99999998390799205</v>
      </c>
    </row>
    <row r="3877" spans="1:40" x14ac:dyDescent="0.25">
      <c r="A3877" t="str">
        <f>"20190312154913456"</f>
        <v>20190312154913456</v>
      </c>
      <c r="B3877" t="str">
        <f>"1552376953449735"</f>
        <v>1552376953449735</v>
      </c>
      <c r="C3877" t="s">
        <v>40</v>
      </c>
      <c r="D3877">
        <v>4.6001130000000003</v>
      </c>
      <c r="E3877">
        <v>0.64583590000000002</v>
      </c>
      <c r="F3877" t="s">
        <v>49</v>
      </c>
      <c r="G3877">
        <v>-199.58240000000001</v>
      </c>
      <c r="H3877" s="1">
        <v>3.083253E-6</v>
      </c>
      <c r="I3877">
        <v>208.1764</v>
      </c>
      <c r="J3877">
        <v>-203.33369999999999</v>
      </c>
      <c r="K3877">
        <v>1.098371</v>
      </c>
      <c r="L3877">
        <v>212.85310000000001</v>
      </c>
      <c r="M3877">
        <v>0.94653830000000005</v>
      </c>
      <c r="N3877">
        <v>0</v>
      </c>
      <c r="O3877">
        <v>-0.32220749999999998</v>
      </c>
      <c r="P3877">
        <v>0.8696528</v>
      </c>
      <c r="Q3877">
        <v>-7.7537309999999998E-3</v>
      </c>
      <c r="R3877">
        <v>-0.49360330000000002</v>
      </c>
      <c r="S3877">
        <v>2.0748289999999998</v>
      </c>
      <c r="T3877">
        <v>-0.56208590000000003</v>
      </c>
      <c r="U3877">
        <v>-2.4503940000000002</v>
      </c>
      <c r="V3877">
        <v>0.18717030000000001</v>
      </c>
      <c r="W3877">
        <v>2.5594839999999999E-3</v>
      </c>
      <c r="X3877">
        <v>0.98232410000000003</v>
      </c>
      <c r="Y3877">
        <v>0.51143530000000004</v>
      </c>
      <c r="Z3877">
        <v>1.074804E-2</v>
      </c>
      <c r="AA3877">
        <v>0.85925459999999998</v>
      </c>
      <c r="AB3877">
        <v>32</v>
      </c>
      <c r="AC3877">
        <v>3.7512999999999801</v>
      </c>
      <c r="AD3877">
        <v>-1.098367916747</v>
      </c>
      <c r="AE3877">
        <v>-4.6767000000000101</v>
      </c>
      <c r="AF3877">
        <v>3.1138637793796802</v>
      </c>
      <c r="AG3877">
        <v>-1.098367916747</v>
      </c>
      <c r="AH3877">
        <v>4.8939821548197999</v>
      </c>
      <c r="AI3877">
        <v>100.72221124118499</v>
      </c>
      <c r="AJ3877">
        <v>57.5328785278083</v>
      </c>
      <c r="AK3877">
        <v>5.9036955416727297</v>
      </c>
      <c r="AL3877">
        <v>89.853352202326107</v>
      </c>
      <c r="AM3877">
        <v>79.212271754157499</v>
      </c>
      <c r="AN3877">
        <v>0.99999995480062198</v>
      </c>
    </row>
    <row r="3878" spans="1:40" x14ac:dyDescent="0.25">
      <c r="A3878" t="str">
        <f>"20190312154913478"</f>
        <v>20190312154913478</v>
      </c>
      <c r="B3878" t="str">
        <f>"1552376953469256"</f>
        <v>1552376953469256</v>
      </c>
      <c r="C3878" t="s">
        <v>40</v>
      </c>
      <c r="D3878">
        <v>4.5074420000000002</v>
      </c>
      <c r="E3878">
        <v>0.6704445</v>
      </c>
      <c r="F3878" t="s">
        <v>49</v>
      </c>
      <c r="G3878">
        <v>-199.35169999999999</v>
      </c>
      <c r="H3878" s="1">
        <v>3.1749989999999999E-6</v>
      </c>
      <c r="I3878">
        <v>207.9845</v>
      </c>
      <c r="J3878">
        <v>-203.03559999999999</v>
      </c>
      <c r="K3878">
        <v>1.098144</v>
      </c>
      <c r="L3878">
        <v>212.73769999999999</v>
      </c>
      <c r="M3878">
        <v>0.94197620000000004</v>
      </c>
      <c r="N3878">
        <v>0</v>
      </c>
      <c r="O3878">
        <v>-0.33530779999999999</v>
      </c>
      <c r="P3878">
        <v>0.86124719999999999</v>
      </c>
      <c r="Q3878">
        <v>-6.8669309999999997E-3</v>
      </c>
      <c r="R3878">
        <v>-0.50814029999999999</v>
      </c>
      <c r="S3878">
        <v>2.0335079999999999</v>
      </c>
      <c r="T3878">
        <v>-0.56090589999999996</v>
      </c>
      <c r="U3878">
        <v>-2.486237</v>
      </c>
      <c r="V3878">
        <v>0.1900646</v>
      </c>
      <c r="W3878">
        <v>3.3143140000000001E-3</v>
      </c>
      <c r="X3878">
        <v>0.98176600000000003</v>
      </c>
      <c r="Y3878">
        <v>0.51429159999999996</v>
      </c>
      <c r="Z3878">
        <v>1.291723E-2</v>
      </c>
      <c r="AA3878">
        <v>0.85751809999999995</v>
      </c>
      <c r="AB3878">
        <v>32</v>
      </c>
      <c r="AC3878">
        <v>3.6838999999999902</v>
      </c>
      <c r="AD3878">
        <v>-1.0981408250010001</v>
      </c>
      <c r="AE3878">
        <v>-4.7531999999999899</v>
      </c>
      <c r="AF3878">
        <v>3.13792912961814</v>
      </c>
      <c r="AG3878">
        <v>-1.0981408250010001</v>
      </c>
      <c r="AH3878">
        <v>4.9011316006509897</v>
      </c>
      <c r="AI3878">
        <v>100.685900770207</v>
      </c>
      <c r="AJ3878">
        <v>57.370765334793703</v>
      </c>
      <c r="AK3878">
        <v>5.9222971439247898</v>
      </c>
      <c r="AL3878">
        <v>89.810103449640806</v>
      </c>
      <c r="AM3878">
        <v>79.043384960642499</v>
      </c>
      <c r="AN3878">
        <v>1.0000000078032201</v>
      </c>
    </row>
    <row r="3879" spans="1:40" x14ac:dyDescent="0.25">
      <c r="A3879" t="str">
        <f>"20190312154913501"</f>
        <v>20190312154913501</v>
      </c>
      <c r="B3879" t="str">
        <f>"1552376953489751"</f>
        <v>1552376953489751</v>
      </c>
      <c r="C3879" t="s">
        <v>40</v>
      </c>
      <c r="D3879">
        <v>4.5035420000000004</v>
      </c>
      <c r="E3879">
        <v>0.67279460000000002</v>
      </c>
      <c r="F3879" t="s">
        <v>49</v>
      </c>
      <c r="G3879">
        <v>-199.535</v>
      </c>
      <c r="H3879" s="1">
        <v>3.2010310000000002E-6</v>
      </c>
      <c r="I3879">
        <v>207.76339999999999</v>
      </c>
      <c r="J3879">
        <v>-202.73660000000001</v>
      </c>
      <c r="K3879">
        <v>1.0979030000000001</v>
      </c>
      <c r="L3879">
        <v>212.61689999999999</v>
      </c>
      <c r="M3879">
        <v>0.937079</v>
      </c>
      <c r="N3879">
        <v>0</v>
      </c>
      <c r="O3879">
        <v>-0.34875699999999998</v>
      </c>
      <c r="P3879">
        <v>0.85268729999999904</v>
      </c>
      <c r="Q3879">
        <v>-5.8575099999999998E-3</v>
      </c>
      <c r="R3879">
        <v>-0.52238869999999904</v>
      </c>
      <c r="S3879">
        <v>1.892212</v>
      </c>
      <c r="T3879">
        <v>-0.59358310000000003</v>
      </c>
      <c r="U3879">
        <v>-2.6887819999999998</v>
      </c>
      <c r="V3879">
        <v>0.19236200000000001</v>
      </c>
      <c r="W3879">
        <v>4.2050409999999996E-3</v>
      </c>
      <c r="X3879">
        <v>0.98131500000000005</v>
      </c>
      <c r="Y3879">
        <v>0.56238769999999905</v>
      </c>
      <c r="Z3879">
        <v>1.080045E-2</v>
      </c>
      <c r="AA3879">
        <v>0.82680309999999901</v>
      </c>
      <c r="AB3879">
        <v>32</v>
      </c>
      <c r="AC3879">
        <v>3.2016000000000102</v>
      </c>
      <c r="AD3879">
        <v>-1.097899798969</v>
      </c>
      <c r="AE3879">
        <v>-4.8534999999999897</v>
      </c>
      <c r="AF3879">
        <v>3.31380965418498</v>
      </c>
      <c r="AG3879">
        <v>-1.097899798969</v>
      </c>
      <c r="AH3879">
        <v>4.5318505455030396</v>
      </c>
      <c r="AI3879">
        <v>101.06502745220401</v>
      </c>
      <c r="AJ3879">
        <v>53.824735640557101</v>
      </c>
      <c r="AK3879">
        <v>5.7205233816078396</v>
      </c>
      <c r="AL3879">
        <v>89.759068182029694</v>
      </c>
      <c r="AM3879">
        <v>78.909240410132497</v>
      </c>
      <c r="AN3879">
        <v>0.99999997531940499</v>
      </c>
    </row>
    <row r="3880" spans="1:40" x14ac:dyDescent="0.25">
      <c r="A3880" t="str">
        <f>"20190312154913523"</f>
        <v>20190312154913523</v>
      </c>
      <c r="B3880" t="str">
        <f>"1552376953520148"</f>
        <v>1552376953520148</v>
      </c>
      <c r="C3880" t="s">
        <v>40</v>
      </c>
      <c r="D3880">
        <v>4.5728080000000002</v>
      </c>
      <c r="E3880">
        <v>0.66960050000000004</v>
      </c>
      <c r="F3880" t="s">
        <v>49</v>
      </c>
      <c r="G3880">
        <v>-199.1994</v>
      </c>
      <c r="H3880" s="1">
        <v>3.3696279999999998E-6</v>
      </c>
      <c r="I3880">
        <v>207.35149999999999</v>
      </c>
      <c r="J3880">
        <v>-202.44380000000001</v>
      </c>
      <c r="K3880">
        <v>1.097672</v>
      </c>
      <c r="L3880">
        <v>212.49350000000001</v>
      </c>
      <c r="M3880">
        <v>0.93194900000000003</v>
      </c>
      <c r="N3880">
        <v>0</v>
      </c>
      <c r="O3880">
        <v>-0.36223959999999999</v>
      </c>
      <c r="P3880">
        <v>0.84406369999999897</v>
      </c>
      <c r="Q3880">
        <v>-5.6470050000000001E-3</v>
      </c>
      <c r="R3880">
        <v>-0.53621319999999995</v>
      </c>
      <c r="S3880">
        <v>1.8380890000000001</v>
      </c>
      <c r="T3880">
        <v>-0.57051689999999999</v>
      </c>
      <c r="U3880">
        <v>-2.7361300000000002</v>
      </c>
      <c r="V3880">
        <v>0.19420319999999999</v>
      </c>
      <c r="W3880">
        <v>4.3099430000000001E-3</v>
      </c>
      <c r="X3880">
        <v>0.98095180000000004</v>
      </c>
      <c r="Y3880">
        <v>0.56872619999999996</v>
      </c>
      <c r="Z3880">
        <v>1.2273900000000001E-2</v>
      </c>
      <c r="AA3880">
        <v>0.82243539999999904</v>
      </c>
      <c r="AB3880">
        <v>32</v>
      </c>
      <c r="AC3880">
        <v>3.2444000000000099</v>
      </c>
      <c r="AD3880">
        <v>-1.097668630372</v>
      </c>
      <c r="AE3880">
        <v>-5.1420000000000199</v>
      </c>
      <c r="AF3880">
        <v>3.5031100957852899</v>
      </c>
      <c r="AG3880">
        <v>-1.097668630372</v>
      </c>
      <c r="AH3880">
        <v>4.7326163780178998</v>
      </c>
      <c r="AI3880">
        <v>100.559992830387</v>
      </c>
      <c r="AJ3880">
        <v>53.490940402679101</v>
      </c>
      <c r="AK3880">
        <v>5.9895170545527998</v>
      </c>
      <c r="AL3880">
        <v>89.753057678353898</v>
      </c>
      <c r="AM3880">
        <v>78.801713516524103</v>
      </c>
      <c r="AN3880">
        <v>0.99999994621107002</v>
      </c>
    </row>
    <row r="3881" spans="1:40" x14ac:dyDescent="0.25">
      <c r="A3881" t="str">
        <f>"20190312154913546"</f>
        <v>20190312154913546</v>
      </c>
      <c r="B3881" t="str">
        <f>"1552376953539667"</f>
        <v>1552376953539667</v>
      </c>
      <c r="C3881" t="s">
        <v>40</v>
      </c>
      <c r="D3881">
        <v>4.5897940000000004</v>
      </c>
      <c r="E3881">
        <v>0.66769029999999996</v>
      </c>
      <c r="F3881" t="s">
        <v>49</v>
      </c>
      <c r="G3881">
        <v>-198.99279999999999</v>
      </c>
      <c r="H3881" s="1">
        <v>3.4325650000000001E-6</v>
      </c>
      <c r="I3881">
        <v>207.25219999999999</v>
      </c>
      <c r="J3881">
        <v>-202.14230000000001</v>
      </c>
      <c r="K3881">
        <v>1.0974170000000001</v>
      </c>
      <c r="L3881">
        <v>212.36070000000001</v>
      </c>
      <c r="M3881">
        <v>0.92628880000000002</v>
      </c>
      <c r="N3881">
        <v>0</v>
      </c>
      <c r="O3881">
        <v>-0.37647510000000001</v>
      </c>
      <c r="P3881">
        <v>0.834373699999999</v>
      </c>
      <c r="Q3881">
        <v>-5.1578830000000003E-3</v>
      </c>
      <c r="R3881">
        <v>-0.55117550000000004</v>
      </c>
      <c r="S3881">
        <v>1.8069759999999999</v>
      </c>
      <c r="T3881">
        <v>-0.5747468</v>
      </c>
      <c r="U3881">
        <v>-2.74437</v>
      </c>
      <c r="V3881">
        <v>0.19667799999999999</v>
      </c>
      <c r="W3881">
        <v>4.6694750000000002E-3</v>
      </c>
      <c r="X3881">
        <v>0.98045700000000002</v>
      </c>
      <c r="Y3881">
        <v>0.56392619999999904</v>
      </c>
      <c r="Z3881">
        <v>1.5691460000000001E-2</v>
      </c>
      <c r="AA3881">
        <v>0.82567610000000002</v>
      </c>
      <c r="AB3881">
        <v>31</v>
      </c>
      <c r="AC3881">
        <v>3.14950000000001</v>
      </c>
      <c r="AD3881">
        <v>-1.0974135674349901</v>
      </c>
      <c r="AE3881">
        <v>-5.1085000000000198</v>
      </c>
      <c r="AF3881">
        <v>3.4319333430354102</v>
      </c>
      <c r="AG3881">
        <v>-1.0974135674349901</v>
      </c>
      <c r="AH3881">
        <v>4.6845452158842598</v>
      </c>
      <c r="AI3881">
        <v>100.701323372518</v>
      </c>
      <c r="AJ3881">
        <v>53.773212260658497</v>
      </c>
      <c r="AK3881">
        <v>5.9099447449779703</v>
      </c>
      <c r="AL3881">
        <v>89.732457813494094</v>
      </c>
      <c r="AM3881">
        <v>78.657110137825001</v>
      </c>
      <c r="AN3881">
        <v>0.99999998426488701</v>
      </c>
    </row>
    <row r="3882" spans="1:40" x14ac:dyDescent="0.25">
      <c r="A3882" t="str">
        <f>"20190312154913568"</f>
        <v>20190312154913568</v>
      </c>
      <c r="B3882" t="str">
        <f>"1552376953560163"</f>
        <v>1552376953560163</v>
      </c>
      <c r="C3882" t="s">
        <v>40</v>
      </c>
      <c r="D3882">
        <v>4.6431370000000003</v>
      </c>
      <c r="E3882">
        <v>0.66663749999999999</v>
      </c>
      <c r="F3882" t="s">
        <v>49</v>
      </c>
      <c r="G3882">
        <v>-198.80359999999999</v>
      </c>
      <c r="H3882" s="1">
        <v>3.496005E-6</v>
      </c>
      <c r="I3882">
        <v>207.13939999999999</v>
      </c>
      <c r="J3882">
        <v>-201.8569</v>
      </c>
      <c r="K3882">
        <v>1.0971869999999999</v>
      </c>
      <c r="L3882">
        <v>212.2294</v>
      </c>
      <c r="M3882">
        <v>0.92055419999999999</v>
      </c>
      <c r="N3882">
        <v>0</v>
      </c>
      <c r="O3882">
        <v>-0.39028439999999998</v>
      </c>
      <c r="P3882">
        <v>0.82416769999999995</v>
      </c>
      <c r="Q3882">
        <v>-4.3705580000000001E-3</v>
      </c>
      <c r="R3882">
        <v>-0.56632910000000003</v>
      </c>
      <c r="S3882">
        <v>1.766724</v>
      </c>
      <c r="T3882">
        <v>-0.58071049999999902</v>
      </c>
      <c r="U3882">
        <v>-2.7629389999999998</v>
      </c>
      <c r="V3882">
        <v>0.19995569999999999</v>
      </c>
      <c r="W3882">
        <v>5.304614E-3</v>
      </c>
      <c r="X3882">
        <v>0.97979059999999996</v>
      </c>
      <c r="Y3882">
        <v>0.56274349999999995</v>
      </c>
      <c r="Z3882">
        <v>1.874381E-2</v>
      </c>
      <c r="AA3882">
        <v>0.82641909999999896</v>
      </c>
      <c r="AB3882">
        <v>31</v>
      </c>
      <c r="AC3882">
        <v>3.0533000000000001</v>
      </c>
      <c r="AD3882">
        <v>-1.097183503995</v>
      </c>
      <c r="AE3882">
        <v>-5.09</v>
      </c>
      <c r="AF3882">
        <v>3.3789595554134699</v>
      </c>
      <c r="AG3882">
        <v>-1.097183503995</v>
      </c>
      <c r="AH3882">
        <v>4.6393705358233897</v>
      </c>
      <c r="AI3882">
        <v>100.82241766625501</v>
      </c>
      <c r="AJ3882">
        <v>53.9332935304759</v>
      </c>
      <c r="AK3882">
        <v>5.8433670334170298</v>
      </c>
      <c r="AL3882">
        <v>89.696066586640299</v>
      </c>
      <c r="AM3882">
        <v>78.4654672217425</v>
      </c>
      <c r="AN3882">
        <v>1.0000000203702599</v>
      </c>
    </row>
    <row r="3883" spans="1:40" x14ac:dyDescent="0.25">
      <c r="A3883" t="str">
        <f>"20190312154913591"</f>
        <v>20190312154913591</v>
      </c>
      <c r="B3883" t="str">
        <f>"1552376953579683"</f>
        <v>1552376953579683</v>
      </c>
      <c r="C3883" t="s">
        <v>40</v>
      </c>
      <c r="D3883">
        <v>4.6317820000000003</v>
      </c>
      <c r="E3883">
        <v>0.665336699999999</v>
      </c>
      <c r="F3883" t="s">
        <v>49</v>
      </c>
      <c r="G3883">
        <v>-198.65559999999999</v>
      </c>
      <c r="H3883" s="1">
        <v>3.5469560000000001E-6</v>
      </c>
      <c r="I3883">
        <v>207.0461</v>
      </c>
      <c r="J3883">
        <v>-201.56020000000001</v>
      </c>
      <c r="K3883">
        <v>1.0969679999999999</v>
      </c>
      <c r="L3883">
        <v>212.08690000000001</v>
      </c>
      <c r="M3883">
        <v>0.9141956</v>
      </c>
      <c r="N3883">
        <v>0</v>
      </c>
      <c r="O3883">
        <v>-0.40495160000000002</v>
      </c>
      <c r="P3883">
        <v>0.81300360000000005</v>
      </c>
      <c r="Q3883">
        <v>-2.4922899999999999E-3</v>
      </c>
      <c r="R3883">
        <v>-0.58225340000000003</v>
      </c>
      <c r="S3883">
        <v>1.721573</v>
      </c>
      <c r="T3883">
        <v>-0.59002829999999995</v>
      </c>
      <c r="U3883">
        <v>-2.7873839999999999</v>
      </c>
      <c r="V3883">
        <v>0.20340739999999999</v>
      </c>
      <c r="W3883">
        <v>7.0273940000000002E-3</v>
      </c>
      <c r="X3883">
        <v>0.97906899999999997</v>
      </c>
      <c r="Y3883">
        <v>0.56255350000000004</v>
      </c>
      <c r="Z3883">
        <v>2.2046050000000001E-2</v>
      </c>
      <c r="AA3883">
        <v>0.8264669</v>
      </c>
      <c r="AB3883">
        <v>31</v>
      </c>
      <c r="AC3883">
        <v>2.9046000000000101</v>
      </c>
      <c r="AD3883">
        <v>-1.0969644530439999</v>
      </c>
      <c r="AE3883">
        <v>-5.0408000000000097</v>
      </c>
      <c r="AF3883">
        <v>3.31465692586456</v>
      </c>
      <c r="AG3883">
        <v>-1.0969644530439999</v>
      </c>
      <c r="AH3883">
        <v>4.5359975372121104</v>
      </c>
      <c r="AI3883">
        <v>101.048447077064</v>
      </c>
      <c r="AJ3883">
        <v>53.842724484817801</v>
      </c>
      <c r="AK3883">
        <v>5.7241204743627003</v>
      </c>
      <c r="AL3883">
        <v>89.597356681098901</v>
      </c>
      <c r="AM3883">
        <v>78.263420813624506</v>
      </c>
      <c r="AN3883">
        <v>1.0000000307010899</v>
      </c>
    </row>
    <row r="3884" spans="1:40" x14ac:dyDescent="0.25">
      <c r="A3884" t="str">
        <f>"20190312154913614"</f>
        <v>20190312154913614</v>
      </c>
      <c r="B3884" t="str">
        <f>"1552376953609939"</f>
        <v>1552376953609939</v>
      </c>
      <c r="C3884" t="s">
        <v>40</v>
      </c>
      <c r="D3884">
        <v>4.6562109999999999</v>
      </c>
      <c r="E3884">
        <v>0.6636476</v>
      </c>
      <c r="F3884" t="s">
        <v>49</v>
      </c>
      <c r="G3884">
        <v>-198.44049999999999</v>
      </c>
      <c r="H3884" s="1">
        <v>3.6383980000000001E-6</v>
      </c>
      <c r="I3884">
        <v>206.8449</v>
      </c>
      <c r="J3884">
        <v>-201.2724</v>
      </c>
      <c r="K3884">
        <v>1.096768</v>
      </c>
      <c r="L3884">
        <v>211.94290000000001</v>
      </c>
      <c r="M3884">
        <v>0.90762529999999997</v>
      </c>
      <c r="N3884">
        <v>0</v>
      </c>
      <c r="O3884">
        <v>-0.41946800000000001</v>
      </c>
      <c r="P3884">
        <v>0.80161749999999998</v>
      </c>
      <c r="Q3884">
        <v>9.7513340000000002E-4</v>
      </c>
      <c r="R3884">
        <v>-0.59783640000000005</v>
      </c>
      <c r="S3884">
        <v>1.673889</v>
      </c>
      <c r="T3884">
        <v>-0.5885804</v>
      </c>
      <c r="U3884">
        <v>-2.8126220000000002</v>
      </c>
      <c r="V3884">
        <v>0.2068132</v>
      </c>
      <c r="W3884">
        <v>1.034319E-2</v>
      </c>
      <c r="X3884">
        <v>0.97832580000000002</v>
      </c>
      <c r="Y3884">
        <v>0.56315890000000002</v>
      </c>
      <c r="Z3884">
        <v>2.489481E-2</v>
      </c>
      <c r="AA3884">
        <v>0.82597359999999898</v>
      </c>
      <c r="AB3884">
        <v>31</v>
      </c>
      <c r="AC3884">
        <v>2.8319000000000099</v>
      </c>
      <c r="AD3884">
        <v>-1.096764361602</v>
      </c>
      <c r="AE3884">
        <v>-5.0980000000000096</v>
      </c>
      <c r="AF3884">
        <v>3.3221322387257</v>
      </c>
      <c r="AG3884">
        <v>-1.096764361602</v>
      </c>
      <c r="AH3884">
        <v>4.5484929462674701</v>
      </c>
      <c r="AI3884">
        <v>101.01874199910399</v>
      </c>
      <c r="AJ3884">
        <v>53.856322489241002</v>
      </c>
      <c r="AK3884">
        <v>5.7383135814196997</v>
      </c>
      <c r="AL3884">
        <v>89.407368314672496</v>
      </c>
      <c r="AM3884">
        <v>78.063689732403503</v>
      </c>
      <c r="AN3884">
        <v>1.00000002610962</v>
      </c>
    </row>
    <row r="3885" spans="1:40" x14ac:dyDescent="0.25">
      <c r="A3885" t="str">
        <f>"20190312154913635"</f>
        <v>20190312154913635</v>
      </c>
      <c r="B3885" t="str">
        <f>"1552376953629459"</f>
        <v>1552376953629459</v>
      </c>
      <c r="C3885" t="s">
        <v>40</v>
      </c>
      <c r="D3885">
        <v>4.7194450000000003</v>
      </c>
      <c r="E3885">
        <v>0.66327100000000005</v>
      </c>
      <c r="F3885" t="s">
        <v>49</v>
      </c>
      <c r="G3885">
        <v>-198.22200000000001</v>
      </c>
      <c r="H3885" s="1">
        <v>3.7334530000000001E-6</v>
      </c>
      <c r="I3885">
        <v>206.63229999999999</v>
      </c>
      <c r="J3885">
        <v>-200.9974</v>
      </c>
      <c r="K3885">
        <v>1.0965860000000001</v>
      </c>
      <c r="L3885">
        <v>211.7997</v>
      </c>
      <c r="M3885">
        <v>0.90094960000000002</v>
      </c>
      <c r="N3885">
        <v>0</v>
      </c>
      <c r="O3885">
        <v>-0.43361840000000001</v>
      </c>
      <c r="P3885">
        <v>0.79020570000000001</v>
      </c>
      <c r="Q3885">
        <v>6.4390230000000003E-3</v>
      </c>
      <c r="R3885">
        <v>-0.61280829999999997</v>
      </c>
      <c r="S3885">
        <v>1.628601</v>
      </c>
      <c r="T3885">
        <v>-0.58555109999999999</v>
      </c>
      <c r="U3885">
        <v>-2.8352810000000002</v>
      </c>
      <c r="V3885">
        <v>0.21009649999999999</v>
      </c>
      <c r="W3885">
        <v>1.5659949999999999E-2</v>
      </c>
      <c r="X3885">
        <v>0.97755519999999996</v>
      </c>
      <c r="Y3885">
        <v>0.56318489999999999</v>
      </c>
      <c r="Z3885">
        <v>2.7665039999999998E-2</v>
      </c>
      <c r="AA3885">
        <v>0.82586769999999998</v>
      </c>
      <c r="AB3885">
        <v>31</v>
      </c>
      <c r="AC3885">
        <v>2.7753999999999901</v>
      </c>
      <c r="AD3885">
        <v>-1.096582266547</v>
      </c>
      <c r="AE3885">
        <v>-5.1674000000000104</v>
      </c>
      <c r="AF3885">
        <v>3.3359637237232498</v>
      </c>
      <c r="AG3885">
        <v>-1.096582266547</v>
      </c>
      <c r="AH3885">
        <v>4.5816683634145701</v>
      </c>
      <c r="AI3885">
        <v>100.950656823521</v>
      </c>
      <c r="AJ3885">
        <v>53.941220435332298</v>
      </c>
      <c r="AK3885">
        <v>5.7725931456856303</v>
      </c>
      <c r="AL3885">
        <v>89.102714255052504</v>
      </c>
      <c r="AM3885">
        <v>77.870482198153098</v>
      </c>
      <c r="AN3885">
        <v>0.99999997119664497</v>
      </c>
    </row>
    <row r="3886" spans="1:40" x14ac:dyDescent="0.25">
      <c r="A3886" t="str">
        <f>"20190312154913657"</f>
        <v>20190312154913657</v>
      </c>
      <c r="B3886" t="str">
        <f>"1552376953649955"</f>
        <v>1552376953649955</v>
      </c>
      <c r="C3886" t="s">
        <v>40</v>
      </c>
      <c r="D3886">
        <v>4.769304</v>
      </c>
      <c r="E3886">
        <v>0.65122619999999998</v>
      </c>
      <c r="F3886" t="s">
        <v>49</v>
      </c>
      <c r="G3886">
        <v>-197.9579</v>
      </c>
      <c r="H3886" s="1">
        <v>3.871581E-6</v>
      </c>
      <c r="I3886">
        <v>206.2876</v>
      </c>
      <c r="J3886">
        <v>-200.72579999999999</v>
      </c>
      <c r="K3886">
        <v>1.0964069999999999</v>
      </c>
      <c r="L3886">
        <v>211.65260000000001</v>
      </c>
      <c r="M3886">
        <v>0.89395270000000004</v>
      </c>
      <c r="N3886">
        <v>0</v>
      </c>
      <c r="O3886">
        <v>-0.44786290000000001</v>
      </c>
      <c r="P3886">
        <v>0.77768950000000003</v>
      </c>
      <c r="Q3886">
        <v>1.135954E-2</v>
      </c>
      <c r="R3886">
        <v>-0.62854589999999999</v>
      </c>
      <c r="S3886">
        <v>1.57959</v>
      </c>
      <c r="T3886">
        <v>-0.56988719999999904</v>
      </c>
      <c r="U3886">
        <v>-2.8646389999999999</v>
      </c>
      <c r="V3886">
        <v>0.21439430000000001</v>
      </c>
      <c r="W3886">
        <v>2.03956E-2</v>
      </c>
      <c r="X3886">
        <v>0.97653420000000002</v>
      </c>
      <c r="Y3886">
        <v>0.56475030000000004</v>
      </c>
      <c r="Z3886">
        <v>2.9594499999999999E-2</v>
      </c>
      <c r="AA3886">
        <v>0.82473109999999905</v>
      </c>
      <c r="AB3886">
        <v>31</v>
      </c>
      <c r="AC3886">
        <v>2.7678999999999898</v>
      </c>
      <c r="AD3886">
        <v>-1.0964031284189999</v>
      </c>
      <c r="AE3886">
        <v>-5.3650000000000002</v>
      </c>
      <c r="AF3886">
        <v>3.44331636549144</v>
      </c>
      <c r="AG3886">
        <v>-1.0964031284189999</v>
      </c>
      <c r="AH3886">
        <v>4.7220542009376398</v>
      </c>
      <c r="AI3886">
        <v>100.625554155478</v>
      </c>
      <c r="AJ3886">
        <v>53.900513177566197</v>
      </c>
      <c r="AK3886">
        <v>5.9461183379967304</v>
      </c>
      <c r="AL3886">
        <v>88.831337131337804</v>
      </c>
      <c r="AM3886">
        <v>77.617388388223702</v>
      </c>
      <c r="AN3886">
        <v>0.99999997007074404</v>
      </c>
    </row>
    <row r="3887" spans="1:40" x14ac:dyDescent="0.25">
      <c r="A3887" t="str">
        <f>"20190312154913681"</f>
        <v>20190312154913681</v>
      </c>
      <c r="B3887" t="str">
        <f>"1552376953669476"</f>
        <v>1552376953669476</v>
      </c>
      <c r="C3887" t="s">
        <v>40</v>
      </c>
      <c r="D3887">
        <v>4.7599769999999904</v>
      </c>
      <c r="E3887">
        <v>0.65067209999999998</v>
      </c>
      <c r="F3887" t="s">
        <v>49</v>
      </c>
      <c r="G3887">
        <v>-197.7576</v>
      </c>
      <c r="H3887" s="1">
        <v>3.8859600000000003E-6</v>
      </c>
      <c r="I3887">
        <v>206.36750000000001</v>
      </c>
      <c r="J3887">
        <v>-200.44329999999999</v>
      </c>
      <c r="K3887">
        <v>1.0962080000000001</v>
      </c>
      <c r="L3887">
        <v>211.49340000000001</v>
      </c>
      <c r="M3887">
        <v>0.88622520000000005</v>
      </c>
      <c r="N3887">
        <v>0</v>
      </c>
      <c r="O3887">
        <v>-0.46296320000000002</v>
      </c>
      <c r="P3887">
        <v>0.76447670000000001</v>
      </c>
      <c r="Q3887">
        <v>1.372957E-2</v>
      </c>
      <c r="R3887">
        <v>-0.64450529999999995</v>
      </c>
      <c r="S3887">
        <v>1.5850679999999999</v>
      </c>
      <c r="T3887">
        <v>-0.58549609999999996</v>
      </c>
      <c r="U3887">
        <v>-2.8223569999999998</v>
      </c>
      <c r="V3887">
        <v>0.218143</v>
      </c>
      <c r="W3887">
        <v>2.2596649999999999E-2</v>
      </c>
      <c r="X3887">
        <v>0.97565519999999994</v>
      </c>
      <c r="Y3887">
        <v>0.54448609999999997</v>
      </c>
      <c r="Z3887">
        <v>3.5945680000000001E-2</v>
      </c>
      <c r="AA3887">
        <v>0.8379993</v>
      </c>
      <c r="AB3887">
        <v>31</v>
      </c>
      <c r="AC3887">
        <v>2.68569999999999</v>
      </c>
      <c r="AD3887">
        <v>-1.0962041140400001</v>
      </c>
      <c r="AE3887">
        <v>-5.1258999999999997</v>
      </c>
      <c r="AF3887">
        <v>3.1854611809153202</v>
      </c>
      <c r="AG3887">
        <v>-1.0962041140400001</v>
      </c>
      <c r="AH3887">
        <v>4.5892028013903001</v>
      </c>
      <c r="AI3887">
        <v>101.101921862137</v>
      </c>
      <c r="AJ3887">
        <v>55.2346803364645</v>
      </c>
      <c r="AK3887">
        <v>5.6929437681260504</v>
      </c>
      <c r="AL3887">
        <v>88.7051971483383</v>
      </c>
      <c r="AM3887">
        <v>77.396743485653602</v>
      </c>
      <c r="AN3887">
        <v>1.0000000231636299</v>
      </c>
    </row>
    <row r="3888" spans="1:40" x14ac:dyDescent="0.25">
      <c r="A3888" t="str">
        <f>"20190312154913703"</f>
        <v>20190312154913703</v>
      </c>
      <c r="B3888" t="str">
        <f>"1552376953699732"</f>
        <v>1552376953699732</v>
      </c>
      <c r="C3888" t="s">
        <v>40</v>
      </c>
      <c r="D3888">
        <v>4.7731789999999998</v>
      </c>
      <c r="E3888">
        <v>0.64290829999999999</v>
      </c>
      <c r="F3888" t="s">
        <v>49</v>
      </c>
      <c r="G3888">
        <v>-197.49799999999999</v>
      </c>
      <c r="H3888" s="1">
        <v>4.0280140000000002E-6</v>
      </c>
      <c r="I3888">
        <v>206.00489999999999</v>
      </c>
      <c r="J3888">
        <v>-200.16409999999999</v>
      </c>
      <c r="K3888">
        <v>1.0960099999999999</v>
      </c>
      <c r="L3888">
        <v>211.3297</v>
      </c>
      <c r="M3888">
        <v>0.87811399999999995</v>
      </c>
      <c r="N3888">
        <v>0</v>
      </c>
      <c r="O3888">
        <v>-0.4781666</v>
      </c>
      <c r="P3888">
        <v>0.75055519999999998</v>
      </c>
      <c r="Q3888">
        <v>1.542584E-2</v>
      </c>
      <c r="R3888">
        <v>-0.66062799999999999</v>
      </c>
      <c r="S3888">
        <v>1.530273</v>
      </c>
      <c r="T3888">
        <v>-0.56956370000000001</v>
      </c>
      <c r="U3888">
        <v>-2.8517299999999999</v>
      </c>
      <c r="V3888">
        <v>0.22217519999999999</v>
      </c>
      <c r="W3888">
        <v>2.4112100000000001E-2</v>
      </c>
      <c r="X3888">
        <v>0.97470860000000004</v>
      </c>
      <c r="Y3888">
        <v>0.54635819999999902</v>
      </c>
      <c r="Z3888">
        <v>3.7870849999999998E-2</v>
      </c>
      <c r="AA3888">
        <v>0.83669499999999997</v>
      </c>
      <c r="AB3888">
        <v>31</v>
      </c>
      <c r="AC3888">
        <v>2.6661000000000001</v>
      </c>
      <c r="AD3888">
        <v>-1.096005971986</v>
      </c>
      <c r="AE3888">
        <v>-5.3247999999999998</v>
      </c>
      <c r="AF3888">
        <v>3.28996050140832</v>
      </c>
      <c r="AG3888">
        <v>-1.096005971986</v>
      </c>
      <c r="AH3888">
        <v>4.7277974276244796</v>
      </c>
      <c r="AI3888">
        <v>100.773652792536</v>
      </c>
      <c r="AJ3888">
        <v>55.166871782392597</v>
      </c>
      <c r="AK3888">
        <v>5.8632020013051296</v>
      </c>
      <c r="AL3888">
        <v>88.618344578684898</v>
      </c>
      <c r="AM3888">
        <v>77.159378264046495</v>
      </c>
      <c r="AN3888">
        <v>1.0000000338877</v>
      </c>
    </row>
    <row r="3889" spans="1:40" x14ac:dyDescent="0.25">
      <c r="A3889" t="str">
        <f>"20190312154913726"</f>
        <v>20190312154913726</v>
      </c>
      <c r="B3889" t="str">
        <f>"1552376953720229"</f>
        <v>1552376953720229</v>
      </c>
      <c r="C3889" t="s">
        <v>40</v>
      </c>
      <c r="D3889">
        <v>4.7807639999999996</v>
      </c>
      <c r="E3889">
        <v>0.64114919999999997</v>
      </c>
      <c r="F3889" t="s">
        <v>49</v>
      </c>
      <c r="G3889">
        <v>-197.43879999999999</v>
      </c>
      <c r="H3889" s="1">
        <v>3.9824969999999997E-6</v>
      </c>
      <c r="I3889">
        <v>206.21639999999999</v>
      </c>
      <c r="J3889">
        <v>-199.89160000000001</v>
      </c>
      <c r="K3889">
        <v>1.095817</v>
      </c>
      <c r="L3889">
        <v>211.16309999999999</v>
      </c>
      <c r="M3889">
        <v>0.86971049999999905</v>
      </c>
      <c r="N3889">
        <v>0</v>
      </c>
      <c r="O3889">
        <v>-0.4932839</v>
      </c>
      <c r="P3889">
        <v>0.73556639999999995</v>
      </c>
      <c r="Q3889">
        <v>1.7497240000000001E-2</v>
      </c>
      <c r="R3889">
        <v>-0.67722700000000002</v>
      </c>
      <c r="S3889">
        <v>1.5122070000000001</v>
      </c>
      <c r="T3889">
        <v>-0.6081626</v>
      </c>
      <c r="U3889">
        <v>-2.8372649999999999</v>
      </c>
      <c r="V3889">
        <v>0.22718859999999999</v>
      </c>
      <c r="W3889">
        <v>2.596499E-2</v>
      </c>
      <c r="X3889">
        <v>0.97350460000000005</v>
      </c>
      <c r="Y3889">
        <v>0.53433350000000002</v>
      </c>
      <c r="Z3889">
        <v>4.5200780000000003E-2</v>
      </c>
      <c r="AA3889">
        <v>0.84406440000000005</v>
      </c>
      <c r="AB3889">
        <v>31</v>
      </c>
      <c r="AC3889">
        <v>2.4528000000000199</v>
      </c>
      <c r="AD3889">
        <v>-1.0958130175030001</v>
      </c>
      <c r="AE3889">
        <v>-4.9466999999999901</v>
      </c>
      <c r="AF3889">
        <v>2.9754940979127298</v>
      </c>
      <c r="AG3889">
        <v>-1.0958130175030001</v>
      </c>
      <c r="AH3889">
        <v>4.4006458696617097</v>
      </c>
      <c r="AI3889">
        <v>101.655661732384</v>
      </c>
      <c r="AJ3889">
        <v>55.935431558241802</v>
      </c>
      <c r="AK3889">
        <v>5.4240257527240097</v>
      </c>
      <c r="AL3889">
        <v>88.512148480715595</v>
      </c>
      <c r="AM3889">
        <v>76.863883112379099</v>
      </c>
      <c r="AN3889">
        <v>1.0000000234484001</v>
      </c>
    </row>
    <row r="3890" spans="1:40" x14ac:dyDescent="0.25">
      <c r="A3890" t="str">
        <f>"20190312154913747"</f>
        <v>20190312154913747</v>
      </c>
      <c r="B3890" t="str">
        <f>"1552376953739748"</f>
        <v>1552376953739748</v>
      </c>
      <c r="C3890" t="s">
        <v>40</v>
      </c>
      <c r="D3890">
        <v>4.8174299999999999</v>
      </c>
      <c r="E3890">
        <v>0.63949100000000003</v>
      </c>
      <c r="F3890" t="s">
        <v>49</v>
      </c>
      <c r="G3890">
        <v>-197.29089999999999</v>
      </c>
      <c r="H3890" s="1">
        <v>4.0470439999999999E-6</v>
      </c>
      <c r="I3890">
        <v>206.0718</v>
      </c>
      <c r="J3890">
        <v>-199.63499999999999</v>
      </c>
      <c r="K3890">
        <v>1.0956399999999999</v>
      </c>
      <c r="L3890">
        <v>210.99969999999999</v>
      </c>
      <c r="M3890">
        <v>0.86132659999999905</v>
      </c>
      <c r="N3890">
        <v>0</v>
      </c>
      <c r="O3890">
        <v>-0.50777879999999997</v>
      </c>
      <c r="P3890">
        <v>0.72048800000000002</v>
      </c>
      <c r="Q3890">
        <v>1.7953819999999999E-2</v>
      </c>
      <c r="R3890">
        <v>-0.6932353</v>
      </c>
      <c r="S3890">
        <v>1.460602</v>
      </c>
      <c r="T3890">
        <v>-0.61541840000000003</v>
      </c>
      <c r="U3890">
        <v>-2.8593139999999999</v>
      </c>
      <c r="V3890">
        <v>0.23232</v>
      </c>
      <c r="W3890">
        <v>2.6199500000000001E-2</v>
      </c>
      <c r="X3890">
        <v>0.97228650000000005</v>
      </c>
      <c r="Y3890">
        <v>0.53501799999999999</v>
      </c>
      <c r="Z3890">
        <v>4.8917330000000002E-2</v>
      </c>
      <c r="AA3890">
        <v>0.84342329999999999</v>
      </c>
      <c r="AB3890">
        <v>31</v>
      </c>
      <c r="AC3890">
        <v>2.3440999999999899</v>
      </c>
      <c r="AD3890">
        <v>-1.095635952956</v>
      </c>
      <c r="AE3890">
        <v>-4.9278999999999904</v>
      </c>
      <c r="AF3890">
        <v>2.9363053566924102</v>
      </c>
      <c r="AG3890">
        <v>-1.095635952956</v>
      </c>
      <c r="AH3890">
        <v>4.3467252036234303</v>
      </c>
      <c r="AI3890">
        <v>101.797709893028</v>
      </c>
      <c r="AJ3890">
        <v>55.960136687634602</v>
      </c>
      <c r="AK3890">
        <v>5.3587617305647699</v>
      </c>
      <c r="AL3890">
        <v>88.498707465650298</v>
      </c>
      <c r="AM3890">
        <v>76.561602423309793</v>
      </c>
      <c r="AN3890">
        <v>1.00000001714125</v>
      </c>
    </row>
    <row r="3891" spans="1:40" x14ac:dyDescent="0.25">
      <c r="A3891" t="str">
        <f>"20190312154913770"</f>
        <v>20190312154913770</v>
      </c>
      <c r="B3891" t="str">
        <f>"1552376953760243"</f>
        <v>1552376953760243</v>
      </c>
      <c r="C3891" t="s">
        <v>40</v>
      </c>
      <c r="D3891">
        <v>4.8481620000000003</v>
      </c>
      <c r="E3891">
        <v>0.63785509999999901</v>
      </c>
      <c r="F3891" t="s">
        <v>49</v>
      </c>
      <c r="G3891">
        <v>-197.14359999999999</v>
      </c>
      <c r="H3891" s="1">
        <v>4.1284309999999999E-6</v>
      </c>
      <c r="I3891">
        <v>205.9033</v>
      </c>
      <c r="J3891">
        <v>-199.37379999999999</v>
      </c>
      <c r="K3891">
        <v>1.095469</v>
      </c>
      <c r="L3891">
        <v>210.82679999999999</v>
      </c>
      <c r="M3891">
        <v>0.852319099999999</v>
      </c>
      <c r="N3891">
        <v>0</v>
      </c>
      <c r="O3891">
        <v>-0.52275509999999903</v>
      </c>
      <c r="P3891">
        <v>0.7057177</v>
      </c>
      <c r="Q3891">
        <v>1.6633889999999998E-2</v>
      </c>
      <c r="R3891">
        <v>-0.70829809999999904</v>
      </c>
      <c r="S3891">
        <v>1.4079900000000001</v>
      </c>
      <c r="T3891">
        <v>-0.61919469999999899</v>
      </c>
      <c r="U3891">
        <v>-2.8802029999999998</v>
      </c>
      <c r="V3891">
        <v>0.2358104</v>
      </c>
      <c r="W3891">
        <v>2.4722270000000001E-2</v>
      </c>
      <c r="X3891">
        <v>0.97148460000000003</v>
      </c>
      <c r="Y3891">
        <v>0.53524589999999905</v>
      </c>
      <c r="Z3891">
        <v>5.2608830000000002E-2</v>
      </c>
      <c r="AA3891">
        <v>0.84305640000000004</v>
      </c>
      <c r="AB3891">
        <v>31</v>
      </c>
      <c r="AC3891">
        <v>2.2301999999999902</v>
      </c>
      <c r="AD3891">
        <v>-1.0954648715690001</v>
      </c>
      <c r="AE3891">
        <v>-4.92349999999999</v>
      </c>
      <c r="AF3891">
        <v>2.91137789784137</v>
      </c>
      <c r="AG3891">
        <v>-1.0954648715690001</v>
      </c>
      <c r="AH3891">
        <v>4.2986759751609398</v>
      </c>
      <c r="AI3891">
        <v>101.914602671068</v>
      </c>
      <c r="AJ3891">
        <v>55.891268674322198</v>
      </c>
      <c r="AK3891">
        <v>5.3061077720214804</v>
      </c>
      <c r="AL3891">
        <v>88.583373984186395</v>
      </c>
      <c r="AM3891">
        <v>76.356351872977299</v>
      </c>
      <c r="AN3891">
        <v>1.00000003170963</v>
      </c>
    </row>
    <row r="3892" spans="1:40" x14ac:dyDescent="0.25">
      <c r="A3892" t="str">
        <f>"20190312154913793"</f>
        <v>20190312154913793</v>
      </c>
      <c r="B3892" t="str">
        <f>"1552376953789523"</f>
        <v>1552376953789523</v>
      </c>
      <c r="C3892" t="s">
        <v>40</v>
      </c>
      <c r="D3892">
        <v>4.8354379999999999</v>
      </c>
      <c r="E3892">
        <v>0.63745529999999995</v>
      </c>
      <c r="F3892" t="s">
        <v>49</v>
      </c>
      <c r="G3892">
        <v>-197.0034</v>
      </c>
      <c r="H3892" s="1">
        <v>4.2105779999999998E-6</v>
      </c>
      <c r="I3892">
        <v>205.75890000000001</v>
      </c>
      <c r="J3892">
        <v>-199.10570000000001</v>
      </c>
      <c r="K3892">
        <v>1.095299</v>
      </c>
      <c r="L3892">
        <v>210.6422</v>
      </c>
      <c r="M3892">
        <v>0.84255469999999899</v>
      </c>
      <c r="N3892">
        <v>0</v>
      </c>
      <c r="O3892">
        <v>-0.53834850000000001</v>
      </c>
      <c r="P3892">
        <v>0.69040539999999995</v>
      </c>
      <c r="Q3892">
        <v>1.484506E-2</v>
      </c>
      <c r="R3892">
        <v>-0.72326990000000002</v>
      </c>
      <c r="S3892">
        <v>1.3560030000000001</v>
      </c>
      <c r="T3892">
        <v>-0.62666650000000002</v>
      </c>
      <c r="U3892">
        <v>-2.8991389999999999</v>
      </c>
      <c r="V3892">
        <v>0.2386954</v>
      </c>
      <c r="W3892">
        <v>2.2800210000000001E-2</v>
      </c>
      <c r="X3892">
        <v>0.97082679999999999</v>
      </c>
      <c r="Y3892">
        <v>0.53437670000000004</v>
      </c>
      <c r="Z3892">
        <v>5.6960669999999998E-2</v>
      </c>
      <c r="AA3892">
        <v>0.84332499999999999</v>
      </c>
      <c r="AB3892">
        <v>31</v>
      </c>
      <c r="AC3892">
        <v>2.1023000000000098</v>
      </c>
      <c r="AD3892">
        <v>-1.095294789422</v>
      </c>
      <c r="AE3892">
        <v>-4.8832999999999904</v>
      </c>
      <c r="AF3892">
        <v>2.8616454125040698</v>
      </c>
      <c r="AG3892">
        <v>-1.095294789422</v>
      </c>
      <c r="AH3892">
        <v>4.2216666364720403</v>
      </c>
      <c r="AI3892">
        <v>102.120602409374</v>
      </c>
      <c r="AJ3892">
        <v>55.8687227942007</v>
      </c>
      <c r="AK3892">
        <v>5.2164311873292899</v>
      </c>
      <c r="AL3892">
        <v>88.693530996265494</v>
      </c>
      <c r="AM3892">
        <v>76.186783465209004</v>
      </c>
      <c r="AN3892">
        <v>1.00000000957772</v>
      </c>
    </row>
    <row r="3893" spans="1:40" x14ac:dyDescent="0.25">
      <c r="A3893" t="str">
        <f>"20190312154913815"</f>
        <v>20190312154913815</v>
      </c>
      <c r="B3893" t="str">
        <f>"1552376953810019"</f>
        <v>1552376953810019</v>
      </c>
      <c r="C3893" t="s">
        <v>40</v>
      </c>
      <c r="D3893">
        <v>4.8377119999999998</v>
      </c>
      <c r="E3893">
        <v>0.67832150000000002</v>
      </c>
      <c r="F3893" t="s">
        <v>49</v>
      </c>
      <c r="G3893">
        <v>-196.86510000000001</v>
      </c>
      <c r="H3893" s="1">
        <v>4.305144E-6</v>
      </c>
      <c r="I3893">
        <v>205.57810000000001</v>
      </c>
      <c r="J3893">
        <v>-198.8509</v>
      </c>
      <c r="K3893">
        <v>1.0951420000000001</v>
      </c>
      <c r="L3893">
        <v>210.4598</v>
      </c>
      <c r="M3893">
        <v>0.83277139999999905</v>
      </c>
      <c r="N3893">
        <v>0</v>
      </c>
      <c r="O3893">
        <v>-0.55336049999999903</v>
      </c>
      <c r="P3893">
        <v>0.67485899999999999</v>
      </c>
      <c r="Q3893">
        <v>1.461107E-2</v>
      </c>
      <c r="R3893">
        <v>-0.73780230000000002</v>
      </c>
      <c r="S3893">
        <v>1.294327</v>
      </c>
      <c r="T3893">
        <v>-0.63271379999999999</v>
      </c>
      <c r="U3893">
        <v>-2.9253230000000001</v>
      </c>
      <c r="V3893">
        <v>0.24195939999999999</v>
      </c>
      <c r="W3893">
        <v>2.2420740000000002E-2</v>
      </c>
      <c r="X3893">
        <v>0.97002730000000004</v>
      </c>
      <c r="Y3893">
        <v>0.53701180000000004</v>
      </c>
      <c r="Z3893">
        <v>6.0726530000000001E-2</v>
      </c>
      <c r="AA3893">
        <v>0.84138609999999903</v>
      </c>
      <c r="AB3893">
        <v>31</v>
      </c>
      <c r="AC3893">
        <v>1.98579999999998</v>
      </c>
      <c r="AD3893">
        <v>-1.0951376948559901</v>
      </c>
      <c r="AE3893">
        <v>-4.8816999999999897</v>
      </c>
      <c r="AF3893">
        <v>2.8440875409133</v>
      </c>
      <c r="AG3893">
        <v>-1.0951376948559901</v>
      </c>
      <c r="AH3893">
        <v>4.1753787615986502</v>
      </c>
      <c r="AI3893">
        <v>102.230966336439</v>
      </c>
      <c r="AJ3893">
        <v>55.739000543071903</v>
      </c>
      <c r="AK3893">
        <v>5.16932764621105</v>
      </c>
      <c r="AL3893">
        <v>88.715278575389803</v>
      </c>
      <c r="AM3893">
        <v>75.994192841794003</v>
      </c>
      <c r="AN3893">
        <v>1.0000000017878901</v>
      </c>
    </row>
    <row r="3894" spans="1:40" x14ac:dyDescent="0.25">
      <c r="A3894" t="str">
        <f>"20190312154913837"</f>
        <v>20190312154913837</v>
      </c>
      <c r="B3894" t="str">
        <f>"1552376953829540"</f>
        <v>1552376953829540</v>
      </c>
      <c r="C3894" t="s">
        <v>40</v>
      </c>
      <c r="D3894">
        <v>4.9125809999999897</v>
      </c>
      <c r="E3894">
        <v>0.68409989999999998</v>
      </c>
      <c r="F3894" t="s">
        <v>49</v>
      </c>
      <c r="G3894">
        <v>-197.23179999999999</v>
      </c>
      <c r="H3894" s="1">
        <v>4.3299179999999999E-6</v>
      </c>
      <c r="I3894">
        <v>205.27799999999999</v>
      </c>
      <c r="J3894">
        <v>-198.60310000000001</v>
      </c>
      <c r="K3894">
        <v>1.0950120000000001</v>
      </c>
      <c r="L3894">
        <v>210.2756</v>
      </c>
      <c r="M3894">
        <v>0.82275830000000005</v>
      </c>
      <c r="N3894">
        <v>0</v>
      </c>
      <c r="O3894">
        <v>-0.56813990000000003</v>
      </c>
      <c r="P3894">
        <v>0.66004289999999999</v>
      </c>
      <c r="Q3894">
        <v>1.4701519999999999E-2</v>
      </c>
      <c r="R3894">
        <v>-0.75108409999999903</v>
      </c>
      <c r="S3894">
        <v>0.99136349999999995</v>
      </c>
      <c r="T3894">
        <v>-0.67052400000000001</v>
      </c>
      <c r="U3894">
        <v>-3.1726679999999998</v>
      </c>
      <c r="V3894">
        <v>0.24395410000000001</v>
      </c>
      <c r="W3894">
        <v>2.2417880000000001E-2</v>
      </c>
      <c r="X3894">
        <v>0.96952760000000004</v>
      </c>
      <c r="Y3894">
        <v>0.61410790000000004</v>
      </c>
      <c r="Z3894">
        <v>5.6924000000000002E-2</v>
      </c>
      <c r="AA3894">
        <v>0.78716649999999999</v>
      </c>
      <c r="AB3894">
        <v>31</v>
      </c>
      <c r="AC3894">
        <v>1.37130000000001</v>
      </c>
      <c r="AD3894">
        <v>-1.095007670082</v>
      </c>
      <c r="AE3894">
        <v>-4.9976000000000003</v>
      </c>
      <c r="AF3894">
        <v>3.1907479722280101</v>
      </c>
      <c r="AG3894">
        <v>-1.095007670082</v>
      </c>
      <c r="AH3894">
        <v>3.79855995757279</v>
      </c>
      <c r="AI3894">
        <v>102.44732422361901</v>
      </c>
      <c r="AJ3894">
        <v>49.970115626967498</v>
      </c>
      <c r="AK3894">
        <v>5.0802531601378798</v>
      </c>
      <c r="AL3894">
        <v>88.715442436159194</v>
      </c>
      <c r="AM3894">
        <v>75.876343678965</v>
      </c>
      <c r="AN3894">
        <v>0.99999996570613103</v>
      </c>
    </row>
    <row r="3895" spans="1:40" x14ac:dyDescent="0.25">
      <c r="A3895" t="str">
        <f>"20190312154913859"</f>
        <v>20190312154913859</v>
      </c>
      <c r="B3895" t="str">
        <f>"1552376953850036"</f>
        <v>1552376953850036</v>
      </c>
      <c r="C3895" t="s">
        <v>40</v>
      </c>
      <c r="D3895">
        <v>4.883553</v>
      </c>
      <c r="E3895">
        <v>0.68542419999999904</v>
      </c>
      <c r="F3895" t="s">
        <v>49</v>
      </c>
      <c r="G3895">
        <v>-196.95609999999999</v>
      </c>
      <c r="H3895" s="1">
        <v>4.7016710000000001E-6</v>
      </c>
      <c r="I3895">
        <v>204.32660000000001</v>
      </c>
      <c r="J3895">
        <v>-198.3603</v>
      </c>
      <c r="K3895">
        <v>1.094894</v>
      </c>
      <c r="L3895">
        <v>210.0881</v>
      </c>
      <c r="M3895">
        <v>0.81244839999999996</v>
      </c>
      <c r="N3895">
        <v>0</v>
      </c>
      <c r="O3895">
        <v>-0.58278619999999903</v>
      </c>
      <c r="P3895">
        <v>0.6458488</v>
      </c>
      <c r="Q3895">
        <v>1.472094E-2</v>
      </c>
      <c r="R3895">
        <v>-0.76332369999999905</v>
      </c>
      <c r="S3895">
        <v>0.89199830000000002</v>
      </c>
      <c r="T3895">
        <v>-0.59305699999999995</v>
      </c>
      <c r="U3895">
        <v>-3.2219699999999998</v>
      </c>
      <c r="V3895">
        <v>0.24476780000000001</v>
      </c>
      <c r="W3895">
        <v>2.239261E-2</v>
      </c>
      <c r="X3895">
        <v>0.96932309999999999</v>
      </c>
      <c r="Y3895">
        <v>0.6261234</v>
      </c>
      <c r="Z3895">
        <v>5.2161939999999997E-2</v>
      </c>
      <c r="AA3895">
        <v>0.77797729999999998</v>
      </c>
      <c r="AB3895">
        <v>31</v>
      </c>
      <c r="AC3895">
        <v>1.4041999999999999</v>
      </c>
      <c r="AD3895">
        <v>-1.0948892983289999</v>
      </c>
      <c r="AE3895">
        <v>-5.7614999999999803</v>
      </c>
      <c r="AF3895">
        <v>3.7357814999123602</v>
      </c>
      <c r="AG3895">
        <v>-1.0948892983289999</v>
      </c>
      <c r="AH3895">
        <v>4.3508943690220203</v>
      </c>
      <c r="AI3895">
        <v>100.809100830012</v>
      </c>
      <c r="AJ3895">
        <v>49.349826252643403</v>
      </c>
      <c r="AK3895">
        <v>5.8382469801362697</v>
      </c>
      <c r="AL3895">
        <v>88.716890693416104</v>
      </c>
      <c r="AM3895">
        <v>75.828260221981097</v>
      </c>
      <c r="AN3895">
        <v>0.99999998854653005</v>
      </c>
    </row>
    <row r="3896" spans="1:40" x14ac:dyDescent="0.25">
      <c r="A3896" t="str">
        <f>"20190312154913882"</f>
        <v>20190312154913882</v>
      </c>
      <c r="B3896" t="str">
        <f>"1552376953869556"</f>
        <v>1552376953869556</v>
      </c>
      <c r="C3896" t="s">
        <v>40</v>
      </c>
      <c r="D3896">
        <v>4.9181559999999998</v>
      </c>
      <c r="E3896">
        <v>0.68510059999999995</v>
      </c>
      <c r="F3896" t="s">
        <v>49</v>
      </c>
      <c r="G3896">
        <v>-196.71690000000001</v>
      </c>
      <c r="H3896" s="1">
        <v>4.948135E-6</v>
      </c>
      <c r="I3896">
        <v>203.59620000000001</v>
      </c>
      <c r="J3896">
        <v>-198.11060000000001</v>
      </c>
      <c r="K3896">
        <v>1.094784</v>
      </c>
      <c r="L3896">
        <v>209.8879</v>
      </c>
      <c r="M3896">
        <v>0.80131379999999996</v>
      </c>
      <c r="N3896">
        <v>0</v>
      </c>
      <c r="O3896">
        <v>-0.59800189999999998</v>
      </c>
      <c r="P3896">
        <v>0.63083040000000001</v>
      </c>
      <c r="Q3896">
        <v>1.428747E-2</v>
      </c>
      <c r="R3896">
        <v>-0.77578939999999996</v>
      </c>
      <c r="S3896">
        <v>0.82156369999999901</v>
      </c>
      <c r="T3896">
        <v>-0.54737440000000004</v>
      </c>
      <c r="U3896">
        <v>-3.2455440000000002</v>
      </c>
      <c r="V3896">
        <v>0.24540339999999999</v>
      </c>
      <c r="W3896">
        <v>2.1923990000000001E-2</v>
      </c>
      <c r="X3896">
        <v>0.96917310000000001</v>
      </c>
      <c r="Y3896">
        <v>0.62896439999999998</v>
      </c>
      <c r="Z3896">
        <v>5.0973749999999998E-2</v>
      </c>
      <c r="AA3896">
        <v>0.77576119999999904</v>
      </c>
      <c r="AB3896">
        <v>31</v>
      </c>
      <c r="AC3896">
        <v>1.3936999999999899</v>
      </c>
      <c r="AD3896">
        <v>-1.094779051865</v>
      </c>
      <c r="AE3896">
        <v>-6.2916999999999899</v>
      </c>
      <c r="AF3896">
        <v>4.0907376912782896</v>
      </c>
      <c r="AG3896">
        <v>-1.094779051865</v>
      </c>
      <c r="AH3896">
        <v>4.7430571315901204</v>
      </c>
      <c r="AI3896">
        <v>99.914497225659304</v>
      </c>
      <c r="AJ3896">
        <v>49.223262922420503</v>
      </c>
      <c r="AK3896">
        <v>6.3584012915806998</v>
      </c>
      <c r="AL3896">
        <v>88.743747242872203</v>
      </c>
      <c r="AM3896">
        <v>75.790838187735801</v>
      </c>
      <c r="AN3896">
        <v>0.99999999391634498</v>
      </c>
    </row>
    <row r="3897" spans="1:40" x14ac:dyDescent="0.25">
      <c r="A3897" t="str">
        <f>"20190312154913903"</f>
        <v>20190312154913903</v>
      </c>
      <c r="B3897" t="str">
        <f>"1552376953899812"</f>
        <v>1552376953899812</v>
      </c>
      <c r="C3897" t="s">
        <v>40</v>
      </c>
      <c r="D3897">
        <v>4.9269869999999996</v>
      </c>
      <c r="E3897">
        <v>0.68390830000000002</v>
      </c>
      <c r="F3897" t="s">
        <v>49</v>
      </c>
      <c r="G3897">
        <v>-196.53290000000001</v>
      </c>
      <c r="H3897" s="1">
        <v>5.1179510000000001E-6</v>
      </c>
      <c r="I3897">
        <v>203.10890000000001</v>
      </c>
      <c r="J3897">
        <v>-197.87799999999999</v>
      </c>
      <c r="K3897">
        <v>1.0946819999999999</v>
      </c>
      <c r="L3897">
        <v>209.69399999999999</v>
      </c>
      <c r="M3897">
        <v>0.79041729999999999</v>
      </c>
      <c r="N3897">
        <v>0</v>
      </c>
      <c r="O3897">
        <v>-0.61233090000000001</v>
      </c>
      <c r="P3897">
        <v>0.61707049999999997</v>
      </c>
      <c r="Q3897">
        <v>1.367233E-2</v>
      </c>
      <c r="R3897">
        <v>-0.78678959999999998</v>
      </c>
      <c r="S3897">
        <v>0.75866699999999998</v>
      </c>
      <c r="T3897">
        <v>-0.52644799999999903</v>
      </c>
      <c r="U3897">
        <v>-3.2597960000000001</v>
      </c>
      <c r="V3897">
        <v>0.24501580000000001</v>
      </c>
      <c r="W3897">
        <v>2.1317119999999998E-2</v>
      </c>
      <c r="X3897">
        <v>0.9692847</v>
      </c>
      <c r="Y3897">
        <v>0.63008629999999999</v>
      </c>
      <c r="Z3897">
        <v>5.1800150000000003E-2</v>
      </c>
      <c r="AA3897">
        <v>0.77479549999999997</v>
      </c>
      <c r="AB3897">
        <v>30</v>
      </c>
      <c r="AC3897">
        <v>1.34509999999997</v>
      </c>
      <c r="AD3897">
        <v>-1.0946768820489901</v>
      </c>
      <c r="AE3897">
        <v>-6.5851000000000104</v>
      </c>
      <c r="AF3897">
        <v>4.2687307920034403</v>
      </c>
      <c r="AG3897">
        <v>-1.0946768820489901</v>
      </c>
      <c r="AH3897">
        <v>4.9644978154175901</v>
      </c>
      <c r="AI3897">
        <v>99.491655317517598</v>
      </c>
      <c r="AJ3897">
        <v>49.309361014743502</v>
      </c>
      <c r="AK3897">
        <v>6.6382692480779104</v>
      </c>
      <c r="AL3897">
        <v>88.778526465272506</v>
      </c>
      <c r="AM3897">
        <v>75.8139413960632</v>
      </c>
      <c r="AN3897">
        <v>0.99999999575441201</v>
      </c>
    </row>
    <row r="3898" spans="1:40" x14ac:dyDescent="0.25">
      <c r="A3898" t="str">
        <f>"20190312154913928"</f>
        <v>20190312154913928</v>
      </c>
      <c r="B3898" t="str">
        <f>"1552376953919332"</f>
        <v>1552376953919332</v>
      </c>
      <c r="C3898" t="s">
        <v>40</v>
      </c>
      <c r="D3898">
        <v>5.0511239999999997</v>
      </c>
      <c r="E3898">
        <v>0.68290050000000002</v>
      </c>
      <c r="F3898" t="s">
        <v>49</v>
      </c>
      <c r="G3898">
        <v>-196.37629999999999</v>
      </c>
      <c r="H3898" s="1">
        <v>5.243497E-6</v>
      </c>
      <c r="I3898">
        <v>202.76599999999999</v>
      </c>
      <c r="J3898">
        <v>-197.6379</v>
      </c>
      <c r="K3898">
        <v>1.094571</v>
      </c>
      <c r="L3898">
        <v>209.48599999999999</v>
      </c>
      <c r="M3898">
        <v>0.77860680000000004</v>
      </c>
      <c r="N3898">
        <v>0</v>
      </c>
      <c r="O3898">
        <v>-0.62727829999999996</v>
      </c>
      <c r="P3898">
        <v>0.60242769999999901</v>
      </c>
      <c r="Q3898">
        <v>1.21157E-2</v>
      </c>
      <c r="R3898">
        <v>-0.7980815</v>
      </c>
      <c r="S3898">
        <v>0.70803830000000001</v>
      </c>
      <c r="T3898">
        <v>-0.51614490000000002</v>
      </c>
      <c r="U3898">
        <v>-3.2666170000000001</v>
      </c>
      <c r="V3898">
        <v>0.24442710000000001</v>
      </c>
      <c r="W3898">
        <v>1.9777739999999999E-2</v>
      </c>
      <c r="X3898">
        <v>0.96946600000000005</v>
      </c>
      <c r="Y3898">
        <v>0.62722679999999997</v>
      </c>
      <c r="Z3898">
        <v>5.4038219999999998E-2</v>
      </c>
      <c r="AA3898">
        <v>0.77695979999999998</v>
      </c>
      <c r="AB3898">
        <v>30</v>
      </c>
      <c r="AC3898">
        <v>1.26160000000001</v>
      </c>
      <c r="AD3898">
        <v>-1.094565756503</v>
      </c>
      <c r="AE3898">
        <v>-6.71999999999999</v>
      </c>
      <c r="AF3898">
        <v>4.3305353249660898</v>
      </c>
      <c r="AG3898">
        <v>-1.094565756503</v>
      </c>
      <c r="AH3898">
        <v>5.0684721965661801</v>
      </c>
      <c r="AI3898">
        <v>99.324067442155197</v>
      </c>
      <c r="AJ3898">
        <v>49.489209424814597</v>
      </c>
      <c r="AK3898">
        <v>6.7558138520427402</v>
      </c>
      <c r="AL3898">
        <v>88.866745132805903</v>
      </c>
      <c r="AM3898">
        <v>75.849195456141601</v>
      </c>
      <c r="AN3898">
        <v>1.00000004568495</v>
      </c>
    </row>
    <row r="3899" spans="1:40" x14ac:dyDescent="0.25">
      <c r="A3899" t="str">
        <f>"20190312154913947"</f>
        <v>20190312154913947</v>
      </c>
      <c r="B3899" t="str">
        <f>"1552376953939828"</f>
        <v>1552376953939828</v>
      </c>
      <c r="C3899" t="s">
        <v>40</v>
      </c>
      <c r="D3899">
        <v>4.8951799999999999</v>
      </c>
      <c r="E3899">
        <v>0.68139799999999995</v>
      </c>
      <c r="F3899" t="s">
        <v>49</v>
      </c>
      <c r="G3899">
        <v>-196.25729999999999</v>
      </c>
      <c r="H3899" s="1">
        <v>5.32639199999999E-6</v>
      </c>
      <c r="I3899">
        <v>202.55260000000001</v>
      </c>
      <c r="J3899">
        <v>-197.4162</v>
      </c>
      <c r="K3899">
        <v>1.0944739999999999</v>
      </c>
      <c r="L3899">
        <v>209.28630000000001</v>
      </c>
      <c r="M3899">
        <v>0.76716700000000004</v>
      </c>
      <c r="N3899">
        <v>0</v>
      </c>
      <c r="O3899">
        <v>-0.64121759999999905</v>
      </c>
      <c r="P3899">
        <v>0.58831330000000004</v>
      </c>
      <c r="Q3899">
        <v>1.124199E-2</v>
      </c>
      <c r="R3899">
        <v>-0.80855509999999997</v>
      </c>
      <c r="S3899">
        <v>0.65206909999999996</v>
      </c>
      <c r="T3899">
        <v>-0.51697389999999999</v>
      </c>
      <c r="U3899">
        <v>-3.2747039999999998</v>
      </c>
      <c r="V3899">
        <v>0.2439588</v>
      </c>
      <c r="W3899">
        <v>1.8918170000000002E-2</v>
      </c>
      <c r="X3899">
        <v>0.96960100000000005</v>
      </c>
      <c r="Y3899">
        <v>0.62638909999999903</v>
      </c>
      <c r="Z3899">
        <v>5.7001549999999998E-2</v>
      </c>
      <c r="AA3899">
        <v>0.77742369999999905</v>
      </c>
      <c r="AB3899">
        <v>30</v>
      </c>
      <c r="AC3899">
        <v>1.15890000000001</v>
      </c>
      <c r="AD3899">
        <v>-1.094468673608</v>
      </c>
      <c r="AE3899">
        <v>-6.73369999999999</v>
      </c>
      <c r="AF3899">
        <v>4.3127607152838596</v>
      </c>
      <c r="AG3899">
        <v>-1.094468673608</v>
      </c>
      <c r="AH3899">
        <v>5.0773304421198802</v>
      </c>
      <c r="AI3899">
        <v>99.3298319933279</v>
      </c>
      <c r="AJ3899">
        <v>49.654927479230302</v>
      </c>
      <c r="AK3899">
        <v>6.7510777719770303</v>
      </c>
      <c r="AL3899">
        <v>88.916003978189195</v>
      </c>
      <c r="AM3899">
        <v>75.877108875458106</v>
      </c>
      <c r="AN3899">
        <v>0.99999994622729305</v>
      </c>
    </row>
    <row r="3900" spans="1:40" x14ac:dyDescent="0.25">
      <c r="A3900" t="str">
        <f>"20190312154913983"</f>
        <v>20190312154913983</v>
      </c>
      <c r="B3900" t="str">
        <f>"1552376953979843"</f>
        <v>1552376953979843</v>
      </c>
      <c r="C3900" t="s">
        <v>40</v>
      </c>
      <c r="D3900">
        <v>4.9202519999999996</v>
      </c>
      <c r="E3900">
        <v>0.67836669999999999</v>
      </c>
      <c r="F3900" t="s">
        <v>49</v>
      </c>
      <c r="G3900">
        <v>-196.1566</v>
      </c>
      <c r="H3900" s="1">
        <v>5.3786859999999999E-6</v>
      </c>
      <c r="I3900">
        <v>202.43940000000001</v>
      </c>
      <c r="J3900">
        <v>-197.06270000000001</v>
      </c>
      <c r="K3900">
        <v>1.0943560000000001</v>
      </c>
      <c r="L3900">
        <v>208.95240000000001</v>
      </c>
      <c r="M3900">
        <v>0.74781730000000002</v>
      </c>
      <c r="N3900">
        <v>0</v>
      </c>
      <c r="O3900">
        <v>-0.66368070000000001</v>
      </c>
      <c r="P3900">
        <v>0.56420950000000003</v>
      </c>
      <c r="Q3900">
        <v>1.309694E-2</v>
      </c>
      <c r="R3900">
        <v>-0.82552760000000003</v>
      </c>
      <c r="S3900">
        <v>0.60317989999999999</v>
      </c>
      <c r="T3900">
        <v>-0.52409910000000004</v>
      </c>
      <c r="U3900">
        <v>-3.2786870000000001</v>
      </c>
      <c r="V3900">
        <v>0.24386479999999999</v>
      </c>
      <c r="W3900">
        <v>2.0775080000000001E-2</v>
      </c>
      <c r="X3900">
        <v>0.96958670000000002</v>
      </c>
      <c r="Y3900">
        <v>0.61474879999999998</v>
      </c>
      <c r="Z3900">
        <v>6.3379350000000001E-2</v>
      </c>
      <c r="AA3900">
        <v>0.78617239999999999</v>
      </c>
      <c r="AB3900">
        <v>30</v>
      </c>
      <c r="AC3900">
        <v>0.90610000000000901</v>
      </c>
      <c r="AD3900">
        <v>-1.094350621314</v>
      </c>
      <c r="AE3900">
        <v>-6.5129999999999999</v>
      </c>
      <c r="AF3900">
        <v>4.1547357832633702</v>
      </c>
      <c r="AG3900">
        <v>-1.094350621314</v>
      </c>
      <c r="AH3900">
        <v>4.8661182687200997</v>
      </c>
      <c r="AI3900">
        <v>99.705508917691603</v>
      </c>
      <c r="AJ3900">
        <v>49.509000553445702</v>
      </c>
      <c r="AK3900">
        <v>6.4914204698410201</v>
      </c>
      <c r="AL3900">
        <v>88.809589963536993</v>
      </c>
      <c r="AM3900">
        <v>75.882133056565493</v>
      </c>
      <c r="AN3900">
        <v>1.0000000067224599</v>
      </c>
    </row>
    <row r="3901" spans="1:40" x14ac:dyDescent="0.25">
      <c r="A3901" t="str">
        <f>"20190312154914006"</f>
        <v>20190312154914006</v>
      </c>
      <c r="B3901" t="str">
        <f>"1552376953999364"</f>
        <v>1552376953999364</v>
      </c>
      <c r="C3901" t="s">
        <v>40</v>
      </c>
      <c r="D3901">
        <v>4.9111919999999998</v>
      </c>
      <c r="E3901">
        <v>0.67663300000000004</v>
      </c>
      <c r="F3901" t="s">
        <v>49</v>
      </c>
      <c r="G3901">
        <v>-195.99600000000001</v>
      </c>
      <c r="H3901" s="1">
        <v>5.4496450000000001E-6</v>
      </c>
      <c r="I3901">
        <v>202.30600000000001</v>
      </c>
      <c r="J3901">
        <v>-196.84350000000001</v>
      </c>
      <c r="K3901">
        <v>1.094287</v>
      </c>
      <c r="L3901">
        <v>208.73490000000001</v>
      </c>
      <c r="M3901">
        <v>0.73507109999999998</v>
      </c>
      <c r="N3901">
        <v>0</v>
      </c>
      <c r="O3901">
        <v>-0.67776999999999998</v>
      </c>
      <c r="P3901">
        <v>0.54743240000000004</v>
      </c>
      <c r="Q3901">
        <v>1.41526E-2</v>
      </c>
      <c r="R3901">
        <v>-0.83673039999999999</v>
      </c>
      <c r="S3901">
        <v>0.52685550000000003</v>
      </c>
      <c r="T3901">
        <v>-0.54047860000000003</v>
      </c>
      <c r="U3901">
        <v>-3.2825470000000001</v>
      </c>
      <c r="V3901">
        <v>0.24504239999999999</v>
      </c>
      <c r="W3901">
        <v>2.1780500000000001E-2</v>
      </c>
      <c r="X3901">
        <v>0.96926769999999995</v>
      </c>
      <c r="Y3901">
        <v>0.61767810000000001</v>
      </c>
      <c r="Z3901">
        <v>6.8216830000000006E-2</v>
      </c>
      <c r="AA3901">
        <v>0.78346680000000002</v>
      </c>
      <c r="AB3901">
        <v>30</v>
      </c>
      <c r="AC3901">
        <v>0.84750000000002501</v>
      </c>
      <c r="AD3901">
        <v>-1.0942815503550001</v>
      </c>
      <c r="AE3901">
        <v>-6.42890000000002</v>
      </c>
      <c r="AF3901">
        <v>4.0369455824639697</v>
      </c>
      <c r="AG3901">
        <v>-1.0942815503550001</v>
      </c>
      <c r="AH3901">
        <v>4.8431114333816296</v>
      </c>
      <c r="AI3901">
        <v>99.8460905751284</v>
      </c>
      <c r="AJ3901">
        <v>50.187312425192701</v>
      </c>
      <c r="AK3901">
        <v>6.3992273051810402</v>
      </c>
      <c r="AL3901">
        <v>88.751970611929195</v>
      </c>
      <c r="AM3901">
        <v>75.812224690996999</v>
      </c>
      <c r="AN3901">
        <v>1.0000000211206399</v>
      </c>
    </row>
    <row r="3902" spans="1:40" x14ac:dyDescent="0.25">
      <c r="A3902" t="str">
        <f>"20190312154914028"</f>
        <v>20190312154914028</v>
      </c>
      <c r="B3902" t="str">
        <f>"1552376954019860"</f>
        <v>1552376954019860</v>
      </c>
      <c r="C3902" t="s">
        <v>40</v>
      </c>
      <c r="D3902">
        <v>4.9842110000000002</v>
      </c>
      <c r="E3902">
        <v>0.67510509999999901</v>
      </c>
      <c r="F3902" t="s">
        <v>49</v>
      </c>
      <c r="G3902">
        <v>-195.89670000000001</v>
      </c>
      <c r="H3902" s="1">
        <v>5.5088590000000002E-6</v>
      </c>
      <c r="I3902">
        <v>202.16550000000001</v>
      </c>
      <c r="J3902">
        <v>-196.63040000000001</v>
      </c>
      <c r="K3902">
        <v>1.0942210000000001</v>
      </c>
      <c r="L3902">
        <v>208.5146</v>
      </c>
      <c r="M3902">
        <v>0.72205640000000004</v>
      </c>
      <c r="N3902">
        <v>0</v>
      </c>
      <c r="O3902">
        <v>-0.6916175</v>
      </c>
      <c r="P3902">
        <v>0.53064230000000001</v>
      </c>
      <c r="Q3902">
        <v>1.215983E-2</v>
      </c>
      <c r="R3902">
        <v>-0.8475087</v>
      </c>
      <c r="S3902">
        <v>0.47341919999999998</v>
      </c>
      <c r="T3902">
        <v>-0.54717229999999994</v>
      </c>
      <c r="U3902">
        <v>-3.284897</v>
      </c>
      <c r="V3902">
        <v>0.2458968</v>
      </c>
      <c r="W3902">
        <v>1.9748180000000001E-2</v>
      </c>
      <c r="X3902">
        <v>0.96909480000000003</v>
      </c>
      <c r="Y3902">
        <v>0.61533990000000005</v>
      </c>
      <c r="Z3902">
        <v>7.233995E-2</v>
      </c>
      <c r="AA3902">
        <v>0.78493550000000001</v>
      </c>
      <c r="AB3902">
        <v>30</v>
      </c>
      <c r="AC3902">
        <v>0.73369999999999802</v>
      </c>
      <c r="AD3902">
        <v>-1.09421549114099</v>
      </c>
      <c r="AE3902">
        <v>-6.3490999999999902</v>
      </c>
      <c r="AF3902">
        <v>3.9614679892120401</v>
      </c>
      <c r="AG3902">
        <v>-1.09421549114099</v>
      </c>
      <c r="AH3902">
        <v>4.7815117188954996</v>
      </c>
      <c r="AI3902">
        <v>99.994082438671597</v>
      </c>
      <c r="AJ3902">
        <v>50.358354555907702</v>
      </c>
      <c r="AK3902">
        <v>6.3050289839571398</v>
      </c>
      <c r="AL3902">
        <v>88.8684390514927</v>
      </c>
      <c r="AM3902">
        <v>75.762326561329303</v>
      </c>
      <c r="AN3902">
        <v>0.99999997912529603</v>
      </c>
    </row>
    <row r="3903" spans="1:40" x14ac:dyDescent="0.25">
      <c r="A3903" t="str">
        <f>"20190312154914049"</f>
        <v>20190312154914049</v>
      </c>
      <c r="B3903" t="str">
        <f>"1552376954039939"</f>
        <v>1552376954039939</v>
      </c>
      <c r="C3903" t="s">
        <v>40</v>
      </c>
      <c r="D3903">
        <v>4.9754120000000004</v>
      </c>
      <c r="E3903">
        <v>0.67384149999999998</v>
      </c>
      <c r="F3903" t="s">
        <v>49</v>
      </c>
      <c r="G3903">
        <v>-195.81960000000001</v>
      </c>
      <c r="H3903" s="1">
        <v>5.5360409999999997E-6</v>
      </c>
      <c r="I3903">
        <v>202.12739999999999</v>
      </c>
      <c r="J3903">
        <v>-196.42519999999999</v>
      </c>
      <c r="K3903">
        <v>1.09415</v>
      </c>
      <c r="L3903">
        <v>208.29429999999999</v>
      </c>
      <c r="M3903">
        <v>0.70893399999999995</v>
      </c>
      <c r="N3903">
        <v>0</v>
      </c>
      <c r="O3903">
        <v>-0.70506139999999995</v>
      </c>
      <c r="P3903">
        <v>0.51420299999999997</v>
      </c>
      <c r="Q3903">
        <v>9.8578580000000006E-3</v>
      </c>
      <c r="R3903">
        <v>-0.85761189999999998</v>
      </c>
      <c r="S3903">
        <v>0.41717530000000003</v>
      </c>
      <c r="T3903">
        <v>-0.56304549999999998</v>
      </c>
      <c r="U3903">
        <v>-3.2866520000000001</v>
      </c>
      <c r="V3903">
        <v>0.246312</v>
      </c>
      <c r="W3903">
        <v>1.7427339999999999E-2</v>
      </c>
      <c r="X3903">
        <v>0.9690339</v>
      </c>
      <c r="Y3903">
        <v>0.61380999999999997</v>
      </c>
      <c r="Z3903">
        <v>7.7657100000000007E-2</v>
      </c>
      <c r="AA3903">
        <v>0.78562500000000002</v>
      </c>
      <c r="AB3903">
        <v>30</v>
      </c>
      <c r="AC3903">
        <v>0.60559999999998104</v>
      </c>
      <c r="AD3903">
        <v>-1.0941444639589999</v>
      </c>
      <c r="AE3903">
        <v>-6.1668999999999903</v>
      </c>
      <c r="AF3903">
        <v>3.82623948894474</v>
      </c>
      <c r="AG3903">
        <v>-1.0941444639589999</v>
      </c>
      <c r="AH3903">
        <v>4.6336258340191003</v>
      </c>
      <c r="AI3903">
        <v>100.31925264340001</v>
      </c>
      <c r="AJ3903">
        <v>50.451640402006603</v>
      </c>
      <c r="AK3903">
        <v>6.1080069666349797</v>
      </c>
      <c r="AL3903">
        <v>89.001436425950999</v>
      </c>
      <c r="AM3903">
        <v>75.738406255147893</v>
      </c>
      <c r="AN3903">
        <v>1.0000000064363399</v>
      </c>
    </row>
    <row r="3904" spans="1:40" x14ac:dyDescent="0.25">
      <c r="A3904" t="str">
        <f>"20190312154914072"</f>
        <v>20190312154914072</v>
      </c>
      <c r="B3904" t="str">
        <f>"1552376954059459"</f>
        <v>1552376954059459</v>
      </c>
      <c r="C3904" t="s">
        <v>40</v>
      </c>
      <c r="D3904">
        <v>5.0123410000000002</v>
      </c>
      <c r="E3904">
        <v>0.65262299999999995</v>
      </c>
      <c r="F3904" t="s">
        <v>49</v>
      </c>
      <c r="G3904">
        <v>-195.73750000000001</v>
      </c>
      <c r="H3904" s="1">
        <v>5.5819080000000001E-6</v>
      </c>
      <c r="I3904">
        <v>202.02289999999999</v>
      </c>
      <c r="J3904">
        <v>-196.2193</v>
      </c>
      <c r="K3904">
        <v>1.094085</v>
      </c>
      <c r="L3904">
        <v>208.06450000000001</v>
      </c>
      <c r="M3904">
        <v>0.6951408</v>
      </c>
      <c r="N3904">
        <v>0</v>
      </c>
      <c r="O3904">
        <v>-0.71866350000000001</v>
      </c>
      <c r="P3904">
        <v>0.49786390000000003</v>
      </c>
      <c r="Q3904">
        <v>8.894318E-3</v>
      </c>
      <c r="R3904">
        <v>-0.86720980000000003</v>
      </c>
      <c r="S3904">
        <v>0.36059570000000002</v>
      </c>
      <c r="T3904">
        <v>-0.57373960000000002</v>
      </c>
      <c r="U3904">
        <v>-3.2885279999999999</v>
      </c>
      <c r="V3904">
        <v>0.24587059999999999</v>
      </c>
      <c r="W3904">
        <v>1.6483339999999999E-2</v>
      </c>
      <c r="X3904">
        <v>0.96916250000000004</v>
      </c>
      <c r="Y3904">
        <v>0.61194919999999997</v>
      </c>
      <c r="Z3904">
        <v>8.249542E-2</v>
      </c>
      <c r="AA3904">
        <v>0.78658289999999997</v>
      </c>
      <c r="AB3904">
        <v>30</v>
      </c>
      <c r="AC3904">
        <v>0.48179999999999201</v>
      </c>
      <c r="AD3904">
        <v>-1.0940794180919999</v>
      </c>
      <c r="AE3904">
        <v>-6.0416000000000096</v>
      </c>
      <c r="AF3904">
        <v>3.7324639414065799</v>
      </c>
      <c r="AG3904">
        <v>-1.0940794180919999</v>
      </c>
      <c r="AH3904">
        <v>4.5298885127295003</v>
      </c>
      <c r="AI3904">
        <v>100.55877987385399</v>
      </c>
      <c r="AJ3904">
        <v>50.512714369061598</v>
      </c>
      <c r="AK3904">
        <v>5.9706102522900899</v>
      </c>
      <c r="AL3904">
        <v>89.055531415481198</v>
      </c>
      <c r="AM3904">
        <v>75.764735929674998</v>
      </c>
      <c r="AN3904">
        <v>1.00000000192408</v>
      </c>
    </row>
    <row r="3905" spans="1:40" x14ac:dyDescent="0.25">
      <c r="A3905" t="str">
        <f>"20190312154914096"</f>
        <v>20190312154914096</v>
      </c>
      <c r="B3905" t="str">
        <f>"1552376954089715"</f>
        <v>1552376954089715</v>
      </c>
      <c r="C3905" t="s">
        <v>40</v>
      </c>
      <c r="D3905">
        <v>5.0035550000000004</v>
      </c>
      <c r="E3905">
        <v>0.64906699999999995</v>
      </c>
      <c r="F3905" t="s">
        <v>49</v>
      </c>
      <c r="G3905">
        <v>-195.51310000000001</v>
      </c>
      <c r="H3905" s="1">
        <v>5.379978E-6</v>
      </c>
      <c r="I3905">
        <v>202.97329999999999</v>
      </c>
      <c r="J3905">
        <v>-196.0001</v>
      </c>
      <c r="K3905">
        <v>1.094023</v>
      </c>
      <c r="L3905">
        <v>207.80959999999999</v>
      </c>
      <c r="M3905">
        <v>0.67970790000000003</v>
      </c>
      <c r="N3905">
        <v>0</v>
      </c>
      <c r="O3905">
        <v>-0.73327609999999999</v>
      </c>
      <c r="P3905">
        <v>0.47970030000000002</v>
      </c>
      <c r="Q3905">
        <v>7.8409050000000004E-3</v>
      </c>
      <c r="R3905">
        <v>-0.8773976</v>
      </c>
      <c r="S3905">
        <v>0.44535829999999998</v>
      </c>
      <c r="T3905">
        <v>-0.68998340000000002</v>
      </c>
      <c r="U3905">
        <v>-3.2107700000000001</v>
      </c>
      <c r="V3905">
        <v>0.24541979999999999</v>
      </c>
      <c r="W3905">
        <v>1.545112E-2</v>
      </c>
      <c r="X3905">
        <v>0.96929379999999998</v>
      </c>
      <c r="Y3905">
        <v>0.57204849999999996</v>
      </c>
      <c r="Z3905">
        <v>0.108696</v>
      </c>
      <c r="AA3905">
        <v>0.81298570000000003</v>
      </c>
      <c r="AB3905">
        <v>30</v>
      </c>
      <c r="AC3905">
        <v>0.48699999999999399</v>
      </c>
      <c r="AD3905">
        <v>-1.094017620022</v>
      </c>
      <c r="AE3905">
        <v>-4.8362999999999898</v>
      </c>
      <c r="AF3905">
        <v>2.7893118056297799</v>
      </c>
      <c r="AG3905">
        <v>-1.094017620022</v>
      </c>
      <c r="AH3905">
        <v>3.6909749150771001</v>
      </c>
      <c r="AI3905">
        <v>103.304498425624</v>
      </c>
      <c r="AJ3905">
        <v>52.921242976987998</v>
      </c>
      <c r="AK3905">
        <v>4.75399103129915</v>
      </c>
      <c r="AL3905">
        <v>89.1146808445407</v>
      </c>
      <c r="AM3905">
        <v>75.791624898325594</v>
      </c>
      <c r="AN3905">
        <v>1.0000000430298599</v>
      </c>
    </row>
    <row r="3906" spans="1:40" x14ac:dyDescent="0.25">
      <c r="A3906" t="str">
        <f>"20190312154914117"</f>
        <v>20190312154914117</v>
      </c>
      <c r="B3906" t="str">
        <f>"1552376954110210"</f>
        <v>1552376954110210</v>
      </c>
      <c r="C3906" t="s">
        <v>40</v>
      </c>
      <c r="D3906">
        <v>5.0647659999999997</v>
      </c>
      <c r="E3906">
        <v>0.64750369999999902</v>
      </c>
      <c r="F3906" t="s">
        <v>49</v>
      </c>
      <c r="G3906">
        <v>-195.3647</v>
      </c>
      <c r="H3906" s="1">
        <v>5.4672610000000001E-6</v>
      </c>
      <c r="I3906">
        <v>202.768</v>
      </c>
      <c r="J3906">
        <v>-195.82380000000001</v>
      </c>
      <c r="K3906">
        <v>1.0939669999999999</v>
      </c>
      <c r="L3906">
        <v>207.59610000000001</v>
      </c>
      <c r="M3906">
        <v>0.66669049999999996</v>
      </c>
      <c r="N3906">
        <v>0</v>
      </c>
      <c r="O3906">
        <v>-0.74513050000000003</v>
      </c>
      <c r="P3906">
        <v>0.46532970000000001</v>
      </c>
      <c r="Q3906">
        <v>6.5214359999999898E-3</v>
      </c>
      <c r="R3906">
        <v>-0.885113699999999</v>
      </c>
      <c r="S3906">
        <v>0.40388489999999999</v>
      </c>
      <c r="T3906">
        <v>-0.69540290000000005</v>
      </c>
      <c r="U3906">
        <v>-3.2046510000000001</v>
      </c>
      <c r="V3906">
        <v>0.24411769999999999</v>
      </c>
      <c r="W3906">
        <v>1.418955E-2</v>
      </c>
      <c r="X3906">
        <v>0.9696418</v>
      </c>
      <c r="Y3906">
        <v>0.56784049999999997</v>
      </c>
      <c r="Z3906">
        <v>0.1136356</v>
      </c>
      <c r="AA3906">
        <v>0.81525709999999996</v>
      </c>
      <c r="AB3906">
        <v>30</v>
      </c>
      <c r="AC3906">
        <v>0.459100000000006</v>
      </c>
      <c r="AD3906">
        <v>-1.093961532739</v>
      </c>
      <c r="AE3906">
        <v>-4.8281000000000001</v>
      </c>
      <c r="AF3906">
        <v>2.7378942696841402</v>
      </c>
      <c r="AG3906">
        <v>-1.093961532739</v>
      </c>
      <c r="AH3906">
        <v>3.7152085311168199</v>
      </c>
      <c r="AI3906">
        <v>103.335339395381</v>
      </c>
      <c r="AJ3906">
        <v>53.611928207813399</v>
      </c>
      <c r="AK3906">
        <v>4.7429517493608504</v>
      </c>
      <c r="AL3906">
        <v>89.186971393406907</v>
      </c>
      <c r="AM3906">
        <v>75.868849322348098</v>
      </c>
      <c r="AN3906">
        <v>1.0000000075448601</v>
      </c>
    </row>
    <row r="3907" spans="1:40" x14ac:dyDescent="0.25">
      <c r="A3907" t="str">
        <f>"20190312154914138"</f>
        <v>20190312154914138</v>
      </c>
      <c r="B3907" t="str">
        <f>"1552376954129794"</f>
        <v>1552376954129794</v>
      </c>
      <c r="C3907" t="s">
        <v>40</v>
      </c>
      <c r="D3907">
        <v>5.0297679999999998</v>
      </c>
      <c r="E3907">
        <v>0.64600369999999996</v>
      </c>
      <c r="F3907" t="s">
        <v>49</v>
      </c>
      <c r="G3907">
        <v>-195.24350000000001</v>
      </c>
      <c r="H3907" s="1">
        <v>5.5722989999999998E-6</v>
      </c>
      <c r="I3907">
        <v>202.47280000000001</v>
      </c>
      <c r="J3907">
        <v>-195.63659999999999</v>
      </c>
      <c r="K3907">
        <v>1.0939209999999999</v>
      </c>
      <c r="L3907">
        <v>207.36089999999999</v>
      </c>
      <c r="M3907">
        <v>0.65224469999999901</v>
      </c>
      <c r="N3907">
        <v>0</v>
      </c>
      <c r="O3907">
        <v>-0.7578068</v>
      </c>
      <c r="P3907">
        <v>0.44954260000000001</v>
      </c>
      <c r="Q3907">
        <v>5.7041690000000003E-3</v>
      </c>
      <c r="R3907">
        <v>-0.89324099999999995</v>
      </c>
      <c r="S3907">
        <v>0.36285400000000001</v>
      </c>
      <c r="T3907">
        <v>-0.68407439999999997</v>
      </c>
      <c r="U3907">
        <v>-3.2036899999999999</v>
      </c>
      <c r="V3907">
        <v>0.24267</v>
      </c>
      <c r="W3907">
        <v>1.343956E-2</v>
      </c>
      <c r="X3907">
        <v>0.97001579999999998</v>
      </c>
      <c r="Y3907">
        <v>0.56242130000000001</v>
      </c>
      <c r="Z3907">
        <v>0.1160834</v>
      </c>
      <c r="AA3907">
        <v>0.81866159999999999</v>
      </c>
      <c r="AB3907">
        <v>30</v>
      </c>
      <c r="AC3907">
        <v>0.39309999999997502</v>
      </c>
      <c r="AD3907">
        <v>-1.0939154277009999</v>
      </c>
      <c r="AE3907">
        <v>-4.8880999999999801</v>
      </c>
      <c r="AF3907">
        <v>2.7537561621117201</v>
      </c>
      <c r="AG3907">
        <v>-1.0939154277009999</v>
      </c>
      <c r="AH3907">
        <v>3.7734674582098302</v>
      </c>
      <c r="AI3907">
        <v>103.179562004657</v>
      </c>
      <c r="AJ3907">
        <v>53.879224778871702</v>
      </c>
      <c r="AK3907">
        <v>4.7977995603713097</v>
      </c>
      <c r="AL3907">
        <v>89.229946752028795</v>
      </c>
      <c r="AM3907">
        <v>75.954525797369797</v>
      </c>
      <c r="AN3907">
        <v>1.00000000146131</v>
      </c>
    </row>
    <row r="3908" spans="1:40" x14ac:dyDescent="0.25">
      <c r="A3908" t="str">
        <f>"20190312154914161"</f>
        <v>20190312154914161</v>
      </c>
      <c r="B3908" t="str">
        <f>"1552376954149314"</f>
        <v>1552376954149314</v>
      </c>
      <c r="C3908" t="s">
        <v>40</v>
      </c>
      <c r="D3908">
        <v>5.0437089999999998</v>
      </c>
      <c r="E3908">
        <v>0.64391869999999995</v>
      </c>
      <c r="F3908" t="s">
        <v>49</v>
      </c>
      <c r="G3908">
        <v>-195.13290000000001</v>
      </c>
      <c r="H3908" s="1">
        <v>5.6514499999999999E-6</v>
      </c>
      <c r="I3908">
        <v>202.26660000000001</v>
      </c>
      <c r="J3908">
        <v>-195.45150000000001</v>
      </c>
      <c r="K3908">
        <v>1.0938909999999999</v>
      </c>
      <c r="L3908">
        <v>207.11859999999999</v>
      </c>
      <c r="M3908">
        <v>0.63727489999999998</v>
      </c>
      <c r="N3908">
        <v>0</v>
      </c>
      <c r="O3908">
        <v>-0.77043759999999994</v>
      </c>
      <c r="P3908">
        <v>0.4327048</v>
      </c>
      <c r="Q3908">
        <v>5.8947969999999898E-3</v>
      </c>
      <c r="R3908">
        <v>-0.90151680000000001</v>
      </c>
      <c r="S3908">
        <v>0.31678770000000001</v>
      </c>
      <c r="T3908">
        <v>-0.68791150000000001</v>
      </c>
      <c r="U3908">
        <v>-3.2035520000000002</v>
      </c>
      <c r="V3908">
        <v>0.24187690000000001</v>
      </c>
      <c r="W3908">
        <v>1.367223E-2</v>
      </c>
      <c r="X3908">
        <v>0.97021060000000003</v>
      </c>
      <c r="Y3908">
        <v>0.55796309999999905</v>
      </c>
      <c r="Z3908">
        <v>0.1208651</v>
      </c>
      <c r="AA3908">
        <v>0.82101689999999905</v>
      </c>
      <c r="AB3908">
        <v>30</v>
      </c>
      <c r="AC3908">
        <v>0.31860000000000299</v>
      </c>
      <c r="AD3908">
        <v>-1.09388534855</v>
      </c>
      <c r="AE3908">
        <v>-4.8519999999999701</v>
      </c>
      <c r="AF3908">
        <v>2.7098864322766301</v>
      </c>
      <c r="AG3908">
        <v>-1.09388534855</v>
      </c>
      <c r="AH3908">
        <v>3.7519199292918102</v>
      </c>
      <c r="AI3908">
        <v>103.297905253205</v>
      </c>
      <c r="AJ3908">
        <v>54.160676229031999</v>
      </c>
      <c r="AK3908">
        <v>4.7557305209007001</v>
      </c>
      <c r="AL3908">
        <v>89.216614506232304</v>
      </c>
      <c r="AM3908">
        <v>76.001321658040993</v>
      </c>
      <c r="AN3908">
        <v>0.999999986489571</v>
      </c>
    </row>
    <row r="3909" spans="1:40" x14ac:dyDescent="0.25">
      <c r="A3909" t="str">
        <f>"20190312154914183"</f>
        <v>20190312154914183</v>
      </c>
      <c r="B3909" t="str">
        <f>"1552376954179571"</f>
        <v>1552376954179571</v>
      </c>
      <c r="C3909" t="s">
        <v>40</v>
      </c>
      <c r="D3909">
        <v>5.0760449999999997</v>
      </c>
      <c r="E3909">
        <v>0.64098630000000001</v>
      </c>
      <c r="F3909" t="s">
        <v>49</v>
      </c>
      <c r="G3909">
        <v>-195.01740000000001</v>
      </c>
      <c r="H3909" s="1">
        <v>5.7524329999999996E-6</v>
      </c>
      <c r="I3909">
        <v>202.00819999999999</v>
      </c>
      <c r="J3909">
        <v>-195.27260000000001</v>
      </c>
      <c r="K3909">
        <v>1.093866</v>
      </c>
      <c r="L3909">
        <v>206.87459999999999</v>
      </c>
      <c r="M3909">
        <v>0.62210690000000002</v>
      </c>
      <c r="N3909">
        <v>0</v>
      </c>
      <c r="O3909">
        <v>-0.78273579999999998</v>
      </c>
      <c r="P3909">
        <v>0.41466340000000002</v>
      </c>
      <c r="Q3909">
        <v>6.2345229999999996E-3</v>
      </c>
      <c r="R3909">
        <v>-0.90995349999999997</v>
      </c>
      <c r="S3909">
        <v>0.2719879</v>
      </c>
      <c r="T3909">
        <v>-0.68531739999999997</v>
      </c>
      <c r="U3909">
        <v>-3.2016749999999998</v>
      </c>
      <c r="V3909">
        <v>0.24226610000000001</v>
      </c>
      <c r="W3909">
        <v>1.4005500000000001E-2</v>
      </c>
      <c r="X3909">
        <v>0.97010870000000005</v>
      </c>
      <c r="Y3909">
        <v>0.55320419999999904</v>
      </c>
      <c r="Z3909">
        <v>0.1245603</v>
      </c>
      <c r="AA3909">
        <v>0.82368059999999998</v>
      </c>
      <c r="AB3909">
        <v>30</v>
      </c>
      <c r="AC3909">
        <v>0.25520000000000198</v>
      </c>
      <c r="AD3909">
        <v>-1.0938602475669901</v>
      </c>
      <c r="AE3909">
        <v>-4.8663999999999898</v>
      </c>
      <c r="AF3909">
        <v>2.69243899564627</v>
      </c>
      <c r="AG3909">
        <v>-1.0938602475669901</v>
      </c>
      <c r="AH3909">
        <v>3.7781113959082702</v>
      </c>
      <c r="AI3909">
        <v>103.26689292935799</v>
      </c>
      <c r="AJ3909">
        <v>54.524750503415298</v>
      </c>
      <c r="AK3909">
        <v>4.7665379161794199</v>
      </c>
      <c r="AL3909">
        <v>89.197517686253406</v>
      </c>
      <c r="AM3909">
        <v>75.978269828748907</v>
      </c>
      <c r="AN3909">
        <v>0.99999995352757398</v>
      </c>
    </row>
    <row r="3910" spans="1:40" x14ac:dyDescent="0.25">
      <c r="A3910" t="str">
        <f>"20190312154914207"</f>
        <v>20190312154914207</v>
      </c>
      <c r="B3910" t="str">
        <f>"1552376954200066"</f>
        <v>1552376954200066</v>
      </c>
      <c r="C3910" t="s">
        <v>40</v>
      </c>
      <c r="D3910">
        <v>5.0930819999999999</v>
      </c>
      <c r="E3910">
        <v>0.63899719999999904</v>
      </c>
      <c r="F3910" t="s">
        <v>49</v>
      </c>
      <c r="G3910">
        <v>-194.8963</v>
      </c>
      <c r="H3910" s="1">
        <v>5.9176220000000001E-6</v>
      </c>
      <c r="I3910">
        <v>201.63200000000001</v>
      </c>
      <c r="J3910">
        <v>-195.0873</v>
      </c>
      <c r="K3910">
        <v>1.09385</v>
      </c>
      <c r="L3910">
        <v>206.6104</v>
      </c>
      <c r="M3910">
        <v>0.60559540000000001</v>
      </c>
      <c r="N3910">
        <v>0</v>
      </c>
      <c r="O3910">
        <v>-0.79557880000000003</v>
      </c>
      <c r="P3910">
        <v>0.39552130000000002</v>
      </c>
      <c r="Q3910">
        <v>6.5651569999999899E-3</v>
      </c>
      <c r="R3910">
        <v>-0.91843339999999996</v>
      </c>
      <c r="S3910">
        <v>0.22940060000000001</v>
      </c>
      <c r="T3910">
        <v>-0.66701840000000001</v>
      </c>
      <c r="U3910">
        <v>-3.1968839999999998</v>
      </c>
      <c r="V3910">
        <v>0.2422947</v>
      </c>
      <c r="W3910">
        <v>1.434879E-2</v>
      </c>
      <c r="X3910">
        <v>0.97009659999999998</v>
      </c>
      <c r="Y3910">
        <v>0.54670249999999998</v>
      </c>
      <c r="Z3910">
        <v>0.12578599999999901</v>
      </c>
      <c r="AA3910">
        <v>0.82782500000000003</v>
      </c>
      <c r="AB3910">
        <v>30</v>
      </c>
      <c r="AC3910">
        <v>0.191000000000002</v>
      </c>
      <c r="AD3910">
        <v>-1.093844082378</v>
      </c>
      <c r="AE3910">
        <v>-4.9783999999999899</v>
      </c>
      <c r="AF3910">
        <v>2.7317006686200198</v>
      </c>
      <c r="AG3910">
        <v>-1.093844082378</v>
      </c>
      <c r="AH3910">
        <v>3.8895131641084699</v>
      </c>
      <c r="AI3910">
        <v>102.960393625051</v>
      </c>
      <c r="AJ3910">
        <v>54.918689352692297</v>
      </c>
      <c r="AK3910">
        <v>4.8771914124079201</v>
      </c>
      <c r="AL3910">
        <v>89.177846687702598</v>
      </c>
      <c r="AM3910">
        <v>75.976511839673805</v>
      </c>
      <c r="AN3910">
        <v>1.00000001137705</v>
      </c>
    </row>
    <row r="3911" spans="1:40" x14ac:dyDescent="0.25">
      <c r="A3911" t="str">
        <f>"20190312154914230"</f>
        <v>20190312154914230</v>
      </c>
      <c r="B3911" t="str">
        <f>"1552376954219587"</f>
        <v>1552376954219587</v>
      </c>
      <c r="C3911" t="s">
        <v>40</v>
      </c>
      <c r="D3911">
        <v>5.081734</v>
      </c>
      <c r="E3911">
        <v>0.63694289999999998</v>
      </c>
      <c r="F3911" t="s">
        <v>49</v>
      </c>
      <c r="G3911">
        <v>-194.7963</v>
      </c>
      <c r="H3911" s="1">
        <v>6.0514540000000004E-6</v>
      </c>
      <c r="I3911">
        <v>201.3287</v>
      </c>
      <c r="J3911">
        <v>-194.916</v>
      </c>
      <c r="K3911">
        <v>1.0938429999999999</v>
      </c>
      <c r="L3911">
        <v>206.35470000000001</v>
      </c>
      <c r="M3911">
        <v>0.58954300000000004</v>
      </c>
      <c r="N3911">
        <v>0</v>
      </c>
      <c r="O3911">
        <v>-0.80754550000000003</v>
      </c>
      <c r="P3911">
        <v>0.3771043</v>
      </c>
      <c r="Q3911">
        <v>6.8944200000000001E-3</v>
      </c>
      <c r="R3911">
        <v>-0.92614529999999995</v>
      </c>
      <c r="S3911">
        <v>0.1760254</v>
      </c>
      <c r="T3911">
        <v>-0.66175879999999998</v>
      </c>
      <c r="U3911">
        <v>-3.1953580000000001</v>
      </c>
      <c r="V3911">
        <v>0.24225140000000001</v>
      </c>
      <c r="W3911">
        <v>1.4693029999999999E-2</v>
      </c>
      <c r="X3911">
        <v>0.97010229999999997</v>
      </c>
      <c r="Y3911">
        <v>0.54376009999999997</v>
      </c>
      <c r="Z3911">
        <v>0.12861349999999999</v>
      </c>
      <c r="AA3911">
        <v>0.82932709999999998</v>
      </c>
      <c r="AB3911">
        <v>30</v>
      </c>
      <c r="AC3911">
        <v>0.11969999999999401</v>
      </c>
      <c r="AD3911">
        <v>-1.093836948546</v>
      </c>
      <c r="AE3911">
        <v>-5.0260000000000096</v>
      </c>
      <c r="AF3911">
        <v>2.7372463607401198</v>
      </c>
      <c r="AG3911">
        <v>-1.093836948546</v>
      </c>
      <c r="AH3911">
        <v>3.9432628450926601</v>
      </c>
      <c r="AI3911">
        <v>102.836998407118</v>
      </c>
      <c r="AJ3911">
        <v>55.233253172488901</v>
      </c>
      <c r="AK3911">
        <v>4.9232427093205304</v>
      </c>
      <c r="AL3911">
        <v>89.1581211407876</v>
      </c>
      <c r="AM3911">
        <v>75.978998213600605</v>
      </c>
      <c r="AN3911">
        <v>1.0000000491989101</v>
      </c>
    </row>
    <row r="3912" spans="1:40" x14ac:dyDescent="0.25">
      <c r="A3912" t="str">
        <f>"20190312154914251"</f>
        <v>20190312154914251</v>
      </c>
      <c r="B3912" t="str">
        <f>"1552376954240018"</f>
        <v>1552376954240018</v>
      </c>
      <c r="C3912" t="s">
        <v>40</v>
      </c>
      <c r="D3912">
        <v>5.1296650000000001</v>
      </c>
      <c r="E3912">
        <v>0.63493959999999905</v>
      </c>
      <c r="F3912" t="s">
        <v>49</v>
      </c>
      <c r="G3912">
        <v>-194.70609999999999</v>
      </c>
      <c r="H3912" s="1">
        <v>6.1816890000000004E-6</v>
      </c>
      <c r="I3912">
        <v>201.0282</v>
      </c>
      <c r="J3912">
        <v>-194.762</v>
      </c>
      <c r="K3912">
        <v>1.093836</v>
      </c>
      <c r="L3912">
        <v>206.11510000000001</v>
      </c>
      <c r="M3912">
        <v>0.57442439999999995</v>
      </c>
      <c r="N3912">
        <v>0</v>
      </c>
      <c r="O3912">
        <v>-0.8183684</v>
      </c>
      <c r="P3912">
        <v>0.3601318</v>
      </c>
      <c r="Q3912">
        <v>7.1304769999999996E-3</v>
      </c>
      <c r="R3912">
        <v>-0.93287430000000005</v>
      </c>
      <c r="S3912">
        <v>0.12583920000000001</v>
      </c>
      <c r="T3912">
        <v>-0.65566849999999999</v>
      </c>
      <c r="U3912">
        <v>-3.1928559999999999</v>
      </c>
      <c r="V3912">
        <v>0.24193310000000001</v>
      </c>
      <c r="W3912">
        <v>1.4956219999999999E-2</v>
      </c>
      <c r="X3912">
        <v>0.97017770000000003</v>
      </c>
      <c r="Y3912">
        <v>0.54119479999999998</v>
      </c>
      <c r="Z3912">
        <v>0.13090679999999999</v>
      </c>
      <c r="AA3912">
        <v>0.83064530000000003</v>
      </c>
      <c r="AB3912">
        <v>29</v>
      </c>
      <c r="AC3912">
        <v>5.59000000000082E-2</v>
      </c>
      <c r="AD3912">
        <v>-1.093829818311</v>
      </c>
      <c r="AE3912">
        <v>-5.0869000000000097</v>
      </c>
      <c r="AF3912">
        <v>2.7496185101883301</v>
      </c>
      <c r="AG3912">
        <v>-1.093829818311</v>
      </c>
      <c r="AH3912">
        <v>4.0103144427233497</v>
      </c>
      <c r="AI3912">
        <v>102.678002765294</v>
      </c>
      <c r="AJ3912">
        <v>55.564036849927398</v>
      </c>
      <c r="AK3912">
        <v>4.9839229079623699</v>
      </c>
      <c r="AL3912">
        <v>89.143039801365205</v>
      </c>
      <c r="AM3912">
        <v>75.997740877219798</v>
      </c>
      <c r="AN3912">
        <v>1.00000004148479</v>
      </c>
    </row>
    <row r="3913" spans="1:40" x14ac:dyDescent="0.25">
      <c r="A3913" t="str">
        <f>"20190312154914273"</f>
        <v>20190312154914273</v>
      </c>
      <c r="B3913" t="str">
        <f>"1552376954269298"</f>
        <v>1552376954269298</v>
      </c>
      <c r="C3913" t="s">
        <v>40</v>
      </c>
      <c r="D3913">
        <v>5.0884589999999896</v>
      </c>
      <c r="E3913">
        <v>0.60812719999999998</v>
      </c>
      <c r="F3913" t="s">
        <v>49</v>
      </c>
      <c r="G3913">
        <v>-194.625</v>
      </c>
      <c r="H3913" s="1">
        <v>6.3086519999999998E-6</v>
      </c>
      <c r="I3913">
        <v>200.73</v>
      </c>
      <c r="J3913">
        <v>-194.6052</v>
      </c>
      <c r="K3913">
        <v>1.093836</v>
      </c>
      <c r="L3913">
        <v>205.86019999999999</v>
      </c>
      <c r="M3913">
        <v>0.55828350000000004</v>
      </c>
      <c r="N3913">
        <v>0</v>
      </c>
      <c r="O3913">
        <v>-0.82946319999999996</v>
      </c>
      <c r="P3913">
        <v>0.34300170000000002</v>
      </c>
      <c r="Q3913">
        <v>7.0753989999999996E-3</v>
      </c>
      <c r="R3913">
        <v>-0.93930809999999998</v>
      </c>
      <c r="S3913">
        <v>8.1130980000000005E-2</v>
      </c>
      <c r="T3913">
        <v>-0.64785930000000003</v>
      </c>
      <c r="U3913">
        <v>-3.1894840000000002</v>
      </c>
      <c r="V3913">
        <v>0.24068010000000001</v>
      </c>
      <c r="W3913">
        <v>1.496957E-2</v>
      </c>
      <c r="X3913">
        <v>0.97048900000000005</v>
      </c>
      <c r="Y3913">
        <v>0.53639429999999999</v>
      </c>
      <c r="Z3913">
        <v>0.13306850000000001</v>
      </c>
      <c r="AA3913">
        <v>0.83341100000000001</v>
      </c>
      <c r="AB3913">
        <v>29</v>
      </c>
      <c r="AC3913">
        <v>-1.9800000000003599E-2</v>
      </c>
      <c r="AD3913">
        <v>-1.0938296913479999</v>
      </c>
      <c r="AE3913">
        <v>-5.1302000000000003</v>
      </c>
      <c r="AF3913">
        <v>2.7557036271717998</v>
      </c>
      <c r="AG3913">
        <v>-1.0938296913479999</v>
      </c>
      <c r="AH3913">
        <v>4.0603360954287702</v>
      </c>
      <c r="AI3913">
        <v>102.56606951382101</v>
      </c>
      <c r="AJ3913">
        <v>55.835710775964799</v>
      </c>
      <c r="AK3913">
        <v>5.0275933688320498</v>
      </c>
      <c r="AL3913">
        <v>89.142274737631794</v>
      </c>
      <c r="AM3913">
        <v>76.071723244412098</v>
      </c>
      <c r="AN3913">
        <v>0.99999994884149601</v>
      </c>
    </row>
    <row r="3914" spans="1:40" x14ac:dyDescent="0.25">
      <c r="A3914" t="str">
        <f>"20190312154914295"</f>
        <v>20190312154914295</v>
      </c>
      <c r="B3914" t="str">
        <f>"1552376954289796"</f>
        <v>1552376954289796</v>
      </c>
      <c r="C3914" t="s">
        <v>40</v>
      </c>
      <c r="D3914">
        <v>5.1264079999999996</v>
      </c>
      <c r="E3914">
        <v>0.60643519999999995</v>
      </c>
      <c r="F3914" t="s">
        <v>49</v>
      </c>
      <c r="G3914">
        <v>-194.20189999999999</v>
      </c>
      <c r="H3914" s="1">
        <v>6.5995479999999997E-6</v>
      </c>
      <c r="I3914">
        <v>200.22559999999999</v>
      </c>
      <c r="J3914">
        <v>-194.44990000000001</v>
      </c>
      <c r="K3914">
        <v>1.0938429999999999</v>
      </c>
      <c r="L3914">
        <v>205.59620000000001</v>
      </c>
      <c r="M3914">
        <v>0.54149789999999998</v>
      </c>
      <c r="N3914">
        <v>0</v>
      </c>
      <c r="O3914">
        <v>-0.84051719999999897</v>
      </c>
      <c r="P3914">
        <v>0.3262967</v>
      </c>
      <c r="Q3914">
        <v>7.0392709999999997E-3</v>
      </c>
      <c r="R3914">
        <v>-0.94524129999999995</v>
      </c>
      <c r="S3914">
        <v>0.22306819999999999</v>
      </c>
      <c r="T3914">
        <v>-0.60508409999999901</v>
      </c>
      <c r="U3914">
        <v>-3.116959</v>
      </c>
      <c r="V3914">
        <v>0.2383758</v>
      </c>
      <c r="W3914">
        <v>1.5046810000000001E-2</v>
      </c>
      <c r="X3914">
        <v>0.97105640000000004</v>
      </c>
      <c r="Y3914">
        <v>0.48027579999999997</v>
      </c>
      <c r="Z3914">
        <v>0.13372879999999901</v>
      </c>
      <c r="AA3914">
        <v>0.86686319999999994</v>
      </c>
      <c r="AB3914">
        <v>29</v>
      </c>
      <c r="AC3914">
        <v>0.24800000000001801</v>
      </c>
      <c r="AD3914">
        <v>-1.093836400452</v>
      </c>
      <c r="AE3914">
        <v>-5.37060000000002</v>
      </c>
      <c r="AF3914">
        <v>2.59281395883453</v>
      </c>
      <c r="AG3914">
        <v>-1.093836400452</v>
      </c>
      <c r="AH3914">
        <v>4.4643019307194596</v>
      </c>
      <c r="AI3914">
        <v>101.96269236779899</v>
      </c>
      <c r="AJ3914">
        <v>59.852485000251299</v>
      </c>
      <c r="AK3914">
        <v>5.2772297680417903</v>
      </c>
      <c r="AL3914">
        <v>89.1378487399748</v>
      </c>
      <c r="AM3914">
        <v>76.207708857777007</v>
      </c>
      <c r="AN3914">
        <v>0.99999998024888803</v>
      </c>
    </row>
    <row r="3915" spans="1:40" x14ac:dyDescent="0.25">
      <c r="A3915" t="str">
        <f>"20190312154914318"</f>
        <v>20190312154914318</v>
      </c>
      <c r="B3915" t="str">
        <f>"1552376954309314"</f>
        <v>1552376954309314</v>
      </c>
      <c r="C3915" t="s">
        <v>40</v>
      </c>
      <c r="D3915">
        <v>5.133108</v>
      </c>
      <c r="E3915">
        <v>0.59792109999999998</v>
      </c>
      <c r="F3915" t="s">
        <v>49</v>
      </c>
      <c r="G3915">
        <v>-194.12180000000001</v>
      </c>
      <c r="H3915" s="1">
        <v>6.724441E-6</v>
      </c>
      <c r="I3915">
        <v>199.93260000000001</v>
      </c>
      <c r="J3915">
        <v>-194.3065</v>
      </c>
      <c r="K3915">
        <v>1.093858</v>
      </c>
      <c r="L3915">
        <v>205.34110000000001</v>
      </c>
      <c r="M3915">
        <v>0.52521589999999996</v>
      </c>
      <c r="N3915">
        <v>0</v>
      </c>
      <c r="O3915">
        <v>-0.85078639999999905</v>
      </c>
      <c r="P3915">
        <v>0.3108341</v>
      </c>
      <c r="Q3915">
        <v>5.7937819999999999E-3</v>
      </c>
      <c r="R3915">
        <v>-0.95044689999999998</v>
      </c>
      <c r="S3915">
        <v>0.18051149999999999</v>
      </c>
      <c r="T3915">
        <v>-0.60180330000000004</v>
      </c>
      <c r="U3915">
        <v>-3.1159819999999998</v>
      </c>
      <c r="V3915">
        <v>0.23547850000000001</v>
      </c>
      <c r="W3915">
        <v>1.393875E-2</v>
      </c>
      <c r="X3915">
        <v>0.97177959999999997</v>
      </c>
      <c r="Y3915">
        <v>0.47520760000000001</v>
      </c>
      <c r="Z3915">
        <v>0.1362033</v>
      </c>
      <c r="AA3915">
        <v>0.86926780000000003</v>
      </c>
      <c r="AB3915">
        <v>29</v>
      </c>
      <c r="AC3915">
        <v>0.18469999999999201</v>
      </c>
      <c r="AD3915">
        <v>-1.093851275559</v>
      </c>
      <c r="AE3915">
        <v>-5.4085000000000001</v>
      </c>
      <c r="AF3915">
        <v>2.5785572620321902</v>
      </c>
      <c r="AG3915">
        <v>-1.093851275559</v>
      </c>
      <c r="AH3915">
        <v>4.5147604268638304</v>
      </c>
      <c r="AI3915">
        <v>101.881017909208</v>
      </c>
      <c r="AJ3915">
        <v>60.267613074112298</v>
      </c>
      <c r="AK3915">
        <v>5.31305278334374</v>
      </c>
      <c r="AL3915">
        <v>89.201342591669999</v>
      </c>
      <c r="AM3915">
        <v>76.378820856935107</v>
      </c>
      <c r="AN3915">
        <v>1.0000000018449799</v>
      </c>
    </row>
    <row r="3916" spans="1:40" x14ac:dyDescent="0.25">
      <c r="A3916" t="str">
        <f>"20190312154914340"</f>
        <v>20190312154914340</v>
      </c>
      <c r="B3916" t="str">
        <f>"1552376954329810"</f>
        <v>1552376954329810</v>
      </c>
      <c r="C3916" t="s">
        <v>40</v>
      </c>
      <c r="D3916">
        <v>5.1347500000000004</v>
      </c>
      <c r="E3916">
        <v>0.59704760000000001</v>
      </c>
      <c r="F3916" t="s">
        <v>42</v>
      </c>
      <c r="G3916">
        <v>-193.8519</v>
      </c>
      <c r="H3916" s="1">
        <v>-4.4449140000000004E-6</v>
      </c>
      <c r="I3916">
        <v>198.04060000000001</v>
      </c>
      <c r="J3916">
        <v>-194.1651</v>
      </c>
      <c r="K3916">
        <v>1.0938760000000001</v>
      </c>
      <c r="L3916">
        <v>205.07749999999999</v>
      </c>
      <c r="M3916">
        <v>0.5083394</v>
      </c>
      <c r="N3916">
        <v>0</v>
      </c>
      <c r="O3916">
        <v>-0.86097639999999998</v>
      </c>
      <c r="P3916">
        <v>0.29473300000000002</v>
      </c>
      <c r="Q3916">
        <v>5.2329330000000004E-3</v>
      </c>
      <c r="R3916">
        <v>-0.95556560000000001</v>
      </c>
      <c r="S3916">
        <v>0.19277949999999999</v>
      </c>
      <c r="T3916">
        <v>-0.4639122</v>
      </c>
      <c r="U3916">
        <v>-3.0961759999999998</v>
      </c>
      <c r="V3916">
        <v>0.2327158</v>
      </c>
      <c r="W3916">
        <v>1.350964E-2</v>
      </c>
      <c r="X3916">
        <v>0.97245099999999995</v>
      </c>
      <c r="Y3916">
        <v>0.45402189999999998</v>
      </c>
      <c r="Z3916">
        <v>0.10941380000000001</v>
      </c>
      <c r="AA3916">
        <v>0.88424699999999901</v>
      </c>
      <c r="AB3916">
        <v>29</v>
      </c>
      <c r="AC3916">
        <v>0.31319999999999398</v>
      </c>
      <c r="AD3916">
        <v>-1.093880444914</v>
      </c>
      <c r="AE3916">
        <v>-7.03689999999997</v>
      </c>
      <c r="AF3916">
        <v>3.2300905863786502</v>
      </c>
      <c r="AG3916">
        <v>-1.093880444914</v>
      </c>
      <c r="AH3916">
        <v>6.0723382462199904</v>
      </c>
      <c r="AI3916">
        <v>99.036674976181999</v>
      </c>
      <c r="AJ3916">
        <v>61.989915483660198</v>
      </c>
      <c r="AK3916">
        <v>6.9644347509674702</v>
      </c>
      <c r="AL3916">
        <v>89.225931137333006</v>
      </c>
      <c r="AM3916">
        <v>76.541734251903307</v>
      </c>
      <c r="AN3916">
        <v>1.0000000506717801</v>
      </c>
    </row>
    <row r="3917" spans="1:40" x14ac:dyDescent="0.25">
      <c r="A3917" t="str">
        <f>"20190312154914363"</f>
        <v>20190312154914363</v>
      </c>
      <c r="B3917" t="str">
        <f>"1552376954360066"</f>
        <v>1552376954360066</v>
      </c>
      <c r="C3917" t="s">
        <v>40</v>
      </c>
      <c r="D3917">
        <v>5.1172380000000004</v>
      </c>
      <c r="E3917">
        <v>0.60856540000000003</v>
      </c>
      <c r="F3917" t="s">
        <v>42</v>
      </c>
      <c r="G3917">
        <v>-193.8151</v>
      </c>
      <c r="H3917" s="1">
        <v>-4.3104719999999997E-6</v>
      </c>
      <c r="I3917">
        <v>197.66470000000001</v>
      </c>
      <c r="J3917">
        <v>-194.02109999999999</v>
      </c>
      <c r="K3917">
        <v>1.093898</v>
      </c>
      <c r="L3917">
        <v>204.79580000000001</v>
      </c>
      <c r="M3917">
        <v>0.49024139999999999</v>
      </c>
      <c r="N3917">
        <v>0</v>
      </c>
      <c r="O3917">
        <v>-0.87140819999999997</v>
      </c>
      <c r="P3917">
        <v>0.27709470000000003</v>
      </c>
      <c r="Q3917">
        <v>6.9226359999999898E-3</v>
      </c>
      <c r="R3917">
        <v>-0.96081799999999995</v>
      </c>
      <c r="S3917">
        <v>0.14619450000000001</v>
      </c>
      <c r="T3917">
        <v>-0.45699499999999998</v>
      </c>
      <c r="U3917">
        <v>-3.0968930000000001</v>
      </c>
      <c r="V3917">
        <v>0.23035829999999999</v>
      </c>
      <c r="W3917">
        <v>1.531619E-2</v>
      </c>
      <c r="X3917">
        <v>0.97298530000000005</v>
      </c>
      <c r="Y3917">
        <v>0.44870209999999999</v>
      </c>
      <c r="Z3917">
        <v>0.1102489</v>
      </c>
      <c r="AA3917">
        <v>0.8868549</v>
      </c>
      <c r="AB3917">
        <v>29</v>
      </c>
      <c r="AC3917">
        <v>0.205999999999988</v>
      </c>
      <c r="AD3917">
        <v>-1.093902310472</v>
      </c>
      <c r="AE3917">
        <v>-7.1311</v>
      </c>
      <c r="AF3917">
        <v>3.2407707520433302</v>
      </c>
      <c r="AG3917">
        <v>-1.093902310472</v>
      </c>
      <c r="AH3917">
        <v>6.1709818284382196</v>
      </c>
      <c r="AI3917">
        <v>98.919246832623898</v>
      </c>
      <c r="AJ3917">
        <v>62.293210605653002</v>
      </c>
      <c r="AK3917">
        <v>7.0555108999327798</v>
      </c>
      <c r="AL3917">
        <v>89.122412608485902</v>
      </c>
      <c r="AM3917">
        <v>76.6802410549775</v>
      </c>
      <c r="AN3917">
        <v>0.99999996303554695</v>
      </c>
    </row>
    <row r="3918" spans="1:40" x14ac:dyDescent="0.25">
      <c r="A3918" t="str">
        <f>"20190312154914385"</f>
        <v>20190312154914385</v>
      </c>
      <c r="B3918" t="str">
        <f>"1552376954379587"</f>
        <v>1552376954379587</v>
      </c>
      <c r="C3918" t="s">
        <v>40</v>
      </c>
      <c r="D3918">
        <v>5.1138409999999999</v>
      </c>
      <c r="E3918">
        <v>0.60848069999999999</v>
      </c>
      <c r="F3918" t="s">
        <v>42</v>
      </c>
      <c r="G3918">
        <v>-194.018</v>
      </c>
      <c r="H3918" s="1">
        <v>-4.7501819999999998E-6</v>
      </c>
      <c r="I3918">
        <v>198.851</v>
      </c>
      <c r="J3918">
        <v>-193.89330000000001</v>
      </c>
      <c r="K3918">
        <v>1.09392</v>
      </c>
      <c r="L3918">
        <v>204.53229999999999</v>
      </c>
      <c r="M3918">
        <v>0.47326370000000001</v>
      </c>
      <c r="N3918">
        <v>0</v>
      </c>
      <c r="O3918">
        <v>-0.88074399999999997</v>
      </c>
      <c r="P3918">
        <v>0.26110229999999901</v>
      </c>
      <c r="Q3918">
        <v>9.0293330000000005E-3</v>
      </c>
      <c r="R3918">
        <v>-0.96526889999999999</v>
      </c>
      <c r="S3918">
        <v>1.617432E-3</v>
      </c>
      <c r="T3918">
        <v>-0.57522340000000005</v>
      </c>
      <c r="U3918">
        <v>-3.1260219999999999</v>
      </c>
      <c r="V3918">
        <v>0.2277322</v>
      </c>
      <c r="W3918">
        <v>1.7549869999999999E-2</v>
      </c>
      <c r="X3918">
        <v>0.97356560000000003</v>
      </c>
      <c r="Y3918">
        <v>0.47238940000000001</v>
      </c>
      <c r="Z3918">
        <v>0.13807239999999901</v>
      </c>
      <c r="AA3918">
        <v>0.87050810000000001</v>
      </c>
      <c r="AB3918">
        <v>29</v>
      </c>
      <c r="AC3918">
        <v>-0.12469999999999</v>
      </c>
      <c r="AD3918">
        <v>-1.093924750182</v>
      </c>
      <c r="AE3918">
        <v>-5.6812999999999896</v>
      </c>
      <c r="AF3918">
        <v>2.6990009039839502</v>
      </c>
      <c r="AG3918">
        <v>-1.093924750182</v>
      </c>
      <c r="AH3918">
        <v>4.7688074672482603</v>
      </c>
      <c r="AI3918">
        <v>101.289849805405</v>
      </c>
      <c r="AJ3918">
        <v>60.491450405416202</v>
      </c>
      <c r="AK3918">
        <v>5.5877367420494801</v>
      </c>
      <c r="AL3918">
        <v>88.994414858782207</v>
      </c>
      <c r="AM3918">
        <v>76.834341876285507</v>
      </c>
      <c r="AN3918">
        <v>0.99999996517860701</v>
      </c>
    </row>
    <row r="3919" spans="1:40" x14ac:dyDescent="0.25">
      <c r="A3919" t="str">
        <f>"20190312154914408"</f>
        <v>20190312154914408</v>
      </c>
      <c r="B3919" t="str">
        <f>"1552376954400083"</f>
        <v>1552376954400083</v>
      </c>
      <c r="C3919" t="s">
        <v>40</v>
      </c>
      <c r="D3919">
        <v>5.1187399999999998</v>
      </c>
      <c r="E3919">
        <v>0.60725709999999999</v>
      </c>
      <c r="F3919" t="s">
        <v>42</v>
      </c>
      <c r="G3919">
        <v>-193.98859999999999</v>
      </c>
      <c r="H3919" s="1">
        <v>-4.602226E-6</v>
      </c>
      <c r="I3919">
        <v>198.4316</v>
      </c>
      <c r="J3919">
        <v>-193.76400000000001</v>
      </c>
      <c r="K3919">
        <v>1.0939430000000001</v>
      </c>
      <c r="L3919">
        <v>204.25040000000001</v>
      </c>
      <c r="M3919">
        <v>0.45505859999999898</v>
      </c>
      <c r="N3919">
        <v>0</v>
      </c>
      <c r="O3919">
        <v>-0.89028660000000004</v>
      </c>
      <c r="P3919">
        <v>0.24404190000000001</v>
      </c>
      <c r="Q3919">
        <v>8.3300079999999999E-3</v>
      </c>
      <c r="R3919">
        <v>-0.9697289</v>
      </c>
      <c r="S3919">
        <v>-4.8858640000000002E-2</v>
      </c>
      <c r="T3919">
        <v>-0.56059809999999999</v>
      </c>
      <c r="U3919">
        <v>-3.126404</v>
      </c>
      <c r="V3919">
        <v>0.22486039999999999</v>
      </c>
      <c r="W3919">
        <v>1.6986810000000001E-2</v>
      </c>
      <c r="X3919">
        <v>0.97424290000000002</v>
      </c>
      <c r="Y3919">
        <v>0.46837859999999998</v>
      </c>
      <c r="Z3919">
        <v>0.13730339999999999</v>
      </c>
      <c r="AA3919">
        <v>0.87279399999999996</v>
      </c>
      <c r="AB3919">
        <v>29</v>
      </c>
      <c r="AC3919">
        <v>-0.22459999999998101</v>
      </c>
      <c r="AD3919">
        <v>-1.093947602226</v>
      </c>
      <c r="AE3919">
        <v>-5.8188000000000004</v>
      </c>
      <c r="AF3919">
        <v>2.75120079793599</v>
      </c>
      <c r="AG3919">
        <v>-1.093947602226</v>
      </c>
      <c r="AH3919">
        <v>4.9058460180905703</v>
      </c>
      <c r="AI3919">
        <v>101.006191928563</v>
      </c>
      <c r="AJ3919">
        <v>60.716270778637799</v>
      </c>
      <c r="AK3919">
        <v>5.7300220191718996</v>
      </c>
      <c r="AL3919">
        <v>89.026680656929997</v>
      </c>
      <c r="AM3919">
        <v>77.003422485798396</v>
      </c>
      <c r="AN3919">
        <v>0.99999998970127302</v>
      </c>
    </row>
    <row r="3920" spans="1:40" x14ac:dyDescent="0.25">
      <c r="A3920" t="str">
        <f>"20190312154914430"</f>
        <v>20190312154914430</v>
      </c>
      <c r="B3920" t="str">
        <f>"1552376954419602"</f>
        <v>1552376954419602</v>
      </c>
      <c r="C3920" t="s">
        <v>40</v>
      </c>
      <c r="D3920">
        <v>5.1089339999999996</v>
      </c>
      <c r="E3920">
        <v>0.60612739999999998</v>
      </c>
      <c r="F3920" t="s">
        <v>42</v>
      </c>
      <c r="G3920">
        <v>-193.94919999999999</v>
      </c>
      <c r="H3920" s="1">
        <v>-4.4982079999999998E-6</v>
      </c>
      <c r="I3920">
        <v>198.1465</v>
      </c>
      <c r="J3920">
        <v>-193.64850000000001</v>
      </c>
      <c r="K3920">
        <v>1.09398</v>
      </c>
      <c r="L3920">
        <v>203.98480000000001</v>
      </c>
      <c r="M3920">
        <v>0.4378572</v>
      </c>
      <c r="N3920">
        <v>0</v>
      </c>
      <c r="O3920">
        <v>-0.89887119999999998</v>
      </c>
      <c r="P3920">
        <v>0.2279949</v>
      </c>
      <c r="Q3920">
        <v>6.6711399999999999E-3</v>
      </c>
      <c r="R3920">
        <v>-0.9736397</v>
      </c>
      <c r="S3920">
        <v>-9.4726560000000001E-2</v>
      </c>
      <c r="T3920">
        <v>-0.55958200000000002</v>
      </c>
      <c r="U3920">
        <v>-3.1222989999999999</v>
      </c>
      <c r="V3920">
        <v>0.22215879999999999</v>
      </c>
      <c r="W3920">
        <v>1.545493E-2</v>
      </c>
      <c r="X3920">
        <v>0.97488799999999998</v>
      </c>
      <c r="Y3920">
        <v>0.46424149999999997</v>
      </c>
      <c r="Z3920">
        <v>0.1396385</v>
      </c>
      <c r="AA3920">
        <v>0.87463189999999902</v>
      </c>
      <c r="AB3920">
        <v>29</v>
      </c>
      <c r="AC3920">
        <v>-0.30069999999997699</v>
      </c>
      <c r="AD3920">
        <v>-1.093984498208</v>
      </c>
      <c r="AE3920">
        <v>-5.8383000000000003</v>
      </c>
      <c r="AF3920">
        <v>2.7314221823168898</v>
      </c>
      <c r="AG3920">
        <v>-1.093984498208</v>
      </c>
      <c r="AH3920">
        <v>4.9438854319681296</v>
      </c>
      <c r="AI3920">
        <v>100.961648101622</v>
      </c>
      <c r="AJ3920">
        <v>61.080011306362898</v>
      </c>
      <c r="AK3920">
        <v>5.7532140916881298</v>
      </c>
      <c r="AL3920">
        <v>89.114462483375206</v>
      </c>
      <c r="AM3920">
        <v>77.162579170864404</v>
      </c>
      <c r="AN3920">
        <v>0.99999999991137201</v>
      </c>
    </row>
    <row r="3921" spans="1:40" x14ac:dyDescent="0.25">
      <c r="A3921" t="str">
        <f>"20190312154914454"</f>
        <v>20190312154914454</v>
      </c>
      <c r="B3921" t="str">
        <f>"1552376954449859"</f>
        <v>1552376954449859</v>
      </c>
      <c r="C3921" t="s">
        <v>40</v>
      </c>
      <c r="D3921">
        <v>5.1366100000000001</v>
      </c>
      <c r="E3921">
        <v>0.60336829999999997</v>
      </c>
      <c r="F3921" t="s">
        <v>42</v>
      </c>
      <c r="G3921">
        <v>-193.9222</v>
      </c>
      <c r="H3921" s="1">
        <v>-4.3781139999999996E-6</v>
      </c>
      <c r="I3921">
        <v>197.80760000000001</v>
      </c>
      <c r="J3921">
        <v>-193.52809999999999</v>
      </c>
      <c r="K3921">
        <v>1.0940240000000001</v>
      </c>
      <c r="L3921">
        <v>203.6919</v>
      </c>
      <c r="M3921">
        <v>0.41883920000000002</v>
      </c>
      <c r="N3921">
        <v>0</v>
      </c>
      <c r="O3921">
        <v>-0.9078889</v>
      </c>
      <c r="P3921">
        <v>0.2096491</v>
      </c>
      <c r="Q3921">
        <v>6.5769799999999996E-3</v>
      </c>
      <c r="R3921">
        <v>-0.97775429999999997</v>
      </c>
      <c r="S3921">
        <v>-0.13812260000000001</v>
      </c>
      <c r="T3921">
        <v>-0.55208999999999997</v>
      </c>
      <c r="U3921">
        <v>-3.1173549999999999</v>
      </c>
      <c r="V3921">
        <v>0.2199623</v>
      </c>
      <c r="W3921">
        <v>1.546876E-2</v>
      </c>
      <c r="X3921">
        <v>0.97538570000000002</v>
      </c>
      <c r="Y3921">
        <v>0.45782980000000001</v>
      </c>
      <c r="Z3921">
        <v>0.14061860000000001</v>
      </c>
      <c r="AA3921">
        <v>0.87784869999999904</v>
      </c>
      <c r="AB3921">
        <v>29</v>
      </c>
      <c r="AC3921">
        <v>-0.394100000000008</v>
      </c>
      <c r="AD3921">
        <v>-1.0940283781140001</v>
      </c>
      <c r="AE3921">
        <v>-5.8842999999999899</v>
      </c>
      <c r="AF3921">
        <v>2.7289041067777799</v>
      </c>
      <c r="AG3921">
        <v>-1.0940283781140001</v>
      </c>
      <c r="AH3921">
        <v>5.0057685595462003</v>
      </c>
      <c r="AI3921">
        <v>100.862534356694</v>
      </c>
      <c r="AJ3921">
        <v>61.402907406187303</v>
      </c>
      <c r="AK3921">
        <v>5.8053022822113798</v>
      </c>
      <c r="AL3921">
        <v>89.113669970235605</v>
      </c>
      <c r="AM3921">
        <v>77.291635070449999</v>
      </c>
      <c r="AN3921">
        <v>0.99999997986085798</v>
      </c>
    </row>
    <row r="3922" spans="1:40" x14ac:dyDescent="0.25">
      <c r="A3922" t="str">
        <f>"20190312154914475"</f>
        <v>20190312154914475</v>
      </c>
      <c r="B3922" t="str">
        <f>"1552376954469378"</f>
        <v>1552376954469378</v>
      </c>
      <c r="C3922" t="s">
        <v>40</v>
      </c>
      <c r="D3922">
        <v>4.9922000000000004</v>
      </c>
      <c r="E3922">
        <v>0.59444940000000002</v>
      </c>
      <c r="F3922" t="s">
        <v>42</v>
      </c>
      <c r="G3922">
        <v>-193.89099999999999</v>
      </c>
      <c r="H3922" s="1">
        <v>-4.1737039999999996E-6</v>
      </c>
      <c r="I3922">
        <v>197.22319999999999</v>
      </c>
      <c r="J3922">
        <v>-193.4289</v>
      </c>
      <c r="K3922">
        <v>1.094061</v>
      </c>
      <c r="L3922">
        <v>203.4365</v>
      </c>
      <c r="M3922">
        <v>0.402227</v>
      </c>
      <c r="N3922">
        <v>0</v>
      </c>
      <c r="O3922">
        <v>-0.91536980000000001</v>
      </c>
      <c r="P3922">
        <v>0.19280929999999999</v>
      </c>
      <c r="Q3922">
        <v>7.4275490000000003E-3</v>
      </c>
      <c r="R3922">
        <v>-0.98120810000000003</v>
      </c>
      <c r="S3922">
        <v>-0.17445369999999999</v>
      </c>
      <c r="T3922">
        <v>-0.52584989999999998</v>
      </c>
      <c r="U3922">
        <v>-3.1091920000000002</v>
      </c>
      <c r="V3922">
        <v>0.2189866</v>
      </c>
      <c r="W3922">
        <v>1.6375109999999998E-2</v>
      </c>
      <c r="X3922">
        <v>0.97559050000000003</v>
      </c>
      <c r="Y3922">
        <v>0.45205679999999998</v>
      </c>
      <c r="Z3922">
        <v>0.13651659999999999</v>
      </c>
      <c r="AA3922">
        <v>0.8814805</v>
      </c>
      <c r="AB3922">
        <v>29</v>
      </c>
      <c r="AC3922">
        <v>-0.46209999999999202</v>
      </c>
      <c r="AD3922">
        <v>-1.0940651737039999</v>
      </c>
      <c r="AE3922">
        <v>-6.2133000000000003</v>
      </c>
      <c r="AF3922">
        <v>2.8351814743403398</v>
      </c>
      <c r="AG3922">
        <v>-1.0940651737039999</v>
      </c>
      <c r="AH3922">
        <v>5.3378615551582804</v>
      </c>
      <c r="AI3922">
        <v>100.260241368235</v>
      </c>
      <c r="AJ3922">
        <v>62.025192594066297</v>
      </c>
      <c r="AK3922">
        <v>6.1423121525034396</v>
      </c>
      <c r="AL3922">
        <v>89.061733419354795</v>
      </c>
      <c r="AM3922">
        <v>77.348758114132394</v>
      </c>
      <c r="AN3922">
        <v>1.0000000494486501</v>
      </c>
    </row>
    <row r="3923" spans="1:40" x14ac:dyDescent="0.25">
      <c r="A3923" t="str">
        <f>"20190312154914497"</f>
        <v>20190312154914497</v>
      </c>
      <c r="B3923" t="str">
        <f>"1552376954489878"</f>
        <v>1552376954489878</v>
      </c>
      <c r="C3923" t="s">
        <v>40</v>
      </c>
      <c r="D3923">
        <v>5.0112620000000003</v>
      </c>
      <c r="E3923">
        <v>0.59489019999999904</v>
      </c>
      <c r="F3923" t="s">
        <v>42</v>
      </c>
      <c r="G3923">
        <v>-193.88140000000001</v>
      </c>
      <c r="H3923" s="1">
        <v>-3.1884350000000002E-6</v>
      </c>
      <c r="I3923">
        <v>194.61410000000001</v>
      </c>
      <c r="J3923">
        <v>-193.32730000000001</v>
      </c>
      <c r="K3923">
        <v>1.094112</v>
      </c>
      <c r="L3923">
        <v>203.1592</v>
      </c>
      <c r="M3923">
        <v>0.38416470000000003</v>
      </c>
      <c r="N3923">
        <v>0</v>
      </c>
      <c r="O3923">
        <v>-0.92309609999999997</v>
      </c>
      <c r="P3923">
        <v>0.17634469999999999</v>
      </c>
      <c r="Q3923">
        <v>6.9645169999999999E-3</v>
      </c>
      <c r="R3923">
        <v>-0.98430410000000002</v>
      </c>
      <c r="S3923">
        <v>-0.1585541</v>
      </c>
      <c r="T3923">
        <v>-0.3833802</v>
      </c>
      <c r="U3923">
        <v>-3.0915370000000002</v>
      </c>
      <c r="V3923">
        <v>0.21614410000000001</v>
      </c>
      <c r="W3923">
        <v>1.6048050000000001E-2</v>
      </c>
      <c r="X3923">
        <v>0.97622949999999997</v>
      </c>
      <c r="Y3923">
        <v>0.43056689999999997</v>
      </c>
      <c r="Z3923">
        <v>0.1028168</v>
      </c>
      <c r="AA3923">
        <v>0.89668329999999996</v>
      </c>
      <c r="AB3923">
        <v>29</v>
      </c>
      <c r="AC3923">
        <v>-0.55410000000000503</v>
      </c>
      <c r="AD3923">
        <v>-1.094115188435</v>
      </c>
      <c r="AE3923">
        <v>-8.5450999999999908</v>
      </c>
      <c r="AF3923">
        <v>3.7338462723263901</v>
      </c>
      <c r="AG3923">
        <v>-1.094115188435</v>
      </c>
      <c r="AH3923">
        <v>7.5529699892760602</v>
      </c>
      <c r="AI3923">
        <v>97.398892984751598</v>
      </c>
      <c r="AJ3923">
        <v>63.6942938192105</v>
      </c>
      <c r="AK3923">
        <v>8.4962375019672507</v>
      </c>
      <c r="AL3923">
        <v>89.080474924000399</v>
      </c>
      <c r="AM3923">
        <v>77.515707616820606</v>
      </c>
      <c r="AN3923">
        <v>0.99999992427192796</v>
      </c>
    </row>
    <row r="3924" spans="1:40" x14ac:dyDescent="0.25">
      <c r="A3924" t="str">
        <f>"20190312154914519"</f>
        <v>20190312154914519</v>
      </c>
      <c r="B3924" t="str">
        <f>"1552376954509394"</f>
        <v>1552376954509394</v>
      </c>
      <c r="C3924" t="s">
        <v>40</v>
      </c>
      <c r="D3924">
        <v>5.0042160000000004</v>
      </c>
      <c r="E3924">
        <v>0.59361850000000005</v>
      </c>
      <c r="F3924" t="s">
        <v>42</v>
      </c>
      <c r="G3924">
        <v>-193.9444</v>
      </c>
      <c r="H3924" s="1">
        <v>-3.0495389999999998E-6</v>
      </c>
      <c r="I3924">
        <v>194.25129999999999</v>
      </c>
      <c r="J3924">
        <v>-193.23240000000001</v>
      </c>
      <c r="K3924">
        <v>1.094171</v>
      </c>
      <c r="L3924">
        <v>202.88380000000001</v>
      </c>
      <c r="M3924">
        <v>0.36621520000000002</v>
      </c>
      <c r="N3924">
        <v>0</v>
      </c>
      <c r="O3924">
        <v>-0.93036339999999995</v>
      </c>
      <c r="P3924">
        <v>0.16089200000000001</v>
      </c>
      <c r="Q3924">
        <v>6.8566349999999998E-3</v>
      </c>
      <c r="R3924">
        <v>-0.9869483</v>
      </c>
      <c r="S3924">
        <v>-0.213974</v>
      </c>
      <c r="T3924">
        <v>-0.37938640000000001</v>
      </c>
      <c r="U3924">
        <v>-3.0888520000000002</v>
      </c>
      <c r="V3924">
        <v>0.2125359</v>
      </c>
      <c r="W3924">
        <v>1.6108600000000001E-2</v>
      </c>
      <c r="X3924">
        <v>0.97702049999999996</v>
      </c>
      <c r="Y3924">
        <v>0.4291701</v>
      </c>
      <c r="Z3924">
        <v>0.10315000000000001</v>
      </c>
      <c r="AA3924">
        <v>0.89731439999999996</v>
      </c>
      <c r="AB3924">
        <v>29</v>
      </c>
      <c r="AC3924">
        <v>-0.71199999999998898</v>
      </c>
      <c r="AD3924">
        <v>-1.094174049539</v>
      </c>
      <c r="AE3924">
        <v>-8.6325000000000198</v>
      </c>
      <c r="AF3924">
        <v>3.7642975391718601</v>
      </c>
      <c r="AG3924">
        <v>-1.094174049539</v>
      </c>
      <c r="AH3924">
        <v>7.6497547381252602</v>
      </c>
      <c r="AI3924">
        <v>97.313211677039007</v>
      </c>
      <c r="AJ3924">
        <v>63.799086147791797</v>
      </c>
      <c r="AK3924">
        <v>8.5956908022316494</v>
      </c>
      <c r="AL3924">
        <v>89.077005310234895</v>
      </c>
      <c r="AM3924">
        <v>77.727379133055393</v>
      </c>
      <c r="AN3924">
        <v>1.0000000266014999</v>
      </c>
    </row>
    <row r="3925" spans="1:40" x14ac:dyDescent="0.25">
      <c r="A3925" t="str">
        <f>"20190312154914541"</f>
        <v>20190312154914541</v>
      </c>
      <c r="B3925" t="str">
        <f>"1552376954529890"</f>
        <v>1552376954529890</v>
      </c>
      <c r="C3925" t="s">
        <v>40</v>
      </c>
      <c r="D3925">
        <v>5.0564269999999896</v>
      </c>
      <c r="E3925">
        <v>0.59178940000000002</v>
      </c>
      <c r="F3925" t="s">
        <v>42</v>
      </c>
      <c r="G3925">
        <v>-193.97139999999999</v>
      </c>
      <c r="H3925" s="1">
        <v>-2.891287E-6</v>
      </c>
      <c r="I3925">
        <v>193.8656</v>
      </c>
      <c r="J3925">
        <v>-193.14179999999999</v>
      </c>
      <c r="K3925">
        <v>1.0942459999999901</v>
      </c>
      <c r="L3925">
        <v>202.6035</v>
      </c>
      <c r="M3925">
        <v>0.34794839999999999</v>
      </c>
      <c r="N3925">
        <v>0</v>
      </c>
      <c r="O3925">
        <v>-0.93734819999999996</v>
      </c>
      <c r="P3925">
        <v>0.1454665</v>
      </c>
      <c r="Q3925">
        <v>6.8714010000000001E-3</v>
      </c>
      <c r="R3925">
        <v>-0.98933939999999998</v>
      </c>
      <c r="S3925">
        <v>-0.25268550000000001</v>
      </c>
      <c r="T3925">
        <v>-0.37411529999999998</v>
      </c>
      <c r="U3925">
        <v>-3.0834809999999999</v>
      </c>
      <c r="V3925">
        <v>0.20867469999999999</v>
      </c>
      <c r="W3925">
        <v>1.6303600000000001E-2</v>
      </c>
      <c r="X3925">
        <v>0.97784919999999997</v>
      </c>
      <c r="Y3925">
        <v>0.42282219999999998</v>
      </c>
      <c r="Z3925">
        <v>0.10329960000000001</v>
      </c>
      <c r="AA3925">
        <v>0.90030580000000004</v>
      </c>
      <c r="AB3925">
        <v>29</v>
      </c>
      <c r="AC3925">
        <v>-0.829599999999999</v>
      </c>
      <c r="AD3925">
        <v>-1.0942488912870001</v>
      </c>
      <c r="AE3925">
        <v>-8.7378999999999891</v>
      </c>
      <c r="AF3925">
        <v>3.7601132586438499</v>
      </c>
      <c r="AG3925">
        <v>-1.0942488912870001</v>
      </c>
      <c r="AH3925">
        <v>7.7820701299145902</v>
      </c>
      <c r="AI3925">
        <v>97.215669414492695</v>
      </c>
      <c r="AJ3925">
        <v>64.211259059969606</v>
      </c>
      <c r="AK3925">
        <v>8.7118567401456399</v>
      </c>
      <c r="AL3925">
        <v>89.065831139191999</v>
      </c>
      <c r="AM3925">
        <v>77.953677270429907</v>
      </c>
      <c r="AN3925">
        <v>0.99999999786684401</v>
      </c>
    </row>
    <row r="3926" spans="1:40" x14ac:dyDescent="0.25">
      <c r="A3926" t="str">
        <f>"20190312154914564"</f>
        <v>20190312154914564</v>
      </c>
      <c r="B3926" t="str">
        <f>"1552376954560146"</f>
        <v>1552376954560146</v>
      </c>
      <c r="C3926" t="s">
        <v>40</v>
      </c>
      <c r="D3926">
        <v>5.0110390000000002</v>
      </c>
      <c r="E3926">
        <v>0.58077579999999995</v>
      </c>
      <c r="F3926" t="s">
        <v>42</v>
      </c>
      <c r="G3926">
        <v>-193.98859999999999</v>
      </c>
      <c r="H3926" s="1">
        <v>-2.7493180000000002E-6</v>
      </c>
      <c r="I3926">
        <v>193.524</v>
      </c>
      <c r="J3926">
        <v>-193.0557</v>
      </c>
      <c r="K3926">
        <v>1.0943320000000001</v>
      </c>
      <c r="L3926">
        <v>202.31800000000001</v>
      </c>
      <c r="M3926">
        <v>0.32937739999999999</v>
      </c>
      <c r="N3926">
        <v>0</v>
      </c>
      <c r="O3926">
        <v>-0.9440345</v>
      </c>
      <c r="P3926">
        <v>0.1304196</v>
      </c>
      <c r="Q3926">
        <v>7.0070269999999999E-3</v>
      </c>
      <c r="R3926">
        <v>-0.99143429999999999</v>
      </c>
      <c r="S3926">
        <v>-0.286972</v>
      </c>
      <c r="T3926">
        <v>-0.3708495</v>
      </c>
      <c r="U3926">
        <v>-3.0771030000000001</v>
      </c>
      <c r="V3926">
        <v>0.20422779999999999</v>
      </c>
      <c r="W3926">
        <v>1.6644490000000001E-2</v>
      </c>
      <c r="X3926">
        <v>0.97878189999999998</v>
      </c>
      <c r="Y3926">
        <v>0.41503859999999898</v>
      </c>
      <c r="Z3926">
        <v>0.1039809</v>
      </c>
      <c r="AA3926">
        <v>0.90384229999999999</v>
      </c>
      <c r="AB3926">
        <v>29</v>
      </c>
      <c r="AC3926">
        <v>-0.93289999999998896</v>
      </c>
      <c r="AD3926">
        <v>-1.09433474931799</v>
      </c>
      <c r="AE3926">
        <v>-8.7939999999999792</v>
      </c>
      <c r="AF3926">
        <v>3.7208409382549799</v>
      </c>
      <c r="AG3926">
        <v>-1.09433474931799</v>
      </c>
      <c r="AH3926">
        <v>7.87520525715889</v>
      </c>
      <c r="AI3926">
        <v>97.161212995646807</v>
      </c>
      <c r="AJ3926">
        <v>64.710416755617402</v>
      </c>
      <c r="AK3926">
        <v>8.7784442627234398</v>
      </c>
      <c r="AL3926">
        <v>89.046296951501105</v>
      </c>
      <c r="AM3926">
        <v>78.214045190677197</v>
      </c>
      <c r="AN3926">
        <v>1.0000000205538999</v>
      </c>
    </row>
    <row r="3927" spans="1:40" x14ac:dyDescent="0.25">
      <c r="A3927" t="str">
        <f>"20190312154914586"</f>
        <v>20190312154914586</v>
      </c>
      <c r="B3927" t="str">
        <f>"1552376954579667"</f>
        <v>1552376954579667</v>
      </c>
      <c r="C3927" t="s">
        <v>40</v>
      </c>
      <c r="D3927">
        <v>4.9970400000000001</v>
      </c>
      <c r="E3927">
        <v>0.57840469999999999</v>
      </c>
      <c r="F3927" t="s">
        <v>42</v>
      </c>
      <c r="G3927">
        <v>-193.88149999999999</v>
      </c>
      <c r="H3927" s="1">
        <v>-2.0992449999999999E-6</v>
      </c>
      <c r="I3927">
        <v>192.07509999999999</v>
      </c>
      <c r="J3927">
        <v>-192.977</v>
      </c>
      <c r="K3927">
        <v>1.094435</v>
      </c>
      <c r="L3927">
        <v>202.0361</v>
      </c>
      <c r="M3927">
        <v>0.31109490000000001</v>
      </c>
      <c r="N3927">
        <v>0</v>
      </c>
      <c r="O3927">
        <v>-0.95021650000000002</v>
      </c>
      <c r="P3927">
        <v>0.1159279</v>
      </c>
      <c r="Q3927">
        <v>6.9038370000000003E-3</v>
      </c>
      <c r="R3927">
        <v>-0.9932337</v>
      </c>
      <c r="S3927">
        <v>-0.24676509999999999</v>
      </c>
      <c r="T3927">
        <v>-0.32700089999999998</v>
      </c>
      <c r="U3927">
        <v>-3.06073</v>
      </c>
      <c r="V3927">
        <v>0.19961989999999999</v>
      </c>
      <c r="W3927">
        <v>1.6752710000000001E-2</v>
      </c>
      <c r="X3927">
        <v>0.9797302</v>
      </c>
      <c r="Y3927">
        <v>0.38606629999999997</v>
      </c>
      <c r="Z3927">
        <v>9.4031699999999996E-2</v>
      </c>
      <c r="AA3927">
        <v>0.91766599999999998</v>
      </c>
      <c r="AB3927">
        <v>29</v>
      </c>
      <c r="AC3927">
        <v>-0.90449999999998398</v>
      </c>
      <c r="AD3927">
        <v>-1.0944370992450001</v>
      </c>
      <c r="AE3927">
        <v>-9.9610000000000092</v>
      </c>
      <c r="AF3927">
        <v>3.9120581873621698</v>
      </c>
      <c r="AG3927">
        <v>-1.0944370992450001</v>
      </c>
      <c r="AH3927">
        <v>9.0764643062099104</v>
      </c>
      <c r="AI3927">
        <v>96.318742969428101</v>
      </c>
      <c r="AJ3927">
        <v>66.683414404474803</v>
      </c>
      <c r="AK3927">
        <v>9.9440533047351405</v>
      </c>
      <c r="AL3927">
        <v>89.040095528792506</v>
      </c>
      <c r="AM3927">
        <v>78.483629141502803</v>
      </c>
      <c r="AN3927">
        <v>1.0000000112801899</v>
      </c>
    </row>
    <row r="3928" spans="1:40" x14ac:dyDescent="0.25">
      <c r="A3928" t="str">
        <f>"20190312154914602"</f>
        <v>20190312154914602</v>
      </c>
      <c r="B3928" t="str">
        <f>"1552376954589427"</f>
        <v>1552376954589427</v>
      </c>
      <c r="C3928" t="s">
        <v>40</v>
      </c>
      <c r="D3928">
        <v>5.0635440000000003</v>
      </c>
      <c r="E3928">
        <v>0.57779630000000004</v>
      </c>
      <c r="F3928" t="s">
        <v>42</v>
      </c>
      <c r="G3928">
        <v>-193.8903</v>
      </c>
      <c r="H3928" s="1">
        <v>-1.9824299999999998E-6</v>
      </c>
      <c r="I3928">
        <v>191.79730000000001</v>
      </c>
      <c r="J3928">
        <v>-192.9238</v>
      </c>
      <c r="K3928">
        <v>1.094522</v>
      </c>
      <c r="L3928">
        <v>201.83250000000001</v>
      </c>
      <c r="M3928">
        <v>0.29794389999999998</v>
      </c>
      <c r="N3928">
        <v>0</v>
      </c>
      <c r="O3928">
        <v>-0.9544222</v>
      </c>
      <c r="P3928">
        <v>0.1049924</v>
      </c>
      <c r="Q3928">
        <v>6.8622209999999999E-3</v>
      </c>
      <c r="R3928">
        <v>-0.99444920000000003</v>
      </c>
      <c r="S3928">
        <v>-0.2724762</v>
      </c>
      <c r="T3928">
        <v>-0.32650020000000002</v>
      </c>
      <c r="U3928">
        <v>-3.0545040000000001</v>
      </c>
      <c r="V3928">
        <v>0.19686529999999999</v>
      </c>
      <c r="W3928">
        <v>1.6840919999999999E-2</v>
      </c>
      <c r="X3928">
        <v>0.98028590000000004</v>
      </c>
      <c r="Y3928">
        <v>0.38114300000000001</v>
      </c>
      <c r="Z3928">
        <v>9.4822219999999999E-2</v>
      </c>
      <c r="AA3928">
        <v>0.91964049999999997</v>
      </c>
      <c r="AB3928">
        <v>29</v>
      </c>
      <c r="AC3928">
        <v>-0.96649999999999603</v>
      </c>
      <c r="AD3928">
        <v>-1.0945239824299999</v>
      </c>
      <c r="AE3928">
        <v>-10.0352</v>
      </c>
      <c r="AF3928">
        <v>3.8673942936846002</v>
      </c>
      <c r="AG3928">
        <v>-1.0945239824299999</v>
      </c>
      <c r="AH3928">
        <v>9.1830475098045099</v>
      </c>
      <c r="AI3928">
        <v>96.268565904283307</v>
      </c>
      <c r="AJ3928">
        <v>67.161851935094205</v>
      </c>
      <c r="AK3928">
        <v>10.024125046021</v>
      </c>
      <c r="AL3928">
        <v>89.035040748324704</v>
      </c>
      <c r="AM3928">
        <v>78.644658367170607</v>
      </c>
      <c r="AN3928">
        <v>1.00000000433467</v>
      </c>
    </row>
    <row r="3929" spans="1:40" x14ac:dyDescent="0.25">
      <c r="A3929" t="str">
        <f>"20190312154914621"</f>
        <v>20190312154914621</v>
      </c>
      <c r="B3929" t="str">
        <f>"1552376954609923"</f>
        <v>1552376954609923</v>
      </c>
      <c r="C3929" t="s">
        <v>40</v>
      </c>
      <c r="D3929">
        <v>5.0016819999999997</v>
      </c>
      <c r="E3929">
        <v>0.56875559999999903</v>
      </c>
      <c r="F3929" t="s">
        <v>42</v>
      </c>
      <c r="G3929">
        <v>-193.92930000000001</v>
      </c>
      <c r="H3929" s="1">
        <v>-1.929228E-6</v>
      </c>
      <c r="I3929">
        <v>191.64920000000001</v>
      </c>
      <c r="J3929">
        <v>-192.86619999999999</v>
      </c>
      <c r="K3929">
        <v>1.0946260000000001</v>
      </c>
      <c r="L3929">
        <v>201.5984</v>
      </c>
      <c r="M3929">
        <v>0.28287309999999999</v>
      </c>
      <c r="N3929">
        <v>0</v>
      </c>
      <c r="O3929">
        <v>-0.9589974</v>
      </c>
      <c r="P3929">
        <v>9.4350020000000007E-2</v>
      </c>
      <c r="Q3929">
        <v>6.1736480000000003E-3</v>
      </c>
      <c r="R3929">
        <v>-0.99551990000000001</v>
      </c>
      <c r="S3929">
        <v>-0.30123899999999998</v>
      </c>
      <c r="T3929">
        <v>-0.3279067</v>
      </c>
      <c r="U3929">
        <v>-3.0508120000000001</v>
      </c>
      <c r="V3929">
        <v>0.19187940000000001</v>
      </c>
      <c r="W3929">
        <v>1.6370820000000001E-2</v>
      </c>
      <c r="X3929">
        <v>0.98128199999999999</v>
      </c>
      <c r="Y3929">
        <v>0.37526159999999997</v>
      </c>
      <c r="Z3929">
        <v>9.6158270000000004E-2</v>
      </c>
      <c r="AA3929">
        <v>0.92191769999999995</v>
      </c>
      <c r="AB3929">
        <v>29</v>
      </c>
      <c r="AC3929">
        <v>-1.0631000000000199</v>
      </c>
      <c r="AD3929">
        <v>-1.0946279292279999</v>
      </c>
      <c r="AE3929">
        <v>-9.9491999999999905</v>
      </c>
      <c r="AF3929">
        <v>3.7891108594401302</v>
      </c>
      <c r="AG3929">
        <v>-1.0946279292279999</v>
      </c>
      <c r="AH3929">
        <v>9.1326515952658696</v>
      </c>
      <c r="AI3929">
        <v>96.317389640846997</v>
      </c>
      <c r="AJ3929">
        <v>67.466578612267497</v>
      </c>
      <c r="AK3929">
        <v>9.9479091556510202</v>
      </c>
      <c r="AL3929">
        <v>89.061979238299301</v>
      </c>
      <c r="AM3929">
        <v>78.936014810363403</v>
      </c>
      <c r="AN3929">
        <v>1.00000003570791</v>
      </c>
    </row>
    <row r="3930" spans="1:40" x14ac:dyDescent="0.25">
      <c r="A3930" t="str">
        <f>"20190312154914644"</f>
        <v>20190312154914644</v>
      </c>
      <c r="B3930" t="str">
        <f>"1552376954640180"</f>
        <v>1552376954640180</v>
      </c>
      <c r="C3930" t="s">
        <v>40</v>
      </c>
      <c r="D3930">
        <v>4.8014349999999997</v>
      </c>
      <c r="E3930">
        <v>0.56822439999999996</v>
      </c>
      <c r="F3930" t="s">
        <v>42</v>
      </c>
      <c r="G3930">
        <v>-193.69990000000001</v>
      </c>
      <c r="H3930" s="1">
        <v>-1.9870230000000002E-6</v>
      </c>
      <c r="I3930">
        <v>191.92609999999999</v>
      </c>
      <c r="J3930">
        <v>-192.80099999999999</v>
      </c>
      <c r="K3930">
        <v>1.0947750000000001</v>
      </c>
      <c r="L3930">
        <v>201.31299999999999</v>
      </c>
      <c r="M3930">
        <v>0.26459820000000001</v>
      </c>
      <c r="N3930">
        <v>0</v>
      </c>
      <c r="O3930">
        <v>-0.96420059999999996</v>
      </c>
      <c r="P3930">
        <v>8.0338510000000002E-2</v>
      </c>
      <c r="Q3930">
        <v>5.8168739999999997E-3</v>
      </c>
      <c r="R3930">
        <v>-0.99675080000000005</v>
      </c>
      <c r="S3930">
        <v>-0.26206970000000002</v>
      </c>
      <c r="T3930">
        <v>-0.34409620000000002</v>
      </c>
      <c r="U3930">
        <v>-3.0404819999999999</v>
      </c>
      <c r="V3930">
        <v>0.1870137</v>
      </c>
      <c r="W3930">
        <v>1.6231599999999999E-2</v>
      </c>
      <c r="X3930">
        <v>0.98222319999999996</v>
      </c>
      <c r="Y3930">
        <v>0.34595090000000001</v>
      </c>
      <c r="Z3930">
        <v>0.10276540000000001</v>
      </c>
      <c r="AA3930">
        <v>0.93260779999999999</v>
      </c>
      <c r="AB3930">
        <v>28</v>
      </c>
      <c r="AC3930">
        <v>-0.89890000000002501</v>
      </c>
      <c r="AD3930">
        <v>-1.094776987023</v>
      </c>
      <c r="AE3930">
        <v>-9.38689999999999</v>
      </c>
      <c r="AF3930">
        <v>3.3064221110838798</v>
      </c>
      <c r="AG3930">
        <v>-1.094776987023</v>
      </c>
      <c r="AH3930">
        <v>8.6971270751129293</v>
      </c>
      <c r="AI3930">
        <v>96.710674878396105</v>
      </c>
      <c r="AJ3930">
        <v>69.184494961683498</v>
      </c>
      <c r="AK3930">
        <v>9.3686169304034408</v>
      </c>
      <c r="AL3930">
        <v>89.069956984869506</v>
      </c>
      <c r="AM3930">
        <v>79.220004661820994</v>
      </c>
      <c r="AN3930">
        <v>1.0000000017222399</v>
      </c>
    </row>
    <row r="3931" spans="1:40" x14ac:dyDescent="0.25">
      <c r="A3931" t="str">
        <f>"20190312154914666"</f>
        <v>20190312154914666</v>
      </c>
      <c r="B3931" t="str">
        <f>"1552376954659699"</f>
        <v>1552376954659699</v>
      </c>
      <c r="C3931" t="s">
        <v>40</v>
      </c>
      <c r="D3931">
        <v>4.8180399999999999</v>
      </c>
      <c r="E3931">
        <v>0.56861070000000002</v>
      </c>
      <c r="F3931" t="s">
        <v>42</v>
      </c>
      <c r="G3931">
        <v>-193.79329999999999</v>
      </c>
      <c r="H3931" s="1">
        <v>-1.7349769999999999E-6</v>
      </c>
      <c r="I3931">
        <v>191.2807</v>
      </c>
      <c r="J3931">
        <v>-192.74090000000001</v>
      </c>
      <c r="K3931">
        <v>1.094951</v>
      </c>
      <c r="L3931">
        <v>201.02449999999999</v>
      </c>
      <c r="M3931">
        <v>0.24629989999999999</v>
      </c>
      <c r="N3931">
        <v>0</v>
      </c>
      <c r="O3931">
        <v>-0.96903709999999998</v>
      </c>
      <c r="P3931">
        <v>6.6528509999999999E-2</v>
      </c>
      <c r="Q3931">
        <v>5.6277439999999996E-3</v>
      </c>
      <c r="R3931">
        <v>-0.99776880000000001</v>
      </c>
      <c r="S3931">
        <v>-0.30027769999999998</v>
      </c>
      <c r="T3931">
        <v>-0.33129389999999997</v>
      </c>
      <c r="U3931">
        <v>-3.0359039999999999</v>
      </c>
      <c r="V3931">
        <v>0.182007</v>
      </c>
      <c r="W3931">
        <v>1.6265930000000001E-2</v>
      </c>
      <c r="X3931">
        <v>0.98316269999999994</v>
      </c>
      <c r="Y3931">
        <v>0.33998440000000002</v>
      </c>
      <c r="Z3931">
        <v>9.9980150000000004E-2</v>
      </c>
      <c r="AA3931">
        <v>0.93510139999999997</v>
      </c>
      <c r="AB3931">
        <v>28</v>
      </c>
      <c r="AC3931">
        <v>-1.05239999999997</v>
      </c>
      <c r="AD3931">
        <v>-1.0949527349770001</v>
      </c>
      <c r="AE3931">
        <v>-9.7437999999999896</v>
      </c>
      <c r="AF3931">
        <v>3.3780643470018701</v>
      </c>
      <c r="AG3931">
        <v>-1.0949527349770001</v>
      </c>
      <c r="AH3931">
        <v>9.0710629422934801</v>
      </c>
      <c r="AI3931">
        <v>96.4538137068472</v>
      </c>
      <c r="AJ3931">
        <v>69.574666456228798</v>
      </c>
      <c r="AK3931">
        <v>9.7413768599397095</v>
      </c>
      <c r="AL3931">
        <v>89.067989770255906</v>
      </c>
      <c r="AM3931">
        <v>79.5119131003284</v>
      </c>
      <c r="AN3931">
        <v>1.00000001159952</v>
      </c>
    </row>
    <row r="3932" spans="1:40" x14ac:dyDescent="0.25">
      <c r="A3932" t="str">
        <f>"20190312154914688"</f>
        <v>20190312154914688</v>
      </c>
      <c r="B3932" t="str">
        <f>"1552376954679219"</f>
        <v>1552376954679219</v>
      </c>
      <c r="C3932" t="s">
        <v>40</v>
      </c>
      <c r="D3932">
        <v>4.8040469999999997</v>
      </c>
      <c r="E3932">
        <v>0.56588109999999903</v>
      </c>
      <c r="F3932" t="s">
        <v>42</v>
      </c>
      <c r="G3932">
        <v>-194.45079999999999</v>
      </c>
      <c r="H3932" s="1">
        <v>-3.8652639999999999E-6</v>
      </c>
      <c r="I3932">
        <v>186.02510000000001</v>
      </c>
      <c r="J3932">
        <v>-192.68700000000001</v>
      </c>
      <c r="K3932">
        <v>1.095153</v>
      </c>
      <c r="L3932">
        <v>200.73830000000001</v>
      </c>
      <c r="M3932">
        <v>0.22835150000000001</v>
      </c>
      <c r="N3932">
        <v>0</v>
      </c>
      <c r="O3932">
        <v>-0.97342399999999996</v>
      </c>
      <c r="P3932">
        <v>5.2652379999999999E-2</v>
      </c>
      <c r="Q3932">
        <v>4.7505680000000002E-3</v>
      </c>
      <c r="R3932">
        <v>-0.99860199999999999</v>
      </c>
      <c r="S3932">
        <v>-0.34551999999999999</v>
      </c>
      <c r="T3932">
        <v>-0.2212623</v>
      </c>
      <c r="U3932">
        <v>-3.0310060000000001</v>
      </c>
      <c r="V3932">
        <v>0.17746589999999901</v>
      </c>
      <c r="W3932">
        <v>1.5589860000000001E-2</v>
      </c>
      <c r="X3932">
        <v>0.98400350000000003</v>
      </c>
      <c r="Y3932">
        <v>0.33690120000000001</v>
      </c>
      <c r="Z3932">
        <v>6.7562469999999999E-2</v>
      </c>
      <c r="AA3932">
        <v>0.93911279999999997</v>
      </c>
      <c r="AB3932">
        <v>28</v>
      </c>
      <c r="AC3932">
        <v>-1.7637999999999701</v>
      </c>
      <c r="AD3932">
        <v>-1.095156865264</v>
      </c>
      <c r="AE3932">
        <v>-14.713200000000001</v>
      </c>
      <c r="AF3932">
        <v>5.04988968576769</v>
      </c>
      <c r="AG3932">
        <v>-1.095156865264</v>
      </c>
      <c r="AH3932">
        <v>13.8458886305965</v>
      </c>
      <c r="AI3932">
        <v>94.249732508230096</v>
      </c>
      <c r="AJ3932">
        <v>69.962013149299594</v>
      </c>
      <c r="AK3932">
        <v>14.778680129458101</v>
      </c>
      <c r="AL3932">
        <v>89.106730666964296</v>
      </c>
      <c r="AM3932">
        <v>79.776554292050506</v>
      </c>
      <c r="AN3932">
        <v>1.0000000387049299</v>
      </c>
    </row>
    <row r="3933" spans="1:40" x14ac:dyDescent="0.25">
      <c r="A3933" t="str">
        <f>"20190312154914710"</f>
        <v>20190312154914710</v>
      </c>
      <c r="B3933" t="str">
        <f>"1552376954699715"</f>
        <v>1552376954699715</v>
      </c>
      <c r="C3933" t="s">
        <v>40</v>
      </c>
      <c r="D3933">
        <v>4.8607180000000003</v>
      </c>
      <c r="E3933">
        <v>0.56397749999999902</v>
      </c>
      <c r="F3933" t="s">
        <v>42</v>
      </c>
      <c r="G3933">
        <v>-194.47280000000001</v>
      </c>
      <c r="H3933" s="1">
        <v>-3.852925E-6</v>
      </c>
      <c r="I3933">
        <v>185.97730000000001</v>
      </c>
      <c r="J3933">
        <v>-192.64089999999999</v>
      </c>
      <c r="K3933">
        <v>1.095351</v>
      </c>
      <c r="L3933">
        <v>200.4684</v>
      </c>
      <c r="M3933">
        <v>0.21159140000000001</v>
      </c>
      <c r="N3933">
        <v>0</v>
      </c>
      <c r="O3933">
        <v>-0.9772052</v>
      </c>
      <c r="P3933">
        <v>4.032616E-2</v>
      </c>
      <c r="Q3933">
        <v>3.8481689999999998E-3</v>
      </c>
      <c r="R3933">
        <v>-0.99917940000000005</v>
      </c>
      <c r="S3933">
        <v>-0.365921</v>
      </c>
      <c r="T3933">
        <v>-0.2244015</v>
      </c>
      <c r="U3933">
        <v>-3.0245820000000001</v>
      </c>
      <c r="V3933">
        <v>0.17265910000000001</v>
      </c>
      <c r="W3933">
        <v>1.489042E-2</v>
      </c>
      <c r="X3933">
        <v>0.98486910000000005</v>
      </c>
      <c r="Y3933">
        <v>0.32716729999999999</v>
      </c>
      <c r="Z3933">
        <v>6.9178950000000003E-2</v>
      </c>
      <c r="AA3933">
        <v>0.94243080000000001</v>
      </c>
      <c r="AB3933">
        <v>28</v>
      </c>
      <c r="AC3933">
        <v>-1.8319000000000101</v>
      </c>
      <c r="AD3933">
        <v>-1.0953548529249999</v>
      </c>
      <c r="AE3933">
        <v>-14.4910999999999</v>
      </c>
      <c r="AF3933">
        <v>4.8298988557292502</v>
      </c>
      <c r="AG3933">
        <v>-1.0953548529249999</v>
      </c>
      <c r="AH3933">
        <v>13.6981896828282</v>
      </c>
      <c r="AI3933">
        <v>94.312683330177606</v>
      </c>
      <c r="AJ3933">
        <v>70.577657822733798</v>
      </c>
      <c r="AK3933">
        <v>14.5659920979363</v>
      </c>
      <c r="AL3933">
        <v>89.146810262296995</v>
      </c>
      <c r="AM3933">
        <v>80.056425655710697</v>
      </c>
      <c r="AN3933">
        <v>1.0000000167776899</v>
      </c>
    </row>
    <row r="3934" spans="1:40" x14ac:dyDescent="0.25">
      <c r="A3934" t="str">
        <f>"20190312154914731"</f>
        <v>20190312154914731</v>
      </c>
      <c r="B3934" t="str">
        <f>"1552376954719235"</f>
        <v>1552376954719235</v>
      </c>
      <c r="C3934" t="s">
        <v>40</v>
      </c>
      <c r="D3934">
        <v>4.8356539999999999</v>
      </c>
      <c r="E3934">
        <v>0.56278660000000003</v>
      </c>
      <c r="F3934" t="s">
        <v>42</v>
      </c>
      <c r="G3934">
        <v>-194.5086</v>
      </c>
      <c r="H3934" s="1">
        <v>-3.8473999999999998E-6</v>
      </c>
      <c r="I3934">
        <v>185.94239999999999</v>
      </c>
      <c r="J3934">
        <v>-192.59719999999999</v>
      </c>
      <c r="K3934">
        <v>1.095572</v>
      </c>
      <c r="L3934">
        <v>200.1831</v>
      </c>
      <c r="M3934">
        <v>0.1940944</v>
      </c>
      <c r="N3934">
        <v>0</v>
      </c>
      <c r="O3934">
        <v>-0.98083160000000003</v>
      </c>
      <c r="P3934">
        <v>2.6795099999999902E-2</v>
      </c>
      <c r="Q3934">
        <v>4.3005079999999998E-3</v>
      </c>
      <c r="R3934">
        <v>-0.99963179999999996</v>
      </c>
      <c r="S3934">
        <v>-0.38816830000000002</v>
      </c>
      <c r="T3934">
        <v>-0.22765340000000001</v>
      </c>
      <c r="U3934">
        <v>-3.019012</v>
      </c>
      <c r="V3934">
        <v>0.16839699999999999</v>
      </c>
      <c r="W3934">
        <v>1.5524069999999999E-2</v>
      </c>
      <c r="X3934">
        <v>0.98559699999999995</v>
      </c>
      <c r="Y3934">
        <v>0.317297099999999</v>
      </c>
      <c r="Z3934">
        <v>7.0806679999999997E-2</v>
      </c>
      <c r="AA3934">
        <v>0.94567909999999999</v>
      </c>
      <c r="AB3934">
        <v>28</v>
      </c>
      <c r="AC3934">
        <v>-1.91140000000001</v>
      </c>
      <c r="AD3934">
        <v>-1.0955758473999999</v>
      </c>
      <c r="AE3934">
        <v>-14.2407</v>
      </c>
      <c r="AF3934">
        <v>4.61267240651385</v>
      </c>
      <c r="AG3934">
        <v>-1.0955758473999999</v>
      </c>
      <c r="AH3934">
        <v>13.520149436486401</v>
      </c>
      <c r="AI3934">
        <v>94.385558761096902</v>
      </c>
      <c r="AJ3934">
        <v>71.161887048980901</v>
      </c>
      <c r="AK3934">
        <v>14.3272982083903</v>
      </c>
      <c r="AL3934">
        <v>89.110500574732598</v>
      </c>
      <c r="AM3934">
        <v>80.304189969293503</v>
      </c>
      <c r="AN3934">
        <v>0.99999999638368198</v>
      </c>
    </row>
    <row r="3935" spans="1:40" x14ac:dyDescent="0.25">
      <c r="A3935" t="str">
        <f>"20190312154914755"</f>
        <v>20190312154914755</v>
      </c>
      <c r="B3935" t="str">
        <f>"1552376954749491"</f>
        <v>1552376954749491</v>
      </c>
      <c r="C3935" t="s">
        <v>40</v>
      </c>
      <c r="D3935">
        <v>4.8994780000000002</v>
      </c>
      <c r="E3935">
        <v>0.52461759999999902</v>
      </c>
      <c r="F3935" t="s">
        <v>42</v>
      </c>
      <c r="G3935">
        <v>-194.54490000000001</v>
      </c>
      <c r="H3935" s="1">
        <v>-3.9339050000000001E-6</v>
      </c>
      <c r="I3935">
        <v>186.17769999999999</v>
      </c>
      <c r="J3935">
        <v>-192.5573</v>
      </c>
      <c r="K3935">
        <v>1.095831</v>
      </c>
      <c r="L3935">
        <v>199.88820000000001</v>
      </c>
      <c r="M3935">
        <v>0.17628569999999999</v>
      </c>
      <c r="N3935">
        <v>0</v>
      </c>
      <c r="O3935">
        <v>-0.98418969999999995</v>
      </c>
      <c r="P3935">
        <v>1.360038E-2</v>
      </c>
      <c r="Q3935">
        <v>4.8942179999999997E-3</v>
      </c>
      <c r="R3935">
        <v>-0.99989589999999995</v>
      </c>
      <c r="S3935">
        <v>-0.41905209999999998</v>
      </c>
      <c r="T3935">
        <v>-0.2357206</v>
      </c>
      <c r="U3935">
        <v>-3.0133510000000001</v>
      </c>
      <c r="V3935">
        <v>0.16354779999999999</v>
      </c>
      <c r="W3935">
        <v>1.632028E-2</v>
      </c>
      <c r="X3935">
        <v>0.98640039999999996</v>
      </c>
      <c r="Y3935">
        <v>0.30981769999999997</v>
      </c>
      <c r="Z3935">
        <v>7.387552E-2</v>
      </c>
      <c r="AA3935">
        <v>0.94792160000000003</v>
      </c>
      <c r="AB3935">
        <v>28</v>
      </c>
      <c r="AC3935">
        <v>-1.98760000000001</v>
      </c>
      <c r="AD3935">
        <v>-1.095834933905</v>
      </c>
      <c r="AE3935">
        <v>-13.7105</v>
      </c>
      <c r="AF3935">
        <v>4.3465878425689599</v>
      </c>
      <c r="AG3935">
        <v>-1.095834933905</v>
      </c>
      <c r="AH3935">
        <v>13.063544067546999</v>
      </c>
      <c r="AI3935">
        <v>94.550848627187193</v>
      </c>
      <c r="AJ3935">
        <v>71.596346800235906</v>
      </c>
      <c r="AK3935">
        <v>13.8112223818269</v>
      </c>
      <c r="AL3935">
        <v>89.064875312717305</v>
      </c>
      <c r="AM3935">
        <v>80.585851094853197</v>
      </c>
      <c r="AN3935">
        <v>0.99999999177213905</v>
      </c>
    </row>
    <row r="3936" spans="1:40" x14ac:dyDescent="0.25">
      <c r="A3936" t="str">
        <f>"20190312154914776"</f>
        <v>20190312154914776</v>
      </c>
      <c r="B3936" t="str">
        <f>"1552376954769987"</f>
        <v>1552376954769987</v>
      </c>
      <c r="C3936" t="s">
        <v>40</v>
      </c>
      <c r="D3936">
        <v>4.8538209999999999</v>
      </c>
      <c r="E3936">
        <v>0.5172812</v>
      </c>
      <c r="F3936" t="s">
        <v>42</v>
      </c>
      <c r="G3936">
        <v>-193.69720000000001</v>
      </c>
      <c r="H3936" s="1">
        <v>-4.3128259999999999E-6</v>
      </c>
      <c r="I3936">
        <v>177.73310000000001</v>
      </c>
      <c r="J3936">
        <v>-192.52379999999999</v>
      </c>
      <c r="K3936">
        <v>1.096098</v>
      </c>
      <c r="L3936">
        <v>199.60499999999999</v>
      </c>
      <c r="M3936">
        <v>0.15949349999999901</v>
      </c>
      <c r="N3936">
        <v>0</v>
      </c>
      <c r="O3936">
        <v>-0.98705160000000003</v>
      </c>
      <c r="P3936">
        <v>1.470828E-3</v>
      </c>
      <c r="Q3936">
        <v>4.8279559999999996E-3</v>
      </c>
      <c r="R3936">
        <v>-0.99998750000000003</v>
      </c>
      <c r="S3936">
        <v>-0.1545105</v>
      </c>
      <c r="T3936">
        <v>-0.14854059999999999</v>
      </c>
      <c r="U3936">
        <v>-3.0031279999999998</v>
      </c>
      <c r="V3936">
        <v>0.1586921</v>
      </c>
      <c r="W3936">
        <v>1.645187E-2</v>
      </c>
      <c r="X3936">
        <v>0.98719100000000004</v>
      </c>
      <c r="Y3936">
        <v>0.20996809999999999</v>
      </c>
      <c r="Z3936">
        <v>4.7869460000000003E-2</v>
      </c>
      <c r="AA3936">
        <v>0.97653570000000001</v>
      </c>
      <c r="AB3936">
        <v>28</v>
      </c>
      <c r="AC3936">
        <v>-1.17340000000001</v>
      </c>
      <c r="AD3936">
        <v>-1.0961023128259999</v>
      </c>
      <c r="AE3936">
        <v>-21.871899999999901</v>
      </c>
      <c r="AF3936">
        <v>4.6356993370719204</v>
      </c>
      <c r="AG3936">
        <v>-1.0961023128259999</v>
      </c>
      <c r="AH3936">
        <v>21.351189297326702</v>
      </c>
      <c r="AI3936">
        <v>92.872006387146499</v>
      </c>
      <c r="AJ3936">
        <v>77.750251882394394</v>
      </c>
      <c r="AK3936">
        <v>21.876115583763699</v>
      </c>
      <c r="AL3936">
        <v>89.057334717306404</v>
      </c>
      <c r="AM3936">
        <v>80.867763893825696</v>
      </c>
      <c r="AN3936">
        <v>0.99999995855495205</v>
      </c>
    </row>
    <row r="3937" spans="1:40" x14ac:dyDescent="0.25">
      <c r="A3937" t="str">
        <f>"20190312154914799"</f>
        <v>20190312154914799</v>
      </c>
      <c r="B3937" t="str">
        <f>"1552376954789507"</f>
        <v>1552376954789507</v>
      </c>
      <c r="C3937" t="s">
        <v>40</v>
      </c>
      <c r="D3937">
        <v>4.8546399999999998</v>
      </c>
      <c r="E3937">
        <v>0.51444889999999999</v>
      </c>
      <c r="F3937" t="s">
        <v>42</v>
      </c>
      <c r="G3937">
        <v>-193.60640000000001</v>
      </c>
      <c r="H3937" s="1">
        <v>-3.3270289999999998E-6</v>
      </c>
      <c r="I3937">
        <v>175.10769999999999</v>
      </c>
      <c r="J3937">
        <v>-192.49520000000001</v>
      </c>
      <c r="K3937">
        <v>1.0963889999999901</v>
      </c>
      <c r="L3937">
        <v>199.32579999999999</v>
      </c>
      <c r="M3937">
        <v>0.14327309999999999</v>
      </c>
      <c r="N3937">
        <v>0</v>
      </c>
      <c r="O3937">
        <v>-0.98953760000000002</v>
      </c>
      <c r="P3937">
        <v>-9.8464769999999993E-3</v>
      </c>
      <c r="Q3937">
        <v>3.5359900000000001E-3</v>
      </c>
      <c r="R3937">
        <v>-0.99994550000000004</v>
      </c>
      <c r="S3937">
        <v>-0.13261410000000001</v>
      </c>
      <c r="T3937">
        <v>-0.134270899999999</v>
      </c>
      <c r="U3937">
        <v>-3.0008849999999998</v>
      </c>
      <c r="V3937">
        <v>0.15360679999999999</v>
      </c>
      <c r="W3937">
        <v>1.536149E-2</v>
      </c>
      <c r="X3937">
        <v>0.98801269999999997</v>
      </c>
      <c r="Y3937">
        <v>0.18680340000000001</v>
      </c>
      <c r="Z3937">
        <v>4.3591909999999998E-2</v>
      </c>
      <c r="AA3937">
        <v>0.98142969999999896</v>
      </c>
      <c r="AB3937">
        <v>28</v>
      </c>
      <c r="AC3937">
        <v>-1.11119999999999</v>
      </c>
      <c r="AD3937">
        <v>-1.0963923270289999</v>
      </c>
      <c r="AE3937">
        <v>-24.2181</v>
      </c>
      <c r="AF3937">
        <v>4.5607073185148996</v>
      </c>
      <c r="AG3937">
        <v>-1.0963923270289999</v>
      </c>
      <c r="AH3937">
        <v>23.760351112271501</v>
      </c>
      <c r="AI3937">
        <v>92.594670278059695</v>
      </c>
      <c r="AJ3937">
        <v>79.134451767420899</v>
      </c>
      <c r="AK3937">
        <v>24.2189267383661</v>
      </c>
      <c r="AL3937">
        <v>89.119816889429302</v>
      </c>
      <c r="AM3937">
        <v>81.162945301563397</v>
      </c>
      <c r="AN3937">
        <v>1.0000000598712699</v>
      </c>
    </row>
    <row r="3938" spans="1:40" x14ac:dyDescent="0.25">
      <c r="A3938" t="str">
        <f>"20190312154914822"</f>
        <v>20190312154914822</v>
      </c>
      <c r="B3938" t="str">
        <f>"1552376954810003"</f>
        <v>1552376954810003</v>
      </c>
      <c r="C3938" t="s">
        <v>40</v>
      </c>
      <c r="D3938">
        <v>4.8575249999999999</v>
      </c>
      <c r="E3938">
        <v>0.51225710000000002</v>
      </c>
      <c r="F3938" t="s">
        <v>42</v>
      </c>
      <c r="G3938">
        <v>-193.7028</v>
      </c>
      <c r="H3938" s="1">
        <v>-2.9568950000000001E-6</v>
      </c>
      <c r="I3938">
        <v>174.18510000000001</v>
      </c>
      <c r="J3938">
        <v>-192.46899999999999</v>
      </c>
      <c r="K3938">
        <v>1.0967499999999999</v>
      </c>
      <c r="L3938">
        <v>199.02330000000001</v>
      </c>
      <c r="M3938">
        <v>0.12612470000000001</v>
      </c>
      <c r="N3938">
        <v>0</v>
      </c>
      <c r="O3938">
        <v>-0.99187119999999995</v>
      </c>
      <c r="P3938">
        <v>-2.2401190000000001E-2</v>
      </c>
      <c r="Q3938">
        <v>1.6164899999999999E-3</v>
      </c>
      <c r="R3938">
        <v>-0.99974770000000002</v>
      </c>
      <c r="S3938">
        <v>-0.1440582</v>
      </c>
      <c r="T3938">
        <v>-0.13079660000000001</v>
      </c>
      <c r="U3938">
        <v>-2.9992070000000002</v>
      </c>
      <c r="V3938">
        <v>0.14883469999999999</v>
      </c>
      <c r="W3938">
        <v>1.3631219999999999E-2</v>
      </c>
      <c r="X3938">
        <v>0.98876819999999999</v>
      </c>
      <c r="Y3938">
        <v>0.17354600000000001</v>
      </c>
      <c r="Z3938">
        <v>4.2691390000000003E-2</v>
      </c>
      <c r="AA3938">
        <v>0.9839</v>
      </c>
      <c r="AB3938">
        <v>28</v>
      </c>
      <c r="AC3938">
        <v>-1.23379999999997</v>
      </c>
      <c r="AD3938">
        <v>-1.0967529568950001</v>
      </c>
      <c r="AE3938">
        <v>-24.838200000000001</v>
      </c>
      <c r="AF3938">
        <v>4.3486422765644601</v>
      </c>
      <c r="AG3938">
        <v>-1.0967529568950001</v>
      </c>
      <c r="AH3938">
        <v>24.436632712059001</v>
      </c>
      <c r="AI3938">
        <v>92.530099650467207</v>
      </c>
      <c r="AJ3938">
        <v>79.909510901516498</v>
      </c>
      <c r="AK3938">
        <v>24.844769570315002</v>
      </c>
      <c r="AL3938">
        <v>89.218964487044502</v>
      </c>
      <c r="AM3938">
        <v>81.439797509326795</v>
      </c>
      <c r="AN3938">
        <v>1.0000000657070001</v>
      </c>
    </row>
    <row r="3939" spans="1:40" x14ac:dyDescent="0.25">
      <c r="A3939" t="str">
        <f>"20190312154914847"</f>
        <v>20190312154914847</v>
      </c>
      <c r="B3939" t="str">
        <f>"1552376954839284"</f>
        <v>1552376954839284</v>
      </c>
      <c r="C3939" t="s">
        <v>40</v>
      </c>
      <c r="D3939">
        <v>4.761209</v>
      </c>
      <c r="E3939">
        <v>0.51120290000000002</v>
      </c>
      <c r="F3939" t="s">
        <v>42</v>
      </c>
      <c r="G3939">
        <v>-193.76740000000001</v>
      </c>
      <c r="H3939" s="1">
        <v>-3.469624E-6</v>
      </c>
      <c r="I3939">
        <v>175.34020000000001</v>
      </c>
      <c r="J3939">
        <v>-192.44759999999999</v>
      </c>
      <c r="K3939">
        <v>1.097159</v>
      </c>
      <c r="L3939">
        <v>198.71709999999999</v>
      </c>
      <c r="M3939">
        <v>0.1092829</v>
      </c>
      <c r="N3939">
        <v>0</v>
      </c>
      <c r="O3939">
        <v>-0.99386949999999996</v>
      </c>
      <c r="P3939">
        <v>-3.4832620000000002E-2</v>
      </c>
      <c r="Q3939">
        <v>1.142941E-3</v>
      </c>
      <c r="R3939">
        <v>-0.99939259999999996</v>
      </c>
      <c r="S3939">
        <v>-0.16432189999999999</v>
      </c>
      <c r="T3939">
        <v>-0.13880300000000001</v>
      </c>
      <c r="U3939">
        <v>-2.9972840000000001</v>
      </c>
      <c r="V3939">
        <v>0.1443284</v>
      </c>
      <c r="W3939">
        <v>1.333466E-2</v>
      </c>
      <c r="X3939">
        <v>0.98943999999999999</v>
      </c>
      <c r="Y3939">
        <v>0.16349</v>
      </c>
      <c r="Z3939">
        <v>4.5498650000000002E-2</v>
      </c>
      <c r="AA3939">
        <v>0.98549529999999996</v>
      </c>
      <c r="AB3939">
        <v>28</v>
      </c>
      <c r="AC3939">
        <v>-1.3198000000000101</v>
      </c>
      <c r="AD3939">
        <v>-1.0971624696240001</v>
      </c>
      <c r="AE3939">
        <v>-23.3768999999999</v>
      </c>
      <c r="AF3939">
        <v>3.8584747811476499</v>
      </c>
      <c r="AG3939">
        <v>-1.0971624696240001</v>
      </c>
      <c r="AH3939">
        <v>23.042002375059798</v>
      </c>
      <c r="AI3939">
        <v>92.688742513221399</v>
      </c>
      <c r="AJ3939">
        <v>80.493793395360299</v>
      </c>
      <c r="AK3939">
        <v>23.388575556749199</v>
      </c>
      <c r="AL3939">
        <v>89.235957622092798</v>
      </c>
      <c r="AM3939">
        <v>81.700866711433704</v>
      </c>
      <c r="AN3939">
        <v>1.0000000069019299</v>
      </c>
    </row>
    <row r="3940" spans="1:40" x14ac:dyDescent="0.25">
      <c r="A3940" t="str">
        <f>"20190312154914866"</f>
        <v>20190312154914866</v>
      </c>
      <c r="B3940" t="str">
        <f>"1552376954859780"</f>
        <v>1552376954859780</v>
      </c>
      <c r="C3940" t="s">
        <v>40</v>
      </c>
      <c r="D3940">
        <v>4.8341570000000003</v>
      </c>
      <c r="E3940">
        <v>0.50921949999999905</v>
      </c>
      <c r="F3940" t="s">
        <v>42</v>
      </c>
      <c r="G3940">
        <v>-193.95230000000001</v>
      </c>
      <c r="H3940" s="1">
        <v>-3.5409069999999998E-6</v>
      </c>
      <c r="I3940">
        <v>175.39179999999999</v>
      </c>
      <c r="J3940">
        <v>-192.4332</v>
      </c>
      <c r="K3940">
        <v>1.0975440000000001</v>
      </c>
      <c r="L3940">
        <v>198.45679999999999</v>
      </c>
      <c r="M3940">
        <v>9.541811E-2</v>
      </c>
      <c r="N3940">
        <v>0</v>
      </c>
      <c r="O3940">
        <v>-0.99529820000000002</v>
      </c>
      <c r="P3940">
        <v>-4.4363420000000001E-2</v>
      </c>
      <c r="Q3940">
        <v>1.8971770000000001E-3</v>
      </c>
      <c r="R3940">
        <v>-0.99901399999999996</v>
      </c>
      <c r="S3940">
        <v>-0.193222</v>
      </c>
      <c r="T3940">
        <v>-0.14088870000000001</v>
      </c>
      <c r="U3940">
        <v>-2.9952549999999998</v>
      </c>
      <c r="V3940">
        <v>0.13997989999999999</v>
      </c>
      <c r="W3940">
        <v>1.4253439999999999E-2</v>
      </c>
      <c r="X3940">
        <v>0.99005169999999998</v>
      </c>
      <c r="Y3940">
        <v>0.1592451</v>
      </c>
      <c r="Z3940">
        <v>4.6315580000000002E-2</v>
      </c>
      <c r="AA3940">
        <v>0.98615209999999998</v>
      </c>
      <c r="AB3940">
        <v>28</v>
      </c>
      <c r="AC3940">
        <v>-1.5190999999999999</v>
      </c>
      <c r="AD3940">
        <v>-1.0975475409069999</v>
      </c>
      <c r="AE3940">
        <v>-23.065000000000001</v>
      </c>
      <c r="AF3940">
        <v>3.70493733296943</v>
      </c>
      <c r="AG3940">
        <v>-1.0975475409069999</v>
      </c>
      <c r="AH3940">
        <v>22.763440669256699</v>
      </c>
      <c r="AI3940">
        <v>92.724602328289095</v>
      </c>
      <c r="AJ3940">
        <v>80.755699447459605</v>
      </c>
      <c r="AK3940">
        <v>23.0890753896416</v>
      </c>
      <c r="AL3940">
        <v>89.183310349507593</v>
      </c>
      <c r="AM3940">
        <v>81.952493525237003</v>
      </c>
      <c r="AN3940">
        <v>0.99999995081436499</v>
      </c>
    </row>
    <row r="3941" spans="1:40" x14ac:dyDescent="0.25">
      <c r="A3941" t="str">
        <f>"20190312154914880"</f>
        <v>20190312154914880</v>
      </c>
      <c r="B3941" t="str">
        <f>"1552376954869539"</f>
        <v>1552376954869539</v>
      </c>
      <c r="C3941" t="s">
        <v>40</v>
      </c>
      <c r="D3941">
        <v>4.8366179999999996</v>
      </c>
      <c r="E3941">
        <v>0.50841559999999997</v>
      </c>
      <c r="F3941" t="s">
        <v>42</v>
      </c>
      <c r="G3941">
        <v>-194.1096</v>
      </c>
      <c r="H3941" s="1">
        <v>-3.0270220000000002E-6</v>
      </c>
      <c r="I3941">
        <v>174.09630000000001</v>
      </c>
      <c r="J3941">
        <v>-192.4256</v>
      </c>
      <c r="K3941">
        <v>1.0977920000000001</v>
      </c>
      <c r="L3941">
        <v>198.2834</v>
      </c>
      <c r="M3941">
        <v>8.6405889999999999E-2</v>
      </c>
      <c r="N3941">
        <v>0</v>
      </c>
      <c r="O3941">
        <v>-0.99612219999999996</v>
      </c>
      <c r="P3941">
        <v>-5.102197E-2</v>
      </c>
      <c r="Q3941">
        <v>2.2546979999999999E-3</v>
      </c>
      <c r="R3941">
        <v>-0.99869470000000005</v>
      </c>
      <c r="S3941">
        <v>-0.20603940000000001</v>
      </c>
      <c r="T3941">
        <v>-0.1348945</v>
      </c>
      <c r="U3941">
        <v>-2.9940340000000001</v>
      </c>
      <c r="V3941">
        <v>0.13761880000000001</v>
      </c>
      <c r="W3941">
        <v>1.469494E-2</v>
      </c>
      <c r="X3941">
        <v>0.99037620000000004</v>
      </c>
      <c r="Y3941">
        <v>0.15454279999999901</v>
      </c>
      <c r="Z3941">
        <v>4.4433180000000003E-2</v>
      </c>
      <c r="AA3941">
        <v>0.98698649999999999</v>
      </c>
      <c r="AB3941">
        <v>28</v>
      </c>
      <c r="AC3941">
        <v>-1.6839999999999899</v>
      </c>
      <c r="AD3941">
        <v>-1.097795027022</v>
      </c>
      <c r="AE3941">
        <v>-24.187099999999901</v>
      </c>
      <c r="AF3941">
        <v>3.7601862728206599</v>
      </c>
      <c r="AG3941">
        <v>-1.097795027022</v>
      </c>
      <c r="AH3941">
        <v>23.902086637061601</v>
      </c>
      <c r="AI3941">
        <v>92.597776097669893</v>
      </c>
      <c r="AJ3941">
        <v>81.059715743951898</v>
      </c>
      <c r="AK3941">
        <v>24.2209392950246</v>
      </c>
      <c r="AL3941">
        <v>89.158011607519001</v>
      </c>
      <c r="AM3941">
        <v>82.089060108149297</v>
      </c>
      <c r="AN3941">
        <v>0.99999994645073997</v>
      </c>
    </row>
    <row r="3942" spans="1:40" x14ac:dyDescent="0.25">
      <c r="A3942" t="str">
        <f>"20190312154914893"</f>
        <v>20190312154914893</v>
      </c>
      <c r="B3942" t="str">
        <f>"1552376954879299"</f>
        <v>1552376954879299</v>
      </c>
      <c r="C3942" t="s">
        <v>40</v>
      </c>
      <c r="D3942">
        <v>4.8389730000000002</v>
      </c>
      <c r="E3942">
        <v>0.50767429999999902</v>
      </c>
      <c r="F3942" t="s">
        <v>42</v>
      </c>
      <c r="G3942">
        <v>-194.20679999999999</v>
      </c>
      <c r="H3942" s="1">
        <v>-3.0126039999999999E-6</v>
      </c>
      <c r="I3942">
        <v>174.00239999999999</v>
      </c>
      <c r="J3942">
        <v>-192.4195</v>
      </c>
      <c r="K3942">
        <v>1.098036</v>
      </c>
      <c r="L3942">
        <v>198.11519999999999</v>
      </c>
      <c r="M3942">
        <v>7.7803819999999996E-2</v>
      </c>
      <c r="N3942">
        <v>0</v>
      </c>
      <c r="O3942">
        <v>-0.9968323</v>
      </c>
      <c r="P3942">
        <v>-5.7594689999999997E-2</v>
      </c>
      <c r="Q3942">
        <v>2.1733099999999999E-3</v>
      </c>
      <c r="R3942">
        <v>-0.99833769999999999</v>
      </c>
      <c r="S3942">
        <v>-0.2195587</v>
      </c>
      <c r="T3942">
        <v>-0.1353202</v>
      </c>
      <c r="U3942">
        <v>-2.9930110000000001</v>
      </c>
      <c r="V3942">
        <v>0.13557620000000001</v>
      </c>
      <c r="W3942">
        <v>1.4684930000000001E-2</v>
      </c>
      <c r="X3942">
        <v>0.99065809999999999</v>
      </c>
      <c r="Y3942">
        <v>0.15047099999999999</v>
      </c>
      <c r="Z3942">
        <v>4.464332E-2</v>
      </c>
      <c r="AA3942">
        <v>0.98760590000000004</v>
      </c>
      <c r="AB3942">
        <v>28</v>
      </c>
      <c r="AC3942">
        <v>-1.7872999999999799</v>
      </c>
      <c r="AD3942">
        <v>-1.0980390126040001</v>
      </c>
      <c r="AE3942">
        <v>-24.1128</v>
      </c>
      <c r="AF3942">
        <v>3.6506748041150501</v>
      </c>
      <c r="AG3942">
        <v>-1.0980390126040001</v>
      </c>
      <c r="AH3942">
        <v>23.8514192121199</v>
      </c>
      <c r="AI3942">
        <v>92.605542792179605</v>
      </c>
      <c r="AJ3942">
        <v>81.297899734892695</v>
      </c>
      <c r="AK3942">
        <v>24.154157294985101</v>
      </c>
      <c r="AL3942">
        <v>89.158585255467102</v>
      </c>
      <c r="AM3942">
        <v>82.207214531877398</v>
      </c>
      <c r="AN3942">
        <v>1.0000000121355701</v>
      </c>
    </row>
    <row r="3943" spans="1:40" x14ac:dyDescent="0.25">
      <c r="A3943" t="str">
        <f>"20190312154914911"</f>
        <v>20190312154914911</v>
      </c>
      <c r="B3943" t="str">
        <f>"1552376954899795"</f>
        <v>1552376954899795</v>
      </c>
      <c r="C3943" t="s">
        <v>40</v>
      </c>
      <c r="D3943">
        <v>4.9210229999999999</v>
      </c>
      <c r="E3943">
        <v>0.49007240000000002</v>
      </c>
      <c r="F3943" t="s">
        <v>42</v>
      </c>
      <c r="G3943">
        <v>-194.32640000000001</v>
      </c>
      <c r="H3943" s="1">
        <v>-2.8918119999999999E-6</v>
      </c>
      <c r="I3943">
        <v>173.64660000000001</v>
      </c>
      <c r="J3943">
        <v>-192.41329999999999</v>
      </c>
      <c r="K3943">
        <v>1.0983510000000001</v>
      </c>
      <c r="L3943">
        <v>197.89279999999999</v>
      </c>
      <c r="M3943">
        <v>6.6680619999999996E-2</v>
      </c>
      <c r="N3943">
        <v>0</v>
      </c>
      <c r="O3943">
        <v>-0.99763939999999995</v>
      </c>
      <c r="P3943">
        <v>-6.4777829999999995E-2</v>
      </c>
      <c r="Q3943">
        <v>8.0117229999999897E-4</v>
      </c>
      <c r="R3943">
        <v>-0.99789939999999999</v>
      </c>
      <c r="S3943">
        <v>-0.2331696</v>
      </c>
      <c r="T3943">
        <v>-0.134260299999999</v>
      </c>
      <c r="U3943">
        <v>-2.9918369999999999</v>
      </c>
      <c r="V3943">
        <v>0.13160459999999999</v>
      </c>
      <c r="W3943">
        <v>1.3442890000000001E-2</v>
      </c>
      <c r="X3943">
        <v>0.99121110000000001</v>
      </c>
      <c r="Y3943">
        <v>0.1439376</v>
      </c>
      <c r="Z3943">
        <v>4.4380019999999999E-2</v>
      </c>
      <c r="AA3943">
        <v>0.98859109999999994</v>
      </c>
      <c r="AB3943">
        <v>28</v>
      </c>
      <c r="AC3943">
        <v>-1.91310000000001</v>
      </c>
      <c r="AD3943">
        <v>-1.0983538918119999</v>
      </c>
      <c r="AE3943">
        <v>-24.246199999999899</v>
      </c>
      <c r="AF3943">
        <v>3.51863451343708</v>
      </c>
      <c r="AG3943">
        <v>-1.0983538918119999</v>
      </c>
      <c r="AH3943">
        <v>24.0156610469136</v>
      </c>
      <c r="AI3943">
        <v>92.590968670886895</v>
      </c>
      <c r="AJ3943">
        <v>81.664662332928998</v>
      </c>
      <c r="AK3943">
        <v>24.2968958023665</v>
      </c>
      <c r="AL3943">
        <v>89.229755910525995</v>
      </c>
      <c r="AM3943">
        <v>82.436986475667197</v>
      </c>
      <c r="AN3943">
        <v>0.99999996339796005</v>
      </c>
    </row>
    <row r="3944" spans="1:40" x14ac:dyDescent="0.25">
      <c r="A3944" t="str">
        <f>"20190312154914923"</f>
        <v>20190312154914923</v>
      </c>
      <c r="B3944" t="str">
        <f>"1552376954909555"</f>
        <v>1552376954909555</v>
      </c>
      <c r="C3944" t="s">
        <v>40</v>
      </c>
      <c r="D3944">
        <v>4.8462639999999997</v>
      </c>
      <c r="E3944">
        <v>0.49091119999999999</v>
      </c>
      <c r="F3944" t="s">
        <v>41</v>
      </c>
      <c r="G3944">
        <v>-192.44800000000001</v>
      </c>
      <c r="H3944">
        <v>1.0307740000000001</v>
      </c>
      <c r="I3944">
        <v>196.9795</v>
      </c>
      <c r="J3944">
        <v>-192.41</v>
      </c>
      <c r="K3944">
        <v>1.0985969999999901</v>
      </c>
      <c r="L3944">
        <v>197.72640000000001</v>
      </c>
      <c r="M3944">
        <v>5.8545439999999997E-2</v>
      </c>
      <c r="N3944">
        <v>0</v>
      </c>
      <c r="O3944">
        <v>-0.99815109999999996</v>
      </c>
      <c r="P3944">
        <v>-7.098728E-2</v>
      </c>
      <c r="Q3944" s="1">
        <v>6.7758779999999998E-5</v>
      </c>
      <c r="R3944">
        <v>-0.99747739999999996</v>
      </c>
      <c r="S3944">
        <v>-0.1138763</v>
      </c>
      <c r="T3944">
        <v>-0.22171640000000001</v>
      </c>
      <c r="U3944">
        <v>-2.9990999999999999</v>
      </c>
      <c r="V3944">
        <v>0.1296638</v>
      </c>
      <c r="W3944">
        <v>1.2776330000000001E-2</v>
      </c>
      <c r="X3944">
        <v>0.99147569999999996</v>
      </c>
      <c r="Y3944">
        <v>9.6286099999999999E-2</v>
      </c>
      <c r="Z3944">
        <v>7.3339150000000006E-2</v>
      </c>
      <c r="AA3944">
        <v>0.99264810000000003</v>
      </c>
      <c r="AB3944">
        <v>28</v>
      </c>
      <c r="AC3944">
        <v>-3.7999999999982402E-2</v>
      </c>
      <c r="AD3944">
        <v>-6.7822999999999703E-2</v>
      </c>
      <c r="AE3944">
        <v>-0.74690000000001</v>
      </c>
      <c r="AF3944">
        <v>8.1002030347394893E-2</v>
      </c>
      <c r="AG3944">
        <v>-6.7822999999999703E-2</v>
      </c>
      <c r="AH3944">
        <v>0.73732938825025696</v>
      </c>
      <c r="AI3944">
        <v>95.224288187684706</v>
      </c>
      <c r="AJ3944">
        <v>83.730702098041306</v>
      </c>
      <c r="AK3944">
        <v>0.74485966129660797</v>
      </c>
      <c r="AL3944">
        <v>89.267950296192396</v>
      </c>
      <c r="AM3944">
        <v>82.549223366283201</v>
      </c>
      <c r="AN3944">
        <v>0.99999999966459896</v>
      </c>
    </row>
    <row r="3945" spans="1:40" x14ac:dyDescent="0.25">
      <c r="A3945" t="str">
        <f>"20190312154914945"</f>
        <v>20190312154914945</v>
      </c>
      <c r="B3945" t="str">
        <f>"1552376954939810"</f>
        <v>1552376954939810</v>
      </c>
      <c r="C3945" t="s">
        <v>40</v>
      </c>
      <c r="D3945">
        <v>4.7487529999999998</v>
      </c>
      <c r="E3945">
        <v>0.49161769999999999</v>
      </c>
      <c r="F3945" t="s">
        <v>42</v>
      </c>
      <c r="G3945">
        <v>-193.18440000000001</v>
      </c>
      <c r="H3945" s="1">
        <v>-1.470273E-6</v>
      </c>
      <c r="I3945">
        <v>181.04130000000001</v>
      </c>
      <c r="J3945">
        <v>-192.4074</v>
      </c>
      <c r="K3945">
        <v>1.099005</v>
      </c>
      <c r="L3945">
        <v>197.4563</v>
      </c>
      <c r="M3945">
        <v>4.5768639999999999E-2</v>
      </c>
      <c r="N3945">
        <v>0</v>
      </c>
      <c r="O3945">
        <v>-0.99882029999999999</v>
      </c>
      <c r="P3945">
        <v>-7.9931530000000001E-2</v>
      </c>
      <c r="Q3945">
        <v>-9.283971E-4</v>
      </c>
      <c r="R3945">
        <v>-0.99680029999999997</v>
      </c>
      <c r="S3945">
        <v>-0.13914489999999999</v>
      </c>
      <c r="T3945">
        <v>-0.19737640000000001</v>
      </c>
      <c r="U3945">
        <v>-2.997681</v>
      </c>
      <c r="V3945">
        <v>0.12582889999999999</v>
      </c>
      <c r="W3945">
        <v>1.1900920000000001E-2</v>
      </c>
      <c r="X3945">
        <v>0.99198059999999999</v>
      </c>
      <c r="Y3945">
        <v>9.1944769999999995E-2</v>
      </c>
      <c r="Z3945">
        <v>6.5423209999999996E-2</v>
      </c>
      <c r="AA3945">
        <v>0.99361259999999996</v>
      </c>
      <c r="AB3945">
        <v>28</v>
      </c>
      <c r="AC3945">
        <v>-0.77700000000001501</v>
      </c>
      <c r="AD3945">
        <v>-1.099006470273</v>
      </c>
      <c r="AE3945">
        <v>-16.4149999999999</v>
      </c>
      <c r="AF3945">
        <v>1.5207750615329501</v>
      </c>
      <c r="AG3945">
        <v>-1.099006470273</v>
      </c>
      <c r="AH3945">
        <v>16.289373112338701</v>
      </c>
      <c r="AI3945">
        <v>93.843103252393504</v>
      </c>
      <c r="AJ3945">
        <v>84.666329261527906</v>
      </c>
      <c r="AK3945">
        <v>16.3970804841125</v>
      </c>
      <c r="AL3945">
        <v>89.318111433502594</v>
      </c>
      <c r="AM3945">
        <v>82.770859290019104</v>
      </c>
      <c r="AN3945">
        <v>1.0000000273742</v>
      </c>
    </row>
    <row r="3946" spans="1:40" x14ac:dyDescent="0.25">
      <c r="A3946" t="str">
        <f>"20190312154914967"</f>
        <v>20190312154914967</v>
      </c>
      <c r="B3946" t="str">
        <f>"1552376954959331"</f>
        <v>1552376954959331</v>
      </c>
      <c r="C3946" t="s">
        <v>40</v>
      </c>
      <c r="D3946">
        <v>4.8059810000000001</v>
      </c>
      <c r="E3946">
        <v>0.49027730000000003</v>
      </c>
      <c r="F3946" t="s">
        <v>41</v>
      </c>
      <c r="G3946">
        <v>-192.46420000000001</v>
      </c>
      <c r="H3946">
        <v>1.040073</v>
      </c>
      <c r="I3946">
        <v>196.46770000000001</v>
      </c>
      <c r="J3946">
        <v>-192.40809999999999</v>
      </c>
      <c r="K3946">
        <v>1.099458</v>
      </c>
      <c r="L3946">
        <v>197.17769999999999</v>
      </c>
      <c r="M3946">
        <v>3.3172849999999997E-2</v>
      </c>
      <c r="N3946">
        <v>0</v>
      </c>
      <c r="O3946">
        <v>-0.99931990000000004</v>
      </c>
      <c r="P3946">
        <v>-8.6604650000000005E-2</v>
      </c>
      <c r="Q3946">
        <v>-1.7154200000000001E-4</v>
      </c>
      <c r="R3946">
        <v>-0.99624279999999998</v>
      </c>
      <c r="S3946">
        <v>-0.17182919999999999</v>
      </c>
      <c r="T3946">
        <v>-0.1784183</v>
      </c>
      <c r="U3946">
        <v>-2.995682</v>
      </c>
      <c r="V3946">
        <v>0.1199675</v>
      </c>
      <c r="W3946">
        <v>1.2829729999999999E-2</v>
      </c>
      <c r="X3946">
        <v>0.99269490000000005</v>
      </c>
      <c r="Y3946">
        <v>9.0255310000000005E-2</v>
      </c>
      <c r="Z3946">
        <v>5.9234179999999997E-2</v>
      </c>
      <c r="AA3946">
        <v>0.99415560000000003</v>
      </c>
      <c r="AB3946">
        <v>28</v>
      </c>
      <c r="AC3946">
        <v>-5.6100000000014902E-2</v>
      </c>
      <c r="AD3946">
        <v>-5.9385E-2</v>
      </c>
      <c r="AE3946">
        <v>-0.70999999999997898</v>
      </c>
      <c r="AF3946">
        <v>7.9075133085653906E-2</v>
      </c>
      <c r="AG3946">
        <v>-5.9385E-2</v>
      </c>
      <c r="AH3946">
        <v>0.70286133434088505</v>
      </c>
      <c r="AI3946">
        <v>94.799335324596001</v>
      </c>
      <c r="AJ3946">
        <v>83.580953018588801</v>
      </c>
      <c r="AK3946">
        <v>0.70978412930197499</v>
      </c>
      <c r="AL3946">
        <v>89.264890439079096</v>
      </c>
      <c r="AM3946">
        <v>83.109203078360693</v>
      </c>
      <c r="AN3946">
        <v>0.999999983757066</v>
      </c>
    </row>
    <row r="3947" spans="1:40" x14ac:dyDescent="0.25">
      <c r="A3947" t="str">
        <f>"20190312154914990"</f>
        <v>20190312154914990</v>
      </c>
      <c r="B3947" t="str">
        <f>"1552376954979827"</f>
        <v>1552376954979827</v>
      </c>
      <c r="C3947" t="s">
        <v>40</v>
      </c>
      <c r="D3947">
        <v>4.9084519999999996</v>
      </c>
      <c r="E3947">
        <v>0.48928139999999998</v>
      </c>
      <c r="F3947" t="s">
        <v>41</v>
      </c>
      <c r="G3947">
        <v>-192.4667</v>
      </c>
      <c r="H3947">
        <v>1.0464580000000001</v>
      </c>
      <c r="I3947">
        <v>196.2098</v>
      </c>
      <c r="J3947">
        <v>-192.41210000000001</v>
      </c>
      <c r="K3947">
        <v>1.0999300000000001</v>
      </c>
      <c r="L3947">
        <v>196.88650000000001</v>
      </c>
      <c r="M3947">
        <v>2.0513969999999999E-2</v>
      </c>
      <c r="N3947">
        <v>0</v>
      </c>
      <c r="O3947">
        <v>-0.99966189999999999</v>
      </c>
      <c r="P3947">
        <v>-9.6239160000000004E-2</v>
      </c>
      <c r="Q3947">
        <v>1.2661720000000001E-3</v>
      </c>
      <c r="R3947">
        <v>-0.99535779999999996</v>
      </c>
      <c r="S3947">
        <v>-0.18099979999999999</v>
      </c>
      <c r="T3947">
        <v>-0.16387950000000001</v>
      </c>
      <c r="U3947">
        <v>-2.9955440000000002</v>
      </c>
      <c r="V3947">
        <v>0.1170162</v>
      </c>
      <c r="W3947">
        <v>1.4349270000000001E-2</v>
      </c>
      <c r="X3947">
        <v>0.99302630000000003</v>
      </c>
      <c r="Y3947">
        <v>8.0689930000000007E-2</v>
      </c>
      <c r="Z3947">
        <v>5.447022E-2</v>
      </c>
      <c r="AA3947">
        <v>0.99524979999999996</v>
      </c>
      <c r="AB3947">
        <v>28</v>
      </c>
      <c r="AC3947">
        <v>-5.4599999999993501E-2</v>
      </c>
      <c r="AD3947">
        <v>-5.3471999999999902E-2</v>
      </c>
      <c r="AE3947">
        <v>-0.67670000000001096</v>
      </c>
      <c r="AF3947">
        <v>6.8049929851637506E-2</v>
      </c>
      <c r="AG3947">
        <v>-5.3471999999999902E-2</v>
      </c>
      <c r="AH3947">
        <v>0.67127306184663105</v>
      </c>
      <c r="AI3947">
        <v>94.531300713183697</v>
      </c>
      <c r="AJ3947">
        <v>84.211447681846295</v>
      </c>
      <c r="AK3947">
        <v>0.67682905618609801</v>
      </c>
      <c r="AL3947">
        <v>89.177819142751105</v>
      </c>
      <c r="AM3947">
        <v>83.279374547026705</v>
      </c>
      <c r="AN3947">
        <v>0.99999996255182999</v>
      </c>
    </row>
    <row r="3948" spans="1:40" x14ac:dyDescent="0.25">
      <c r="A3948" t="str">
        <f>"20190312154915013"</f>
        <v>20190312154915013</v>
      </c>
      <c r="B3948" t="str">
        <f>"1552376955010083"</f>
        <v>1552376955010083</v>
      </c>
      <c r="C3948" t="s">
        <v>40</v>
      </c>
      <c r="D3948">
        <v>4.7635170000000002</v>
      </c>
      <c r="E3948">
        <v>0.4865969</v>
      </c>
      <c r="F3948" t="s">
        <v>42</v>
      </c>
      <c r="G3948">
        <v>-193.8579</v>
      </c>
      <c r="H3948" s="1">
        <v>-3.527726E-6</v>
      </c>
      <c r="I3948">
        <v>175.4195</v>
      </c>
      <c r="J3948">
        <v>-192.41919999999999</v>
      </c>
      <c r="K3948">
        <v>1.1003810000000001</v>
      </c>
      <c r="L3948">
        <v>196.59700000000001</v>
      </c>
      <c r="M3948">
        <v>8.4413519999999992E-3</v>
      </c>
      <c r="N3948">
        <v>0</v>
      </c>
      <c r="O3948">
        <v>-0.99983869999999997</v>
      </c>
      <c r="P3948">
        <v>-0.10537150000000001</v>
      </c>
      <c r="Q3948">
        <v>5.6089439999999996E-4</v>
      </c>
      <c r="R3948">
        <v>-0.99443320000000002</v>
      </c>
      <c r="S3948">
        <v>-0.2016907</v>
      </c>
      <c r="T3948">
        <v>-0.15344289999999999</v>
      </c>
      <c r="U3948">
        <v>-2.9946899999999999</v>
      </c>
      <c r="V3948">
        <v>0.11410579999999999</v>
      </c>
      <c r="W3948">
        <v>1.372134E-2</v>
      </c>
      <c r="X3948">
        <v>0.99337390000000003</v>
      </c>
      <c r="Y3948">
        <v>7.5530559999999997E-2</v>
      </c>
      <c r="Z3948">
        <v>5.103771E-2</v>
      </c>
      <c r="AA3948">
        <v>0.99583650000000001</v>
      </c>
      <c r="AB3948">
        <v>28</v>
      </c>
      <c r="AC3948">
        <v>-1.4387000000000101</v>
      </c>
      <c r="AD3948">
        <v>-1.100384527726</v>
      </c>
      <c r="AE3948">
        <v>-21.177499999999998</v>
      </c>
      <c r="AF3948">
        <v>1.6131028002940699</v>
      </c>
      <c r="AG3948">
        <v>-1.100384527726</v>
      </c>
      <c r="AH3948">
        <v>21.1078729024666</v>
      </c>
      <c r="AI3948">
        <v>92.9755512630407</v>
      </c>
      <c r="AJ3948">
        <v>85.629844714335206</v>
      </c>
      <c r="AK3948">
        <v>21.1980009722582</v>
      </c>
      <c r="AL3948">
        <v>89.213800501913695</v>
      </c>
      <c r="AM3948">
        <v>83.447329129147803</v>
      </c>
      <c r="AN3948">
        <v>1.00000005698312</v>
      </c>
    </row>
    <row r="3949" spans="1:40" x14ac:dyDescent="0.25">
      <c r="A3949" t="str">
        <f>"20190312154915035"</f>
        <v>20190312154915035</v>
      </c>
      <c r="B3949" t="str">
        <f>"1552376955029603"</f>
        <v>1552376955029603</v>
      </c>
      <c r="C3949" t="s">
        <v>40</v>
      </c>
      <c r="D3949">
        <v>4.7544829999999996</v>
      </c>
      <c r="E3949">
        <v>0.4728754</v>
      </c>
      <c r="F3949" t="s">
        <v>42</v>
      </c>
      <c r="G3949">
        <v>-193.88130000000001</v>
      </c>
      <c r="H3949" s="1">
        <v>-3.5719130000000002E-6</v>
      </c>
      <c r="I3949">
        <v>175.50810000000001</v>
      </c>
      <c r="J3949">
        <v>-192.4288</v>
      </c>
      <c r="K3949">
        <v>1.1008180000000001</v>
      </c>
      <c r="L3949">
        <v>196.3201</v>
      </c>
      <c r="M3949">
        <v>-2.5710809999999998E-3</v>
      </c>
      <c r="N3949">
        <v>0</v>
      </c>
      <c r="O3949">
        <v>-0.99987269999999995</v>
      </c>
      <c r="P3949">
        <v>-0.1122742</v>
      </c>
      <c r="Q3949">
        <v>-1.4759679999999901E-3</v>
      </c>
      <c r="R3949">
        <v>-0.99367649999999996</v>
      </c>
      <c r="S3949">
        <v>-0.20762630000000001</v>
      </c>
      <c r="T3949">
        <v>-0.15626909999999999</v>
      </c>
      <c r="U3949">
        <v>-2.994904</v>
      </c>
      <c r="V3949">
        <v>0.1100013</v>
      </c>
      <c r="W3949">
        <v>1.178792E-2</v>
      </c>
      <c r="X3949">
        <v>0.99386160000000001</v>
      </c>
      <c r="Y3949">
        <v>6.6501589999999999E-2</v>
      </c>
      <c r="Z3949">
        <v>5.1987310000000002E-2</v>
      </c>
      <c r="AA3949">
        <v>0.99643110000000001</v>
      </c>
      <c r="AB3949">
        <v>28</v>
      </c>
      <c r="AC3949">
        <v>-1.4525000000000099</v>
      </c>
      <c r="AD3949">
        <v>-1.1008215719129999</v>
      </c>
      <c r="AE3949">
        <v>-20.811999999999902</v>
      </c>
      <c r="AF3949">
        <v>1.39509504067667</v>
      </c>
      <c r="AG3949">
        <v>-1.1008215719129999</v>
      </c>
      <c r="AH3949">
        <v>20.757872675505801</v>
      </c>
      <c r="AI3949">
        <v>93.028818758780005</v>
      </c>
      <c r="AJ3949">
        <v>86.155047583875998</v>
      </c>
      <c r="AK3949">
        <v>20.833803692994302</v>
      </c>
      <c r="AL3949">
        <v>89.324586332990293</v>
      </c>
      <c r="AM3949">
        <v>83.684169265647199</v>
      </c>
      <c r="AN3949">
        <v>1.00000006050708</v>
      </c>
    </row>
    <row r="3950" spans="1:40" x14ac:dyDescent="0.25">
      <c r="A3950" t="str">
        <f>"20190312154915056"</f>
        <v>20190312154915056</v>
      </c>
      <c r="B3950" t="str">
        <f>"1552376955050099"</f>
        <v>1552376955050099</v>
      </c>
      <c r="C3950" t="s">
        <v>40</v>
      </c>
      <c r="D3950">
        <v>4.7482579999999999</v>
      </c>
      <c r="E3950">
        <v>0.47173969999999998</v>
      </c>
      <c r="F3950" t="s">
        <v>42</v>
      </c>
      <c r="G3950">
        <v>-193.50219999999999</v>
      </c>
      <c r="H3950" s="1">
        <v>-5.3012640000000002E-6</v>
      </c>
      <c r="I3950">
        <v>169.47319999999999</v>
      </c>
      <c r="J3950">
        <v>-192.4409</v>
      </c>
      <c r="K3950">
        <v>1.1012850000000001</v>
      </c>
      <c r="L3950">
        <v>196.04179999999999</v>
      </c>
      <c r="M3950">
        <v>-1.305882E-2</v>
      </c>
      <c r="N3950">
        <v>0</v>
      </c>
      <c r="O3950">
        <v>-0.99979260000000003</v>
      </c>
      <c r="P3950">
        <v>-0.1184211</v>
      </c>
      <c r="Q3950">
        <v>-2.3996059999999999E-3</v>
      </c>
      <c r="R3950">
        <v>-0.99296070000000003</v>
      </c>
      <c r="S3950">
        <v>-0.12016300000000001</v>
      </c>
      <c r="T3950">
        <v>-0.1232294</v>
      </c>
      <c r="U3950">
        <v>-3.005325</v>
      </c>
      <c r="V3950">
        <v>0.1056913</v>
      </c>
      <c r="W3950">
        <v>1.0969720000000001E-2</v>
      </c>
      <c r="X3950">
        <v>0.99433850000000001</v>
      </c>
      <c r="Y3950">
        <v>2.6864530000000001E-2</v>
      </c>
      <c r="Z3950">
        <v>4.0940289999999997E-2</v>
      </c>
      <c r="AA3950">
        <v>0.99880040000000003</v>
      </c>
      <c r="AB3950">
        <v>28</v>
      </c>
      <c r="AC3950">
        <v>-1.0612999999999799</v>
      </c>
      <c r="AD3950">
        <v>-1.1012903012639901</v>
      </c>
      <c r="AE3950">
        <v>-26.5686</v>
      </c>
      <c r="AF3950">
        <v>0.71298945473893705</v>
      </c>
      <c r="AG3950">
        <v>-1.1012903012639901</v>
      </c>
      <c r="AH3950">
        <v>26.534676489960301</v>
      </c>
      <c r="AI3950">
        <v>92.375772900123494</v>
      </c>
      <c r="AJ3950">
        <v>88.460826937496904</v>
      </c>
      <c r="AK3950">
        <v>26.567089616988099</v>
      </c>
      <c r="AL3950">
        <v>89.371468747453406</v>
      </c>
      <c r="AM3950">
        <v>83.932636915615205</v>
      </c>
      <c r="AN3950">
        <v>1.0000000191174001</v>
      </c>
    </row>
    <row r="3951" spans="1:40" x14ac:dyDescent="0.25">
      <c r="A3951" t="str">
        <f>"20190312154915078"</f>
        <v>20190312154915078</v>
      </c>
      <c r="B3951" t="str">
        <f>"1552376955069619"</f>
        <v>1552376955069619</v>
      </c>
      <c r="C3951" t="s">
        <v>40</v>
      </c>
      <c r="D3951">
        <v>4.6720920000000001</v>
      </c>
      <c r="E3951">
        <v>0.47026210000000002</v>
      </c>
      <c r="F3951" t="s">
        <v>42</v>
      </c>
      <c r="G3951">
        <v>-193.54580000000001</v>
      </c>
      <c r="H3951" s="1">
        <v>-1.321478E-6</v>
      </c>
      <c r="I3951">
        <v>170.47030000000001</v>
      </c>
      <c r="J3951">
        <v>-192.4546</v>
      </c>
      <c r="K3951">
        <v>1.1017729999999999</v>
      </c>
      <c r="L3951">
        <v>195.7791</v>
      </c>
      <c r="M3951">
        <v>-2.2382679999999999E-2</v>
      </c>
      <c r="N3951">
        <v>0</v>
      </c>
      <c r="O3951">
        <v>-0.99962910000000005</v>
      </c>
      <c r="P3951">
        <v>-0.12332650000000001</v>
      </c>
      <c r="Q3951">
        <v>-1.672921E-3</v>
      </c>
      <c r="R3951">
        <v>-0.99236480000000005</v>
      </c>
      <c r="S3951">
        <v>-0.1298523</v>
      </c>
      <c r="T3951">
        <v>-0.129436</v>
      </c>
      <c r="U3951">
        <v>-3.0054630000000002</v>
      </c>
      <c r="V3951">
        <v>0.10133</v>
      </c>
      <c r="W3951">
        <v>1.18008E-2</v>
      </c>
      <c r="X3951">
        <v>0.99478290000000003</v>
      </c>
      <c r="Y3951">
        <v>2.074993E-2</v>
      </c>
      <c r="Z3951">
        <v>4.2986240000000002E-2</v>
      </c>
      <c r="AA3951">
        <v>0.99886019999999998</v>
      </c>
      <c r="AB3951">
        <v>28</v>
      </c>
      <c r="AC3951">
        <v>-1.0912000000000099</v>
      </c>
      <c r="AD3951">
        <v>-1.10177432147799</v>
      </c>
      <c r="AE3951">
        <v>-25.308799999999898</v>
      </c>
      <c r="AF3951">
        <v>0.52338955142938504</v>
      </c>
      <c r="AG3951">
        <v>-1.10177432147799</v>
      </c>
      <c r="AH3951">
        <v>25.279066367060999</v>
      </c>
      <c r="AI3951">
        <v>92.495091810592598</v>
      </c>
      <c r="AJ3951">
        <v>88.813890989141399</v>
      </c>
      <c r="AK3951">
        <v>25.308477624469798</v>
      </c>
      <c r="AL3951">
        <v>89.323848286670099</v>
      </c>
      <c r="AM3951">
        <v>84.183830815982304</v>
      </c>
      <c r="AN3951">
        <v>1.00000002295652</v>
      </c>
    </row>
    <row r="3952" spans="1:40" x14ac:dyDescent="0.25">
      <c r="A3952" t="str">
        <f>"20190312154915099"</f>
        <v>20190312154915099</v>
      </c>
      <c r="B3952" t="str">
        <f>"1552376955090115"</f>
        <v>1552376955090115</v>
      </c>
      <c r="C3952" t="s">
        <v>40</v>
      </c>
      <c r="D3952">
        <v>4.6804500000000004</v>
      </c>
      <c r="E3952">
        <v>0.46888010000000002</v>
      </c>
      <c r="F3952" t="s">
        <v>42</v>
      </c>
      <c r="G3952">
        <v>-193.54570000000001</v>
      </c>
      <c r="H3952" s="1">
        <v>-1.548949E-6</v>
      </c>
      <c r="I3952">
        <v>171.00059999999999</v>
      </c>
      <c r="J3952">
        <v>-192.4708</v>
      </c>
      <c r="K3952">
        <v>1.1023350000000001</v>
      </c>
      <c r="L3952">
        <v>195.50399999999999</v>
      </c>
      <c r="M3952">
        <v>-3.1505079999999998E-2</v>
      </c>
      <c r="N3952">
        <v>0</v>
      </c>
      <c r="O3952">
        <v>-0.99938510000000003</v>
      </c>
      <c r="P3952">
        <v>-0.12758439999999999</v>
      </c>
      <c r="Q3952">
        <v>-1.9412990000000001E-3</v>
      </c>
      <c r="R3952">
        <v>-0.99182579999999998</v>
      </c>
      <c r="S3952">
        <v>-0.13238529999999901</v>
      </c>
      <c r="T3952">
        <v>-0.133679399999999</v>
      </c>
      <c r="U3952">
        <v>-3.0063930000000001</v>
      </c>
      <c r="V3952">
        <v>9.6496700000000005E-2</v>
      </c>
      <c r="W3952">
        <v>1.1645829999999999E-2</v>
      </c>
      <c r="X3952">
        <v>0.99526519999999996</v>
      </c>
      <c r="Y3952">
        <v>1.244846E-2</v>
      </c>
      <c r="Z3952">
        <v>4.4364929999999997E-2</v>
      </c>
      <c r="AA3952">
        <v>0.99893779999999999</v>
      </c>
      <c r="AB3952">
        <v>28</v>
      </c>
      <c r="AC3952">
        <v>-1.07490000000001</v>
      </c>
      <c r="AD3952">
        <v>-1.102336548949</v>
      </c>
      <c r="AE3952">
        <v>-24.503399999999999</v>
      </c>
      <c r="AF3952">
        <v>0.30168388160683302</v>
      </c>
      <c r="AG3952">
        <v>-1.102336548949</v>
      </c>
      <c r="AH3952">
        <v>24.4756626160266</v>
      </c>
      <c r="AI3952">
        <v>92.578552930801806</v>
      </c>
      <c r="AJ3952">
        <v>89.293815323820397</v>
      </c>
      <c r="AK3952">
        <v>24.502330899837499</v>
      </c>
      <c r="AL3952">
        <v>89.332728027277398</v>
      </c>
      <c r="AM3952">
        <v>84.462153209340599</v>
      </c>
      <c r="AN3952">
        <v>1.0000000283991499</v>
      </c>
    </row>
    <row r="3953" spans="1:40" x14ac:dyDescent="0.25">
      <c r="A3953" t="str">
        <f>"20190312154915124"</f>
        <v>20190312154915124</v>
      </c>
      <c r="B3953" t="str">
        <f>"1552376955109635"</f>
        <v>1552376955109635</v>
      </c>
      <c r="C3953" t="s">
        <v>40</v>
      </c>
      <c r="D3953">
        <v>4.6913390000000001</v>
      </c>
      <c r="E3953">
        <v>0.46775509999999898</v>
      </c>
      <c r="F3953" t="s">
        <v>42</v>
      </c>
      <c r="G3953">
        <v>-193.52600000000001</v>
      </c>
      <c r="H3953" s="1">
        <v>-1.893424E-6</v>
      </c>
      <c r="I3953">
        <v>171.8158</v>
      </c>
      <c r="J3953">
        <v>-192.49010000000001</v>
      </c>
      <c r="K3953">
        <v>1.102989</v>
      </c>
      <c r="L3953">
        <v>195.20930000000001</v>
      </c>
      <c r="M3953">
        <v>-4.0517350000000001E-2</v>
      </c>
      <c r="N3953">
        <v>0</v>
      </c>
      <c r="O3953">
        <v>-0.99906200000000001</v>
      </c>
      <c r="P3953">
        <v>-0.131153399999999</v>
      </c>
      <c r="Q3953">
        <v>-3.0094660000000001E-3</v>
      </c>
      <c r="R3953">
        <v>-0.99135740000000006</v>
      </c>
      <c r="S3953">
        <v>-0.13395689999999999</v>
      </c>
      <c r="T3953">
        <v>-0.1399434</v>
      </c>
      <c r="U3953">
        <v>-3.0072480000000001</v>
      </c>
      <c r="V3953">
        <v>9.1063599999999995E-2</v>
      </c>
      <c r="W3953">
        <v>1.0700319999999999E-2</v>
      </c>
      <c r="X3953">
        <v>0.99578759999999999</v>
      </c>
      <c r="Y3953">
        <v>3.9340859999999998E-3</v>
      </c>
      <c r="Z3953">
        <v>4.64047E-2</v>
      </c>
      <c r="AA3953">
        <v>0.998915</v>
      </c>
      <c r="AB3953">
        <v>28</v>
      </c>
      <c r="AC3953">
        <v>-1.0358999999999601</v>
      </c>
      <c r="AD3953">
        <v>-1.102990893424</v>
      </c>
      <c r="AE3953">
        <v>-23.3935</v>
      </c>
      <c r="AF3953">
        <v>8.6903052438179196E-2</v>
      </c>
      <c r="AG3953">
        <v>-1.102990893424</v>
      </c>
      <c r="AH3953">
        <v>23.364423276043802</v>
      </c>
      <c r="AI3953">
        <v>92.7028016863717</v>
      </c>
      <c r="AJ3953">
        <v>89.786891586769201</v>
      </c>
      <c r="AK3953">
        <v>23.390605295153001</v>
      </c>
      <c r="AL3953">
        <v>89.386905130865102</v>
      </c>
      <c r="AM3953">
        <v>84.774901922262501</v>
      </c>
      <c r="AN3953">
        <v>1.0000000102034099</v>
      </c>
    </row>
    <row r="3954" spans="1:40" x14ac:dyDescent="0.25">
      <c r="A3954" t="str">
        <f>"20190312154915146"</f>
        <v>20190312154915146</v>
      </c>
      <c r="B3954" t="str">
        <f>"1552376955139891"</f>
        <v>1552376955139891</v>
      </c>
      <c r="C3954" t="s">
        <v>40</v>
      </c>
      <c r="D3954">
        <v>4.6828729999999998</v>
      </c>
      <c r="E3954">
        <v>0.46669179999999999</v>
      </c>
      <c r="F3954" t="s">
        <v>42</v>
      </c>
      <c r="G3954">
        <v>-193.53059999999999</v>
      </c>
      <c r="H3954" s="1">
        <v>-2.0579830000000002E-6</v>
      </c>
      <c r="I3954">
        <v>172.19649999999999</v>
      </c>
      <c r="J3954">
        <v>-192.50989999999999</v>
      </c>
      <c r="K3954">
        <v>1.1036280000000001</v>
      </c>
      <c r="L3954">
        <v>194.9333</v>
      </c>
      <c r="M3954">
        <v>-4.8142789999999998E-2</v>
      </c>
      <c r="N3954">
        <v>0</v>
      </c>
      <c r="O3954">
        <v>-0.99872539999999999</v>
      </c>
      <c r="P3954">
        <v>-0.1333453</v>
      </c>
      <c r="Q3954">
        <v>-3.3864630000000001E-3</v>
      </c>
      <c r="R3954">
        <v>-0.99106369999999999</v>
      </c>
      <c r="S3954">
        <v>-0.13598629999999901</v>
      </c>
      <c r="T3954">
        <v>-0.1441588</v>
      </c>
      <c r="U3954">
        <v>-3.0077210000000001</v>
      </c>
      <c r="V3954">
        <v>8.5639350000000003E-2</v>
      </c>
      <c r="W3954">
        <v>1.0437119999999999E-2</v>
      </c>
      <c r="X3954">
        <v>0.99627160000000003</v>
      </c>
      <c r="Y3954">
        <v>-3.0369120000000001E-3</v>
      </c>
      <c r="Z3954">
        <v>4.7766990000000002E-2</v>
      </c>
      <c r="AA3954">
        <v>0.99885389999999996</v>
      </c>
      <c r="AB3954">
        <v>28</v>
      </c>
      <c r="AC3954">
        <v>-1.0206999999999999</v>
      </c>
      <c r="AD3954">
        <v>-1.1036300579830001</v>
      </c>
      <c r="AE3954">
        <v>-22.736799999999999</v>
      </c>
      <c r="AF3954">
        <v>-7.5046158784803904E-2</v>
      </c>
      <c r="AG3954">
        <v>-1.1036300579830001</v>
      </c>
      <c r="AH3954">
        <v>22.706184996612901</v>
      </c>
      <c r="AI3954">
        <v>92.782646033712297</v>
      </c>
      <c r="AJ3954">
        <v>90.189367456979099</v>
      </c>
      <c r="AK3954">
        <v>22.733113916294901</v>
      </c>
      <c r="AL3954">
        <v>89.401986255789097</v>
      </c>
      <c r="AM3954">
        <v>85.086941073653605</v>
      </c>
      <c r="AN3954">
        <v>1.00000006635443</v>
      </c>
    </row>
    <row r="3955" spans="1:40" x14ac:dyDescent="0.25">
      <c r="A3955" t="str">
        <f>"20190312154915167"</f>
        <v>20190312154915167</v>
      </c>
      <c r="B3955" t="str">
        <f>"1552376955159412"</f>
        <v>1552376955159412</v>
      </c>
      <c r="C3955" t="s">
        <v>40</v>
      </c>
      <c r="D3955">
        <v>4.678795</v>
      </c>
      <c r="E3955">
        <v>0.4600146</v>
      </c>
      <c r="F3955" t="s">
        <v>42</v>
      </c>
      <c r="G3955">
        <v>-193.53469999999999</v>
      </c>
      <c r="H3955" s="1">
        <v>-1.9658380000000001E-6</v>
      </c>
      <c r="I3955">
        <v>171.97919999999999</v>
      </c>
      <c r="J3955">
        <v>-192.53039999999999</v>
      </c>
      <c r="K3955">
        <v>1.104252</v>
      </c>
      <c r="L3955">
        <v>194.66480000000001</v>
      </c>
      <c r="M3955">
        <v>-5.4761320000000002E-2</v>
      </c>
      <c r="N3955">
        <v>0</v>
      </c>
      <c r="O3955">
        <v>-0.998386</v>
      </c>
      <c r="P3955">
        <v>-0.13521739999999999</v>
      </c>
      <c r="Q3955">
        <v>-3.722178E-3</v>
      </c>
      <c r="R3955">
        <v>-0.99080900000000005</v>
      </c>
      <c r="S3955">
        <v>-0.13430790000000001</v>
      </c>
      <c r="T3955">
        <v>-0.14464779999999999</v>
      </c>
      <c r="U3955">
        <v>-3.0084840000000002</v>
      </c>
      <c r="V3955">
        <v>8.0895709999999996E-2</v>
      </c>
      <c r="W3955">
        <v>1.019395E-2</v>
      </c>
      <c r="X3955">
        <v>0.99667039999999996</v>
      </c>
      <c r="Y3955">
        <v>-1.02326E-2</v>
      </c>
      <c r="Z3955">
        <v>4.7891450000000002E-2</v>
      </c>
      <c r="AA3955">
        <v>0.99880020000000003</v>
      </c>
      <c r="AB3955">
        <v>28</v>
      </c>
      <c r="AC3955">
        <v>-1.0043</v>
      </c>
      <c r="AD3955">
        <v>-1.104253965838</v>
      </c>
      <c r="AE3955">
        <v>-22.685600000000001</v>
      </c>
      <c r="AF3955">
        <v>-0.239076135572867</v>
      </c>
      <c r="AG3955">
        <v>-1.104253965838</v>
      </c>
      <c r="AH3955">
        <v>22.652986077220799</v>
      </c>
      <c r="AI3955">
        <v>92.790604917880401</v>
      </c>
      <c r="AJ3955">
        <v>90.604668406984899</v>
      </c>
      <c r="AK3955">
        <v>22.681144425148101</v>
      </c>
      <c r="AL3955">
        <v>89.415919548461702</v>
      </c>
      <c r="AM3955">
        <v>85.359705154593698</v>
      </c>
      <c r="AN3955">
        <v>0.99999995937458197</v>
      </c>
    </row>
    <row r="3956" spans="1:40" x14ac:dyDescent="0.25">
      <c r="A3956" t="str">
        <f>"20190312154915189"</f>
        <v>20190312154915189</v>
      </c>
      <c r="B3956" t="str">
        <f>"1552376955179907"</f>
        <v>1552376955179907</v>
      </c>
      <c r="C3956" t="s">
        <v>40</v>
      </c>
      <c r="D3956">
        <v>4.6906949999999998</v>
      </c>
      <c r="E3956">
        <v>0.45518500000000001</v>
      </c>
      <c r="F3956" t="s">
        <v>42</v>
      </c>
      <c r="G3956">
        <v>-193.2576</v>
      </c>
      <c r="H3956" s="1">
        <v>-5.233985E-6</v>
      </c>
      <c r="I3956">
        <v>169.4109</v>
      </c>
      <c r="J3956">
        <v>-192.55189999999999</v>
      </c>
      <c r="K3956">
        <v>1.104824</v>
      </c>
      <c r="L3956">
        <v>194.3965</v>
      </c>
      <c r="M3956">
        <v>-6.0741459999999997E-2</v>
      </c>
      <c r="N3956">
        <v>0</v>
      </c>
      <c r="O3956">
        <v>-0.99804130000000002</v>
      </c>
      <c r="P3956">
        <v>-0.1369784</v>
      </c>
      <c r="Q3956">
        <v>-5.6536219999999996E-3</v>
      </c>
      <c r="R3956">
        <v>-0.9905581</v>
      </c>
      <c r="S3956">
        <v>-8.6837769999999995E-2</v>
      </c>
      <c r="T3956">
        <v>-0.13185669999999999</v>
      </c>
      <c r="U3956">
        <v>-3.0155029999999998</v>
      </c>
      <c r="V3956">
        <v>7.6657790000000003E-2</v>
      </c>
      <c r="W3956">
        <v>8.3291200000000006E-3</v>
      </c>
      <c r="X3956">
        <v>0.99702270000000004</v>
      </c>
      <c r="Y3956">
        <v>-3.2018419999999999E-2</v>
      </c>
      <c r="Z3956">
        <v>4.3543400000000003E-2</v>
      </c>
      <c r="AA3956">
        <v>0.99853829999999999</v>
      </c>
      <c r="AB3956">
        <v>28</v>
      </c>
      <c r="AC3956">
        <v>-0.70570000000000699</v>
      </c>
      <c r="AD3956">
        <v>-1.1048292339849899</v>
      </c>
      <c r="AE3956">
        <v>-24.985600000000002</v>
      </c>
      <c r="AF3956">
        <v>-0.81184906961112602</v>
      </c>
      <c r="AG3956">
        <v>-1.1048292339849899</v>
      </c>
      <c r="AH3956">
        <v>24.933611080623201</v>
      </c>
      <c r="AI3956">
        <v>92.535822311114799</v>
      </c>
      <c r="AJ3956">
        <v>91.864916288635897</v>
      </c>
      <c r="AK3956">
        <v>24.9712776619034</v>
      </c>
      <c r="AL3956">
        <v>89.522771072135498</v>
      </c>
      <c r="AM3956">
        <v>85.603366362056306</v>
      </c>
      <c r="AN3956">
        <v>1.00000002766147</v>
      </c>
    </row>
    <row r="3957" spans="1:40" x14ac:dyDescent="0.25">
      <c r="A3957" t="str">
        <f>"20190312154915213"</f>
        <v>20190312154915213</v>
      </c>
      <c r="B3957" t="str">
        <f>"1552376955210163"</f>
        <v>1552376955210163</v>
      </c>
      <c r="C3957" t="s">
        <v>40</v>
      </c>
      <c r="D3957">
        <v>4.6427370000000003</v>
      </c>
      <c r="E3957">
        <v>0.45571679999999998</v>
      </c>
      <c r="F3957" t="s">
        <v>42</v>
      </c>
      <c r="G3957">
        <v>-192.91409999999999</v>
      </c>
      <c r="H3957" s="1">
        <v>-2.6006990000000001E-6</v>
      </c>
      <c r="I3957">
        <v>173.84399999999999</v>
      </c>
      <c r="J3957">
        <v>-192.5763</v>
      </c>
      <c r="K3957">
        <v>1.105389</v>
      </c>
      <c r="L3957">
        <v>194.10550000000001</v>
      </c>
      <c r="M3957">
        <v>-6.648308E-2</v>
      </c>
      <c r="N3957">
        <v>0</v>
      </c>
      <c r="O3957">
        <v>-0.99767700000000004</v>
      </c>
      <c r="P3957">
        <v>-0.13840829999999901</v>
      </c>
      <c r="Q3957">
        <v>-8.2337869999999994E-3</v>
      </c>
      <c r="R3957">
        <v>-0.99034109999999997</v>
      </c>
      <c r="S3957">
        <v>-5.3222659999999998E-2</v>
      </c>
      <c r="T3957">
        <v>-0.16236030000000001</v>
      </c>
      <c r="U3957">
        <v>-3.0202939999999998</v>
      </c>
      <c r="V3957">
        <v>7.2320899999999994E-2</v>
      </c>
      <c r="W3957">
        <v>5.8029010000000001E-3</v>
      </c>
      <c r="X3957">
        <v>0.99736449999999999</v>
      </c>
      <c r="Y3957">
        <v>-4.8925339999999998E-2</v>
      </c>
      <c r="Z3957">
        <v>5.3464640000000001E-2</v>
      </c>
      <c r="AA3957">
        <v>0.99737050000000005</v>
      </c>
      <c r="AB3957">
        <v>27</v>
      </c>
      <c r="AC3957">
        <v>-0.337799999999987</v>
      </c>
      <c r="AD3957">
        <v>-1.1053916006990001</v>
      </c>
      <c r="AE3957">
        <v>-20.261499999999899</v>
      </c>
      <c r="AF3957">
        <v>-1.0071462394850901</v>
      </c>
      <c r="AG3957">
        <v>-1.1053916006990001</v>
      </c>
      <c r="AH3957">
        <v>20.1790790341384</v>
      </c>
      <c r="AI3957">
        <v>93.131586678999895</v>
      </c>
      <c r="AJ3957">
        <v>92.857285247540005</v>
      </c>
      <c r="AK3957">
        <v>20.234412885097701</v>
      </c>
      <c r="AL3957">
        <v>89.667516386471505</v>
      </c>
      <c r="AM3957">
        <v>85.852626913085999</v>
      </c>
      <c r="AN3957">
        <v>0.99999996604853703</v>
      </c>
    </row>
    <row r="3958" spans="1:40" x14ac:dyDescent="0.25">
      <c r="A3958" t="str">
        <f>"20190312154915236"</f>
        <v>20190312154915236</v>
      </c>
      <c r="B3958" t="str">
        <f>"1552376955229683"</f>
        <v>1552376955229683</v>
      </c>
      <c r="C3958" t="s">
        <v>40</v>
      </c>
      <c r="D3958">
        <v>4.6429289999999996</v>
      </c>
      <c r="E3958">
        <v>0.4555747</v>
      </c>
      <c r="F3958" t="s">
        <v>42</v>
      </c>
      <c r="G3958">
        <v>-193.0078</v>
      </c>
      <c r="H3958" s="1">
        <v>-2.3496139999999999E-6</v>
      </c>
      <c r="I3958">
        <v>173.20060000000001</v>
      </c>
      <c r="J3958">
        <v>-192.6009</v>
      </c>
      <c r="K3958">
        <v>1.1059319999999999</v>
      </c>
      <c r="L3958">
        <v>193.8228</v>
      </c>
      <c r="M3958">
        <v>-7.1306079999999994E-2</v>
      </c>
      <c r="N3958">
        <v>0</v>
      </c>
      <c r="O3958">
        <v>-0.99734529999999999</v>
      </c>
      <c r="P3958">
        <v>-0.14059739999999901</v>
      </c>
      <c r="Q3958">
        <v>-7.7702930000000002E-3</v>
      </c>
      <c r="R3958">
        <v>-0.99003640000000004</v>
      </c>
      <c r="S3958">
        <v>-6.231689E-2</v>
      </c>
      <c r="T3958">
        <v>-0.15964779999999901</v>
      </c>
      <c r="U3958">
        <v>-3.0192260000000002</v>
      </c>
      <c r="V3958">
        <v>6.9699399999999995E-2</v>
      </c>
      <c r="W3958">
        <v>6.2935580000000003E-3</v>
      </c>
      <c r="X3958">
        <v>0.9975482</v>
      </c>
      <c r="Y3958">
        <v>-5.0744110000000002E-2</v>
      </c>
      <c r="Z3958">
        <v>5.2562209999999998E-2</v>
      </c>
      <c r="AA3958">
        <v>0.99732759999999998</v>
      </c>
      <c r="AB3958">
        <v>27</v>
      </c>
      <c r="AC3958">
        <v>-0.40690000000000698</v>
      </c>
      <c r="AD3958">
        <v>-1.1059343496139999</v>
      </c>
      <c r="AE3958">
        <v>-20.6221999999999</v>
      </c>
      <c r="AF3958">
        <v>-1.06173204756616</v>
      </c>
      <c r="AG3958">
        <v>-1.1059343496139999</v>
      </c>
      <c r="AH3958">
        <v>20.539662907745399</v>
      </c>
      <c r="AI3958">
        <v>93.0779471667135</v>
      </c>
      <c r="AJ3958">
        <v>92.959087971020296</v>
      </c>
      <c r="AK3958">
        <v>20.5967987340339</v>
      </c>
      <c r="AL3958">
        <v>89.639403312769105</v>
      </c>
      <c r="AM3958">
        <v>86.003198832658001</v>
      </c>
      <c r="AN3958">
        <v>1.0000000132779401</v>
      </c>
    </row>
    <row r="3959" spans="1:40" x14ac:dyDescent="0.25">
      <c r="A3959" t="str">
        <f>"20190312154915257"</f>
        <v>20190312154915257</v>
      </c>
      <c r="B3959" t="str">
        <f>"1552376955250179"</f>
        <v>1552376955250179</v>
      </c>
      <c r="C3959" t="s">
        <v>40</v>
      </c>
      <c r="D3959">
        <v>4.6391910000000003</v>
      </c>
      <c r="E3959">
        <v>0.45519969999999998</v>
      </c>
      <c r="F3959" t="s">
        <v>42</v>
      </c>
      <c r="G3959">
        <v>-193.1002</v>
      </c>
      <c r="H3959" s="1">
        <v>-1.732892E-6</v>
      </c>
      <c r="I3959">
        <v>171.70570000000001</v>
      </c>
      <c r="J3959">
        <v>-192.625</v>
      </c>
      <c r="K3959">
        <v>1.1064769999999999</v>
      </c>
      <c r="L3959">
        <v>193.55250000000001</v>
      </c>
      <c r="M3959">
        <v>-7.5194109999999995E-2</v>
      </c>
      <c r="N3959">
        <v>0</v>
      </c>
      <c r="O3959">
        <v>-0.99706090000000003</v>
      </c>
      <c r="P3959">
        <v>-0.14310599999999901</v>
      </c>
      <c r="Q3959">
        <v>-5.1778789999999998E-3</v>
      </c>
      <c r="R3959">
        <v>-0.98969379999999996</v>
      </c>
      <c r="S3959">
        <v>-6.8161009999999994E-2</v>
      </c>
      <c r="T3959">
        <v>-0.1509789</v>
      </c>
      <c r="U3959">
        <v>-3.0193629999999998</v>
      </c>
      <c r="V3959">
        <v>6.8349320000000005E-2</v>
      </c>
      <c r="W3959">
        <v>8.9041639999999991E-3</v>
      </c>
      <c r="X3959">
        <v>0.99762169999999895</v>
      </c>
      <c r="Y3959">
        <v>-5.2705979999999999E-2</v>
      </c>
      <c r="Z3959">
        <v>4.9688200000000002E-2</v>
      </c>
      <c r="AA3959">
        <v>0.99737310000000001</v>
      </c>
      <c r="AB3959">
        <v>27</v>
      </c>
      <c r="AC3959">
        <v>-0.47520000000000101</v>
      </c>
      <c r="AD3959">
        <v>-1.1064787328919901</v>
      </c>
      <c r="AE3959">
        <v>-21.846800000000002</v>
      </c>
      <c r="AF3959">
        <v>-1.1660835142050701</v>
      </c>
      <c r="AG3959">
        <v>-1.1064787328919901</v>
      </c>
      <c r="AH3959">
        <v>21.764869148532501</v>
      </c>
      <c r="AI3959">
        <v>92.906126895609106</v>
      </c>
      <c r="AJ3959">
        <v>93.0667699970233</v>
      </c>
      <c r="AK3959">
        <v>21.824151186270399</v>
      </c>
      <c r="AL3959">
        <v>89.489822233400702</v>
      </c>
      <c r="AM3959">
        <v>86.080661211905493</v>
      </c>
      <c r="AN3959">
        <v>0.999999984995945</v>
      </c>
    </row>
    <row r="3960" spans="1:40" x14ac:dyDescent="0.25">
      <c r="A3960" t="str">
        <f>"20190312154915278"</f>
        <v>20190312154915278</v>
      </c>
      <c r="B3960" t="str">
        <f>"1552376955269699"</f>
        <v>1552376955269699</v>
      </c>
      <c r="C3960" t="s">
        <v>40</v>
      </c>
      <c r="D3960">
        <v>4.6654660000000003</v>
      </c>
      <c r="E3960">
        <v>0.45471810000000001</v>
      </c>
      <c r="F3960" t="s">
        <v>42</v>
      </c>
      <c r="G3960">
        <v>-193.21010000000001</v>
      </c>
      <c r="H3960" s="1">
        <v>-5.1548719999999996E-6</v>
      </c>
      <c r="I3960">
        <v>169.2269</v>
      </c>
      <c r="J3960">
        <v>-192.64769999999999</v>
      </c>
      <c r="K3960">
        <v>1.1070249999999999</v>
      </c>
      <c r="L3960">
        <v>193.30119999999999</v>
      </c>
      <c r="M3960">
        <v>-7.815801E-2</v>
      </c>
      <c r="N3960">
        <v>0</v>
      </c>
      <c r="O3960">
        <v>-0.99683409999999995</v>
      </c>
      <c r="P3960">
        <v>-0.14426059999999999</v>
      </c>
      <c r="Q3960">
        <v>-4.1387170000000001E-3</v>
      </c>
      <c r="R3960">
        <v>-0.98953100000000005</v>
      </c>
      <c r="S3960">
        <v>-7.2631840000000003E-2</v>
      </c>
      <c r="T3960">
        <v>-0.13737089999999999</v>
      </c>
      <c r="U3960">
        <v>-3.0200499999999999</v>
      </c>
      <c r="V3960">
        <v>6.6541999999999907E-2</v>
      </c>
      <c r="W3960">
        <v>9.9731860000000002E-3</v>
      </c>
      <c r="X3960">
        <v>0.9977338</v>
      </c>
      <c r="Y3960">
        <v>-5.4198950000000003E-2</v>
      </c>
      <c r="Z3960">
        <v>4.519103E-2</v>
      </c>
      <c r="AA3960">
        <v>0.99750700000000003</v>
      </c>
      <c r="AB3960">
        <v>27</v>
      </c>
      <c r="AC3960">
        <v>-0.56240000000002499</v>
      </c>
      <c r="AD3960">
        <v>-1.1070301548719901</v>
      </c>
      <c r="AE3960">
        <v>-24.074299999999901</v>
      </c>
      <c r="AF3960">
        <v>-1.31833453413098</v>
      </c>
      <c r="AG3960">
        <v>-1.1070301548719901</v>
      </c>
      <c r="AH3960">
        <v>23.993893490435902</v>
      </c>
      <c r="AI3960">
        <v>92.637666256677704</v>
      </c>
      <c r="AJ3960">
        <v>93.144930652642898</v>
      </c>
      <c r="AK3960">
        <v>24.0555699690957</v>
      </c>
      <c r="AL3960">
        <v>89.428569071610198</v>
      </c>
      <c r="AM3960">
        <v>86.184415069994103</v>
      </c>
      <c r="AN3960">
        <v>1.0000000189327101</v>
      </c>
    </row>
    <row r="3961" spans="1:40" x14ac:dyDescent="0.25">
      <c r="A3961" t="str">
        <f>"20190312154915301"</f>
        <v>20190312154915301</v>
      </c>
      <c r="B3961" t="str">
        <f>"1552376955290195"</f>
        <v>1552376955290195</v>
      </c>
      <c r="C3961" t="s">
        <v>40</v>
      </c>
      <c r="D3961">
        <v>4.6470789999999997</v>
      </c>
      <c r="E3961">
        <v>0.45412419999999998</v>
      </c>
      <c r="F3961" t="s">
        <v>42</v>
      </c>
      <c r="G3961">
        <v>-193.26900000000001</v>
      </c>
      <c r="H3961" s="1">
        <v>-4.5299770000000003E-6</v>
      </c>
      <c r="I3961">
        <v>167.57239999999999</v>
      </c>
      <c r="J3961">
        <v>-192.67339999999999</v>
      </c>
      <c r="K3961">
        <v>1.1076790000000001</v>
      </c>
      <c r="L3961">
        <v>193.01750000000001</v>
      </c>
      <c r="M3961">
        <v>-8.0776269999999997E-2</v>
      </c>
      <c r="N3961">
        <v>0</v>
      </c>
      <c r="O3961">
        <v>-0.99662640000000002</v>
      </c>
      <c r="P3961">
        <v>-0.144358399999999</v>
      </c>
      <c r="Q3961">
        <v>-6.226161E-3</v>
      </c>
      <c r="R3961">
        <v>-0.98950610000000006</v>
      </c>
      <c r="S3961">
        <v>-7.2937009999999997E-2</v>
      </c>
      <c r="T3961">
        <v>-0.12996640000000001</v>
      </c>
      <c r="U3961">
        <v>-3.0205839999999999</v>
      </c>
      <c r="V3961">
        <v>6.3993170000000002E-2</v>
      </c>
      <c r="W3961">
        <v>7.9314520000000003E-3</v>
      </c>
      <c r="X3961">
        <v>0.99791879999999999</v>
      </c>
      <c r="Y3961">
        <v>-5.6722599999999998E-2</v>
      </c>
      <c r="Z3961">
        <v>4.2735710000000003E-2</v>
      </c>
      <c r="AA3961">
        <v>0.99747490000000005</v>
      </c>
      <c r="AB3961">
        <v>27</v>
      </c>
      <c r="AC3961">
        <v>-0.595600000000018</v>
      </c>
      <c r="AD3961">
        <v>-1.107683529977</v>
      </c>
      <c r="AE3961">
        <v>-25.4451</v>
      </c>
      <c r="AF3961">
        <v>-1.4591601520592099</v>
      </c>
      <c r="AG3961">
        <v>-1.107683529977</v>
      </c>
      <c r="AH3961">
        <v>25.362013593903601</v>
      </c>
      <c r="AI3961">
        <v>92.496674990941798</v>
      </c>
      <c r="AJ3961">
        <v>93.292784928770899</v>
      </c>
      <c r="AK3961">
        <v>25.428091644661301</v>
      </c>
      <c r="AL3961">
        <v>89.545556502297998</v>
      </c>
      <c r="AM3961">
        <v>86.330838695448307</v>
      </c>
      <c r="AN3961">
        <v>0.99999998256545797</v>
      </c>
    </row>
    <row r="3962" spans="1:40" x14ac:dyDescent="0.25">
      <c r="A3962" t="str">
        <f>"20190312154915324"</f>
        <v>20190312154915324</v>
      </c>
      <c r="B3962" t="str">
        <f>"1552376955319477"</f>
        <v>1552376955319477</v>
      </c>
      <c r="C3962" t="s">
        <v>40</v>
      </c>
      <c r="D3962">
        <v>4.6728199999999998</v>
      </c>
      <c r="E3962">
        <v>0.4535709</v>
      </c>
      <c r="F3962" t="s">
        <v>42</v>
      </c>
      <c r="G3962">
        <v>-193.23570000000001</v>
      </c>
      <c r="H3962" s="1">
        <v>-4.8125089999999997E-6</v>
      </c>
      <c r="I3962">
        <v>168.3235</v>
      </c>
      <c r="J3962">
        <v>-192.69810000000001</v>
      </c>
      <c r="K3962">
        <v>1.1082989999999999</v>
      </c>
      <c r="L3962">
        <v>192.74260000000001</v>
      </c>
      <c r="M3962">
        <v>-8.2576949999999996E-2</v>
      </c>
      <c r="N3962">
        <v>0</v>
      </c>
      <c r="O3962">
        <v>-0.99647960000000002</v>
      </c>
      <c r="P3962">
        <v>-0.14423720000000001</v>
      </c>
      <c r="Q3962">
        <v>-8.4782840000000009E-3</v>
      </c>
      <c r="R3962">
        <v>-0.98950680000000002</v>
      </c>
      <c r="S3962">
        <v>-6.8786620000000007E-2</v>
      </c>
      <c r="T3962">
        <v>-0.13550879999999901</v>
      </c>
      <c r="U3962">
        <v>-3.0209350000000001</v>
      </c>
      <c r="V3962">
        <v>6.2048190000000003E-2</v>
      </c>
      <c r="W3962">
        <v>5.7213630000000001E-3</v>
      </c>
      <c r="X3962">
        <v>0.99805679999999997</v>
      </c>
      <c r="Y3962">
        <v>-5.9900479999999999E-2</v>
      </c>
      <c r="Z3962">
        <v>4.4536079999999999E-2</v>
      </c>
      <c r="AA3962">
        <v>0.99721029999999999</v>
      </c>
      <c r="AB3962">
        <v>27</v>
      </c>
      <c r="AC3962">
        <v>-0.53759999999999697</v>
      </c>
      <c r="AD3962">
        <v>-1.1083038125089999</v>
      </c>
      <c r="AE3962">
        <v>-24.4191</v>
      </c>
      <c r="AF3962">
        <v>-1.4778596116840499</v>
      </c>
      <c r="AG3962">
        <v>-1.1083038125089999</v>
      </c>
      <c r="AH3962">
        <v>24.329987286741002</v>
      </c>
      <c r="AI3962">
        <v>92.603399598874404</v>
      </c>
      <c r="AJ3962">
        <v>93.476007097848097</v>
      </c>
      <c r="AK3962">
        <v>24.400014093144399</v>
      </c>
      <c r="AL3962">
        <v>89.672188272997801</v>
      </c>
      <c r="AM3962">
        <v>86.442557306187496</v>
      </c>
      <c r="AN3962">
        <v>1.00000004395154</v>
      </c>
    </row>
    <row r="3963" spans="1:40" x14ac:dyDescent="0.25">
      <c r="A3963" t="str">
        <f>"20190312154915346"</f>
        <v>20190312154915346</v>
      </c>
      <c r="B3963" t="str">
        <f>"1552376955339972"</f>
        <v>1552376955339972</v>
      </c>
      <c r="C3963" t="s">
        <v>40</v>
      </c>
      <c r="D3963">
        <v>4.6348269999999996</v>
      </c>
      <c r="E3963">
        <v>0.44521230000000001</v>
      </c>
      <c r="F3963" t="s">
        <v>42</v>
      </c>
      <c r="G3963">
        <v>-193.2064</v>
      </c>
      <c r="H3963" s="1">
        <v>-4.966554E-6</v>
      </c>
      <c r="I3963">
        <v>168.73820000000001</v>
      </c>
      <c r="J3963">
        <v>-192.72190000000001</v>
      </c>
      <c r="K3963">
        <v>1.108857</v>
      </c>
      <c r="L3963">
        <v>192.47460000000001</v>
      </c>
      <c r="M3963">
        <v>-8.3613660000000006E-2</v>
      </c>
      <c r="N3963">
        <v>0</v>
      </c>
      <c r="O3963">
        <v>-0.99639420000000001</v>
      </c>
      <c r="P3963">
        <v>-0.14455970000000001</v>
      </c>
      <c r="Q3963">
        <v>-1.0079579999999999E-2</v>
      </c>
      <c r="R3963">
        <v>-0.98944469999999995</v>
      </c>
      <c r="S3963">
        <v>-6.3980099999999998E-2</v>
      </c>
      <c r="T3963">
        <v>-0.139494799999999</v>
      </c>
      <c r="U3963">
        <v>-3.021271</v>
      </c>
      <c r="V3963">
        <v>6.1324419999999998E-2</v>
      </c>
      <c r="W3963">
        <v>4.1525879999999996E-3</v>
      </c>
      <c r="X3963">
        <v>0.99810920000000003</v>
      </c>
      <c r="Y3963">
        <v>-6.2528180000000003E-2</v>
      </c>
      <c r="Z3963">
        <v>4.5829380000000003E-2</v>
      </c>
      <c r="AA3963">
        <v>0.99699040000000005</v>
      </c>
      <c r="AB3963">
        <v>27</v>
      </c>
      <c r="AC3963">
        <v>-0.48449999999999699</v>
      </c>
      <c r="AD3963">
        <v>-1.1088619665539901</v>
      </c>
      <c r="AE3963">
        <v>-23.7364</v>
      </c>
      <c r="AF3963">
        <v>-1.49882043455562</v>
      </c>
      <c r="AG3963">
        <v>-1.1088619665539901</v>
      </c>
      <c r="AH3963">
        <v>23.6422045546466</v>
      </c>
      <c r="AI3963">
        <v>92.679935230979893</v>
      </c>
      <c r="AJ3963">
        <v>93.627466925080796</v>
      </c>
      <c r="AK3963">
        <v>23.7156040142279</v>
      </c>
      <c r="AL3963">
        <v>89.762073538271693</v>
      </c>
      <c r="AM3963">
        <v>86.484133020000996</v>
      </c>
      <c r="AN3963">
        <v>0.99999995180003598</v>
      </c>
    </row>
    <row r="3964" spans="1:40" x14ac:dyDescent="0.25">
      <c r="A3964" t="str">
        <f>"20190312154915368"</f>
        <v>20190312154915368</v>
      </c>
      <c r="B3964" t="str">
        <f>"1552376955359495"</f>
        <v>1552376955359495</v>
      </c>
      <c r="C3964" t="s">
        <v>40</v>
      </c>
      <c r="D3964">
        <v>4.1121489999999996</v>
      </c>
      <c r="E3964">
        <v>0.4436232</v>
      </c>
      <c r="F3964" t="s">
        <v>42</v>
      </c>
      <c r="G3964">
        <v>-192.714</v>
      </c>
      <c r="H3964" s="1">
        <v>-1.046405E-6</v>
      </c>
      <c r="I3964">
        <v>170.345</v>
      </c>
      <c r="J3964">
        <v>-192.745</v>
      </c>
      <c r="K3964">
        <v>1.10934</v>
      </c>
      <c r="L3964">
        <v>192.2089</v>
      </c>
      <c r="M3964">
        <v>-8.4015679999999995E-2</v>
      </c>
      <c r="N3964">
        <v>0</v>
      </c>
      <c r="O3964">
        <v>-0.9963611</v>
      </c>
      <c r="P3964">
        <v>-0.14457059999999999</v>
      </c>
      <c r="Q3964">
        <v>-1.1411360000000001E-2</v>
      </c>
      <c r="R3964">
        <v>-0.989429</v>
      </c>
      <c r="S3964">
        <v>1.083374E-3</v>
      </c>
      <c r="T3964">
        <v>-0.151857299999999</v>
      </c>
      <c r="U3964">
        <v>-3.030624</v>
      </c>
      <c r="V3964">
        <v>6.0927290000000002E-2</v>
      </c>
      <c r="W3964">
        <v>2.8455860000000002E-3</v>
      </c>
      <c r="X3964">
        <v>0.99813810000000003</v>
      </c>
      <c r="Y3964">
        <v>-8.4379910000000002E-2</v>
      </c>
      <c r="Z3964">
        <v>4.9690209999999999E-2</v>
      </c>
      <c r="AA3964">
        <v>0.99519389999999996</v>
      </c>
      <c r="AB3964">
        <v>27</v>
      </c>
      <c r="AC3964">
        <v>3.09999999999774E-2</v>
      </c>
      <c r="AD3964">
        <v>-1.109341046405</v>
      </c>
      <c r="AE3964">
        <v>-21.863900000000001</v>
      </c>
      <c r="AF3964">
        <v>-1.8631933789121999</v>
      </c>
      <c r="AG3964">
        <v>-1.109341046405</v>
      </c>
      <c r="AH3964">
        <v>21.728041592032799</v>
      </c>
      <c r="AI3964">
        <v>92.912071735606204</v>
      </c>
      <c r="AJ3964">
        <v>94.901159957967096</v>
      </c>
      <c r="AK3964">
        <v>21.835977618361099</v>
      </c>
      <c r="AL3964">
        <v>89.836959703667105</v>
      </c>
      <c r="AM3964">
        <v>86.506945705726196</v>
      </c>
      <c r="AN3964">
        <v>0.99999994934901704</v>
      </c>
    </row>
    <row r="3965" spans="1:40" x14ac:dyDescent="0.25">
      <c r="A3965" t="str">
        <f>"20190312154915569"</f>
        <v>20190312154915569</v>
      </c>
      <c r="B3965" t="str">
        <f>"1552376955559572"</f>
        <v>1552376955559572</v>
      </c>
      <c r="C3965" t="s">
        <v>40</v>
      </c>
      <c r="D3965">
        <v>5.6979230000000003</v>
      </c>
      <c r="E3965">
        <v>0.43617980000000001</v>
      </c>
      <c r="F3965" t="s">
        <v>42</v>
      </c>
      <c r="G3965">
        <v>-192.63759999999999</v>
      </c>
      <c r="H3965" s="1">
        <v>-4.5223059999999996E-6</v>
      </c>
      <c r="I3965">
        <v>167.8441</v>
      </c>
      <c r="J3965">
        <v>-192.9299</v>
      </c>
      <c r="K3965">
        <v>1.1114489999999999</v>
      </c>
      <c r="L3965">
        <v>189.79490000000001</v>
      </c>
      <c r="M3965">
        <v>-7.2685319999999998E-2</v>
      </c>
      <c r="N3965">
        <v>0</v>
      </c>
      <c r="O3965">
        <v>-0.99725490000000006</v>
      </c>
      <c r="P3965">
        <v>-0.13072919999999999</v>
      </c>
      <c r="Q3965">
        <v>-1.406577E-2</v>
      </c>
      <c r="R3965">
        <v>-0.99131849999999999</v>
      </c>
      <c r="S3965">
        <v>1.33667E-2</v>
      </c>
      <c r="T3965">
        <v>-0.13806749999999901</v>
      </c>
      <c r="U3965">
        <v>-3.03241</v>
      </c>
      <c r="V3965">
        <v>5.8321289999999998E-2</v>
      </c>
      <c r="W3965">
        <v>2.49211E-4</v>
      </c>
      <c r="X3965">
        <v>0.99829780000000001</v>
      </c>
      <c r="Y3965">
        <v>-7.7083479999999996E-2</v>
      </c>
      <c r="Z3965">
        <v>4.5235169999999998E-2</v>
      </c>
      <c r="AA3965">
        <v>0.99599800000000005</v>
      </c>
      <c r="AB3965">
        <v>27</v>
      </c>
      <c r="AC3965">
        <v>0.292300000000011</v>
      </c>
      <c r="AD3965">
        <v>-1.11145352230599</v>
      </c>
      <c r="AE3965">
        <v>-21.950800000000001</v>
      </c>
      <c r="AF3965">
        <v>-1.8823616755610499</v>
      </c>
      <c r="AG3965">
        <v>-1.11145352230599</v>
      </c>
      <c r="AH3965">
        <v>21.815558299053201</v>
      </c>
      <c r="AI3965">
        <v>92.905790719125704</v>
      </c>
      <c r="AJ3965">
        <v>94.931568140162497</v>
      </c>
      <c r="AK3965">
        <v>21.9248078283312</v>
      </c>
      <c r="AL3965">
        <v>89.985721260861695</v>
      </c>
      <c r="AM3965">
        <v>86.656538787507003</v>
      </c>
      <c r="AN3965">
        <v>0.99999996622911203</v>
      </c>
    </row>
    <row r="3966" spans="1:40" x14ac:dyDescent="0.25">
      <c r="A3966" t="str">
        <f>"20190312154915580"</f>
        <v>20190312154915580</v>
      </c>
      <c r="B3966" t="str">
        <f>"1552376955570307"</f>
        <v>1552376955570307</v>
      </c>
      <c r="C3966" t="s">
        <v>40</v>
      </c>
      <c r="D3966">
        <v>4.5948779999999996</v>
      </c>
      <c r="E3966">
        <v>0.43570629999999999</v>
      </c>
      <c r="F3966" t="s">
        <v>42</v>
      </c>
      <c r="G3966">
        <v>-191.8732</v>
      </c>
      <c r="H3966" s="1">
        <v>-1.346287E-6</v>
      </c>
      <c r="I3966">
        <v>161.3853</v>
      </c>
      <c r="J3966">
        <v>-192.9384</v>
      </c>
      <c r="K3966">
        <v>1.111469</v>
      </c>
      <c r="L3966">
        <v>189.66249999999999</v>
      </c>
      <c r="M3966">
        <v>-7.1635470000000007E-2</v>
      </c>
      <c r="N3966">
        <v>0</v>
      </c>
      <c r="O3966">
        <v>-0.99733090000000002</v>
      </c>
      <c r="P3966">
        <v>-0.12911449999999999</v>
      </c>
      <c r="Q3966">
        <v>-1.432275E-2</v>
      </c>
      <c r="R3966">
        <v>-0.99152640000000003</v>
      </c>
      <c r="S3966">
        <v>0.113052399999999</v>
      </c>
      <c r="T3966">
        <v>-0.11891210000000001</v>
      </c>
      <c r="U3966">
        <v>-3.0394899999999998</v>
      </c>
      <c r="V3966">
        <v>5.774762E-2</v>
      </c>
      <c r="W3966" s="1">
        <v>-1.3070009999999999E-5</v>
      </c>
      <c r="X3966">
        <v>0.99833119999999997</v>
      </c>
      <c r="Y3966">
        <v>-0.1086382</v>
      </c>
      <c r="Z3966">
        <v>3.8812670000000001E-2</v>
      </c>
      <c r="AA3966">
        <v>0.99332339999999997</v>
      </c>
      <c r="AB3966">
        <v>27</v>
      </c>
      <c r="AC3966">
        <v>1.0651999999999999</v>
      </c>
      <c r="AD3966">
        <v>-1.1114703462869999</v>
      </c>
      <c r="AE3966">
        <v>-28.277200000000001</v>
      </c>
      <c r="AF3966">
        <v>-3.0835580760727401</v>
      </c>
      <c r="AG3966">
        <v>-1.1114703462869999</v>
      </c>
      <c r="AH3966">
        <v>28.084895118328401</v>
      </c>
      <c r="AI3966">
        <v>92.252795751867893</v>
      </c>
      <c r="AJ3966">
        <v>96.265646689594504</v>
      </c>
      <c r="AK3966">
        <v>28.2755199872026</v>
      </c>
      <c r="AL3966">
        <v>90.000748856421396</v>
      </c>
      <c r="AM3966">
        <v>86.689463320578994</v>
      </c>
      <c r="AN3966">
        <v>0.99999998633996401</v>
      </c>
    </row>
    <row r="3967" spans="1:40" x14ac:dyDescent="0.25">
      <c r="A3967" t="str">
        <f>"20190312154915591"</f>
        <v>20190312154915591</v>
      </c>
      <c r="B3967" t="str">
        <f>"1552376955589827"</f>
        <v>1552376955589827</v>
      </c>
      <c r="C3967" t="s">
        <v>40</v>
      </c>
      <c r="D3967">
        <v>4.6066880000000001</v>
      </c>
      <c r="E3967">
        <v>0.43543090000000001</v>
      </c>
      <c r="F3967" t="s">
        <v>63</v>
      </c>
      <c r="G3967">
        <v>-191.625</v>
      </c>
      <c r="H3967" s="1">
        <v>-1.394316E-5</v>
      </c>
      <c r="I3967">
        <v>156.86060000000001</v>
      </c>
      <c r="J3967">
        <v>-192.94759999999999</v>
      </c>
      <c r="K3967">
        <v>1.11148</v>
      </c>
      <c r="L3967">
        <v>189.51830000000001</v>
      </c>
      <c r="M3967">
        <v>-7.0484859999999996E-2</v>
      </c>
      <c r="N3967">
        <v>0</v>
      </c>
      <c r="O3967">
        <v>-0.9974132</v>
      </c>
      <c r="P3967">
        <v>-0.12767290000000001</v>
      </c>
      <c r="Q3967">
        <v>-1.4389239999999999E-2</v>
      </c>
      <c r="R3967">
        <v>-0.99171229999999999</v>
      </c>
      <c r="S3967">
        <v>0.12171940000000001</v>
      </c>
      <c r="T3967">
        <v>-0.10300910000000001</v>
      </c>
      <c r="U3967">
        <v>-3.0399929999999999</v>
      </c>
      <c r="V3967">
        <v>5.7448310000000002E-2</v>
      </c>
      <c r="W3967" s="1">
        <v>-8.5358039999999994E-5</v>
      </c>
      <c r="X3967">
        <v>0.99834849999999997</v>
      </c>
      <c r="Y3967">
        <v>-0.1103204</v>
      </c>
      <c r="Z3967">
        <v>3.3621989999999997E-2</v>
      </c>
      <c r="AA3967">
        <v>0.99332719999999997</v>
      </c>
      <c r="AB3967">
        <v>27</v>
      </c>
      <c r="AC3967">
        <v>1.32259999999999</v>
      </c>
      <c r="AD3967">
        <v>-1.1114939431599999</v>
      </c>
      <c r="AE3967">
        <v>-32.657699999999998</v>
      </c>
      <c r="AF3967">
        <v>-3.6172288973279998</v>
      </c>
      <c r="AG3967">
        <v>-1.1114939431599999</v>
      </c>
      <c r="AH3967">
        <v>32.445704448005102</v>
      </c>
      <c r="AI3967">
        <v>91.949945665449107</v>
      </c>
      <c r="AJ3967">
        <v>96.361385961625501</v>
      </c>
      <c r="AK3967">
        <v>32.665631798706201</v>
      </c>
      <c r="AL3967">
        <v>90.004890655340105</v>
      </c>
      <c r="AM3967">
        <v>86.706641142368497</v>
      </c>
      <c r="AN3967">
        <v>1.00000002153005</v>
      </c>
    </row>
    <row r="3968" spans="1:40" x14ac:dyDescent="0.25">
      <c r="A3968" t="str">
        <f>"20190312154915604"</f>
        <v>20190312154915604</v>
      </c>
      <c r="B3968" t="str">
        <f>"1552376955599588"</f>
        <v>1552376955599588</v>
      </c>
      <c r="C3968" t="s">
        <v>40</v>
      </c>
      <c r="D3968">
        <v>4.590573</v>
      </c>
      <c r="E3968">
        <v>0.43513790000000002</v>
      </c>
      <c r="F3968" t="s">
        <v>63</v>
      </c>
      <c r="G3968">
        <v>-191.2371</v>
      </c>
      <c r="H3968" s="1">
        <v>-1.073348E-5</v>
      </c>
      <c r="I3968">
        <v>148.93</v>
      </c>
      <c r="J3968">
        <v>-192.95689999999999</v>
      </c>
      <c r="K3968">
        <v>1.111486</v>
      </c>
      <c r="L3968">
        <v>189.36840000000001</v>
      </c>
      <c r="M3968">
        <v>-6.9283040000000004E-2</v>
      </c>
      <c r="N3968">
        <v>0</v>
      </c>
      <c r="O3968">
        <v>-0.99749739999999998</v>
      </c>
      <c r="P3968">
        <v>-0.12608539999999999</v>
      </c>
      <c r="Q3968">
        <v>-1.4582410000000001E-2</v>
      </c>
      <c r="R3968">
        <v>-0.99191220000000002</v>
      </c>
      <c r="S3968">
        <v>0.12812809999999999</v>
      </c>
      <c r="T3968">
        <v>-8.3259109999999997E-2</v>
      </c>
      <c r="U3968">
        <v>-3.040375</v>
      </c>
      <c r="V3968">
        <v>5.7054290000000001E-2</v>
      </c>
      <c r="W3968">
        <v>-2.8542319999999999E-4</v>
      </c>
      <c r="X3968">
        <v>0.99837109999999996</v>
      </c>
      <c r="Y3968">
        <v>-0.1112165</v>
      </c>
      <c r="Z3968">
        <v>2.7178529999999999E-2</v>
      </c>
      <c r="AA3968">
        <v>0.99342450000000004</v>
      </c>
      <c r="AB3968">
        <v>27</v>
      </c>
      <c r="AC3968">
        <v>1.71979999999999</v>
      </c>
      <c r="AD3968">
        <v>-1.1114967334800001</v>
      </c>
      <c r="AE3968">
        <v>-40.438400000000001</v>
      </c>
      <c r="AF3968">
        <v>-4.5142360823230501</v>
      </c>
      <c r="AG3968">
        <v>-1.1114967334800001</v>
      </c>
      <c r="AH3968">
        <v>40.191734491122403</v>
      </c>
      <c r="AI3968">
        <v>91.574209568720505</v>
      </c>
      <c r="AJ3968">
        <v>96.408462055487405</v>
      </c>
      <c r="AK3968">
        <v>40.459724094466601</v>
      </c>
      <c r="AL3968">
        <v>90.016353543920403</v>
      </c>
      <c r="AM3968">
        <v>86.729253930274695</v>
      </c>
      <c r="AN3968">
        <v>1.0000000633945001</v>
      </c>
    </row>
    <row r="3969" spans="1:40" x14ac:dyDescent="0.25">
      <c r="A3969" t="str">
        <f>"20190312154915617"</f>
        <v>20190312154915617</v>
      </c>
      <c r="B3969" t="str">
        <f>"1552376955610324"</f>
        <v>1552376955610324</v>
      </c>
      <c r="C3969" t="s">
        <v>40</v>
      </c>
      <c r="D3969">
        <v>4.6379000000000001</v>
      </c>
      <c r="E3969">
        <v>0.4351796</v>
      </c>
      <c r="F3969" t="s">
        <v>63</v>
      </c>
      <c r="G3969">
        <v>-191.27</v>
      </c>
      <c r="H3969" s="1">
        <v>-1.1692870000000001E-5</v>
      </c>
      <c r="I3969">
        <v>151.41720000000001</v>
      </c>
      <c r="J3969">
        <v>-192.9657</v>
      </c>
      <c r="K3969">
        <v>1.1114850000000001</v>
      </c>
      <c r="L3969">
        <v>189.22370000000001</v>
      </c>
      <c r="M3969">
        <v>-6.8124290000000004E-2</v>
      </c>
      <c r="N3969">
        <v>0</v>
      </c>
      <c r="O3969">
        <v>-0.9975773</v>
      </c>
      <c r="P3969">
        <v>-0.1245749</v>
      </c>
      <c r="Q3969">
        <v>-1.453817E-2</v>
      </c>
      <c r="R3969">
        <v>-0.99210379999999998</v>
      </c>
      <c r="S3969">
        <v>0.13514709999999999</v>
      </c>
      <c r="T3969">
        <v>-8.9044570000000003E-2</v>
      </c>
      <c r="U3969">
        <v>-3.040359</v>
      </c>
      <c r="V3969">
        <v>5.6693710000000001E-2</v>
      </c>
      <c r="W3969">
        <v>-2.4839209999999998E-4</v>
      </c>
      <c r="X3969">
        <v>0.99839160000000005</v>
      </c>
      <c r="Y3969">
        <v>-0.112349</v>
      </c>
      <c r="Z3969">
        <v>2.9065870000000001E-2</v>
      </c>
      <c r="AA3969">
        <v>0.9932436</v>
      </c>
      <c r="AB3969">
        <v>27</v>
      </c>
      <c r="AC3969">
        <v>1.69569999999998</v>
      </c>
      <c r="AD3969">
        <v>-1.1114966928700001</v>
      </c>
      <c r="AE3969">
        <v>-37.8065</v>
      </c>
      <c r="AF3969">
        <v>-4.2638785803205597</v>
      </c>
      <c r="AG3969">
        <v>-1.1114966928700001</v>
      </c>
      <c r="AH3969">
        <v>37.570713644589198</v>
      </c>
      <c r="AI3969">
        <v>91.683749012910596</v>
      </c>
      <c r="AJ3969">
        <v>96.474761759535994</v>
      </c>
      <c r="AK3969">
        <v>37.8282250338249</v>
      </c>
      <c r="AL3969">
        <v>90.0142318189599</v>
      </c>
      <c r="AM3969">
        <v>86.749947004088199</v>
      </c>
      <c r="AN3969">
        <v>1.00000001270137</v>
      </c>
    </row>
    <row r="3970" spans="1:40" x14ac:dyDescent="0.25">
      <c r="A3970" t="str">
        <f>"20190312154915629"</f>
        <v>20190312154915629</v>
      </c>
      <c r="B3970" t="str">
        <f>"1552376955620084"</f>
        <v>1552376955620084</v>
      </c>
      <c r="C3970" t="s">
        <v>40</v>
      </c>
      <c r="D3970">
        <v>4.6151350000000004</v>
      </c>
      <c r="E3970">
        <v>0.43479669999999998</v>
      </c>
      <c r="F3970" t="s">
        <v>63</v>
      </c>
      <c r="G3970">
        <v>-191.30600000000001</v>
      </c>
      <c r="H3970" s="1">
        <v>-1.2424230000000001E-5</v>
      </c>
      <c r="I3970">
        <v>153.1071</v>
      </c>
      <c r="J3970">
        <v>-192.97450000000001</v>
      </c>
      <c r="K3970">
        <v>1.111477</v>
      </c>
      <c r="L3970">
        <v>189.07820000000001</v>
      </c>
      <c r="M3970">
        <v>-6.6961950000000006E-2</v>
      </c>
      <c r="N3970">
        <v>0</v>
      </c>
      <c r="O3970">
        <v>-0.99765590000000004</v>
      </c>
      <c r="P3970">
        <v>-0.122933399999999</v>
      </c>
      <c r="Q3970">
        <v>-1.4712390000000001E-2</v>
      </c>
      <c r="R3970">
        <v>-0.99230589999999996</v>
      </c>
      <c r="S3970">
        <v>0.13970949999999999</v>
      </c>
      <c r="T3970">
        <v>-9.3558429999999998E-2</v>
      </c>
      <c r="U3970">
        <v>-3.040054</v>
      </c>
      <c r="V3970">
        <v>5.6206069999999997E-2</v>
      </c>
      <c r="W3970">
        <v>-4.3028970000000001E-4</v>
      </c>
      <c r="X3970">
        <v>0.9984191</v>
      </c>
      <c r="Y3970">
        <v>-0.1126812</v>
      </c>
      <c r="Z3970">
        <v>3.0543000000000001E-2</v>
      </c>
      <c r="AA3970">
        <v>0.99316170000000004</v>
      </c>
      <c r="AB3970">
        <v>27</v>
      </c>
      <c r="AC3970">
        <v>1.6685000000000201</v>
      </c>
      <c r="AD3970">
        <v>-1.11148942423</v>
      </c>
      <c r="AE3970">
        <v>-35.9711</v>
      </c>
      <c r="AF3970">
        <v>-4.0698113871497901</v>
      </c>
      <c r="AG3970">
        <v>-1.11148942423</v>
      </c>
      <c r="AH3970">
        <v>35.744555834496502</v>
      </c>
      <c r="AI3970">
        <v>91.769632129897701</v>
      </c>
      <c r="AJ3970">
        <v>96.495622578951497</v>
      </c>
      <c r="AK3970">
        <v>35.992666548514997</v>
      </c>
      <c r="AL3970">
        <v>90.024653784456106</v>
      </c>
      <c r="AM3970">
        <v>86.777931112424895</v>
      </c>
      <c r="AN3970">
        <v>1.0000000033494401</v>
      </c>
    </row>
    <row r="3971" spans="1:40" x14ac:dyDescent="0.25">
      <c r="A3971" t="str">
        <f>"20190312154915650"</f>
        <v>20190312154915650</v>
      </c>
      <c r="B3971" t="str">
        <f>"1552376955639603"</f>
        <v>1552376955639603</v>
      </c>
      <c r="C3971" t="s">
        <v>40</v>
      </c>
      <c r="D3971">
        <v>4.657146</v>
      </c>
      <c r="E3971">
        <v>0.4349092</v>
      </c>
      <c r="F3971" t="s">
        <v>63</v>
      </c>
      <c r="G3971">
        <v>-191.22720000000001</v>
      </c>
      <c r="H3971" s="1">
        <v>-1.2419509999999999E-5</v>
      </c>
      <c r="I3971">
        <v>153.12870000000001</v>
      </c>
      <c r="J3971">
        <v>-192.98859999999999</v>
      </c>
      <c r="K3971">
        <v>1.1114710000000001</v>
      </c>
      <c r="L3971">
        <v>188.8357</v>
      </c>
      <c r="M3971">
        <v>-6.5041180000000004E-2</v>
      </c>
      <c r="N3971">
        <v>0</v>
      </c>
      <c r="O3971">
        <v>-0.99778319999999998</v>
      </c>
      <c r="P3971">
        <v>-0.12024319999999999</v>
      </c>
      <c r="Q3971">
        <v>-1.4750610000000001E-2</v>
      </c>
      <c r="R3971">
        <v>-0.99263500000000005</v>
      </c>
      <c r="S3971">
        <v>0.14776610000000001</v>
      </c>
      <c r="T3971">
        <v>-9.3995570000000001E-2</v>
      </c>
      <c r="U3971">
        <v>-3.040146</v>
      </c>
      <c r="V3971">
        <v>5.5422180000000001E-2</v>
      </c>
      <c r="W3971">
        <v>-4.8120870000000003E-4</v>
      </c>
      <c r="X3971">
        <v>0.99846290000000004</v>
      </c>
      <c r="Y3971">
        <v>-0.1133927</v>
      </c>
      <c r="Z3971">
        <v>3.0687369999999999E-2</v>
      </c>
      <c r="AA3971">
        <v>0.99307619999999996</v>
      </c>
      <c r="AB3971">
        <v>27</v>
      </c>
      <c r="AC3971">
        <v>1.7613999999999801</v>
      </c>
      <c r="AD3971">
        <v>-1.1114834195099901</v>
      </c>
      <c r="AE3971">
        <v>-35.706999999999901</v>
      </c>
      <c r="AF3971">
        <v>-4.0763851835387603</v>
      </c>
      <c r="AG3971">
        <v>-1.1114834195099901</v>
      </c>
      <c r="AH3971">
        <v>35.482506249907097</v>
      </c>
      <c r="AI3971">
        <v>91.782477026393394</v>
      </c>
      <c r="AJ3971">
        <v>96.553657369688295</v>
      </c>
      <c r="AK3971">
        <v>35.7331857148382</v>
      </c>
      <c r="AL3971">
        <v>90.027571228469796</v>
      </c>
      <c r="AM3971">
        <v>86.822914762934403</v>
      </c>
      <c r="AN3971">
        <v>1.00000000613708</v>
      </c>
    </row>
    <row r="3972" spans="1:40" x14ac:dyDescent="0.25">
      <c r="A3972" t="str">
        <f>"20190312154915672"</f>
        <v>20190312154915672</v>
      </c>
      <c r="B3972" t="str">
        <f>"1552376955660100"</f>
        <v>1552376955660100</v>
      </c>
      <c r="C3972" t="s">
        <v>40</v>
      </c>
      <c r="D3972">
        <v>4.6421760000000001</v>
      </c>
      <c r="E3972">
        <v>0.43522640000000001</v>
      </c>
      <c r="F3972" t="s">
        <v>63</v>
      </c>
      <c r="G3972">
        <v>-191.24180000000001</v>
      </c>
      <c r="H3972" s="1">
        <v>-1.293901E-5</v>
      </c>
      <c r="I3972">
        <v>154.58690000000001</v>
      </c>
      <c r="J3972">
        <v>-193.00399999999999</v>
      </c>
      <c r="K3972">
        <v>1.1114660000000001</v>
      </c>
      <c r="L3972">
        <v>188.56399999999999</v>
      </c>
      <c r="M3972">
        <v>-6.2914020000000001E-2</v>
      </c>
      <c r="N3972">
        <v>0</v>
      </c>
      <c r="O3972">
        <v>-0.99791989999999997</v>
      </c>
      <c r="P3972">
        <v>-0.117934</v>
      </c>
      <c r="Q3972">
        <v>-1.445157E-2</v>
      </c>
      <c r="R3972">
        <v>-0.99291649999999998</v>
      </c>
      <c r="S3972">
        <v>0.15502929999999901</v>
      </c>
      <c r="T3972">
        <v>-9.864473E-2</v>
      </c>
      <c r="U3972">
        <v>-3.0395970000000001</v>
      </c>
      <c r="V3972">
        <v>5.5226879999999999E-2</v>
      </c>
      <c r="W3972">
        <v>-1.9372629999999999E-4</v>
      </c>
      <c r="X3972">
        <v>0.99847379999999997</v>
      </c>
      <c r="Y3972">
        <v>-0.1136481</v>
      </c>
      <c r="Z3972">
        <v>3.221371E-2</v>
      </c>
      <c r="AA3972">
        <v>0.99299870000000001</v>
      </c>
      <c r="AB3972">
        <v>27</v>
      </c>
      <c r="AC3972">
        <v>1.7622</v>
      </c>
      <c r="AD3972">
        <v>-1.1114789390099999</v>
      </c>
      <c r="AE3972">
        <v>-33.9771</v>
      </c>
      <c r="AF3972">
        <v>-3.8924014516235399</v>
      </c>
      <c r="AG3972">
        <v>-1.1114789390099999</v>
      </c>
      <c r="AH3972">
        <v>33.762865149053397</v>
      </c>
      <c r="AI3972">
        <v>91.873107628119996</v>
      </c>
      <c r="AJ3972">
        <v>96.576395011637103</v>
      </c>
      <c r="AK3972">
        <v>34.0046649382938</v>
      </c>
      <c r="AL3972">
        <v>90.011099699578295</v>
      </c>
      <c r="AM3972">
        <v>86.834122042862205</v>
      </c>
      <c r="AN3972">
        <v>0.99999998754542596</v>
      </c>
    </row>
    <row r="3973" spans="1:40" x14ac:dyDescent="0.25">
      <c r="A3973" t="str">
        <f>"20190312154915694"</f>
        <v>20190312154915694</v>
      </c>
      <c r="B3973" t="str">
        <f>"1552376955690356"</f>
        <v>1552376955690356</v>
      </c>
      <c r="C3973" t="s">
        <v>40</v>
      </c>
      <c r="D3973">
        <v>4.6661599999999996</v>
      </c>
      <c r="E3973">
        <v>0.43573010000000001</v>
      </c>
      <c r="F3973" t="s">
        <v>63</v>
      </c>
      <c r="G3973">
        <v>-191.25049999999999</v>
      </c>
      <c r="H3973" s="1">
        <v>-1.32091E-5</v>
      </c>
      <c r="I3973">
        <v>155.2269</v>
      </c>
      <c r="J3973">
        <v>-193.01779999999999</v>
      </c>
      <c r="K3973">
        <v>1.1114550000000001</v>
      </c>
      <c r="L3973">
        <v>188.30950000000001</v>
      </c>
      <c r="M3973">
        <v>-6.094186E-2</v>
      </c>
      <c r="N3973">
        <v>0</v>
      </c>
      <c r="O3973">
        <v>-0.99804230000000005</v>
      </c>
      <c r="P3973">
        <v>-0.116355399999999</v>
      </c>
      <c r="Q3973">
        <v>-1.41341E-2</v>
      </c>
      <c r="R3973">
        <v>-0.99310719999999997</v>
      </c>
      <c r="S3973">
        <v>0.1598358</v>
      </c>
      <c r="T3973">
        <v>-0.10131850000000001</v>
      </c>
      <c r="U3973">
        <v>-3.0388950000000001</v>
      </c>
      <c r="V3973">
        <v>5.5611239999999999E-2</v>
      </c>
      <c r="W3973">
        <v>1.152197E-4</v>
      </c>
      <c r="X3973">
        <v>0.99845249999999997</v>
      </c>
      <c r="Y3973">
        <v>-0.1132613</v>
      </c>
      <c r="Z3973">
        <v>3.3099030000000002E-2</v>
      </c>
      <c r="AA3973">
        <v>0.9930137</v>
      </c>
      <c r="AB3973">
        <v>27</v>
      </c>
      <c r="AC3973">
        <v>1.7673000000000001</v>
      </c>
      <c r="AD3973">
        <v>-1.1114682091000001</v>
      </c>
      <c r="AE3973">
        <v>-33.082599999999999</v>
      </c>
      <c r="AF3973">
        <v>-3.7760788660264102</v>
      </c>
      <c r="AG3973">
        <v>-1.1114682091000001</v>
      </c>
      <c r="AH3973">
        <v>32.876381223418498</v>
      </c>
      <c r="AI3973">
        <v>91.923652171143004</v>
      </c>
      <c r="AJ3973">
        <v>96.5521036329786</v>
      </c>
      <c r="AK3973">
        <v>33.111185051728903</v>
      </c>
      <c r="AL3973">
        <v>89.993398397518206</v>
      </c>
      <c r="AM3973">
        <v>86.812066047268303</v>
      </c>
      <c r="AN3973">
        <v>1.0000000090230801</v>
      </c>
    </row>
    <row r="3974" spans="1:40" x14ac:dyDescent="0.25">
      <c r="A3974" t="str">
        <f>"20190312154915715"</f>
        <v>20190312154915715</v>
      </c>
      <c r="B3974" t="str">
        <f>"1552376955709876"</f>
        <v>1552376955709876</v>
      </c>
      <c r="C3974" t="s">
        <v>40</v>
      </c>
      <c r="D3974">
        <v>4.6506509999999999</v>
      </c>
      <c r="E3974">
        <v>0.43609510000000001</v>
      </c>
      <c r="F3974" t="s">
        <v>63</v>
      </c>
      <c r="G3974">
        <v>-191.2816</v>
      </c>
      <c r="H3974" s="1">
        <v>-1.3324520000000001E-5</v>
      </c>
      <c r="I3974">
        <v>155.48949999999999</v>
      </c>
      <c r="J3974">
        <v>-193.03129999999999</v>
      </c>
      <c r="K3974">
        <v>1.1114440000000001</v>
      </c>
      <c r="L3974">
        <v>188.05019999999999</v>
      </c>
      <c r="M3974">
        <v>-5.8948489999999999E-2</v>
      </c>
      <c r="N3974">
        <v>0</v>
      </c>
      <c r="O3974">
        <v>-0.99816199999999999</v>
      </c>
      <c r="P3974">
        <v>-0.1153134</v>
      </c>
      <c r="Q3974">
        <v>-1.438687E-2</v>
      </c>
      <c r="R3974">
        <v>-0.99322489999999997</v>
      </c>
      <c r="S3974">
        <v>0.1607208</v>
      </c>
      <c r="T3974">
        <v>-0.1028893</v>
      </c>
      <c r="U3974">
        <v>-3.0381619999999998</v>
      </c>
      <c r="V3974">
        <v>5.6558820000000003E-2</v>
      </c>
      <c r="W3974">
        <v>-1.439256E-4</v>
      </c>
      <c r="X3974">
        <v>0.99839929999999999</v>
      </c>
      <c r="Y3974">
        <v>-0.11157690000000001</v>
      </c>
      <c r="Z3974">
        <v>3.3628730000000003E-2</v>
      </c>
      <c r="AA3974">
        <v>0.99318669999999998</v>
      </c>
      <c r="AB3974">
        <v>27</v>
      </c>
      <c r="AC3974">
        <v>1.74969999999998</v>
      </c>
      <c r="AD3974">
        <v>-1.1114573245199999</v>
      </c>
      <c r="AE3974">
        <v>-32.560699999999997</v>
      </c>
      <c r="AF3974">
        <v>-3.6619959228557502</v>
      </c>
      <c r="AG3974">
        <v>-1.1114573245199999</v>
      </c>
      <c r="AH3974">
        <v>32.363313254369899</v>
      </c>
      <c r="AI3974">
        <v>91.954480513761197</v>
      </c>
      <c r="AJ3974">
        <v>96.455712996257205</v>
      </c>
      <c r="AK3974">
        <v>32.588795564176898</v>
      </c>
      <c r="AL3974">
        <v>90.008246329129804</v>
      </c>
      <c r="AM3974">
        <v>86.757688212974003</v>
      </c>
      <c r="AN3974">
        <v>1.0000000415374199</v>
      </c>
    </row>
    <row r="3975" spans="1:40" x14ac:dyDescent="0.25">
      <c r="A3975" t="str">
        <f>"20190312154915737"</f>
        <v>20190312154915737</v>
      </c>
      <c r="B3975" t="str">
        <f>"1552376955730371"</f>
        <v>1552376955730371</v>
      </c>
      <c r="C3975" t="s">
        <v>40</v>
      </c>
      <c r="D3975">
        <v>4.666239</v>
      </c>
      <c r="E3975">
        <v>0.43635829999999998</v>
      </c>
      <c r="F3975" t="s">
        <v>63</v>
      </c>
      <c r="G3975">
        <v>-191.3398</v>
      </c>
      <c r="H3975" s="1">
        <v>-1.359743E-5</v>
      </c>
      <c r="I3975">
        <v>156.11359999999999</v>
      </c>
      <c r="J3975">
        <v>-193.0444</v>
      </c>
      <c r="K3975">
        <v>1.1114280000000001</v>
      </c>
      <c r="L3975">
        <v>187.7903</v>
      </c>
      <c r="M3975">
        <v>-5.6957729999999998E-2</v>
      </c>
      <c r="N3975">
        <v>0</v>
      </c>
      <c r="O3975">
        <v>-0.99827759999999999</v>
      </c>
      <c r="P3975">
        <v>-0.11433459999999999</v>
      </c>
      <c r="Q3975">
        <v>-1.459479E-2</v>
      </c>
      <c r="R3975">
        <v>-0.99333519999999997</v>
      </c>
      <c r="S3975">
        <v>0.1608887</v>
      </c>
      <c r="T3975">
        <v>-0.1057155</v>
      </c>
      <c r="U3975">
        <v>-3.0376280000000002</v>
      </c>
      <c r="V3975">
        <v>5.7566890000000003E-2</v>
      </c>
      <c r="W3975">
        <v>-3.5740149999999998E-4</v>
      </c>
      <c r="X3975">
        <v>0.99834160000000005</v>
      </c>
      <c r="Y3975">
        <v>-0.10965709999999999</v>
      </c>
      <c r="Z3975">
        <v>3.4567109999999998E-2</v>
      </c>
      <c r="AA3975">
        <v>0.99336820000000003</v>
      </c>
      <c r="AB3975">
        <v>27</v>
      </c>
      <c r="AC3975">
        <v>1.7045999999999899</v>
      </c>
      <c r="AD3975">
        <v>-1.11144159742999</v>
      </c>
      <c r="AE3975">
        <v>-31.6767</v>
      </c>
      <c r="AF3975">
        <v>-3.5019446483771</v>
      </c>
      <c r="AG3975">
        <v>-1.11144159742999</v>
      </c>
      <c r="AH3975">
        <v>31.4895110253632</v>
      </c>
      <c r="AI3975">
        <v>92.009075181441801</v>
      </c>
      <c r="AJ3975">
        <v>96.345781544118594</v>
      </c>
      <c r="AK3975">
        <v>31.703126397269799</v>
      </c>
      <c r="AL3975">
        <v>90.020477597723101</v>
      </c>
      <c r="AM3975">
        <v>86.699835517435602</v>
      </c>
      <c r="AN3975">
        <v>1.0000000124253301</v>
      </c>
    </row>
    <row r="3976" spans="1:40" x14ac:dyDescent="0.25">
      <c r="A3976" t="str">
        <f>"20190312154915750"</f>
        <v>20190312154915750</v>
      </c>
      <c r="B3976" t="str">
        <f>"1552376955740131"</f>
        <v>1552376955740131</v>
      </c>
      <c r="C3976" t="s">
        <v>40</v>
      </c>
      <c r="D3976">
        <v>4.6772549999999997</v>
      </c>
      <c r="E3976">
        <v>0.4364883</v>
      </c>
      <c r="F3976" t="s">
        <v>63</v>
      </c>
      <c r="G3976">
        <v>-191.3878</v>
      </c>
      <c r="H3976" s="1">
        <v>-1.3850649999999999E-5</v>
      </c>
      <c r="I3976">
        <v>156.69399999999999</v>
      </c>
      <c r="J3976">
        <v>-193.05189999999999</v>
      </c>
      <c r="K3976">
        <v>1.111421</v>
      </c>
      <c r="L3976">
        <v>187.6377</v>
      </c>
      <c r="M3976">
        <v>-5.5791269999999997E-2</v>
      </c>
      <c r="N3976">
        <v>0</v>
      </c>
      <c r="O3976">
        <v>-0.9983438</v>
      </c>
      <c r="P3976">
        <v>-0.1133358</v>
      </c>
      <c r="Q3976">
        <v>-1.4865659999999999E-2</v>
      </c>
      <c r="R3976">
        <v>-0.99344580000000005</v>
      </c>
      <c r="S3976">
        <v>0.16180420000000001</v>
      </c>
      <c r="T3976">
        <v>-0.108554399999999</v>
      </c>
      <c r="U3976">
        <v>-3.0371700000000001</v>
      </c>
      <c r="V3976">
        <v>5.773081E-2</v>
      </c>
      <c r="W3976">
        <v>-6.3238529999999995E-4</v>
      </c>
      <c r="X3976">
        <v>0.998332</v>
      </c>
      <c r="Y3976">
        <v>-0.10880040000000001</v>
      </c>
      <c r="Z3976">
        <v>3.5504460000000002E-2</v>
      </c>
      <c r="AA3976">
        <v>0.99342940000000002</v>
      </c>
      <c r="AB3976">
        <v>27</v>
      </c>
      <c r="AC3976">
        <v>1.6640999999999899</v>
      </c>
      <c r="AD3976">
        <v>-1.11143485065</v>
      </c>
      <c r="AE3976">
        <v>-30.9437</v>
      </c>
      <c r="AF3976">
        <v>-3.3837132236287499</v>
      </c>
      <c r="AG3976">
        <v>-1.11143485065</v>
      </c>
      <c r="AH3976">
        <v>30.763069863880801</v>
      </c>
      <c r="AI3976">
        <v>92.056738157848599</v>
      </c>
      <c r="AJ3976">
        <v>96.276885431116199</v>
      </c>
      <c r="AK3976">
        <v>30.968552921585001</v>
      </c>
      <c r="AL3976">
        <v>90.036233010613699</v>
      </c>
      <c r="AM3976">
        <v>86.690427502489399</v>
      </c>
      <c r="AN3976">
        <v>1.00000001427921</v>
      </c>
    </row>
    <row r="3977" spans="1:40" x14ac:dyDescent="0.25">
      <c r="A3977" t="str">
        <f>"20190312154915763"</f>
        <v>20190312154915763</v>
      </c>
      <c r="B3977" t="str">
        <f>"1552376955759651"</f>
        <v>1552376955759651</v>
      </c>
      <c r="C3977" t="s">
        <v>40</v>
      </c>
      <c r="D3977">
        <v>4.7153559999999999</v>
      </c>
      <c r="E3977">
        <v>0.43672169999999999</v>
      </c>
      <c r="F3977" t="s">
        <v>63</v>
      </c>
      <c r="G3977">
        <v>-191.4014</v>
      </c>
      <c r="H3977" s="1">
        <v>-1.39945E-5</v>
      </c>
      <c r="I3977">
        <v>157.0265</v>
      </c>
      <c r="J3977">
        <v>-193.0592</v>
      </c>
      <c r="K3977">
        <v>1.1114120000000001</v>
      </c>
      <c r="L3977">
        <v>187.4846</v>
      </c>
      <c r="M3977">
        <v>-5.4621500000000003E-2</v>
      </c>
      <c r="N3977">
        <v>0</v>
      </c>
      <c r="O3977">
        <v>-0.99840859999999998</v>
      </c>
      <c r="P3977">
        <v>-0.1124773</v>
      </c>
      <c r="Q3977">
        <v>-1.488566E-2</v>
      </c>
      <c r="R3977">
        <v>-0.99354310000000001</v>
      </c>
      <c r="S3977">
        <v>0.1637421</v>
      </c>
      <c r="T3977">
        <v>-0.1102606</v>
      </c>
      <c r="U3977">
        <v>-3.0368040000000001</v>
      </c>
      <c r="V3977">
        <v>5.8037900000000003E-2</v>
      </c>
      <c r="W3977">
        <v>-6.5588880000000003E-4</v>
      </c>
      <c r="X3977">
        <v>0.99831409999999998</v>
      </c>
      <c r="Y3977">
        <v>-0.1082731</v>
      </c>
      <c r="Z3977">
        <v>3.6070070000000003E-2</v>
      </c>
      <c r="AA3977">
        <v>0.99346659999999998</v>
      </c>
      <c r="AB3977">
        <v>27</v>
      </c>
      <c r="AC3977">
        <v>1.6577999999999999</v>
      </c>
      <c r="AD3977">
        <v>-1.1114259945</v>
      </c>
      <c r="AE3977">
        <v>-30.458100000000002</v>
      </c>
      <c r="AF3977">
        <v>-3.3147547351575799</v>
      </c>
      <c r="AG3977">
        <v>-1.1114259945</v>
      </c>
      <c r="AH3977">
        <v>30.281858152750399</v>
      </c>
      <c r="AI3977">
        <v>92.089496398017999</v>
      </c>
      <c r="AJ3977">
        <v>96.246918592530506</v>
      </c>
      <c r="AK3977">
        <v>30.4830083797317</v>
      </c>
      <c r="AL3977">
        <v>90.037579665201605</v>
      </c>
      <c r="AM3977">
        <v>86.672802673070393</v>
      </c>
      <c r="AN3977">
        <v>0.99999993514266605</v>
      </c>
    </row>
    <row r="3978" spans="1:40" x14ac:dyDescent="0.25">
      <c r="A3978" t="str">
        <f>"20190312154915782"</f>
        <v>20190312154915782</v>
      </c>
      <c r="B3978" t="str">
        <f>"1552376955770388"</f>
        <v>1552376955770388</v>
      </c>
      <c r="C3978" t="s">
        <v>40</v>
      </c>
      <c r="D3978">
        <v>4.7594029999999998</v>
      </c>
      <c r="E3978">
        <v>0.43684479999999998</v>
      </c>
      <c r="F3978" t="s">
        <v>63</v>
      </c>
      <c r="G3978">
        <v>-191.4237</v>
      </c>
      <c r="H3978" s="1">
        <v>-1.4111310000000001E-5</v>
      </c>
      <c r="I3978">
        <v>157.29409999999999</v>
      </c>
      <c r="J3978">
        <v>-193.06909999999999</v>
      </c>
      <c r="K3978">
        <v>1.1113999999999999</v>
      </c>
      <c r="L3978">
        <v>187.26990000000001</v>
      </c>
      <c r="M3978">
        <v>-5.2981199999999999E-2</v>
      </c>
      <c r="N3978">
        <v>0</v>
      </c>
      <c r="O3978">
        <v>-0.99849679999999996</v>
      </c>
      <c r="P3978">
        <v>-0.1117433</v>
      </c>
      <c r="Q3978">
        <v>-1.513862E-2</v>
      </c>
      <c r="R3978">
        <v>-0.9936218</v>
      </c>
      <c r="S3978">
        <v>0.16448969999999999</v>
      </c>
      <c r="T3978">
        <v>-0.11178299999999999</v>
      </c>
      <c r="U3978">
        <v>-3.036438</v>
      </c>
      <c r="V3978">
        <v>5.8941479999999997E-2</v>
      </c>
      <c r="W3978">
        <v>-9.1208520000000005E-4</v>
      </c>
      <c r="X3978">
        <v>0.99826099999999995</v>
      </c>
      <c r="Y3978">
        <v>-0.1068891</v>
      </c>
      <c r="Z3978">
        <v>3.6579239999999999E-2</v>
      </c>
      <c r="AA3978">
        <v>0.99359790000000003</v>
      </c>
      <c r="AB3978">
        <v>27</v>
      </c>
      <c r="AC3978">
        <v>1.64539999999999</v>
      </c>
      <c r="AD3978">
        <v>-1.11141411131</v>
      </c>
      <c r="AE3978">
        <v>-29.9758</v>
      </c>
      <c r="AF3978">
        <v>-3.2269761910145198</v>
      </c>
      <c r="AG3978">
        <v>-1.11141411131</v>
      </c>
      <c r="AH3978">
        <v>29.805656149902202</v>
      </c>
      <c r="AI3978">
        <v>92.123100055376398</v>
      </c>
      <c r="AJ3978">
        <v>96.179187318213593</v>
      </c>
      <c r="AK3978">
        <v>30.0004292501023</v>
      </c>
      <c r="AL3978">
        <v>90.052258640961696</v>
      </c>
      <c r="AM3978">
        <v>86.620942014676302</v>
      </c>
      <c r="AN3978">
        <v>0.99999997704249999</v>
      </c>
    </row>
    <row r="3979" spans="1:40" x14ac:dyDescent="0.25">
      <c r="A3979" t="str">
        <f>"20190312154915794"</f>
        <v>20190312154915794</v>
      </c>
      <c r="B3979" t="str">
        <f>"1552376955789908"</f>
        <v>1552376955789908</v>
      </c>
      <c r="C3979" t="s">
        <v>40</v>
      </c>
      <c r="D3979">
        <v>4.7531829999999999</v>
      </c>
      <c r="E3979">
        <v>0.43705699999999997</v>
      </c>
      <c r="F3979" t="s">
        <v>63</v>
      </c>
      <c r="G3979">
        <v>-191.46369999999999</v>
      </c>
      <c r="H3979" s="1">
        <v>-1.4375539999999999E-5</v>
      </c>
      <c r="I3979">
        <v>157.90180000000001</v>
      </c>
      <c r="J3979">
        <v>-193.07560000000001</v>
      </c>
      <c r="K3979">
        <v>1.1113980000000001</v>
      </c>
      <c r="L3979">
        <v>187.12360000000001</v>
      </c>
      <c r="M3979">
        <v>-5.186292E-2</v>
      </c>
      <c r="N3979">
        <v>0</v>
      </c>
      <c r="O3979">
        <v>-0.99855579999999999</v>
      </c>
      <c r="P3979">
        <v>-0.1112707</v>
      </c>
      <c r="Q3979">
        <v>-1.5369590000000001E-2</v>
      </c>
      <c r="R3979">
        <v>-0.99367190000000005</v>
      </c>
      <c r="S3979">
        <v>0.165969799999999</v>
      </c>
      <c r="T3979">
        <v>-0.11490209999999999</v>
      </c>
      <c r="U3979">
        <v>-3.0361790000000002</v>
      </c>
      <c r="V3979">
        <v>5.9585590000000001E-2</v>
      </c>
      <c r="W3979">
        <v>-1.144974E-3</v>
      </c>
      <c r="X3979">
        <v>0.99822250000000001</v>
      </c>
      <c r="Y3979">
        <v>-0.10626099999999999</v>
      </c>
      <c r="Z3979">
        <v>3.7605769999999997E-2</v>
      </c>
      <c r="AA3979">
        <v>0.99362689999999998</v>
      </c>
      <c r="AB3979">
        <v>27</v>
      </c>
      <c r="AC3979">
        <v>1.6119000000000201</v>
      </c>
      <c r="AD3979">
        <v>-1.1114123755399901</v>
      </c>
      <c r="AE3979">
        <v>-29.221800000000002</v>
      </c>
      <c r="AF3979">
        <v>-3.1209062529854101</v>
      </c>
      <c r="AG3979">
        <v>-1.1114123755399901</v>
      </c>
      <c r="AH3979">
        <v>29.056954762848299</v>
      </c>
      <c r="AI3979">
        <v>92.177949522657798</v>
      </c>
      <c r="AJ3979">
        <v>96.130438193714994</v>
      </c>
      <c r="AK3979">
        <v>29.245203254527802</v>
      </c>
      <c r="AL3979">
        <v>90.065602195039304</v>
      </c>
      <c r="AM3979">
        <v>86.583971344645903</v>
      </c>
      <c r="AN3979">
        <v>0.99999995650367801</v>
      </c>
    </row>
    <row r="3980" spans="1:40" x14ac:dyDescent="0.25">
      <c r="A3980" t="str">
        <f>"20190312154915807"</f>
        <v>20190312154915807</v>
      </c>
      <c r="B3980" t="str">
        <f>"1552376955799668"</f>
        <v>1552376955799668</v>
      </c>
      <c r="C3980" t="s">
        <v>40</v>
      </c>
      <c r="D3980">
        <v>4.7558259999999999</v>
      </c>
      <c r="E3980">
        <v>0.43714520000000001</v>
      </c>
      <c r="F3980" t="s">
        <v>63</v>
      </c>
      <c r="G3980">
        <v>-191.53479999999999</v>
      </c>
      <c r="H3980" s="1">
        <v>-1.4792979999999901E-5</v>
      </c>
      <c r="I3980">
        <v>158.88299999999899</v>
      </c>
      <c r="J3980">
        <v>-193.08260000000001</v>
      </c>
      <c r="K3980">
        <v>1.111391</v>
      </c>
      <c r="L3980">
        <v>186.96530000000001</v>
      </c>
      <c r="M3980">
        <v>-5.0653259999999999E-2</v>
      </c>
      <c r="N3980">
        <v>0</v>
      </c>
      <c r="O3980">
        <v>-0.99861800000000001</v>
      </c>
      <c r="P3980">
        <v>-0.1104692</v>
      </c>
      <c r="Q3980">
        <v>-1.5103299999999899E-2</v>
      </c>
      <c r="R3980">
        <v>-0.99376520000000002</v>
      </c>
      <c r="S3980">
        <v>0.16563420000000001</v>
      </c>
      <c r="T3980">
        <v>-0.1194755</v>
      </c>
      <c r="U3980">
        <v>-3.035828</v>
      </c>
      <c r="V3980">
        <v>5.9988390000000003E-2</v>
      </c>
      <c r="W3980">
        <v>-8.8135479999999896E-4</v>
      </c>
      <c r="X3980">
        <v>0.99819869999999999</v>
      </c>
      <c r="Y3980">
        <v>-0.10495</v>
      </c>
      <c r="Z3980">
        <v>3.9111319999999998E-2</v>
      </c>
      <c r="AA3980">
        <v>0.99370809999999998</v>
      </c>
      <c r="AB3980">
        <v>27</v>
      </c>
      <c r="AC3980">
        <v>1.54780000000002</v>
      </c>
      <c r="AD3980">
        <v>-1.1114057929799901</v>
      </c>
      <c r="AE3980">
        <v>-28.0823</v>
      </c>
      <c r="AF3980">
        <v>-2.96378423384775</v>
      </c>
      <c r="AG3980">
        <v>-1.1114057929799901</v>
      </c>
      <c r="AH3980">
        <v>27.924229087363099</v>
      </c>
      <c r="AI3980">
        <v>92.266496206508094</v>
      </c>
      <c r="AJ3980">
        <v>96.058500602901304</v>
      </c>
      <c r="AK3980">
        <v>28.103056950179099</v>
      </c>
      <c r="AL3980">
        <v>90.050497916114097</v>
      </c>
      <c r="AM3980">
        <v>86.560852348413107</v>
      </c>
      <c r="AN3980">
        <v>1.0000000142013801</v>
      </c>
    </row>
    <row r="3981" spans="1:40" x14ac:dyDescent="0.25">
      <c r="A3981" t="str">
        <f>"20190312154915820"</f>
        <v>20190312154915820</v>
      </c>
      <c r="B3981" t="str">
        <f>"1552376955810404"</f>
        <v>1552376955810404</v>
      </c>
      <c r="C3981" t="s">
        <v>40</v>
      </c>
      <c r="D3981">
        <v>4.7049289999999999</v>
      </c>
      <c r="E3981">
        <v>0.43730170000000002</v>
      </c>
      <c r="F3981" t="s">
        <v>63</v>
      </c>
      <c r="G3981">
        <v>-191.5309</v>
      </c>
      <c r="H3981" s="1">
        <v>-1.4783580000000001E-5</v>
      </c>
      <c r="I3981">
        <v>158.84559999999999</v>
      </c>
      <c r="J3981">
        <v>-193.08940000000001</v>
      </c>
      <c r="K3981">
        <v>1.1113869999999999</v>
      </c>
      <c r="L3981">
        <v>186.80350000000001</v>
      </c>
      <c r="M3981">
        <v>-4.9415189999999998E-2</v>
      </c>
      <c r="N3981">
        <v>0</v>
      </c>
      <c r="O3981">
        <v>-0.99867989999999995</v>
      </c>
      <c r="P3981">
        <v>-0.1098961</v>
      </c>
      <c r="Q3981">
        <v>-1.4998340000000001E-2</v>
      </c>
      <c r="R3981">
        <v>-0.9938304</v>
      </c>
      <c r="S3981">
        <v>0.16751099999999999</v>
      </c>
      <c r="T3981">
        <v>-0.1199793</v>
      </c>
      <c r="U3981">
        <v>-3.0355989999999999</v>
      </c>
      <c r="V3981">
        <v>6.0649719999999997E-2</v>
      </c>
      <c r="W3981">
        <v>-7.7821770000000001E-4</v>
      </c>
      <c r="X3981">
        <v>0.99815880000000001</v>
      </c>
      <c r="Y3981">
        <v>-0.1043333</v>
      </c>
      <c r="Z3981">
        <v>3.9283220000000001E-2</v>
      </c>
      <c r="AA3981">
        <v>0.99376620000000004</v>
      </c>
      <c r="AB3981">
        <v>26</v>
      </c>
      <c r="AC3981">
        <v>1.5585</v>
      </c>
      <c r="AD3981">
        <v>-1.1114017835799901</v>
      </c>
      <c r="AE3981">
        <v>-27.957899999999999</v>
      </c>
      <c r="AF3981">
        <v>-2.9336547817712901</v>
      </c>
      <c r="AG3981">
        <v>-1.1114017835799901</v>
      </c>
      <c r="AH3981">
        <v>27.802916429612701</v>
      </c>
      <c r="AI3981">
        <v>92.276514729948502</v>
      </c>
      <c r="AJ3981">
        <v>96.023338195609298</v>
      </c>
      <c r="AK3981">
        <v>27.979344279221099</v>
      </c>
      <c r="AL3981">
        <v>90.044588594605798</v>
      </c>
      <c r="AM3981">
        <v>86.522892016027498</v>
      </c>
      <c r="AN3981">
        <v>0.99999999208815304</v>
      </c>
    </row>
    <row r="3982" spans="1:40" x14ac:dyDescent="0.25">
      <c r="A3982" t="str">
        <f>"20190312154915838"</f>
        <v>20190312154915838</v>
      </c>
      <c r="B3982" t="str">
        <f>"1552376955829924"</f>
        <v>1552376955829924</v>
      </c>
      <c r="C3982" t="s">
        <v>40</v>
      </c>
      <c r="D3982">
        <v>4.7614289999999997</v>
      </c>
      <c r="E3982">
        <v>0.43750129999999998</v>
      </c>
      <c r="F3982" t="s">
        <v>63</v>
      </c>
      <c r="G3982">
        <v>-191.52420000000001</v>
      </c>
      <c r="H3982" s="1">
        <v>-1.46683E-5</v>
      </c>
      <c r="I3982">
        <v>158.57169999999999</v>
      </c>
      <c r="J3982">
        <v>-193.09790000000001</v>
      </c>
      <c r="K3982">
        <v>1.1113869999999999</v>
      </c>
      <c r="L3982">
        <v>186.59739999999999</v>
      </c>
      <c r="M3982">
        <v>-4.7837360000000002E-2</v>
      </c>
      <c r="N3982">
        <v>0</v>
      </c>
      <c r="O3982">
        <v>-0.9987568</v>
      </c>
      <c r="P3982">
        <v>-0.1095267</v>
      </c>
      <c r="Q3982">
        <v>-1.4347810000000001E-2</v>
      </c>
      <c r="R3982">
        <v>-0.9938806</v>
      </c>
      <c r="S3982">
        <v>0.1682892</v>
      </c>
      <c r="T3982">
        <v>-0.1194953</v>
      </c>
      <c r="U3982">
        <v>-3.0354160000000001</v>
      </c>
      <c r="V3982">
        <v>6.185276E-2</v>
      </c>
      <c r="W3982">
        <v>-1.2882529999999999E-4</v>
      </c>
      <c r="X3982">
        <v>0.99808529999999995</v>
      </c>
      <c r="Y3982">
        <v>-0.1030196</v>
      </c>
      <c r="Z3982">
        <v>3.9134299999999997E-2</v>
      </c>
      <c r="AA3982">
        <v>0.99390919999999905</v>
      </c>
      <c r="AB3982">
        <v>26</v>
      </c>
      <c r="AC3982">
        <v>1.5737000000000001</v>
      </c>
      <c r="AD3982">
        <v>-1.1114016683000001</v>
      </c>
      <c r="AE3982">
        <v>-28.025700000000001</v>
      </c>
      <c r="AF3982">
        <v>-2.9081460882983401</v>
      </c>
      <c r="AG3982">
        <v>-1.1114016683000001</v>
      </c>
      <c r="AH3982">
        <v>27.874620147604102</v>
      </c>
      <c r="AI3982">
        <v>92.270943938570696</v>
      </c>
      <c r="AJ3982">
        <v>95.956094256551907</v>
      </c>
      <c r="AK3982">
        <v>28.0479406679421</v>
      </c>
      <c r="AL3982">
        <v>90.007381145832895</v>
      </c>
      <c r="AM3982">
        <v>86.453834366071206</v>
      </c>
      <c r="AN3982">
        <v>1.0000000232958299</v>
      </c>
    </row>
    <row r="3983" spans="1:40" x14ac:dyDescent="0.25">
      <c r="A3983" t="str">
        <f>"20190312154915862"</f>
        <v>20190312154915862</v>
      </c>
      <c r="B3983" t="str">
        <f>"1552376955850173"</f>
        <v>1552376955850173</v>
      </c>
      <c r="C3983" t="s">
        <v>40</v>
      </c>
      <c r="D3983">
        <v>4.779166</v>
      </c>
      <c r="E3983">
        <v>0.43690590000000001</v>
      </c>
      <c r="F3983" t="s">
        <v>63</v>
      </c>
      <c r="G3983">
        <v>-191.5094</v>
      </c>
      <c r="H3983" s="1">
        <v>-1.4364959999999999E-5</v>
      </c>
      <c r="I3983">
        <v>157.86770000000001</v>
      </c>
      <c r="J3983">
        <v>-193.1086</v>
      </c>
      <c r="K3983">
        <v>1.1113820000000001</v>
      </c>
      <c r="L3983">
        <v>186.3237</v>
      </c>
      <c r="M3983">
        <v>-4.5740709999999997E-2</v>
      </c>
      <c r="N3983">
        <v>0</v>
      </c>
      <c r="O3983">
        <v>-0.9988551</v>
      </c>
      <c r="P3983">
        <v>-0.1089928</v>
      </c>
      <c r="Q3983">
        <v>-1.352253E-2</v>
      </c>
      <c r="R3983">
        <v>-0.99395100000000003</v>
      </c>
      <c r="S3983">
        <v>0.1678162</v>
      </c>
      <c r="T3983">
        <v>-0.11741889999999899</v>
      </c>
      <c r="U3983">
        <v>-3.0352779999999999</v>
      </c>
      <c r="V3983">
        <v>6.3408210000000007E-2</v>
      </c>
      <c r="W3983">
        <v>6.9505369999999997E-4</v>
      </c>
      <c r="X3983">
        <v>0.99798739999999997</v>
      </c>
      <c r="Y3983">
        <v>-0.10078090000000001</v>
      </c>
      <c r="Z3983">
        <v>3.8467330000000001E-2</v>
      </c>
      <c r="AA3983">
        <v>0.99416470000000001</v>
      </c>
      <c r="AB3983">
        <v>26</v>
      </c>
      <c r="AC3983">
        <v>1.59919999999999</v>
      </c>
      <c r="AD3983">
        <v>-1.1113963649599901</v>
      </c>
      <c r="AE3983">
        <v>-28.4559999999999</v>
      </c>
      <c r="AF3983">
        <v>-2.89484929500167</v>
      </c>
      <c r="AG3983">
        <v>-1.1113963649599901</v>
      </c>
      <c r="AH3983">
        <v>28.3100060730306</v>
      </c>
      <c r="AI3983">
        <v>92.236517231791197</v>
      </c>
      <c r="AJ3983">
        <v>95.838506401919403</v>
      </c>
      <c r="AK3983">
        <v>28.479322291372199</v>
      </c>
      <c r="AL3983">
        <v>89.9601763519494</v>
      </c>
      <c r="AM3983">
        <v>86.364537277961006</v>
      </c>
      <c r="AN3983">
        <v>0.999999967376904</v>
      </c>
    </row>
    <row r="3984" spans="1:40" x14ac:dyDescent="0.25">
      <c r="A3984" t="str">
        <f>"20190312154915883"</f>
        <v>20190312154915883</v>
      </c>
      <c r="B3984" t="str">
        <f>"1552376955869693"</f>
        <v>1552376955869693</v>
      </c>
      <c r="C3984" t="s">
        <v>40</v>
      </c>
      <c r="D3984">
        <v>4.7495620000000001</v>
      </c>
      <c r="E3984">
        <v>0.4364808</v>
      </c>
      <c r="F3984" t="s">
        <v>63</v>
      </c>
      <c r="G3984">
        <v>-191.39089999999999</v>
      </c>
      <c r="H3984" s="1">
        <v>-1.371382E-5</v>
      </c>
      <c r="I3984">
        <v>156.37440000000001</v>
      </c>
      <c r="J3984">
        <v>-193.11770000000001</v>
      </c>
      <c r="K3984">
        <v>1.1113820000000001</v>
      </c>
      <c r="L3984">
        <v>186.08109999999999</v>
      </c>
      <c r="M3984">
        <v>-4.3880669999999997E-2</v>
      </c>
      <c r="N3984">
        <v>0</v>
      </c>
      <c r="O3984">
        <v>-0.9989384</v>
      </c>
      <c r="P3984">
        <v>-0.108734999999999</v>
      </c>
      <c r="Q3984">
        <v>-1.3005630000000001E-2</v>
      </c>
      <c r="R3984">
        <v>-0.99398569999999997</v>
      </c>
      <c r="S3984">
        <v>0.17411799999999999</v>
      </c>
      <c r="T3984">
        <v>-0.1126566</v>
      </c>
      <c r="U3984">
        <v>-3.035812</v>
      </c>
      <c r="V3984">
        <v>6.5005350000000003E-2</v>
      </c>
      <c r="W3984">
        <v>1.2119450000000001E-3</v>
      </c>
      <c r="X3984">
        <v>0.9978842</v>
      </c>
      <c r="Y3984">
        <v>-0.10097929999999999</v>
      </c>
      <c r="Z3984">
        <v>3.6905010000000002E-2</v>
      </c>
      <c r="AA3984">
        <v>0.99420379999999997</v>
      </c>
      <c r="AB3984">
        <v>26</v>
      </c>
      <c r="AC3984">
        <v>1.7268000000000201</v>
      </c>
      <c r="AD3984">
        <v>-1.1113957138199999</v>
      </c>
      <c r="AE3984">
        <v>-29.706699999999898</v>
      </c>
      <c r="AF3984">
        <v>-3.0245952070750501</v>
      </c>
      <c r="AG3984">
        <v>-1.1113957138199999</v>
      </c>
      <c r="AH3984">
        <v>29.561062999973</v>
      </c>
      <c r="AI3984">
        <v>92.1419408739158</v>
      </c>
      <c r="AJ3984">
        <v>95.8419948646889</v>
      </c>
      <c r="AK3984">
        <v>29.736170269349302</v>
      </c>
      <c r="AL3984">
        <v>89.930560650920796</v>
      </c>
      <c r="AM3984">
        <v>86.272837010737405</v>
      </c>
      <c r="AN3984">
        <v>1.0000000204744699</v>
      </c>
    </row>
    <row r="3985" spans="1:40" x14ac:dyDescent="0.25">
      <c r="A3985" t="str">
        <f>"20190312154915904"</f>
        <v>20190312154915904</v>
      </c>
      <c r="B3985" t="str">
        <f>"1552376955899949"</f>
        <v>1552376955899949</v>
      </c>
      <c r="C3985" t="s">
        <v>40</v>
      </c>
      <c r="D3985">
        <v>4.7632629999999896</v>
      </c>
      <c r="E3985">
        <v>0.43578339999999999</v>
      </c>
      <c r="F3985" t="s">
        <v>63</v>
      </c>
      <c r="G3985">
        <v>-191.30510000000001</v>
      </c>
      <c r="H3985" s="1">
        <v>-1.322598E-5</v>
      </c>
      <c r="I3985">
        <v>155.25489999999999</v>
      </c>
      <c r="J3985">
        <v>-193.1267</v>
      </c>
      <c r="K3985">
        <v>1.1113770000000001</v>
      </c>
      <c r="L3985">
        <v>185.82650000000001</v>
      </c>
      <c r="M3985">
        <v>-4.1927390000000002E-2</v>
      </c>
      <c r="N3985">
        <v>0</v>
      </c>
      <c r="O3985">
        <v>-0.99902250000000004</v>
      </c>
      <c r="P3985">
        <v>-0.1086003</v>
      </c>
      <c r="Q3985">
        <v>-1.2888159999999999E-2</v>
      </c>
      <c r="R3985">
        <v>-0.99400180000000005</v>
      </c>
      <c r="S3985">
        <v>0.17852779999999999</v>
      </c>
      <c r="T3985">
        <v>-0.1094682</v>
      </c>
      <c r="U3985">
        <v>-3.0362550000000001</v>
      </c>
      <c r="V3985">
        <v>6.6820569999999996E-2</v>
      </c>
      <c r="W3985">
        <v>1.32877E-3</v>
      </c>
      <c r="X3985">
        <v>0.99776410000000004</v>
      </c>
      <c r="Y3985">
        <v>-0.1004671</v>
      </c>
      <c r="Z3985">
        <v>3.5860660000000003E-2</v>
      </c>
      <c r="AA3985">
        <v>0.99429389999999995</v>
      </c>
      <c r="AB3985">
        <v>26</v>
      </c>
      <c r="AC3985">
        <v>1.8215999999999799</v>
      </c>
      <c r="AD3985">
        <v>-1.1113902259799999</v>
      </c>
      <c r="AE3985">
        <v>-30.5716</v>
      </c>
      <c r="AF3985">
        <v>-3.0978314193150598</v>
      </c>
      <c r="AG3985">
        <v>-1.1113902259799999</v>
      </c>
      <c r="AH3985">
        <v>30.428258059028899</v>
      </c>
      <c r="AI3985">
        <v>92.081047401442703</v>
      </c>
      <c r="AJ3985">
        <v>95.813123617998897</v>
      </c>
      <c r="AK3985">
        <v>30.605728814124902</v>
      </c>
      <c r="AL3985">
        <v>89.923867062880703</v>
      </c>
      <c r="AM3985">
        <v>86.168605075787497</v>
      </c>
      <c r="AN3985">
        <v>0.99999997672682295</v>
      </c>
    </row>
    <row r="3986" spans="1:40" x14ac:dyDescent="0.25">
      <c r="A3986" t="str">
        <f>"20190312154915917"</f>
        <v>20190312154915917</v>
      </c>
      <c r="B3986" t="str">
        <f>"1552376955909709"</f>
        <v>1552376955909709</v>
      </c>
      <c r="C3986" t="s">
        <v>40</v>
      </c>
      <c r="D3986">
        <v>4.7524389999999999</v>
      </c>
      <c r="E3986">
        <v>0.43564989999999998</v>
      </c>
      <c r="F3986" t="s">
        <v>63</v>
      </c>
      <c r="G3986">
        <v>-191.21780000000001</v>
      </c>
      <c r="H3986" s="1">
        <v>-1.28869899999999E-5</v>
      </c>
      <c r="I3986">
        <v>154.3887</v>
      </c>
      <c r="J3986">
        <v>-193.1318</v>
      </c>
      <c r="K3986">
        <v>1.1113759999999999</v>
      </c>
      <c r="L3986">
        <v>185.67349999999999</v>
      </c>
      <c r="M3986">
        <v>-4.0753860000000003E-2</v>
      </c>
      <c r="N3986">
        <v>0</v>
      </c>
      <c r="O3986">
        <v>-0.99907109999999999</v>
      </c>
      <c r="P3986">
        <v>-0.1081984</v>
      </c>
      <c r="Q3986">
        <v>-1.3029819999999999E-2</v>
      </c>
      <c r="R3986">
        <v>-0.99404420000000004</v>
      </c>
      <c r="S3986">
        <v>0.1843872</v>
      </c>
      <c r="T3986">
        <v>-0.1073582</v>
      </c>
      <c r="U3986">
        <v>-3.036835</v>
      </c>
      <c r="V3986">
        <v>6.7589670000000004E-2</v>
      </c>
      <c r="W3986">
        <v>1.1866719999999999E-3</v>
      </c>
      <c r="X3986">
        <v>0.9977125</v>
      </c>
      <c r="Y3986">
        <v>-0.10120030000000001</v>
      </c>
      <c r="Z3986">
        <v>3.5162850000000002E-2</v>
      </c>
      <c r="AA3986">
        <v>0.99424449999999998</v>
      </c>
      <c r="AB3986">
        <v>26</v>
      </c>
      <c r="AC3986">
        <v>1.9139999999999799</v>
      </c>
      <c r="AD3986">
        <v>-1.1113888869899999</v>
      </c>
      <c r="AE3986">
        <v>-31.284799999999901</v>
      </c>
      <c r="AF3986">
        <v>-3.1835082709223701</v>
      </c>
      <c r="AG3986">
        <v>-1.1113888869899999</v>
      </c>
      <c r="AH3986">
        <v>31.141638730991598</v>
      </c>
      <c r="AI3986">
        <v>92.033327653593105</v>
      </c>
      <c r="AJ3986">
        <v>95.836884816213498</v>
      </c>
      <c r="AK3986">
        <v>31.323658359469299</v>
      </c>
      <c r="AL3986">
        <v>89.932008686923595</v>
      </c>
      <c r="AM3986">
        <v>86.124439791461796</v>
      </c>
      <c r="AN3986">
        <v>1.0000000021686899</v>
      </c>
    </row>
    <row r="3987" spans="1:40" x14ac:dyDescent="0.25">
      <c r="A3987" t="str">
        <f>"20190312154915930"</f>
        <v>20190312154915930</v>
      </c>
      <c r="B3987" t="str">
        <f>"1552376955919470"</f>
        <v>1552376955919470</v>
      </c>
      <c r="C3987" t="s">
        <v>40</v>
      </c>
      <c r="D3987">
        <v>4.7837149999999999</v>
      </c>
      <c r="E3987">
        <v>0.43549779999999999</v>
      </c>
      <c r="F3987" t="s">
        <v>63</v>
      </c>
      <c r="G3987">
        <v>-191.20050000000001</v>
      </c>
      <c r="H3987" s="1">
        <v>-1.2851459999999999E-5</v>
      </c>
      <c r="I3987">
        <v>154.2535</v>
      </c>
      <c r="J3987">
        <v>-193.13659999999999</v>
      </c>
      <c r="K3987">
        <v>1.1113770000000001</v>
      </c>
      <c r="L3987">
        <v>185.5241</v>
      </c>
      <c r="M3987">
        <v>-3.9606750000000003E-2</v>
      </c>
      <c r="N3987">
        <v>0</v>
      </c>
      <c r="O3987">
        <v>-0.99911729999999999</v>
      </c>
      <c r="P3987">
        <v>-0.1079006</v>
      </c>
      <c r="Q3987">
        <v>-1.273879E-2</v>
      </c>
      <c r="R3987">
        <v>-0.99408039999999998</v>
      </c>
      <c r="S3987">
        <v>0.18666079999999999</v>
      </c>
      <c r="T3987">
        <v>-0.1074201</v>
      </c>
      <c r="U3987">
        <v>-3.0368650000000001</v>
      </c>
      <c r="V3987">
        <v>6.8435099999999999E-2</v>
      </c>
      <c r="W3987">
        <v>1.47754299999999E-3</v>
      </c>
      <c r="X3987">
        <v>0.9976545</v>
      </c>
      <c r="Y3987">
        <v>-0.100799</v>
      </c>
      <c r="Z3987">
        <v>3.5185109999999999E-2</v>
      </c>
      <c r="AA3987">
        <v>0.99428450000000002</v>
      </c>
      <c r="AB3987">
        <v>26</v>
      </c>
      <c r="AC3987">
        <v>1.9360999999999799</v>
      </c>
      <c r="AD3987">
        <v>-1.11138985146</v>
      </c>
      <c r="AE3987">
        <v>-31.270600000000002</v>
      </c>
      <c r="AF3987">
        <v>-3.1692407260387201</v>
      </c>
      <c r="AG3987">
        <v>-1.11138985146</v>
      </c>
      <c r="AH3987">
        <v>31.1301959685626</v>
      </c>
      <c r="AI3987">
        <v>92.034162533045006</v>
      </c>
      <c r="AJ3987">
        <v>95.813026364627405</v>
      </c>
      <c r="AK3987">
        <v>31.3108347896159</v>
      </c>
      <c r="AL3987">
        <v>89.915342993254995</v>
      </c>
      <c r="AM3987">
        <v>86.075886323401903</v>
      </c>
      <c r="AN3987">
        <v>1.00000002370778</v>
      </c>
    </row>
    <row r="3988" spans="1:40" x14ac:dyDescent="0.25">
      <c r="A3988" t="str">
        <f>"20190312154915942"</f>
        <v>20190312154915942</v>
      </c>
      <c r="B3988" t="str">
        <f>"1552376955930206"</f>
        <v>1552376955930206</v>
      </c>
      <c r="C3988" t="s">
        <v>40</v>
      </c>
      <c r="D3988">
        <v>4.7766900000000003</v>
      </c>
      <c r="E3988">
        <v>0.43536550000000002</v>
      </c>
      <c r="F3988" t="s">
        <v>63</v>
      </c>
      <c r="G3988">
        <v>-191.16069999999999</v>
      </c>
      <c r="H3988" s="1">
        <v>-1.267272E-5</v>
      </c>
      <c r="I3988">
        <v>153.7465</v>
      </c>
      <c r="J3988">
        <v>-193.1412</v>
      </c>
      <c r="K3988">
        <v>1.1113740000000001</v>
      </c>
      <c r="L3988">
        <v>185.37860000000001</v>
      </c>
      <c r="M3988">
        <v>-3.8489519999999999E-2</v>
      </c>
      <c r="N3988">
        <v>0</v>
      </c>
      <c r="O3988">
        <v>-0.99916090000000002</v>
      </c>
      <c r="P3988">
        <v>-0.1079681</v>
      </c>
      <c r="Q3988">
        <v>-1.2401300000000001E-2</v>
      </c>
      <c r="R3988">
        <v>-0.99407710000000005</v>
      </c>
      <c r="S3988">
        <v>0.18884280000000001</v>
      </c>
      <c r="T3988">
        <v>-0.106216</v>
      </c>
      <c r="U3988">
        <v>-3.0370029999999999</v>
      </c>
      <c r="V3988">
        <v>6.9616940000000002E-2</v>
      </c>
      <c r="W3988">
        <v>1.815143E-3</v>
      </c>
      <c r="X3988">
        <v>0.99757209999999996</v>
      </c>
      <c r="Y3988">
        <v>-0.1003962</v>
      </c>
      <c r="Z3988">
        <v>3.4791839999999997E-2</v>
      </c>
      <c r="AA3988">
        <v>0.99433899999999997</v>
      </c>
      <c r="AB3988">
        <v>26</v>
      </c>
      <c r="AC3988">
        <v>1.9804999999999999</v>
      </c>
      <c r="AD3988">
        <v>-1.1113866727199999</v>
      </c>
      <c r="AE3988">
        <v>-31.632100000000001</v>
      </c>
      <c r="AF3988">
        <v>-3.1927299967951699</v>
      </c>
      <c r="AG3988">
        <v>-1.1113866727199999</v>
      </c>
      <c r="AH3988">
        <v>31.493694514111301</v>
      </c>
      <c r="AI3988">
        <v>92.010784682477393</v>
      </c>
      <c r="AJ3988">
        <v>95.788686283270707</v>
      </c>
      <c r="AK3988">
        <v>31.674619166090999</v>
      </c>
      <c r="AL3988">
        <v>89.895999904982702</v>
      </c>
      <c r="AM3988">
        <v>86.0080074063616</v>
      </c>
      <c r="AN3988">
        <v>0.99999995388873997</v>
      </c>
    </row>
    <row r="3989" spans="1:40" x14ac:dyDescent="0.25">
      <c r="A3989" t="str">
        <f>"20190312154915961"</f>
        <v>20190312154915961</v>
      </c>
      <c r="B3989" t="str">
        <f>"1552376955949862"</f>
        <v>1552376955949862</v>
      </c>
      <c r="C3989" t="s">
        <v>40</v>
      </c>
      <c r="D3989">
        <v>4.7693469999999998</v>
      </c>
      <c r="E3989">
        <v>0.4350193</v>
      </c>
      <c r="F3989" t="s">
        <v>63</v>
      </c>
      <c r="G3989">
        <v>-191.13040000000001</v>
      </c>
      <c r="H3989" s="1">
        <v>-1.243153E-5</v>
      </c>
      <c r="I3989">
        <v>153.19669999999999</v>
      </c>
      <c r="J3989">
        <v>-193.14769999999999</v>
      </c>
      <c r="K3989">
        <v>1.1113729999999999</v>
      </c>
      <c r="L3989">
        <v>185.161</v>
      </c>
      <c r="M3989">
        <v>-3.6818969999999999E-2</v>
      </c>
      <c r="N3989">
        <v>0</v>
      </c>
      <c r="O3989">
        <v>-0.9992238</v>
      </c>
      <c r="P3989">
        <v>-0.1079199</v>
      </c>
      <c r="Q3989">
        <v>-1.1732080000000001E-2</v>
      </c>
      <c r="R3989">
        <v>-0.99409029999999998</v>
      </c>
      <c r="S3989">
        <v>0.18977359999999999</v>
      </c>
      <c r="T3989">
        <v>-0.104888</v>
      </c>
      <c r="U3989">
        <v>-3.0371860000000002</v>
      </c>
      <c r="V3989">
        <v>7.1233630000000006E-2</v>
      </c>
      <c r="W3989">
        <v>2.4846209999999998E-3</v>
      </c>
      <c r="X3989">
        <v>0.99745660000000003</v>
      </c>
      <c r="Y3989">
        <v>-9.9033449999999995E-2</v>
      </c>
      <c r="Z3989">
        <v>3.4360590000000003E-2</v>
      </c>
      <c r="AA3989">
        <v>0.99449069999999995</v>
      </c>
      <c r="AB3989">
        <v>26</v>
      </c>
      <c r="AC3989">
        <v>2.0172999999999699</v>
      </c>
      <c r="AD3989">
        <v>-1.11138543153</v>
      </c>
      <c r="AE3989">
        <v>-31.964299999999898</v>
      </c>
      <c r="AF3989">
        <v>-3.189099870618</v>
      </c>
      <c r="AG3989">
        <v>-1.11138543153</v>
      </c>
      <c r="AH3989">
        <v>31.8300128090311</v>
      </c>
      <c r="AI3989">
        <v>91.989788613220895</v>
      </c>
      <c r="AJ3989">
        <v>95.721462038136494</v>
      </c>
      <c r="AK3989">
        <v>32.008674620878601</v>
      </c>
      <c r="AL3989">
        <v>89.857641561682897</v>
      </c>
      <c r="AM3989">
        <v>85.9151416051441</v>
      </c>
      <c r="AN3989">
        <v>1.00000003613402</v>
      </c>
    </row>
    <row r="3990" spans="1:40" x14ac:dyDescent="0.25">
      <c r="A3990" t="str">
        <f>"20190312154915975"</f>
        <v>20190312154915975</v>
      </c>
      <c r="B3990" t="str">
        <f>"1552376955970357"</f>
        <v>1552376955970357</v>
      </c>
      <c r="C3990" t="s">
        <v>40</v>
      </c>
      <c r="D3990">
        <v>4.7304899999999996</v>
      </c>
      <c r="E3990">
        <v>0.43474190000000001</v>
      </c>
      <c r="F3990" t="s">
        <v>63</v>
      </c>
      <c r="G3990">
        <v>-191.05760000000001</v>
      </c>
      <c r="H3990" s="1">
        <v>-1.199535E-5</v>
      </c>
      <c r="I3990">
        <v>152.21010000000001</v>
      </c>
      <c r="J3990">
        <v>-193.1523</v>
      </c>
      <c r="K3990">
        <v>1.1113740000000001</v>
      </c>
      <c r="L3990">
        <v>185.00229999999999</v>
      </c>
      <c r="M3990">
        <v>-3.5599489999999998E-2</v>
      </c>
      <c r="N3990">
        <v>0</v>
      </c>
      <c r="O3990">
        <v>-0.99926809999999999</v>
      </c>
      <c r="P3990">
        <v>-0.1075144</v>
      </c>
      <c r="Q3990">
        <v>-1.125905E-2</v>
      </c>
      <c r="R3990">
        <v>-0.99413980000000002</v>
      </c>
      <c r="S3990">
        <v>0.1926727</v>
      </c>
      <c r="T3990">
        <v>-0.102451</v>
      </c>
      <c r="U3990">
        <v>-3.0375209999999999</v>
      </c>
      <c r="V3990">
        <v>7.2042200000000001E-2</v>
      </c>
      <c r="W3990">
        <v>2.9576419999999999E-3</v>
      </c>
      <c r="X3990">
        <v>0.99739719999999998</v>
      </c>
      <c r="Y3990">
        <v>-9.8759410000000006E-2</v>
      </c>
      <c r="Z3990">
        <v>3.356116E-2</v>
      </c>
      <c r="AA3990">
        <v>0.99454520000000002</v>
      </c>
      <c r="AB3990">
        <v>26</v>
      </c>
      <c r="AC3990">
        <v>2.09469999999998</v>
      </c>
      <c r="AD3990">
        <v>-1.11138599535</v>
      </c>
      <c r="AE3990">
        <v>-32.792199999999902</v>
      </c>
      <c r="AF3990">
        <v>-3.2571458441190502</v>
      </c>
      <c r="AG3990">
        <v>-1.11138599535</v>
      </c>
      <c r="AH3990">
        <v>32.659470676044897</v>
      </c>
      <c r="AI3990">
        <v>91.939382134788005</v>
      </c>
      <c r="AJ3990">
        <v>95.695305275863603</v>
      </c>
      <c r="AK3990">
        <v>32.840298456621298</v>
      </c>
      <c r="AL3990">
        <v>89.830539349092405</v>
      </c>
      <c r="AM3990">
        <v>85.868689002143199</v>
      </c>
      <c r="AN3990">
        <v>1.0000000003974301</v>
      </c>
    </row>
    <row r="3991" spans="1:40" x14ac:dyDescent="0.25">
      <c r="A3991" t="str">
        <f>"20190312154915989"</f>
        <v>20190312154915989</v>
      </c>
      <c r="B3991" t="str">
        <f>"1552376955980118"</f>
        <v>1552376955980118</v>
      </c>
      <c r="C3991" t="s">
        <v>40</v>
      </c>
      <c r="D3991">
        <v>4.7236180000000001</v>
      </c>
      <c r="E3991">
        <v>0.43457839999999998</v>
      </c>
      <c r="F3991" t="s">
        <v>63</v>
      </c>
      <c r="G3991">
        <v>-190.9915</v>
      </c>
      <c r="H3991" s="1">
        <v>-1.1711030000000001E-5</v>
      </c>
      <c r="I3991">
        <v>151.57470000000001</v>
      </c>
      <c r="J3991">
        <v>-193.15710000000001</v>
      </c>
      <c r="K3991">
        <v>1.1113740000000001</v>
      </c>
      <c r="L3991">
        <v>184.8271</v>
      </c>
      <c r="M3991">
        <v>-3.4253840000000001E-2</v>
      </c>
      <c r="N3991">
        <v>0</v>
      </c>
      <c r="O3991">
        <v>-0.99931519999999996</v>
      </c>
      <c r="P3991">
        <v>-0.10685459999999999</v>
      </c>
      <c r="Q3991">
        <v>-1.0879720000000001E-2</v>
      </c>
      <c r="R3991">
        <v>-0.99421539999999997</v>
      </c>
      <c r="S3991">
        <v>0.1963654</v>
      </c>
      <c r="T3991">
        <v>-0.1009988</v>
      </c>
      <c r="U3991">
        <v>-3.0377809999999998</v>
      </c>
      <c r="V3991">
        <v>7.2721869999999994E-2</v>
      </c>
      <c r="W3991">
        <v>3.3357719999999999E-3</v>
      </c>
      <c r="X3991">
        <v>0.99734670000000003</v>
      </c>
      <c r="Y3991">
        <v>-9.8619020000000002E-2</v>
      </c>
      <c r="Z3991">
        <v>3.308444E-2</v>
      </c>
      <c r="AA3991">
        <v>0.99457510000000005</v>
      </c>
      <c r="AB3991">
        <v>26</v>
      </c>
      <c r="AC3991">
        <v>2.1656000000000102</v>
      </c>
      <c r="AD3991">
        <v>-1.1113857110299901</v>
      </c>
      <c r="AE3991">
        <v>-33.252399999999902</v>
      </c>
      <c r="AF3991">
        <v>-3.2997922621889102</v>
      </c>
      <c r="AG3991">
        <v>-1.1113857110299901</v>
      </c>
      <c r="AH3991">
        <v>33.121851692408399</v>
      </c>
      <c r="AI3991">
        <v>91.912347859753297</v>
      </c>
      <c r="AJ3991">
        <v>95.689366758614199</v>
      </c>
      <c r="AK3991">
        <v>33.304367081603303</v>
      </c>
      <c r="AL3991">
        <v>89.808873992133499</v>
      </c>
      <c r="AM3991">
        <v>85.829639298613401</v>
      </c>
      <c r="AN3991">
        <v>1.0000000188760101</v>
      </c>
    </row>
    <row r="3992" spans="1:40" x14ac:dyDescent="0.25">
      <c r="A3992" t="str">
        <f>"20190312154916005"</f>
        <v>20190312154916005</v>
      </c>
      <c r="B3992" t="str">
        <f>"1552376955999638"</f>
        <v>1552376955999638</v>
      </c>
      <c r="C3992" t="s">
        <v>40</v>
      </c>
      <c r="D3992">
        <v>4.7305929999999998</v>
      </c>
      <c r="E3992">
        <v>0.43429079999999898</v>
      </c>
      <c r="F3992" t="s">
        <v>63</v>
      </c>
      <c r="G3992">
        <v>-190.9248</v>
      </c>
      <c r="H3992" s="1">
        <v>-1.1379949999999999E-5</v>
      </c>
      <c r="I3992">
        <v>150.8305</v>
      </c>
      <c r="J3992">
        <v>-193.1618</v>
      </c>
      <c r="K3992">
        <v>1.1113789999999999</v>
      </c>
      <c r="L3992">
        <v>184.6456</v>
      </c>
      <c r="M3992">
        <v>-3.2859949999999999E-2</v>
      </c>
      <c r="N3992">
        <v>0</v>
      </c>
      <c r="O3992">
        <v>-0.99936219999999998</v>
      </c>
      <c r="P3992">
        <v>-0.1068018</v>
      </c>
      <c r="Q3992">
        <v>-1.009463E-2</v>
      </c>
      <c r="R3992">
        <v>-0.99422940000000004</v>
      </c>
      <c r="S3992">
        <v>0.1994629</v>
      </c>
      <c r="T3992">
        <v>-9.9308850000000004E-2</v>
      </c>
      <c r="U3992">
        <v>-3.0377960000000002</v>
      </c>
      <c r="V3992">
        <v>7.405689E-2</v>
      </c>
      <c r="W3992">
        <v>4.1211169999999997E-3</v>
      </c>
      <c r="X3992">
        <v>0.99724550000000001</v>
      </c>
      <c r="Y3992">
        <v>-9.8241729999999999E-2</v>
      </c>
      <c r="Z3992">
        <v>3.253313E-2</v>
      </c>
      <c r="AA3992">
        <v>0.99463060000000003</v>
      </c>
      <c r="AB3992">
        <v>26</v>
      </c>
      <c r="AC3992">
        <v>2.2369999999999899</v>
      </c>
      <c r="AD3992">
        <v>-1.11139037995</v>
      </c>
      <c r="AE3992">
        <v>-33.815100000000001</v>
      </c>
      <c r="AF3992">
        <v>-3.3434668487086099</v>
      </c>
      <c r="AG3992">
        <v>-1.11139037995</v>
      </c>
      <c r="AH3992">
        <v>33.687089351307101</v>
      </c>
      <c r="AI3992">
        <v>91.880360992370996</v>
      </c>
      <c r="AJ3992">
        <v>95.668082740490803</v>
      </c>
      <c r="AK3992">
        <v>33.870842152329303</v>
      </c>
      <c r="AL3992">
        <v>89.763876719918201</v>
      </c>
      <c r="AM3992">
        <v>85.752928475123795</v>
      </c>
      <c r="AN3992">
        <v>0.99999999691602404</v>
      </c>
    </row>
    <row r="3993" spans="1:40" x14ac:dyDescent="0.25">
      <c r="A3993" t="str">
        <f>"20190312154916019"</f>
        <v>20190312154916019</v>
      </c>
      <c r="B3993" t="str">
        <f>"1552376956010374"</f>
        <v>1552376956010374</v>
      </c>
      <c r="C3993" t="s">
        <v>40</v>
      </c>
      <c r="D3993">
        <v>4.7225020000000004</v>
      </c>
      <c r="E3993">
        <v>0.434168</v>
      </c>
      <c r="F3993" t="s">
        <v>63</v>
      </c>
      <c r="G3993">
        <v>-190.8382</v>
      </c>
      <c r="H3993" s="1">
        <v>-1.087728E-5</v>
      </c>
      <c r="I3993">
        <v>149.69460000000001</v>
      </c>
      <c r="J3993">
        <v>-193.16560000000001</v>
      </c>
      <c r="K3993">
        <v>1.111381</v>
      </c>
      <c r="L3993">
        <v>184.48679999999999</v>
      </c>
      <c r="M3993">
        <v>-3.1640019999999998E-2</v>
      </c>
      <c r="N3993">
        <v>0</v>
      </c>
      <c r="O3993">
        <v>-0.99940130000000005</v>
      </c>
      <c r="P3993">
        <v>-0.1061117</v>
      </c>
      <c r="Q3993">
        <v>-9.3251050000000002E-3</v>
      </c>
      <c r="R3993">
        <v>-0.99431060000000004</v>
      </c>
      <c r="S3993">
        <v>0.20198060000000001</v>
      </c>
      <c r="T3993">
        <v>-9.660792E-2</v>
      </c>
      <c r="U3993">
        <v>-3.0381320000000001</v>
      </c>
      <c r="V3993">
        <v>7.4579129999999993E-2</v>
      </c>
      <c r="W3993">
        <v>4.8897709999999898E-3</v>
      </c>
      <c r="X3993">
        <v>0.99720310000000001</v>
      </c>
      <c r="Y3993">
        <v>-9.7842330000000005E-2</v>
      </c>
      <c r="Z3993">
        <v>3.1647370000000001E-2</v>
      </c>
      <c r="AA3993">
        <v>0.99469859999999999</v>
      </c>
      <c r="AB3993">
        <v>26</v>
      </c>
      <c r="AC3993">
        <v>2.3274000000000101</v>
      </c>
      <c r="AD3993">
        <v>-1.11139187727999</v>
      </c>
      <c r="AE3993">
        <v>-34.792199999999902</v>
      </c>
      <c r="AF3993">
        <v>-3.42369031206995</v>
      </c>
      <c r="AG3993">
        <v>-1.11139187727999</v>
      </c>
      <c r="AH3993">
        <v>34.665915416609202</v>
      </c>
      <c r="AI3993">
        <v>91.827393553551403</v>
      </c>
      <c r="AJ3993">
        <v>95.640379523785199</v>
      </c>
      <c r="AK3993">
        <v>34.8522960352593</v>
      </c>
      <c r="AL3993">
        <v>89.719835639536598</v>
      </c>
      <c r="AM3993">
        <v>85.722908222748799</v>
      </c>
      <c r="AN3993">
        <v>0.99999998957079905</v>
      </c>
    </row>
    <row r="3994" spans="1:40" x14ac:dyDescent="0.25">
      <c r="A3994" t="str">
        <f>"20190312154916040"</f>
        <v>20190312154916040</v>
      </c>
      <c r="B3994" t="str">
        <f>"1552376956029894"</f>
        <v>1552376956029894</v>
      </c>
      <c r="C3994" t="s">
        <v>40</v>
      </c>
      <c r="D3994">
        <v>4.6815129999999998</v>
      </c>
      <c r="E3994">
        <v>0.43394519999999998</v>
      </c>
      <c r="F3994" t="s">
        <v>63</v>
      </c>
      <c r="G3994">
        <v>-190.73699999999999</v>
      </c>
      <c r="H3994" s="1">
        <v>-1.0528980000000001E-5</v>
      </c>
      <c r="I3994">
        <v>148.49100000000001</v>
      </c>
      <c r="J3994">
        <v>-193.1713</v>
      </c>
      <c r="K3994">
        <v>1.11138</v>
      </c>
      <c r="L3994">
        <v>184.2433</v>
      </c>
      <c r="M3994">
        <v>-2.976943E-2</v>
      </c>
      <c r="N3994">
        <v>0</v>
      </c>
      <c r="O3994">
        <v>-0.99945890000000004</v>
      </c>
      <c r="P3994">
        <v>-0.1050461</v>
      </c>
      <c r="Q3994">
        <v>-8.0850999999999996E-3</v>
      </c>
      <c r="R3994">
        <v>-0.99443479999999995</v>
      </c>
      <c r="S3994">
        <v>0.20498659999999999</v>
      </c>
      <c r="T3994">
        <v>-9.3804960000000007E-2</v>
      </c>
      <c r="U3994">
        <v>-3.0381619999999998</v>
      </c>
      <c r="V3994">
        <v>7.5372449999999994E-2</v>
      </c>
      <c r="W3994">
        <v>6.1276219999999897E-3</v>
      </c>
      <c r="X3994">
        <v>0.99713669999999999</v>
      </c>
      <c r="Y3994">
        <v>-9.6960660000000004E-2</v>
      </c>
      <c r="Z3994">
        <v>3.073271E-2</v>
      </c>
      <c r="AA3994">
        <v>0.99481359999999996</v>
      </c>
      <c r="AB3994">
        <v>26</v>
      </c>
      <c r="AC3994">
        <v>2.4342999999999999</v>
      </c>
      <c r="AD3994">
        <v>-1.1113905289799999</v>
      </c>
      <c r="AE3994">
        <v>-35.752299999999899</v>
      </c>
      <c r="AF3994">
        <v>-3.49428957905022</v>
      </c>
      <c r="AG3994">
        <v>-1.1113905289799999</v>
      </c>
      <c r="AH3994">
        <v>35.629705219272502</v>
      </c>
      <c r="AI3994">
        <v>91.778111769880297</v>
      </c>
      <c r="AJ3994">
        <v>95.601220761814403</v>
      </c>
      <c r="AK3994">
        <v>35.817888583533502</v>
      </c>
      <c r="AL3994">
        <v>89.648910950587506</v>
      </c>
      <c r="AM3994">
        <v>85.677296329700596</v>
      </c>
      <c r="AN3994">
        <v>1.0000000762286301</v>
      </c>
    </row>
    <row r="3995" spans="1:40" x14ac:dyDescent="0.25">
      <c r="A3995" t="str">
        <f>"20190312154916063"</f>
        <v>20190312154916063</v>
      </c>
      <c r="B3995" t="str">
        <f>"1552376956050390"</f>
        <v>1552376956050390</v>
      </c>
      <c r="C3995" t="s">
        <v>40</v>
      </c>
      <c r="D3995">
        <v>4.6726760000000001</v>
      </c>
      <c r="E3995">
        <v>0.43365670000000001</v>
      </c>
      <c r="F3995" t="s">
        <v>63</v>
      </c>
      <c r="G3995">
        <v>-190.57839999999999</v>
      </c>
      <c r="H3995" s="1">
        <v>-1.0046130000000001E-5</v>
      </c>
      <c r="I3995">
        <v>146.76669999999999</v>
      </c>
      <c r="J3995">
        <v>-193.17679999999999</v>
      </c>
      <c r="K3995">
        <v>1.11138</v>
      </c>
      <c r="L3995">
        <v>183.98400000000001</v>
      </c>
      <c r="M3995">
        <v>-2.7776700000000001E-2</v>
      </c>
      <c r="N3995">
        <v>0</v>
      </c>
      <c r="O3995">
        <v>-0.99951630000000002</v>
      </c>
      <c r="P3995">
        <v>-0.10357189999999999</v>
      </c>
      <c r="Q3995">
        <v>-8.3036329999999995E-3</v>
      </c>
      <c r="R3995">
        <v>-0.99458769999999996</v>
      </c>
      <c r="S3995">
        <v>0.21020510000000001</v>
      </c>
      <c r="T3995">
        <v>-9.0101000000000001E-2</v>
      </c>
      <c r="U3995">
        <v>-3.0382539999999998</v>
      </c>
      <c r="V3995">
        <v>7.5883220000000001E-2</v>
      </c>
      <c r="W3995">
        <v>5.9063730000000004E-3</v>
      </c>
      <c r="X3995">
        <v>0.99709919999999996</v>
      </c>
      <c r="Y3995">
        <v>-9.6677559999999996E-2</v>
      </c>
      <c r="Z3995">
        <v>2.9520640000000001E-2</v>
      </c>
      <c r="AA3995">
        <v>0.99487789999999998</v>
      </c>
      <c r="AB3995">
        <v>26</v>
      </c>
      <c r="AC3995">
        <v>2.5983999999999901</v>
      </c>
      <c r="AD3995">
        <v>-1.1113900461299999</v>
      </c>
      <c r="AE3995">
        <v>-37.217300000000002</v>
      </c>
      <c r="AF3995">
        <v>-3.6280525014450302</v>
      </c>
      <c r="AG3995">
        <v>-1.1113900461299999</v>
      </c>
      <c r="AH3995">
        <v>37.097833437402599</v>
      </c>
      <c r="AI3995">
        <v>91.707831282868597</v>
      </c>
      <c r="AJ3995">
        <v>95.585586595878695</v>
      </c>
      <c r="AK3995">
        <v>37.291382362915201</v>
      </c>
      <c r="AL3995">
        <v>89.661587780984405</v>
      </c>
      <c r="AM3995">
        <v>85.647952151818203</v>
      </c>
      <c r="AN3995">
        <v>0.99999998148011104</v>
      </c>
    </row>
    <row r="3996" spans="1:40" x14ac:dyDescent="0.25">
      <c r="A3996" t="str">
        <f>"20190312154916084"</f>
        <v>20190312154916084</v>
      </c>
      <c r="B3996" t="str">
        <f>"1552376956079671"</f>
        <v>1552376956079671</v>
      </c>
      <c r="C3996" t="s">
        <v>40</v>
      </c>
      <c r="D3996">
        <v>4.6655920000000002</v>
      </c>
      <c r="E3996">
        <v>0.43332039999999999</v>
      </c>
      <c r="F3996" t="s">
        <v>63</v>
      </c>
      <c r="G3996">
        <v>-190.49289999999999</v>
      </c>
      <c r="H3996" s="1">
        <v>-9.9382439999999995E-6</v>
      </c>
      <c r="I3996">
        <v>146.4151</v>
      </c>
      <c r="J3996">
        <v>-193.18170000000001</v>
      </c>
      <c r="K3996">
        <v>1.1113759999999999</v>
      </c>
      <c r="L3996">
        <v>183.72659999999999</v>
      </c>
      <c r="M3996">
        <v>-2.5798290000000001E-2</v>
      </c>
      <c r="N3996">
        <v>0</v>
      </c>
      <c r="O3996">
        <v>-0.99956940000000005</v>
      </c>
      <c r="P3996">
        <v>-0.1021055</v>
      </c>
      <c r="Q3996">
        <v>-8.1047110000000006E-3</v>
      </c>
      <c r="R3996">
        <v>-0.99474079999999998</v>
      </c>
      <c r="S3996">
        <v>0.21704100000000001</v>
      </c>
      <c r="T3996">
        <v>-8.9877490000000004E-2</v>
      </c>
      <c r="U3996">
        <v>-3.0381770000000001</v>
      </c>
      <c r="V3996">
        <v>7.6386079999999995E-2</v>
      </c>
      <c r="W3996">
        <v>6.1023500000000003E-3</v>
      </c>
      <c r="X3996">
        <v>0.99705960000000005</v>
      </c>
      <c r="Y3996">
        <v>-9.6936880000000003E-2</v>
      </c>
      <c r="Z3996">
        <v>2.9447870000000001E-2</v>
      </c>
      <c r="AA3996">
        <v>0.99485480000000004</v>
      </c>
      <c r="AB3996">
        <v>26</v>
      </c>
      <c r="AC3996">
        <v>2.6888000000000098</v>
      </c>
      <c r="AD3996">
        <v>-1.1113859382439999</v>
      </c>
      <c r="AE3996">
        <v>-37.311500000000002</v>
      </c>
      <c r="AF3996">
        <v>-3.6473525104235902</v>
      </c>
      <c r="AG3996">
        <v>-1.1113859382439999</v>
      </c>
      <c r="AH3996">
        <v>37.196873616492503</v>
      </c>
      <c r="AI3996">
        <v>91.703237735414305</v>
      </c>
      <c r="AJ3996">
        <v>95.600255037281499</v>
      </c>
      <c r="AK3996">
        <v>37.391787412215699</v>
      </c>
      <c r="AL3996">
        <v>89.650358915474499</v>
      </c>
      <c r="AM3996">
        <v>85.619050755669804</v>
      </c>
      <c r="AN3996">
        <v>0.99999995892272298</v>
      </c>
    </row>
    <row r="3997" spans="1:40" x14ac:dyDescent="0.25">
      <c r="A3997" t="str">
        <f>"20190312154916098"</f>
        <v>20190312154916098</v>
      </c>
      <c r="B3997" t="str">
        <f>"1552376956089430"</f>
        <v>1552376956089430</v>
      </c>
      <c r="C3997" t="s">
        <v>40</v>
      </c>
      <c r="D3997">
        <v>4.6485250000000002</v>
      </c>
      <c r="E3997">
        <v>0.43321730000000003</v>
      </c>
      <c r="F3997" t="s">
        <v>63</v>
      </c>
      <c r="G3997">
        <v>-190.39099999999999</v>
      </c>
      <c r="H3997" s="1">
        <v>-9.7889580000000007E-6</v>
      </c>
      <c r="I3997">
        <v>145.91749999999999</v>
      </c>
      <c r="J3997">
        <v>-193.18430000000001</v>
      </c>
      <c r="K3997">
        <v>1.1113649999999999</v>
      </c>
      <c r="L3997">
        <v>183.57230000000001</v>
      </c>
      <c r="M3997">
        <v>-2.4612160000000001E-2</v>
      </c>
      <c r="N3997">
        <v>0</v>
      </c>
      <c r="O3997">
        <v>-0.99959940000000003</v>
      </c>
      <c r="P3997">
        <v>-0.1010697</v>
      </c>
      <c r="Q3997">
        <v>-8.5366829999999998E-3</v>
      </c>
      <c r="R3997">
        <v>-0.99484280000000003</v>
      </c>
      <c r="S3997">
        <v>0.2242432</v>
      </c>
      <c r="T3997">
        <v>-8.9305399999999993E-2</v>
      </c>
      <c r="U3997">
        <v>-3.0381469999999999</v>
      </c>
      <c r="V3997">
        <v>7.6532649999999994E-2</v>
      </c>
      <c r="W3997">
        <v>5.6684350000000003E-3</v>
      </c>
      <c r="X3997">
        <v>0.99705089999999996</v>
      </c>
      <c r="Y3997">
        <v>-9.8102900000000007E-2</v>
      </c>
      <c r="Z3997">
        <v>2.9258019999999999E-2</v>
      </c>
      <c r="AA3997">
        <v>0.99474609999999997</v>
      </c>
      <c r="AB3997">
        <v>26</v>
      </c>
      <c r="AC3997">
        <v>2.7933000000000101</v>
      </c>
      <c r="AD3997">
        <v>-1.1113747889579999</v>
      </c>
      <c r="AE3997">
        <v>-37.654800000000002</v>
      </c>
      <c r="AF3997">
        <v>-3.71609067725494</v>
      </c>
      <c r="AG3997">
        <v>-1.1113747889579999</v>
      </c>
      <c r="AH3997">
        <v>37.542110445671298</v>
      </c>
      <c r="AI3997">
        <v>91.687414044556306</v>
      </c>
      <c r="AJ3997">
        <v>95.652985088157394</v>
      </c>
      <c r="AK3997">
        <v>37.741946698045297</v>
      </c>
      <c r="AL3997">
        <v>89.675220838463702</v>
      </c>
      <c r="AM3997">
        <v>85.610639237207494</v>
      </c>
      <c r="AN3997">
        <v>0.99999993743108795</v>
      </c>
    </row>
    <row r="3998" spans="1:40" x14ac:dyDescent="0.25">
      <c r="A3998" t="str">
        <f>"20190312154916117"</f>
        <v>20190312154916117</v>
      </c>
      <c r="B3998" t="str">
        <f>"1552376956109926"</f>
        <v>1552376956109926</v>
      </c>
      <c r="C3998" t="s">
        <v>40</v>
      </c>
      <c r="D3998">
        <v>4.6269049999999998</v>
      </c>
      <c r="E3998">
        <v>0.43302839999999998</v>
      </c>
      <c r="F3998" t="s">
        <v>63</v>
      </c>
      <c r="G3998">
        <v>-190.39019999999999</v>
      </c>
      <c r="H3998" s="1">
        <v>-9.9027400000000003E-6</v>
      </c>
      <c r="I3998">
        <v>146.34950000000001</v>
      </c>
      <c r="J3998">
        <v>-193.18799999999999</v>
      </c>
      <c r="K3998">
        <v>1.111359</v>
      </c>
      <c r="L3998">
        <v>183.34389999999999</v>
      </c>
      <c r="M3998">
        <v>-2.2856729999999999E-2</v>
      </c>
      <c r="N3998">
        <v>0</v>
      </c>
      <c r="O3998">
        <v>-0.999641</v>
      </c>
      <c r="P3998">
        <v>-0.10044649999999999</v>
      </c>
      <c r="Q3998">
        <v>-1.007773E-2</v>
      </c>
      <c r="R3998">
        <v>-0.99489150000000004</v>
      </c>
      <c r="S3998">
        <v>0.22804260000000001</v>
      </c>
      <c r="T3998">
        <v>-9.0705389999999997E-2</v>
      </c>
      <c r="U3998">
        <v>-3.0379489999999998</v>
      </c>
      <c r="V3998">
        <v>7.7664479999999994E-2</v>
      </c>
      <c r="W3998">
        <v>4.1268390000000002E-3</v>
      </c>
      <c r="X3998">
        <v>0.99697100000000005</v>
      </c>
      <c r="Y3998">
        <v>-9.7596249999999996E-2</v>
      </c>
      <c r="Z3998">
        <v>2.971944E-2</v>
      </c>
      <c r="AA3998">
        <v>0.99478230000000001</v>
      </c>
      <c r="AB3998">
        <v>26</v>
      </c>
      <c r="AC3998">
        <v>2.7977999999999899</v>
      </c>
      <c r="AD3998">
        <v>-1.11136890274</v>
      </c>
      <c r="AE3998">
        <v>-36.994399999999899</v>
      </c>
      <c r="AF3998">
        <v>-3.6394566785232301</v>
      </c>
      <c r="AG3998">
        <v>-1.11136890274</v>
      </c>
      <c r="AH3998">
        <v>36.887676949628101</v>
      </c>
      <c r="AI3998">
        <v>91.717378002277897</v>
      </c>
      <c r="AJ3998">
        <v>95.634749153352203</v>
      </c>
      <c r="AK3998">
        <v>37.0834396529361</v>
      </c>
      <c r="AL3998">
        <v>89.763548868700099</v>
      </c>
      <c r="AM3998">
        <v>85.545629423414596</v>
      </c>
      <c r="AN3998">
        <v>0.99999998854740102</v>
      </c>
    </row>
    <row r="3999" spans="1:40" x14ac:dyDescent="0.25">
      <c r="A3999" t="str">
        <f>"20190312154916130"</f>
        <v>20190312154916130</v>
      </c>
      <c r="B3999" t="str">
        <f>"1552376956119686"</f>
        <v>1552376956119686</v>
      </c>
      <c r="C3999" t="s">
        <v>40</v>
      </c>
      <c r="D3999">
        <v>4.6617230000000003</v>
      </c>
      <c r="E3999">
        <v>0.43292419999999998</v>
      </c>
      <c r="F3999" t="s">
        <v>63</v>
      </c>
      <c r="G3999">
        <v>-190.4975</v>
      </c>
      <c r="H3999" s="1">
        <v>-1.0367410000000001E-5</v>
      </c>
      <c r="I3999">
        <v>148.0394</v>
      </c>
      <c r="J3999">
        <v>-193.1901</v>
      </c>
      <c r="K3999">
        <v>1.111356</v>
      </c>
      <c r="L3999">
        <v>183.2002</v>
      </c>
      <c r="M3999">
        <v>-2.175152E-2</v>
      </c>
      <c r="N3999">
        <v>0</v>
      </c>
      <c r="O3999">
        <v>-0.99966580000000005</v>
      </c>
      <c r="P3999">
        <v>-9.9599759999999996E-2</v>
      </c>
      <c r="Q3999">
        <v>-1.045564E-2</v>
      </c>
      <c r="R3999">
        <v>-0.99497290000000005</v>
      </c>
      <c r="S3999">
        <v>0.2315063</v>
      </c>
      <c r="T3999">
        <v>-9.5629220000000001E-2</v>
      </c>
      <c r="U3999">
        <v>-3.0378270000000001</v>
      </c>
      <c r="V3999">
        <v>7.7919680000000005E-2</v>
      </c>
      <c r="W3999">
        <v>3.74728E-3</v>
      </c>
      <c r="X3999">
        <v>0.99695259999999997</v>
      </c>
      <c r="Y3999">
        <v>-9.7622979999999998E-2</v>
      </c>
      <c r="Z3999">
        <v>3.1332199999999998E-2</v>
      </c>
      <c r="AA3999">
        <v>0.99473009999999995</v>
      </c>
      <c r="AB3999">
        <v>26</v>
      </c>
      <c r="AC3999">
        <v>2.6925999999999899</v>
      </c>
      <c r="AD3999">
        <v>-1.1113663674100001</v>
      </c>
      <c r="AE3999">
        <v>-35.160799999999902</v>
      </c>
      <c r="AF3999">
        <v>-3.4534082220581501</v>
      </c>
      <c r="AG3999">
        <v>-1.1113663674100001</v>
      </c>
      <c r="AH3999">
        <v>35.059083390243501</v>
      </c>
      <c r="AI3999">
        <v>91.806918418815798</v>
      </c>
      <c r="AJ3999">
        <v>95.6256310744741</v>
      </c>
      <c r="AK3999">
        <v>35.246283374489799</v>
      </c>
      <c r="AL3999">
        <v>89.785296169429202</v>
      </c>
      <c r="AM3999">
        <v>85.530969724933996</v>
      </c>
      <c r="AN3999">
        <v>1.00000000264273</v>
      </c>
    </row>
    <row r="4000" spans="1:40" x14ac:dyDescent="0.25">
      <c r="A4000" t="str">
        <f>"20190312154916142"</f>
        <v>20190312154916142</v>
      </c>
      <c r="B4000" t="str">
        <f>"1552376956130423"</f>
        <v>1552376956130423</v>
      </c>
      <c r="C4000" t="s">
        <v>40</v>
      </c>
      <c r="D4000">
        <v>4.7413369999999997</v>
      </c>
      <c r="E4000">
        <v>0.4330444</v>
      </c>
      <c r="F4000" t="s">
        <v>63</v>
      </c>
      <c r="G4000">
        <v>-190.4811</v>
      </c>
      <c r="H4000" s="1">
        <v>-1.039418E-5</v>
      </c>
      <c r="I4000">
        <v>148.15190000000001</v>
      </c>
      <c r="J4000">
        <v>-193.19210000000001</v>
      </c>
      <c r="K4000">
        <v>1.1113569999999999</v>
      </c>
      <c r="L4000">
        <v>183.0548</v>
      </c>
      <c r="M4000">
        <v>-2.063336E-2</v>
      </c>
      <c r="N4000">
        <v>0</v>
      </c>
      <c r="O4000">
        <v>-0.99968959999999996</v>
      </c>
      <c r="P4000">
        <v>-9.8908350000000006E-2</v>
      </c>
      <c r="Q4000">
        <v>-1.0211720000000001E-2</v>
      </c>
      <c r="R4000">
        <v>-0.99504440000000005</v>
      </c>
      <c r="S4000">
        <v>0.234787</v>
      </c>
      <c r="T4000">
        <v>-9.6321939999999995E-2</v>
      </c>
      <c r="U4000">
        <v>-3.0376280000000002</v>
      </c>
      <c r="V4000">
        <v>7.8341149999999998E-2</v>
      </c>
      <c r="W4000">
        <v>3.9899879999999999E-3</v>
      </c>
      <c r="X4000">
        <v>0.99691859999999999</v>
      </c>
      <c r="Y4000">
        <v>-9.7582180000000004E-2</v>
      </c>
      <c r="Z4000">
        <v>3.1560879999999999E-2</v>
      </c>
      <c r="AA4000">
        <v>0.99472689999999997</v>
      </c>
      <c r="AB4000">
        <v>26</v>
      </c>
      <c r="AC4000">
        <v>2.7110000000000101</v>
      </c>
      <c r="AD4000">
        <v>-1.11136739418</v>
      </c>
      <c r="AE4000">
        <v>-34.902899999999903</v>
      </c>
      <c r="AF4000">
        <v>-3.4272030765733899</v>
      </c>
      <c r="AG4000">
        <v>-1.11136739418</v>
      </c>
      <c r="AH4000">
        <v>34.804449182022601</v>
      </c>
      <c r="AI4000">
        <v>91.820136631561098</v>
      </c>
      <c r="AJ4000">
        <v>95.623800074792598</v>
      </c>
      <c r="AK4000">
        <v>34.990434996966201</v>
      </c>
      <c r="AL4000">
        <v>89.771389915088207</v>
      </c>
      <c r="AM4000">
        <v>85.506742706596398</v>
      </c>
      <c r="AN4000">
        <v>0.999999975406761</v>
      </c>
    </row>
    <row r="4001" spans="1:40" x14ac:dyDescent="0.25">
      <c r="A4001" t="str">
        <f>"20190312154916154"</f>
        <v>20190312154916154</v>
      </c>
      <c r="B4001" t="str">
        <f>"1552376956149942"</f>
        <v>1552376956149942</v>
      </c>
      <c r="C4001" t="s">
        <v>40</v>
      </c>
      <c r="D4001">
        <v>4.9973080000000003</v>
      </c>
      <c r="E4001">
        <v>0.47949389999999997</v>
      </c>
      <c r="F4001" t="s">
        <v>63</v>
      </c>
      <c r="G4001">
        <v>-190.42570000000001</v>
      </c>
      <c r="H4001" s="1">
        <v>-1.0198869999999999E-5</v>
      </c>
      <c r="I4001">
        <v>147.4486</v>
      </c>
      <c r="J4001">
        <v>-193.19390000000001</v>
      </c>
      <c r="K4001">
        <v>1.111359</v>
      </c>
      <c r="L4001">
        <v>182.90710000000001</v>
      </c>
      <c r="M4001">
        <v>-1.949768E-2</v>
      </c>
      <c r="N4001">
        <v>0</v>
      </c>
      <c r="O4001">
        <v>-0.99971239999999995</v>
      </c>
      <c r="P4001">
        <v>-9.8542030000000003E-2</v>
      </c>
      <c r="Q4001">
        <v>-9.0753099999999996E-3</v>
      </c>
      <c r="R4001">
        <v>-0.99509199999999998</v>
      </c>
      <c r="S4001">
        <v>0.23599239999999999</v>
      </c>
      <c r="T4001">
        <v>-9.4806189999999999E-2</v>
      </c>
      <c r="U4001">
        <v>-3.0374150000000002</v>
      </c>
      <c r="V4001">
        <v>7.9102549999999994E-2</v>
      </c>
      <c r="W4001">
        <v>5.1262790000000001E-3</v>
      </c>
      <c r="X4001">
        <v>0.99685330000000005</v>
      </c>
      <c r="Y4001">
        <v>-9.6850569999999997E-2</v>
      </c>
      <c r="Z4001">
        <v>3.1068599999999998E-2</v>
      </c>
      <c r="AA4001">
        <v>0.99481390000000003</v>
      </c>
      <c r="AB4001">
        <v>26</v>
      </c>
      <c r="AC4001">
        <v>2.7682000000000002</v>
      </c>
      <c r="AD4001">
        <v>-1.1113691988700001</v>
      </c>
      <c r="AE4001">
        <v>-35.458500000000001</v>
      </c>
      <c r="AF4001">
        <v>-3.4557253147074598</v>
      </c>
      <c r="AG4001">
        <v>-1.1113691988700001</v>
      </c>
      <c r="AH4001">
        <v>35.363249941099497</v>
      </c>
      <c r="AI4001">
        <v>91.791527473392605</v>
      </c>
      <c r="AJ4001">
        <v>95.581268973393705</v>
      </c>
      <c r="AK4001">
        <v>35.549073480803699</v>
      </c>
      <c r="AL4001">
        <v>89.706284561372399</v>
      </c>
      <c r="AM4001">
        <v>85.462958090162502</v>
      </c>
      <c r="AN4001">
        <v>0.99999999693688901</v>
      </c>
    </row>
    <row r="4002" spans="1:40" x14ac:dyDescent="0.25">
      <c r="A4002" t="str">
        <f>"20190312154916173"</f>
        <v>20190312154916173</v>
      </c>
      <c r="B4002" t="str">
        <f>"1552376956159702"</f>
        <v>1552376956159702</v>
      </c>
      <c r="C4002" t="s">
        <v>40</v>
      </c>
      <c r="D4002">
        <v>4.6671899999999997</v>
      </c>
      <c r="E4002">
        <v>0.47949389999999997</v>
      </c>
      <c r="F4002" t="s">
        <v>63</v>
      </c>
      <c r="G4002">
        <v>-194.8296</v>
      </c>
      <c r="H4002" s="1">
        <v>-1.050614E-5</v>
      </c>
      <c r="I4002">
        <v>145.6515</v>
      </c>
      <c r="J4002">
        <v>-193.1961</v>
      </c>
      <c r="K4002">
        <v>1.1113580000000001</v>
      </c>
      <c r="L4002">
        <v>182.70060000000001</v>
      </c>
      <c r="M4002">
        <v>-1.7909899999999999E-2</v>
      </c>
      <c r="N4002">
        <v>0</v>
      </c>
      <c r="O4002">
        <v>-0.99974189999999996</v>
      </c>
      <c r="P4002">
        <v>-9.8912739999999999E-2</v>
      </c>
      <c r="Q4002">
        <v>-7.3183559999999998E-3</v>
      </c>
      <c r="R4002">
        <v>-0.99506930000000005</v>
      </c>
      <c r="S4002">
        <v>-0.1317596</v>
      </c>
      <c r="T4002">
        <v>-8.9520219999999998E-2</v>
      </c>
      <c r="U4002">
        <v>-3.0009160000000001</v>
      </c>
      <c r="V4002">
        <v>8.1050869999999997E-2</v>
      </c>
      <c r="W4002">
        <v>6.8843460000000004E-3</v>
      </c>
      <c r="X4002">
        <v>0.99668619999999997</v>
      </c>
      <c r="Y4002">
        <v>2.5943310000000001E-2</v>
      </c>
      <c r="Z4002">
        <v>2.979118E-2</v>
      </c>
      <c r="AA4002">
        <v>0.99921939999999998</v>
      </c>
      <c r="AB4002">
        <v>26</v>
      </c>
      <c r="AC4002">
        <v>-1.63349999999999</v>
      </c>
      <c r="AD4002">
        <v>-1.1113685061399901</v>
      </c>
      <c r="AE4002">
        <v>-37.049100000000003</v>
      </c>
      <c r="AF4002">
        <v>0.96875741323142806</v>
      </c>
      <c r="AG4002">
        <v>-1.1113685061399901</v>
      </c>
      <c r="AH4002">
        <v>37.039150719514403</v>
      </c>
      <c r="AI4002">
        <v>91.718070608423204</v>
      </c>
      <c r="AJ4002">
        <v>88.501772895733893</v>
      </c>
      <c r="AK4002">
        <v>37.068481448597801</v>
      </c>
      <c r="AL4002">
        <v>89.605552917449202</v>
      </c>
      <c r="AM4002">
        <v>85.350917309200398</v>
      </c>
      <c r="AN4002">
        <v>1.00000000950902</v>
      </c>
    </row>
    <row r="4003" spans="1:40" x14ac:dyDescent="0.25">
      <c r="A4003" t="str">
        <f>"20190312154916187"</f>
        <v>20190312154916187</v>
      </c>
      <c r="B4003" t="str">
        <f>"1552376956180198"</f>
        <v>1552376956180198</v>
      </c>
      <c r="C4003" t="s">
        <v>40</v>
      </c>
      <c r="D4003">
        <v>4.7141460000000004</v>
      </c>
      <c r="E4003">
        <v>0.52993190000000001</v>
      </c>
      <c r="F4003" t="s">
        <v>63</v>
      </c>
      <c r="G4003">
        <v>-194.94829999999999</v>
      </c>
      <c r="H4003" s="1">
        <v>-9.8099010000000001E-6</v>
      </c>
      <c r="I4003">
        <v>143.12180000000001</v>
      </c>
      <c r="J4003">
        <v>-193.1977</v>
      </c>
      <c r="K4003">
        <v>1.111362</v>
      </c>
      <c r="L4003">
        <v>182.54</v>
      </c>
      <c r="M4003">
        <v>-1.6674669999999999E-2</v>
      </c>
      <c r="N4003">
        <v>0</v>
      </c>
      <c r="O4003">
        <v>-0.99976330000000002</v>
      </c>
      <c r="P4003">
        <v>-9.8607529999999999E-2</v>
      </c>
      <c r="Q4003">
        <v>-7.0109940000000004E-3</v>
      </c>
      <c r="R4003">
        <v>-0.99510180000000004</v>
      </c>
      <c r="S4003">
        <v>-0.13285829999999901</v>
      </c>
      <c r="T4003">
        <v>-8.4268689999999993E-2</v>
      </c>
      <c r="U4003">
        <v>-3.0010379999999999</v>
      </c>
      <c r="V4003">
        <v>8.1975510000000001E-2</v>
      </c>
      <c r="W4003">
        <v>7.1914219999999899E-3</v>
      </c>
      <c r="X4003">
        <v>0.99660839999999995</v>
      </c>
      <c r="Y4003">
        <v>2.7543930000000001E-2</v>
      </c>
      <c r="Z4003">
        <v>2.8043889999999998E-2</v>
      </c>
      <c r="AA4003">
        <v>0.99922719999999998</v>
      </c>
      <c r="AB4003">
        <v>26</v>
      </c>
      <c r="AC4003">
        <v>-1.7505999999999899</v>
      </c>
      <c r="AD4003">
        <v>-1.1113718099009999</v>
      </c>
      <c r="AE4003">
        <v>-39.418199999999899</v>
      </c>
      <c r="AF4003">
        <v>1.0921404341366101</v>
      </c>
      <c r="AG4003">
        <v>-1.1113718099009999</v>
      </c>
      <c r="AH4003">
        <v>39.410645299327797</v>
      </c>
      <c r="AI4003">
        <v>91.614681156153694</v>
      </c>
      <c r="AJ4003">
        <v>88.412636323020195</v>
      </c>
      <c r="AK4003">
        <v>39.441436091211798</v>
      </c>
      <c r="AL4003">
        <v>89.5879583198587</v>
      </c>
      <c r="AM4003">
        <v>85.297750963021599</v>
      </c>
      <c r="AN4003">
        <v>1.0000000018703501</v>
      </c>
    </row>
    <row r="4004" spans="1:40" x14ac:dyDescent="0.25">
      <c r="A4004" t="str">
        <f>"20190312154916198"</f>
        <v>20190312154916198</v>
      </c>
      <c r="B4004" t="str">
        <f>"1552376956189958"</f>
        <v>1552376956189958</v>
      </c>
      <c r="C4004" t="s">
        <v>40</v>
      </c>
      <c r="D4004">
        <v>4.6526379999999996</v>
      </c>
      <c r="E4004">
        <v>0.53218269999999901</v>
      </c>
      <c r="F4004" t="s">
        <v>63</v>
      </c>
      <c r="G4004">
        <v>-198.05520000000001</v>
      </c>
      <c r="H4004" s="1">
        <v>-1.3922E-5</v>
      </c>
      <c r="I4004">
        <v>155.4819</v>
      </c>
      <c r="J4004">
        <v>-193.19890000000001</v>
      </c>
      <c r="K4004">
        <v>1.1113599999999999</v>
      </c>
      <c r="L4004">
        <v>182.39709999999999</v>
      </c>
      <c r="M4004">
        <v>-1.5575220000000001E-2</v>
      </c>
      <c r="N4004">
        <v>0</v>
      </c>
      <c r="O4004">
        <v>-0.99978109999999998</v>
      </c>
      <c r="P4004">
        <v>-9.8183210000000007E-2</v>
      </c>
      <c r="Q4004">
        <v>-6.4175580000000003E-3</v>
      </c>
      <c r="R4004">
        <v>-0.99514809999999998</v>
      </c>
      <c r="S4004">
        <v>-0.53160099999999999</v>
      </c>
      <c r="T4004">
        <v>-0.121627399999999</v>
      </c>
      <c r="U4004">
        <v>-2.9612120000000002</v>
      </c>
      <c r="V4004">
        <v>8.2644510000000004E-2</v>
      </c>
      <c r="W4004">
        <v>7.7845900000000001E-3</v>
      </c>
      <c r="X4004">
        <v>0.99654869999999995</v>
      </c>
      <c r="Y4004">
        <v>0.16119919999999999</v>
      </c>
      <c r="Z4004">
        <v>4.0440440000000001E-2</v>
      </c>
      <c r="AA4004">
        <v>0.986093</v>
      </c>
      <c r="AB4004">
        <v>26</v>
      </c>
      <c r="AC4004">
        <v>-4.8563000000000001</v>
      </c>
      <c r="AD4004">
        <v>-1.1113739220000001</v>
      </c>
      <c r="AE4004">
        <v>-26.915199999999999</v>
      </c>
      <c r="AF4004">
        <v>4.4291461213213497</v>
      </c>
      <c r="AG4004">
        <v>-1.1113739220000001</v>
      </c>
      <c r="AH4004">
        <v>26.943090144909899</v>
      </c>
      <c r="AI4004">
        <v>92.330802802610705</v>
      </c>
      <c r="AJ4004">
        <v>80.664701297276807</v>
      </c>
      <c r="AK4004">
        <v>27.327323211673299</v>
      </c>
      <c r="AL4004">
        <v>89.553971348680903</v>
      </c>
      <c r="AM4004">
        <v>85.259267524063205</v>
      </c>
      <c r="AN4004">
        <v>1.0000000131731399</v>
      </c>
    </row>
    <row r="4005" spans="1:40" x14ac:dyDescent="0.25">
      <c r="A4005" t="str">
        <f>"20190312154916217"</f>
        <v>20190312154916217</v>
      </c>
      <c r="B4005" t="str">
        <f>"1552376956209478"</f>
        <v>1552376956209478</v>
      </c>
      <c r="C4005" t="s">
        <v>40</v>
      </c>
      <c r="D4005">
        <v>4.5446739999999997</v>
      </c>
      <c r="E4005">
        <v>0.5342209</v>
      </c>
      <c r="F4005" t="s">
        <v>63</v>
      </c>
      <c r="G4005">
        <v>-198.51300000000001</v>
      </c>
      <c r="H4005" s="1">
        <v>-1.336297E-5</v>
      </c>
      <c r="I4005">
        <v>153.7089</v>
      </c>
      <c r="J4005">
        <v>-193.2003</v>
      </c>
      <c r="K4005">
        <v>1.111367</v>
      </c>
      <c r="L4005">
        <v>182.1884</v>
      </c>
      <c r="M4005">
        <v>-1.3968690000000001E-2</v>
      </c>
      <c r="N4005">
        <v>0</v>
      </c>
      <c r="O4005">
        <v>-0.9998049</v>
      </c>
      <c r="P4005">
        <v>-9.7445229999999994E-2</v>
      </c>
      <c r="Q4005">
        <v>-5.186586E-3</v>
      </c>
      <c r="R4005">
        <v>-0.99522750000000004</v>
      </c>
      <c r="S4005">
        <v>-0.54826350000000001</v>
      </c>
      <c r="T4005">
        <v>-0.1146615</v>
      </c>
      <c r="U4005">
        <v>-2.9597929999999999</v>
      </c>
      <c r="V4005">
        <v>8.3502660000000006E-2</v>
      </c>
      <c r="W4005">
        <v>9.0143089999999999E-3</v>
      </c>
      <c r="X4005">
        <v>0.99646679999999999</v>
      </c>
      <c r="Y4005">
        <v>0.16825229999999999</v>
      </c>
      <c r="Z4005">
        <v>3.8105439999999997E-2</v>
      </c>
      <c r="AA4005">
        <v>0.98500719999999997</v>
      </c>
      <c r="AB4005">
        <v>26</v>
      </c>
      <c r="AC4005">
        <v>-5.3127000000000004</v>
      </c>
      <c r="AD4005">
        <v>-1.1113803629700001</v>
      </c>
      <c r="AE4005">
        <v>-28.479500000000002</v>
      </c>
      <c r="AF4005">
        <v>4.9070999104488902</v>
      </c>
      <c r="AG4005">
        <v>-1.1113803629700001</v>
      </c>
      <c r="AH4005">
        <v>28.508984231396699</v>
      </c>
      <c r="AI4005">
        <v>92.200139061862004</v>
      </c>
      <c r="AJ4005">
        <v>80.233680264815504</v>
      </c>
      <c r="AK4005">
        <v>28.949559197824598</v>
      </c>
      <c r="AL4005">
        <v>89.483511153290493</v>
      </c>
      <c r="AM4005">
        <v>85.209877526540296</v>
      </c>
      <c r="AN4005">
        <v>1.0000000177480299</v>
      </c>
    </row>
    <row r="4006" spans="1:40" x14ac:dyDescent="0.25">
      <c r="A4006" t="str">
        <f>"20190312154916230"</f>
        <v>20190312154916230</v>
      </c>
      <c r="B4006" t="str">
        <f>"1552376956220215"</f>
        <v>1552376956220215</v>
      </c>
      <c r="C4006" t="s">
        <v>40</v>
      </c>
      <c r="D4006">
        <v>4.5632440000000001</v>
      </c>
      <c r="E4006">
        <v>0.53479109999999996</v>
      </c>
      <c r="F4006" t="s">
        <v>63</v>
      </c>
      <c r="G4006">
        <v>-199.036</v>
      </c>
      <c r="H4006" s="1">
        <v>-1.284931E-5</v>
      </c>
      <c r="I4006">
        <v>151.483</v>
      </c>
      <c r="J4006">
        <v>-193.2012</v>
      </c>
      <c r="K4006">
        <v>1.1113690000000001</v>
      </c>
      <c r="L4006">
        <v>182.0341</v>
      </c>
      <c r="M4006">
        <v>-1.278104E-2</v>
      </c>
      <c r="N4006">
        <v>0</v>
      </c>
      <c r="O4006">
        <v>-0.99982059999999995</v>
      </c>
      <c r="P4006">
        <v>-9.6616540000000001E-2</v>
      </c>
      <c r="Q4006">
        <v>-4.52725E-3</v>
      </c>
      <c r="R4006">
        <v>-0.99531150000000002</v>
      </c>
      <c r="S4006">
        <v>-0.56233219999999995</v>
      </c>
      <c r="T4006">
        <v>-0.1070927</v>
      </c>
      <c r="U4006">
        <v>-2.958771</v>
      </c>
      <c r="V4006">
        <v>8.385447E-2</v>
      </c>
      <c r="W4006">
        <v>9.6718410000000005E-3</v>
      </c>
      <c r="X4006">
        <v>0.99643110000000001</v>
      </c>
      <c r="Y4006">
        <v>0.17402290000000001</v>
      </c>
      <c r="Z4006">
        <v>3.5572979999999997E-2</v>
      </c>
      <c r="AA4006">
        <v>0.9840989</v>
      </c>
      <c r="AB4006">
        <v>26</v>
      </c>
      <c r="AC4006">
        <v>-5.8347999999999702</v>
      </c>
      <c r="AD4006">
        <v>-1.1113818493100001</v>
      </c>
      <c r="AE4006">
        <v>-30.551099999999899</v>
      </c>
      <c r="AF4006">
        <v>5.4368686754576698</v>
      </c>
      <c r="AG4006">
        <v>-1.1113818493100001</v>
      </c>
      <c r="AH4006">
        <v>30.584137147894999</v>
      </c>
      <c r="AI4006">
        <v>92.049031116376099</v>
      </c>
      <c r="AJ4006">
        <v>79.919967261424603</v>
      </c>
      <c r="AK4006">
        <v>31.083502950767901</v>
      </c>
      <c r="AL4006">
        <v>89.445835705389698</v>
      </c>
      <c r="AM4006">
        <v>85.189618946431594</v>
      </c>
      <c r="AN4006">
        <v>1.00000002684725</v>
      </c>
    </row>
    <row r="4007" spans="1:40" x14ac:dyDescent="0.25">
      <c r="A4007" t="str">
        <f>"20190312154916244"</f>
        <v>20190312154916244</v>
      </c>
      <c r="B4007" t="str">
        <f>"1552376956239734"</f>
        <v>1552376956239734</v>
      </c>
      <c r="C4007" t="s">
        <v>40</v>
      </c>
      <c r="D4007">
        <v>4.5261559999999896</v>
      </c>
      <c r="E4007">
        <v>0.53569160000000005</v>
      </c>
      <c r="F4007" t="s">
        <v>63</v>
      </c>
      <c r="G4007">
        <v>-199.23390000000001</v>
      </c>
      <c r="H4007" s="1">
        <v>-1.259708E-5</v>
      </c>
      <c r="I4007">
        <v>150.41079999999999</v>
      </c>
      <c r="J4007">
        <v>-193.20189999999999</v>
      </c>
      <c r="K4007">
        <v>1.1113690000000001</v>
      </c>
      <c r="L4007">
        <v>181.8837</v>
      </c>
      <c r="M4007">
        <v>-1.1623400000000001E-2</v>
      </c>
      <c r="N4007">
        <v>0</v>
      </c>
      <c r="O4007">
        <v>-0.99983509999999998</v>
      </c>
      <c r="P4007">
        <v>-9.5923770000000005E-2</v>
      </c>
      <c r="Q4007">
        <v>-3.2035520000000001E-3</v>
      </c>
      <c r="R4007">
        <v>-0.99538400000000005</v>
      </c>
      <c r="S4007">
        <v>-0.56445310000000004</v>
      </c>
      <c r="T4007">
        <v>-0.1039865</v>
      </c>
      <c r="U4007">
        <v>-2.9588320000000001</v>
      </c>
      <c r="V4007">
        <v>8.431023E-2</v>
      </c>
      <c r="W4007">
        <v>1.0994520000000001E-2</v>
      </c>
      <c r="X4007">
        <v>0.99637889999999996</v>
      </c>
      <c r="Y4007">
        <v>0.17584659999999999</v>
      </c>
      <c r="Z4007">
        <v>3.4534549999999997E-2</v>
      </c>
      <c r="AA4007">
        <v>0.98381160000000001</v>
      </c>
      <c r="AB4007">
        <v>26</v>
      </c>
      <c r="AC4007">
        <v>-6.0320000000000098</v>
      </c>
      <c r="AD4007">
        <v>-1.1113815970799901</v>
      </c>
      <c r="AE4007">
        <v>-31.472899999999999</v>
      </c>
      <c r="AF4007">
        <v>5.6589282707317201</v>
      </c>
      <c r="AG4007">
        <v>-1.1113815970799901</v>
      </c>
      <c r="AH4007">
        <v>31.503001458611401</v>
      </c>
      <c r="AI4007">
        <v>91.988672817679003</v>
      </c>
      <c r="AJ4007">
        <v>79.816484002359303</v>
      </c>
      <c r="AK4007">
        <v>32.026516187822899</v>
      </c>
      <c r="AL4007">
        <v>89.370047716526102</v>
      </c>
      <c r="AM4007">
        <v>85.163345404845401</v>
      </c>
      <c r="AN4007">
        <v>1.00000000335894</v>
      </c>
    </row>
    <row r="4008" spans="1:40" x14ac:dyDescent="0.25">
      <c r="A4008" t="str">
        <f>"20190312154916264"</f>
        <v>20190312154916264</v>
      </c>
      <c r="B4008" t="str">
        <f>"1552376956260230"</f>
        <v>1552376956260230</v>
      </c>
      <c r="C4008" t="s">
        <v>40</v>
      </c>
      <c r="D4008">
        <v>4.5759569999999998</v>
      </c>
      <c r="E4008">
        <v>0.53587609999999997</v>
      </c>
      <c r="F4008" t="s">
        <v>63</v>
      </c>
      <c r="G4008">
        <v>-199.5214</v>
      </c>
      <c r="H4008" s="1">
        <v>-1.2231399999999999E-5</v>
      </c>
      <c r="I4008">
        <v>149.054</v>
      </c>
      <c r="J4008">
        <v>-193.20249999999999</v>
      </c>
      <c r="K4008">
        <v>1.1113820000000001</v>
      </c>
      <c r="L4008">
        <v>181.66489999999999</v>
      </c>
      <c r="M4008">
        <v>-9.9396620000000001E-3</v>
      </c>
      <c r="N4008">
        <v>0</v>
      </c>
      <c r="O4008">
        <v>-0.9998532</v>
      </c>
      <c r="P4008">
        <v>-9.4672610000000004E-2</v>
      </c>
      <c r="Q4008" s="1">
        <v>-8.6106360000000003E-5</v>
      </c>
      <c r="R4008">
        <v>-0.99550870000000002</v>
      </c>
      <c r="S4008">
        <v>-0.56953430000000005</v>
      </c>
      <c r="T4008">
        <v>-0.100161</v>
      </c>
      <c r="U4008">
        <v>-2.95871</v>
      </c>
      <c r="V4008">
        <v>8.4725480000000006E-2</v>
      </c>
      <c r="W4008">
        <v>1.4109450000000001E-2</v>
      </c>
      <c r="X4008">
        <v>0.99630450000000004</v>
      </c>
      <c r="Y4008">
        <v>0.17914869999999999</v>
      </c>
      <c r="Z4008">
        <v>3.3252480000000001E-2</v>
      </c>
      <c r="AA4008">
        <v>0.98325989999999996</v>
      </c>
      <c r="AB4008">
        <v>26</v>
      </c>
      <c r="AC4008">
        <v>-6.31890000000001</v>
      </c>
      <c r="AD4008">
        <v>-1.1113942313999901</v>
      </c>
      <c r="AE4008">
        <v>-32.610899999999901</v>
      </c>
      <c r="AF4008">
        <v>5.9877119643946601</v>
      </c>
      <c r="AG4008">
        <v>-1.1113942313999901</v>
      </c>
      <c r="AH4008">
        <v>32.635568774067004</v>
      </c>
      <c r="AI4008">
        <v>91.918438920003695</v>
      </c>
      <c r="AJ4008">
        <v>79.6034576007808</v>
      </c>
      <c r="AK4008">
        <v>33.198919273268501</v>
      </c>
      <c r="AL4008">
        <v>89.191561295398699</v>
      </c>
      <c r="AM4008">
        <v>85.139276238227097</v>
      </c>
      <c r="AN4008">
        <v>1.0000000701303799</v>
      </c>
    </row>
    <row r="4009" spans="1:40" x14ac:dyDescent="0.25">
      <c r="A4009" t="str">
        <f>"20190312154916286"</f>
        <v>20190312154916286</v>
      </c>
      <c r="B4009" t="str">
        <f>"1552376956279750"</f>
        <v>1552376956279750</v>
      </c>
      <c r="C4009" t="s">
        <v>40</v>
      </c>
      <c r="D4009">
        <v>4.5630569999999997</v>
      </c>
      <c r="E4009">
        <v>0.5359005</v>
      </c>
      <c r="F4009" t="s">
        <v>63</v>
      </c>
      <c r="G4009">
        <v>-199.63509999999999</v>
      </c>
      <c r="H4009" s="1">
        <v>-1.1964049999999999E-5</v>
      </c>
      <c r="I4009">
        <v>148.10040000000001</v>
      </c>
      <c r="J4009">
        <v>-193.2028</v>
      </c>
      <c r="K4009">
        <v>1.1113919999999999</v>
      </c>
      <c r="L4009">
        <v>181.4032</v>
      </c>
      <c r="M4009">
        <v>-7.9245029999999994E-3</v>
      </c>
      <c r="N4009">
        <v>0</v>
      </c>
      <c r="O4009">
        <v>-0.99987119999999996</v>
      </c>
      <c r="P4009">
        <v>-9.3180899999999997E-2</v>
      </c>
      <c r="Q4009">
        <v>1.9828329999999998E-3</v>
      </c>
      <c r="R4009">
        <v>-0.99564750000000002</v>
      </c>
      <c r="S4009">
        <v>-0.56719969999999997</v>
      </c>
      <c r="T4009">
        <v>-9.7998979999999999E-2</v>
      </c>
      <c r="U4009">
        <v>-2.9596100000000001</v>
      </c>
      <c r="V4009">
        <v>8.5234009999999999E-2</v>
      </c>
      <c r="W4009">
        <v>1.617582E-2</v>
      </c>
      <c r="X4009">
        <v>0.99622960000000005</v>
      </c>
      <c r="Y4009">
        <v>0.1803323</v>
      </c>
      <c r="Z4009">
        <v>3.2525529999999997E-2</v>
      </c>
      <c r="AA4009">
        <v>0.98306780000000005</v>
      </c>
      <c r="AB4009">
        <v>26</v>
      </c>
      <c r="AC4009">
        <v>-6.4322999999999899</v>
      </c>
      <c r="AD4009">
        <v>-1.11140396405</v>
      </c>
      <c r="AE4009">
        <v>-33.302799999999898</v>
      </c>
      <c r="AF4009">
        <v>6.1615486001992004</v>
      </c>
      <c r="AG4009">
        <v>-1.11140396405</v>
      </c>
      <c r="AH4009">
        <v>33.316960027048502</v>
      </c>
      <c r="AI4009">
        <v>91.878758107265</v>
      </c>
      <c r="AJ4009">
        <v>79.522255509747595</v>
      </c>
      <c r="AK4009">
        <v>33.9001434417006</v>
      </c>
      <c r="AL4009">
        <v>89.073153319567894</v>
      </c>
      <c r="AM4009">
        <v>85.109876921169402</v>
      </c>
      <c r="AN4009">
        <v>0.99999995476475501</v>
      </c>
    </row>
    <row r="4010" spans="1:40" x14ac:dyDescent="0.25">
      <c r="A4010" t="str">
        <f>"20190312154916307"</f>
        <v>20190312154916307</v>
      </c>
      <c r="B4010" t="str">
        <f>"1552376956300250"</f>
        <v>1552376956300250</v>
      </c>
      <c r="C4010" t="s">
        <v>40</v>
      </c>
      <c r="D4010">
        <v>4.5261269999999998</v>
      </c>
      <c r="E4010">
        <v>0.53609759999999995</v>
      </c>
      <c r="F4010" t="s">
        <v>63</v>
      </c>
      <c r="G4010">
        <v>-199.19149999999999</v>
      </c>
      <c r="H4010" s="1">
        <v>-1.2447069999999999E-5</v>
      </c>
      <c r="I4010">
        <v>149.8998</v>
      </c>
      <c r="J4010">
        <v>-193.20259999999999</v>
      </c>
      <c r="K4010">
        <v>1.111402</v>
      </c>
      <c r="L4010">
        <v>181.1593</v>
      </c>
      <c r="M4010">
        <v>-6.0461380000000004E-3</v>
      </c>
      <c r="N4010">
        <v>0</v>
      </c>
      <c r="O4010">
        <v>-0.99988449999999995</v>
      </c>
      <c r="P4010">
        <v>-9.2088390000000006E-2</v>
      </c>
      <c r="Q4010">
        <v>3.809743E-3</v>
      </c>
      <c r="R4010">
        <v>-0.99574390000000002</v>
      </c>
      <c r="S4010">
        <v>-0.56280520000000001</v>
      </c>
      <c r="T4010">
        <v>-0.1044472</v>
      </c>
      <c r="U4010">
        <v>-2.9606170000000001</v>
      </c>
      <c r="V4010">
        <v>8.6006579999999999E-2</v>
      </c>
      <c r="W4010">
        <v>1.8000410000000001E-2</v>
      </c>
      <c r="X4010">
        <v>0.99613200000000002</v>
      </c>
      <c r="Y4010">
        <v>0.18069689999999999</v>
      </c>
      <c r="Z4010">
        <v>3.4655869999999998E-2</v>
      </c>
      <c r="AA4010">
        <v>0.98292800000000002</v>
      </c>
      <c r="AB4010">
        <v>26</v>
      </c>
      <c r="AC4010">
        <v>-5.9889000000000001</v>
      </c>
      <c r="AD4010">
        <v>-1.11141444707</v>
      </c>
      <c r="AE4010">
        <v>-31.259499999999999</v>
      </c>
      <c r="AF4010">
        <v>5.7927094762909199</v>
      </c>
      <c r="AG4010">
        <v>-1.11141444707</v>
      </c>
      <c r="AH4010">
        <v>31.2570281300613</v>
      </c>
      <c r="AI4010">
        <v>92.002356226453301</v>
      </c>
      <c r="AJ4010">
        <v>79.500776684806596</v>
      </c>
      <c r="AK4010">
        <v>31.808686434263699</v>
      </c>
      <c r="AL4010">
        <v>88.968596829764493</v>
      </c>
      <c r="AM4010">
        <v>85.065289122120802</v>
      </c>
      <c r="AN4010">
        <v>1.0000000539937299</v>
      </c>
    </row>
    <row r="4011" spans="1:40" x14ac:dyDescent="0.25">
      <c r="A4011" t="str">
        <f>"20190312154916319"</f>
        <v>20190312154916319</v>
      </c>
      <c r="B4011" t="str">
        <f>"1552376956310007"</f>
        <v>1552376956310007</v>
      </c>
      <c r="C4011" t="s">
        <v>40</v>
      </c>
      <c r="D4011">
        <v>4.5518099999999997</v>
      </c>
      <c r="E4011">
        <v>0.53631759999999995</v>
      </c>
      <c r="F4011" t="s">
        <v>63</v>
      </c>
      <c r="G4011">
        <v>-198.99359999999999</v>
      </c>
      <c r="H4011" s="1">
        <v>-1.262161E-5</v>
      </c>
      <c r="I4011">
        <v>150.59299999999999</v>
      </c>
      <c r="J4011">
        <v>-193.20230000000001</v>
      </c>
      <c r="K4011">
        <v>1.1114029999999999</v>
      </c>
      <c r="L4011">
        <v>181.01929999999999</v>
      </c>
      <c r="M4011">
        <v>-4.9681270000000001E-3</v>
      </c>
      <c r="N4011">
        <v>0</v>
      </c>
      <c r="O4011">
        <v>-0.99989039999999996</v>
      </c>
      <c r="P4011">
        <v>-9.1446390000000002E-2</v>
      </c>
      <c r="Q4011">
        <v>4.9092859999999997E-3</v>
      </c>
      <c r="R4011">
        <v>-0.99579810000000002</v>
      </c>
      <c r="S4011">
        <v>-0.56105039999999995</v>
      </c>
      <c r="T4011">
        <v>-0.1076778</v>
      </c>
      <c r="U4011">
        <v>-2.9613649999999998</v>
      </c>
      <c r="V4011">
        <v>8.6434869999999997E-2</v>
      </c>
      <c r="W4011">
        <v>1.9098850000000001E-2</v>
      </c>
      <c r="X4011">
        <v>0.99607440000000003</v>
      </c>
      <c r="Y4011">
        <v>0.18114259999999999</v>
      </c>
      <c r="Z4011">
        <v>3.5718359999999998E-2</v>
      </c>
      <c r="AA4011">
        <v>0.98280800000000001</v>
      </c>
      <c r="AB4011">
        <v>26</v>
      </c>
      <c r="AC4011">
        <v>-5.7912999999999704</v>
      </c>
      <c r="AD4011">
        <v>-1.11141562161</v>
      </c>
      <c r="AE4011">
        <v>-30.426300000000001</v>
      </c>
      <c r="AF4011">
        <v>5.63279899478961</v>
      </c>
      <c r="AG4011">
        <v>-1.11141562161</v>
      </c>
      <c r="AH4011">
        <v>30.415534468738301</v>
      </c>
      <c r="AI4011">
        <v>92.057757707571895</v>
      </c>
      <c r="AJ4011">
        <v>79.507990052614801</v>
      </c>
      <c r="AK4011">
        <v>30.9526801136617</v>
      </c>
      <c r="AL4011">
        <v>88.905649944114302</v>
      </c>
      <c r="AM4011">
        <v>85.040552469326698</v>
      </c>
      <c r="AN4011">
        <v>0.99999998157929904</v>
      </c>
    </row>
    <row r="4012" spans="1:40" x14ac:dyDescent="0.25">
      <c r="A4012" t="str">
        <f>"20190312154916332"</f>
        <v>20190312154916332</v>
      </c>
      <c r="B4012" t="str">
        <f>"1552376956319767"</f>
        <v>1552376956319767</v>
      </c>
      <c r="C4012" t="s">
        <v>40</v>
      </c>
      <c r="D4012">
        <v>4.4957549999999999</v>
      </c>
      <c r="E4012">
        <v>0.53655509999999995</v>
      </c>
      <c r="F4012" t="s">
        <v>63</v>
      </c>
      <c r="G4012">
        <v>-198.92859999999999</v>
      </c>
      <c r="H4012" s="1">
        <v>-1.266169E-5</v>
      </c>
      <c r="I4012">
        <v>150.77520000000001</v>
      </c>
      <c r="J4012">
        <v>-193.20179999999999</v>
      </c>
      <c r="K4012">
        <v>1.111405</v>
      </c>
      <c r="L4012">
        <v>180.8717</v>
      </c>
      <c r="M4012">
        <v>-3.831582E-3</v>
      </c>
      <c r="N4012">
        <v>0</v>
      </c>
      <c r="O4012">
        <v>-0.9998956</v>
      </c>
      <c r="P4012">
        <v>-9.0918159999999998E-2</v>
      </c>
      <c r="Q4012">
        <v>6.2868430000000003E-3</v>
      </c>
      <c r="R4012">
        <v>-0.99583880000000002</v>
      </c>
      <c r="S4012">
        <v>-0.5607605</v>
      </c>
      <c r="T4012">
        <v>-0.1088374</v>
      </c>
      <c r="U4012">
        <v>-2.9617</v>
      </c>
      <c r="V4012">
        <v>8.703437E-2</v>
      </c>
      <c r="W4012">
        <v>2.0475210000000001E-2</v>
      </c>
      <c r="X4012">
        <v>0.99599490000000002</v>
      </c>
      <c r="Y4012">
        <v>0.18214459999999999</v>
      </c>
      <c r="Z4012">
        <v>3.6095700000000001E-2</v>
      </c>
      <c r="AA4012">
        <v>0.98260899999999995</v>
      </c>
      <c r="AB4012">
        <v>26</v>
      </c>
      <c r="AC4012">
        <v>-5.7267999999999901</v>
      </c>
      <c r="AD4012">
        <v>-1.11141766169</v>
      </c>
      <c r="AE4012">
        <v>-30.096499999999899</v>
      </c>
      <c r="AF4012">
        <v>5.6040542741709398</v>
      </c>
      <c r="AG4012">
        <v>-1.11141766169</v>
      </c>
      <c r="AH4012">
        <v>30.078638536205499</v>
      </c>
      <c r="AI4012">
        <v>92.080371766318393</v>
      </c>
      <c r="AJ4012">
        <v>79.4460354027797</v>
      </c>
      <c r="AK4012">
        <v>30.616419936339401</v>
      </c>
      <c r="AL4012">
        <v>88.826774929810895</v>
      </c>
      <c r="AM4012">
        <v>85.005931203834194</v>
      </c>
      <c r="AN4012">
        <v>1.0000000283059201</v>
      </c>
    </row>
    <row r="4013" spans="1:40" x14ac:dyDescent="0.25">
      <c r="A4013" t="str">
        <f>"20190312154916351"</f>
        <v>20190312154916351</v>
      </c>
      <c r="B4013" t="str">
        <f>"1552376956340262"</f>
        <v>1552376956340262</v>
      </c>
      <c r="C4013" t="s">
        <v>40</v>
      </c>
      <c r="D4013">
        <v>4.5243209999999996</v>
      </c>
      <c r="E4013">
        <v>0.53698279999999998</v>
      </c>
      <c r="F4013" t="s">
        <v>63</v>
      </c>
      <c r="G4013">
        <v>-199.13419999999999</v>
      </c>
      <c r="H4013" s="1">
        <v>-1.229929E-5</v>
      </c>
      <c r="I4013">
        <v>149.5557</v>
      </c>
      <c r="J4013">
        <v>-193.20070000000001</v>
      </c>
      <c r="K4013">
        <v>1.111405</v>
      </c>
      <c r="L4013">
        <v>180.6542</v>
      </c>
      <c r="M4013">
        <v>-2.1563390000000002E-3</v>
      </c>
      <c r="N4013">
        <v>0</v>
      </c>
      <c r="O4013">
        <v>-0.99990029999999996</v>
      </c>
      <c r="P4013">
        <v>-8.9695570000000002E-2</v>
      </c>
      <c r="Q4013">
        <v>8.0310569999999994E-3</v>
      </c>
      <c r="R4013">
        <v>-0.99593679999999996</v>
      </c>
      <c r="S4013">
        <v>-0.56111149999999999</v>
      </c>
      <c r="T4013">
        <v>-0.1051222</v>
      </c>
      <c r="U4013">
        <v>-2.9619900000000001</v>
      </c>
      <c r="V4013">
        <v>8.7474899999999994E-2</v>
      </c>
      <c r="W4013">
        <v>2.221718E-2</v>
      </c>
      <c r="X4013">
        <v>0.99591890000000005</v>
      </c>
      <c r="Y4013">
        <v>0.18389459999999999</v>
      </c>
      <c r="Z4013">
        <v>3.4855940000000002E-2</v>
      </c>
      <c r="AA4013">
        <v>0.98232779999999997</v>
      </c>
      <c r="AB4013">
        <v>26</v>
      </c>
      <c r="AC4013">
        <v>-5.93349999999998</v>
      </c>
      <c r="AD4013">
        <v>-1.11141729929</v>
      </c>
      <c r="AE4013">
        <v>-31.098500000000001</v>
      </c>
      <c r="AF4013">
        <v>5.8591999709629397</v>
      </c>
      <c r="AG4013">
        <v>-1.11141729929</v>
      </c>
      <c r="AH4013">
        <v>31.0729297425857</v>
      </c>
      <c r="AI4013">
        <v>92.013038347042496</v>
      </c>
      <c r="AJ4013">
        <v>79.321527832613597</v>
      </c>
      <c r="AK4013">
        <v>31.640044808763498</v>
      </c>
      <c r="AL4013">
        <v>88.7269445548894</v>
      </c>
      <c r="AM4013">
        <v>84.9804011418926</v>
      </c>
      <c r="AN4013">
        <v>0.99999995829718502</v>
      </c>
    </row>
    <row r="4014" spans="1:40" x14ac:dyDescent="0.25">
      <c r="A4014" t="str">
        <f>"20190312154916364"</f>
        <v>20190312154916364</v>
      </c>
      <c r="B4014" t="str">
        <f>"1552376956359783"</f>
        <v>1552376956359783</v>
      </c>
      <c r="C4014" t="s">
        <v>40</v>
      </c>
      <c r="D4014">
        <v>4.480372</v>
      </c>
      <c r="E4014">
        <v>0.53726689999999999</v>
      </c>
      <c r="F4014" t="s">
        <v>63</v>
      </c>
      <c r="G4014">
        <v>-199.37989999999999</v>
      </c>
      <c r="H4014" s="1">
        <v>-1.1900599999999999E-5</v>
      </c>
      <c r="I4014">
        <v>148.0103</v>
      </c>
      <c r="J4014">
        <v>-193.19980000000001</v>
      </c>
      <c r="K4014">
        <v>1.1114029999999999</v>
      </c>
      <c r="L4014">
        <v>180.5051</v>
      </c>
      <c r="M4014">
        <v>-1.00742E-3</v>
      </c>
      <c r="N4014">
        <v>0</v>
      </c>
      <c r="O4014">
        <v>-0.99990239999999997</v>
      </c>
      <c r="P4014">
        <v>-8.8662009999999999E-2</v>
      </c>
      <c r="Q4014">
        <v>7.8529810000000002E-3</v>
      </c>
      <c r="R4014">
        <v>-0.99603090000000005</v>
      </c>
      <c r="S4014">
        <v>-0.56079100000000004</v>
      </c>
      <c r="T4014">
        <v>-0.1008661</v>
      </c>
      <c r="U4014">
        <v>-2.9625849999999998</v>
      </c>
      <c r="V4014">
        <v>8.7586479999999994E-2</v>
      </c>
      <c r="W4014">
        <v>2.2036980000000001E-2</v>
      </c>
      <c r="X4014">
        <v>0.9959131</v>
      </c>
      <c r="Y4014">
        <v>0.18489430000000001</v>
      </c>
      <c r="Z4014">
        <v>3.3437019999999998E-2</v>
      </c>
      <c r="AA4014">
        <v>0.98218939999999999</v>
      </c>
      <c r="AB4014">
        <v>26</v>
      </c>
      <c r="AC4014">
        <v>-6.1800999999999799</v>
      </c>
      <c r="AD4014">
        <v>-1.1114149006</v>
      </c>
      <c r="AE4014">
        <v>-32.494799999999998</v>
      </c>
      <c r="AF4014">
        <v>6.1404252454913602</v>
      </c>
      <c r="AG4014">
        <v>-1.1114149006</v>
      </c>
      <c r="AH4014">
        <v>32.464357873885803</v>
      </c>
      <c r="AI4014">
        <v>91.9266176176031</v>
      </c>
      <c r="AJ4014">
        <v>79.289399272129003</v>
      </c>
      <c r="AK4014">
        <v>33.0586538963775</v>
      </c>
      <c r="AL4014">
        <v>88.737271787123902</v>
      </c>
      <c r="AM4014">
        <v>84.974001966612505</v>
      </c>
      <c r="AN4014">
        <v>0.99999996135895897</v>
      </c>
    </row>
    <row r="4015" spans="1:40" x14ac:dyDescent="0.25">
      <c r="A4015" t="str">
        <f>"20190312154916377"</f>
        <v>20190312154916377</v>
      </c>
      <c r="B4015" t="str">
        <f>"1552376956369542"</f>
        <v>1552376956369542</v>
      </c>
      <c r="C4015" t="s">
        <v>40</v>
      </c>
      <c r="D4015">
        <v>4.4931590000000003</v>
      </c>
      <c r="E4015">
        <v>0.53740730000000003</v>
      </c>
      <c r="F4015" t="s">
        <v>63</v>
      </c>
      <c r="G4015">
        <v>-199.22739999999999</v>
      </c>
      <c r="H4015" s="1">
        <v>-1.205628E-5</v>
      </c>
      <c r="I4015">
        <v>148.60720000000001</v>
      </c>
      <c r="J4015">
        <v>-193.1987</v>
      </c>
      <c r="K4015">
        <v>1.1113959999999901</v>
      </c>
      <c r="L4015">
        <v>180.3622</v>
      </c>
      <c r="M4015" s="1">
        <v>9.3973679999999996E-5</v>
      </c>
      <c r="N4015">
        <v>0</v>
      </c>
      <c r="O4015">
        <v>-0.99990279999999998</v>
      </c>
      <c r="P4015">
        <v>-8.7478529999999999E-2</v>
      </c>
      <c r="Q4015">
        <v>7.0847490000000004E-3</v>
      </c>
      <c r="R4015">
        <v>-0.99614139999999995</v>
      </c>
      <c r="S4015">
        <v>-0.55989069999999996</v>
      </c>
      <c r="T4015">
        <v>-0.1032373</v>
      </c>
      <c r="U4015">
        <v>-2.962936</v>
      </c>
      <c r="V4015">
        <v>8.7502800000000006E-2</v>
      </c>
      <c r="W4015">
        <v>2.1267069999999999E-2</v>
      </c>
      <c r="X4015">
        <v>0.99593719999999997</v>
      </c>
      <c r="Y4015">
        <v>0.18566240000000001</v>
      </c>
      <c r="Z4015">
        <v>3.421664E-2</v>
      </c>
      <c r="AA4015">
        <v>0.98201760000000005</v>
      </c>
      <c r="AB4015">
        <v>26</v>
      </c>
      <c r="AC4015">
        <v>-6.0286999999999802</v>
      </c>
      <c r="AD4015">
        <v>-1.11140805627999</v>
      </c>
      <c r="AE4015">
        <v>-31.7549999999999</v>
      </c>
      <c r="AF4015">
        <v>6.0245612751067998</v>
      </c>
      <c r="AG4015">
        <v>-1.11140805627999</v>
      </c>
      <c r="AH4015">
        <v>31.716932842011801</v>
      </c>
      <c r="AI4015">
        <v>91.971681819227697</v>
      </c>
      <c r="AJ4015">
        <v>79.244920166028294</v>
      </c>
      <c r="AK4015">
        <v>32.303163859439003</v>
      </c>
      <c r="AL4015">
        <v>88.781394734632002</v>
      </c>
      <c r="AM4015">
        <v>84.978900122032002</v>
      </c>
      <c r="AN4015">
        <v>0.99999996730903096</v>
      </c>
    </row>
    <row r="4016" spans="1:40" x14ac:dyDescent="0.25">
      <c r="A4016" t="str">
        <f>"20190312154916390"</f>
        <v>20190312154916390</v>
      </c>
      <c r="B4016" t="str">
        <f>"1552376956380279"</f>
        <v>1552376956380279</v>
      </c>
      <c r="C4016" t="s">
        <v>40</v>
      </c>
      <c r="D4016">
        <v>4.5048339999999998</v>
      </c>
      <c r="E4016">
        <v>0.53755390000000003</v>
      </c>
      <c r="F4016" t="s">
        <v>63</v>
      </c>
      <c r="G4016">
        <v>-199.0378</v>
      </c>
      <c r="H4016" s="1">
        <v>-1.221877E-5</v>
      </c>
      <c r="I4016">
        <v>149.3152</v>
      </c>
      <c r="J4016">
        <v>-193.19749999999999</v>
      </c>
      <c r="K4016">
        <v>1.1113879999999901</v>
      </c>
      <c r="L4016">
        <v>180.22110000000001</v>
      </c>
      <c r="M4016">
        <v>1.1809209999999999E-3</v>
      </c>
      <c r="N4016">
        <v>0</v>
      </c>
      <c r="O4016">
        <v>-0.99990210000000002</v>
      </c>
      <c r="P4016">
        <v>-8.6458519999999997E-2</v>
      </c>
      <c r="Q4016">
        <v>6.9996119999999997E-3</v>
      </c>
      <c r="R4016">
        <v>-0.99623099999999998</v>
      </c>
      <c r="S4016">
        <v>-0.55734249999999996</v>
      </c>
      <c r="T4016">
        <v>-0.106083399999999</v>
      </c>
      <c r="U4016">
        <v>-2.963425</v>
      </c>
      <c r="V4016">
        <v>8.7566089999999999E-2</v>
      </c>
      <c r="W4016">
        <v>2.1180310000000001E-2</v>
      </c>
      <c r="X4016">
        <v>0.99593350000000003</v>
      </c>
      <c r="Y4016">
        <v>0.18587960000000001</v>
      </c>
      <c r="Z4016">
        <v>3.5155110000000003E-2</v>
      </c>
      <c r="AA4016">
        <v>0.98194340000000002</v>
      </c>
      <c r="AB4016">
        <v>26</v>
      </c>
      <c r="AC4016">
        <v>-5.8403000000000098</v>
      </c>
      <c r="AD4016">
        <v>-1.1114002187699901</v>
      </c>
      <c r="AE4016">
        <v>-30.905899999999999</v>
      </c>
      <c r="AF4016">
        <v>5.8694683379095904</v>
      </c>
      <c r="AG4016">
        <v>-1.1114002187699901</v>
      </c>
      <c r="AH4016">
        <v>30.8604487745021</v>
      </c>
      <c r="AI4016">
        <v>92.026252123621006</v>
      </c>
      <c r="AJ4016">
        <v>79.231312106160502</v>
      </c>
      <c r="AK4016">
        <v>31.433313022646399</v>
      </c>
      <c r="AL4016">
        <v>88.786366853244004</v>
      </c>
      <c r="AM4016">
        <v>84.975268418692906</v>
      </c>
      <c r="AN4016">
        <v>0.99999998103591603</v>
      </c>
    </row>
    <row r="4017" spans="1:40" x14ac:dyDescent="0.25">
      <c r="A4017" t="str">
        <f>"20190312154916407"</f>
        <v>20190312154916407</v>
      </c>
      <c r="B4017" t="str">
        <f>"1552376956399802"</f>
        <v>1552376956399802</v>
      </c>
      <c r="C4017" t="s">
        <v>40</v>
      </c>
      <c r="D4017">
        <v>4.4528819999999998</v>
      </c>
      <c r="E4017">
        <v>0.53784169999999998</v>
      </c>
      <c r="F4017" t="s">
        <v>63</v>
      </c>
      <c r="G4017">
        <v>-198.9948</v>
      </c>
      <c r="H4017" s="1">
        <v>-1.22077E-5</v>
      </c>
      <c r="I4017">
        <v>149.3021</v>
      </c>
      <c r="J4017">
        <v>-193.19550000000001</v>
      </c>
      <c r="K4017">
        <v>1.111381</v>
      </c>
      <c r="L4017">
        <v>180.01599999999999</v>
      </c>
      <c r="M4017">
        <v>2.7614699999999998E-3</v>
      </c>
      <c r="N4017">
        <v>0</v>
      </c>
      <c r="O4017">
        <v>-0.99989919999999999</v>
      </c>
      <c r="P4017">
        <v>-8.487662E-2</v>
      </c>
      <c r="Q4017">
        <v>6.4448400000000003E-3</v>
      </c>
      <c r="R4017">
        <v>-0.9963708</v>
      </c>
      <c r="S4017">
        <v>-0.55572509999999997</v>
      </c>
      <c r="T4017">
        <v>-0.10653840000000001</v>
      </c>
      <c r="U4017">
        <v>-2.9638819999999999</v>
      </c>
      <c r="V4017">
        <v>8.7561009999999995E-2</v>
      </c>
      <c r="W4017">
        <v>2.062253E-2</v>
      </c>
      <c r="X4017">
        <v>0.99594570000000004</v>
      </c>
      <c r="Y4017">
        <v>0.18688650000000001</v>
      </c>
      <c r="Z4017">
        <v>3.5298540000000003E-2</v>
      </c>
      <c r="AA4017">
        <v>0.98174720000000004</v>
      </c>
      <c r="AB4017">
        <v>26</v>
      </c>
      <c r="AC4017">
        <v>-5.7992999999999801</v>
      </c>
      <c r="AD4017">
        <v>-1.1113932076999999</v>
      </c>
      <c r="AE4017">
        <v>-30.713899999999899</v>
      </c>
      <c r="AF4017">
        <v>5.8766717196765796</v>
      </c>
      <c r="AG4017">
        <v>-1.1113932076999999</v>
      </c>
      <c r="AH4017">
        <v>30.6590043963939</v>
      </c>
      <c r="AI4017">
        <v>92.038984250733705</v>
      </c>
      <c r="AJ4017">
        <v>79.149241854882007</v>
      </c>
      <c r="AK4017">
        <v>31.236917516635099</v>
      </c>
      <c r="AL4017">
        <v>88.818332333119301</v>
      </c>
      <c r="AM4017">
        <v>84.9756196605599</v>
      </c>
      <c r="AN4017">
        <v>1.00000002828215</v>
      </c>
    </row>
    <row r="4018" spans="1:40" x14ac:dyDescent="0.25">
      <c r="A4018" t="str">
        <f>"20190312154916420"</f>
        <v>20190312154916420</v>
      </c>
      <c r="B4018" t="str">
        <f>"1552376956409558"</f>
        <v>1552376956409558</v>
      </c>
      <c r="C4018" t="s">
        <v>40</v>
      </c>
      <c r="D4018">
        <v>4.4623879999999998</v>
      </c>
      <c r="E4018">
        <v>0.53784169999999998</v>
      </c>
      <c r="F4018" t="s">
        <v>63</v>
      </c>
      <c r="G4018">
        <v>-198.7724</v>
      </c>
      <c r="H4018" s="1">
        <v>-1.246856E-5</v>
      </c>
      <c r="I4018">
        <v>150.1232</v>
      </c>
      <c r="J4018">
        <v>-193.19390000000001</v>
      </c>
      <c r="K4018">
        <v>1.111381</v>
      </c>
      <c r="L4018">
        <v>179.86760000000001</v>
      </c>
      <c r="M4018">
        <v>3.9051340000000002E-3</v>
      </c>
      <c r="N4018">
        <v>0</v>
      </c>
      <c r="O4018">
        <v>-0.99989530000000004</v>
      </c>
      <c r="P4018">
        <v>-8.3636440000000006E-2</v>
      </c>
      <c r="Q4018">
        <v>5.7683400000000003E-3</v>
      </c>
      <c r="R4018">
        <v>-0.99648000000000003</v>
      </c>
      <c r="S4018">
        <v>-0.55307010000000001</v>
      </c>
      <c r="T4018">
        <v>-0.11021880000000001</v>
      </c>
      <c r="U4018">
        <v>-2.9645229999999998</v>
      </c>
      <c r="V4018">
        <v>8.7462890000000001E-2</v>
      </c>
      <c r="W4018">
        <v>1.9944130000000001E-2</v>
      </c>
      <c r="X4018">
        <v>0.99596810000000002</v>
      </c>
      <c r="Y4018">
        <v>0.18711410000000001</v>
      </c>
      <c r="Z4018">
        <v>3.6510500000000001E-2</v>
      </c>
      <c r="AA4018">
        <v>0.98165950000000002</v>
      </c>
      <c r="AB4018">
        <v>26</v>
      </c>
      <c r="AC4018">
        <v>-5.5784999999999902</v>
      </c>
      <c r="AD4018">
        <v>-1.11139346856</v>
      </c>
      <c r="AE4018">
        <v>-29.744399999999999</v>
      </c>
      <c r="AF4018">
        <v>5.6869546668278801</v>
      </c>
      <c r="AG4018">
        <v>-1.11139346856</v>
      </c>
      <c r="AH4018">
        <v>29.682353984395998</v>
      </c>
      <c r="AI4018">
        <v>92.1060477556412</v>
      </c>
      <c r="AJ4018">
        <v>79.153923046993498</v>
      </c>
      <c r="AK4018">
        <v>30.242665009544101</v>
      </c>
      <c r="AL4018">
        <v>88.857209744962802</v>
      </c>
      <c r="AM4018">
        <v>84.981333459052607</v>
      </c>
      <c r="AN4018">
        <v>0.99999999083310898</v>
      </c>
    </row>
    <row r="4019" spans="1:40" x14ac:dyDescent="0.25">
      <c r="A4019" t="str">
        <f>"20190312154916433"</f>
        <v>20190312154916433</v>
      </c>
      <c r="B4019" t="str">
        <f>"1552376956430055"</f>
        <v>1552376956430055</v>
      </c>
      <c r="C4019" t="s">
        <v>40</v>
      </c>
      <c r="D4019">
        <v>4.4129490000000002</v>
      </c>
      <c r="E4019">
        <v>0.53823529999999997</v>
      </c>
      <c r="F4019" t="s">
        <v>63</v>
      </c>
      <c r="G4019">
        <v>-198.6371</v>
      </c>
      <c r="H4019" s="1">
        <v>-1.2565729999999999E-5</v>
      </c>
      <c r="I4019">
        <v>150.4966</v>
      </c>
      <c r="J4019">
        <v>-193.19210000000001</v>
      </c>
      <c r="K4019">
        <v>1.1113759999999999</v>
      </c>
      <c r="L4019">
        <v>179.7227</v>
      </c>
      <c r="M4019">
        <v>5.0224550000000003E-3</v>
      </c>
      <c r="N4019">
        <v>0</v>
      </c>
      <c r="O4019">
        <v>-0.99989030000000001</v>
      </c>
      <c r="P4019">
        <v>-8.2435899999999895E-2</v>
      </c>
      <c r="Q4019">
        <v>5.4457119999999897E-3</v>
      </c>
      <c r="R4019">
        <v>-0.99658150000000001</v>
      </c>
      <c r="S4019">
        <v>-0.54951479999999997</v>
      </c>
      <c r="T4019">
        <v>-0.11219949999999999</v>
      </c>
      <c r="U4019">
        <v>-2.9651179999999999</v>
      </c>
      <c r="V4019">
        <v>8.7377090000000004E-2</v>
      </c>
      <c r="W4019">
        <v>1.9619459999999998E-2</v>
      </c>
      <c r="X4019">
        <v>0.99598209999999998</v>
      </c>
      <c r="Y4019">
        <v>0.18703420000000001</v>
      </c>
      <c r="Z4019">
        <v>3.716245E-2</v>
      </c>
      <c r="AA4019">
        <v>0.98165020000000003</v>
      </c>
      <c r="AB4019">
        <v>26</v>
      </c>
      <c r="AC4019">
        <v>-5.4449999999999896</v>
      </c>
      <c r="AD4019">
        <v>-1.11138856573</v>
      </c>
      <c r="AE4019">
        <v>-29.226099999999999</v>
      </c>
      <c r="AF4019">
        <v>5.5839284419439599</v>
      </c>
      <c r="AG4019">
        <v>-1.11138856573</v>
      </c>
      <c r="AH4019">
        <v>29.1576317520753</v>
      </c>
      <c r="AI4019">
        <v>92.143937629002394</v>
      </c>
      <c r="AJ4019">
        <v>79.158647934452802</v>
      </c>
      <c r="AK4019">
        <v>29.708297338932301</v>
      </c>
      <c r="AL4019">
        <v>88.875815629728194</v>
      </c>
      <c r="AM4019">
        <v>84.986301718069001</v>
      </c>
      <c r="AN4019">
        <v>1.00000001129398</v>
      </c>
    </row>
    <row r="4020" spans="1:40" x14ac:dyDescent="0.25">
      <c r="A4020" t="str">
        <f>"20190312154916452"</f>
        <v>20190312154916452</v>
      </c>
      <c r="B4020" t="str">
        <f>"1552376956439814"</f>
        <v>1552376956439814</v>
      </c>
      <c r="C4020" t="s">
        <v>40</v>
      </c>
      <c r="D4020">
        <v>4.4081070000000002</v>
      </c>
      <c r="E4020">
        <v>0.53840650000000001</v>
      </c>
      <c r="F4020" t="s">
        <v>63</v>
      </c>
      <c r="G4020">
        <v>-198.48830000000001</v>
      </c>
      <c r="H4020" s="1">
        <v>-1.270539E-5</v>
      </c>
      <c r="I4020">
        <v>151.10409999999999</v>
      </c>
      <c r="J4020">
        <v>-193.1891</v>
      </c>
      <c r="K4020">
        <v>1.11137</v>
      </c>
      <c r="L4020">
        <v>179.50899999999999</v>
      </c>
      <c r="M4020">
        <v>6.6699319999999999E-3</v>
      </c>
      <c r="N4020">
        <v>0</v>
      </c>
      <c r="O4020">
        <v>-0.99988069999999896</v>
      </c>
      <c r="P4020">
        <v>-8.0474379999999998E-2</v>
      </c>
      <c r="Q4020">
        <v>4.4097190000000003E-3</v>
      </c>
      <c r="R4020">
        <v>-0.9967473</v>
      </c>
      <c r="S4020">
        <v>-0.54881289999999905</v>
      </c>
      <c r="T4020">
        <v>-0.1151649</v>
      </c>
      <c r="U4020">
        <v>-2.9655300000000002</v>
      </c>
      <c r="V4020">
        <v>8.7061470000000002E-2</v>
      </c>
      <c r="W4020">
        <v>1.857967E-2</v>
      </c>
      <c r="X4020">
        <v>0.99602970000000002</v>
      </c>
      <c r="Y4020">
        <v>0.1883968</v>
      </c>
      <c r="Z4020">
        <v>3.8133229999999997E-2</v>
      </c>
      <c r="AA4020">
        <v>0.98135240000000001</v>
      </c>
      <c r="AB4020">
        <v>25</v>
      </c>
      <c r="AC4020">
        <v>-5.2992000000000097</v>
      </c>
      <c r="AD4020">
        <v>-1.1113827053899901</v>
      </c>
      <c r="AE4020">
        <v>-28.404900000000001</v>
      </c>
      <c r="AF4020">
        <v>5.4804515199613801</v>
      </c>
      <c r="AG4020">
        <v>-1.1113827053899901</v>
      </c>
      <c r="AH4020">
        <v>28.3270126179426</v>
      </c>
      <c r="AI4020">
        <v>92.205927454365295</v>
      </c>
      <c r="AJ4020">
        <v>79.0502189479826</v>
      </c>
      <c r="AK4020">
        <v>28.873693290564098</v>
      </c>
      <c r="AL4020">
        <v>88.935402103316903</v>
      </c>
      <c r="AM4020">
        <v>85.004557719334599</v>
      </c>
      <c r="AN4020">
        <v>1.00000003348897</v>
      </c>
    </row>
    <row r="4021" spans="1:40" x14ac:dyDescent="0.25">
      <c r="A4021" t="str">
        <f>"20190312154916475"</f>
        <v>20190312154916475</v>
      </c>
      <c r="B4021" t="str">
        <f>"1552376956470073"</f>
        <v>1552376956470073</v>
      </c>
      <c r="C4021" t="s">
        <v>40</v>
      </c>
      <c r="D4021">
        <v>4.5336780000000001</v>
      </c>
      <c r="E4021">
        <v>0.53844919999999996</v>
      </c>
      <c r="F4021" t="s">
        <v>63</v>
      </c>
      <c r="G4021">
        <v>-198.2978</v>
      </c>
      <c r="H4021" s="1">
        <v>-1.282955E-5</v>
      </c>
      <c r="I4021">
        <v>151.66470000000001</v>
      </c>
      <c r="J4021">
        <v>-193.18510000000001</v>
      </c>
      <c r="K4021">
        <v>1.111367</v>
      </c>
      <c r="L4021">
        <v>179.2473</v>
      </c>
      <c r="M4021">
        <v>8.6877410000000006E-3</v>
      </c>
      <c r="N4021">
        <v>0</v>
      </c>
      <c r="O4021">
        <v>-0.99986540000000002</v>
      </c>
      <c r="P4021">
        <v>-7.7911759999999997E-2</v>
      </c>
      <c r="Q4021">
        <v>4.5473680000000004E-3</v>
      </c>
      <c r="R4021">
        <v>-0.99695029999999996</v>
      </c>
      <c r="S4021">
        <v>-0.54425049999999997</v>
      </c>
      <c r="T4021">
        <v>-0.1184008</v>
      </c>
      <c r="U4021">
        <v>-2.9663849999999998</v>
      </c>
      <c r="V4021">
        <v>8.651064E-2</v>
      </c>
      <c r="W4021">
        <v>1.8713170000000001E-2</v>
      </c>
      <c r="X4021">
        <v>0.99607520000000005</v>
      </c>
      <c r="Y4021">
        <v>0.1888609</v>
      </c>
      <c r="Z4021">
        <v>3.9194699999999902E-2</v>
      </c>
      <c r="AA4021">
        <v>0.98122140000000002</v>
      </c>
      <c r="AB4021">
        <v>25</v>
      </c>
      <c r="AC4021">
        <v>-5.1126999999999896</v>
      </c>
      <c r="AD4021">
        <v>-1.1113798295499999</v>
      </c>
      <c r="AE4021">
        <v>-27.5825999999999</v>
      </c>
      <c r="AF4021">
        <v>5.3437732272711296</v>
      </c>
      <c r="AG4021">
        <v>-1.1113798295499999</v>
      </c>
      <c r="AH4021">
        <v>27.4939827129636</v>
      </c>
      <c r="AI4021">
        <v>92.272311210364606</v>
      </c>
      <c r="AJ4021">
        <v>79.001035426878602</v>
      </c>
      <c r="AK4021">
        <v>28.0305219867695</v>
      </c>
      <c r="AL4021">
        <v>88.927751792627404</v>
      </c>
      <c r="AM4021">
        <v>85.036230627343599</v>
      </c>
      <c r="AN4021">
        <v>1.00000003880984</v>
      </c>
    </row>
    <row r="4022" spans="1:40" x14ac:dyDescent="0.25">
      <c r="A4022" t="str">
        <f>"20190312154916497"</f>
        <v>20190312154916497</v>
      </c>
      <c r="B4022" t="str">
        <f>"1552376956489590"</f>
        <v>1552376956489590</v>
      </c>
      <c r="C4022" t="s">
        <v>40</v>
      </c>
      <c r="D4022">
        <v>4.5363020000000001</v>
      </c>
      <c r="E4022">
        <v>0.50724709999999995</v>
      </c>
      <c r="F4022" t="s">
        <v>63</v>
      </c>
      <c r="G4022">
        <v>-198.30119999999999</v>
      </c>
      <c r="H4022" s="1">
        <v>-1.266016E-5</v>
      </c>
      <c r="I4022">
        <v>150.99029999999999</v>
      </c>
      <c r="J4022">
        <v>-193.1808</v>
      </c>
      <c r="K4022">
        <v>1.111361</v>
      </c>
      <c r="L4022">
        <v>179.00149999999999</v>
      </c>
      <c r="M4022">
        <v>1.058358E-2</v>
      </c>
      <c r="N4022">
        <v>0</v>
      </c>
      <c r="O4022">
        <v>-0.99984689999999998</v>
      </c>
      <c r="P4022">
        <v>-7.5600879999999995E-2</v>
      </c>
      <c r="Q4022">
        <v>4.5984349999999997E-3</v>
      </c>
      <c r="R4022">
        <v>-0.99712789999999996</v>
      </c>
      <c r="S4022">
        <v>-0.537323</v>
      </c>
      <c r="T4022">
        <v>-0.1167228</v>
      </c>
      <c r="U4022">
        <v>-2.9676969999999998</v>
      </c>
      <c r="V4022">
        <v>8.6090559999999997E-2</v>
      </c>
      <c r="W4022">
        <v>1.875988E-2</v>
      </c>
      <c r="X4022">
        <v>0.99611070000000002</v>
      </c>
      <c r="Y4022">
        <v>0.18843280000000001</v>
      </c>
      <c r="Z4022">
        <v>3.8631819999999997E-2</v>
      </c>
      <c r="AA4022">
        <v>0.98132600000000003</v>
      </c>
      <c r="AB4022">
        <v>25</v>
      </c>
      <c r="AC4022">
        <v>-5.1203999999999796</v>
      </c>
      <c r="AD4022">
        <v>-1.1113736601599999</v>
      </c>
      <c r="AE4022">
        <v>-28.011199999999999</v>
      </c>
      <c r="AF4022">
        <v>5.4083622325798002</v>
      </c>
      <c r="AG4022">
        <v>-1.1113736601599999</v>
      </c>
      <c r="AH4022">
        <v>27.912914032153701</v>
      </c>
      <c r="AI4022">
        <v>92.238481956775999</v>
      </c>
      <c r="AJ4022">
        <v>79.034338118077102</v>
      </c>
      <c r="AK4022">
        <v>28.453757277689999</v>
      </c>
      <c r="AL4022">
        <v>88.925075019056806</v>
      </c>
      <c r="AM4022">
        <v>85.060389416165805</v>
      </c>
      <c r="AN4022">
        <v>1.0000000221366001</v>
      </c>
    </row>
    <row r="4023" spans="1:40" x14ac:dyDescent="0.25">
      <c r="A4023" t="str">
        <f>"20190312154916510"</f>
        <v>20190312154916510</v>
      </c>
      <c r="B4023" t="str">
        <f>"1552376956499350"</f>
        <v>1552376956499350</v>
      </c>
      <c r="C4023" t="s">
        <v>40</v>
      </c>
      <c r="D4023">
        <v>4.486154</v>
      </c>
      <c r="E4023">
        <v>0.50637500000000002</v>
      </c>
      <c r="F4023" t="s">
        <v>63</v>
      </c>
      <c r="G4023">
        <v>-195.46369999999999</v>
      </c>
      <c r="H4023" s="1">
        <v>-1.340334E-5</v>
      </c>
      <c r="I4023">
        <v>154.80860000000001</v>
      </c>
      <c r="J4023">
        <v>-193.1781</v>
      </c>
      <c r="K4023">
        <v>1.111359</v>
      </c>
      <c r="L4023">
        <v>178.85980000000001</v>
      </c>
      <c r="M4023">
        <v>1.1676829999999999E-2</v>
      </c>
      <c r="N4023">
        <v>0</v>
      </c>
      <c r="O4023">
        <v>-0.99983469999999997</v>
      </c>
      <c r="P4023">
        <v>-7.4389869999999997E-2</v>
      </c>
      <c r="Q4023">
        <v>4.2999309999999999E-3</v>
      </c>
      <c r="R4023">
        <v>-0.9972202</v>
      </c>
      <c r="S4023">
        <v>-0.28195189999999998</v>
      </c>
      <c r="T4023">
        <v>-0.137258299999999</v>
      </c>
      <c r="U4023">
        <v>-2.9878999999999998</v>
      </c>
      <c r="V4023">
        <v>8.5971060000000002E-2</v>
      </c>
      <c r="W4023">
        <v>1.8459529999999998E-2</v>
      </c>
      <c r="X4023">
        <v>0.99612659999999997</v>
      </c>
      <c r="Y4023">
        <v>0.1054691</v>
      </c>
      <c r="Z4023">
        <v>4.565578E-2</v>
      </c>
      <c r="AA4023">
        <v>0.99337390000000003</v>
      </c>
      <c r="AB4023">
        <v>25</v>
      </c>
      <c r="AC4023">
        <v>-2.2855999999999801</v>
      </c>
      <c r="AD4023">
        <v>-1.1113724033399901</v>
      </c>
      <c r="AE4023">
        <v>-24.051199999999898</v>
      </c>
      <c r="AF4023">
        <v>2.5608940248374199</v>
      </c>
      <c r="AG4023">
        <v>-1.1113724033399901</v>
      </c>
      <c r="AH4023">
        <v>23.972140757059599</v>
      </c>
      <c r="AI4023">
        <v>92.639392457995299</v>
      </c>
      <c r="AJ4023">
        <v>83.902336591810695</v>
      </c>
      <c r="AK4023">
        <v>24.1341430198305</v>
      </c>
      <c r="AL4023">
        <v>88.942286753114203</v>
      </c>
      <c r="AM4023">
        <v>85.0672904511908</v>
      </c>
      <c r="AN4023">
        <v>0.99999999031645204</v>
      </c>
    </row>
    <row r="4024" spans="1:40" x14ac:dyDescent="0.25">
      <c r="A4024" t="str">
        <f>"20190312154916529"</f>
        <v>20190312154916529</v>
      </c>
      <c r="B4024" t="str">
        <f>"1552376956519847"</f>
        <v>1552376956519847</v>
      </c>
      <c r="C4024" t="s">
        <v>40</v>
      </c>
      <c r="D4024">
        <v>4.4722019999999896</v>
      </c>
      <c r="E4024">
        <v>0.506193</v>
      </c>
      <c r="F4024" t="s">
        <v>63</v>
      </c>
      <c r="G4024">
        <v>-195.25749999999999</v>
      </c>
      <c r="H4024" s="1">
        <v>-1.3874189999999999E-5</v>
      </c>
      <c r="I4024">
        <v>155.94880000000001</v>
      </c>
      <c r="J4024">
        <v>-193.17349999999999</v>
      </c>
      <c r="K4024">
        <v>1.111354</v>
      </c>
      <c r="L4024">
        <v>178.63409999999999</v>
      </c>
      <c r="M4024">
        <v>1.3418009999999999E-2</v>
      </c>
      <c r="N4024">
        <v>0</v>
      </c>
      <c r="O4024">
        <v>-0.99981299999999995</v>
      </c>
      <c r="P4024">
        <v>-7.2293389999999999E-2</v>
      </c>
      <c r="Q4024">
        <v>4.107823E-3</v>
      </c>
      <c r="R4024">
        <v>-0.99737509999999996</v>
      </c>
      <c r="S4024">
        <v>-0.27125549999999998</v>
      </c>
      <c r="T4024">
        <v>-0.14497950000000001</v>
      </c>
      <c r="U4024">
        <v>-2.9887540000000001</v>
      </c>
      <c r="V4024">
        <v>8.5612510000000003E-2</v>
      </c>
      <c r="W4024">
        <v>1.8263580000000001E-2</v>
      </c>
      <c r="X4024">
        <v>0.99616110000000002</v>
      </c>
      <c r="Y4024">
        <v>0.1036383</v>
      </c>
      <c r="Z4024">
        <v>4.821549E-2</v>
      </c>
      <c r="AA4024">
        <v>0.99344569999999999</v>
      </c>
      <c r="AB4024">
        <v>25</v>
      </c>
      <c r="AC4024">
        <v>-2.0840000000000001</v>
      </c>
      <c r="AD4024">
        <v>-1.1113678741899999</v>
      </c>
      <c r="AE4024">
        <v>-22.685299999999899</v>
      </c>
      <c r="AF4024">
        <v>2.3825629524494198</v>
      </c>
      <c r="AG4024">
        <v>-1.1113678741899999</v>
      </c>
      <c r="AH4024">
        <v>22.6014999446746</v>
      </c>
      <c r="AI4024">
        <v>92.799610617056103</v>
      </c>
      <c r="AJ4024">
        <v>83.982324833291401</v>
      </c>
      <c r="AK4024">
        <v>22.753890755721201</v>
      </c>
      <c r="AL4024">
        <v>88.953515763068296</v>
      </c>
      <c r="AM4024">
        <v>85.087931179319796</v>
      </c>
      <c r="AN4024">
        <v>0.999999998688063</v>
      </c>
    </row>
    <row r="4025" spans="1:40" x14ac:dyDescent="0.25">
      <c r="A4025" t="str">
        <f>"20190312154916543"</f>
        <v>20190312154916543</v>
      </c>
      <c r="B4025" t="str">
        <f>"1552376956529607"</f>
        <v>1552376956529607</v>
      </c>
      <c r="C4025" t="s">
        <v>40</v>
      </c>
      <c r="D4025">
        <v>4.4369990000000001</v>
      </c>
      <c r="E4025">
        <v>0.50627319999999998</v>
      </c>
      <c r="F4025" t="s">
        <v>63</v>
      </c>
      <c r="G4025">
        <v>-195.0848</v>
      </c>
      <c r="H4025" s="1">
        <v>-1.427675E-5</v>
      </c>
      <c r="I4025">
        <v>156.9229</v>
      </c>
      <c r="J4025">
        <v>-193.17019999999999</v>
      </c>
      <c r="K4025">
        <v>1.111351</v>
      </c>
      <c r="L4025">
        <v>178.48330000000001</v>
      </c>
      <c r="M4025">
        <v>1.458168E-2</v>
      </c>
      <c r="N4025">
        <v>0</v>
      </c>
      <c r="O4025">
        <v>-0.99979669999999998</v>
      </c>
      <c r="P4025">
        <v>-7.1089070000000004E-2</v>
      </c>
      <c r="Q4025">
        <v>4.2504739999999997E-3</v>
      </c>
      <c r="R4025">
        <v>-0.99746120000000005</v>
      </c>
      <c r="S4025">
        <v>-0.26316830000000002</v>
      </c>
      <c r="T4025">
        <v>-0.15302550000000001</v>
      </c>
      <c r="U4025">
        <v>-2.9894409999999998</v>
      </c>
      <c r="V4025">
        <v>8.5568740000000004E-2</v>
      </c>
      <c r="W4025">
        <v>1.840375E-2</v>
      </c>
      <c r="X4025">
        <v>0.99616229999999995</v>
      </c>
      <c r="Y4025">
        <v>0.1020974</v>
      </c>
      <c r="Z4025">
        <v>5.0881860000000001E-2</v>
      </c>
      <c r="AA4025">
        <v>0.99347229999999997</v>
      </c>
      <c r="AB4025">
        <v>25</v>
      </c>
      <c r="AC4025">
        <v>-1.9146000000000001</v>
      </c>
      <c r="AD4025">
        <v>-1.11136527675</v>
      </c>
      <c r="AE4025">
        <v>-21.560400000000001</v>
      </c>
      <c r="AF4025">
        <v>2.2229534566109299</v>
      </c>
      <c r="AG4025">
        <v>-1.11136527675</v>
      </c>
      <c r="AH4025">
        <v>21.473576504017</v>
      </c>
      <c r="AI4025">
        <v>92.946979987261997</v>
      </c>
      <c r="AJ4025">
        <v>84.089769662092095</v>
      </c>
      <c r="AK4025">
        <v>21.616917974644199</v>
      </c>
      <c r="AL4025">
        <v>88.945483283524396</v>
      </c>
      <c r="AM4025">
        <v>85.090436116478998</v>
      </c>
      <c r="AN4025">
        <v>1.0000000176102599</v>
      </c>
    </row>
    <row r="4026" spans="1:40" x14ac:dyDescent="0.25">
      <c r="A4026" t="str">
        <f>"20190312154916555"</f>
        <v>20190312154916555</v>
      </c>
      <c r="B4026" t="str">
        <f>"1552376956550103"</f>
        <v>1552376956550103</v>
      </c>
      <c r="C4026" t="s">
        <v>40</v>
      </c>
      <c r="D4026">
        <v>4.4447239999999999</v>
      </c>
      <c r="E4026">
        <v>0.50656120000000004</v>
      </c>
      <c r="F4026" t="s">
        <v>63</v>
      </c>
      <c r="G4026">
        <v>-195.03460000000001</v>
      </c>
      <c r="H4026" s="1">
        <v>-1.433503E-5</v>
      </c>
      <c r="I4026">
        <v>157.06909999999999</v>
      </c>
      <c r="J4026">
        <v>-193.167</v>
      </c>
      <c r="K4026">
        <v>1.111354</v>
      </c>
      <c r="L4026">
        <v>178.3442</v>
      </c>
      <c r="M4026">
        <v>1.5655200000000001E-2</v>
      </c>
      <c r="N4026">
        <v>0</v>
      </c>
      <c r="O4026">
        <v>-0.99978049999999996</v>
      </c>
      <c r="P4026">
        <v>-6.9899849999999999E-2</v>
      </c>
      <c r="Q4026">
        <v>4.6016999999999898E-3</v>
      </c>
      <c r="R4026">
        <v>-0.99754359999999997</v>
      </c>
      <c r="S4026">
        <v>-0.26029970000000002</v>
      </c>
      <c r="T4026">
        <v>-0.1551642</v>
      </c>
      <c r="U4026">
        <v>-2.9897610000000001</v>
      </c>
      <c r="V4026">
        <v>8.5449670000000005E-2</v>
      </c>
      <c r="W4026">
        <v>1.8752729999999999E-2</v>
      </c>
      <c r="X4026">
        <v>0.996166</v>
      </c>
      <c r="Y4026">
        <v>0.1022071</v>
      </c>
      <c r="Z4026">
        <v>5.158621E-2</v>
      </c>
      <c r="AA4026">
        <v>0.99342470000000005</v>
      </c>
      <c r="AB4026">
        <v>25</v>
      </c>
      <c r="AC4026">
        <v>-1.8676000000000099</v>
      </c>
      <c r="AD4026">
        <v>-1.1113683350299901</v>
      </c>
      <c r="AE4026">
        <v>-21.275099999999998</v>
      </c>
      <c r="AF4026">
        <v>2.19452667019817</v>
      </c>
      <c r="AG4026">
        <v>-1.1113683350299901</v>
      </c>
      <c r="AH4026">
        <v>21.185881649246799</v>
      </c>
      <c r="AI4026">
        <v>92.986915343004796</v>
      </c>
      <c r="AJ4026">
        <v>84.086142688385294</v>
      </c>
      <c r="AK4026">
        <v>21.3282129616668</v>
      </c>
      <c r="AL4026">
        <v>88.9254847378254</v>
      </c>
      <c r="AM4026">
        <v>85.097252636245003</v>
      </c>
      <c r="AN4026">
        <v>1.00000000527078</v>
      </c>
    </row>
    <row r="4027" spans="1:40" x14ac:dyDescent="0.25">
      <c r="A4027" t="str">
        <f>"20190312154916574"</f>
        <v>20190312154916574</v>
      </c>
      <c r="B4027" t="str">
        <f>"1552376956569622"</f>
        <v>1552376956569622</v>
      </c>
      <c r="C4027" t="s">
        <v>40</v>
      </c>
      <c r="D4027">
        <v>4.4902449999999998</v>
      </c>
      <c r="E4027">
        <v>0.50656570000000001</v>
      </c>
      <c r="F4027" t="s">
        <v>63</v>
      </c>
      <c r="G4027">
        <v>-194.97219999999999</v>
      </c>
      <c r="H4027" s="1">
        <v>-1.444157E-5</v>
      </c>
      <c r="I4027">
        <v>157.4863</v>
      </c>
      <c r="J4027">
        <v>-193.1617</v>
      </c>
      <c r="K4027">
        <v>1.111353</v>
      </c>
      <c r="L4027">
        <v>178.12799999999999</v>
      </c>
      <c r="M4027">
        <v>1.73239E-2</v>
      </c>
      <c r="N4027">
        <v>0</v>
      </c>
      <c r="O4027">
        <v>-0.999753</v>
      </c>
      <c r="P4027">
        <v>-6.8007970000000001E-2</v>
      </c>
      <c r="Q4027">
        <v>5.0583549999999996E-3</v>
      </c>
      <c r="R4027">
        <v>-0.99767220000000001</v>
      </c>
      <c r="S4027">
        <v>-0.2587738</v>
      </c>
      <c r="T4027">
        <v>-0.1593155</v>
      </c>
      <c r="U4027">
        <v>-2.9899900000000001</v>
      </c>
      <c r="V4027">
        <v>8.5221829999999998E-2</v>
      </c>
      <c r="W4027">
        <v>1.920564E-2</v>
      </c>
      <c r="X4027">
        <v>0.99617690000000003</v>
      </c>
      <c r="Y4027">
        <v>0.1033514</v>
      </c>
      <c r="Z4027">
        <v>5.2954300000000003E-2</v>
      </c>
      <c r="AA4027">
        <v>0.99323430000000001</v>
      </c>
      <c r="AB4027">
        <v>25</v>
      </c>
      <c r="AC4027">
        <v>-1.81049999999999</v>
      </c>
      <c r="AD4027">
        <v>-1.1113674415699999</v>
      </c>
      <c r="AE4027">
        <v>-20.641699999999901</v>
      </c>
      <c r="AF4027">
        <v>2.1616392426119302</v>
      </c>
      <c r="AG4027">
        <v>-1.1113674415699999</v>
      </c>
      <c r="AH4027">
        <v>20.548122746466799</v>
      </c>
      <c r="AI4027">
        <v>93.078930626912793</v>
      </c>
      <c r="AJ4027">
        <v>83.994637266102501</v>
      </c>
      <c r="AK4027">
        <v>20.6913791277732</v>
      </c>
      <c r="AL4027">
        <v>88.899530243654795</v>
      </c>
      <c r="AM4027">
        <v>85.110314927605899</v>
      </c>
      <c r="AN4027">
        <v>1.00000001650498</v>
      </c>
    </row>
    <row r="4028" spans="1:40" x14ac:dyDescent="0.25">
      <c r="A4028" t="str">
        <f>"20190312154916587"</f>
        <v>20190312154916587</v>
      </c>
      <c r="B4028" t="str">
        <f>"1552376956579383"</f>
        <v>1552376956579383</v>
      </c>
      <c r="C4028" t="s">
        <v>40</v>
      </c>
      <c r="D4028">
        <v>4.5181170000000002</v>
      </c>
      <c r="E4028">
        <v>0.50666529999999999</v>
      </c>
      <c r="F4028" t="s">
        <v>63</v>
      </c>
      <c r="G4028">
        <v>-194.88640000000001</v>
      </c>
      <c r="H4028" s="1">
        <v>-1.45049399999999E-5</v>
      </c>
      <c r="I4028">
        <v>157.73820000000001</v>
      </c>
      <c r="J4028">
        <v>-193.15809999999999</v>
      </c>
      <c r="K4028">
        <v>1.1113500000000001</v>
      </c>
      <c r="L4028">
        <v>177.9862</v>
      </c>
      <c r="M4028">
        <v>1.8418509999999999E-2</v>
      </c>
      <c r="N4028">
        <v>0</v>
      </c>
      <c r="O4028">
        <v>-0.9997336</v>
      </c>
      <c r="P4028">
        <v>-6.6679189999999999E-2</v>
      </c>
      <c r="Q4028">
        <v>5.286341E-3</v>
      </c>
      <c r="R4028">
        <v>-0.9977608</v>
      </c>
      <c r="S4028">
        <v>-0.25296020000000002</v>
      </c>
      <c r="T4028">
        <v>-0.16300429999999999</v>
      </c>
      <c r="U4028">
        <v>-2.99057</v>
      </c>
      <c r="V4028">
        <v>8.4985130000000006E-2</v>
      </c>
      <c r="W4028">
        <v>1.9431150000000001E-2</v>
      </c>
      <c r="X4028">
        <v>0.99619279999999999</v>
      </c>
      <c r="Y4028">
        <v>0.1025016</v>
      </c>
      <c r="Z4028">
        <v>5.4171660000000003E-2</v>
      </c>
      <c r="AA4028">
        <v>0.99325669999999999</v>
      </c>
      <c r="AB4028">
        <v>25</v>
      </c>
      <c r="AC4028">
        <v>-1.7283000000000099</v>
      </c>
      <c r="AD4028">
        <v>-1.1113645049400001</v>
      </c>
      <c r="AE4028">
        <v>-20.247999999999902</v>
      </c>
      <c r="AF4028">
        <v>2.0947158360698799</v>
      </c>
      <c r="AG4028">
        <v>-1.1113645049400001</v>
      </c>
      <c r="AH4028">
        <v>20.152455597602199</v>
      </c>
      <c r="AI4028">
        <v>93.139660256029401</v>
      </c>
      <c r="AJ4028">
        <v>84.065789114066902</v>
      </c>
      <c r="AK4028">
        <v>20.291486690483101</v>
      </c>
      <c r="AL4028">
        <v>88.886607118631105</v>
      </c>
      <c r="AM4028">
        <v>85.123907699383196</v>
      </c>
      <c r="AN4028">
        <v>1.0000000683416299</v>
      </c>
    </row>
    <row r="4029" spans="1:40" x14ac:dyDescent="0.25">
      <c r="A4029" t="str">
        <f>"20190312154916599"</f>
        <v>20190312154916599</v>
      </c>
      <c r="B4029" t="str">
        <f>"1552376956590119"</f>
        <v>1552376956590119</v>
      </c>
      <c r="C4029" t="s">
        <v>40</v>
      </c>
      <c r="D4029">
        <v>4.4876820000000004</v>
      </c>
      <c r="E4029">
        <v>0.50637509999999997</v>
      </c>
      <c r="F4029" t="s">
        <v>63</v>
      </c>
      <c r="G4029">
        <v>-194.8108</v>
      </c>
      <c r="H4029" s="1">
        <v>-1.4618090000000001E-5</v>
      </c>
      <c r="I4029">
        <v>158.18790000000001</v>
      </c>
      <c r="J4029">
        <v>-193.15430000000001</v>
      </c>
      <c r="K4029">
        <v>1.1113489999999999</v>
      </c>
      <c r="L4029">
        <v>177.84450000000001</v>
      </c>
      <c r="M4029">
        <v>1.9512749999999999E-2</v>
      </c>
      <c r="N4029">
        <v>0</v>
      </c>
      <c r="O4029">
        <v>-0.99971290000000002</v>
      </c>
      <c r="P4029">
        <v>-6.5714930000000005E-2</v>
      </c>
      <c r="Q4029">
        <v>5.3913889999999999E-3</v>
      </c>
      <c r="R4029">
        <v>-0.99782409999999999</v>
      </c>
      <c r="S4029">
        <v>-0.2496796</v>
      </c>
      <c r="T4029">
        <v>-0.1678944</v>
      </c>
      <c r="U4029">
        <v>-2.990936</v>
      </c>
      <c r="V4029">
        <v>8.5112560000000004E-2</v>
      </c>
      <c r="W4029">
        <v>1.9534599999999999E-2</v>
      </c>
      <c r="X4029">
        <v>0.99617979999999995</v>
      </c>
      <c r="Y4029">
        <v>0.102490899999999</v>
      </c>
      <c r="Z4029">
        <v>5.5785830000000002E-2</v>
      </c>
      <c r="AA4029">
        <v>0.99316850000000001</v>
      </c>
      <c r="AB4029">
        <v>25</v>
      </c>
      <c r="AC4029">
        <v>-1.6564999999999901</v>
      </c>
      <c r="AD4029">
        <v>-1.1113636180899999</v>
      </c>
      <c r="AE4029">
        <v>-19.656600000000001</v>
      </c>
      <c r="AF4029">
        <v>2.0333219750270599</v>
      </c>
      <c r="AG4029">
        <v>-1.1113636180899999</v>
      </c>
      <c r="AH4029">
        <v>19.558450120256701</v>
      </c>
      <c r="AI4029">
        <v>93.234806175200305</v>
      </c>
      <c r="AJ4029">
        <v>84.064777313692503</v>
      </c>
      <c r="AK4029">
        <v>19.695240502525301</v>
      </c>
      <c r="AL4029">
        <v>88.880678636633803</v>
      </c>
      <c r="AM4029">
        <v>85.116568208881404</v>
      </c>
      <c r="AN4029">
        <v>0.99999997119747597</v>
      </c>
    </row>
    <row r="4030" spans="1:40" x14ac:dyDescent="0.25">
      <c r="A4030" t="str">
        <f>"20190312154916613"</f>
        <v>20190312154916613</v>
      </c>
      <c r="B4030" t="str">
        <f>"1552376956599879"</f>
        <v>1552376956599879</v>
      </c>
      <c r="C4030" t="s">
        <v>40</v>
      </c>
      <c r="D4030">
        <v>4.5302350000000002</v>
      </c>
      <c r="E4030">
        <v>0.50637509999999997</v>
      </c>
      <c r="F4030" t="s">
        <v>63</v>
      </c>
      <c r="G4030">
        <v>-194.78290000000001</v>
      </c>
      <c r="H4030" s="1">
        <v>-1.454705E-5</v>
      </c>
      <c r="I4030">
        <v>157.90549999999999</v>
      </c>
      <c r="J4030">
        <v>-193.15010000000001</v>
      </c>
      <c r="K4030">
        <v>1.1113489999999999</v>
      </c>
      <c r="L4030">
        <v>177.6969</v>
      </c>
      <c r="M4030">
        <v>2.065212E-2</v>
      </c>
      <c r="N4030">
        <v>0</v>
      </c>
      <c r="O4030">
        <v>-0.99968990000000002</v>
      </c>
      <c r="P4030">
        <v>-6.4634639999999993E-2</v>
      </c>
      <c r="Q4030">
        <v>5.3449689999999998E-3</v>
      </c>
      <c r="R4030">
        <v>-0.99789499999999998</v>
      </c>
      <c r="S4030">
        <v>-0.244339</v>
      </c>
      <c r="T4030">
        <v>-0.166733299999999</v>
      </c>
      <c r="U4030">
        <v>-2.9913479999999999</v>
      </c>
      <c r="V4030">
        <v>8.5169720000000004E-2</v>
      </c>
      <c r="W4030">
        <v>1.9486449999999999E-2</v>
      </c>
      <c r="X4030">
        <v>0.9961759</v>
      </c>
      <c r="Y4030">
        <v>0.10185379999999999</v>
      </c>
      <c r="Z4030">
        <v>5.539761E-2</v>
      </c>
      <c r="AA4030">
        <v>0.99325569999999996</v>
      </c>
      <c r="AB4030">
        <v>25</v>
      </c>
      <c r="AC4030">
        <v>-1.6328</v>
      </c>
      <c r="AD4030">
        <v>-1.1113635470499901</v>
      </c>
      <c r="AE4030">
        <v>-19.791399999999999</v>
      </c>
      <c r="AF4030">
        <v>2.0348525956840202</v>
      </c>
      <c r="AG4030">
        <v>-1.1113635470499901</v>
      </c>
      <c r="AH4030">
        <v>19.691780610700398</v>
      </c>
      <c r="AI4030">
        <v>93.2131554465862</v>
      </c>
      <c r="AJ4030">
        <v>84.100273426844197</v>
      </c>
      <c r="AK4030">
        <v>19.8278081905143</v>
      </c>
      <c r="AL4030">
        <v>88.883438000788999</v>
      </c>
      <c r="AM4030">
        <v>85.113285424997898</v>
      </c>
      <c r="AN4030">
        <v>1.0000000133396401</v>
      </c>
    </row>
    <row r="4031" spans="1:40" x14ac:dyDescent="0.25">
      <c r="A4031" t="str">
        <f>"20190312154916630"</f>
        <v>20190312154916630</v>
      </c>
      <c r="B4031" t="str">
        <f>"1552376956619399"</f>
        <v>1552376956619399</v>
      </c>
      <c r="C4031" t="s">
        <v>40</v>
      </c>
      <c r="D4031">
        <v>4.4504479999999997</v>
      </c>
      <c r="E4031">
        <v>0.46423300000000001</v>
      </c>
      <c r="F4031" t="s">
        <v>63</v>
      </c>
      <c r="G4031">
        <v>-194.755</v>
      </c>
      <c r="H4031" s="1">
        <v>-1.4514469999999999E-5</v>
      </c>
      <c r="I4031">
        <v>157.77610000000001</v>
      </c>
      <c r="J4031">
        <v>-193.14449999999999</v>
      </c>
      <c r="K4031">
        <v>1.1113470000000001</v>
      </c>
      <c r="L4031">
        <v>177.50380000000001</v>
      </c>
      <c r="M4031">
        <v>2.2142849999999999E-2</v>
      </c>
      <c r="N4031">
        <v>0</v>
      </c>
      <c r="O4031">
        <v>-0.99965789999999999</v>
      </c>
      <c r="P4031">
        <v>-6.3455719999999993E-2</v>
      </c>
      <c r="Q4031">
        <v>5.2559620000000003E-3</v>
      </c>
      <c r="R4031">
        <v>-0.99797080000000005</v>
      </c>
      <c r="S4031">
        <v>-0.24101259999999999</v>
      </c>
      <c r="T4031">
        <v>-0.16689899999999999</v>
      </c>
      <c r="U4031">
        <v>-2.9916079999999998</v>
      </c>
      <c r="V4031">
        <v>8.5478860000000004E-2</v>
      </c>
      <c r="W4031">
        <v>1.9395389999999998E-2</v>
      </c>
      <c r="X4031">
        <v>0.99615120000000001</v>
      </c>
      <c r="Y4031">
        <v>0.1022329</v>
      </c>
      <c r="Z4031">
        <v>5.5446450000000001E-2</v>
      </c>
      <c r="AA4031">
        <v>0.99321409999999999</v>
      </c>
      <c r="AB4031">
        <v>25</v>
      </c>
      <c r="AC4031">
        <v>-1.6105</v>
      </c>
      <c r="AD4031">
        <v>-1.11136151446999</v>
      </c>
      <c r="AE4031">
        <v>-19.727699999999999</v>
      </c>
      <c r="AF4031">
        <v>2.0405418141658598</v>
      </c>
      <c r="AG4031">
        <v>-1.11136151446999</v>
      </c>
      <c r="AH4031">
        <v>19.625326253937502</v>
      </c>
      <c r="AI4031">
        <v>93.223795799746199</v>
      </c>
      <c r="AJ4031">
        <v>84.0640052551867</v>
      </c>
      <c r="AK4031">
        <v>19.7623977767045</v>
      </c>
      <c r="AL4031">
        <v>88.888656342432895</v>
      </c>
      <c r="AM4031">
        <v>85.0955134923868</v>
      </c>
      <c r="AN4031">
        <v>1.0000000149607899</v>
      </c>
    </row>
    <row r="4032" spans="1:40" x14ac:dyDescent="0.25">
      <c r="A4032" t="str">
        <f>"20190312154916643"</f>
        <v>20190312154916643</v>
      </c>
      <c r="B4032" t="str">
        <f>"1552376956639895"</f>
        <v>1552376956639895</v>
      </c>
      <c r="C4032" t="s">
        <v>40</v>
      </c>
      <c r="D4032">
        <v>4.5352360000000003</v>
      </c>
      <c r="E4032">
        <v>0.45535130000000001</v>
      </c>
      <c r="F4032" t="s">
        <v>63</v>
      </c>
      <c r="G4032">
        <v>-192.0932</v>
      </c>
      <c r="H4032" s="1">
        <v>-9.798527E-6</v>
      </c>
      <c r="I4032">
        <v>144.80889999999999</v>
      </c>
      <c r="J4032">
        <v>-193.13990000000001</v>
      </c>
      <c r="K4032">
        <v>1.1113409999999999</v>
      </c>
      <c r="L4032">
        <v>177.3527</v>
      </c>
      <c r="M4032">
        <v>2.3309610000000001E-2</v>
      </c>
      <c r="N4032">
        <v>0</v>
      </c>
      <c r="O4032">
        <v>-0.99963159999999895</v>
      </c>
      <c r="P4032">
        <v>-6.2527899999999997E-2</v>
      </c>
      <c r="Q4032">
        <v>5.1680169999999996E-3</v>
      </c>
      <c r="R4032">
        <v>-0.99803019999999998</v>
      </c>
      <c r="S4032">
        <v>9.6878049999999993E-2</v>
      </c>
      <c r="T4032">
        <v>-0.1024109</v>
      </c>
      <c r="U4032">
        <v>-3.0128170000000001</v>
      </c>
      <c r="V4032">
        <v>8.5715819999999998E-2</v>
      </c>
      <c r="W4032">
        <v>1.9305760000000002E-2</v>
      </c>
      <c r="X4032">
        <v>0.99613260000000003</v>
      </c>
      <c r="Y4032">
        <v>-8.8116050000000001E-3</v>
      </c>
      <c r="Z4032">
        <v>3.3948850000000003E-2</v>
      </c>
      <c r="AA4032">
        <v>0.99938470000000001</v>
      </c>
      <c r="AB4032">
        <v>25</v>
      </c>
      <c r="AC4032">
        <v>1.04670000000001</v>
      </c>
      <c r="AD4032">
        <v>-1.1113507985269999</v>
      </c>
      <c r="AE4032">
        <v>-32.543799999999997</v>
      </c>
      <c r="AF4032">
        <v>-0.28742408482827703</v>
      </c>
      <c r="AG4032">
        <v>-1.1113507985269999</v>
      </c>
      <c r="AH4032">
        <v>32.521469761085797</v>
      </c>
      <c r="AI4032">
        <v>91.957121183851001</v>
      </c>
      <c r="AJ4032">
        <v>90.506365744109701</v>
      </c>
      <c r="AK4032">
        <v>32.541722582296501</v>
      </c>
      <c r="AL4032">
        <v>88.893792747507106</v>
      </c>
      <c r="AM4032">
        <v>85.081892744256194</v>
      </c>
      <c r="AN4032">
        <v>1.0000000354751</v>
      </c>
    </row>
    <row r="4033" spans="1:40" x14ac:dyDescent="0.25">
      <c r="A4033" t="str">
        <f>"20190312154916657"</f>
        <v>20190312154916657</v>
      </c>
      <c r="B4033" t="str">
        <f>"1552376956649655"</f>
        <v>1552376956649655</v>
      </c>
      <c r="C4033" t="s">
        <v>40</v>
      </c>
      <c r="D4033">
        <v>4.4841670000000002</v>
      </c>
      <c r="E4033">
        <v>0.45340829999999999</v>
      </c>
      <c r="F4033" t="s">
        <v>63</v>
      </c>
      <c r="G4033">
        <v>-191.0438</v>
      </c>
      <c r="H4033" s="1">
        <v>-8.3789440000000007E-6</v>
      </c>
      <c r="I4033">
        <v>140.19649999999999</v>
      </c>
      <c r="J4033">
        <v>-193.13499999999999</v>
      </c>
      <c r="K4033">
        <v>1.111343</v>
      </c>
      <c r="L4033">
        <v>177.20009999999999</v>
      </c>
      <c r="M4033">
        <v>2.448796E-2</v>
      </c>
      <c r="N4033">
        <v>0</v>
      </c>
      <c r="O4033">
        <v>-0.99960329999999997</v>
      </c>
      <c r="P4033">
        <v>-6.151885E-2</v>
      </c>
      <c r="Q4033">
        <v>4.707101E-3</v>
      </c>
      <c r="R4033">
        <v>-0.99809499999999995</v>
      </c>
      <c r="S4033">
        <v>0.1701965</v>
      </c>
      <c r="T4033">
        <v>-9.0240360000000006E-2</v>
      </c>
      <c r="U4033">
        <v>-3.0170439999999998</v>
      </c>
      <c r="V4033">
        <v>8.5884660000000002E-2</v>
      </c>
      <c r="W4033">
        <v>1.884284E-2</v>
      </c>
      <c r="X4033">
        <v>0.99612690000000004</v>
      </c>
      <c r="Y4033">
        <v>-3.1828679999999998E-2</v>
      </c>
      <c r="Z4033">
        <v>2.9852099999999999E-2</v>
      </c>
      <c r="AA4033">
        <v>0.99904749999999998</v>
      </c>
      <c r="AB4033">
        <v>25</v>
      </c>
      <c r="AC4033">
        <v>2.0911999999999802</v>
      </c>
      <c r="AD4033">
        <v>-1.1113513789439999</v>
      </c>
      <c r="AE4033">
        <v>-37.003599999999999</v>
      </c>
      <c r="AF4033">
        <v>-1.1832784442372899</v>
      </c>
      <c r="AG4033">
        <v>-1.1113513789439999</v>
      </c>
      <c r="AH4033">
        <v>37.010437802975702</v>
      </c>
      <c r="AI4033">
        <v>91.719086007754498</v>
      </c>
      <c r="AJ4033">
        <v>91.831207057454705</v>
      </c>
      <c r="AK4033">
        <v>37.0460221364185</v>
      </c>
      <c r="AL4033">
        <v>88.920320912353205</v>
      </c>
      <c r="AM4033">
        <v>85.072224826238099</v>
      </c>
      <c r="AN4033">
        <v>1.00000001417309</v>
      </c>
    </row>
    <row r="4034" spans="1:40" x14ac:dyDescent="0.25">
      <c r="A4034" t="str">
        <f>"20190312154916679"</f>
        <v>20190312154916679</v>
      </c>
      <c r="B4034" t="str">
        <f>"1552376956670151"</f>
        <v>1552376956670151</v>
      </c>
      <c r="C4034" t="s">
        <v>40</v>
      </c>
      <c r="D4034">
        <v>4.4784470000000001</v>
      </c>
      <c r="E4034">
        <v>0.45154879999999997</v>
      </c>
      <c r="F4034" t="s">
        <v>63</v>
      </c>
      <c r="G4034">
        <v>-190.7868</v>
      </c>
      <c r="H4034" s="1">
        <v>-8.1823350000000003E-6</v>
      </c>
      <c r="I4034">
        <v>139.65969999999999</v>
      </c>
      <c r="J4034">
        <v>-193.12690000000001</v>
      </c>
      <c r="K4034">
        <v>1.1113360000000001</v>
      </c>
      <c r="L4034">
        <v>176.95859999999999</v>
      </c>
      <c r="M4034">
        <v>2.6352270000000001E-2</v>
      </c>
      <c r="N4034">
        <v>0</v>
      </c>
      <c r="O4034">
        <v>-0.99955579999999999</v>
      </c>
      <c r="P4034">
        <v>-6.0262009999999998E-2</v>
      </c>
      <c r="Q4034">
        <v>4.8170000000000001E-3</v>
      </c>
      <c r="R4034">
        <v>-0.99817080000000002</v>
      </c>
      <c r="S4034">
        <v>0.1887665</v>
      </c>
      <c r="T4034">
        <v>-8.9339020000000005E-2</v>
      </c>
      <c r="U4034">
        <v>-3.017792</v>
      </c>
      <c r="V4034">
        <v>8.6488120000000002E-2</v>
      </c>
      <c r="W4034">
        <v>1.8950580000000002E-2</v>
      </c>
      <c r="X4034">
        <v>0.99607259999999997</v>
      </c>
      <c r="Y4034">
        <v>-3.6076839999999999E-2</v>
      </c>
      <c r="Z4034">
        <v>2.9537270000000001E-2</v>
      </c>
      <c r="AA4034">
        <v>0.99891240000000003</v>
      </c>
      <c r="AB4034">
        <v>25</v>
      </c>
      <c r="AC4034">
        <v>2.3401000000000001</v>
      </c>
      <c r="AD4034">
        <v>-1.1113441823350001</v>
      </c>
      <c r="AE4034">
        <v>-37.298900000000003</v>
      </c>
      <c r="AF4034">
        <v>-1.35508294921702</v>
      </c>
      <c r="AG4034">
        <v>-1.1113441823350001</v>
      </c>
      <c r="AH4034">
        <v>37.314619927491698</v>
      </c>
      <c r="AI4034">
        <v>91.704817190991804</v>
      </c>
      <c r="AJ4034">
        <v>92.079786170774597</v>
      </c>
      <c r="AK4034">
        <v>37.355751846590202</v>
      </c>
      <c r="AL4034">
        <v>88.914146716825996</v>
      </c>
      <c r="AM4034">
        <v>85.037503428109105</v>
      </c>
      <c r="AN4034">
        <v>0.99999997192711498</v>
      </c>
    </row>
    <row r="4035" spans="1:40" x14ac:dyDescent="0.25">
      <c r="A4035" t="str">
        <f>"20190312154916699"</f>
        <v>20190312154916699</v>
      </c>
      <c r="B4035" t="str">
        <f>"1552376956689671"</f>
        <v>1552376956689671</v>
      </c>
      <c r="C4035" t="s">
        <v>40</v>
      </c>
      <c r="D4035">
        <v>4.4925389999999998</v>
      </c>
      <c r="E4035">
        <v>0.45069179999999998</v>
      </c>
      <c r="F4035" t="s">
        <v>63</v>
      </c>
      <c r="G4035">
        <v>-190.4178</v>
      </c>
      <c r="H4035" s="1">
        <v>-7.4361099999999997E-6</v>
      </c>
      <c r="I4035">
        <v>137.48949999999999</v>
      </c>
      <c r="J4035">
        <v>-193.119</v>
      </c>
      <c r="K4035">
        <v>1.111332</v>
      </c>
      <c r="L4035">
        <v>176.73400000000001</v>
      </c>
      <c r="M4035">
        <v>2.8079440000000001E-2</v>
      </c>
      <c r="N4035">
        <v>0</v>
      </c>
      <c r="O4035">
        <v>-0.99950890000000003</v>
      </c>
      <c r="P4035">
        <v>-5.8849600000000002E-2</v>
      </c>
      <c r="Q4035">
        <v>4.9019670000000001E-3</v>
      </c>
      <c r="R4035">
        <v>-0.998255</v>
      </c>
      <c r="S4035">
        <v>0.2071838</v>
      </c>
      <c r="T4035">
        <v>-8.4990620000000003E-2</v>
      </c>
      <c r="U4035">
        <v>-3.0184169999999999</v>
      </c>
      <c r="V4035">
        <v>8.6800020000000006E-2</v>
      </c>
      <c r="W4035">
        <v>1.9032110000000001E-2</v>
      </c>
      <c r="X4035">
        <v>0.99604389999999998</v>
      </c>
      <c r="Y4035">
        <v>-4.04085E-2</v>
      </c>
      <c r="Z4035">
        <v>2.8085039999999999E-2</v>
      </c>
      <c r="AA4035">
        <v>0.99878849999999997</v>
      </c>
      <c r="AB4035">
        <v>25</v>
      </c>
      <c r="AC4035">
        <v>2.70120000000002</v>
      </c>
      <c r="AD4035">
        <v>-1.11133943611</v>
      </c>
      <c r="AE4035">
        <v>-39.244500000000002</v>
      </c>
      <c r="AF4035">
        <v>-1.59679000681289</v>
      </c>
      <c r="AG4035">
        <v>-1.11133943611</v>
      </c>
      <c r="AH4035">
        <v>39.273532141288698</v>
      </c>
      <c r="AI4035">
        <v>91.6195525375215</v>
      </c>
      <c r="AJ4035">
        <v>92.328259258761804</v>
      </c>
      <c r="AK4035">
        <v>39.321687915461403</v>
      </c>
      <c r="AL4035">
        <v>88.909474533644399</v>
      </c>
      <c r="AM4035">
        <v>85.019554363892595</v>
      </c>
      <c r="AN4035">
        <v>0.99999995770512995</v>
      </c>
    </row>
    <row r="4036" spans="1:40" x14ac:dyDescent="0.25">
      <c r="A4036" t="str">
        <f>"20190312154916719"</f>
        <v>20190312154916719</v>
      </c>
      <c r="B4036" t="str">
        <f>"1552376956710167"</f>
        <v>1552376956710167</v>
      </c>
      <c r="C4036" t="s">
        <v>40</v>
      </c>
      <c r="D4036">
        <v>4.5015340000000004</v>
      </c>
      <c r="E4036">
        <v>0.45035849999999999</v>
      </c>
      <c r="F4036" t="s">
        <v>63</v>
      </c>
      <c r="G4036">
        <v>-190.2646</v>
      </c>
      <c r="H4036" s="1">
        <v>-7.339876E-6</v>
      </c>
      <c r="I4036">
        <v>137.25739999999999</v>
      </c>
      <c r="J4036">
        <v>-193.11060000000001</v>
      </c>
      <c r="K4036">
        <v>1.1113150000000001</v>
      </c>
      <c r="L4036">
        <v>176.50399999999999</v>
      </c>
      <c r="M4036">
        <v>2.9835250000000001E-2</v>
      </c>
      <c r="N4036">
        <v>0</v>
      </c>
      <c r="O4036">
        <v>-0.99945830000000002</v>
      </c>
      <c r="P4036">
        <v>-5.6653420000000003E-2</v>
      </c>
      <c r="Q4036">
        <v>4.9368099999999998E-3</v>
      </c>
      <c r="R4036">
        <v>-0.99838170000000004</v>
      </c>
      <c r="S4036">
        <v>0.2182617</v>
      </c>
      <c r="T4036">
        <v>-8.4977150000000001E-2</v>
      </c>
      <c r="U4036">
        <v>-3.0185240000000002</v>
      </c>
      <c r="V4036">
        <v>8.6358920000000006E-2</v>
      </c>
      <c r="W4036">
        <v>1.9060710000000002E-2</v>
      </c>
      <c r="X4036">
        <v>0.99608169999999996</v>
      </c>
      <c r="Y4036">
        <v>-4.2298170000000003E-2</v>
      </c>
      <c r="Z4036">
        <v>2.807275E-2</v>
      </c>
      <c r="AA4036">
        <v>0.9987106</v>
      </c>
      <c r="AB4036">
        <v>25</v>
      </c>
      <c r="AC4036">
        <v>2.8460000000000001</v>
      </c>
      <c r="AD4036">
        <v>-1.1113223398759999</v>
      </c>
      <c r="AE4036">
        <v>-39.246600000000001</v>
      </c>
      <c r="AF4036">
        <v>-1.67235377844254</v>
      </c>
      <c r="AG4036">
        <v>-1.1113223398759999</v>
      </c>
      <c r="AH4036">
        <v>39.282711691788002</v>
      </c>
      <c r="AI4036">
        <v>91.619020711253896</v>
      </c>
      <c r="AJ4036">
        <v>92.437738762163605</v>
      </c>
      <c r="AK4036">
        <v>39.333996013163002</v>
      </c>
      <c r="AL4036">
        <v>88.907835583198107</v>
      </c>
      <c r="AM4036">
        <v>85.044924745182698</v>
      </c>
      <c r="AN4036">
        <v>0.99999996340207897</v>
      </c>
    </row>
    <row r="4037" spans="1:40" x14ac:dyDescent="0.25">
      <c r="A4037" t="str">
        <f>"20190312154916742"</f>
        <v>20190312154916742</v>
      </c>
      <c r="B4037" t="str">
        <f>"1552376956739446"</f>
        <v>1552376956739446</v>
      </c>
      <c r="C4037" t="s">
        <v>40</v>
      </c>
      <c r="D4037">
        <v>4.5484809999999998</v>
      </c>
      <c r="E4037">
        <v>0.4501483</v>
      </c>
      <c r="F4037" t="s">
        <v>63</v>
      </c>
      <c r="G4037">
        <v>-190.2672</v>
      </c>
      <c r="H4037" s="1">
        <v>-7.8377930000000006E-6</v>
      </c>
      <c r="I4037">
        <v>138.81290000000001</v>
      </c>
      <c r="J4037">
        <v>-193.10079999999999</v>
      </c>
      <c r="K4037">
        <v>1.1112930000000001</v>
      </c>
      <c r="L4037">
        <v>176.25040000000001</v>
      </c>
      <c r="M4037">
        <v>3.1741659999999998E-2</v>
      </c>
      <c r="N4037">
        <v>0</v>
      </c>
      <c r="O4037">
        <v>-0.99939940000000005</v>
      </c>
      <c r="P4037">
        <v>-5.4138650000000003E-2</v>
      </c>
      <c r="Q4037">
        <v>4.2636940000000002E-3</v>
      </c>
      <c r="R4037">
        <v>-0.99852470000000004</v>
      </c>
      <c r="S4037">
        <v>0.2276917</v>
      </c>
      <c r="T4037">
        <v>-8.8992600000000005E-2</v>
      </c>
      <c r="U4037">
        <v>-3.0182340000000001</v>
      </c>
      <c r="V4037">
        <v>8.5753250000000003E-2</v>
      </c>
      <c r="W4037">
        <v>1.8378479999999999E-2</v>
      </c>
      <c r="X4037">
        <v>0.99614689999999995</v>
      </c>
      <c r="Y4037">
        <v>-4.349973E-2</v>
      </c>
      <c r="Z4037">
        <v>2.9394239999999999E-2</v>
      </c>
      <c r="AA4037">
        <v>0.99862090000000003</v>
      </c>
      <c r="AB4037">
        <v>25</v>
      </c>
      <c r="AC4037">
        <v>2.8335999999999899</v>
      </c>
      <c r="AD4037">
        <v>-1.111300837793</v>
      </c>
      <c r="AE4037">
        <v>-37.4375</v>
      </c>
      <c r="AF4037">
        <v>-1.6422897629335</v>
      </c>
      <c r="AG4037">
        <v>-1.111300837793</v>
      </c>
      <c r="AH4037">
        <v>37.475750061714002</v>
      </c>
      <c r="AI4037">
        <v>91.696915891650093</v>
      </c>
      <c r="AJ4037">
        <v>92.509252147064601</v>
      </c>
      <c r="AK4037">
        <v>37.528175387374901</v>
      </c>
      <c r="AL4037">
        <v>88.9469313925416</v>
      </c>
      <c r="AM4037">
        <v>85.079825952594703</v>
      </c>
      <c r="AN4037">
        <v>1.0000000173961401</v>
      </c>
    </row>
    <row r="4038" spans="1:40" x14ac:dyDescent="0.25">
      <c r="A4038" t="str">
        <f>"20190312154916755"</f>
        <v>20190312154916755</v>
      </c>
      <c r="B4038" t="str">
        <f>"1552376956750183"</f>
        <v>1552376956750183</v>
      </c>
      <c r="C4038" t="s">
        <v>40</v>
      </c>
      <c r="D4038">
        <v>4.5372000000000003</v>
      </c>
      <c r="E4038">
        <v>0.45021109999999998</v>
      </c>
      <c r="F4038" t="s">
        <v>63</v>
      </c>
      <c r="G4038">
        <v>-190.33189999999999</v>
      </c>
      <c r="H4038" s="1">
        <v>-8.4771749999999905E-6</v>
      </c>
      <c r="I4038">
        <v>140.98310000000001</v>
      </c>
      <c r="J4038">
        <v>-193.095</v>
      </c>
      <c r="K4038">
        <v>1.1112679999999999</v>
      </c>
      <c r="L4038">
        <v>176.10679999999999</v>
      </c>
      <c r="M4038">
        <v>3.2796449999999998E-2</v>
      </c>
      <c r="N4038">
        <v>0</v>
      </c>
      <c r="O4038">
        <v>-0.99936539999999996</v>
      </c>
      <c r="P4038">
        <v>-5.2703020000000003E-2</v>
      </c>
      <c r="Q4038">
        <v>4.0268150000000004E-3</v>
      </c>
      <c r="R4038">
        <v>-0.99860230000000005</v>
      </c>
      <c r="S4038">
        <v>0.2369232</v>
      </c>
      <c r="T4038">
        <v>-9.5089670000000001E-2</v>
      </c>
      <c r="U4038">
        <v>-3.0176850000000002</v>
      </c>
      <c r="V4038">
        <v>8.5374050000000007E-2</v>
      </c>
      <c r="W4038">
        <v>1.8135330000000002E-2</v>
      </c>
      <c r="X4038">
        <v>0.99618390000000001</v>
      </c>
      <c r="Y4038">
        <v>-4.5490990000000002E-2</v>
      </c>
      <c r="Z4038">
        <v>3.1405210000000003E-2</v>
      </c>
      <c r="AA4038">
        <v>0.998471</v>
      </c>
      <c r="AB4038">
        <v>25</v>
      </c>
      <c r="AC4038">
        <v>2.7631000000000001</v>
      </c>
      <c r="AD4038">
        <v>-1.1112764771750001</v>
      </c>
      <c r="AE4038">
        <v>-35.1236999999999</v>
      </c>
      <c r="AF4038">
        <v>-1.6079696364876199</v>
      </c>
      <c r="AG4038">
        <v>-1.1112764771750001</v>
      </c>
      <c r="AH4038">
        <v>35.160450324635697</v>
      </c>
      <c r="AI4038">
        <v>91.808391269273798</v>
      </c>
      <c r="AJ4038">
        <v>92.618445586995406</v>
      </c>
      <c r="AK4038">
        <v>35.2147379486453</v>
      </c>
      <c r="AL4038">
        <v>88.9608651556496</v>
      </c>
      <c r="AM4038">
        <v>85.1016578672252</v>
      </c>
      <c r="AN4038">
        <v>0.99999999061341005</v>
      </c>
    </row>
    <row r="4039" spans="1:40" x14ac:dyDescent="0.25">
      <c r="A4039" t="str">
        <f>"20190312154916767"</f>
        <v>20190312154916767</v>
      </c>
      <c r="B4039" t="str">
        <f>"1552376956759943"</f>
        <v>1552376956759943</v>
      </c>
      <c r="C4039" t="s">
        <v>40</v>
      </c>
      <c r="D4039">
        <v>4.5116310000000004</v>
      </c>
      <c r="E4039">
        <v>0.45029150000000001</v>
      </c>
      <c r="F4039" t="s">
        <v>63</v>
      </c>
      <c r="G4039">
        <v>-190.3519</v>
      </c>
      <c r="H4039" s="1">
        <v>-8.6812829999999995E-6</v>
      </c>
      <c r="I4039">
        <v>141.74359999999999</v>
      </c>
      <c r="J4039">
        <v>-193.08930000000001</v>
      </c>
      <c r="K4039">
        <v>1.111245</v>
      </c>
      <c r="L4039">
        <v>175.96709999999999</v>
      </c>
      <c r="M4039">
        <v>3.380946E-2</v>
      </c>
      <c r="N4039">
        <v>0</v>
      </c>
      <c r="O4039">
        <v>-0.99933170000000004</v>
      </c>
      <c r="P4039">
        <v>-5.1178349999999997E-2</v>
      </c>
      <c r="Q4039">
        <v>3.692538E-3</v>
      </c>
      <c r="R4039">
        <v>-0.99868290000000004</v>
      </c>
      <c r="S4039">
        <v>0.24085999999999999</v>
      </c>
      <c r="T4039">
        <v>-9.7576979999999994E-2</v>
      </c>
      <c r="U4039">
        <v>-3.0173030000000001</v>
      </c>
      <c r="V4039">
        <v>8.4864850000000006E-2</v>
      </c>
      <c r="W4039">
        <v>1.77935E-2</v>
      </c>
      <c r="X4039">
        <v>0.99623360000000005</v>
      </c>
      <c r="Y4039">
        <v>-4.5780759999999997E-2</v>
      </c>
      <c r="Z4039">
        <v>3.2226390000000001E-2</v>
      </c>
      <c r="AA4039">
        <v>0.99843159999999997</v>
      </c>
      <c r="AB4039">
        <v>25</v>
      </c>
      <c r="AC4039">
        <v>2.7374000000000001</v>
      </c>
      <c r="AD4039">
        <v>-1.1112536812830001</v>
      </c>
      <c r="AE4039">
        <v>-34.223500000000001</v>
      </c>
      <c r="AF4039">
        <v>-1.57699284111839</v>
      </c>
      <c r="AG4039">
        <v>-1.1112536812830001</v>
      </c>
      <c r="AH4039">
        <v>34.260597058332202</v>
      </c>
      <c r="AI4039">
        <v>91.855792545341103</v>
      </c>
      <c r="AJ4039">
        <v>92.635427024402603</v>
      </c>
      <c r="AK4039">
        <v>34.314869983121099</v>
      </c>
      <c r="AL4039">
        <v>88.980453761834696</v>
      </c>
      <c r="AM4039">
        <v>85.130974117371693</v>
      </c>
      <c r="AN4039">
        <v>1.00000001858836</v>
      </c>
    </row>
    <row r="4040" spans="1:40" x14ac:dyDescent="0.25">
      <c r="A4040" t="str">
        <f>"20190312154916781"</f>
        <v>20190312154916781</v>
      </c>
      <c r="B4040" t="str">
        <f>"1552376956769703"</f>
        <v>1552376956769703</v>
      </c>
      <c r="C4040" t="s">
        <v>40</v>
      </c>
      <c r="D4040">
        <v>4.5138099999999897</v>
      </c>
      <c r="E4040">
        <v>0.45037139999999998</v>
      </c>
      <c r="F4040" t="s">
        <v>63</v>
      </c>
      <c r="G4040">
        <v>-190.38849999999999</v>
      </c>
      <c r="H4040" s="1">
        <v>-8.9420839999999999E-6</v>
      </c>
      <c r="I4040">
        <v>142.7079</v>
      </c>
      <c r="J4040">
        <v>-193.0829</v>
      </c>
      <c r="K4040">
        <v>1.1112139999999999</v>
      </c>
      <c r="L4040">
        <v>175.81489999999999</v>
      </c>
      <c r="M4040">
        <v>3.4882580000000003E-2</v>
      </c>
      <c r="N4040">
        <v>0</v>
      </c>
      <c r="O4040">
        <v>-0.99929480000000004</v>
      </c>
      <c r="P4040">
        <v>-4.9582969999999997E-2</v>
      </c>
      <c r="Q4040">
        <v>3.5113850000000001E-3</v>
      </c>
      <c r="R4040">
        <v>-0.99876390000000004</v>
      </c>
      <c r="S4040">
        <v>0.2449799</v>
      </c>
      <c r="T4040">
        <v>-0.1007996</v>
      </c>
      <c r="U4040">
        <v>-3.0168759999999999</v>
      </c>
      <c r="V4040">
        <v>8.4345119999999996E-2</v>
      </c>
      <c r="W4040">
        <v>1.7602309999999999E-2</v>
      </c>
      <c r="X4040">
        <v>0.99628110000000003</v>
      </c>
      <c r="Y4040">
        <v>-4.6071090000000002E-2</v>
      </c>
      <c r="Z4040">
        <v>3.3290350000000003E-2</v>
      </c>
      <c r="AA4040">
        <v>0.99838329999999997</v>
      </c>
      <c r="AB4040">
        <v>25</v>
      </c>
      <c r="AC4040">
        <v>2.6943999999999999</v>
      </c>
      <c r="AD4040">
        <v>-1.1112229420840001</v>
      </c>
      <c r="AE4040">
        <v>-33.106999999999999</v>
      </c>
      <c r="AF4040">
        <v>-1.5360716963999499</v>
      </c>
      <c r="AG4040">
        <v>-1.1112229420840001</v>
      </c>
      <c r="AH4040">
        <v>33.143751009451698</v>
      </c>
      <c r="AI4040">
        <v>91.918200311706201</v>
      </c>
      <c r="AJ4040">
        <v>92.653516584445697</v>
      </c>
      <c r="AK4040">
        <v>33.197930111078101</v>
      </c>
      <c r="AL4040">
        <v>88.991409824202805</v>
      </c>
      <c r="AM4040">
        <v>85.160880628332393</v>
      </c>
      <c r="AN4040">
        <v>0.99999998540117996</v>
      </c>
    </row>
    <row r="4041" spans="1:40" x14ac:dyDescent="0.25">
      <c r="A4041" t="str">
        <f>"20190312154916798"</f>
        <v>20190312154916798</v>
      </c>
      <c r="B4041" t="str">
        <f>"1552376956790206"</f>
        <v>1552376956790206</v>
      </c>
      <c r="C4041" t="s">
        <v>40</v>
      </c>
      <c r="D4041">
        <v>4.5490380000000004</v>
      </c>
      <c r="E4041">
        <v>0.45033889999999999</v>
      </c>
      <c r="F4041" t="s">
        <v>63</v>
      </c>
      <c r="G4041">
        <v>-190.40280000000001</v>
      </c>
      <c r="H4041" s="1">
        <v>-9.1230539999999999E-6</v>
      </c>
      <c r="I4041">
        <v>143.3845</v>
      </c>
      <c r="J4041">
        <v>-193.07490000000001</v>
      </c>
      <c r="K4041">
        <v>1.1111679999999999</v>
      </c>
      <c r="L4041">
        <v>175.62809999999999</v>
      </c>
      <c r="M4041">
        <v>3.615823E-2</v>
      </c>
      <c r="N4041">
        <v>0</v>
      </c>
      <c r="O4041">
        <v>-0.99924970000000002</v>
      </c>
      <c r="P4041">
        <v>-4.7088499999999998E-2</v>
      </c>
      <c r="Q4041">
        <v>3.6758260000000001E-3</v>
      </c>
      <c r="R4041">
        <v>-0.99888410000000005</v>
      </c>
      <c r="S4041">
        <v>0.2492828</v>
      </c>
      <c r="T4041">
        <v>-0.10335709999999999</v>
      </c>
      <c r="U4041">
        <v>-3.0164179999999998</v>
      </c>
      <c r="V4041">
        <v>8.3129990000000001E-2</v>
      </c>
      <c r="W4041">
        <v>1.7752489999999999E-2</v>
      </c>
      <c r="X4041">
        <v>0.99638059999999995</v>
      </c>
      <c r="Y4041">
        <v>-4.6220480000000001E-2</v>
      </c>
      <c r="Z4041">
        <v>3.413476E-2</v>
      </c>
      <c r="AA4041">
        <v>0.99834789999999995</v>
      </c>
      <c r="AB4041">
        <v>25</v>
      </c>
      <c r="AC4041">
        <v>2.6720999999999999</v>
      </c>
      <c r="AD4041">
        <v>-1.111177123054</v>
      </c>
      <c r="AE4041">
        <v>-32.243599999999901</v>
      </c>
      <c r="AF4041">
        <v>-1.5025961614038399</v>
      </c>
      <c r="AG4041">
        <v>-1.111177123054</v>
      </c>
      <c r="AH4041">
        <v>32.281062516844003</v>
      </c>
      <c r="AI4041">
        <v>91.969323487642896</v>
      </c>
      <c r="AJ4041">
        <v>92.665039963315195</v>
      </c>
      <c r="AK4041">
        <v>32.335112602857201</v>
      </c>
      <c r="AL4041">
        <v>88.982803837494899</v>
      </c>
      <c r="AM4041">
        <v>85.230746227376599</v>
      </c>
      <c r="AN4041">
        <v>1.0000000230974699</v>
      </c>
    </row>
    <row r="4042" spans="1:40" x14ac:dyDescent="0.25">
      <c r="A4042" t="str">
        <f>"20190312154916820"</f>
        <v>20190312154916820</v>
      </c>
      <c r="B4042" t="str">
        <f>"1552376956809719"</f>
        <v>1552376956809719</v>
      </c>
      <c r="C4042" t="s">
        <v>40</v>
      </c>
      <c r="D4042">
        <v>4.5653249999999996</v>
      </c>
      <c r="E4042">
        <v>0.45041019999999998</v>
      </c>
      <c r="F4042" t="s">
        <v>63</v>
      </c>
      <c r="G4042">
        <v>-190.30160000000001</v>
      </c>
      <c r="H4042" s="1">
        <v>-9.0243540000000004E-6</v>
      </c>
      <c r="I4042">
        <v>143.07830000000001</v>
      </c>
      <c r="J4042">
        <v>-193.06440000000001</v>
      </c>
      <c r="K4042">
        <v>1.111105</v>
      </c>
      <c r="L4042">
        <v>175.387</v>
      </c>
      <c r="M4042">
        <v>3.7728730000000002E-2</v>
      </c>
      <c r="N4042">
        <v>0</v>
      </c>
      <c r="O4042">
        <v>-0.99919159999999996</v>
      </c>
      <c r="P4042">
        <v>-4.4518620000000002E-2</v>
      </c>
      <c r="Q4042">
        <v>3.5955620000000001E-3</v>
      </c>
      <c r="R4042">
        <v>-0.99900219999999995</v>
      </c>
      <c r="S4042">
        <v>0.25695800000000002</v>
      </c>
      <c r="T4042">
        <v>-0.1029552</v>
      </c>
      <c r="U4042">
        <v>-3.0158689999999999</v>
      </c>
      <c r="V4042">
        <v>8.2135639999999996E-2</v>
      </c>
      <c r="W4042">
        <v>1.7653329999999998E-2</v>
      </c>
      <c r="X4042">
        <v>0.99646480000000004</v>
      </c>
      <c r="Y4042">
        <v>-4.7188679999999997E-2</v>
      </c>
      <c r="Z4042">
        <v>3.4001030000000002E-2</v>
      </c>
      <c r="AA4042">
        <v>0.99830719999999995</v>
      </c>
      <c r="AB4042">
        <v>25</v>
      </c>
      <c r="AC4042">
        <v>2.7627999999999902</v>
      </c>
      <c r="AD4042">
        <v>-1.1111140243539901</v>
      </c>
      <c r="AE4042">
        <v>-32.308699999999902</v>
      </c>
      <c r="AF4042">
        <v>-1.53994079798016</v>
      </c>
      <c r="AG4042">
        <v>-1.1111140243539901</v>
      </c>
      <c r="AH4042">
        <v>32.3519541133507</v>
      </c>
      <c r="AI4042">
        <v>91.964803033880798</v>
      </c>
      <c r="AJ4042">
        <v>92.725200524840403</v>
      </c>
      <c r="AK4042">
        <v>32.407636862146397</v>
      </c>
      <c r="AL4042">
        <v>88.988486154504002</v>
      </c>
      <c r="AM4042">
        <v>85.287931055070004</v>
      </c>
      <c r="AN4042">
        <v>1.00000000052866</v>
      </c>
    </row>
    <row r="4043" spans="1:40" x14ac:dyDescent="0.25">
      <c r="A4043" t="str">
        <f>"20190312154916833"</f>
        <v>20190312154916833</v>
      </c>
      <c r="B4043" t="str">
        <f>"1552376956830214"</f>
        <v>1552376956830214</v>
      </c>
      <c r="C4043" t="s">
        <v>40</v>
      </c>
      <c r="D4043">
        <v>4.5431439999999998</v>
      </c>
      <c r="E4043">
        <v>0.45051550000000001</v>
      </c>
      <c r="F4043" t="s">
        <v>63</v>
      </c>
      <c r="G4043">
        <v>-190.19710000000001</v>
      </c>
      <c r="H4043" s="1">
        <v>-8.8987619999999996E-6</v>
      </c>
      <c r="I4043">
        <v>142.67240000000001</v>
      </c>
      <c r="J4043">
        <v>-193.05799999999999</v>
      </c>
      <c r="K4043">
        <v>1.1110610000000001</v>
      </c>
      <c r="L4043">
        <v>175.24459999999999</v>
      </c>
      <c r="M4043">
        <v>3.8604970000000002E-2</v>
      </c>
      <c r="N4043">
        <v>0</v>
      </c>
      <c r="O4043">
        <v>-0.99915810000000005</v>
      </c>
      <c r="P4043">
        <v>-4.3092180000000001E-2</v>
      </c>
      <c r="Q4043">
        <v>3.6046820000000001E-3</v>
      </c>
      <c r="R4043">
        <v>-0.99906479999999998</v>
      </c>
      <c r="S4043">
        <v>0.26426699999999997</v>
      </c>
      <c r="T4043">
        <v>-0.1024061</v>
      </c>
      <c r="U4043">
        <v>-3.0151520000000001</v>
      </c>
      <c r="V4043">
        <v>8.1588499999999994E-2</v>
      </c>
      <c r="W4043">
        <v>1.7650470000000001E-2</v>
      </c>
      <c r="X4043">
        <v>0.9965098</v>
      </c>
      <c r="Y4043">
        <v>-4.8735290000000001E-2</v>
      </c>
      <c r="Z4043">
        <v>3.382143E-2</v>
      </c>
      <c r="AA4043">
        <v>0.99823890000000004</v>
      </c>
      <c r="AB4043">
        <v>25</v>
      </c>
      <c r="AC4043">
        <v>2.86089999999998</v>
      </c>
      <c r="AD4043">
        <v>-1.111069898762</v>
      </c>
      <c r="AE4043">
        <v>-32.572199999999903</v>
      </c>
      <c r="AF4043">
        <v>-1.5993502325845099</v>
      </c>
      <c r="AG4043">
        <v>-1.111069898762</v>
      </c>
      <c r="AH4043">
        <v>32.6207044289484</v>
      </c>
      <c r="AI4043">
        <v>91.948416815452404</v>
      </c>
      <c r="AJ4043">
        <v>92.806889071246999</v>
      </c>
      <c r="AK4043">
        <v>32.6787814174155</v>
      </c>
      <c r="AL4043">
        <v>88.9886500474163</v>
      </c>
      <c r="AM4043">
        <v>85.319390618672202</v>
      </c>
      <c r="AN4043">
        <v>1.0000000019597499</v>
      </c>
    </row>
    <row r="4044" spans="1:40" x14ac:dyDescent="0.25">
      <c r="A4044" t="str">
        <f>"20190312154916845"</f>
        <v>20190312154916845</v>
      </c>
      <c r="B4044" t="str">
        <f>"1552376956839975"</f>
        <v>1552376956839975</v>
      </c>
      <c r="C4044" t="s">
        <v>40</v>
      </c>
      <c r="D4044">
        <v>4.5580879999999997</v>
      </c>
      <c r="E4044">
        <v>0.45055630000000002</v>
      </c>
      <c r="F4044" t="s">
        <v>63</v>
      </c>
      <c r="G4044">
        <v>-190.11850000000001</v>
      </c>
      <c r="H4044" s="1">
        <v>-8.7458750000000004E-6</v>
      </c>
      <c r="I4044">
        <v>142.1455</v>
      </c>
      <c r="J4044">
        <v>-193.0515</v>
      </c>
      <c r="K4044">
        <v>1.111016</v>
      </c>
      <c r="L4044">
        <v>175.10159999999999</v>
      </c>
      <c r="M4044">
        <v>3.9457840000000001E-2</v>
      </c>
      <c r="N4044">
        <v>0</v>
      </c>
      <c r="O4044">
        <v>-0.99912500000000004</v>
      </c>
      <c r="P4044">
        <v>-4.1942699999999999E-2</v>
      </c>
      <c r="Q4044">
        <v>3.6001399999999999E-3</v>
      </c>
      <c r="R4044">
        <v>-0.99911380000000005</v>
      </c>
      <c r="S4044">
        <v>0.26773069999999999</v>
      </c>
      <c r="T4044">
        <v>-0.1011977</v>
      </c>
      <c r="U4044">
        <v>-3.0147089999999999</v>
      </c>
      <c r="V4044">
        <v>8.1294539999999998E-2</v>
      </c>
      <c r="W4044">
        <v>1.7634259999999999E-2</v>
      </c>
      <c r="X4044">
        <v>0.99653409999999998</v>
      </c>
      <c r="Y4044">
        <v>-4.9034689999999999E-2</v>
      </c>
      <c r="Z4044">
        <v>3.3424059999999998E-2</v>
      </c>
      <c r="AA4044">
        <v>0.99823770000000001</v>
      </c>
      <c r="AB4044">
        <v>25</v>
      </c>
      <c r="AC4044">
        <v>2.9329999999999901</v>
      </c>
      <c r="AD4044">
        <v>-1.111024745875</v>
      </c>
      <c r="AE4044">
        <v>-32.9560999999999</v>
      </c>
      <c r="AF4044">
        <v>-1.6283777321086601</v>
      </c>
      <c r="AG4044">
        <v>-1.111024745875</v>
      </c>
      <c r="AH4044">
        <v>33.008950597146899</v>
      </c>
      <c r="AI4044">
        <v>91.925410425558098</v>
      </c>
      <c r="AJ4044">
        <v>92.824191507197796</v>
      </c>
      <c r="AK4044">
        <v>33.0677608789779</v>
      </c>
      <c r="AL4044">
        <v>88.989578945409704</v>
      </c>
      <c r="AM4044">
        <v>85.336293357779894</v>
      </c>
      <c r="AN4044">
        <v>0.99999999091118397</v>
      </c>
    </row>
    <row r="4045" spans="1:40" x14ac:dyDescent="0.25">
      <c r="A4045" t="str">
        <f>"20190312154916859"</f>
        <v>20190312154916859</v>
      </c>
      <c r="B4045" t="str">
        <f>"1552376956849735"</f>
        <v>1552376956849735</v>
      </c>
      <c r="C4045" t="s">
        <v>40</v>
      </c>
      <c r="D4045">
        <v>4.5859290000000001</v>
      </c>
      <c r="E4045">
        <v>0.45060840000000002</v>
      </c>
      <c r="F4045" t="s">
        <v>63</v>
      </c>
      <c r="G4045">
        <v>-190.05930000000001</v>
      </c>
      <c r="H4045" s="1">
        <v>-8.6416470000000006E-6</v>
      </c>
      <c r="I4045">
        <v>141.7901</v>
      </c>
      <c r="J4045">
        <v>-193.04429999999999</v>
      </c>
      <c r="K4045">
        <v>1.110959</v>
      </c>
      <c r="L4045">
        <v>174.94569999999999</v>
      </c>
      <c r="M4045">
        <v>4.032065E-2</v>
      </c>
      <c r="N4045">
        <v>0</v>
      </c>
      <c r="O4045">
        <v>-0.99909040000000005</v>
      </c>
      <c r="P4045">
        <v>-4.0874149999999998E-2</v>
      </c>
      <c r="Q4045">
        <v>3.4508329999999999E-3</v>
      </c>
      <c r="R4045">
        <v>-0.99915860000000001</v>
      </c>
      <c r="S4045">
        <v>0.27076719999999999</v>
      </c>
      <c r="T4045">
        <v>-0.1005378</v>
      </c>
      <c r="U4045">
        <v>-3.014389</v>
      </c>
      <c r="V4045">
        <v>8.1092010000000006E-2</v>
      </c>
      <c r="W4045">
        <v>1.747073E-2</v>
      </c>
      <c r="X4045">
        <v>0.99655349999999998</v>
      </c>
      <c r="Y4045">
        <v>-4.9179760000000003E-2</v>
      </c>
      <c r="Z4045">
        <v>3.3206529999999998E-2</v>
      </c>
      <c r="AA4045">
        <v>0.99823779999999995</v>
      </c>
      <c r="AB4045">
        <v>25</v>
      </c>
      <c r="AC4045">
        <v>2.9849999999999799</v>
      </c>
      <c r="AD4045">
        <v>-1.110967641647</v>
      </c>
      <c r="AE4045">
        <v>-33.1555999999999</v>
      </c>
      <c r="AF4045">
        <v>-1.6437572780999099</v>
      </c>
      <c r="AG4045">
        <v>-1.110967641647</v>
      </c>
      <c r="AH4045">
        <v>33.212011651578798</v>
      </c>
      <c r="AI4045">
        <v>91.913533581080799</v>
      </c>
      <c r="AJ4045">
        <v>92.833419691351395</v>
      </c>
      <c r="AK4045">
        <v>33.271217366286699</v>
      </c>
      <c r="AL4045">
        <v>88.998949986537397</v>
      </c>
      <c r="AM4045">
        <v>85.347951207107798</v>
      </c>
      <c r="AN4045">
        <v>1.00000000942741</v>
      </c>
    </row>
    <row r="4046" spans="1:40" x14ac:dyDescent="0.25">
      <c r="A4046" t="str">
        <f>"20190312154916878"</f>
        <v>20190312154916878</v>
      </c>
      <c r="B4046" t="str">
        <f>"1552376956870230"</f>
        <v>1552376956870230</v>
      </c>
      <c r="C4046" t="s">
        <v>40</v>
      </c>
      <c r="D4046">
        <v>4.5796950000000001</v>
      </c>
      <c r="E4046">
        <v>0.4507388</v>
      </c>
      <c r="F4046" t="s">
        <v>63</v>
      </c>
      <c r="G4046">
        <v>-190.03389999999999</v>
      </c>
      <c r="H4046" s="1">
        <v>-8.6385330000000007E-6</v>
      </c>
      <c r="I4046">
        <v>141.7954</v>
      </c>
      <c r="J4046">
        <v>-193.03559999999999</v>
      </c>
      <c r="K4046">
        <v>1.110892</v>
      </c>
      <c r="L4046">
        <v>174.7569</v>
      </c>
      <c r="M4046">
        <v>4.1306559999999999E-2</v>
      </c>
      <c r="N4046">
        <v>0</v>
      </c>
      <c r="O4046">
        <v>-0.99905029999999995</v>
      </c>
      <c r="P4046">
        <v>-4.003959E-2</v>
      </c>
      <c r="Q4046">
        <v>3.2975819999999999E-3</v>
      </c>
      <c r="R4046">
        <v>-0.99919279999999999</v>
      </c>
      <c r="S4046">
        <v>0.27371220000000002</v>
      </c>
      <c r="T4046">
        <v>-0.10101010000000001</v>
      </c>
      <c r="U4046">
        <v>-3.0140530000000001</v>
      </c>
      <c r="V4046">
        <v>8.1246280000000004E-2</v>
      </c>
      <c r="W4046">
        <v>1.730052E-2</v>
      </c>
      <c r="X4046">
        <v>0.99654390000000004</v>
      </c>
      <c r="Y4046">
        <v>-4.9171020000000003E-2</v>
      </c>
      <c r="Z4046">
        <v>3.3362589999999998E-2</v>
      </c>
      <c r="AA4046">
        <v>0.99823300000000004</v>
      </c>
      <c r="AB4046">
        <v>25</v>
      </c>
      <c r="AC4046">
        <v>3.0017</v>
      </c>
      <c r="AD4046">
        <v>-1.110900638533</v>
      </c>
      <c r="AE4046">
        <v>-32.961500000000001</v>
      </c>
      <c r="AF4046">
        <v>-1.6356379072004501</v>
      </c>
      <c r="AG4046">
        <v>-1.110900638533</v>
      </c>
      <c r="AH4046">
        <v>33.020165624694798</v>
      </c>
      <c r="AI4046">
        <v>91.924522861971795</v>
      </c>
      <c r="AJ4046">
        <v>92.835800824727897</v>
      </c>
      <c r="AK4046">
        <v>33.079309990905799</v>
      </c>
      <c r="AL4046">
        <v>89.008703771214002</v>
      </c>
      <c r="AM4046">
        <v>85.339095370343401</v>
      </c>
      <c r="AN4046">
        <v>1.00000000531665</v>
      </c>
    </row>
    <row r="4047" spans="1:40" x14ac:dyDescent="0.25">
      <c r="A4047" t="str">
        <f>"20190312154916899"</f>
        <v>20190312154916899</v>
      </c>
      <c r="B4047" t="str">
        <f>"1552376956889751"</f>
        <v>1552376956889751</v>
      </c>
      <c r="C4047" t="s">
        <v>40</v>
      </c>
      <c r="D4047">
        <v>4.5378590000000001</v>
      </c>
      <c r="E4047">
        <v>0.45098749999999999</v>
      </c>
      <c r="F4047" t="s">
        <v>63</v>
      </c>
      <c r="G4047">
        <v>-190.00110000000001</v>
      </c>
      <c r="H4047" s="1">
        <v>-8.5620009999999997E-6</v>
      </c>
      <c r="I4047">
        <v>141.52719999999999</v>
      </c>
      <c r="J4047">
        <v>-193.024</v>
      </c>
      <c r="K4047">
        <v>1.1108039999999999</v>
      </c>
      <c r="L4047">
        <v>174.51169999999999</v>
      </c>
      <c r="M4047">
        <v>4.247683E-2</v>
      </c>
      <c r="N4047">
        <v>0</v>
      </c>
      <c r="O4047">
        <v>-0.99900120000000003</v>
      </c>
      <c r="P4047">
        <v>-3.9805859999999998E-2</v>
      </c>
      <c r="Q4047">
        <v>4.2463149999999996E-3</v>
      </c>
      <c r="R4047">
        <v>-0.99919840000000004</v>
      </c>
      <c r="S4047">
        <v>0.27520749999999999</v>
      </c>
      <c r="T4047">
        <v>-0.1007537</v>
      </c>
      <c r="U4047">
        <v>-3.013779</v>
      </c>
      <c r="V4047">
        <v>8.2182480000000002E-2</v>
      </c>
      <c r="W4047">
        <v>1.822783E-2</v>
      </c>
      <c r="X4047">
        <v>0.99645059999999996</v>
      </c>
      <c r="Y4047">
        <v>-4.8500700000000001E-2</v>
      </c>
      <c r="Z4047">
        <v>3.3278349999999998E-2</v>
      </c>
      <c r="AA4047">
        <v>0.99826859999999995</v>
      </c>
      <c r="AB4047">
        <v>25</v>
      </c>
      <c r="AC4047">
        <v>3.0228999999999902</v>
      </c>
      <c r="AD4047">
        <v>-1.1108125620010001</v>
      </c>
      <c r="AE4047">
        <v>-32.984499999999997</v>
      </c>
      <c r="AF4047">
        <v>-1.6171406487162301</v>
      </c>
      <c r="AG4047">
        <v>-1.1108125620010001</v>
      </c>
      <c r="AH4047">
        <v>33.0459735625844</v>
      </c>
      <c r="AI4047">
        <v>91.9229251211258</v>
      </c>
      <c r="AJ4047">
        <v>92.801596331664499</v>
      </c>
      <c r="AK4047">
        <v>33.104160118097802</v>
      </c>
      <c r="AL4047">
        <v>88.955564435884895</v>
      </c>
      <c r="AM4047">
        <v>85.285189099985502</v>
      </c>
      <c r="AN4047">
        <v>1.0000000060229</v>
      </c>
    </row>
    <row r="4048" spans="1:40" x14ac:dyDescent="0.25">
      <c r="A4048" t="str">
        <f>"20190312154916921"</f>
        <v>20190312154916921</v>
      </c>
      <c r="B4048" t="str">
        <f>"1552376956910246"</f>
        <v>1552376956910246</v>
      </c>
      <c r="C4048" t="s">
        <v>40</v>
      </c>
      <c r="D4048">
        <v>4.5299239999999896</v>
      </c>
      <c r="E4048">
        <v>0.45127980000000001</v>
      </c>
      <c r="F4048" t="s">
        <v>63</v>
      </c>
      <c r="G4048">
        <v>-189.8904</v>
      </c>
      <c r="H4048" s="1">
        <v>-8.1689030000000006E-6</v>
      </c>
      <c r="I4048">
        <v>140.04329999999999</v>
      </c>
      <c r="J4048">
        <v>-193.01240000000001</v>
      </c>
      <c r="K4048">
        <v>1.1107129999999901</v>
      </c>
      <c r="L4048">
        <v>174.2696</v>
      </c>
      <c r="M4048">
        <v>4.3499700000000002E-2</v>
      </c>
      <c r="N4048">
        <v>0</v>
      </c>
      <c r="O4048">
        <v>-0.99895730000000005</v>
      </c>
      <c r="P4048">
        <v>-3.9760759999999999E-2</v>
      </c>
      <c r="Q4048">
        <v>5.254735E-3</v>
      </c>
      <c r="R4048">
        <v>-0.99919550000000001</v>
      </c>
      <c r="S4048">
        <v>0.27398679999999997</v>
      </c>
      <c r="T4048">
        <v>-9.7123150000000005E-2</v>
      </c>
      <c r="U4048">
        <v>-3.0137179999999999</v>
      </c>
      <c r="V4048">
        <v>8.3160150000000002E-2</v>
      </c>
      <c r="W4048">
        <v>1.9213750000000002E-2</v>
      </c>
      <c r="X4048">
        <v>0.99635090000000004</v>
      </c>
      <c r="Y4048">
        <v>-4.7082279999999997E-2</v>
      </c>
      <c r="Z4048">
        <v>3.2080669999999999E-2</v>
      </c>
      <c r="AA4048">
        <v>0.99837569999999998</v>
      </c>
      <c r="AB4048">
        <v>25</v>
      </c>
      <c r="AC4048">
        <v>3.1220000000000101</v>
      </c>
      <c r="AD4048">
        <v>-1.1107211689030001</v>
      </c>
      <c r="AE4048">
        <v>-34.226300000000002</v>
      </c>
      <c r="AF4048">
        <v>-1.62836671176204</v>
      </c>
      <c r="AG4048">
        <v>-1.1107211689030001</v>
      </c>
      <c r="AH4048">
        <v>34.2938970487399</v>
      </c>
      <c r="AI4048">
        <v>91.852978425734193</v>
      </c>
      <c r="AJ4048">
        <v>92.718516285450207</v>
      </c>
      <c r="AK4048">
        <v>34.350497150006298</v>
      </c>
      <c r="AL4048">
        <v>88.899065412970501</v>
      </c>
      <c r="AM4048">
        <v>85.228882342306704</v>
      </c>
      <c r="AN4048">
        <v>0.99999994733394604</v>
      </c>
    </row>
    <row r="4049" spans="1:40" x14ac:dyDescent="0.25">
      <c r="A4049" t="str">
        <f>"20190312154916934"</f>
        <v>20190312154916934</v>
      </c>
      <c r="B4049" t="str">
        <f>"1552376956929767"</f>
        <v>1552376956929767</v>
      </c>
      <c r="C4049" t="s">
        <v>40</v>
      </c>
      <c r="D4049">
        <v>4.5274900000000002</v>
      </c>
      <c r="E4049">
        <v>0.45159719999999998</v>
      </c>
      <c r="F4049" t="s">
        <v>63</v>
      </c>
      <c r="G4049">
        <v>-189.87809999999999</v>
      </c>
      <c r="H4049" s="1">
        <v>-8.0266179999999996E-6</v>
      </c>
      <c r="I4049">
        <v>139.52760000000001</v>
      </c>
      <c r="J4049">
        <v>-193.00540000000001</v>
      </c>
      <c r="K4049">
        <v>1.1106549999999999</v>
      </c>
      <c r="L4049">
        <v>174.12299999999999</v>
      </c>
      <c r="M4049">
        <v>4.4044769999999997E-2</v>
      </c>
      <c r="N4049">
        <v>0</v>
      </c>
      <c r="O4049">
        <v>-0.99893339999999997</v>
      </c>
      <c r="P4049">
        <v>-3.9491110000000003E-2</v>
      </c>
      <c r="Q4049">
        <v>5.3116219999999898E-3</v>
      </c>
      <c r="R4049">
        <v>-0.99920589999999998</v>
      </c>
      <c r="S4049">
        <v>0.27189639999999998</v>
      </c>
      <c r="T4049">
        <v>-9.6351740000000005E-2</v>
      </c>
      <c r="U4049">
        <v>-3.013763</v>
      </c>
      <c r="V4049">
        <v>8.3437579999999997E-2</v>
      </c>
      <c r="W4049">
        <v>1.9255709999999999E-2</v>
      </c>
      <c r="X4049">
        <v>0.99632690000000002</v>
      </c>
      <c r="Y4049">
        <v>-4.5849699999999903E-2</v>
      </c>
      <c r="Z4049">
        <v>3.1826409999999999E-2</v>
      </c>
      <c r="AA4049">
        <v>0.99844120000000003</v>
      </c>
      <c r="AB4049">
        <v>25</v>
      </c>
      <c r="AC4049">
        <v>3.1273000000000102</v>
      </c>
      <c r="AD4049">
        <v>-1.110663026618</v>
      </c>
      <c r="AE4049">
        <v>-34.595399999999898</v>
      </c>
      <c r="AF4049">
        <v>-1.59873727925598</v>
      </c>
      <c r="AG4049">
        <v>-1.110663026618</v>
      </c>
      <c r="AH4049">
        <v>34.664136785283503</v>
      </c>
      <c r="AI4049">
        <v>91.833221377199905</v>
      </c>
      <c r="AJ4049">
        <v>92.6406551840616</v>
      </c>
      <c r="AK4049">
        <v>34.718754475292201</v>
      </c>
      <c r="AL4049">
        <v>88.896660842109398</v>
      </c>
      <c r="AM4049">
        <v>85.212924519484901</v>
      </c>
      <c r="AN4049">
        <v>0.99999995189373403</v>
      </c>
    </row>
    <row r="4050" spans="1:40" x14ac:dyDescent="0.25">
      <c r="A4050" t="str">
        <f>"20190312154916947"</f>
        <v>20190312154916947</v>
      </c>
      <c r="B4050" t="str">
        <f>"1552376956939527"</f>
        <v>1552376956939527</v>
      </c>
      <c r="C4050" t="s">
        <v>40</v>
      </c>
      <c r="D4050">
        <v>4.5003039999999999</v>
      </c>
      <c r="E4050">
        <v>0.45175029999999999</v>
      </c>
      <c r="F4050" t="s">
        <v>63</v>
      </c>
      <c r="G4050">
        <v>-189.95660000000001</v>
      </c>
      <c r="H4050" s="1">
        <v>-8.1809339999999996E-6</v>
      </c>
      <c r="I4050">
        <v>140.11099999999999</v>
      </c>
      <c r="J4050">
        <v>-192.99879999999999</v>
      </c>
      <c r="K4050">
        <v>1.110598</v>
      </c>
      <c r="L4050">
        <v>173.98660000000001</v>
      </c>
      <c r="M4050">
        <v>4.4519419999999997E-2</v>
      </c>
      <c r="N4050">
        <v>0</v>
      </c>
      <c r="O4050">
        <v>-0.99891229999999998</v>
      </c>
      <c r="P4050">
        <v>-3.9415770000000003E-2</v>
      </c>
      <c r="Q4050">
        <v>5.0040390000000001E-3</v>
      </c>
      <c r="R4050">
        <v>-0.99921040000000005</v>
      </c>
      <c r="S4050">
        <v>0.27012629999999999</v>
      </c>
      <c r="T4050">
        <v>-9.8408220000000005E-2</v>
      </c>
      <c r="U4050">
        <v>-3.0135649999999998</v>
      </c>
      <c r="V4050">
        <v>8.3839090000000005E-2</v>
      </c>
      <c r="W4050">
        <v>1.8934369999999999E-2</v>
      </c>
      <c r="X4050">
        <v>0.99629939999999995</v>
      </c>
      <c r="Y4050">
        <v>-4.4797200000000002E-2</v>
      </c>
      <c r="Z4050">
        <v>3.2507719999999997E-2</v>
      </c>
      <c r="AA4050">
        <v>0.99846699999999999</v>
      </c>
      <c r="AB4050">
        <v>25</v>
      </c>
      <c r="AC4050">
        <v>3.0421999999999798</v>
      </c>
      <c r="AD4050">
        <v>-1.110606180934</v>
      </c>
      <c r="AE4050">
        <v>-33.875599999999999</v>
      </c>
      <c r="AF4050">
        <v>-1.52928549673228</v>
      </c>
      <c r="AG4050">
        <v>-1.110606180934</v>
      </c>
      <c r="AH4050">
        <v>33.941266767207203</v>
      </c>
      <c r="AI4050">
        <v>91.872232031577894</v>
      </c>
      <c r="AJ4050">
        <v>92.5798207038154</v>
      </c>
      <c r="AK4050">
        <v>33.993848707999597</v>
      </c>
      <c r="AL4050">
        <v>88.915075677388998</v>
      </c>
      <c r="AM4050">
        <v>85.189864312427204</v>
      </c>
      <c r="AN4050">
        <v>0.99999999890984204</v>
      </c>
    </row>
    <row r="4051" spans="1:40" x14ac:dyDescent="0.25">
      <c r="A4051" t="str">
        <f>"20190312154916959"</f>
        <v>20190312154916959</v>
      </c>
      <c r="B4051" t="str">
        <f>"1552376956950263"</f>
        <v>1552376956950263</v>
      </c>
      <c r="C4051" t="s">
        <v>40</v>
      </c>
      <c r="D4051">
        <v>4.4850909999999997</v>
      </c>
      <c r="E4051">
        <v>0.45192339999999998</v>
      </c>
      <c r="F4051" t="s">
        <v>63</v>
      </c>
      <c r="G4051">
        <v>-190.0085</v>
      </c>
      <c r="H4051" s="1">
        <v>-8.2926909999999998E-6</v>
      </c>
      <c r="I4051">
        <v>140.50110000000001</v>
      </c>
      <c r="J4051">
        <v>-192.99199999999999</v>
      </c>
      <c r="K4051">
        <v>1.1105370000000001</v>
      </c>
      <c r="L4051">
        <v>173.84610000000001</v>
      </c>
      <c r="M4051">
        <v>4.4939689999999997E-2</v>
      </c>
      <c r="N4051">
        <v>0</v>
      </c>
      <c r="O4051">
        <v>-0.99889380000000005</v>
      </c>
      <c r="P4051">
        <v>-3.9228609999999997E-2</v>
      </c>
      <c r="Q4051">
        <v>4.8561330000000003E-3</v>
      </c>
      <c r="R4051">
        <v>-0.99921879999999996</v>
      </c>
      <c r="S4051">
        <v>0.26910400000000001</v>
      </c>
      <c r="T4051">
        <v>-9.9947209999999995E-2</v>
      </c>
      <c r="U4051">
        <v>-3.013474</v>
      </c>
      <c r="V4051">
        <v>8.4074709999999997E-2</v>
      </c>
      <c r="W4051">
        <v>1.8771800000000002E-2</v>
      </c>
      <c r="X4051">
        <v>0.99628260000000002</v>
      </c>
      <c r="Y4051">
        <v>-4.4042070000000003E-2</v>
      </c>
      <c r="Z4051">
        <v>3.3016669999999998E-2</v>
      </c>
      <c r="AA4051">
        <v>0.99848400000000004</v>
      </c>
      <c r="AB4051">
        <v>25</v>
      </c>
      <c r="AC4051">
        <v>2.9835000000000198</v>
      </c>
      <c r="AD4051">
        <v>-1.110545292691</v>
      </c>
      <c r="AE4051">
        <v>-33.344999999999999</v>
      </c>
      <c r="AF4051">
        <v>-1.4801988537294699</v>
      </c>
      <c r="AG4051">
        <v>-1.110545292691</v>
      </c>
      <c r="AH4051">
        <v>33.408632901201102</v>
      </c>
      <c r="AI4051">
        <v>91.902018716014496</v>
      </c>
      <c r="AJ4051">
        <v>92.536880779223907</v>
      </c>
      <c r="AK4051">
        <v>33.459842375912601</v>
      </c>
      <c r="AL4051">
        <v>88.924391885828499</v>
      </c>
      <c r="AM4051">
        <v>85.176328726560399</v>
      </c>
      <c r="AN4051">
        <v>0.99999997819979103</v>
      </c>
    </row>
    <row r="4052" spans="1:40" x14ac:dyDescent="0.25">
      <c r="A4052" t="str">
        <f>"20190312154916976"</f>
        <v>20190312154916976</v>
      </c>
      <c r="B4052" t="str">
        <f>"1552376956969787"</f>
        <v>1552376956969787</v>
      </c>
      <c r="C4052" t="s">
        <v>40</v>
      </c>
      <c r="D4052">
        <v>4.4865599999999999</v>
      </c>
      <c r="E4052">
        <v>0.45215240000000001</v>
      </c>
      <c r="F4052" t="s">
        <v>63</v>
      </c>
      <c r="G4052">
        <v>-190.04089999999999</v>
      </c>
      <c r="H4052" s="1">
        <v>-8.3545350000000001E-6</v>
      </c>
      <c r="I4052">
        <v>140.71379999999999</v>
      </c>
      <c r="J4052">
        <v>-192.9829</v>
      </c>
      <c r="K4052">
        <v>1.110449</v>
      </c>
      <c r="L4052">
        <v>173.6591</v>
      </c>
      <c r="M4052">
        <v>4.5424529999999998E-2</v>
      </c>
      <c r="N4052">
        <v>0</v>
      </c>
      <c r="O4052">
        <v>-0.99887170000000003</v>
      </c>
      <c r="P4052">
        <v>-3.9567779999999997E-2</v>
      </c>
      <c r="Q4052">
        <v>4.2397779999999996E-3</v>
      </c>
      <c r="R4052">
        <v>-0.99920799999999999</v>
      </c>
      <c r="S4052">
        <v>0.26840209999999998</v>
      </c>
      <c r="T4052">
        <v>-0.1010046</v>
      </c>
      <c r="U4052">
        <v>-3.0133969999999999</v>
      </c>
      <c r="V4052">
        <v>8.4901210000000005E-2</v>
      </c>
      <c r="W4052">
        <v>1.8133900000000001E-2</v>
      </c>
      <c r="X4052">
        <v>0.99622429999999995</v>
      </c>
      <c r="Y4052">
        <v>-4.3327589999999999E-2</v>
      </c>
      <c r="Z4052">
        <v>3.3366180000000002E-2</v>
      </c>
      <c r="AA4052">
        <v>0.99850360000000005</v>
      </c>
      <c r="AB4052">
        <v>25</v>
      </c>
      <c r="AC4052">
        <v>2.9420000000000002</v>
      </c>
      <c r="AD4052">
        <v>-1.1104573545350001</v>
      </c>
      <c r="AE4052">
        <v>-32.945300000000003</v>
      </c>
      <c r="AF4052">
        <v>-1.4406703982396101</v>
      </c>
      <c r="AG4052">
        <v>-1.1104573545350001</v>
      </c>
      <c r="AH4052">
        <v>33.0077348078337</v>
      </c>
      <c r="AI4052">
        <v>91.925005908258299</v>
      </c>
      <c r="AJ4052">
        <v>92.499171112602696</v>
      </c>
      <c r="AK4052">
        <v>33.057816078453897</v>
      </c>
      <c r="AL4052">
        <v>88.960947064926202</v>
      </c>
      <c r="AM4052">
        <v>85.128852784314105</v>
      </c>
      <c r="AN4052">
        <v>0.99999995484958004</v>
      </c>
    </row>
    <row r="4053" spans="1:40" x14ac:dyDescent="0.25">
      <c r="A4053" t="str">
        <f>"20190312154916992"</f>
        <v>20190312154916992</v>
      </c>
      <c r="B4053" t="str">
        <f>"1552376956979543"</f>
        <v>1552376956979543</v>
      </c>
      <c r="C4053" t="s">
        <v>40</v>
      </c>
      <c r="D4053">
        <v>4.4818259999999999</v>
      </c>
      <c r="E4053">
        <v>0.45226290000000002</v>
      </c>
      <c r="F4053" t="s">
        <v>63</v>
      </c>
      <c r="G4053">
        <v>-190.14089999999999</v>
      </c>
      <c r="H4053" s="1">
        <v>-8.5625339999999994E-6</v>
      </c>
      <c r="I4053">
        <v>141.43520000000001</v>
      </c>
      <c r="J4053">
        <v>-192.97479999999999</v>
      </c>
      <c r="K4053">
        <v>1.1103700000000001</v>
      </c>
      <c r="L4053">
        <v>173.4915</v>
      </c>
      <c r="M4053">
        <v>4.577788E-2</v>
      </c>
      <c r="N4053">
        <v>0</v>
      </c>
      <c r="O4053">
        <v>-0.99885579999999996</v>
      </c>
      <c r="P4053">
        <v>-3.9627280000000001E-2</v>
      </c>
      <c r="Q4053">
        <v>4.0673860000000001E-3</v>
      </c>
      <c r="R4053">
        <v>-0.99920640000000005</v>
      </c>
      <c r="S4053">
        <v>0.26576230000000001</v>
      </c>
      <c r="T4053">
        <v>-0.1038417</v>
      </c>
      <c r="U4053">
        <v>-3.0133359999999998</v>
      </c>
      <c r="V4053">
        <v>8.5316740000000002E-2</v>
      </c>
      <c r="W4053">
        <v>1.7942240000000002E-2</v>
      </c>
      <c r="X4053">
        <v>0.99619230000000003</v>
      </c>
      <c r="Y4053">
        <v>-4.2105259999999999E-2</v>
      </c>
      <c r="Z4053">
        <v>3.4304380000000002E-2</v>
      </c>
      <c r="AA4053">
        <v>0.99852410000000003</v>
      </c>
      <c r="AB4053">
        <v>25</v>
      </c>
      <c r="AC4053">
        <v>2.8338999999999999</v>
      </c>
      <c r="AD4053">
        <v>-1.1103785625339999</v>
      </c>
      <c r="AE4053">
        <v>-32.056299999999901</v>
      </c>
      <c r="AF4053">
        <v>-1.3616974054282101</v>
      </c>
      <c r="AG4053">
        <v>-1.1103785625339999</v>
      </c>
      <c r="AH4053">
        <v>32.1141970861866</v>
      </c>
      <c r="AI4053">
        <v>91.978490215619303</v>
      </c>
      <c r="AJ4053">
        <v>92.427985579344295</v>
      </c>
      <c r="AK4053">
        <v>32.162226522218901</v>
      </c>
      <c r="AL4053">
        <v>88.971930191803096</v>
      </c>
      <c r="AM4053">
        <v>85.104971125175993</v>
      </c>
      <c r="AN4053">
        <v>0.99999998433986703</v>
      </c>
    </row>
    <row r="4054" spans="1:40" x14ac:dyDescent="0.25">
      <c r="A4054" t="str">
        <f>"20190312154917010"</f>
        <v>20190312154917010</v>
      </c>
      <c r="B4054" t="str">
        <f>"1552376957000039"</f>
        <v>1552376957000039</v>
      </c>
      <c r="C4054" t="s">
        <v>40</v>
      </c>
      <c r="D4054">
        <v>4.6180680000000001</v>
      </c>
      <c r="E4054">
        <v>0.47509960000000001</v>
      </c>
      <c r="F4054" t="s">
        <v>63</v>
      </c>
      <c r="G4054">
        <v>-190.1808</v>
      </c>
      <c r="H4054" s="1">
        <v>-8.6337720000000003E-6</v>
      </c>
      <c r="I4054">
        <v>141.67850000000001</v>
      </c>
      <c r="J4054">
        <v>-192.96520000000001</v>
      </c>
      <c r="K4054">
        <v>1.1102669999999999</v>
      </c>
      <c r="L4054">
        <v>173.29230000000001</v>
      </c>
      <c r="M4054">
        <v>4.6086599999999998E-2</v>
      </c>
      <c r="N4054">
        <v>0</v>
      </c>
      <c r="O4054">
        <v>-0.99884150000000005</v>
      </c>
      <c r="P4054">
        <v>-3.9717229999999999E-2</v>
      </c>
      <c r="Q4054">
        <v>3.3404490000000001E-3</v>
      </c>
      <c r="R4054">
        <v>-0.99920540000000002</v>
      </c>
      <c r="S4054">
        <v>0.26464840000000001</v>
      </c>
      <c r="T4054">
        <v>-0.1051735</v>
      </c>
      <c r="U4054">
        <v>-3.0132750000000001</v>
      </c>
      <c r="V4054">
        <v>8.5719420000000005E-2</v>
      </c>
      <c r="W4054">
        <v>1.719039E-2</v>
      </c>
      <c r="X4054">
        <v>0.99617100000000003</v>
      </c>
      <c r="Y4054">
        <v>-4.1430580000000002E-2</v>
      </c>
      <c r="Z4054">
        <v>3.4744829999999997E-2</v>
      </c>
      <c r="AA4054">
        <v>0.99853709999999996</v>
      </c>
      <c r="AB4054">
        <v>25</v>
      </c>
      <c r="AC4054">
        <v>2.7844000000000002</v>
      </c>
      <c r="AD4054">
        <v>-1.1102756337719999</v>
      </c>
      <c r="AE4054">
        <v>-31.613800000000001</v>
      </c>
      <c r="AF4054">
        <v>-1.3227097612818901</v>
      </c>
      <c r="AG4054">
        <v>-1.1102756337719999</v>
      </c>
      <c r="AH4054">
        <v>31.6697768789282</v>
      </c>
      <c r="AI4054">
        <v>92.006099465138604</v>
      </c>
      <c r="AJ4054">
        <v>92.391607211233705</v>
      </c>
      <c r="AK4054">
        <v>31.7168258288347</v>
      </c>
      <c r="AL4054">
        <v>89.0150146836001</v>
      </c>
      <c r="AM4054">
        <v>85.081875859858997</v>
      </c>
      <c r="AN4054">
        <v>0.999999994857244</v>
      </c>
    </row>
    <row r="4055" spans="1:40" x14ac:dyDescent="0.25">
      <c r="A4055" t="str">
        <f>"20190312154917033"</f>
        <v>20190312154917033</v>
      </c>
      <c r="B4055" t="str">
        <f>"1552376957019559"</f>
        <v>1552376957019559</v>
      </c>
      <c r="C4055" t="s">
        <v>40</v>
      </c>
      <c r="D4055">
        <v>4.5383449999999996</v>
      </c>
      <c r="E4055">
        <v>0.4934288</v>
      </c>
      <c r="F4055" t="s">
        <v>63</v>
      </c>
      <c r="G4055">
        <v>-192.2337</v>
      </c>
      <c r="H4055" s="1">
        <v>-1.033066E-5</v>
      </c>
      <c r="I4055">
        <v>146.73220000000001</v>
      </c>
      <c r="J4055">
        <v>-192.95339999999999</v>
      </c>
      <c r="K4055">
        <v>1.1101289999999999</v>
      </c>
      <c r="L4055">
        <v>173.0436</v>
      </c>
      <c r="M4055">
        <v>4.6290480000000002E-2</v>
      </c>
      <c r="N4055">
        <v>0</v>
      </c>
      <c r="O4055">
        <v>-0.9988321</v>
      </c>
      <c r="P4055">
        <v>-3.9892009999999999E-2</v>
      </c>
      <c r="Q4055">
        <v>2.462994E-3</v>
      </c>
      <c r="R4055">
        <v>-0.99920120000000001</v>
      </c>
      <c r="S4055">
        <v>8.2794190000000004E-2</v>
      </c>
      <c r="T4055">
        <v>-0.12566330000000001</v>
      </c>
      <c r="U4055">
        <v>-3.006119</v>
      </c>
      <c r="V4055">
        <v>8.6103059999999995E-2</v>
      </c>
      <c r="W4055">
        <v>1.628071E-2</v>
      </c>
      <c r="X4055">
        <v>0.99615319999999996</v>
      </c>
      <c r="Y4055">
        <v>1.8799389999999999E-2</v>
      </c>
      <c r="Z4055">
        <v>4.1687330000000002E-2</v>
      </c>
      <c r="AA4055">
        <v>0.9989538</v>
      </c>
      <c r="AB4055">
        <v>25</v>
      </c>
      <c r="AC4055">
        <v>0.71969999999998802</v>
      </c>
      <c r="AD4055">
        <v>-1.11013933066</v>
      </c>
      <c r="AE4055">
        <v>-26.3113999999999</v>
      </c>
      <c r="AF4055">
        <v>0.49826934897311598</v>
      </c>
      <c r="AG4055">
        <v>-1.11013933066</v>
      </c>
      <c r="AH4055">
        <v>26.269777470178401</v>
      </c>
      <c r="AI4055">
        <v>92.419398386043994</v>
      </c>
      <c r="AJ4055">
        <v>88.913378389170802</v>
      </c>
      <c r="AK4055">
        <v>26.297944596684601</v>
      </c>
      <c r="AL4055">
        <v>89.067142813959194</v>
      </c>
      <c r="AM4055">
        <v>85.059885485570504</v>
      </c>
      <c r="AN4055">
        <v>0.99999999816485297</v>
      </c>
    </row>
    <row r="4056" spans="1:40" x14ac:dyDescent="0.25">
      <c r="A4056" t="str">
        <f>"20190312154917045"</f>
        <v>20190312154917045</v>
      </c>
      <c r="B4056" t="str">
        <f>"1552376957040055"</f>
        <v>1552376957040055</v>
      </c>
      <c r="C4056" t="s">
        <v>40</v>
      </c>
      <c r="D4056">
        <v>4.3815660000000003</v>
      </c>
      <c r="E4056">
        <v>0.55025939999999995</v>
      </c>
      <c r="F4056" t="s">
        <v>63</v>
      </c>
      <c r="G4056">
        <v>-193.4573</v>
      </c>
      <c r="H4056" s="1">
        <v>-1.1225250000000001E-5</v>
      </c>
      <c r="I4056">
        <v>149.3014</v>
      </c>
      <c r="J4056">
        <v>-192.94659999999999</v>
      </c>
      <c r="K4056">
        <v>1.11005</v>
      </c>
      <c r="L4056">
        <v>172.9008</v>
      </c>
      <c r="M4056">
        <v>4.6337499999999997E-2</v>
      </c>
      <c r="N4056">
        <v>0</v>
      </c>
      <c r="O4056">
        <v>-0.99883</v>
      </c>
      <c r="P4056">
        <v>-4.0024360000000002E-2</v>
      </c>
      <c r="Q4056">
        <v>2.3274290000000002E-3</v>
      </c>
      <c r="R4056">
        <v>-0.99919610000000003</v>
      </c>
      <c r="S4056">
        <v>-6.3674930000000005E-2</v>
      </c>
      <c r="T4056">
        <v>-0.14028309999999999</v>
      </c>
      <c r="U4056">
        <v>-3.0001829999999998</v>
      </c>
      <c r="V4056">
        <v>8.6285020000000004E-2</v>
      </c>
      <c r="W4056">
        <v>1.612624E-2</v>
      </c>
      <c r="X4056">
        <v>0.99613989999999997</v>
      </c>
      <c r="Y4056">
        <v>6.7504499999999995E-2</v>
      </c>
      <c r="Z4056">
        <v>4.6573379999999998E-2</v>
      </c>
      <c r="AA4056">
        <v>0.99663139999999995</v>
      </c>
      <c r="AB4056">
        <v>25</v>
      </c>
      <c r="AC4056">
        <v>-0.51070000000001403</v>
      </c>
      <c r="AD4056">
        <v>-1.1100612252499999</v>
      </c>
      <c r="AE4056">
        <v>-23.599399999999999</v>
      </c>
      <c r="AF4056">
        <v>1.6002542469168699</v>
      </c>
      <c r="AG4056">
        <v>-1.1100612252499999</v>
      </c>
      <c r="AH4056">
        <v>23.498411874173801</v>
      </c>
      <c r="AI4056">
        <v>92.698392149228098</v>
      </c>
      <c r="AJ4056">
        <v>86.104142337256206</v>
      </c>
      <c r="AK4056">
        <v>23.578982382344002</v>
      </c>
      <c r="AL4056">
        <v>89.075994392449601</v>
      </c>
      <c r="AM4056">
        <v>85.049431691511202</v>
      </c>
      <c r="AN4056">
        <v>0.99999993033247103</v>
      </c>
    </row>
    <row r="4057" spans="1:40" x14ac:dyDescent="0.25">
      <c r="A4057" t="str">
        <f>"20190312154917059"</f>
        <v>20190312154917059</v>
      </c>
      <c r="B4057" t="str">
        <f>"1552376957049815"</f>
        <v>1552376957049815</v>
      </c>
      <c r="C4057" t="s">
        <v>40</v>
      </c>
      <c r="D4057">
        <v>4.5449580000000003</v>
      </c>
      <c r="E4057">
        <v>0.55512899999999998</v>
      </c>
      <c r="F4057" t="s">
        <v>63</v>
      </c>
      <c r="G4057">
        <v>-196.63229999999999</v>
      </c>
      <c r="H4057" s="1">
        <v>-1.26718E-5</v>
      </c>
      <c r="I4057">
        <v>151.62479999999999</v>
      </c>
      <c r="J4057">
        <v>-192.93979999999999</v>
      </c>
      <c r="K4057">
        <v>1.1099669999999999</v>
      </c>
      <c r="L4057">
        <v>172.7544</v>
      </c>
      <c r="M4057">
        <v>4.6286019999999997E-2</v>
      </c>
      <c r="N4057">
        <v>0</v>
      </c>
      <c r="O4057">
        <v>-0.99883250000000001</v>
      </c>
      <c r="P4057">
        <v>-4.0446570000000001E-2</v>
      </c>
      <c r="Q4057">
        <v>2.3172790000000002E-3</v>
      </c>
      <c r="R4057">
        <v>-0.99917920000000005</v>
      </c>
      <c r="S4057">
        <v>-0.51660159999999999</v>
      </c>
      <c r="T4057">
        <v>-0.15558949999999999</v>
      </c>
      <c r="U4057">
        <v>-2.9821010000000001</v>
      </c>
      <c r="V4057">
        <v>8.6657789999999998E-2</v>
      </c>
      <c r="W4057">
        <v>1.6096679999999999E-2</v>
      </c>
      <c r="X4057">
        <v>0.99610810000000005</v>
      </c>
      <c r="Y4057">
        <v>0.21589659999999999</v>
      </c>
      <c r="Z4057">
        <v>5.1026200000000001E-2</v>
      </c>
      <c r="AA4057">
        <v>0.975082</v>
      </c>
      <c r="AB4057">
        <v>25</v>
      </c>
      <c r="AC4057">
        <v>-3.6924999999999901</v>
      </c>
      <c r="AD4057">
        <v>-1.1099796717999999</v>
      </c>
      <c r="AE4057">
        <v>-21.1296</v>
      </c>
      <c r="AF4057">
        <v>4.6541772487396003</v>
      </c>
      <c r="AG4057">
        <v>-1.1099796717999999</v>
      </c>
      <c r="AH4057">
        <v>20.880108698997901</v>
      </c>
      <c r="AI4057">
        <v>92.970203761613405</v>
      </c>
      <c r="AJ4057">
        <v>77.434188608102801</v>
      </c>
      <c r="AK4057">
        <v>21.421306216392601</v>
      </c>
      <c r="AL4057">
        <v>89.077688350338207</v>
      </c>
      <c r="AM4057">
        <v>85.027993209822995</v>
      </c>
      <c r="AN4057">
        <v>1.0000000112801499</v>
      </c>
    </row>
    <row r="4058" spans="1:40" x14ac:dyDescent="0.25">
      <c r="A4058" t="str">
        <f>"20190312154917079"</f>
        <v>20190312154917079</v>
      </c>
      <c r="B4058" t="str">
        <f>"1552376957069335"</f>
        <v>1552376957069335</v>
      </c>
      <c r="C4058" t="s">
        <v>40</v>
      </c>
      <c r="D4058">
        <v>4.5694419999999996</v>
      </c>
      <c r="E4058">
        <v>0.55871549999999903</v>
      </c>
      <c r="F4058" t="s">
        <v>63</v>
      </c>
      <c r="G4058">
        <v>-196.2302</v>
      </c>
      <c r="H4058" s="1">
        <v>-1.360121E-5</v>
      </c>
      <c r="I4058">
        <v>155.1114</v>
      </c>
      <c r="J4058">
        <v>-192.9299</v>
      </c>
      <c r="K4058">
        <v>1.1098399999999999</v>
      </c>
      <c r="L4058">
        <v>172.53749999999999</v>
      </c>
      <c r="M4058">
        <v>4.6083470000000001E-2</v>
      </c>
      <c r="N4058">
        <v>0</v>
      </c>
      <c r="O4058">
        <v>-0.99884170000000005</v>
      </c>
      <c r="P4058">
        <v>-4.202844E-2</v>
      </c>
      <c r="Q4058">
        <v>2.1856380000000002E-3</v>
      </c>
      <c r="R4058">
        <v>-0.99911399999999995</v>
      </c>
      <c r="S4058">
        <v>-0.55584719999999999</v>
      </c>
      <c r="T4058">
        <v>-0.18750800000000001</v>
      </c>
      <c r="U4058">
        <v>-2.980423</v>
      </c>
      <c r="V4058">
        <v>8.8037829999999997E-2</v>
      </c>
      <c r="W4058">
        <v>1.5933619999999999E-2</v>
      </c>
      <c r="X4058">
        <v>0.99598969999999998</v>
      </c>
      <c r="Y4058">
        <v>0.22810340000000001</v>
      </c>
      <c r="Z4058">
        <v>6.133429E-2</v>
      </c>
      <c r="AA4058">
        <v>0.97170310000000004</v>
      </c>
      <c r="AB4058">
        <v>25</v>
      </c>
      <c r="AC4058">
        <v>-3.3002999999999898</v>
      </c>
      <c r="AD4058">
        <v>-1.10985360121</v>
      </c>
      <c r="AE4058">
        <v>-17.426099999999899</v>
      </c>
      <c r="AF4058">
        <v>4.0839330641259703</v>
      </c>
      <c r="AG4058">
        <v>-1.10985360121</v>
      </c>
      <c r="AH4058">
        <v>17.188172595382898</v>
      </c>
      <c r="AI4058">
        <v>93.594701985759798</v>
      </c>
      <c r="AJ4058">
        <v>76.634284648759504</v>
      </c>
      <c r="AK4058">
        <v>17.701512970846601</v>
      </c>
      <c r="AL4058">
        <v>89.087032198270506</v>
      </c>
      <c r="AM4058">
        <v>84.948622224144202</v>
      </c>
      <c r="AN4058">
        <v>1.00000001113175</v>
      </c>
    </row>
    <row r="4059" spans="1:40" x14ac:dyDescent="0.25">
      <c r="A4059" t="str">
        <f>"20190312154917100"</f>
        <v>20190312154917100</v>
      </c>
      <c r="B4059" t="str">
        <f>"1552376957089831"</f>
        <v>1552376957089831</v>
      </c>
      <c r="C4059" t="s">
        <v>40</v>
      </c>
      <c r="D4059">
        <v>4.5182229999999999</v>
      </c>
      <c r="E4059">
        <v>0.56049559999999998</v>
      </c>
      <c r="F4059" t="s">
        <v>63</v>
      </c>
      <c r="G4059">
        <v>-195.9084</v>
      </c>
      <c r="H4059" s="1">
        <v>-1.443401E-5</v>
      </c>
      <c r="I4059">
        <v>157.4563</v>
      </c>
      <c r="J4059">
        <v>-192.9195</v>
      </c>
      <c r="K4059">
        <v>1.1096820000000001</v>
      </c>
      <c r="L4059">
        <v>172.30619999999999</v>
      </c>
      <c r="M4059">
        <v>4.5654849999999997E-2</v>
      </c>
      <c r="N4059">
        <v>0</v>
      </c>
      <c r="O4059">
        <v>-0.99886129999999995</v>
      </c>
      <c r="P4059">
        <v>-4.4889400000000003E-2</v>
      </c>
      <c r="Q4059">
        <v>2.0815059999999999E-3</v>
      </c>
      <c r="R4059">
        <v>-0.99899020000000005</v>
      </c>
      <c r="S4059">
        <v>-0.58822629999999998</v>
      </c>
      <c r="T4059">
        <v>-0.2191862</v>
      </c>
      <c r="U4059">
        <v>-2.9783940000000002</v>
      </c>
      <c r="V4059">
        <v>9.046833E-2</v>
      </c>
      <c r="W4059">
        <v>1.579011E-2</v>
      </c>
      <c r="X4059">
        <v>0.9957741</v>
      </c>
      <c r="Y4059">
        <v>0.23784859999999999</v>
      </c>
      <c r="Z4059">
        <v>7.153793E-2</v>
      </c>
      <c r="AA4059">
        <v>0.96866419999999998</v>
      </c>
      <c r="AB4059">
        <v>25</v>
      </c>
      <c r="AC4059">
        <v>-2.9889000000000001</v>
      </c>
      <c r="AD4059">
        <v>-1.10969643401</v>
      </c>
      <c r="AE4059">
        <v>-14.8498999999999</v>
      </c>
      <c r="AF4059">
        <v>3.64425978584678</v>
      </c>
      <c r="AG4059">
        <v>-1.10969643401</v>
      </c>
      <c r="AH4059">
        <v>14.619482103329901</v>
      </c>
      <c r="AI4059">
        <v>94.212316479882702</v>
      </c>
      <c r="AJ4059">
        <v>76.002901999528504</v>
      </c>
      <c r="AK4059">
        <v>15.107657413774501</v>
      </c>
      <c r="AL4059">
        <v>89.095255696826399</v>
      </c>
      <c r="AM4059">
        <v>84.808800443709004</v>
      </c>
      <c r="AN4059">
        <v>0.999999952268804</v>
      </c>
    </row>
    <row r="4060" spans="1:40" x14ac:dyDescent="0.25">
      <c r="A4060" t="str">
        <f>"20190312154917122"</f>
        <v>20190312154917122</v>
      </c>
      <c r="B4060" t="str">
        <f>"1552376957109352"</f>
        <v>1552376957109352</v>
      </c>
      <c r="C4060" t="s">
        <v>40</v>
      </c>
      <c r="D4060">
        <v>4.5527259999999998</v>
      </c>
      <c r="E4060">
        <v>0.56157590000000002</v>
      </c>
      <c r="F4060" t="s">
        <v>63</v>
      </c>
      <c r="G4060">
        <v>-195.74600000000001</v>
      </c>
      <c r="H4060" s="1">
        <v>-1.470249E-5</v>
      </c>
      <c r="I4060">
        <v>158.52330000000001</v>
      </c>
      <c r="J4060">
        <v>-192.9093</v>
      </c>
      <c r="K4060">
        <v>1.1095139999999999</v>
      </c>
      <c r="L4060">
        <v>172.0701</v>
      </c>
      <c r="M4060">
        <v>4.4980689999999997E-2</v>
      </c>
      <c r="N4060">
        <v>0</v>
      </c>
      <c r="O4060">
        <v>-0.99889240000000001</v>
      </c>
      <c r="P4060">
        <v>-4.7592309999999999E-2</v>
      </c>
      <c r="Q4060">
        <v>2.4436869999999999E-3</v>
      </c>
      <c r="R4060">
        <v>-0.99886439999999999</v>
      </c>
      <c r="S4060">
        <v>-0.61030580000000001</v>
      </c>
      <c r="T4060">
        <v>-0.23961150000000001</v>
      </c>
      <c r="U4060">
        <v>-2.9760740000000001</v>
      </c>
      <c r="V4060">
        <v>9.2497650000000001E-2</v>
      </c>
      <c r="W4060">
        <v>1.610812E-2</v>
      </c>
      <c r="X4060">
        <v>0.99558259999999998</v>
      </c>
      <c r="Y4060">
        <v>0.2441382</v>
      </c>
      <c r="Z4060">
        <v>7.8108629999999998E-2</v>
      </c>
      <c r="AA4060">
        <v>0.9665897</v>
      </c>
      <c r="AB4060">
        <v>24</v>
      </c>
      <c r="AC4060">
        <v>-2.8366999999999698</v>
      </c>
      <c r="AD4060">
        <v>-1.10952870248999</v>
      </c>
      <c r="AE4060">
        <v>-13.5467999999999</v>
      </c>
      <c r="AF4060">
        <v>3.4212446192922301</v>
      </c>
      <c r="AG4060">
        <v>-1.10952870248999</v>
      </c>
      <c r="AH4060">
        <v>13.3198786185456</v>
      </c>
      <c r="AI4060">
        <v>94.612624451340494</v>
      </c>
      <c r="AJ4060">
        <v>75.594830397140598</v>
      </c>
      <c r="AK4060">
        <v>13.796924842133199</v>
      </c>
      <c r="AL4060">
        <v>89.0770327913188</v>
      </c>
      <c r="AM4060">
        <v>84.691997891732001</v>
      </c>
      <c r="AN4060">
        <v>1.0000000001041001</v>
      </c>
    </row>
    <row r="4061" spans="1:40" x14ac:dyDescent="0.25">
      <c r="A4061" t="str">
        <f>"20190312154917136"</f>
        <v>20190312154917136</v>
      </c>
      <c r="B4061" t="str">
        <f>"1552376957129847"</f>
        <v>1552376957129847</v>
      </c>
      <c r="C4061" t="s">
        <v>40</v>
      </c>
      <c r="D4061">
        <v>4.5632010000000003</v>
      </c>
      <c r="E4061">
        <v>0.56212340000000005</v>
      </c>
      <c r="F4061" t="s">
        <v>63</v>
      </c>
      <c r="G4061">
        <v>-195.65649999999999</v>
      </c>
      <c r="H4061" s="1">
        <v>-1.4832599999999999E-5</v>
      </c>
      <c r="I4061">
        <v>159.04050000000001</v>
      </c>
      <c r="J4061">
        <v>-192.90280000000001</v>
      </c>
      <c r="K4061">
        <v>1.1093930000000001</v>
      </c>
      <c r="L4061">
        <v>171.9127</v>
      </c>
      <c r="M4061">
        <v>4.4384069999999998E-2</v>
      </c>
      <c r="N4061">
        <v>0</v>
      </c>
      <c r="O4061">
        <v>-0.99891870000000005</v>
      </c>
      <c r="P4061">
        <v>-4.9075109999999998E-2</v>
      </c>
      <c r="Q4061">
        <v>2.6215520000000001E-3</v>
      </c>
      <c r="R4061">
        <v>-0.99879169999999995</v>
      </c>
      <c r="S4061">
        <v>-0.62707519999999894</v>
      </c>
      <c r="T4061">
        <v>-0.25326070000000001</v>
      </c>
      <c r="U4061">
        <v>-2.9741520000000001</v>
      </c>
      <c r="V4061">
        <v>9.3386129999999998E-2</v>
      </c>
      <c r="W4061">
        <v>1.625592E-2</v>
      </c>
      <c r="X4061">
        <v>0.99549719999999997</v>
      </c>
      <c r="Y4061">
        <v>0.24883</v>
      </c>
      <c r="Z4061">
        <v>8.248606E-2</v>
      </c>
      <c r="AA4061">
        <v>0.96502829999999995</v>
      </c>
      <c r="AB4061">
        <v>24</v>
      </c>
      <c r="AC4061">
        <v>-2.7536999999999798</v>
      </c>
      <c r="AD4061">
        <v>-1.1094078326000001</v>
      </c>
      <c r="AE4061">
        <v>-12.8721999999999</v>
      </c>
      <c r="AF4061">
        <v>3.29892879884813</v>
      </c>
      <c r="AG4061">
        <v>-1.1094078326000001</v>
      </c>
      <c r="AH4061">
        <v>12.6474453752427</v>
      </c>
      <c r="AI4061">
        <v>94.851526067670704</v>
      </c>
      <c r="AJ4061">
        <v>75.380842917653794</v>
      </c>
      <c r="AK4061">
        <v>13.117606164184499</v>
      </c>
      <c r="AL4061">
        <v>89.068563319191497</v>
      </c>
      <c r="AM4061">
        <v>84.640850610933398</v>
      </c>
      <c r="AN4061">
        <v>0.99999994970963002</v>
      </c>
    </row>
    <row r="4062" spans="1:40" x14ac:dyDescent="0.25">
      <c r="A4062" t="str">
        <f>"20190312154917155"</f>
        <v>20190312154917155</v>
      </c>
      <c r="B4062" t="str">
        <f>"1552376957139607"</f>
        <v>1552376957139607</v>
      </c>
      <c r="C4062" t="s">
        <v>40</v>
      </c>
      <c r="D4062">
        <v>4.549766</v>
      </c>
      <c r="E4062">
        <v>0.56231219999999904</v>
      </c>
      <c r="F4062" t="s">
        <v>63</v>
      </c>
      <c r="G4062">
        <v>-195.6156</v>
      </c>
      <c r="H4062" s="1">
        <v>-1.48804399999999E-5</v>
      </c>
      <c r="I4062">
        <v>159.23060000000001</v>
      </c>
      <c r="J4062">
        <v>-192.89449999999999</v>
      </c>
      <c r="K4062">
        <v>1.1092329999999999</v>
      </c>
      <c r="L4062">
        <v>171.7055</v>
      </c>
      <c r="M4062">
        <v>4.3454069999999997E-2</v>
      </c>
      <c r="N4062">
        <v>0</v>
      </c>
      <c r="O4062">
        <v>-0.99895999999999996</v>
      </c>
      <c r="P4062">
        <v>-5.0900929999999997E-2</v>
      </c>
      <c r="Q4062">
        <v>2.7789450000000001E-3</v>
      </c>
      <c r="R4062">
        <v>-0.99870029999999999</v>
      </c>
      <c r="S4062">
        <v>-0.63595579999999996</v>
      </c>
      <c r="T4062">
        <v>-0.26007760000000002</v>
      </c>
      <c r="U4062">
        <v>-2.9730530000000002</v>
      </c>
      <c r="V4062">
        <v>9.4285900000000006E-2</v>
      </c>
      <c r="W4062">
        <v>1.6374159999999999E-2</v>
      </c>
      <c r="X4062">
        <v>0.99541049999999998</v>
      </c>
      <c r="Y4062">
        <v>0.25071939999999998</v>
      </c>
      <c r="Z4062">
        <v>8.4678870000000003E-2</v>
      </c>
      <c r="AA4062">
        <v>0.96434920000000002</v>
      </c>
      <c r="AB4062">
        <v>24</v>
      </c>
      <c r="AC4062">
        <v>-2.7210999999999999</v>
      </c>
      <c r="AD4062">
        <v>-1.1092478804399999</v>
      </c>
      <c r="AE4062">
        <v>-12.4748999999999</v>
      </c>
      <c r="AF4062">
        <v>3.23624094634211</v>
      </c>
      <c r="AG4062">
        <v>-1.1092478804399999</v>
      </c>
      <c r="AH4062">
        <v>12.252386702003401</v>
      </c>
      <c r="AI4062">
        <v>95.002427223859996</v>
      </c>
      <c r="AJ4062">
        <v>75.204280573224693</v>
      </c>
      <c r="AK4062">
        <v>12.7210324352417</v>
      </c>
      <c r="AL4062">
        <v>89.061787814792893</v>
      </c>
      <c r="AM4062">
        <v>84.589052023217903</v>
      </c>
      <c r="AN4062">
        <v>1.00000000378238</v>
      </c>
    </row>
    <row r="4063" spans="1:40" x14ac:dyDescent="0.25">
      <c r="A4063" t="str">
        <f>"20190312154917168"</f>
        <v>20190312154917168</v>
      </c>
      <c r="B4063" t="str">
        <f>"1552376957160103"</f>
        <v>1552376957160103</v>
      </c>
      <c r="C4063" t="s">
        <v>40</v>
      </c>
      <c r="D4063">
        <v>4.5685229999999999</v>
      </c>
      <c r="E4063">
        <v>0.56272330000000004</v>
      </c>
      <c r="F4063" t="s">
        <v>63</v>
      </c>
      <c r="G4063">
        <v>-195.62559999999999</v>
      </c>
      <c r="H4063" s="1">
        <v>-1.4844170000000001E-5</v>
      </c>
      <c r="I4063">
        <v>159.0865</v>
      </c>
      <c r="J4063">
        <v>-192.8888</v>
      </c>
      <c r="K4063">
        <v>1.1091230000000001</v>
      </c>
      <c r="L4063">
        <v>171.55760000000001</v>
      </c>
      <c r="M4063">
        <v>4.2692290000000001E-2</v>
      </c>
      <c r="N4063">
        <v>0</v>
      </c>
      <c r="O4063">
        <v>-0.99899249999999995</v>
      </c>
      <c r="P4063">
        <v>-5.1752989999999999E-2</v>
      </c>
      <c r="Q4063">
        <v>2.2647019999999999E-3</v>
      </c>
      <c r="R4063">
        <v>-0.99865729999999997</v>
      </c>
      <c r="S4063">
        <v>-0.64318850000000005</v>
      </c>
      <c r="T4063">
        <v>-0.2612334</v>
      </c>
      <c r="U4063">
        <v>-2.971848</v>
      </c>
      <c r="V4063">
        <v>9.4379469999999993E-2</v>
      </c>
      <c r="W4063">
        <v>1.583445E-2</v>
      </c>
      <c r="X4063">
        <v>0.99541040000000003</v>
      </c>
      <c r="Y4063">
        <v>0.2522974</v>
      </c>
      <c r="Z4063">
        <v>8.5051020000000005E-2</v>
      </c>
      <c r="AA4063">
        <v>0.96390469999999895</v>
      </c>
      <c r="AB4063">
        <v>24</v>
      </c>
      <c r="AC4063">
        <v>-2.7367999999999801</v>
      </c>
      <c r="AD4063">
        <v>-1.1091378441699999</v>
      </c>
      <c r="AE4063">
        <v>-12.4711</v>
      </c>
      <c r="AF4063">
        <v>3.2423076163519799</v>
      </c>
      <c r="AG4063">
        <v>-1.1091378441699999</v>
      </c>
      <c r="AH4063">
        <v>12.250430594531799</v>
      </c>
      <c r="AI4063">
        <v>95.002067178418997</v>
      </c>
      <c r="AJ4063">
        <v>75.175501863741601</v>
      </c>
      <c r="AK4063">
        <v>12.7206837547305</v>
      </c>
      <c r="AL4063">
        <v>89.092714963149305</v>
      </c>
      <c r="AM4063">
        <v>84.583713537286499</v>
      </c>
      <c r="AN4063">
        <v>1.0000000392962201</v>
      </c>
    </row>
    <row r="4064" spans="1:40" x14ac:dyDescent="0.25">
      <c r="A4064" t="str">
        <f>"20190312154917182"</f>
        <v>20190312154917182</v>
      </c>
      <c r="B4064" t="str">
        <f>"1552376957169863"</f>
        <v>1552376957169863</v>
      </c>
      <c r="C4064" t="s">
        <v>40</v>
      </c>
      <c r="D4064">
        <v>4.5899320000000001</v>
      </c>
      <c r="E4064">
        <v>0.56292279999999995</v>
      </c>
      <c r="F4064" t="s">
        <v>63</v>
      </c>
      <c r="G4064">
        <v>-195.65889999999999</v>
      </c>
      <c r="H4064" s="1">
        <v>-1.4792399999999999E-5</v>
      </c>
      <c r="I4064">
        <v>158.88069999999999</v>
      </c>
      <c r="J4064">
        <v>-192.88329999999999</v>
      </c>
      <c r="K4064">
        <v>1.10902099999999</v>
      </c>
      <c r="L4064">
        <v>171.4092</v>
      </c>
      <c r="M4064">
        <v>4.1835770000000001E-2</v>
      </c>
      <c r="N4064">
        <v>0</v>
      </c>
      <c r="O4064">
        <v>-0.9990289</v>
      </c>
      <c r="P4064">
        <v>-5.2841050000000001E-2</v>
      </c>
      <c r="Q4064">
        <v>1.7225840000000001E-3</v>
      </c>
      <c r="R4064">
        <v>-0.99860170000000004</v>
      </c>
      <c r="S4064">
        <v>-0.64920040000000001</v>
      </c>
      <c r="T4064">
        <v>-0.25993939999999999</v>
      </c>
      <c r="U4064">
        <v>-2.970993</v>
      </c>
      <c r="V4064">
        <v>9.4613249999999996E-2</v>
      </c>
      <c r="W4064">
        <v>1.5268510000000001E-2</v>
      </c>
      <c r="X4064">
        <v>0.99539699999999998</v>
      </c>
      <c r="Y4064">
        <v>0.25339529999999999</v>
      </c>
      <c r="Z4064">
        <v>8.4630960000000005E-2</v>
      </c>
      <c r="AA4064">
        <v>0.96365369999999995</v>
      </c>
      <c r="AB4064">
        <v>24</v>
      </c>
      <c r="AC4064">
        <v>-2.7755999999999901</v>
      </c>
      <c r="AD4064">
        <v>-1.1090357923999901</v>
      </c>
      <c r="AE4064">
        <v>-12.528499999999999</v>
      </c>
      <c r="AF4064">
        <v>3.2729124271027201</v>
      </c>
      <c r="AG4064">
        <v>-1.1090357923999901</v>
      </c>
      <c r="AH4064">
        <v>12.309454911221099</v>
      </c>
      <c r="AI4064">
        <v>94.976253307566395</v>
      </c>
      <c r="AJ4064">
        <v>75.110347246676298</v>
      </c>
      <c r="AK4064">
        <v>12.78532738555</v>
      </c>
      <c r="AL4064">
        <v>89.125144815344299</v>
      </c>
      <c r="AM4064">
        <v>84.5703047010375</v>
      </c>
      <c r="AN4064">
        <v>0.99999999104109105</v>
      </c>
    </row>
    <row r="4065" spans="1:40" x14ac:dyDescent="0.25">
      <c r="A4065" t="str">
        <f>"20190312154917200"</f>
        <v>20190312154917200</v>
      </c>
      <c r="B4065" t="str">
        <f>"1552376957189384"</f>
        <v>1552376957189384</v>
      </c>
      <c r="C4065" t="s">
        <v>40</v>
      </c>
      <c r="D4065">
        <v>4.5861460000000003</v>
      </c>
      <c r="E4065">
        <v>0.56310400000000005</v>
      </c>
      <c r="F4065" t="s">
        <v>63</v>
      </c>
      <c r="G4065">
        <v>-195.66759999999999</v>
      </c>
      <c r="H4065" s="1">
        <v>-1.4763360000000001E-5</v>
      </c>
      <c r="I4065">
        <v>158.7653</v>
      </c>
      <c r="J4065">
        <v>-192.87649999999999</v>
      </c>
      <c r="K4065">
        <v>1.1088990000000001</v>
      </c>
      <c r="L4065">
        <v>171.2149</v>
      </c>
      <c r="M4065">
        <v>4.0583519999999998E-2</v>
      </c>
      <c r="N4065">
        <v>0</v>
      </c>
      <c r="O4065">
        <v>-0.99908039999999998</v>
      </c>
      <c r="P4065">
        <v>-5.4478840000000001E-2</v>
      </c>
      <c r="Q4065">
        <v>7.5288039999999996E-4</v>
      </c>
      <c r="R4065">
        <v>-0.99851489999999998</v>
      </c>
      <c r="S4065">
        <v>-0.6540222</v>
      </c>
      <c r="T4065">
        <v>-0.26051069999999998</v>
      </c>
      <c r="U4065">
        <v>-2.9700470000000001</v>
      </c>
      <c r="V4065">
        <v>9.4999910000000007E-2</v>
      </c>
      <c r="W4065">
        <v>1.4271549999999999E-2</v>
      </c>
      <c r="X4065">
        <v>0.99537500000000001</v>
      </c>
      <c r="Y4065">
        <v>0.25373600000000002</v>
      </c>
      <c r="Z4065">
        <v>8.483011E-2</v>
      </c>
      <c r="AA4065">
        <v>0.96354649999999997</v>
      </c>
      <c r="AB4065">
        <v>24</v>
      </c>
      <c r="AC4065">
        <v>-2.7911000000000001</v>
      </c>
      <c r="AD4065">
        <v>-1.1089137633599999</v>
      </c>
      <c r="AE4065">
        <v>-12.4496</v>
      </c>
      <c r="AF4065">
        <v>3.2693994255297598</v>
      </c>
      <c r="AG4065">
        <v>-1.1089137633599999</v>
      </c>
      <c r="AH4065">
        <v>12.2336428388865</v>
      </c>
      <c r="AI4065">
        <v>95.0047004933392</v>
      </c>
      <c r="AJ4065">
        <v>75.037565687144493</v>
      </c>
      <c r="AK4065">
        <v>12.7114389212104</v>
      </c>
      <c r="AL4065">
        <v>89.182272678276505</v>
      </c>
      <c r="AM4065">
        <v>84.548128585544205</v>
      </c>
      <c r="AN4065">
        <v>1.0000000253321999</v>
      </c>
    </row>
    <row r="4066" spans="1:40" x14ac:dyDescent="0.25">
      <c r="A4066" t="str">
        <f>"20190312154917213"</f>
        <v>20190312154917213</v>
      </c>
      <c r="B4066" t="str">
        <f>"1552376957200119"</f>
        <v>1552376957200119</v>
      </c>
      <c r="C4066" t="s">
        <v>40</v>
      </c>
      <c r="D4066">
        <v>4.6014480000000004</v>
      </c>
      <c r="E4066">
        <v>0.56320319999999902</v>
      </c>
      <c r="F4066" t="s">
        <v>63</v>
      </c>
      <c r="G4066">
        <v>-195.66249999999999</v>
      </c>
      <c r="H4066" s="1">
        <v>-1.474354E-5</v>
      </c>
      <c r="I4066">
        <v>158.6865</v>
      </c>
      <c r="J4066">
        <v>-192.87200000000001</v>
      </c>
      <c r="K4066">
        <v>1.1088279999999999</v>
      </c>
      <c r="L4066">
        <v>171.07810000000001</v>
      </c>
      <c r="M4066">
        <v>3.962309E-2</v>
      </c>
      <c r="N4066">
        <v>0</v>
      </c>
      <c r="O4066">
        <v>-0.99911910000000004</v>
      </c>
      <c r="P4066">
        <v>-5.5402319999999998E-2</v>
      </c>
      <c r="Q4066">
        <v>4.6298999999999998E-4</v>
      </c>
      <c r="R4066">
        <v>-0.99846449999999998</v>
      </c>
      <c r="S4066">
        <v>-0.66015630000000003</v>
      </c>
      <c r="T4066">
        <v>-0.26276250000000001</v>
      </c>
      <c r="U4066">
        <v>-2.968658</v>
      </c>
      <c r="V4066">
        <v>9.4965270000000004E-2</v>
      </c>
      <c r="W4066">
        <v>1.396593E-2</v>
      </c>
      <c r="X4066">
        <v>0.99538260000000001</v>
      </c>
      <c r="Y4066">
        <v>0.25478509999999999</v>
      </c>
      <c r="Z4066">
        <v>8.5570939999999998E-2</v>
      </c>
      <c r="AA4066">
        <v>0.96320410000000001</v>
      </c>
      <c r="AB4066">
        <v>24</v>
      </c>
      <c r="AC4066">
        <v>-2.79049999999997</v>
      </c>
      <c r="AD4066">
        <v>-1.1088427435399999</v>
      </c>
      <c r="AE4066">
        <v>-12.3916</v>
      </c>
      <c r="AF4066">
        <v>3.2545462792569801</v>
      </c>
      <c r="AG4066">
        <v>-1.1088427435399999</v>
      </c>
      <c r="AH4066">
        <v>12.1784782322315</v>
      </c>
      <c r="AI4066">
        <v>95.026945281436099</v>
      </c>
      <c r="AJ4066">
        <v>75.038051308220901</v>
      </c>
      <c r="AK4066">
        <v>12.6545223444689</v>
      </c>
      <c r="AL4066">
        <v>89.199785127340903</v>
      </c>
      <c r="AM4066">
        <v>84.550145901659306</v>
      </c>
      <c r="AN4066">
        <v>0.99999998504484799</v>
      </c>
    </row>
    <row r="4067" spans="1:40" x14ac:dyDescent="0.25">
      <c r="A4067" t="str">
        <f>"20190312154917226"</f>
        <v>20190312154917226</v>
      </c>
      <c r="B4067" t="str">
        <f>"1552376957219640"</f>
        <v>1552376957219640</v>
      </c>
      <c r="C4067" t="s">
        <v>40</v>
      </c>
      <c r="D4067">
        <v>4.5958119999999996</v>
      </c>
      <c r="E4067">
        <v>0.56335089999999999</v>
      </c>
      <c r="F4067" t="s">
        <v>63</v>
      </c>
      <c r="G4067">
        <v>-195.66480000000001</v>
      </c>
      <c r="H4067" s="1">
        <v>-1.4718709999999999E-5</v>
      </c>
      <c r="I4067">
        <v>158.58779999999999</v>
      </c>
      <c r="J4067">
        <v>-192.86709999999999</v>
      </c>
      <c r="K4067">
        <v>1.1087640000000001</v>
      </c>
      <c r="L4067">
        <v>170.92699999999999</v>
      </c>
      <c r="M4067">
        <v>3.850758E-2</v>
      </c>
      <c r="N4067">
        <v>0</v>
      </c>
      <c r="O4067">
        <v>-0.99916260000000001</v>
      </c>
      <c r="P4067">
        <v>-5.6584809999999999E-2</v>
      </c>
      <c r="Q4067">
        <v>3.5148180000000001E-4</v>
      </c>
      <c r="R4067">
        <v>-0.99839770000000005</v>
      </c>
      <c r="S4067">
        <v>-0.66361999999999999</v>
      </c>
      <c r="T4067">
        <v>-0.26348199999999999</v>
      </c>
      <c r="U4067">
        <v>-2.9679259999999998</v>
      </c>
      <c r="V4067">
        <v>9.5034930000000004E-2</v>
      </c>
      <c r="W4067">
        <v>1.383815E-2</v>
      </c>
      <c r="X4067">
        <v>0.99537779999999998</v>
      </c>
      <c r="Y4067">
        <v>0.2548223</v>
      </c>
      <c r="Z4067">
        <v>8.5818560000000002E-2</v>
      </c>
      <c r="AA4067">
        <v>0.96317229999999998</v>
      </c>
      <c r="AB4067">
        <v>24</v>
      </c>
      <c r="AC4067">
        <v>-2.7977000000000198</v>
      </c>
      <c r="AD4067">
        <v>-1.10877871870999</v>
      </c>
      <c r="AE4067">
        <v>-12.3392</v>
      </c>
      <c r="AF4067">
        <v>3.2458952278778899</v>
      </c>
      <c r="AG4067">
        <v>-1.10877871870999</v>
      </c>
      <c r="AH4067">
        <v>12.129155057302899</v>
      </c>
      <c r="AI4067">
        <v>95.046524052933506</v>
      </c>
      <c r="AJ4067">
        <v>75.018080894045596</v>
      </c>
      <c r="AK4067">
        <v>12.604825602979201</v>
      </c>
      <c r="AL4067">
        <v>89.207107140077099</v>
      </c>
      <c r="AM4067">
        <v>84.546146216520796</v>
      </c>
      <c r="AN4067">
        <v>1.00000004852418</v>
      </c>
    </row>
    <row r="4068" spans="1:40" x14ac:dyDescent="0.25">
      <c r="A4068" t="str">
        <f>"20190312154917240"</f>
        <v>20190312154917240</v>
      </c>
      <c r="B4068" t="str">
        <f>"1552376957229400"</f>
        <v>1552376957229400</v>
      </c>
      <c r="C4068" t="s">
        <v>40</v>
      </c>
      <c r="D4068">
        <v>4.6277929999999996</v>
      </c>
      <c r="E4068">
        <v>0.56335409999999997</v>
      </c>
      <c r="F4068" t="s">
        <v>63</v>
      </c>
      <c r="G4068">
        <v>-195.7003</v>
      </c>
      <c r="H4068" s="1">
        <v>-1.46566799999999E-5</v>
      </c>
      <c r="I4068">
        <v>158.34129999999999</v>
      </c>
      <c r="J4068">
        <v>-192.86250000000001</v>
      </c>
      <c r="K4068">
        <v>1.1087009999999999</v>
      </c>
      <c r="L4068">
        <v>170.7747</v>
      </c>
      <c r="M4068">
        <v>3.7296910000000003E-2</v>
      </c>
      <c r="N4068">
        <v>0</v>
      </c>
      <c r="O4068">
        <v>-0.9992086</v>
      </c>
      <c r="P4068">
        <v>-5.7784389999999998E-2</v>
      </c>
      <c r="Q4068" s="1">
        <v>1.6548549999999999E-5</v>
      </c>
      <c r="R4068">
        <v>-0.99832909999999997</v>
      </c>
      <c r="S4068">
        <v>-0.66790769999999899</v>
      </c>
      <c r="T4068">
        <v>-0.26139269999999998</v>
      </c>
      <c r="U4068">
        <v>-2.9670719999999999</v>
      </c>
      <c r="V4068">
        <v>9.5025869999999998E-2</v>
      </c>
      <c r="W4068">
        <v>1.348866E-2</v>
      </c>
      <c r="X4068">
        <v>0.99538340000000003</v>
      </c>
      <c r="Y4068">
        <v>0.25504779999999999</v>
      </c>
      <c r="Z4068">
        <v>8.5157179999999999E-2</v>
      </c>
      <c r="AA4068">
        <v>0.96317120000000001</v>
      </c>
      <c r="AB4068">
        <v>24</v>
      </c>
      <c r="AC4068">
        <v>-2.8377999999999801</v>
      </c>
      <c r="AD4068">
        <v>-1.1087156566799901</v>
      </c>
      <c r="AE4068">
        <v>-12.433400000000001</v>
      </c>
      <c r="AF4068">
        <v>3.27484563663864</v>
      </c>
      <c r="AG4068">
        <v>-1.1087156566799901</v>
      </c>
      <c r="AH4068">
        <v>12.2264885955064</v>
      </c>
      <c r="AI4068">
        <v>95.005975582888993</v>
      </c>
      <c r="AJ4068">
        <v>75.005387266247496</v>
      </c>
      <c r="AK4068">
        <v>12.7059390730172</v>
      </c>
      <c r="AL4068">
        <v>89.227133262632904</v>
      </c>
      <c r="AM4068">
        <v>84.546693511633805</v>
      </c>
      <c r="AN4068">
        <v>0.99999998645670596</v>
      </c>
    </row>
    <row r="4069" spans="1:40" x14ac:dyDescent="0.25">
      <c r="A4069" t="str">
        <f>"20190312154917256"</f>
        <v>20190312154917256</v>
      </c>
      <c r="B4069" t="str">
        <f>"1552376957249477"</f>
        <v>1552376957249477</v>
      </c>
      <c r="C4069" t="s">
        <v>40</v>
      </c>
      <c r="D4069">
        <v>4.6512719999999996</v>
      </c>
      <c r="E4069">
        <v>0.56337689999999996</v>
      </c>
      <c r="F4069" t="s">
        <v>63</v>
      </c>
      <c r="G4069">
        <v>-195.69669999999999</v>
      </c>
      <c r="H4069" s="1">
        <v>-1.463437E-5</v>
      </c>
      <c r="I4069">
        <v>158.2526</v>
      </c>
      <c r="J4069">
        <v>-192.8578</v>
      </c>
      <c r="K4069">
        <v>1.108644</v>
      </c>
      <c r="L4069">
        <v>170.6096</v>
      </c>
      <c r="M4069">
        <v>3.592969E-2</v>
      </c>
      <c r="N4069">
        <v>0</v>
      </c>
      <c r="O4069">
        <v>-0.9992586</v>
      </c>
      <c r="P4069">
        <v>-5.901286E-2</v>
      </c>
      <c r="Q4069">
        <v>-5.0936459999999999E-4</v>
      </c>
      <c r="R4069">
        <v>-0.99825710000000001</v>
      </c>
      <c r="S4069">
        <v>-0.67134090000000002</v>
      </c>
      <c r="T4069">
        <v>-0.26262770000000002</v>
      </c>
      <c r="U4069">
        <v>-2.9661710000000001</v>
      </c>
      <c r="V4069">
        <v>9.4888940000000005E-2</v>
      </c>
      <c r="W4069">
        <v>1.295084E-2</v>
      </c>
      <c r="X4069">
        <v>0.99540360000000006</v>
      </c>
      <c r="Y4069">
        <v>0.25484059999999997</v>
      </c>
      <c r="Z4069">
        <v>8.5579859999999994E-2</v>
      </c>
      <c r="AA4069">
        <v>0.96318859999999995</v>
      </c>
      <c r="AB4069">
        <v>24</v>
      </c>
      <c r="AC4069">
        <v>-2.83889999999999</v>
      </c>
      <c r="AD4069">
        <v>-1.10865863437</v>
      </c>
      <c r="AE4069">
        <v>-12.356999999999999</v>
      </c>
      <c r="AF4069">
        <v>3.2561955586102802</v>
      </c>
      <c r="AG4069">
        <v>-1.10865863437</v>
      </c>
      <c r="AH4069">
        <v>12.1540797076056</v>
      </c>
      <c r="AI4069">
        <v>95.035311829312803</v>
      </c>
      <c r="AJ4069">
        <v>75.002112468901601</v>
      </c>
      <c r="AK4069">
        <v>12.6314522926822</v>
      </c>
      <c r="AL4069">
        <v>89.2579507685208</v>
      </c>
      <c r="AM4069">
        <v>84.5546141687621</v>
      </c>
      <c r="AN4069">
        <v>0.99999998104199395</v>
      </c>
    </row>
    <row r="4070" spans="1:40" x14ac:dyDescent="0.25">
      <c r="A4070" t="str">
        <f>"20190312154917271"</f>
        <v>20190312154917271</v>
      </c>
      <c r="B4070" t="str">
        <f>"1552376957260213"</f>
        <v>1552376957260213</v>
      </c>
      <c r="C4070" t="s">
        <v>40</v>
      </c>
      <c r="D4070">
        <v>4.6119479999999999</v>
      </c>
      <c r="E4070">
        <v>0.56341039999999998</v>
      </c>
      <c r="F4070" t="s">
        <v>63</v>
      </c>
      <c r="G4070">
        <v>-195.69569999999999</v>
      </c>
      <c r="H4070" s="1">
        <v>-1.460508E-5</v>
      </c>
      <c r="I4070">
        <v>158.1362</v>
      </c>
      <c r="J4070">
        <v>-192.8535</v>
      </c>
      <c r="K4070">
        <v>1.1085929999999999</v>
      </c>
      <c r="L4070">
        <v>170.44970000000001</v>
      </c>
      <c r="M4070">
        <v>3.4559689999999997E-2</v>
      </c>
      <c r="N4070">
        <v>0</v>
      </c>
      <c r="O4070">
        <v>-0.99930719999999995</v>
      </c>
      <c r="P4070">
        <v>-6.0374369999999997E-2</v>
      </c>
      <c r="Q4070">
        <v>-6.1624719999999996E-4</v>
      </c>
      <c r="R4070">
        <v>-0.9981759</v>
      </c>
      <c r="S4070">
        <v>-0.67462159999999904</v>
      </c>
      <c r="T4070">
        <v>-0.26355309999999998</v>
      </c>
      <c r="U4070">
        <v>-2.9652250000000002</v>
      </c>
      <c r="V4070">
        <v>9.4883110000000007E-2</v>
      </c>
      <c r="W4070">
        <v>1.283259E-2</v>
      </c>
      <c r="X4070">
        <v>0.99540569999999895</v>
      </c>
      <c r="Y4070">
        <v>0.2545886</v>
      </c>
      <c r="Z4070">
        <v>8.5904590000000003E-2</v>
      </c>
      <c r="AA4070">
        <v>0.96322640000000004</v>
      </c>
      <c r="AB4070">
        <v>24</v>
      </c>
      <c r="AC4070">
        <v>-2.8421999999999898</v>
      </c>
      <c r="AD4070">
        <v>-1.10860760507999</v>
      </c>
      <c r="AE4070">
        <v>-12.313499999999999</v>
      </c>
      <c r="AF4070">
        <v>3.2411501692570499</v>
      </c>
      <c r="AG4070">
        <v>-1.10860760507999</v>
      </c>
      <c r="AH4070">
        <v>12.1146767622587</v>
      </c>
      <c r="AI4070">
        <v>95.051838442461801</v>
      </c>
      <c r="AJ4070">
        <v>75.021922848130998</v>
      </c>
      <c r="AK4070">
        <v>12.5896567981708</v>
      </c>
      <c r="AL4070">
        <v>89.264726567012005</v>
      </c>
      <c r="AM4070">
        <v>84.554958142123098</v>
      </c>
      <c r="AN4070">
        <v>0.99999999376093396</v>
      </c>
    </row>
    <row r="4071" spans="1:40" x14ac:dyDescent="0.25">
      <c r="A4071" t="str">
        <f>"20190312154917291"</f>
        <v>20190312154917291</v>
      </c>
      <c r="B4071" t="str">
        <f>"1552376957279733"</f>
        <v>1552376957279733</v>
      </c>
      <c r="C4071" t="s">
        <v>40</v>
      </c>
      <c r="D4071">
        <v>4.6402130000000001</v>
      </c>
      <c r="E4071">
        <v>0.56367460000000003</v>
      </c>
      <c r="F4071" t="s">
        <v>63</v>
      </c>
      <c r="G4071">
        <v>-195.6849</v>
      </c>
      <c r="H4071" s="1">
        <v>-1.459086E-5</v>
      </c>
      <c r="I4071">
        <v>158.0797</v>
      </c>
      <c r="J4071">
        <v>-192.84800000000001</v>
      </c>
      <c r="K4071">
        <v>1.1085309999999999</v>
      </c>
      <c r="L4071">
        <v>170.22749999999999</v>
      </c>
      <c r="M4071">
        <v>3.258366E-2</v>
      </c>
      <c r="N4071">
        <v>0</v>
      </c>
      <c r="O4071">
        <v>-0.99937330000000002</v>
      </c>
      <c r="P4071">
        <v>-6.2915609999999997E-2</v>
      </c>
      <c r="Q4071">
        <v>-1.304847E-3</v>
      </c>
      <c r="R4071">
        <v>-0.99801799999999996</v>
      </c>
      <c r="S4071">
        <v>-0.67849729999999997</v>
      </c>
      <c r="T4071">
        <v>-0.26565850000000002</v>
      </c>
      <c r="U4071">
        <v>-2.964264</v>
      </c>
      <c r="V4071">
        <v>9.5448610000000003E-2</v>
      </c>
      <c r="W4071">
        <v>1.2128359999999999E-2</v>
      </c>
      <c r="X4071">
        <v>0.99536049999999998</v>
      </c>
      <c r="Y4071">
        <v>0.25392789999999998</v>
      </c>
      <c r="Z4071">
        <v>8.6616810000000002E-2</v>
      </c>
      <c r="AA4071">
        <v>0.963337</v>
      </c>
      <c r="AB4071">
        <v>24</v>
      </c>
      <c r="AC4071">
        <v>-2.8369000000000102</v>
      </c>
      <c r="AD4071">
        <v>-1.1085455908599999</v>
      </c>
      <c r="AE4071">
        <v>-12.147799999999901</v>
      </c>
      <c r="AF4071">
        <v>3.2059344497798499</v>
      </c>
      <c r="AG4071">
        <v>-1.1085455908599999</v>
      </c>
      <c r="AH4071">
        <v>11.954500951195699</v>
      </c>
      <c r="AI4071">
        <v>95.118071862943907</v>
      </c>
      <c r="AJ4071">
        <v>74.987767862551706</v>
      </c>
      <c r="AK4071">
        <v>12.426462972843</v>
      </c>
      <c r="AL4071">
        <v>89.305079142645297</v>
      </c>
      <c r="AM4071">
        <v>84.522455444568394</v>
      </c>
      <c r="AN4071">
        <v>1.0000000296137299</v>
      </c>
    </row>
    <row r="4072" spans="1:40" x14ac:dyDescent="0.25">
      <c r="A4072" t="str">
        <f>"20190312154917312"</f>
        <v>20190312154917312</v>
      </c>
      <c r="B4072" t="str">
        <f>"1552376957300230"</f>
        <v>1552376957300230</v>
      </c>
      <c r="C4072" t="s">
        <v>40</v>
      </c>
      <c r="D4072">
        <v>4.6336930000000001</v>
      </c>
      <c r="E4072">
        <v>0.56387100000000001</v>
      </c>
      <c r="F4072" t="s">
        <v>63</v>
      </c>
      <c r="G4072">
        <v>-195.64510000000001</v>
      </c>
      <c r="H4072" s="1">
        <v>-1.461502E-5</v>
      </c>
      <c r="I4072">
        <v>158.17570000000001</v>
      </c>
      <c r="J4072">
        <v>-192.84280000000001</v>
      </c>
      <c r="K4072">
        <v>1.108479</v>
      </c>
      <c r="L4072">
        <v>169.9949</v>
      </c>
      <c r="M4072">
        <v>3.044819E-2</v>
      </c>
      <c r="N4072">
        <v>0</v>
      </c>
      <c r="O4072">
        <v>-0.99944069999999996</v>
      </c>
      <c r="P4072">
        <v>-6.6319840000000005E-2</v>
      </c>
      <c r="Q4072">
        <v>-1.9848240000000001E-3</v>
      </c>
      <c r="R4072">
        <v>-0.99779669999999998</v>
      </c>
      <c r="S4072">
        <v>-0.6875</v>
      </c>
      <c r="T4072">
        <v>-0.27247359999999998</v>
      </c>
      <c r="U4072">
        <v>-2.96225</v>
      </c>
      <c r="V4072">
        <v>9.6716170000000004E-2</v>
      </c>
      <c r="W4072">
        <v>1.143079E-2</v>
      </c>
      <c r="X4072">
        <v>0.99524639999999998</v>
      </c>
      <c r="Y4072">
        <v>0.25473960000000001</v>
      </c>
      <c r="Z4072">
        <v>8.8849090000000006E-2</v>
      </c>
      <c r="AA4072">
        <v>0.96291930000000003</v>
      </c>
      <c r="AB4072">
        <v>24</v>
      </c>
      <c r="AC4072">
        <v>-2.8022999999999998</v>
      </c>
      <c r="AD4072">
        <v>-1.10849361502</v>
      </c>
      <c r="AE4072">
        <v>-11.819199999999899</v>
      </c>
      <c r="AF4072">
        <v>3.13480165415148</v>
      </c>
      <c r="AG4072">
        <v>-1.10849361502</v>
      </c>
      <c r="AH4072">
        <v>11.631519163578901</v>
      </c>
      <c r="AI4072">
        <v>95.257412801450201</v>
      </c>
      <c r="AJ4072">
        <v>74.916637114663999</v>
      </c>
      <c r="AK4072">
        <v>12.0974368176946</v>
      </c>
      <c r="AL4072">
        <v>89.345049738300602</v>
      </c>
      <c r="AM4072">
        <v>84.449532421233698</v>
      </c>
      <c r="AN4072">
        <v>1.00000003860622</v>
      </c>
    </row>
    <row r="4073" spans="1:40" x14ac:dyDescent="0.25">
      <c r="A4073" t="str">
        <f>"20190312154917325"</f>
        <v>20190312154917325</v>
      </c>
      <c r="B4073" t="str">
        <f>"1552376957309989"</f>
        <v>1552376957309989</v>
      </c>
      <c r="C4073" t="s">
        <v>40</v>
      </c>
      <c r="D4073">
        <v>4.6059919999999996</v>
      </c>
      <c r="E4073">
        <v>0.56390289999999998</v>
      </c>
      <c r="F4073" t="s">
        <v>63</v>
      </c>
      <c r="G4073">
        <v>-195.6232</v>
      </c>
      <c r="H4073" s="1">
        <v>-1.4625910000000001E-5</v>
      </c>
      <c r="I4073">
        <v>158.21899999999999</v>
      </c>
      <c r="J4073">
        <v>-192.84010000000001</v>
      </c>
      <c r="K4073">
        <v>1.1084529999999999</v>
      </c>
      <c r="L4073">
        <v>169.86070000000001</v>
      </c>
      <c r="M4073">
        <v>2.9195740000000001E-2</v>
      </c>
      <c r="N4073">
        <v>0</v>
      </c>
      <c r="O4073">
        <v>-0.99947790000000003</v>
      </c>
      <c r="P4073">
        <v>-6.8498820000000002E-2</v>
      </c>
      <c r="Q4073">
        <v>-2.3735689999999999E-3</v>
      </c>
      <c r="R4073">
        <v>-0.99764839999999999</v>
      </c>
      <c r="S4073">
        <v>-0.69877619999999996</v>
      </c>
      <c r="T4073">
        <v>-0.2785977</v>
      </c>
      <c r="U4073">
        <v>-2.959641</v>
      </c>
      <c r="V4073">
        <v>9.7641749999999999E-2</v>
      </c>
      <c r="W4073">
        <v>1.1032180000000001E-2</v>
      </c>
      <c r="X4073">
        <v>0.9951605</v>
      </c>
      <c r="Y4073">
        <v>0.25715070000000001</v>
      </c>
      <c r="Z4073">
        <v>9.0843549999999995E-2</v>
      </c>
      <c r="AA4073">
        <v>0.96209199999999995</v>
      </c>
      <c r="AB4073">
        <v>24</v>
      </c>
      <c r="AC4073">
        <v>-2.7830999999999899</v>
      </c>
      <c r="AD4073">
        <v>-1.1084676259099999</v>
      </c>
      <c r="AE4073">
        <v>-11.6417</v>
      </c>
      <c r="AF4073">
        <v>3.0952893026849702</v>
      </c>
      <c r="AG4073">
        <v>-1.1084676259099999</v>
      </c>
      <c r="AH4073">
        <v>11.457218747667</v>
      </c>
      <c r="AI4073">
        <v>95.335942547075106</v>
      </c>
      <c r="AJ4073">
        <v>74.8818477616596</v>
      </c>
      <c r="AK4073">
        <v>11.919621545036501</v>
      </c>
      <c r="AL4073">
        <v>89.367889837470102</v>
      </c>
      <c r="AM4073">
        <v>84.396269951535302</v>
      </c>
      <c r="AN4073">
        <v>1.0000000205494299</v>
      </c>
    </row>
    <row r="4074" spans="1:40" x14ac:dyDescent="0.25">
      <c r="A4074" t="str">
        <f>"20190312154917346"</f>
        <v>20190312154917346</v>
      </c>
      <c r="B4074" t="str">
        <f>"1552376957340246"</f>
        <v>1552376957340246</v>
      </c>
      <c r="C4074" t="s">
        <v>40</v>
      </c>
      <c r="D4074">
        <v>4.5643549999999999</v>
      </c>
      <c r="E4074">
        <v>0.56411820000000001</v>
      </c>
      <c r="F4074" t="s">
        <v>63</v>
      </c>
      <c r="G4074">
        <v>-195.6217</v>
      </c>
      <c r="H4074" s="1">
        <v>-1.461985E-5</v>
      </c>
      <c r="I4074">
        <v>158.19489999999999</v>
      </c>
      <c r="J4074">
        <v>-192.83600000000001</v>
      </c>
      <c r="K4074">
        <v>1.108428</v>
      </c>
      <c r="L4074">
        <v>169.63800000000001</v>
      </c>
      <c r="M4074">
        <v>2.707845E-2</v>
      </c>
      <c r="N4074">
        <v>0</v>
      </c>
      <c r="O4074">
        <v>-0.99953760000000003</v>
      </c>
      <c r="P4074">
        <v>-7.2811580000000001E-2</v>
      </c>
      <c r="Q4074">
        <v>-3.03703E-3</v>
      </c>
      <c r="R4074">
        <v>-0.99734160000000005</v>
      </c>
      <c r="S4074">
        <v>-0.70530700000000002</v>
      </c>
      <c r="T4074">
        <v>-0.28106370000000003</v>
      </c>
      <c r="U4074">
        <v>-2.9579930000000001</v>
      </c>
      <c r="V4074">
        <v>9.9834270000000003E-2</v>
      </c>
      <c r="W4074">
        <v>1.035082E-2</v>
      </c>
      <c r="X4074">
        <v>0.99495020000000001</v>
      </c>
      <c r="Y4074">
        <v>0.25721749999999999</v>
      </c>
      <c r="Z4074">
        <v>9.1674640000000002E-2</v>
      </c>
      <c r="AA4074">
        <v>0.9619953</v>
      </c>
      <c r="AB4074">
        <v>24</v>
      </c>
      <c r="AC4074">
        <v>-2.7857000000000198</v>
      </c>
      <c r="AD4074">
        <v>-1.1084426198499999</v>
      </c>
      <c r="AE4074">
        <v>-11.443099999999999</v>
      </c>
      <c r="AF4074">
        <v>3.0673983849284499</v>
      </c>
      <c r="AG4074">
        <v>-1.1084426198499999</v>
      </c>
      <c r="AH4074">
        <v>11.2636897934328</v>
      </c>
      <c r="AI4074">
        <v>95.424007550375805</v>
      </c>
      <c r="AJ4074">
        <v>74.766269757595396</v>
      </c>
      <c r="AK4074">
        <v>11.726392695797101</v>
      </c>
      <c r="AL4074">
        <v>89.406931085695106</v>
      </c>
      <c r="AM4074">
        <v>84.270064697068506</v>
      </c>
      <c r="AN4074">
        <v>0.99999996071057196</v>
      </c>
    </row>
    <row r="4075" spans="1:40" x14ac:dyDescent="0.25">
      <c r="A4075" t="str">
        <f>"20190312154917358"</f>
        <v>20190312154917358</v>
      </c>
      <c r="B4075" t="str">
        <f>"1552376957350005"</f>
        <v>1552376957350005</v>
      </c>
      <c r="C4075" t="s">
        <v>40</v>
      </c>
      <c r="D4075">
        <v>4.5876939999999999</v>
      </c>
      <c r="E4075">
        <v>0.56418230000000003</v>
      </c>
      <c r="F4075" t="s">
        <v>63</v>
      </c>
      <c r="G4075">
        <v>-195.63140000000001</v>
      </c>
      <c r="H4075" s="1">
        <v>-1.461142E-5</v>
      </c>
      <c r="I4075">
        <v>158.16139999999999</v>
      </c>
      <c r="J4075">
        <v>-192.83369999999999</v>
      </c>
      <c r="K4075">
        <v>1.10842</v>
      </c>
      <c r="L4075">
        <v>169.4983</v>
      </c>
      <c r="M4075">
        <v>2.5733200000000001E-2</v>
      </c>
      <c r="N4075">
        <v>0</v>
      </c>
      <c r="O4075">
        <v>-0.99957320000000005</v>
      </c>
      <c r="P4075">
        <v>-7.5488219999999995E-2</v>
      </c>
      <c r="Q4075">
        <v>-3.285203E-3</v>
      </c>
      <c r="R4075">
        <v>-0.99714179999999997</v>
      </c>
      <c r="S4075">
        <v>-0.71966549999999996</v>
      </c>
      <c r="T4075">
        <v>-0.28536270000000002</v>
      </c>
      <c r="U4075">
        <v>-2.9546049999999999</v>
      </c>
      <c r="V4075">
        <v>0.1011649</v>
      </c>
      <c r="W4075">
        <v>1.0093339999999999E-2</v>
      </c>
      <c r="X4075">
        <v>0.99481839999999999</v>
      </c>
      <c r="Y4075">
        <v>0.2605518</v>
      </c>
      <c r="Z4075">
        <v>9.3078079999999994E-2</v>
      </c>
      <c r="AA4075">
        <v>0.96096269999999995</v>
      </c>
      <c r="AB4075">
        <v>24</v>
      </c>
      <c r="AC4075">
        <v>-2.7977000000000198</v>
      </c>
      <c r="AD4075">
        <v>-1.1084346114200001</v>
      </c>
      <c r="AE4075">
        <v>-11.3369</v>
      </c>
      <c r="AF4075">
        <v>3.0609547007784998</v>
      </c>
      <c r="AG4075">
        <v>-1.1084346114200001</v>
      </c>
      <c r="AH4075">
        <v>11.160580018563801</v>
      </c>
      <c r="AI4075">
        <v>95.471094836959097</v>
      </c>
      <c r="AJ4075">
        <v>74.6629161540382</v>
      </c>
      <c r="AK4075">
        <v>11.625687821319501</v>
      </c>
      <c r="AL4075">
        <v>89.421684357104894</v>
      </c>
      <c r="AM4075">
        <v>84.193448263127493</v>
      </c>
      <c r="AN4075">
        <v>0.99999993074145999</v>
      </c>
    </row>
    <row r="4076" spans="1:40" x14ac:dyDescent="0.25">
      <c r="A4076" t="str">
        <f>"20190312154917371"</f>
        <v>20190312154917371</v>
      </c>
      <c r="B4076" t="str">
        <f>"1552376957359765"</f>
        <v>1552376957359765</v>
      </c>
      <c r="C4076" t="s">
        <v>40</v>
      </c>
      <c r="D4076">
        <v>4.5787250000000004</v>
      </c>
      <c r="E4076">
        <v>0.56423230000000002</v>
      </c>
      <c r="F4076" t="s">
        <v>63</v>
      </c>
      <c r="G4076">
        <v>-195.649</v>
      </c>
      <c r="H4076" s="1">
        <v>-1.4590940000000001E-5</v>
      </c>
      <c r="I4076">
        <v>158.08000000000001</v>
      </c>
      <c r="J4076">
        <v>-192.83160000000001</v>
      </c>
      <c r="K4076">
        <v>1.1084130000000001</v>
      </c>
      <c r="L4076">
        <v>169.3623</v>
      </c>
      <c r="M4076">
        <v>2.4418780000000001E-2</v>
      </c>
      <c r="N4076">
        <v>0</v>
      </c>
      <c r="O4076">
        <v>-0.99960610000000005</v>
      </c>
      <c r="P4076">
        <v>-7.7693470000000001E-2</v>
      </c>
      <c r="Q4076">
        <v>-3.4886309999999999E-3</v>
      </c>
      <c r="R4076">
        <v>-0.99697159999999996</v>
      </c>
      <c r="S4076">
        <v>-0.72798160000000001</v>
      </c>
      <c r="T4076">
        <v>-0.28661720000000002</v>
      </c>
      <c r="U4076">
        <v>-2.9525299999999999</v>
      </c>
      <c r="V4076">
        <v>0.10205640000000001</v>
      </c>
      <c r="W4076">
        <v>9.8835439999999993E-3</v>
      </c>
      <c r="X4076">
        <v>0.99472950000000004</v>
      </c>
      <c r="Y4076">
        <v>0.26198129999999997</v>
      </c>
      <c r="Z4076">
        <v>9.3502479999999999E-2</v>
      </c>
      <c r="AA4076">
        <v>0.96053270000000002</v>
      </c>
      <c r="AB4076">
        <v>24</v>
      </c>
      <c r="AC4076">
        <v>-2.8173999999999899</v>
      </c>
      <c r="AD4076">
        <v>-1.1084275909400001</v>
      </c>
      <c r="AE4076">
        <v>-11.2822999999999</v>
      </c>
      <c r="AF4076">
        <v>3.0642459573037599</v>
      </c>
      <c r="AG4076">
        <v>-1.1084275909400001</v>
      </c>
      <c r="AH4076">
        <v>11.1091987014712</v>
      </c>
      <c r="AI4076">
        <v>95.494024853677402</v>
      </c>
      <c r="AJ4076">
        <v>74.579566880488201</v>
      </c>
      <c r="AK4076">
        <v>11.577241070306</v>
      </c>
      <c r="AL4076">
        <v>89.433705414117796</v>
      </c>
      <c r="AM4076">
        <v>84.142113321244196</v>
      </c>
      <c r="AN4076">
        <v>0.99999998569660498</v>
      </c>
    </row>
    <row r="4077" spans="1:40" x14ac:dyDescent="0.25">
      <c r="A4077" t="str">
        <f>"20190312154917389"</f>
        <v>20190312154917389</v>
      </c>
      <c r="B4077" t="str">
        <f>"1552376957380262"</f>
        <v>1552376957380262</v>
      </c>
      <c r="C4077" t="s">
        <v>40</v>
      </c>
      <c r="D4077">
        <v>4.5722680000000002</v>
      </c>
      <c r="E4077">
        <v>0.56428590000000001</v>
      </c>
      <c r="F4077" t="s">
        <v>63</v>
      </c>
      <c r="G4077">
        <v>-195.6592</v>
      </c>
      <c r="H4077" s="1">
        <v>-1.45724E-5</v>
      </c>
      <c r="I4077">
        <v>158.00630000000001</v>
      </c>
      <c r="J4077">
        <v>-192.82900000000001</v>
      </c>
      <c r="K4077">
        <v>1.108409</v>
      </c>
      <c r="L4077">
        <v>169.17009999999999</v>
      </c>
      <c r="M4077">
        <v>2.255192E-2</v>
      </c>
      <c r="N4077">
        <v>0</v>
      </c>
      <c r="O4077">
        <v>-0.99965000000000004</v>
      </c>
      <c r="P4077">
        <v>-8.2022209999999998E-2</v>
      </c>
      <c r="Q4077">
        <v>-3.7075620000000002E-3</v>
      </c>
      <c r="R4077">
        <v>-0.99662390000000001</v>
      </c>
      <c r="S4077">
        <v>-0.73475649999999904</v>
      </c>
      <c r="T4077">
        <v>-0.28802430000000001</v>
      </c>
      <c r="U4077">
        <v>-2.9508510000000001</v>
      </c>
      <c r="V4077">
        <v>0.1045174</v>
      </c>
      <c r="W4077">
        <v>9.6508600000000007E-3</v>
      </c>
      <c r="X4077">
        <v>0.99447629999999998</v>
      </c>
      <c r="Y4077">
        <v>0.26237329999999998</v>
      </c>
      <c r="Z4077">
        <v>9.3984650000000003E-2</v>
      </c>
      <c r="AA4077">
        <v>0.96037859999999997</v>
      </c>
      <c r="AB4077">
        <v>24</v>
      </c>
      <c r="AC4077">
        <v>-2.8301999999999898</v>
      </c>
      <c r="AD4077">
        <v>-1.1084235724</v>
      </c>
      <c r="AE4077">
        <v>-11.163799999999901</v>
      </c>
      <c r="AF4077">
        <v>3.05299047724779</v>
      </c>
      <c r="AG4077">
        <v>-1.1084235724</v>
      </c>
      <c r="AH4077">
        <v>10.995282149767499</v>
      </c>
      <c r="AI4077">
        <v>95.5479720607795</v>
      </c>
      <c r="AJ4077">
        <v>74.4819583445246</v>
      </c>
      <c r="AK4077">
        <v>11.4649720114361</v>
      </c>
      <c r="AL4077">
        <v>89.447037907321203</v>
      </c>
      <c r="AM4077">
        <v>84.000357350234097</v>
      </c>
      <c r="AN4077">
        <v>1.00000006863159</v>
      </c>
    </row>
    <row r="4078" spans="1:40" x14ac:dyDescent="0.25">
      <c r="A4078" t="str">
        <f>"20190312154917401"</f>
        <v>20190312154917401</v>
      </c>
      <c r="B4078" t="str">
        <f>"1552376957390021"</f>
        <v>1552376957390021</v>
      </c>
      <c r="C4078" t="s">
        <v>40</v>
      </c>
      <c r="D4078">
        <v>4.5541330000000002</v>
      </c>
      <c r="E4078">
        <v>0.56437700000000002</v>
      </c>
      <c r="F4078" t="s">
        <v>63</v>
      </c>
      <c r="G4078">
        <v>-195.69399999999999</v>
      </c>
      <c r="H4078" s="1">
        <v>-1.45390299999999E-5</v>
      </c>
      <c r="I4078">
        <v>157.87370000000001</v>
      </c>
      <c r="J4078">
        <v>-192.82740000000001</v>
      </c>
      <c r="K4078">
        <v>1.108412</v>
      </c>
      <c r="L4078">
        <v>169.02860000000001</v>
      </c>
      <c r="M4078">
        <v>2.1175059999999999E-2</v>
      </c>
      <c r="N4078">
        <v>0</v>
      </c>
      <c r="O4078">
        <v>-0.99968000000000001</v>
      </c>
      <c r="P4078">
        <v>-8.4647059999999996E-2</v>
      </c>
      <c r="Q4078">
        <v>-3.3992850000000002E-3</v>
      </c>
      <c r="R4078">
        <v>-0.99640519999999999</v>
      </c>
      <c r="S4078">
        <v>-0.74755859999999996</v>
      </c>
      <c r="T4078">
        <v>-0.28922049999999999</v>
      </c>
      <c r="U4078">
        <v>-2.9475560000000001</v>
      </c>
      <c r="V4078">
        <v>0.1057683</v>
      </c>
      <c r="W4078">
        <v>9.9522059999999999E-3</v>
      </c>
      <c r="X4078">
        <v>0.99434100000000003</v>
      </c>
      <c r="Y4078">
        <v>0.26520909999999998</v>
      </c>
      <c r="Z4078">
        <v>9.439111E-2</v>
      </c>
      <c r="AA4078">
        <v>0.95955950000000001</v>
      </c>
      <c r="AB4078">
        <v>24</v>
      </c>
      <c r="AC4078">
        <v>-2.8666</v>
      </c>
      <c r="AD4078">
        <v>-1.1084265390299901</v>
      </c>
      <c r="AE4078">
        <v>-11.1548999999999</v>
      </c>
      <c r="AF4078">
        <v>3.0737163825938598</v>
      </c>
      <c r="AG4078">
        <v>-1.1084265390299901</v>
      </c>
      <c r="AH4078">
        <v>10.989902643363299</v>
      </c>
      <c r="AI4078">
        <v>95.547802391390704</v>
      </c>
      <c r="AJ4078">
        <v>74.374464565274806</v>
      </c>
      <c r="AK4078">
        <v>11.4653522363535</v>
      </c>
      <c r="AL4078">
        <v>89.429771187037403</v>
      </c>
      <c r="AM4078">
        <v>83.928264777525897</v>
      </c>
      <c r="AN4078">
        <v>1.0000000019850701</v>
      </c>
    </row>
    <row r="4079" spans="1:40" x14ac:dyDescent="0.25">
      <c r="A4079" t="str">
        <f>"20190312154917415"</f>
        <v>20190312154917415</v>
      </c>
      <c r="B4079" t="str">
        <f>"1552376957409541"</f>
        <v>1552376957409541</v>
      </c>
      <c r="C4079" t="s">
        <v>40</v>
      </c>
      <c r="D4079">
        <v>4.551742</v>
      </c>
      <c r="E4079">
        <v>0.56453140000000002</v>
      </c>
      <c r="F4079" t="s">
        <v>63</v>
      </c>
      <c r="G4079">
        <v>-195.74100000000001</v>
      </c>
      <c r="H4079" s="1">
        <v>-1.448937E-5</v>
      </c>
      <c r="I4079">
        <v>157.6763</v>
      </c>
      <c r="J4079">
        <v>-192.82599999999999</v>
      </c>
      <c r="K4079">
        <v>1.1084179999999999</v>
      </c>
      <c r="L4079">
        <v>168.8938</v>
      </c>
      <c r="M4079">
        <v>1.9864119999999999E-2</v>
      </c>
      <c r="N4079">
        <v>0</v>
      </c>
      <c r="O4079">
        <v>-0.99970700000000001</v>
      </c>
      <c r="P4079">
        <v>-8.6827920000000003E-2</v>
      </c>
      <c r="Q4079">
        <v>-3.1814349999999998E-3</v>
      </c>
      <c r="R4079">
        <v>-0.99621839999999995</v>
      </c>
      <c r="S4079">
        <v>-0.75601200000000002</v>
      </c>
      <c r="T4079">
        <v>-0.28760869999999999</v>
      </c>
      <c r="U4079">
        <v>-2.9456180000000001</v>
      </c>
      <c r="V4079">
        <v>0.1066416</v>
      </c>
      <c r="W4079">
        <v>1.01663E-2</v>
      </c>
      <c r="X4079">
        <v>0.9942455</v>
      </c>
      <c r="Y4079">
        <v>0.2666927</v>
      </c>
      <c r="Z4079">
        <v>9.3881049999999994E-2</v>
      </c>
      <c r="AA4079">
        <v>0.95919829999999995</v>
      </c>
      <c r="AB4079">
        <v>24</v>
      </c>
      <c r="AC4079">
        <v>-2.9149999999999898</v>
      </c>
      <c r="AD4079">
        <v>-1.1084324893699999</v>
      </c>
      <c r="AE4079">
        <v>-11.217499999999999</v>
      </c>
      <c r="AF4079">
        <v>3.1088373532324298</v>
      </c>
      <c r="AG4079">
        <v>-1.1084324893699999</v>
      </c>
      <c r="AH4079">
        <v>11.0562526243077</v>
      </c>
      <c r="AI4079">
        <v>95.512610257288301</v>
      </c>
      <c r="AJ4079">
        <v>74.294885691638299</v>
      </c>
      <c r="AK4079">
        <v>11.538380058086799</v>
      </c>
      <c r="AL4079">
        <v>89.417503853109594</v>
      </c>
      <c r="AM4079">
        <v>83.877927688878998</v>
      </c>
      <c r="AN4079">
        <v>0.99999994938824799</v>
      </c>
    </row>
    <row r="4080" spans="1:40" x14ac:dyDescent="0.25">
      <c r="A4080" t="str">
        <f>"20190312154917428"</f>
        <v>20190312154917428</v>
      </c>
      <c r="B4080" t="str">
        <f>"1552376957420277"</f>
        <v>1552376957420277</v>
      </c>
      <c r="C4080" t="s">
        <v>40</v>
      </c>
      <c r="D4080">
        <v>4.5251919999999997</v>
      </c>
      <c r="E4080">
        <v>0.56454780000000004</v>
      </c>
      <c r="F4080" t="s">
        <v>63</v>
      </c>
      <c r="G4080">
        <v>-195.797</v>
      </c>
      <c r="H4080" s="1">
        <v>-1.4430029999999999E-5</v>
      </c>
      <c r="I4080">
        <v>157.44049999999999</v>
      </c>
      <c r="J4080">
        <v>-192.82470000000001</v>
      </c>
      <c r="K4080">
        <v>1.1084179999999999</v>
      </c>
      <c r="L4080">
        <v>168.75299999999999</v>
      </c>
      <c r="M4080">
        <v>1.849481E-2</v>
      </c>
      <c r="N4080">
        <v>0</v>
      </c>
      <c r="O4080">
        <v>-0.99973339999999999</v>
      </c>
      <c r="P4080">
        <v>-8.9540969999999998E-2</v>
      </c>
      <c r="Q4080">
        <v>-3.086578E-3</v>
      </c>
      <c r="R4080">
        <v>-0.99597849999999999</v>
      </c>
      <c r="S4080">
        <v>-0.76365660000000002</v>
      </c>
      <c r="T4080">
        <v>-0.28490769999999999</v>
      </c>
      <c r="U4080">
        <v>-2.943924</v>
      </c>
      <c r="V4080">
        <v>0.107987899999999</v>
      </c>
      <c r="W4080">
        <v>1.025451E-2</v>
      </c>
      <c r="X4080">
        <v>0.99409930000000002</v>
      </c>
      <c r="Y4080">
        <v>0.26786149999999997</v>
      </c>
      <c r="Z4080">
        <v>9.3017669999999997E-2</v>
      </c>
      <c r="AA4080">
        <v>0.9589567</v>
      </c>
      <c r="AB4080">
        <v>24</v>
      </c>
      <c r="AC4080">
        <v>-2.97229999999999</v>
      </c>
      <c r="AD4080">
        <v>-1.1084324300299999</v>
      </c>
      <c r="AE4080">
        <v>-11.3125</v>
      </c>
      <c r="AF4080">
        <v>3.1527204527052501</v>
      </c>
      <c r="AG4080">
        <v>-1.1084324300299999</v>
      </c>
      <c r="AH4080">
        <v>11.155404162499901</v>
      </c>
      <c r="AI4080">
        <v>95.461876359871397</v>
      </c>
      <c r="AJ4080">
        <v>74.218741419211696</v>
      </c>
      <c r="AK4080">
        <v>11.6452269507111</v>
      </c>
      <c r="AL4080">
        <v>89.412449546594402</v>
      </c>
      <c r="AM4080">
        <v>83.800332850149601</v>
      </c>
      <c r="AN4080">
        <v>0.999999979891119</v>
      </c>
    </row>
    <row r="4081" spans="1:40" x14ac:dyDescent="0.25">
      <c r="A4081" t="str">
        <f>"20190312154917439"</f>
        <v>20190312154917439</v>
      </c>
      <c r="B4081" t="str">
        <f>"1552376957430037"</f>
        <v>1552376957430037</v>
      </c>
      <c r="C4081" t="s">
        <v>40</v>
      </c>
      <c r="D4081">
        <v>4.5636519999999896</v>
      </c>
      <c r="E4081">
        <v>0.56459609999999905</v>
      </c>
      <c r="F4081" t="s">
        <v>63</v>
      </c>
      <c r="G4081">
        <v>-195.8355</v>
      </c>
      <c r="H4081" s="1">
        <v>-1.4388279999999999E-5</v>
      </c>
      <c r="I4081">
        <v>157.27459999999999</v>
      </c>
      <c r="J4081">
        <v>-192.8237</v>
      </c>
      <c r="K4081">
        <v>1.1084259999999999</v>
      </c>
      <c r="L4081">
        <v>168.62029999999999</v>
      </c>
      <c r="M4081">
        <v>1.7206840000000001E-2</v>
      </c>
      <c r="N4081">
        <v>0</v>
      </c>
      <c r="O4081">
        <v>-0.99975619999999998</v>
      </c>
      <c r="P4081">
        <v>-9.2003199999999993E-2</v>
      </c>
      <c r="Q4081">
        <v>-3.0571790000000001E-3</v>
      </c>
      <c r="R4081">
        <v>-0.99575409999999998</v>
      </c>
      <c r="S4081">
        <v>-0.77166749999999995</v>
      </c>
      <c r="T4081">
        <v>-0.28408670000000003</v>
      </c>
      <c r="U4081">
        <v>-2.9418639999999998</v>
      </c>
      <c r="V4081">
        <v>0.109165</v>
      </c>
      <c r="W4081">
        <v>1.02793E-2</v>
      </c>
      <c r="X4081">
        <v>0.99397049999999998</v>
      </c>
      <c r="Y4081">
        <v>0.26923439999999998</v>
      </c>
      <c r="Z4081">
        <v>9.2768420000000004E-2</v>
      </c>
      <c r="AA4081">
        <v>0.95859629999999996</v>
      </c>
      <c r="AB4081">
        <v>24</v>
      </c>
      <c r="AC4081">
        <v>-3.0117999999999898</v>
      </c>
      <c r="AD4081">
        <v>-1.10844038828</v>
      </c>
      <c r="AE4081">
        <v>-11.3456999999999</v>
      </c>
      <c r="AF4081">
        <v>3.1782578050227799</v>
      </c>
      <c r="AG4081">
        <v>-1.10844038828</v>
      </c>
      <c r="AH4081">
        <v>11.192395790124801</v>
      </c>
      <c r="AI4081">
        <v>95.442059949002399</v>
      </c>
      <c r="AJ4081">
        <v>74.147265993518204</v>
      </c>
      <c r="AK4081">
        <v>11.687586846409401</v>
      </c>
      <c r="AL4081">
        <v>89.411029125912407</v>
      </c>
      <c r="AM4081">
        <v>83.732483861662701</v>
      </c>
      <c r="AN4081">
        <v>1.0000000080518601</v>
      </c>
    </row>
    <row r="4082" spans="1:40" x14ac:dyDescent="0.25">
      <c r="A4082" t="str">
        <f>"20190312154917456"</f>
        <v>20190312154917456</v>
      </c>
      <c r="B4082" t="str">
        <f>"1552376957449795"</f>
        <v>1552376957449795</v>
      </c>
      <c r="C4082" t="s">
        <v>40</v>
      </c>
      <c r="D4082">
        <v>4.5005790000000001</v>
      </c>
      <c r="E4082">
        <v>0.56468929999999995</v>
      </c>
      <c r="F4082" t="s">
        <v>63</v>
      </c>
      <c r="G4082">
        <v>-195.87610000000001</v>
      </c>
      <c r="H4082" s="1">
        <v>-1.4344490000000001E-5</v>
      </c>
      <c r="I4082">
        <v>157.10050000000001</v>
      </c>
      <c r="J4082">
        <v>-192.82259999999999</v>
      </c>
      <c r="K4082">
        <v>1.108439</v>
      </c>
      <c r="L4082">
        <v>168.44200000000001</v>
      </c>
      <c r="M4082">
        <v>1.548131E-2</v>
      </c>
      <c r="N4082">
        <v>0</v>
      </c>
      <c r="O4082">
        <v>-0.99978460000000002</v>
      </c>
      <c r="P4082">
        <v>-9.6157270000000003E-2</v>
      </c>
      <c r="Q4082">
        <v>-3.0466349999999998E-3</v>
      </c>
      <c r="R4082">
        <v>-0.99536170000000002</v>
      </c>
      <c r="S4082">
        <v>-0.77900700000000001</v>
      </c>
      <c r="T4082">
        <v>-0.28288439999999998</v>
      </c>
      <c r="U4082">
        <v>-2.9399410000000001</v>
      </c>
      <c r="V4082">
        <v>0.1115964</v>
      </c>
      <c r="W4082">
        <v>1.027787E-2</v>
      </c>
      <c r="X4082">
        <v>0.99370040000000004</v>
      </c>
      <c r="Y4082">
        <v>0.26997280000000001</v>
      </c>
      <c r="Z4082">
        <v>9.2402819999999997E-2</v>
      </c>
      <c r="AA4082">
        <v>0.9584239</v>
      </c>
      <c r="AB4082">
        <v>24</v>
      </c>
      <c r="AC4082">
        <v>-3.0535000000000099</v>
      </c>
      <c r="AD4082">
        <v>-1.10845334449</v>
      </c>
      <c r="AE4082">
        <v>-11.3414999999999</v>
      </c>
      <c r="AF4082">
        <v>3.2002295235615801</v>
      </c>
      <c r="AG4082">
        <v>-1.10845334449</v>
      </c>
      <c r="AH4082">
        <v>11.1931729795804</v>
      </c>
      <c r="AI4082">
        <v>95.438978160117998</v>
      </c>
      <c r="AJ4082">
        <v>74.044287326466204</v>
      </c>
      <c r="AK4082">
        <v>11.6943259391551</v>
      </c>
      <c r="AL4082">
        <v>89.411111021969802</v>
      </c>
      <c r="AM4082">
        <v>83.592310517341602</v>
      </c>
      <c r="AN4082">
        <v>0.99999993803242604</v>
      </c>
    </row>
    <row r="4083" spans="1:40" x14ac:dyDescent="0.25">
      <c r="A4083" t="str">
        <f>"20190312154917480"</f>
        <v>20190312154917480</v>
      </c>
      <c r="B4083" t="str">
        <f>"1552376957470301"</f>
        <v>1552376957470301</v>
      </c>
      <c r="C4083" t="s">
        <v>40</v>
      </c>
      <c r="D4083">
        <v>4.516381</v>
      </c>
      <c r="E4083">
        <v>0.56464559999999997</v>
      </c>
      <c r="F4083" t="s">
        <v>63</v>
      </c>
      <c r="G4083">
        <v>-195.94450000000001</v>
      </c>
      <c r="H4083" s="1">
        <v>-1.4285500000000001E-5</v>
      </c>
      <c r="I4083">
        <v>156.86609999999999</v>
      </c>
      <c r="J4083">
        <v>-192.82149999999999</v>
      </c>
      <c r="K4083">
        <v>1.1084529999999999</v>
      </c>
      <c r="L4083">
        <v>168.1952</v>
      </c>
      <c r="M4083">
        <v>1.309957E-2</v>
      </c>
      <c r="N4083">
        <v>0</v>
      </c>
      <c r="O4083">
        <v>-0.99981869999999995</v>
      </c>
      <c r="P4083">
        <v>-0.1004311</v>
      </c>
      <c r="Q4083">
        <v>-3.3219489999999998E-3</v>
      </c>
      <c r="R4083">
        <v>-0.99493889999999996</v>
      </c>
      <c r="S4083">
        <v>-0.79196169999999899</v>
      </c>
      <c r="T4083">
        <v>-0.28119499999999997</v>
      </c>
      <c r="U4083">
        <v>-2.9366150000000002</v>
      </c>
      <c r="V4083">
        <v>0.1134952</v>
      </c>
      <c r="W4083">
        <v>9.9951209999999992E-3</v>
      </c>
      <c r="X4083">
        <v>0.99348829999999999</v>
      </c>
      <c r="Y4083">
        <v>0.2719065</v>
      </c>
      <c r="Z4083">
        <v>9.1883850000000003E-2</v>
      </c>
      <c r="AA4083">
        <v>0.95792699999999997</v>
      </c>
      <c r="AB4083">
        <v>24</v>
      </c>
      <c r="AC4083">
        <v>-3.12300000000001</v>
      </c>
      <c r="AD4083">
        <v>-1.1084672855</v>
      </c>
      <c r="AE4083">
        <v>-11.3291</v>
      </c>
      <c r="AF4083">
        <v>3.24230548267855</v>
      </c>
      <c r="AG4083">
        <v>-1.1084672855</v>
      </c>
      <c r="AH4083">
        <v>11.1876763554442</v>
      </c>
      <c r="AI4083">
        <v>95.436095461848495</v>
      </c>
      <c r="AJ4083">
        <v>73.8378595726942</v>
      </c>
      <c r="AK4083">
        <v>11.7006558277814</v>
      </c>
      <c r="AL4083">
        <v>89.427312233865294</v>
      </c>
      <c r="AM4083">
        <v>83.482835156583207</v>
      </c>
      <c r="AN4083">
        <v>1.0000000325518601</v>
      </c>
    </row>
    <row r="4084" spans="1:40" x14ac:dyDescent="0.25">
      <c r="A4084" t="str">
        <f>"20190312154917502"</f>
        <v>20190312154917502</v>
      </c>
      <c r="B4084" t="str">
        <f>"1552376957489811"</f>
        <v>1552376957489811</v>
      </c>
      <c r="C4084" t="s">
        <v>40</v>
      </c>
      <c r="D4084">
        <v>4.5049130000000002</v>
      </c>
      <c r="E4084">
        <v>0.56457669999999904</v>
      </c>
      <c r="F4084" t="s">
        <v>63</v>
      </c>
      <c r="G4084">
        <v>-195.9984</v>
      </c>
      <c r="H4084" s="1">
        <v>-1.422015E-5</v>
      </c>
      <c r="I4084">
        <v>156.6063</v>
      </c>
      <c r="J4084">
        <v>-192.8211</v>
      </c>
      <c r="K4084">
        <v>1.108471</v>
      </c>
      <c r="L4084">
        <v>167.95609999999999</v>
      </c>
      <c r="M4084">
        <v>1.080063E-2</v>
      </c>
      <c r="N4084">
        <v>0</v>
      </c>
      <c r="O4084">
        <v>-0.99984600000000001</v>
      </c>
      <c r="P4084">
        <v>-0.104981</v>
      </c>
      <c r="Q4084">
        <v>-3.8000960000000002E-3</v>
      </c>
      <c r="R4084">
        <v>-0.99446710000000005</v>
      </c>
      <c r="S4084">
        <v>-0.80407709999999999</v>
      </c>
      <c r="T4084">
        <v>-0.28055390000000002</v>
      </c>
      <c r="U4084">
        <v>-2.9331510000000001</v>
      </c>
      <c r="V4084">
        <v>0.11575290000000001</v>
      </c>
      <c r="W4084">
        <v>9.5068640000000003E-3</v>
      </c>
      <c r="X4084">
        <v>0.99323249999999996</v>
      </c>
      <c r="Y4084">
        <v>0.27366689999999999</v>
      </c>
      <c r="Z4084">
        <v>9.171195E-2</v>
      </c>
      <c r="AA4084">
        <v>0.95744200000000002</v>
      </c>
      <c r="AB4084">
        <v>24</v>
      </c>
      <c r="AC4084">
        <v>-3.1772999999999998</v>
      </c>
      <c r="AD4084">
        <v>-1.10848522015</v>
      </c>
      <c r="AE4084">
        <v>-11.349799999999901</v>
      </c>
      <c r="AF4084">
        <v>3.2707800755705501</v>
      </c>
      <c r="AG4084">
        <v>-1.10848522015</v>
      </c>
      <c r="AH4084">
        <v>11.2156114281587</v>
      </c>
      <c r="AI4084">
        <v>95.420098764206301</v>
      </c>
      <c r="AJ4084">
        <v>73.741866504307296</v>
      </c>
      <c r="AK4084">
        <v>11.7352750923651</v>
      </c>
      <c r="AL4084">
        <v>89.455288587380906</v>
      </c>
      <c r="AM4084">
        <v>83.352644891959798</v>
      </c>
      <c r="AN4084">
        <v>0.99999995668888597</v>
      </c>
    </row>
    <row r="4085" spans="1:40" x14ac:dyDescent="0.25">
      <c r="A4085" t="str">
        <f>"20190312154917524"</f>
        <v>20190312154917524</v>
      </c>
      <c r="B4085" t="str">
        <f>"1552376957509333"</f>
        <v>1552376957509333</v>
      </c>
      <c r="C4085" t="s">
        <v>40</v>
      </c>
      <c r="D4085">
        <v>4.501652</v>
      </c>
      <c r="E4085">
        <v>0.56456049999999902</v>
      </c>
      <c r="F4085" t="s">
        <v>63</v>
      </c>
      <c r="G4085">
        <v>-196.0479</v>
      </c>
      <c r="H4085" s="1">
        <v>-1.413085E-5</v>
      </c>
      <c r="I4085">
        <v>156.3837</v>
      </c>
      <c r="J4085">
        <v>-192.8211</v>
      </c>
      <c r="K4085">
        <v>1.1084769999999999</v>
      </c>
      <c r="L4085">
        <v>167.7175</v>
      </c>
      <c r="M4085">
        <v>8.5116419999999998E-3</v>
      </c>
      <c r="N4085">
        <v>0</v>
      </c>
      <c r="O4085">
        <v>-0.99986850000000005</v>
      </c>
      <c r="P4085">
        <v>-0.1101157</v>
      </c>
      <c r="Q4085">
        <v>-3.9993989999999998E-3</v>
      </c>
      <c r="R4085">
        <v>-0.99391090000000004</v>
      </c>
      <c r="S4085">
        <v>-0.81681819999999905</v>
      </c>
      <c r="T4085">
        <v>-0.28059659999999997</v>
      </c>
      <c r="U4085">
        <v>-2.9293819999999999</v>
      </c>
      <c r="V4085">
        <v>0.1186074</v>
      </c>
      <c r="W4085">
        <v>9.2932469999999993E-3</v>
      </c>
      <c r="X4085">
        <v>0.99289769999999999</v>
      </c>
      <c r="Y4085">
        <v>0.27564630000000001</v>
      </c>
      <c r="Z4085">
        <v>9.1763479999999994E-2</v>
      </c>
      <c r="AA4085">
        <v>0.95686919999999998</v>
      </c>
      <c r="AB4085">
        <v>24</v>
      </c>
      <c r="AC4085">
        <v>-3.2267999999999901</v>
      </c>
      <c r="AD4085">
        <v>-1.1084911308499901</v>
      </c>
      <c r="AE4085">
        <v>-11.333799999999901</v>
      </c>
      <c r="AF4085">
        <v>3.29401477877447</v>
      </c>
      <c r="AG4085">
        <v>-1.1084911308499901</v>
      </c>
      <c r="AH4085">
        <v>11.206759523089501</v>
      </c>
      <c r="AI4085">
        <v>95.421034649884803</v>
      </c>
      <c r="AJ4085">
        <v>73.620299303899102</v>
      </c>
      <c r="AK4085">
        <v>11.7333177302209</v>
      </c>
      <c r="AL4085">
        <v>89.467528483656196</v>
      </c>
      <c r="AM4085">
        <v>83.187965681353703</v>
      </c>
      <c r="AN4085">
        <v>0.99999996121992496</v>
      </c>
    </row>
    <row r="4086" spans="1:40" x14ac:dyDescent="0.25">
      <c r="A4086" t="str">
        <f>"20190312154917547"</f>
        <v>20190312154917547</v>
      </c>
      <c r="B4086" t="str">
        <f>"1552376957540564"</f>
        <v>1552376957540564</v>
      </c>
      <c r="C4086" t="s">
        <v>40</v>
      </c>
      <c r="D4086">
        <v>4.4636459999999998</v>
      </c>
      <c r="E4086">
        <v>0.58609279999999997</v>
      </c>
      <c r="F4086" t="s">
        <v>63</v>
      </c>
      <c r="G4086">
        <v>-196.10050000000001</v>
      </c>
      <c r="H4086" s="1">
        <v>-1.40486999999999E-5</v>
      </c>
      <c r="I4086">
        <v>156.18129999999999</v>
      </c>
      <c r="J4086">
        <v>-192.8218</v>
      </c>
      <c r="K4086">
        <v>1.1084799999999999</v>
      </c>
      <c r="L4086">
        <v>167.483</v>
      </c>
      <c r="M4086">
        <v>6.2608269999999897E-3</v>
      </c>
      <c r="N4086">
        <v>0</v>
      </c>
      <c r="O4086">
        <v>-0.99988480000000002</v>
      </c>
      <c r="P4086">
        <v>-0.115868</v>
      </c>
      <c r="Q4086">
        <v>-5.3621869999999896E-3</v>
      </c>
      <c r="R4086">
        <v>-0.99325019999999997</v>
      </c>
      <c r="S4086">
        <v>-0.83151249999999999</v>
      </c>
      <c r="T4086">
        <v>-0.28106940000000002</v>
      </c>
      <c r="U4086">
        <v>-2.9251100000000001</v>
      </c>
      <c r="V4086">
        <v>0.12211470000000001</v>
      </c>
      <c r="W4086">
        <v>7.9119020000000002E-3</v>
      </c>
      <c r="X4086">
        <v>0.99248449999999999</v>
      </c>
      <c r="Y4086">
        <v>0.2782924</v>
      </c>
      <c r="Z4086">
        <v>9.1950589999999999E-2</v>
      </c>
      <c r="AA4086">
        <v>0.95608499999999996</v>
      </c>
      <c r="AB4086">
        <v>24</v>
      </c>
      <c r="AC4086">
        <v>-3.2787000000000099</v>
      </c>
      <c r="AD4086">
        <v>-1.1084940486999999</v>
      </c>
      <c r="AE4086">
        <v>-11.3017</v>
      </c>
      <c r="AF4086">
        <v>3.31994165308955</v>
      </c>
      <c r="AG4086">
        <v>-1.1084940486999999</v>
      </c>
      <c r="AH4086">
        <v>11.181730303491101</v>
      </c>
      <c r="AI4086">
        <v>95.428744709449802</v>
      </c>
      <c r="AJ4086">
        <v>73.463441154460497</v>
      </c>
      <c r="AK4086">
        <v>11.716734366534601</v>
      </c>
      <c r="AL4086">
        <v>89.546676696193103</v>
      </c>
      <c r="AM4086">
        <v>82.985615949599406</v>
      </c>
      <c r="AN4086">
        <v>1.00000004044479</v>
      </c>
    </row>
    <row r="4087" spans="1:40" x14ac:dyDescent="0.25">
      <c r="A4087" t="str">
        <f>"20190312154917559"</f>
        <v>20190312154917559</v>
      </c>
      <c r="B4087" t="str">
        <f>"1552376957550323"</f>
        <v>1552376957550323</v>
      </c>
      <c r="C4087" t="s">
        <v>40</v>
      </c>
      <c r="D4087">
        <v>4.4677419999999897</v>
      </c>
      <c r="E4087">
        <v>0.58854189999999995</v>
      </c>
      <c r="F4087" t="s">
        <v>63</v>
      </c>
      <c r="G4087">
        <v>-197.78870000000001</v>
      </c>
      <c r="H4087" s="1">
        <v>-1.3216660000000001E-5</v>
      </c>
      <c r="I4087">
        <v>153.3827</v>
      </c>
      <c r="J4087">
        <v>-192.82239999999999</v>
      </c>
      <c r="K4087">
        <v>1.1084830000000001</v>
      </c>
      <c r="L4087">
        <v>167.3476</v>
      </c>
      <c r="M4087">
        <v>4.9570509999999996E-3</v>
      </c>
      <c r="N4087">
        <v>0</v>
      </c>
      <c r="O4087">
        <v>-0.99989240000000001</v>
      </c>
      <c r="P4087">
        <v>-0.1191639</v>
      </c>
      <c r="Q4087">
        <v>-5.736695E-3</v>
      </c>
      <c r="R4087">
        <v>-0.99285820000000002</v>
      </c>
      <c r="S4087">
        <v>-1.0215299999999901</v>
      </c>
      <c r="T4087">
        <v>-0.22798060000000001</v>
      </c>
      <c r="U4087">
        <v>-2.8999630000000001</v>
      </c>
      <c r="V4087">
        <v>0.124112899999999</v>
      </c>
      <c r="W4087">
        <v>7.52615199999999E-3</v>
      </c>
      <c r="X4087">
        <v>0.99223950000000005</v>
      </c>
      <c r="Y4087">
        <v>0.336009</v>
      </c>
      <c r="Z4087">
        <v>7.388169E-2</v>
      </c>
      <c r="AA4087">
        <v>0.93895660000000003</v>
      </c>
      <c r="AB4087">
        <v>24</v>
      </c>
      <c r="AC4087">
        <v>-4.9663000000000102</v>
      </c>
      <c r="AD4087">
        <v>-1.1084962166600001</v>
      </c>
      <c r="AE4087">
        <v>-13.9649</v>
      </c>
      <c r="AF4087">
        <v>5.0074617510154802</v>
      </c>
      <c r="AG4087">
        <v>-1.1084962166600001</v>
      </c>
      <c r="AH4087">
        <v>13.862569489216099</v>
      </c>
      <c r="AI4087">
        <v>94.300952453384795</v>
      </c>
      <c r="AJ4087">
        <v>70.139177446342998</v>
      </c>
      <c r="AK4087">
        <v>14.780875139638299</v>
      </c>
      <c r="AL4087">
        <v>89.568779157607693</v>
      </c>
      <c r="AM4087">
        <v>82.870266822462497</v>
      </c>
      <c r="AN4087">
        <v>0.99999994013529103</v>
      </c>
    </row>
    <row r="4088" spans="1:40" x14ac:dyDescent="0.25">
      <c r="A4088" t="str">
        <f>"20190312154917571"</f>
        <v>20190312154917571</v>
      </c>
      <c r="B4088" t="str">
        <f>"1552376957560084"</f>
        <v>1552376957560084</v>
      </c>
      <c r="C4088" t="s">
        <v>40</v>
      </c>
      <c r="D4088">
        <v>4.419327</v>
      </c>
      <c r="E4088">
        <v>0.59015439999999997</v>
      </c>
      <c r="F4088" t="s">
        <v>63</v>
      </c>
      <c r="G4088">
        <v>-198.05699999999999</v>
      </c>
      <c r="H4088" s="1">
        <v>-1.3127329999999999E-5</v>
      </c>
      <c r="I4088">
        <v>152.9331</v>
      </c>
      <c r="J4088">
        <v>-192.82320000000001</v>
      </c>
      <c r="K4088">
        <v>1.1084830000000001</v>
      </c>
      <c r="L4088">
        <v>167.21360000000001</v>
      </c>
      <c r="M4088">
        <v>3.6643550000000002E-3</v>
      </c>
      <c r="N4088">
        <v>0</v>
      </c>
      <c r="O4088">
        <v>-0.99989779999999995</v>
      </c>
      <c r="P4088">
        <v>-0.12216970000000001</v>
      </c>
      <c r="Q4088">
        <v>-5.8191659999999997E-3</v>
      </c>
      <c r="R4088">
        <v>-0.99249229999999999</v>
      </c>
      <c r="S4088">
        <v>-1.05101</v>
      </c>
      <c r="T4088">
        <v>-0.22256600000000001</v>
      </c>
      <c r="U4088">
        <v>-2.8941650000000001</v>
      </c>
      <c r="V4088">
        <v>0.12583419999999901</v>
      </c>
      <c r="W4088">
        <v>7.4331719999999896E-3</v>
      </c>
      <c r="X4088">
        <v>0.99202349999999995</v>
      </c>
      <c r="Y4088">
        <v>0.34389259999999999</v>
      </c>
      <c r="Z4088">
        <v>7.2047479999999997E-2</v>
      </c>
      <c r="AA4088">
        <v>0.93624090000000004</v>
      </c>
      <c r="AB4088">
        <v>24</v>
      </c>
      <c r="AC4088">
        <v>-5.2337999999999996</v>
      </c>
      <c r="AD4088">
        <v>-1.10849612732999</v>
      </c>
      <c r="AE4088">
        <v>-14.2805</v>
      </c>
      <c r="AF4088">
        <v>5.2581681153682602</v>
      </c>
      <c r="AG4088">
        <v>-1.10849612732999</v>
      </c>
      <c r="AH4088">
        <v>14.185870669810001</v>
      </c>
      <c r="AI4088">
        <v>94.190546334218695</v>
      </c>
      <c r="AJ4088">
        <v>69.662153522555997</v>
      </c>
      <c r="AK4088">
        <v>15.169575546281999</v>
      </c>
      <c r="AL4088">
        <v>89.574106720114898</v>
      </c>
      <c r="AM4088">
        <v>82.770867344456803</v>
      </c>
      <c r="AN4088">
        <v>1.0000000612439299</v>
      </c>
    </row>
    <row r="4089" spans="1:40" x14ac:dyDescent="0.25">
      <c r="A4089" t="str">
        <f>"20190312154917584"</f>
        <v>20190312154917584</v>
      </c>
      <c r="B4089" t="str">
        <f>"1552376957579604"</f>
        <v>1552376957579604</v>
      </c>
      <c r="C4089" t="s">
        <v>40</v>
      </c>
      <c r="D4089">
        <v>4.3684580000000004</v>
      </c>
      <c r="E4089">
        <v>0.59125039999999995</v>
      </c>
      <c r="F4089" t="s">
        <v>63</v>
      </c>
      <c r="G4089">
        <v>-198.3673</v>
      </c>
      <c r="H4089" s="1">
        <v>-1.2991139999999999E-5</v>
      </c>
      <c r="I4089">
        <v>152.2824</v>
      </c>
      <c r="J4089">
        <v>-192.82409999999999</v>
      </c>
      <c r="K4089">
        <v>1.1084849999999999</v>
      </c>
      <c r="L4089">
        <v>167.08160000000001</v>
      </c>
      <c r="M4089">
        <v>2.3889419999999998E-3</v>
      </c>
      <c r="N4089">
        <v>0</v>
      </c>
      <c r="O4089">
        <v>-0.99990159999999995</v>
      </c>
      <c r="P4089">
        <v>-0.12504169999999901</v>
      </c>
      <c r="Q4089">
        <v>-6.1106099999999998E-3</v>
      </c>
      <c r="R4089">
        <v>-0.99213300000000004</v>
      </c>
      <c r="S4089">
        <v>-1.0728610000000001</v>
      </c>
      <c r="T4089">
        <v>-0.21450820000000001</v>
      </c>
      <c r="U4089">
        <v>-2.8893740000000001</v>
      </c>
      <c r="V4089">
        <v>0.12743869999999999</v>
      </c>
      <c r="W4089">
        <v>7.1318190000000002E-3</v>
      </c>
      <c r="X4089">
        <v>0.99182079999999995</v>
      </c>
      <c r="Y4089">
        <v>0.34949029999999998</v>
      </c>
      <c r="Z4089">
        <v>6.939932E-2</v>
      </c>
      <c r="AA4089">
        <v>0.93436620000000004</v>
      </c>
      <c r="AB4089">
        <v>24</v>
      </c>
      <c r="AC4089">
        <v>-5.5432000000000103</v>
      </c>
      <c r="AD4089">
        <v>-1.1084979911399999</v>
      </c>
      <c r="AE4089">
        <v>-14.799200000000001</v>
      </c>
      <c r="AF4089">
        <v>5.5512292658424602</v>
      </c>
      <c r="AG4089">
        <v>-1.1084979911399999</v>
      </c>
      <c r="AH4089">
        <v>14.7135217990506</v>
      </c>
      <c r="AI4089">
        <v>94.032035468806995</v>
      </c>
      <c r="AJ4089">
        <v>69.329130969145396</v>
      </c>
      <c r="AK4089">
        <v>15.7649179474378</v>
      </c>
      <c r="AL4089">
        <v>89.591373403829095</v>
      </c>
      <c r="AM4089">
        <v>82.678203182417903</v>
      </c>
      <c r="AN4089">
        <v>0.99999999220628899</v>
      </c>
    </row>
    <row r="4090" spans="1:40" x14ac:dyDescent="0.25">
      <c r="A4090" t="str">
        <f>"20190312154917602"</f>
        <v>20190312154917602</v>
      </c>
      <c r="B4090" t="str">
        <f>"1552376957590339"</f>
        <v>1552376957590339</v>
      </c>
      <c r="C4090" t="s">
        <v>40</v>
      </c>
      <c r="D4090">
        <v>4.4461199999999996</v>
      </c>
      <c r="E4090">
        <v>0.59153659999999997</v>
      </c>
      <c r="F4090" t="s">
        <v>63</v>
      </c>
      <c r="G4090">
        <v>-198.8672</v>
      </c>
      <c r="H4090" s="1">
        <v>-1.273767E-5</v>
      </c>
      <c r="I4090">
        <v>151.09880000000001</v>
      </c>
      <c r="J4090">
        <v>-192.82579999999999</v>
      </c>
      <c r="K4090">
        <v>1.108484</v>
      </c>
      <c r="L4090">
        <v>166.89099999999999</v>
      </c>
      <c r="M4090">
        <v>5.3677290000000001E-4</v>
      </c>
      <c r="N4090">
        <v>0</v>
      </c>
      <c r="O4090">
        <v>-0.99990449999999997</v>
      </c>
      <c r="P4090">
        <v>-0.12955649999999999</v>
      </c>
      <c r="Q4090">
        <v>-6.400518E-3</v>
      </c>
      <c r="R4090">
        <v>-0.99155170000000004</v>
      </c>
      <c r="S4090">
        <v>-1.090851</v>
      </c>
      <c r="T4090">
        <v>-0.2000961</v>
      </c>
      <c r="U4090">
        <v>-2.8850709999999999</v>
      </c>
      <c r="V4090">
        <v>0.1301147</v>
      </c>
      <c r="W4090">
        <v>6.8247430000000003E-3</v>
      </c>
      <c r="X4090">
        <v>0.99147549999999995</v>
      </c>
      <c r="Y4090">
        <v>0.35342620000000002</v>
      </c>
      <c r="Z4090">
        <v>6.4730930000000006E-2</v>
      </c>
      <c r="AA4090">
        <v>0.9332201</v>
      </c>
      <c r="AB4090">
        <v>24</v>
      </c>
      <c r="AC4090">
        <v>-6.0414000000000003</v>
      </c>
      <c r="AD4090">
        <v>-1.1084967376699999</v>
      </c>
      <c r="AE4090">
        <v>-15.7921999999999</v>
      </c>
      <c r="AF4090">
        <v>6.0239856557999101</v>
      </c>
      <c r="AG4090">
        <v>-1.1084967376699999</v>
      </c>
      <c r="AH4090">
        <v>15.721384003339899</v>
      </c>
      <c r="AI4090">
        <v>93.766970277629795</v>
      </c>
      <c r="AJ4090">
        <v>69.034593441471301</v>
      </c>
      <c r="AK4090">
        <v>16.872435603053301</v>
      </c>
      <c r="AL4090">
        <v>89.6089680097935</v>
      </c>
      <c r="AM4090">
        <v>82.523604748482498</v>
      </c>
      <c r="AN4090">
        <v>1.00000003968667</v>
      </c>
    </row>
    <row r="4091" spans="1:40" x14ac:dyDescent="0.25">
      <c r="A4091" t="str">
        <f>"20190312154917615"</f>
        <v>20190312154917615</v>
      </c>
      <c r="B4091" t="str">
        <f>"1552376957609859"</f>
        <v>1552376957609859</v>
      </c>
      <c r="C4091" t="s">
        <v>40</v>
      </c>
      <c r="D4091">
        <v>4.3934449999999998</v>
      </c>
      <c r="E4091">
        <v>0.59167780000000003</v>
      </c>
      <c r="F4091" t="s">
        <v>63</v>
      </c>
      <c r="G4091">
        <v>-199.0898</v>
      </c>
      <c r="H4091" s="1">
        <v>-1.2630459999999999E-5</v>
      </c>
      <c r="I4091">
        <v>150.5943</v>
      </c>
      <c r="J4091">
        <v>-192.8272</v>
      </c>
      <c r="K4091">
        <v>1.1084799999999999</v>
      </c>
      <c r="L4091">
        <v>166.75380000000001</v>
      </c>
      <c r="M4091">
        <v>-8.0180240000000003E-4</v>
      </c>
      <c r="N4091">
        <v>0</v>
      </c>
      <c r="O4091">
        <v>-0.99990420000000002</v>
      </c>
      <c r="P4091">
        <v>-0.13202559999999999</v>
      </c>
      <c r="Q4091">
        <v>-6.5440539999999997E-3</v>
      </c>
      <c r="R4091">
        <v>-0.99122460000000001</v>
      </c>
      <c r="S4091">
        <v>-1.106873</v>
      </c>
      <c r="T4091">
        <v>-0.1958734</v>
      </c>
      <c r="U4091">
        <v>-2.8796539999999999</v>
      </c>
      <c r="V4091">
        <v>0.13125609999999999</v>
      </c>
      <c r="W4091">
        <v>6.672636E-3</v>
      </c>
      <c r="X4091">
        <v>0.99132600000000004</v>
      </c>
      <c r="Y4091">
        <v>0.35731540000000001</v>
      </c>
      <c r="Z4091">
        <v>6.3372810000000002E-2</v>
      </c>
      <c r="AA4091">
        <v>0.93183130000000003</v>
      </c>
      <c r="AB4091">
        <v>24</v>
      </c>
      <c r="AC4091">
        <v>-6.2625999999999902</v>
      </c>
      <c r="AD4091">
        <v>-1.10849263046</v>
      </c>
      <c r="AE4091">
        <v>-16.159500000000001</v>
      </c>
      <c r="AF4091">
        <v>6.2241763852307601</v>
      </c>
      <c r="AG4091">
        <v>-1.10849263046</v>
      </c>
      <c r="AH4091">
        <v>16.0986556738346</v>
      </c>
      <c r="AI4091">
        <v>93.674675460817497</v>
      </c>
      <c r="AJ4091">
        <v>68.862147895015895</v>
      </c>
      <c r="AK4091">
        <v>17.295543995229998</v>
      </c>
      <c r="AL4091">
        <v>89.617683267767404</v>
      </c>
      <c r="AM4091">
        <v>82.457647281155701</v>
      </c>
      <c r="AN4091">
        <v>0.99999996306719796</v>
      </c>
    </row>
    <row r="4092" spans="1:40" x14ac:dyDescent="0.25">
      <c r="A4092" t="str">
        <f>"20190312154917635"</f>
        <v>20190312154917635</v>
      </c>
      <c r="B4092" t="str">
        <f>"1552376957630356"</f>
        <v>1552376957630356</v>
      </c>
      <c r="C4092" t="s">
        <v>40</v>
      </c>
      <c r="D4092">
        <v>4.4143949999999998</v>
      </c>
      <c r="E4092">
        <v>0.59171249999999997</v>
      </c>
      <c r="F4092" t="s">
        <v>63</v>
      </c>
      <c r="G4092">
        <v>-199.3117</v>
      </c>
      <c r="H4092" s="1">
        <v>-1.2508359999999999E-5</v>
      </c>
      <c r="I4092">
        <v>150.0308</v>
      </c>
      <c r="J4092">
        <v>-192.82980000000001</v>
      </c>
      <c r="K4092">
        <v>1.1084780000000001</v>
      </c>
      <c r="L4092">
        <v>166.53739999999999</v>
      </c>
      <c r="M4092">
        <v>-2.921005E-3</v>
      </c>
      <c r="N4092">
        <v>0</v>
      </c>
      <c r="O4092">
        <v>-0.99990060000000003</v>
      </c>
      <c r="P4092">
        <v>-0.13667509999999999</v>
      </c>
      <c r="Q4092">
        <v>-7.3210189999999998E-3</v>
      </c>
      <c r="R4092">
        <v>-0.99058919999999995</v>
      </c>
      <c r="S4092">
        <v>-1.1154790000000001</v>
      </c>
      <c r="T4092">
        <v>-0.19068669999999999</v>
      </c>
      <c r="U4092">
        <v>-2.8767399999999999</v>
      </c>
      <c r="V4092">
        <v>0.13380329999999999</v>
      </c>
      <c r="W4092">
        <v>5.8787179999999998E-3</v>
      </c>
      <c r="X4092">
        <v>0.9909905</v>
      </c>
      <c r="Y4092">
        <v>0.35811589999999999</v>
      </c>
      <c r="Z4092">
        <v>6.1717620000000001E-2</v>
      </c>
      <c r="AA4092">
        <v>0.93163510000000005</v>
      </c>
      <c r="AB4092">
        <v>24</v>
      </c>
      <c r="AC4092">
        <v>-6.4818999999999898</v>
      </c>
      <c r="AD4092">
        <v>-1.1084905083600001</v>
      </c>
      <c r="AE4092">
        <v>-16.506599999999899</v>
      </c>
      <c r="AF4092">
        <v>6.4086120882859801</v>
      </c>
      <c r="AG4092">
        <v>-1.1084905083600001</v>
      </c>
      <c r="AH4092">
        <v>16.461147838541699</v>
      </c>
      <c r="AI4092">
        <v>93.590712240735201</v>
      </c>
      <c r="AJ4092">
        <v>68.7281685654836</v>
      </c>
      <c r="AK4092">
        <v>17.6993911835287</v>
      </c>
      <c r="AL4092">
        <v>89.663172338555199</v>
      </c>
      <c r="AM4092">
        <v>82.310440302823807</v>
      </c>
      <c r="AN4092">
        <v>1.0000000267532301</v>
      </c>
    </row>
    <row r="4093" spans="1:40" x14ac:dyDescent="0.25">
      <c r="A4093" t="str">
        <f>"20190312154917647"</f>
        <v>20190312154917647</v>
      </c>
      <c r="B4093" t="str">
        <f>"1552376957640115"</f>
        <v>1552376957640115</v>
      </c>
      <c r="C4093" t="s">
        <v>40</v>
      </c>
      <c r="D4093">
        <v>4.4363839999999897</v>
      </c>
      <c r="E4093">
        <v>0.59177089999999999</v>
      </c>
      <c r="F4093" t="s">
        <v>63</v>
      </c>
      <c r="G4093">
        <v>-199.34379999999999</v>
      </c>
      <c r="H4093" s="1">
        <v>-1.249628E-5</v>
      </c>
      <c r="I4093">
        <v>149.97149999999999</v>
      </c>
      <c r="J4093">
        <v>-192.83160000000001</v>
      </c>
      <c r="K4093">
        <v>1.1084750000000001</v>
      </c>
      <c r="L4093">
        <v>166.40450000000001</v>
      </c>
      <c r="M4093">
        <v>-4.225744E-3</v>
      </c>
      <c r="N4093">
        <v>0</v>
      </c>
      <c r="O4093">
        <v>-0.9998958</v>
      </c>
      <c r="P4093">
        <v>-0.13936499999999999</v>
      </c>
      <c r="Q4093">
        <v>-7.50935199999999E-3</v>
      </c>
      <c r="R4093">
        <v>-0.99021269999999995</v>
      </c>
      <c r="S4093">
        <v>-1.129059</v>
      </c>
      <c r="T4093">
        <v>-0.19213189999999999</v>
      </c>
      <c r="U4093">
        <v>-2.8713229999999998</v>
      </c>
      <c r="V4093">
        <v>0.13520079999999901</v>
      </c>
      <c r="W4093">
        <v>5.6813089999999998E-3</v>
      </c>
      <c r="X4093">
        <v>0.99080190000000001</v>
      </c>
      <c r="Y4093">
        <v>0.3612995</v>
      </c>
      <c r="Z4093">
        <v>6.2200909999999998E-2</v>
      </c>
      <c r="AA4093">
        <v>0.93037289999999995</v>
      </c>
      <c r="AB4093">
        <v>24</v>
      </c>
      <c r="AC4093">
        <v>-6.5121999999999698</v>
      </c>
      <c r="AD4093">
        <v>-1.10848749628</v>
      </c>
      <c r="AE4093">
        <v>-16.433</v>
      </c>
      <c r="AF4093">
        <v>6.4174563938129401</v>
      </c>
      <c r="AG4093">
        <v>-1.10848749628</v>
      </c>
      <c r="AH4093">
        <v>16.395896529222</v>
      </c>
      <c r="AI4093">
        <v>93.602411812894701</v>
      </c>
      <c r="AJ4093">
        <v>68.624314571746893</v>
      </c>
      <c r="AK4093">
        <v>17.641936234236201</v>
      </c>
      <c r="AL4093">
        <v>89.674483211054394</v>
      </c>
      <c r="AM4093">
        <v>82.229642245743193</v>
      </c>
      <c r="AN4093">
        <v>0.99999996931810098</v>
      </c>
    </row>
    <row r="4094" spans="1:40" x14ac:dyDescent="0.25">
      <c r="A4094" t="str">
        <f>"20190312154917661"</f>
        <v>20190312154917661</v>
      </c>
      <c r="B4094" t="str">
        <f>"1552376957649876"</f>
        <v>1552376957649876</v>
      </c>
      <c r="C4094" t="s">
        <v>40</v>
      </c>
      <c r="D4094">
        <v>4.4079829999999998</v>
      </c>
      <c r="E4094">
        <v>0.5915338</v>
      </c>
      <c r="F4094" t="s">
        <v>63</v>
      </c>
      <c r="G4094">
        <v>-199.39250000000001</v>
      </c>
      <c r="H4094" s="1">
        <v>-1.2465660000000001E-5</v>
      </c>
      <c r="I4094">
        <v>149.86000000000001</v>
      </c>
      <c r="J4094">
        <v>-192.8338</v>
      </c>
      <c r="K4094">
        <v>1.108471</v>
      </c>
      <c r="L4094">
        <v>166.26439999999999</v>
      </c>
      <c r="M4094">
        <v>-5.6058009999999997E-3</v>
      </c>
      <c r="N4094">
        <v>0</v>
      </c>
      <c r="O4094">
        <v>-0.99988909999999998</v>
      </c>
      <c r="P4094">
        <v>-0.1421885</v>
      </c>
      <c r="Q4094">
        <v>-7.6416629999999999E-3</v>
      </c>
      <c r="R4094">
        <v>-0.98981059999999998</v>
      </c>
      <c r="S4094">
        <v>-1.137375</v>
      </c>
      <c r="T4094">
        <v>-0.19216510000000001</v>
      </c>
      <c r="U4094">
        <v>-2.8681179999999999</v>
      </c>
      <c r="V4094">
        <v>0.13665829999999901</v>
      </c>
      <c r="W4094">
        <v>5.5392150000000001E-3</v>
      </c>
      <c r="X4094">
        <v>0.99060269999999995</v>
      </c>
      <c r="Y4094">
        <v>0.3626993</v>
      </c>
      <c r="Z4094">
        <v>6.2226070000000001E-2</v>
      </c>
      <c r="AA4094">
        <v>0.92982640000000005</v>
      </c>
      <c r="AB4094">
        <v>24</v>
      </c>
      <c r="AC4094">
        <v>-6.5587000000000097</v>
      </c>
      <c r="AD4094">
        <v>-1.10848346566</v>
      </c>
      <c r="AE4094">
        <v>-16.4043999999999</v>
      </c>
      <c r="AF4094">
        <v>6.4412708270442698</v>
      </c>
      <c r="AG4094">
        <v>-1.10848346566</v>
      </c>
      <c r="AH4094">
        <v>16.376442831017599</v>
      </c>
      <c r="AI4094">
        <v>93.604320233452697</v>
      </c>
      <c r="AJ4094">
        <v>68.529025625498605</v>
      </c>
      <c r="AK4094">
        <v>17.632543357625998</v>
      </c>
      <c r="AL4094">
        <v>89.682624717121897</v>
      </c>
      <c r="AM4094">
        <v>82.145355986396794</v>
      </c>
      <c r="AN4094">
        <v>0.99999994155449601</v>
      </c>
    </row>
    <row r="4095" spans="1:40" x14ac:dyDescent="0.25">
      <c r="A4095" t="str">
        <f>"20190312154917682"</f>
        <v>20190312154917682</v>
      </c>
      <c r="B4095" t="str">
        <f>"1552376957670372"</f>
        <v>1552376957670372</v>
      </c>
      <c r="C4095" t="s">
        <v>40</v>
      </c>
      <c r="D4095">
        <v>4.4508020000000004</v>
      </c>
      <c r="E4095">
        <v>0.59130039999999995</v>
      </c>
      <c r="F4095" t="s">
        <v>63</v>
      </c>
      <c r="G4095">
        <v>-199.41409999999999</v>
      </c>
      <c r="H4095" s="1">
        <v>-1.243306E-5</v>
      </c>
      <c r="I4095">
        <v>149.77510000000001</v>
      </c>
      <c r="J4095">
        <v>-192.8374</v>
      </c>
      <c r="K4095">
        <v>1.1084700000000001</v>
      </c>
      <c r="L4095">
        <v>166.04990000000001</v>
      </c>
      <c r="M4095">
        <v>-7.72354599999999E-3</v>
      </c>
      <c r="N4095">
        <v>0</v>
      </c>
      <c r="O4095">
        <v>-0.99987490000000001</v>
      </c>
      <c r="P4095">
        <v>-0.14711359999999901</v>
      </c>
      <c r="Q4095">
        <v>-7.7395889999999998E-3</v>
      </c>
      <c r="R4095">
        <v>-0.98908949999999995</v>
      </c>
      <c r="S4095">
        <v>-1.1433869999999999</v>
      </c>
      <c r="T4095">
        <v>-0.19260730000000001</v>
      </c>
      <c r="U4095">
        <v>-2.8651430000000002</v>
      </c>
      <c r="V4095">
        <v>0.13949020000000001</v>
      </c>
      <c r="W4095">
        <v>5.4233459999999999E-3</v>
      </c>
      <c r="X4095">
        <v>0.99020859999999999</v>
      </c>
      <c r="Y4095">
        <v>0.36273719999999998</v>
      </c>
      <c r="Z4095">
        <v>6.240354E-2</v>
      </c>
      <c r="AA4095">
        <v>0.92979970000000001</v>
      </c>
      <c r="AB4095">
        <v>24</v>
      </c>
      <c r="AC4095">
        <v>-6.5766999999999802</v>
      </c>
      <c r="AD4095">
        <v>-1.10848243306</v>
      </c>
      <c r="AE4095">
        <v>-16.274799999999999</v>
      </c>
      <c r="AF4095">
        <v>6.4251702787598397</v>
      </c>
      <c r="AG4095">
        <v>-1.10848243306</v>
      </c>
      <c r="AH4095">
        <v>16.260271840080399</v>
      </c>
      <c r="AI4095">
        <v>93.627751813837307</v>
      </c>
      <c r="AJ4095">
        <v>68.438778102437098</v>
      </c>
      <c r="AK4095">
        <v>17.5187895337769</v>
      </c>
      <c r="AL4095">
        <v>89.689263640097394</v>
      </c>
      <c r="AM4095">
        <v>81.981533899804205</v>
      </c>
      <c r="AN4095">
        <v>1.0000000000459099</v>
      </c>
    </row>
    <row r="4096" spans="1:40" x14ac:dyDescent="0.25">
      <c r="A4096" t="str">
        <f>"20190312154917704"</f>
        <v>20190312154917704</v>
      </c>
      <c r="B4096" t="str">
        <f>"1552376957699651"</f>
        <v>1552376957699651</v>
      </c>
      <c r="C4096" t="s">
        <v>40</v>
      </c>
      <c r="D4096">
        <v>4.4213399999999998</v>
      </c>
      <c r="E4096">
        <v>0.5906188</v>
      </c>
      <c r="F4096" t="s">
        <v>63</v>
      </c>
      <c r="G4096">
        <v>-199.36490000000001</v>
      </c>
      <c r="H4096" s="1">
        <v>-1.247604E-5</v>
      </c>
      <c r="I4096">
        <v>149.8956</v>
      </c>
      <c r="J4096">
        <v>-192.84200000000001</v>
      </c>
      <c r="K4096">
        <v>1.108471</v>
      </c>
      <c r="L4096">
        <v>165.80869999999999</v>
      </c>
      <c r="M4096">
        <v>-1.010866E-2</v>
      </c>
      <c r="N4096">
        <v>0</v>
      </c>
      <c r="O4096">
        <v>-0.99985369999999996</v>
      </c>
      <c r="P4096">
        <v>-0.15180350000000001</v>
      </c>
      <c r="Q4096">
        <v>-7.5515259999999898E-3</v>
      </c>
      <c r="R4096">
        <v>-0.98838190000000004</v>
      </c>
      <c r="S4096">
        <v>-1.1555329999999999</v>
      </c>
      <c r="T4096">
        <v>-0.1962284</v>
      </c>
      <c r="U4096">
        <v>-2.8596949999999999</v>
      </c>
      <c r="V4096">
        <v>0.14182510000000001</v>
      </c>
      <c r="W4096">
        <v>5.5969100000000001E-3</v>
      </c>
      <c r="X4096">
        <v>0.98987590000000003</v>
      </c>
      <c r="Y4096">
        <v>0.36449530000000002</v>
      </c>
      <c r="Z4096">
        <v>6.3610689999999998E-2</v>
      </c>
      <c r="AA4096">
        <v>0.92903009999999997</v>
      </c>
      <c r="AB4096">
        <v>24</v>
      </c>
      <c r="AC4096">
        <v>-6.5228999999999902</v>
      </c>
      <c r="AD4096">
        <v>-1.10848347604</v>
      </c>
      <c r="AE4096">
        <v>-15.913099999999901</v>
      </c>
      <c r="AF4096">
        <v>6.3353722375232202</v>
      </c>
      <c r="AG4096">
        <v>-1.10848347604</v>
      </c>
      <c r="AH4096">
        <v>15.912127217749701</v>
      </c>
      <c r="AI4096">
        <v>93.703107216028101</v>
      </c>
      <c r="AJ4096">
        <v>68.290153751579695</v>
      </c>
      <c r="AK4096">
        <v>17.1627931758931</v>
      </c>
      <c r="AL4096">
        <v>89.679319001507594</v>
      </c>
      <c r="AM4096">
        <v>81.846400641659699</v>
      </c>
      <c r="AN4096">
        <v>0.99999999089618397</v>
      </c>
    </row>
    <row r="4097" spans="1:40" x14ac:dyDescent="0.25">
      <c r="A4097" t="str">
        <f>"20190312154917726"</f>
        <v>20190312154917726</v>
      </c>
      <c r="B4097" t="str">
        <f>"1552376957720148"</f>
        <v>1552376957720148</v>
      </c>
      <c r="C4097" t="s">
        <v>40</v>
      </c>
      <c r="D4097">
        <v>4.4587450000000004</v>
      </c>
      <c r="E4097">
        <v>0.59014350000000004</v>
      </c>
      <c r="F4097" t="s">
        <v>63</v>
      </c>
      <c r="G4097">
        <v>-199.18549999999999</v>
      </c>
      <c r="H4097" s="1">
        <v>-1.255101E-5</v>
      </c>
      <c r="I4097">
        <v>150.2448</v>
      </c>
      <c r="J4097">
        <v>-192.84710000000001</v>
      </c>
      <c r="K4097">
        <v>1.1084750000000001</v>
      </c>
      <c r="L4097">
        <v>165.5752</v>
      </c>
      <c r="M4097">
        <v>-1.241927E-2</v>
      </c>
      <c r="N4097">
        <v>0</v>
      </c>
      <c r="O4097">
        <v>-0.99982760000000004</v>
      </c>
      <c r="P4097">
        <v>-0.15612519999999999</v>
      </c>
      <c r="Q4097">
        <v>-7.0759280000000004E-3</v>
      </c>
      <c r="R4097">
        <v>-0.98771189999999998</v>
      </c>
      <c r="S4097">
        <v>-1.1636200000000001</v>
      </c>
      <c r="T4097">
        <v>-0.20333590000000001</v>
      </c>
      <c r="U4097">
        <v>-2.8549799999999999</v>
      </c>
      <c r="V4097">
        <v>0.14386849999999901</v>
      </c>
      <c r="W4097">
        <v>6.0599119999999998E-3</v>
      </c>
      <c r="X4097">
        <v>0.98957819999999996</v>
      </c>
      <c r="Y4097">
        <v>0.36507830000000002</v>
      </c>
      <c r="Z4097">
        <v>6.5960459999999999E-2</v>
      </c>
      <c r="AA4097">
        <v>0.92863720000000005</v>
      </c>
      <c r="AB4097">
        <v>24</v>
      </c>
      <c r="AC4097">
        <v>-6.3383999999999698</v>
      </c>
      <c r="AD4097">
        <v>-1.1084875510100001</v>
      </c>
      <c r="AE4097">
        <v>-15.3303999999999</v>
      </c>
      <c r="AF4097">
        <v>6.1201741507826002</v>
      </c>
      <c r="AG4097">
        <v>-1.1084875510100001</v>
      </c>
      <c r="AH4097">
        <v>15.339453030473299</v>
      </c>
      <c r="AI4097">
        <v>93.839864740128803</v>
      </c>
      <c r="AJ4097">
        <v>68.248862748589303</v>
      </c>
      <c r="AK4097">
        <v>16.552464939118501</v>
      </c>
      <c r="AL4097">
        <v>89.652790472557797</v>
      </c>
      <c r="AM4097">
        <v>81.728084535278597</v>
      </c>
      <c r="AN4097">
        <v>0.99999994087046695</v>
      </c>
    </row>
    <row r="4098" spans="1:40" x14ac:dyDescent="0.25">
      <c r="A4098" t="str">
        <f>"20190312154917747"</f>
        <v>20190312154917747</v>
      </c>
      <c r="B4098" t="str">
        <f>"1552376957739687"</f>
        <v>1552376957739687</v>
      </c>
      <c r="C4098" t="s">
        <v>40</v>
      </c>
      <c r="D4098">
        <v>4.46739</v>
      </c>
      <c r="E4098">
        <v>0.58972250000000004</v>
      </c>
      <c r="F4098" t="s">
        <v>63</v>
      </c>
      <c r="G4098">
        <v>-199.2971</v>
      </c>
      <c r="H4098" s="1">
        <v>-1.2464040000000001E-5</v>
      </c>
      <c r="I4098">
        <v>149.89570000000001</v>
      </c>
      <c r="J4098">
        <v>-192.85230000000001</v>
      </c>
      <c r="K4098">
        <v>1.108479</v>
      </c>
      <c r="L4098">
        <v>165.357</v>
      </c>
      <c r="M4098">
        <v>-1.457807E-2</v>
      </c>
      <c r="N4098">
        <v>0</v>
      </c>
      <c r="O4098">
        <v>-0.99979870000000004</v>
      </c>
      <c r="P4098">
        <v>-0.16003390000000001</v>
      </c>
      <c r="Q4098">
        <v>-6.4808840000000001E-3</v>
      </c>
      <c r="R4098">
        <v>-0.98709040000000003</v>
      </c>
      <c r="S4098">
        <v>-1.172607</v>
      </c>
      <c r="T4098">
        <v>-0.2015216</v>
      </c>
      <c r="U4098">
        <v>-2.8505099999999999</v>
      </c>
      <c r="V4098">
        <v>0.145651</v>
      </c>
      <c r="W4098">
        <v>6.6440249999999996E-3</v>
      </c>
      <c r="X4098">
        <v>0.98931369999999996</v>
      </c>
      <c r="Y4098">
        <v>0.36609829999999999</v>
      </c>
      <c r="Z4098">
        <v>6.5415210000000001E-2</v>
      </c>
      <c r="AA4098">
        <v>0.92827420000000005</v>
      </c>
      <c r="AB4098">
        <v>24</v>
      </c>
      <c r="AC4098">
        <v>-6.4447999999999803</v>
      </c>
      <c r="AD4098">
        <v>-1.1084914640400001</v>
      </c>
      <c r="AE4098">
        <v>-15.4612999999999</v>
      </c>
      <c r="AF4098">
        <v>6.1915833679240899</v>
      </c>
      <c r="AG4098">
        <v>-1.1084914640400001</v>
      </c>
      <c r="AH4098">
        <v>15.485802616452</v>
      </c>
      <c r="AI4098">
        <v>93.802598228392696</v>
      </c>
      <c r="AJ4098">
        <v>68.207323039225201</v>
      </c>
      <c r="AK4098">
        <v>16.714500907999401</v>
      </c>
      <c r="AL4098">
        <v>89.619322598994998</v>
      </c>
      <c r="AM4098">
        <v>81.624834656034096</v>
      </c>
      <c r="AN4098">
        <v>0.999999976938445</v>
      </c>
    </row>
    <row r="4099" spans="1:40" x14ac:dyDescent="0.25">
      <c r="A4099" t="str">
        <f>"20190312154917759"</f>
        <v>20190312154917759</v>
      </c>
      <c r="B4099" t="str">
        <f>"1552376957750405"</f>
        <v>1552376957750405</v>
      </c>
      <c r="C4099" t="s">
        <v>40</v>
      </c>
      <c r="D4099">
        <v>4.4690399999999997</v>
      </c>
      <c r="E4099">
        <v>0.58952609999999905</v>
      </c>
      <c r="F4099" t="s">
        <v>63</v>
      </c>
      <c r="G4099">
        <v>-199.3433</v>
      </c>
      <c r="H4099" s="1">
        <v>-1.239138E-5</v>
      </c>
      <c r="I4099">
        <v>149.7073</v>
      </c>
      <c r="J4099">
        <v>-192.85550000000001</v>
      </c>
      <c r="K4099">
        <v>1.108487</v>
      </c>
      <c r="L4099">
        <v>165.23249999999999</v>
      </c>
      <c r="M4099">
        <v>-1.580844E-2</v>
      </c>
      <c r="N4099">
        <v>0</v>
      </c>
      <c r="O4099">
        <v>-0.99978</v>
      </c>
      <c r="P4099">
        <v>-0.16185189999999999</v>
      </c>
      <c r="Q4099">
        <v>-6.6613150000000001E-3</v>
      </c>
      <c r="R4099">
        <v>-0.98679289999999997</v>
      </c>
      <c r="S4099">
        <v>-1.180634</v>
      </c>
      <c r="T4099">
        <v>-0.2016211</v>
      </c>
      <c r="U4099">
        <v>-2.8464969999999998</v>
      </c>
      <c r="V4099">
        <v>0.146255</v>
      </c>
      <c r="W4099">
        <v>6.4599699999999998E-3</v>
      </c>
      <c r="X4099">
        <v>0.98922580000000004</v>
      </c>
      <c r="Y4099">
        <v>0.36764740000000001</v>
      </c>
      <c r="Z4099">
        <v>6.5475930000000002E-2</v>
      </c>
      <c r="AA4099">
        <v>0.92765739999999997</v>
      </c>
      <c r="AB4099">
        <v>23</v>
      </c>
      <c r="AC4099">
        <v>-6.4877999999999902</v>
      </c>
      <c r="AD4099">
        <v>-1.1084993913799901</v>
      </c>
      <c r="AE4099">
        <v>-15.5251999999999</v>
      </c>
      <c r="AF4099">
        <v>6.2145650546689</v>
      </c>
      <c r="AG4099">
        <v>-1.1084993913799901</v>
      </c>
      <c r="AH4099">
        <v>15.5583074264689</v>
      </c>
      <c r="AI4099">
        <v>93.785458164761394</v>
      </c>
      <c r="AJ4099">
        <v>68.226399639617298</v>
      </c>
      <c r="AK4099">
        <v>16.7901911750855</v>
      </c>
      <c r="AL4099">
        <v>89.6298683976745</v>
      </c>
      <c r="AM4099">
        <v>81.589862774646207</v>
      </c>
      <c r="AN4099">
        <v>0.99999996981151995</v>
      </c>
    </row>
    <row r="4100" spans="1:40" x14ac:dyDescent="0.25">
      <c r="A4100" t="str">
        <f>"20190312154917781"</f>
        <v>20190312154917781</v>
      </c>
      <c r="B4100" t="str">
        <f>"1552376957769925"</f>
        <v>1552376957769925</v>
      </c>
      <c r="C4100" t="s">
        <v>40</v>
      </c>
      <c r="D4100">
        <v>4.4612720000000001</v>
      </c>
      <c r="E4100">
        <v>0.58919049999999995</v>
      </c>
      <c r="F4100" t="s">
        <v>63</v>
      </c>
      <c r="G4100">
        <v>-199.26519999999999</v>
      </c>
      <c r="H4100" s="1">
        <v>-1.24323E-5</v>
      </c>
      <c r="I4100">
        <v>149.8349</v>
      </c>
      <c r="J4100">
        <v>-192.86199999999999</v>
      </c>
      <c r="K4100">
        <v>1.108492</v>
      </c>
      <c r="L4100">
        <v>164.9931</v>
      </c>
      <c r="M4100">
        <v>-1.817363E-2</v>
      </c>
      <c r="N4100">
        <v>0</v>
      </c>
      <c r="O4100">
        <v>-0.99973959999999995</v>
      </c>
      <c r="P4100">
        <v>-0.165206399999999</v>
      </c>
      <c r="Q4100">
        <v>-6.8751460000000004E-3</v>
      </c>
      <c r="R4100">
        <v>-0.98623519999999998</v>
      </c>
      <c r="S4100">
        <v>-1.1841280000000001</v>
      </c>
      <c r="T4100">
        <v>-0.2047831</v>
      </c>
      <c r="U4100">
        <v>-2.8445429999999998</v>
      </c>
      <c r="V4100">
        <v>0.14727760000000001</v>
      </c>
      <c r="W4100">
        <v>6.2387229999999998E-3</v>
      </c>
      <c r="X4100">
        <v>0.9890755</v>
      </c>
      <c r="Y4100">
        <v>0.3666181</v>
      </c>
      <c r="Z4100">
        <v>6.653481E-2</v>
      </c>
      <c r="AA4100">
        <v>0.92798939999999996</v>
      </c>
      <c r="AB4100">
        <v>23</v>
      </c>
      <c r="AC4100">
        <v>-6.4031999999999902</v>
      </c>
      <c r="AD4100">
        <v>-1.1085044323</v>
      </c>
      <c r="AE4100">
        <v>-15.1581999999999</v>
      </c>
      <c r="AF4100">
        <v>6.0989590309223001</v>
      </c>
      <c r="AG4100">
        <v>-1.1085044323</v>
      </c>
      <c r="AH4100">
        <v>15.203083907856501</v>
      </c>
      <c r="AI4100">
        <v>93.871354797377094</v>
      </c>
      <c r="AJ4100">
        <v>68.141025853950893</v>
      </c>
      <c r="AK4100">
        <v>16.418277730828699</v>
      </c>
      <c r="AL4100">
        <v>89.642545176196194</v>
      </c>
      <c r="AM4100">
        <v>81.530641493212102</v>
      </c>
      <c r="AN4100">
        <v>0.99999997891334003</v>
      </c>
    </row>
    <row r="4101" spans="1:40" x14ac:dyDescent="0.25">
      <c r="A4101" t="str">
        <f>"20190312154917794"</f>
        <v>20190312154917794</v>
      </c>
      <c r="B4101" t="str">
        <f>"1552376957779683"</f>
        <v>1552376957779683</v>
      </c>
      <c r="C4101" t="s">
        <v>40</v>
      </c>
      <c r="D4101">
        <v>4.4719769999999999</v>
      </c>
      <c r="E4101">
        <v>0.58902080000000001</v>
      </c>
      <c r="F4101" t="s">
        <v>63</v>
      </c>
      <c r="G4101">
        <v>-199.131</v>
      </c>
      <c r="H4101" s="1">
        <v>-1.249507E-5</v>
      </c>
      <c r="I4101">
        <v>150.04169999999999</v>
      </c>
      <c r="J4101">
        <v>-192.8656</v>
      </c>
      <c r="K4101">
        <v>1.1084959999999999</v>
      </c>
      <c r="L4101">
        <v>164.86940000000001</v>
      </c>
      <c r="M4101">
        <v>-1.9395539999999999E-2</v>
      </c>
      <c r="N4101">
        <v>0</v>
      </c>
      <c r="O4101">
        <v>-0.99971670000000001</v>
      </c>
      <c r="P4101">
        <v>-0.16666700000000001</v>
      </c>
      <c r="Q4101">
        <v>-6.944403E-3</v>
      </c>
      <c r="R4101">
        <v>-0.98598889999999995</v>
      </c>
      <c r="S4101">
        <v>-1.191147</v>
      </c>
      <c r="T4101">
        <v>-0.21062239999999999</v>
      </c>
      <c r="U4101">
        <v>-2.8408660000000001</v>
      </c>
      <c r="V4101">
        <v>0.14753339999999901</v>
      </c>
      <c r="W4101">
        <v>6.1676750000000001E-3</v>
      </c>
      <c r="X4101">
        <v>0.98903779999999997</v>
      </c>
      <c r="Y4101">
        <v>0.36780879999999999</v>
      </c>
      <c r="Z4101">
        <v>6.8453719999999996E-2</v>
      </c>
      <c r="AA4101">
        <v>0.92737840000000005</v>
      </c>
      <c r="AB4101">
        <v>23</v>
      </c>
      <c r="AC4101">
        <v>-6.2653999999999703</v>
      </c>
      <c r="AD4101">
        <v>-1.1085084950699999</v>
      </c>
      <c r="AE4101">
        <v>-14.8277</v>
      </c>
      <c r="AF4101">
        <v>5.9483938241814602</v>
      </c>
      <c r="AG4101">
        <v>-1.1085084950699999</v>
      </c>
      <c r="AH4101">
        <v>14.8758974517045</v>
      </c>
      <c r="AI4101">
        <v>93.958017091911302</v>
      </c>
      <c r="AJ4101">
        <v>68.205115782222194</v>
      </c>
      <c r="AK4101">
        <v>16.059405504713801</v>
      </c>
      <c r="AL4101">
        <v>89.646615997432804</v>
      </c>
      <c r="AM4101">
        <v>81.515826646816194</v>
      </c>
      <c r="AN4101">
        <v>0.99999995707965195</v>
      </c>
    </row>
    <row r="4102" spans="1:40" x14ac:dyDescent="0.25">
      <c r="A4102" t="str">
        <f>"20190312154917806"</f>
        <v>20190312154917806</v>
      </c>
      <c r="B4102" t="str">
        <f>"1552376957800179"</f>
        <v>1552376957800179</v>
      </c>
      <c r="C4102" t="s">
        <v>40</v>
      </c>
      <c r="D4102">
        <v>4.4896459999999996</v>
      </c>
      <c r="E4102">
        <v>0.58863279999999996</v>
      </c>
      <c r="F4102" t="s">
        <v>63</v>
      </c>
      <c r="G4102">
        <v>-199.08750000000001</v>
      </c>
      <c r="H4102" s="1">
        <v>-1.249922E-5</v>
      </c>
      <c r="I4102">
        <v>150.0735</v>
      </c>
      <c r="J4102">
        <v>-192.86969999999999</v>
      </c>
      <c r="K4102">
        <v>1.1084959999999999</v>
      </c>
      <c r="L4102">
        <v>164.7347</v>
      </c>
      <c r="M4102">
        <v>-2.0726979999999999E-2</v>
      </c>
      <c r="N4102">
        <v>0</v>
      </c>
      <c r="O4102">
        <v>-0.99969019999999997</v>
      </c>
      <c r="P4102">
        <v>-0.16827220000000001</v>
      </c>
      <c r="Q4102">
        <v>-7.4619300000000003E-3</v>
      </c>
      <c r="R4102">
        <v>-0.98571260000000005</v>
      </c>
      <c r="S4102">
        <v>-1.1939850000000001</v>
      </c>
      <c r="T4102">
        <v>-0.21272279999999999</v>
      </c>
      <c r="U4102">
        <v>-2.83934</v>
      </c>
      <c r="V4102">
        <v>0.1478247</v>
      </c>
      <c r="W4102">
        <v>5.6479319999999996E-3</v>
      </c>
      <c r="X4102">
        <v>0.98899749999999997</v>
      </c>
      <c r="Y4102">
        <v>0.36751790000000001</v>
      </c>
      <c r="Z4102">
        <v>6.9155460000000002E-2</v>
      </c>
      <c r="AA4102">
        <v>0.92744170000000004</v>
      </c>
      <c r="AB4102">
        <v>23</v>
      </c>
      <c r="AC4102">
        <v>-6.2178000000000102</v>
      </c>
      <c r="AD4102">
        <v>-1.1085084992199901</v>
      </c>
      <c r="AE4102">
        <v>-14.661199999999999</v>
      </c>
      <c r="AF4102">
        <v>5.8840435777953202</v>
      </c>
      <c r="AG4102">
        <v>-1.1085084992199901</v>
      </c>
      <c r="AH4102">
        <v>14.715638540800301</v>
      </c>
      <c r="AI4102">
        <v>94.001007206682402</v>
      </c>
      <c r="AJ4102">
        <v>68.206014915270302</v>
      </c>
      <c r="AK4102">
        <v>15.8871261586772</v>
      </c>
      <c r="AL4102">
        <v>89.676395628502306</v>
      </c>
      <c r="AM4102">
        <v>81.498978101315004</v>
      </c>
      <c r="AN4102">
        <v>1.0000000480361</v>
      </c>
    </row>
    <row r="4103" spans="1:40" x14ac:dyDescent="0.25">
      <c r="A4103" t="str">
        <f>"20190312154917818"</f>
        <v>20190312154917818</v>
      </c>
      <c r="B4103" t="str">
        <f>"1552376957809940"</f>
        <v>1552376957809940</v>
      </c>
      <c r="C4103" t="s">
        <v>40</v>
      </c>
      <c r="D4103">
        <v>4.4742879999999996</v>
      </c>
      <c r="E4103">
        <v>0.58845349999999996</v>
      </c>
      <c r="F4103" t="s">
        <v>63</v>
      </c>
      <c r="G4103">
        <v>-198.9128</v>
      </c>
      <c r="H4103" s="1">
        <v>-1.25629E-5</v>
      </c>
      <c r="I4103">
        <v>150.38820000000001</v>
      </c>
      <c r="J4103">
        <v>-192.874</v>
      </c>
      <c r="K4103">
        <v>1.108493</v>
      </c>
      <c r="L4103">
        <v>164.6003</v>
      </c>
      <c r="M4103">
        <v>-2.2061500000000001E-2</v>
      </c>
      <c r="N4103">
        <v>0</v>
      </c>
      <c r="O4103">
        <v>-0.99966149999999998</v>
      </c>
      <c r="P4103">
        <v>-0.1705015</v>
      </c>
      <c r="Q4103">
        <v>-8.0067619999999902E-3</v>
      </c>
      <c r="R4103">
        <v>-0.98532509999999995</v>
      </c>
      <c r="S4103">
        <v>-1.195343</v>
      </c>
      <c r="T4103">
        <v>-0.21926399999999999</v>
      </c>
      <c r="U4103">
        <v>-2.8377690000000002</v>
      </c>
      <c r="V4103">
        <v>0.1487396</v>
      </c>
      <c r="W4103">
        <v>5.0962389999999998E-3</v>
      </c>
      <c r="X4103">
        <v>0.9888633</v>
      </c>
      <c r="Y4103">
        <v>0.36677860000000001</v>
      </c>
      <c r="Z4103">
        <v>7.1308079999999996E-2</v>
      </c>
      <c r="AA4103">
        <v>0.92757140000000005</v>
      </c>
      <c r="AB4103">
        <v>23</v>
      </c>
      <c r="AC4103">
        <v>-6.0387999999999797</v>
      </c>
      <c r="AD4103">
        <v>-1.1085055629</v>
      </c>
      <c r="AE4103">
        <v>-14.2120999999999</v>
      </c>
      <c r="AF4103">
        <v>5.6944154592269101</v>
      </c>
      <c r="AG4103">
        <v>-1.1085055629</v>
      </c>
      <c r="AH4103">
        <v>14.2683503630677</v>
      </c>
      <c r="AI4103">
        <v>94.127064698974806</v>
      </c>
      <c r="AJ4103">
        <v>68.243346019064504</v>
      </c>
      <c r="AK4103">
        <v>15.4026288044774</v>
      </c>
      <c r="AL4103">
        <v>89.708005759658406</v>
      </c>
      <c r="AM4103">
        <v>81.445996768443806</v>
      </c>
      <c r="AN4103">
        <v>1.00000003317349</v>
      </c>
    </row>
    <row r="4104" spans="1:40" x14ac:dyDescent="0.25">
      <c r="A4104" t="str">
        <f>"20190312154917837"</f>
        <v>20190312154917837</v>
      </c>
      <c r="B4104" t="str">
        <f>"1552376957830439"</f>
        <v>1552376957830439</v>
      </c>
      <c r="C4104" t="s">
        <v>40</v>
      </c>
      <c r="D4104">
        <v>4.4753679999999996</v>
      </c>
      <c r="E4104">
        <v>0.58814630000000001</v>
      </c>
      <c r="F4104" t="s">
        <v>63</v>
      </c>
      <c r="G4104">
        <v>-198.8468</v>
      </c>
      <c r="H4104" s="1">
        <v>-1.2583189999999999E-5</v>
      </c>
      <c r="I4104">
        <v>150.49209999999999</v>
      </c>
      <c r="J4104">
        <v>-192.8801</v>
      </c>
      <c r="K4104">
        <v>1.1084830000000001</v>
      </c>
      <c r="L4104">
        <v>164.41820000000001</v>
      </c>
      <c r="M4104">
        <v>-2.3881909999999999E-2</v>
      </c>
      <c r="N4104">
        <v>0</v>
      </c>
      <c r="O4104">
        <v>-0.99961979999999995</v>
      </c>
      <c r="P4104">
        <v>-0.1740409</v>
      </c>
      <c r="Q4104">
        <v>-8.6254909999999903E-3</v>
      </c>
      <c r="R4104">
        <v>-0.98470080000000004</v>
      </c>
      <c r="S4104">
        <v>-1.2002870000000001</v>
      </c>
      <c r="T4104">
        <v>-0.22276370000000001</v>
      </c>
      <c r="U4104">
        <v>-2.835175</v>
      </c>
      <c r="V4104">
        <v>0.1504897</v>
      </c>
      <c r="W4104">
        <v>4.4634829999999999E-3</v>
      </c>
      <c r="X4104">
        <v>0.98860150000000002</v>
      </c>
      <c r="Y4104">
        <v>0.36672870000000002</v>
      </c>
      <c r="Z4104">
        <v>7.2473209999999996E-2</v>
      </c>
      <c r="AA4104">
        <v>0.92750080000000001</v>
      </c>
      <c r="AB4104">
        <v>23</v>
      </c>
      <c r="AC4104">
        <v>-5.9667000000000003</v>
      </c>
      <c r="AD4104">
        <v>-1.1084955831900001</v>
      </c>
      <c r="AE4104">
        <v>-13.9261</v>
      </c>
      <c r="AF4104">
        <v>5.6023936867226496</v>
      </c>
      <c r="AG4104">
        <v>-1.1084955831900001</v>
      </c>
      <c r="AH4104">
        <v>13.9897470919772</v>
      </c>
      <c r="AI4104">
        <v>94.206944107475195</v>
      </c>
      <c r="AJ4104">
        <v>68.175663137435393</v>
      </c>
      <c r="AK4104">
        <v>15.110546025093401</v>
      </c>
      <c r="AL4104">
        <v>89.744260412778303</v>
      </c>
      <c r="AM4104">
        <v>81.344606663393293</v>
      </c>
      <c r="AN4104">
        <v>0.99999999914441495</v>
      </c>
    </row>
    <row r="4105" spans="1:40" x14ac:dyDescent="0.25">
      <c r="A4105" t="str">
        <f>"20190312154917849"</f>
        <v>20190312154917849</v>
      </c>
      <c r="B4105" t="str">
        <f>"1552376957840196"</f>
        <v>1552376957840196</v>
      </c>
      <c r="C4105" t="s">
        <v>40</v>
      </c>
      <c r="D4105">
        <v>4.4715069999999999</v>
      </c>
      <c r="E4105">
        <v>0.58796910000000002</v>
      </c>
      <c r="F4105" t="s">
        <v>63</v>
      </c>
      <c r="G4105">
        <v>-198.7345</v>
      </c>
      <c r="H4105" s="1">
        <v>-1.262432E-5</v>
      </c>
      <c r="I4105">
        <v>150.6951</v>
      </c>
      <c r="J4105">
        <v>-192.88470000000001</v>
      </c>
      <c r="K4105">
        <v>1.108473</v>
      </c>
      <c r="L4105">
        <v>164.2867</v>
      </c>
      <c r="M4105">
        <v>-2.5211850000000001E-2</v>
      </c>
      <c r="N4105">
        <v>0</v>
      </c>
      <c r="O4105">
        <v>-0.99958689999999994</v>
      </c>
      <c r="P4105">
        <v>-0.17643239999999999</v>
      </c>
      <c r="Q4105">
        <v>-8.6981130000000004E-3</v>
      </c>
      <c r="R4105">
        <v>-0.98427410000000004</v>
      </c>
      <c r="S4105">
        <v>-1.207794</v>
      </c>
      <c r="T4105">
        <v>-0.2286868</v>
      </c>
      <c r="U4105">
        <v>-2.8311310000000001</v>
      </c>
      <c r="V4105">
        <v>0.1515756</v>
      </c>
      <c r="W4105">
        <v>4.3805149999999998E-3</v>
      </c>
      <c r="X4105">
        <v>0.98843599999999998</v>
      </c>
      <c r="Y4105">
        <v>0.36799310000000002</v>
      </c>
      <c r="Z4105">
        <v>7.4426350000000002E-2</v>
      </c>
      <c r="AA4105">
        <v>0.92684509999999998</v>
      </c>
      <c r="AB4105">
        <v>23</v>
      </c>
      <c r="AC4105">
        <v>-5.8497999999999797</v>
      </c>
      <c r="AD4105">
        <v>-1.1084856243200001</v>
      </c>
      <c r="AE4105">
        <v>-13.5916</v>
      </c>
      <c r="AF4105">
        <v>5.4745156082599404</v>
      </c>
      <c r="AG4105">
        <v>-1.1084856243200001</v>
      </c>
      <c r="AH4105">
        <v>13.658128780108999</v>
      </c>
      <c r="AI4105">
        <v>94.308135566030401</v>
      </c>
      <c r="AJ4105">
        <v>68.157866907475295</v>
      </c>
      <c r="AK4105">
        <v>14.756135784765901</v>
      </c>
      <c r="AL4105">
        <v>89.749014185439705</v>
      </c>
      <c r="AM4105">
        <v>81.281670110117403</v>
      </c>
      <c r="AN4105">
        <v>1.00000003876151</v>
      </c>
    </row>
    <row r="4106" spans="1:40" x14ac:dyDescent="0.25">
      <c r="A4106" t="str">
        <f>"20190312154917862"</f>
        <v>20190312154917862</v>
      </c>
      <c r="B4106" t="str">
        <f>"1552376957849955"</f>
        <v>1552376957849955</v>
      </c>
      <c r="C4106" t="s">
        <v>40</v>
      </c>
      <c r="D4106">
        <v>4.4687760000000001</v>
      </c>
      <c r="E4106">
        <v>0.58779169999999903</v>
      </c>
      <c r="F4106" t="s">
        <v>63</v>
      </c>
      <c r="G4106">
        <v>-198.7338</v>
      </c>
      <c r="H4106" s="1">
        <v>-1.261335E-5</v>
      </c>
      <c r="I4106">
        <v>150.65180000000001</v>
      </c>
      <c r="J4106">
        <v>-192.88990000000001</v>
      </c>
      <c r="K4106">
        <v>1.1084560000000001</v>
      </c>
      <c r="L4106">
        <v>164.14359999999999</v>
      </c>
      <c r="M4106">
        <v>-2.668129E-2</v>
      </c>
      <c r="N4106">
        <v>0</v>
      </c>
      <c r="O4106">
        <v>-0.99954889999999996</v>
      </c>
      <c r="P4106">
        <v>-0.17922869999999999</v>
      </c>
      <c r="Q4106">
        <v>-8.5928930000000008E-3</v>
      </c>
      <c r="R4106">
        <v>-0.98377029999999999</v>
      </c>
      <c r="S4106">
        <v>-1.213333</v>
      </c>
      <c r="T4106">
        <v>-0.2299435</v>
      </c>
      <c r="U4106">
        <v>-2.8284150000000001</v>
      </c>
      <c r="V4106">
        <v>0.1529317</v>
      </c>
      <c r="W4106">
        <v>4.469682E-3</v>
      </c>
      <c r="X4106">
        <v>0.98822670000000001</v>
      </c>
      <c r="Y4106">
        <v>0.3684693</v>
      </c>
      <c r="Z4106">
        <v>7.4859419999999996E-2</v>
      </c>
      <c r="AA4106">
        <v>0.92662100000000003</v>
      </c>
      <c r="AB4106">
        <v>23</v>
      </c>
      <c r="AC4106">
        <v>-5.8438999999999899</v>
      </c>
      <c r="AD4106">
        <v>-1.1084686133499999</v>
      </c>
      <c r="AE4106">
        <v>-13.4917999999999</v>
      </c>
      <c r="AF4106">
        <v>5.4508253831320896</v>
      </c>
      <c r="AG4106">
        <v>-1.1084686133499999</v>
      </c>
      <c r="AH4106">
        <v>13.5658293098409</v>
      </c>
      <c r="AI4106">
        <v>94.335805001531497</v>
      </c>
      <c r="AJ4106">
        <v>68.1094651514845</v>
      </c>
      <c r="AK4106">
        <v>14.6619209139839</v>
      </c>
      <c r="AL4106">
        <v>89.743905244891295</v>
      </c>
      <c r="AM4106">
        <v>81.203050559323501</v>
      </c>
      <c r="AN4106">
        <v>1.0000000467574699</v>
      </c>
    </row>
    <row r="4107" spans="1:40" x14ac:dyDescent="0.25">
      <c r="A4107" t="str">
        <f>"20190312154917875"</f>
        <v>20190312154917875</v>
      </c>
      <c r="B4107" t="str">
        <f>"1552376957870452"</f>
        <v>1552376957870452</v>
      </c>
      <c r="C4107" t="s">
        <v>40</v>
      </c>
      <c r="D4107">
        <v>4.5143690000000003</v>
      </c>
      <c r="E4107">
        <v>0.58752879999999996</v>
      </c>
      <c r="F4107" t="s">
        <v>63</v>
      </c>
      <c r="G4107">
        <v>-198.7773</v>
      </c>
      <c r="H4107" s="1">
        <v>-1.258187E-5</v>
      </c>
      <c r="I4107">
        <v>150.51140000000001</v>
      </c>
      <c r="J4107">
        <v>-192.8947</v>
      </c>
      <c r="K4107">
        <v>1.10843</v>
      </c>
      <c r="L4107">
        <v>164.01840000000001</v>
      </c>
      <c r="M4107">
        <v>-2.8007830000000001E-2</v>
      </c>
      <c r="N4107">
        <v>0</v>
      </c>
      <c r="O4107">
        <v>-0.99951270000000003</v>
      </c>
      <c r="P4107">
        <v>-0.18188989999999999</v>
      </c>
      <c r="Q4107">
        <v>-8.7162999999999997E-3</v>
      </c>
      <c r="R4107">
        <v>-0.98328070000000001</v>
      </c>
      <c r="S4107">
        <v>-1.2201229999999901</v>
      </c>
      <c r="T4107">
        <v>-0.2297237</v>
      </c>
      <c r="U4107">
        <v>-2.8252109999999999</v>
      </c>
      <c r="V4107">
        <v>0.15429379999999901</v>
      </c>
      <c r="W4107">
        <v>4.327109E-3</v>
      </c>
      <c r="X4107">
        <v>0.98801550000000005</v>
      </c>
      <c r="Y4107">
        <v>0.36949670000000001</v>
      </c>
      <c r="Z4107">
        <v>7.4811879999999997E-2</v>
      </c>
      <c r="AA4107">
        <v>0.92621560000000003</v>
      </c>
      <c r="AB4107">
        <v>23</v>
      </c>
      <c r="AC4107">
        <v>-5.8825999999999903</v>
      </c>
      <c r="AD4107">
        <v>-1.1084425818700001</v>
      </c>
      <c r="AE4107">
        <v>-13.507</v>
      </c>
      <c r="AF4107">
        <v>5.4709839516368897</v>
      </c>
      <c r="AG4107">
        <v>-1.1084425818700001</v>
      </c>
      <c r="AH4107">
        <v>13.5895469182179</v>
      </c>
      <c r="AI4107">
        <v>94.326997998733503</v>
      </c>
      <c r="AJ4107">
        <v>68.070892395310693</v>
      </c>
      <c r="AK4107">
        <v>14.691361264321801</v>
      </c>
      <c r="AL4107">
        <v>89.752074134291703</v>
      </c>
      <c r="AM4107">
        <v>81.124074637973393</v>
      </c>
      <c r="AN4107">
        <v>0.99999996441549299</v>
      </c>
    </row>
    <row r="4108" spans="1:40" x14ac:dyDescent="0.25">
      <c r="A4108" t="str">
        <f>"20190312154917893"</f>
        <v>20190312154917893</v>
      </c>
      <c r="B4108" t="str">
        <f>"1552376957889971"</f>
        <v>1552376957889971</v>
      </c>
      <c r="C4108" t="s">
        <v>40</v>
      </c>
      <c r="D4108">
        <v>4.4958589999999896</v>
      </c>
      <c r="E4108">
        <v>0.58727839999999998</v>
      </c>
      <c r="F4108" t="s">
        <v>63</v>
      </c>
      <c r="G4108">
        <v>-198.79480000000001</v>
      </c>
      <c r="H4108" s="1">
        <v>-1.2563450000000001E-5</v>
      </c>
      <c r="I4108">
        <v>150.43190000000001</v>
      </c>
      <c r="J4108">
        <v>-192.9025</v>
      </c>
      <c r="K4108">
        <v>1.108371</v>
      </c>
      <c r="L4108">
        <v>163.82329999999999</v>
      </c>
      <c r="M4108">
        <v>-3.0145669999999999E-2</v>
      </c>
      <c r="N4108">
        <v>0</v>
      </c>
      <c r="O4108">
        <v>-0.99945039999999996</v>
      </c>
      <c r="P4108">
        <v>-0.18685850000000001</v>
      </c>
      <c r="Q4108">
        <v>-8.4368900000000007E-3</v>
      </c>
      <c r="R4108">
        <v>-0.98235090000000003</v>
      </c>
      <c r="S4108">
        <v>-1.2256009999999999</v>
      </c>
      <c r="T4108">
        <v>-0.23025080000000001</v>
      </c>
      <c r="U4108">
        <v>-2.8222499999999999</v>
      </c>
      <c r="V4108">
        <v>0.15717629999999999</v>
      </c>
      <c r="W4108">
        <v>4.5650480000000004E-3</v>
      </c>
      <c r="X4108">
        <v>0.98755999999999999</v>
      </c>
      <c r="Y4108">
        <v>0.36937110000000001</v>
      </c>
      <c r="Z4108">
        <v>7.5021489999999996E-2</v>
      </c>
      <c r="AA4108">
        <v>0.92624870000000004</v>
      </c>
      <c r="AB4108">
        <v>23</v>
      </c>
      <c r="AC4108">
        <v>-5.8922999999999996</v>
      </c>
      <c r="AD4108">
        <v>-1.1083835634500001</v>
      </c>
      <c r="AE4108">
        <v>-13.3913999999999</v>
      </c>
      <c r="AF4108">
        <v>5.4545843210889702</v>
      </c>
      <c r="AG4108">
        <v>-1.1083835634500001</v>
      </c>
      <c r="AH4108">
        <v>13.485557719703699</v>
      </c>
      <c r="AI4108">
        <v>94.357159553951902</v>
      </c>
      <c r="AJ4108">
        <v>67.9778500790122</v>
      </c>
      <c r="AK4108">
        <v>14.5890805485149</v>
      </c>
      <c r="AL4108">
        <v>89.738441105570601</v>
      </c>
      <c r="AM4108">
        <v>80.956868507560301</v>
      </c>
      <c r="AN4108">
        <v>0.99999999127246597</v>
      </c>
    </row>
    <row r="4109" spans="1:40" x14ac:dyDescent="0.25">
      <c r="A4109" t="str">
        <f>"20190312154917917"</f>
        <v>20190312154917917</v>
      </c>
      <c r="B4109" t="str">
        <f>"1552376957910468"</f>
        <v>1552376957910468</v>
      </c>
      <c r="C4109" t="s">
        <v>40</v>
      </c>
      <c r="D4109">
        <v>4.4848710000000001</v>
      </c>
      <c r="E4109">
        <v>0.58703590000000005</v>
      </c>
      <c r="F4109" t="s">
        <v>63</v>
      </c>
      <c r="G4109">
        <v>-198.87989999999999</v>
      </c>
      <c r="H4109" s="1">
        <v>-1.251932E-5</v>
      </c>
      <c r="I4109">
        <v>150.22659999999999</v>
      </c>
      <c r="J4109">
        <v>-192.9128</v>
      </c>
      <c r="K4109">
        <v>1.108263</v>
      </c>
      <c r="L4109">
        <v>163.58600000000001</v>
      </c>
      <c r="M4109">
        <v>-3.2914260000000001E-2</v>
      </c>
      <c r="N4109">
        <v>0</v>
      </c>
      <c r="O4109">
        <v>-0.99936309999999995</v>
      </c>
      <c r="P4109">
        <v>-0.19198660000000001</v>
      </c>
      <c r="Q4109">
        <v>-8.3186419999999994E-3</v>
      </c>
      <c r="R4109">
        <v>-0.98136230000000002</v>
      </c>
      <c r="S4109">
        <v>-1.2381439999999999</v>
      </c>
      <c r="T4109">
        <v>-0.22959089999999999</v>
      </c>
      <c r="U4109">
        <v>-2.8164220000000002</v>
      </c>
      <c r="V4109">
        <v>0.15959960000000001</v>
      </c>
      <c r="W4109">
        <v>4.625606E-3</v>
      </c>
      <c r="X4109">
        <v>0.98717100000000002</v>
      </c>
      <c r="Y4109">
        <v>0.3709655</v>
      </c>
      <c r="Z4109">
        <v>7.4850600000000003E-2</v>
      </c>
      <c r="AA4109">
        <v>0.92562509999999998</v>
      </c>
      <c r="AB4109">
        <v>23</v>
      </c>
      <c r="AC4109">
        <v>-5.9670999999999799</v>
      </c>
      <c r="AD4109">
        <v>-1.10827551932</v>
      </c>
      <c r="AE4109">
        <v>-13.359400000000001</v>
      </c>
      <c r="AF4109">
        <v>5.4925961789083502</v>
      </c>
      <c r="AG4109">
        <v>-1.10827551932</v>
      </c>
      <c r="AH4109">
        <v>13.4712905722799</v>
      </c>
      <c r="AI4109">
        <v>94.356413217413305</v>
      </c>
      <c r="AJ4109">
        <v>67.817997653955203</v>
      </c>
      <c r="AK4109">
        <v>14.5901527440284</v>
      </c>
      <c r="AL4109">
        <v>89.734971354964102</v>
      </c>
      <c r="AM4109">
        <v>80.816244609363096</v>
      </c>
      <c r="AN4109">
        <v>1.0000000058960099</v>
      </c>
    </row>
    <row r="4110" spans="1:40" x14ac:dyDescent="0.25">
      <c r="A4110" t="str">
        <f>"20190312154917937"</f>
        <v>20190312154917937</v>
      </c>
      <c r="B4110" t="str">
        <f>"1552376957929988"</f>
        <v>1552376957929988</v>
      </c>
      <c r="C4110" t="s">
        <v>40</v>
      </c>
      <c r="D4110">
        <v>4.5083169999999999</v>
      </c>
      <c r="E4110">
        <v>0.58683090000000004</v>
      </c>
      <c r="F4110" t="s">
        <v>63</v>
      </c>
      <c r="G4110">
        <v>-198.916</v>
      </c>
      <c r="H4110" s="1">
        <v>-1.248313E-5</v>
      </c>
      <c r="I4110">
        <v>150.09780000000001</v>
      </c>
      <c r="J4110">
        <v>-192.92320000000001</v>
      </c>
      <c r="K4110">
        <v>1.1081289999999999</v>
      </c>
      <c r="L4110">
        <v>163.3648</v>
      </c>
      <c r="M4110">
        <v>-3.569166E-2</v>
      </c>
      <c r="N4110">
        <v>0</v>
      </c>
      <c r="O4110">
        <v>-0.99926769999999998</v>
      </c>
      <c r="P4110">
        <v>-0.19676930000000001</v>
      </c>
      <c r="Q4110">
        <v>-7.9081259999999997E-3</v>
      </c>
      <c r="R4110">
        <v>-0.98041820000000002</v>
      </c>
      <c r="S4110">
        <v>-1.2507779999999999</v>
      </c>
      <c r="T4110">
        <v>-0.23091329999999999</v>
      </c>
      <c r="U4110">
        <v>-2.8103030000000002</v>
      </c>
      <c r="V4110">
        <v>0.16167219999999999</v>
      </c>
      <c r="W4110">
        <v>4.9717870000000001E-3</v>
      </c>
      <c r="X4110">
        <v>0.98683200000000004</v>
      </c>
      <c r="Y4110">
        <v>0.37259219999999998</v>
      </c>
      <c r="Z4110">
        <v>7.5326489999999996E-2</v>
      </c>
      <c r="AA4110">
        <v>0.92493300000000001</v>
      </c>
      <c r="AB4110">
        <v>23</v>
      </c>
      <c r="AC4110">
        <v>-5.9927999999999804</v>
      </c>
      <c r="AD4110">
        <v>-1.1081414831299901</v>
      </c>
      <c r="AE4110">
        <v>-13.2669999999999</v>
      </c>
      <c r="AF4110">
        <v>5.4836405765749801</v>
      </c>
      <c r="AG4110">
        <v>-1.1081414831299901</v>
      </c>
      <c r="AH4110">
        <v>13.394844307323901</v>
      </c>
      <c r="AI4110">
        <v>94.378118692841497</v>
      </c>
      <c r="AJ4110">
        <v>67.736571779654398</v>
      </c>
      <c r="AK4110">
        <v>14.516202862220499</v>
      </c>
      <c r="AL4110">
        <v>89.715136416835904</v>
      </c>
      <c r="AM4110">
        <v>80.695914028953197</v>
      </c>
      <c r="AN4110">
        <v>1.0000000075714</v>
      </c>
    </row>
    <row r="4111" spans="1:40" x14ac:dyDescent="0.25">
      <c r="A4111" t="str">
        <f>"20190312154917951"</f>
        <v>20190312154917951</v>
      </c>
      <c r="B4111" t="str">
        <f>"1552376957939747"</f>
        <v>1552376957939747</v>
      </c>
      <c r="C4111" t="s">
        <v>40</v>
      </c>
      <c r="D4111">
        <v>4.5293850000000004</v>
      </c>
      <c r="E4111">
        <v>0.58670100000000003</v>
      </c>
      <c r="F4111" t="s">
        <v>63</v>
      </c>
      <c r="G4111">
        <v>-198.95150000000001</v>
      </c>
      <c r="H4111" s="1">
        <v>-1.243751E-5</v>
      </c>
      <c r="I4111">
        <v>149.9768</v>
      </c>
      <c r="J4111">
        <v>-192.93029999999999</v>
      </c>
      <c r="K4111">
        <v>1.1080319999999999</v>
      </c>
      <c r="L4111">
        <v>163.22389999999999</v>
      </c>
      <c r="M4111">
        <v>-3.758222E-2</v>
      </c>
      <c r="N4111">
        <v>0</v>
      </c>
      <c r="O4111">
        <v>-0.99919840000000004</v>
      </c>
      <c r="P4111">
        <v>-0.1990548</v>
      </c>
      <c r="Q4111">
        <v>-7.6748819999999896E-3</v>
      </c>
      <c r="R4111">
        <v>-0.97995860000000001</v>
      </c>
      <c r="S4111">
        <v>-1.262848</v>
      </c>
      <c r="T4111">
        <v>-0.23213880000000001</v>
      </c>
      <c r="U4111">
        <v>-2.8045960000000001</v>
      </c>
      <c r="V4111">
        <v>0.16210840000000001</v>
      </c>
      <c r="W4111">
        <v>5.1653799999999998E-3</v>
      </c>
      <c r="X4111">
        <v>0.98675939999999995</v>
      </c>
      <c r="Y4111">
        <v>0.37483670000000002</v>
      </c>
      <c r="Z4111">
        <v>7.5756669999999998E-2</v>
      </c>
      <c r="AA4111">
        <v>0.92399050000000005</v>
      </c>
      <c r="AB4111">
        <v>23</v>
      </c>
      <c r="AC4111">
        <v>-6.0212000000000199</v>
      </c>
      <c r="AD4111">
        <v>-1.10804443750999</v>
      </c>
      <c r="AE4111">
        <v>-13.2470999999999</v>
      </c>
      <c r="AF4111">
        <v>5.4872253924183596</v>
      </c>
      <c r="AG4111">
        <v>-1.10804443750999</v>
      </c>
      <c r="AH4111">
        <v>13.386430956221901</v>
      </c>
      <c r="AI4111">
        <v>94.379673824925405</v>
      </c>
      <c r="AJ4111">
        <v>67.710809411440707</v>
      </c>
      <c r="AK4111">
        <v>14.5097876872266</v>
      </c>
      <c r="AL4111">
        <v>89.704044199679203</v>
      </c>
      <c r="AM4111">
        <v>80.670577553830995</v>
      </c>
      <c r="AN4111">
        <v>0.99999996399473101</v>
      </c>
    </row>
    <row r="4112" spans="1:40" x14ac:dyDescent="0.25">
      <c r="A4112" t="str">
        <f>"20190312154917970"</f>
        <v>20190312154917970</v>
      </c>
      <c r="B4112" t="str">
        <f>"1552376957960244"</f>
        <v>1552376957960244</v>
      </c>
      <c r="C4112" t="s">
        <v>40</v>
      </c>
      <c r="D4112">
        <v>4.5249100000000002</v>
      </c>
      <c r="E4112">
        <v>0.58647649999999996</v>
      </c>
      <c r="F4112" t="s">
        <v>63</v>
      </c>
      <c r="G4112">
        <v>-198.97819999999999</v>
      </c>
      <c r="H4112" s="1">
        <v>-1.2393160000000001E-5</v>
      </c>
      <c r="I4112">
        <v>149.86240000000001</v>
      </c>
      <c r="J4112">
        <v>-192.9408</v>
      </c>
      <c r="K4112">
        <v>1.107883</v>
      </c>
      <c r="L4112">
        <v>163.02500000000001</v>
      </c>
      <c r="M4112">
        <v>-4.0434669999999999E-2</v>
      </c>
      <c r="N4112">
        <v>0</v>
      </c>
      <c r="O4112">
        <v>-0.9990869</v>
      </c>
      <c r="P4112">
        <v>-0.202705</v>
      </c>
      <c r="Q4112">
        <v>-5.4815469999999998E-3</v>
      </c>
      <c r="R4112">
        <v>-0.97922500000000001</v>
      </c>
      <c r="S4112">
        <v>-1.2682500000000001</v>
      </c>
      <c r="T4112">
        <v>-0.2323576</v>
      </c>
      <c r="U4112">
        <v>-2.8019099999999999</v>
      </c>
      <c r="V4112">
        <v>0.16298080000000001</v>
      </c>
      <c r="W4112">
        <v>7.2958469999999899E-3</v>
      </c>
      <c r="X4112">
        <v>0.98660219999999998</v>
      </c>
      <c r="Y4112">
        <v>0.37399890000000002</v>
      </c>
      <c r="Z4112">
        <v>7.5865310000000005E-2</v>
      </c>
      <c r="AA4112">
        <v>0.92432099999999995</v>
      </c>
      <c r="AB4112">
        <v>23</v>
      </c>
      <c r="AC4112">
        <v>-6.0373999999999901</v>
      </c>
      <c r="AD4112">
        <v>-1.10789539316</v>
      </c>
      <c r="AE4112">
        <v>-13.1625999999999</v>
      </c>
      <c r="AF4112">
        <v>5.4681793932026403</v>
      </c>
      <c r="AG4112">
        <v>-1.10789539316</v>
      </c>
      <c r="AH4112">
        <v>13.318024377644401</v>
      </c>
      <c r="AI4112">
        <v>94.400451939345402</v>
      </c>
      <c r="AJ4112">
        <v>67.677688305136698</v>
      </c>
      <c r="AK4112">
        <v>14.439466451429601</v>
      </c>
      <c r="AL4112">
        <v>89.581975023497506</v>
      </c>
      <c r="AM4112">
        <v>80.619792410566404</v>
      </c>
      <c r="AN4112">
        <v>0.99999993579846103</v>
      </c>
    </row>
    <row r="4113" spans="1:40" x14ac:dyDescent="0.25">
      <c r="A4113" t="str">
        <f>"20190312154917984"</f>
        <v>20190312154917984</v>
      </c>
      <c r="B4113" t="str">
        <f>"1552376957970004"</f>
        <v>1552376957970004</v>
      </c>
      <c r="C4113" t="s">
        <v>40</v>
      </c>
      <c r="D4113">
        <v>4.565105</v>
      </c>
      <c r="E4113">
        <v>0.58635660000000001</v>
      </c>
      <c r="F4113" t="s">
        <v>63</v>
      </c>
      <c r="G4113">
        <v>-199.1541</v>
      </c>
      <c r="H4113" s="1">
        <v>-1.226454E-5</v>
      </c>
      <c r="I4113">
        <v>149.41050000000001</v>
      </c>
      <c r="J4113">
        <v>-192.94890000000001</v>
      </c>
      <c r="K4113">
        <v>1.1077589999999999</v>
      </c>
      <c r="L4113">
        <v>162.88239999999999</v>
      </c>
      <c r="M4113">
        <v>-4.2607359999999997E-2</v>
      </c>
      <c r="N4113">
        <v>0</v>
      </c>
      <c r="O4113">
        <v>-0.99899660000000001</v>
      </c>
      <c r="P4113">
        <v>-0.20539450000000001</v>
      </c>
      <c r="Q4113">
        <v>-3.9086980000000004E-3</v>
      </c>
      <c r="R4113">
        <v>-0.97867179999999998</v>
      </c>
      <c r="S4113">
        <v>-1.2769469999999901</v>
      </c>
      <c r="T4113">
        <v>-0.2276946</v>
      </c>
      <c r="U4113">
        <v>-2.7980499999999999</v>
      </c>
      <c r="V4113">
        <v>0.16355620000000001</v>
      </c>
      <c r="W4113">
        <v>8.8207210000000001E-3</v>
      </c>
      <c r="X4113">
        <v>0.9864946</v>
      </c>
      <c r="Y4113">
        <v>0.37488909999999998</v>
      </c>
      <c r="Z4113">
        <v>7.4375230000000001E-2</v>
      </c>
      <c r="AA4113">
        <v>0.92408140000000005</v>
      </c>
      <c r="AB4113">
        <v>23</v>
      </c>
      <c r="AC4113">
        <v>-6.2051999999999898</v>
      </c>
      <c r="AD4113">
        <v>-1.10777126454</v>
      </c>
      <c r="AE4113">
        <v>-13.4718999999999</v>
      </c>
      <c r="AF4113">
        <v>5.5943017737818401</v>
      </c>
      <c r="AG4113">
        <v>-1.10777126454</v>
      </c>
      <c r="AH4113">
        <v>13.647946871587701</v>
      </c>
      <c r="AI4113">
        <v>94.295027886602199</v>
      </c>
      <c r="AJ4113">
        <v>67.7112460372622</v>
      </c>
      <c r="AK4113">
        <v>14.7915456704281</v>
      </c>
      <c r="AL4113">
        <v>89.494603368514007</v>
      </c>
      <c r="AM4113">
        <v>80.586259136192893</v>
      </c>
      <c r="AN4113">
        <v>1.00000001575327</v>
      </c>
    </row>
    <row r="4114" spans="1:40" x14ac:dyDescent="0.25">
      <c r="A4114" t="str">
        <f>"20190312154918005"</f>
        <v>20190312154918005</v>
      </c>
      <c r="B4114" t="str">
        <f>"1552376958000260"</f>
        <v>1552376958000260</v>
      </c>
      <c r="C4114" t="s">
        <v>40</v>
      </c>
      <c r="D4114">
        <v>4.550986</v>
      </c>
      <c r="E4114">
        <v>0.58599290000000004</v>
      </c>
      <c r="F4114" t="s">
        <v>63</v>
      </c>
      <c r="G4114">
        <v>-199.33580000000001</v>
      </c>
      <c r="H4114" s="1">
        <v>-1.218232E-5</v>
      </c>
      <c r="I4114">
        <v>148.9786</v>
      </c>
      <c r="J4114">
        <v>-192.96180000000001</v>
      </c>
      <c r="K4114">
        <v>1.1075759999999999</v>
      </c>
      <c r="L4114">
        <v>162.66839999999999</v>
      </c>
      <c r="M4114">
        <v>-4.6115389999999999E-2</v>
      </c>
      <c r="N4114">
        <v>0</v>
      </c>
      <c r="O4114">
        <v>-0.99884079999999997</v>
      </c>
      <c r="P4114">
        <v>-0.20982700000000001</v>
      </c>
      <c r="Q4114">
        <v>-2.5056950000000001E-3</v>
      </c>
      <c r="R4114">
        <v>-0.97773580000000004</v>
      </c>
      <c r="S4114">
        <v>-1.28392</v>
      </c>
      <c r="T4114">
        <v>-0.22268940000000001</v>
      </c>
      <c r="U4114">
        <v>-2.795013</v>
      </c>
      <c r="V4114">
        <v>0.1645741</v>
      </c>
      <c r="W4114">
        <v>1.0151510000000001E-2</v>
      </c>
      <c r="X4114">
        <v>0.98631250000000004</v>
      </c>
      <c r="Y4114">
        <v>0.37396859999999998</v>
      </c>
      <c r="Z4114">
        <v>7.2781960000000007E-2</v>
      </c>
      <c r="AA4114">
        <v>0.92458110000000004</v>
      </c>
      <c r="AB4114">
        <v>23</v>
      </c>
      <c r="AC4114">
        <v>-6.3739999999999899</v>
      </c>
      <c r="AD4114">
        <v>-1.10758818232</v>
      </c>
      <c r="AE4114">
        <v>-13.6897999999999</v>
      </c>
      <c r="AF4114">
        <v>5.7051556027461601</v>
      </c>
      <c r="AG4114">
        <v>-1.10758818232</v>
      </c>
      <c r="AH4114">
        <v>13.894454058878599</v>
      </c>
      <c r="AI4114">
        <v>94.217368903551403</v>
      </c>
      <c r="AJ4114">
        <v>67.676619450059505</v>
      </c>
      <c r="AK4114">
        <v>15.060923133309201</v>
      </c>
      <c r="AL4114">
        <v>89.418351341139697</v>
      </c>
      <c r="AM4114">
        <v>80.527013575937104</v>
      </c>
      <c r="AN4114">
        <v>1.0000000176011601</v>
      </c>
    </row>
    <row r="4115" spans="1:40" x14ac:dyDescent="0.25">
      <c r="A4115" t="str">
        <f>"20190312154918017"</f>
        <v>20190312154918017</v>
      </c>
      <c r="B4115" t="str">
        <f>"1552376958010020"</f>
        <v>1552376958010020</v>
      </c>
      <c r="C4115" t="s">
        <v>40</v>
      </c>
      <c r="D4115">
        <v>4.6045889999999998</v>
      </c>
      <c r="E4115">
        <v>0.58585940000000003</v>
      </c>
      <c r="F4115" t="s">
        <v>63</v>
      </c>
      <c r="G4115">
        <v>-199.49</v>
      </c>
      <c r="H4115" s="1">
        <v>-1.2089439999999999E-5</v>
      </c>
      <c r="I4115">
        <v>148.59190000000001</v>
      </c>
      <c r="J4115">
        <v>-192.97069999999999</v>
      </c>
      <c r="K4115">
        <v>1.107448</v>
      </c>
      <c r="L4115">
        <v>162.5341</v>
      </c>
      <c r="M4115">
        <v>-4.8500790000000002E-2</v>
      </c>
      <c r="N4115">
        <v>0</v>
      </c>
      <c r="O4115">
        <v>-0.99872740000000004</v>
      </c>
      <c r="P4115">
        <v>-0.2124277</v>
      </c>
      <c r="Q4115">
        <v>-2.3412419999999999E-3</v>
      </c>
      <c r="R4115">
        <v>-0.97717419999999999</v>
      </c>
      <c r="S4115">
        <v>-1.29393</v>
      </c>
      <c r="T4115">
        <v>-0.21953339999999999</v>
      </c>
      <c r="U4115">
        <v>-2.7900849999999999</v>
      </c>
      <c r="V4115">
        <v>0.16484679999999999</v>
      </c>
      <c r="W4115">
        <v>1.027167E-2</v>
      </c>
      <c r="X4115">
        <v>0.98626570000000002</v>
      </c>
      <c r="Y4115">
        <v>0.37513770000000002</v>
      </c>
      <c r="Z4115">
        <v>7.1789489999999997E-2</v>
      </c>
      <c r="AA4115">
        <v>0.92418500000000003</v>
      </c>
      <c r="AB4115">
        <v>23</v>
      </c>
      <c r="AC4115">
        <v>-6.5193000000000101</v>
      </c>
      <c r="AD4115">
        <v>-1.10746008944</v>
      </c>
      <c r="AE4115">
        <v>-13.9421999999999</v>
      </c>
      <c r="AF4115">
        <v>5.8052971996915401</v>
      </c>
      <c r="AG4115">
        <v>-1.10746008944</v>
      </c>
      <c r="AH4115">
        <v>14.168652770857999</v>
      </c>
      <c r="AI4115">
        <v>94.136832909535002</v>
      </c>
      <c r="AJ4115">
        <v>67.719701922952197</v>
      </c>
      <c r="AK4115">
        <v>15.351829362248401</v>
      </c>
      <c r="AL4115">
        <v>89.411466312717593</v>
      </c>
      <c r="AM4115">
        <v>80.511159928933694</v>
      </c>
      <c r="AN4115">
        <v>1.0000000028356499</v>
      </c>
    </row>
    <row r="4116" spans="1:40" x14ac:dyDescent="0.25">
      <c r="A4116" t="str">
        <f>"20190312154918030"</f>
        <v>20190312154918030</v>
      </c>
      <c r="B4116" t="str">
        <f>"1552376958019780"</f>
        <v>1552376958019780</v>
      </c>
      <c r="C4116" t="s">
        <v>40</v>
      </c>
      <c r="D4116">
        <v>4.5798680000000003</v>
      </c>
      <c r="E4116">
        <v>0.58574939999999998</v>
      </c>
      <c r="F4116" t="s">
        <v>63</v>
      </c>
      <c r="G4116">
        <v>-199.54429999999999</v>
      </c>
      <c r="H4116" s="1">
        <v>-1.205344E-5</v>
      </c>
      <c r="I4116">
        <v>148.44470000000001</v>
      </c>
      <c r="J4116">
        <v>-192.9794</v>
      </c>
      <c r="K4116">
        <v>1.107326</v>
      </c>
      <c r="L4116">
        <v>162.4051</v>
      </c>
      <c r="M4116">
        <v>-5.0864510000000002E-2</v>
      </c>
      <c r="N4116">
        <v>0</v>
      </c>
      <c r="O4116">
        <v>-0.99860979999999999</v>
      </c>
      <c r="P4116">
        <v>-0.2151488</v>
      </c>
      <c r="Q4116">
        <v>-2.7006640000000002E-3</v>
      </c>
      <c r="R4116">
        <v>-0.9765779</v>
      </c>
      <c r="S4116">
        <v>-1.300278</v>
      </c>
      <c r="T4116">
        <v>-0.2190568</v>
      </c>
      <c r="U4116">
        <v>-2.786896</v>
      </c>
      <c r="V4116">
        <v>0.1652605</v>
      </c>
      <c r="W4116">
        <v>9.8682869999999999E-3</v>
      </c>
      <c r="X4116">
        <v>0.98620059999999998</v>
      </c>
      <c r="Y4116">
        <v>0.37508229999999998</v>
      </c>
      <c r="Z4116">
        <v>7.1663669999999999E-2</v>
      </c>
      <c r="AA4116">
        <v>0.92421730000000002</v>
      </c>
      <c r="AB4116">
        <v>23</v>
      </c>
      <c r="AC4116">
        <v>-6.56489999999999</v>
      </c>
      <c r="AD4116">
        <v>-1.1073380534399999</v>
      </c>
      <c r="AE4116">
        <v>-13.9603999999999</v>
      </c>
      <c r="AF4116">
        <v>5.8162765426197103</v>
      </c>
      <c r="AG4116">
        <v>-1.1073380534399999</v>
      </c>
      <c r="AH4116">
        <v>14.203099522143001</v>
      </c>
      <c r="AI4116">
        <v>94.126699709612097</v>
      </c>
      <c r="AJ4116">
        <v>67.730529697613804</v>
      </c>
      <c r="AK4116">
        <v>15.3877648286138</v>
      </c>
      <c r="AL4116">
        <v>89.434579637695194</v>
      </c>
      <c r="AM4116">
        <v>80.487164907161798</v>
      </c>
      <c r="AN4116">
        <v>1.0000000196944601</v>
      </c>
    </row>
    <row r="4117" spans="1:40" x14ac:dyDescent="0.25">
      <c r="A4117" t="str">
        <f>"20190312154918043"</f>
        <v>20190312154918043</v>
      </c>
      <c r="B4117" t="str">
        <f>"1552376958030516"</f>
        <v>1552376958030516</v>
      </c>
      <c r="C4117" t="s">
        <v>40</v>
      </c>
      <c r="D4117">
        <v>4.6110980000000001</v>
      </c>
      <c r="E4117">
        <v>0.58564569999999905</v>
      </c>
      <c r="F4117" t="s">
        <v>63</v>
      </c>
      <c r="G4117">
        <v>-199.55070000000001</v>
      </c>
      <c r="H4117" s="1">
        <v>-1.2045870000000001E-5</v>
      </c>
      <c r="I4117">
        <v>148.4162</v>
      </c>
      <c r="J4117">
        <v>-192.9889</v>
      </c>
      <c r="K4117">
        <v>1.107197</v>
      </c>
      <c r="L4117">
        <v>162.2706</v>
      </c>
      <c r="M4117">
        <v>-5.3435870000000003E-2</v>
      </c>
      <c r="N4117">
        <v>0</v>
      </c>
      <c r="O4117">
        <v>-0.99847540000000001</v>
      </c>
      <c r="P4117">
        <v>-0.2183109</v>
      </c>
      <c r="Q4117">
        <v>-2.8399900000000001E-3</v>
      </c>
      <c r="R4117">
        <v>-0.97587570000000001</v>
      </c>
      <c r="S4117">
        <v>-1.3074490000000001</v>
      </c>
      <c r="T4117">
        <v>-0.22032089999999999</v>
      </c>
      <c r="U4117">
        <v>-2.7833100000000002</v>
      </c>
      <c r="V4117">
        <v>0.16591729999999999</v>
      </c>
      <c r="W4117">
        <v>9.6813779999999992E-3</v>
      </c>
      <c r="X4117">
        <v>0.98609219999999997</v>
      </c>
      <c r="Y4117">
        <v>0.37509189999999998</v>
      </c>
      <c r="Z4117">
        <v>7.2106219999999999E-2</v>
      </c>
      <c r="AA4117">
        <v>0.92417899999999997</v>
      </c>
      <c r="AB4117">
        <v>23</v>
      </c>
      <c r="AC4117">
        <v>-6.5617999999999999</v>
      </c>
      <c r="AD4117">
        <v>-1.1072090458699999</v>
      </c>
      <c r="AE4117">
        <v>-13.854399999999901</v>
      </c>
      <c r="AF4117">
        <v>5.7818686867642199</v>
      </c>
      <c r="AG4117">
        <v>-1.1072090458699999</v>
      </c>
      <c r="AH4117">
        <v>14.1116562487101</v>
      </c>
      <c r="AI4117">
        <v>94.152552610680701</v>
      </c>
      <c r="AJ4117">
        <v>67.719964152293201</v>
      </c>
      <c r="AK4117">
        <v>15.2903485723511</v>
      </c>
      <c r="AL4117">
        <v>89.445289264594507</v>
      </c>
      <c r="AM4117">
        <v>80.449022281338301</v>
      </c>
      <c r="AN4117">
        <v>1.0000000532100499</v>
      </c>
    </row>
    <row r="4118" spans="1:40" x14ac:dyDescent="0.25">
      <c r="A4118" t="str">
        <f>"20190312154918060"</f>
        <v>20190312154918060</v>
      </c>
      <c r="B4118" t="str">
        <f>"1552376958050036"</f>
        <v>1552376958050036</v>
      </c>
      <c r="C4118" t="s">
        <v>40</v>
      </c>
      <c r="D4118">
        <v>4.5982629999999904</v>
      </c>
      <c r="E4118">
        <v>0.58546779999999998</v>
      </c>
      <c r="F4118" t="s">
        <v>63</v>
      </c>
      <c r="G4118">
        <v>-199.5667</v>
      </c>
      <c r="H4118" s="1">
        <v>-1.2035700000000001E-5</v>
      </c>
      <c r="I4118">
        <v>148.37430000000001</v>
      </c>
      <c r="J4118">
        <v>-193.00200000000001</v>
      </c>
      <c r="K4118">
        <v>1.107046</v>
      </c>
      <c r="L4118">
        <v>162.09700000000001</v>
      </c>
      <c r="M4118">
        <v>-5.6943439999999998E-2</v>
      </c>
      <c r="N4118">
        <v>0</v>
      </c>
      <c r="O4118">
        <v>-0.99828130000000004</v>
      </c>
      <c r="P4118">
        <v>-0.22310289999999999</v>
      </c>
      <c r="Q4118">
        <v>-3.1787E-3</v>
      </c>
      <c r="R4118">
        <v>-0.97478980000000004</v>
      </c>
      <c r="S4118">
        <v>-1.3155209999999999</v>
      </c>
      <c r="T4118">
        <v>-0.22143689999999999</v>
      </c>
      <c r="U4118">
        <v>-2.7792050000000001</v>
      </c>
      <c r="V4118">
        <v>0.16729910000000001</v>
      </c>
      <c r="W4118">
        <v>9.2789440000000008E-3</v>
      </c>
      <c r="X4118">
        <v>0.98586260000000003</v>
      </c>
      <c r="Y4118">
        <v>0.37454470000000001</v>
      </c>
      <c r="Z4118">
        <v>7.2509870000000004E-2</v>
      </c>
      <c r="AA4118">
        <v>0.92436929999999995</v>
      </c>
      <c r="AB4118">
        <v>23</v>
      </c>
      <c r="AC4118">
        <v>-6.5646999999999798</v>
      </c>
      <c r="AD4118">
        <v>-1.1070580356999999</v>
      </c>
      <c r="AE4118">
        <v>-13.7227</v>
      </c>
      <c r="AF4118">
        <v>5.7421419591526401</v>
      </c>
      <c r="AG4118">
        <v>-1.1070580356999999</v>
      </c>
      <c r="AH4118">
        <v>14.000134576135601</v>
      </c>
      <c r="AI4118">
        <v>94.184321273292397</v>
      </c>
      <c r="AJ4118">
        <v>67.699060039483101</v>
      </c>
      <c r="AK4118">
        <v>15.1723940076501</v>
      </c>
      <c r="AL4118">
        <v>89.468348082045793</v>
      </c>
      <c r="AM4118">
        <v>80.368762179123607</v>
      </c>
      <c r="AN4118">
        <v>1.0000000768706501</v>
      </c>
    </row>
    <row r="4119" spans="1:40" x14ac:dyDescent="0.25">
      <c r="A4119" t="str">
        <f>"20190312154918074"</f>
        <v>20190312154918074</v>
      </c>
      <c r="B4119" t="str">
        <f>"1552376958059796"</f>
        <v>1552376958059796</v>
      </c>
      <c r="C4119" t="s">
        <v>40</v>
      </c>
      <c r="D4119">
        <v>4.6372819999999999</v>
      </c>
      <c r="E4119">
        <v>0.58536909999999998</v>
      </c>
      <c r="F4119" t="s">
        <v>63</v>
      </c>
      <c r="G4119">
        <v>-199.52449999999999</v>
      </c>
      <c r="H4119" s="1">
        <v>-1.205898E-5</v>
      </c>
      <c r="I4119">
        <v>148.47290000000001</v>
      </c>
      <c r="J4119">
        <v>-193.01329999999999</v>
      </c>
      <c r="K4119">
        <v>1.1069230000000001</v>
      </c>
      <c r="L4119">
        <v>161.9554</v>
      </c>
      <c r="M4119">
        <v>-5.9925260000000001E-2</v>
      </c>
      <c r="N4119">
        <v>0</v>
      </c>
      <c r="O4119">
        <v>-0.99810650000000001</v>
      </c>
      <c r="P4119">
        <v>-0.22645100000000001</v>
      </c>
      <c r="Q4119">
        <v>-3.0509880000000001E-3</v>
      </c>
      <c r="R4119">
        <v>-0.97401789999999999</v>
      </c>
      <c r="S4119">
        <v>-1.3275600000000001</v>
      </c>
      <c r="T4119">
        <v>-0.22532579999999999</v>
      </c>
      <c r="U4119">
        <v>-2.7729949999999999</v>
      </c>
      <c r="V4119">
        <v>0.16774530000000001</v>
      </c>
      <c r="W4119">
        <v>9.3628640000000003E-3</v>
      </c>
      <c r="X4119">
        <v>0.98578589999999999</v>
      </c>
      <c r="Y4119">
        <v>0.37580520000000001</v>
      </c>
      <c r="Z4119">
        <v>7.3819750000000003E-2</v>
      </c>
      <c r="AA4119">
        <v>0.92375379999999996</v>
      </c>
      <c r="AB4119">
        <v>23</v>
      </c>
      <c r="AC4119">
        <v>-6.5111999999999997</v>
      </c>
      <c r="AD4119">
        <v>-1.10693505897999</v>
      </c>
      <c r="AE4119">
        <v>-13.4824999999999</v>
      </c>
      <c r="AF4119">
        <v>5.6605364055583998</v>
      </c>
      <c r="AG4119">
        <v>-1.10693505897999</v>
      </c>
      <c r="AH4119">
        <v>13.7732057094595</v>
      </c>
      <c r="AI4119">
        <v>94.251301573713206</v>
      </c>
      <c r="AJ4119">
        <v>67.658231420641997</v>
      </c>
      <c r="AK4119">
        <v>14.9321188429017</v>
      </c>
      <c r="AL4119">
        <v>89.463539567667695</v>
      </c>
      <c r="AM4119">
        <v>80.342820767088099</v>
      </c>
      <c r="AN4119">
        <v>0.99999999476659096</v>
      </c>
    </row>
    <row r="4120" spans="1:40" x14ac:dyDescent="0.25">
      <c r="A4120" t="str">
        <f>"20190312154918086"</f>
        <v>20190312154918086</v>
      </c>
      <c r="B4120" t="str">
        <f>"1552376958080292"</f>
        <v>1552376958080292</v>
      </c>
      <c r="C4120" t="s">
        <v>40</v>
      </c>
      <c r="D4120">
        <v>4.6161329999999996</v>
      </c>
      <c r="E4120">
        <v>0.58518829999999999</v>
      </c>
      <c r="F4120" t="s">
        <v>63</v>
      </c>
      <c r="G4120">
        <v>-199.57490000000001</v>
      </c>
      <c r="H4120" s="1">
        <v>-1.203342E-5</v>
      </c>
      <c r="I4120">
        <v>148.36259999999999</v>
      </c>
      <c r="J4120">
        <v>-193.0241</v>
      </c>
      <c r="K4120">
        <v>1.1068180000000001</v>
      </c>
      <c r="L4120">
        <v>161.82509999999999</v>
      </c>
      <c r="M4120">
        <v>-6.2741610000000003E-2</v>
      </c>
      <c r="N4120">
        <v>0</v>
      </c>
      <c r="O4120">
        <v>-0.99793330000000002</v>
      </c>
      <c r="P4120">
        <v>-0.2299069</v>
      </c>
      <c r="Q4120">
        <v>-2.859791E-3</v>
      </c>
      <c r="R4120">
        <v>-0.97320830000000003</v>
      </c>
      <c r="S4120">
        <v>-1.3364720000000001</v>
      </c>
      <c r="T4120">
        <v>-0.2254612</v>
      </c>
      <c r="U4120">
        <v>-2.7686000000000002</v>
      </c>
      <c r="V4120">
        <v>0.16846659999999999</v>
      </c>
      <c r="W4120">
        <v>9.5121059999999993E-3</v>
      </c>
      <c r="X4120">
        <v>0.98566140000000002</v>
      </c>
      <c r="Y4120">
        <v>0.37617440000000002</v>
      </c>
      <c r="Z4120">
        <v>7.3894849999999998E-2</v>
      </c>
      <c r="AA4120">
        <v>0.92359749999999996</v>
      </c>
      <c r="AB4120">
        <v>23</v>
      </c>
      <c r="AC4120">
        <v>-6.5507999999999997</v>
      </c>
      <c r="AD4120">
        <v>-1.1068300334200001</v>
      </c>
      <c r="AE4120">
        <v>-13.4625</v>
      </c>
      <c r="AF4120">
        <v>5.6622048308271999</v>
      </c>
      <c r="AG4120">
        <v>-1.1068300334200001</v>
      </c>
      <c r="AH4120">
        <v>13.7717507580236</v>
      </c>
      <c r="AI4120">
        <v>94.251102027183705</v>
      </c>
      <c r="AJ4120">
        <v>67.650165346527203</v>
      </c>
      <c r="AK4120">
        <v>14.9314016492172</v>
      </c>
      <c r="AL4120">
        <v>89.454988217741999</v>
      </c>
      <c r="AM4120">
        <v>80.300880429737504</v>
      </c>
      <c r="AN4120">
        <v>0.99999993546303501</v>
      </c>
    </row>
    <row r="4121" spans="1:40" x14ac:dyDescent="0.25">
      <c r="A4121" t="str">
        <f>"20190312154918099"</f>
        <v>20190312154918099</v>
      </c>
      <c r="B4121" t="str">
        <f>"1552376958090052"</f>
        <v>1552376958090052</v>
      </c>
      <c r="C4121" t="s">
        <v>40</v>
      </c>
      <c r="D4121">
        <v>4.6343680000000003</v>
      </c>
      <c r="E4121">
        <v>0.58508359999999904</v>
      </c>
      <c r="F4121" t="s">
        <v>63</v>
      </c>
      <c r="G4121">
        <v>-199.6147</v>
      </c>
      <c r="H4121" s="1">
        <v>-1.201428E-5</v>
      </c>
      <c r="I4121">
        <v>148.2791</v>
      </c>
      <c r="J4121">
        <v>-193.03659999999999</v>
      </c>
      <c r="K4121">
        <v>1.1067100000000001</v>
      </c>
      <c r="L4121">
        <v>161.68180000000001</v>
      </c>
      <c r="M4121">
        <v>-6.5981209999999998E-2</v>
      </c>
      <c r="N4121">
        <v>0</v>
      </c>
      <c r="O4121">
        <v>-0.99772430000000001</v>
      </c>
      <c r="P4121">
        <v>-0.23343939999999999</v>
      </c>
      <c r="Q4121">
        <v>-2.3810329999999998E-3</v>
      </c>
      <c r="R4121">
        <v>-0.97236880000000003</v>
      </c>
      <c r="S4121">
        <v>-1.3448789999999999</v>
      </c>
      <c r="T4121">
        <v>-0.225859</v>
      </c>
      <c r="U4121">
        <v>-2.7642060000000002</v>
      </c>
      <c r="V4121">
        <v>0.168852</v>
      </c>
      <c r="W4121">
        <v>9.9522059999999999E-3</v>
      </c>
      <c r="X4121">
        <v>0.9855912</v>
      </c>
      <c r="Y4121">
        <v>0.3760114</v>
      </c>
      <c r="Z4121">
        <v>7.4062149999999993E-2</v>
      </c>
      <c r="AA4121">
        <v>0.92365050000000004</v>
      </c>
      <c r="AB4121">
        <v>23</v>
      </c>
      <c r="AC4121">
        <v>-6.5781000000000001</v>
      </c>
      <c r="AD4121">
        <v>-1.1067220142799901</v>
      </c>
      <c r="AE4121">
        <v>-13.402699999999999</v>
      </c>
      <c r="AF4121">
        <v>5.6483141754081503</v>
      </c>
      <c r="AG4121">
        <v>-1.1067220142799901</v>
      </c>
      <c r="AH4121">
        <v>13.732104381024699</v>
      </c>
      <c r="AI4121">
        <v>94.262653626162006</v>
      </c>
      <c r="AJ4121">
        <v>67.641565094922598</v>
      </c>
      <c r="AK4121">
        <v>14.889559341107701</v>
      </c>
      <c r="AL4121">
        <v>89.429771202392899</v>
      </c>
      <c r="AM4121">
        <v>80.278435529743305</v>
      </c>
      <c r="AN4121">
        <v>1.0000000289128499</v>
      </c>
    </row>
    <row r="4122" spans="1:40" x14ac:dyDescent="0.25">
      <c r="A4122" t="str">
        <f>"20190312154918119"</f>
        <v>20190312154918119</v>
      </c>
      <c r="B4122" t="str">
        <f>"1552376958111524"</f>
        <v>1552376958111524</v>
      </c>
      <c r="C4122" t="s">
        <v>40</v>
      </c>
      <c r="D4122">
        <v>4.6179819999999996</v>
      </c>
      <c r="E4122">
        <v>0.5849145</v>
      </c>
      <c r="F4122" t="s">
        <v>63</v>
      </c>
      <c r="G4122">
        <v>-199.71170000000001</v>
      </c>
      <c r="H4122" s="1">
        <v>-1.1968960000000001E-5</v>
      </c>
      <c r="I4122">
        <v>148.07990000000001</v>
      </c>
      <c r="J4122">
        <v>-193.05359999999999</v>
      </c>
      <c r="K4122">
        <v>1.1065849999999999</v>
      </c>
      <c r="L4122">
        <v>161.49680000000001</v>
      </c>
      <c r="M4122">
        <v>-7.0294570000000001E-2</v>
      </c>
      <c r="N4122">
        <v>0</v>
      </c>
      <c r="O4122">
        <v>-0.99742929999999996</v>
      </c>
      <c r="P4122">
        <v>-0.2384684</v>
      </c>
      <c r="Q4122">
        <v>-4.6886829999999999E-4</v>
      </c>
      <c r="R4122">
        <v>-0.97115019999999996</v>
      </c>
      <c r="S4122">
        <v>-1.3542479999999999</v>
      </c>
      <c r="T4122">
        <v>-0.2245345</v>
      </c>
      <c r="U4122">
        <v>-2.7595830000000001</v>
      </c>
      <c r="V4122">
        <v>0.1697101</v>
      </c>
      <c r="W4122">
        <v>1.181462E-2</v>
      </c>
      <c r="X4122">
        <v>0.98542320000000005</v>
      </c>
      <c r="Y4122">
        <v>0.37515880000000001</v>
      </c>
      <c r="Z4122">
        <v>7.3668670000000006E-2</v>
      </c>
      <c r="AA4122">
        <v>0.92402859999999998</v>
      </c>
      <c r="AB4122">
        <v>23</v>
      </c>
      <c r="AC4122">
        <v>-6.6581000000000099</v>
      </c>
      <c r="AD4122">
        <v>-1.1065969689599999</v>
      </c>
      <c r="AE4122">
        <v>-13.416899999999901</v>
      </c>
      <c r="AF4122">
        <v>5.6674647562273996</v>
      </c>
      <c r="AG4122">
        <v>-1.1065969689599999</v>
      </c>
      <c r="AH4122">
        <v>13.776579334953899</v>
      </c>
      <c r="AI4122">
        <v>94.248372008272099</v>
      </c>
      <c r="AJ4122">
        <v>67.638516495288002</v>
      </c>
      <c r="AK4122">
        <v>14.937832901297</v>
      </c>
      <c r="AL4122">
        <v>89.323056383661296</v>
      </c>
      <c r="AM4122">
        <v>80.228347138531007</v>
      </c>
      <c r="AN4122">
        <v>0.99999999319299704</v>
      </c>
    </row>
    <row r="4123" spans="1:40" x14ac:dyDescent="0.25">
      <c r="A4123" t="str">
        <f>"20190312154918140"</f>
        <v>20190312154918140</v>
      </c>
      <c r="B4123" t="str">
        <f>"1552376958130068"</f>
        <v>1552376958130068</v>
      </c>
      <c r="C4123" t="s">
        <v>40</v>
      </c>
      <c r="D4123">
        <v>4.5925229999999999</v>
      </c>
      <c r="E4123">
        <v>0.58475200000000005</v>
      </c>
      <c r="F4123" t="s">
        <v>63</v>
      </c>
      <c r="G4123">
        <v>-199.9682</v>
      </c>
      <c r="H4123" s="1">
        <v>-1.1850039999999999E-5</v>
      </c>
      <c r="I4123">
        <v>147.57689999999999</v>
      </c>
      <c r="J4123">
        <v>-193.07550000000001</v>
      </c>
      <c r="K4123">
        <v>1.106452</v>
      </c>
      <c r="L4123">
        <v>161.27279999999999</v>
      </c>
      <c r="M4123">
        <v>-7.5727340000000004E-2</v>
      </c>
      <c r="N4123">
        <v>0</v>
      </c>
      <c r="O4123">
        <v>-0.99703129999999995</v>
      </c>
      <c r="P4123">
        <v>-0.24447940000000001</v>
      </c>
      <c r="Q4123">
        <v>2.2536879999999998E-3</v>
      </c>
      <c r="R4123">
        <v>-0.96965210000000002</v>
      </c>
      <c r="S4123">
        <v>-1.367615</v>
      </c>
      <c r="T4123">
        <v>-0.21887090000000001</v>
      </c>
      <c r="U4123">
        <v>-2.7531889999999999</v>
      </c>
      <c r="V4123">
        <v>0.17047379999999901</v>
      </c>
      <c r="W4123">
        <v>1.4485629999999999E-2</v>
      </c>
      <c r="X4123">
        <v>0.98525569999999896</v>
      </c>
      <c r="Y4123">
        <v>0.3746234</v>
      </c>
      <c r="Z4123">
        <v>7.186099E-2</v>
      </c>
      <c r="AA4123">
        <v>0.92438810000000005</v>
      </c>
      <c r="AB4123">
        <v>23</v>
      </c>
      <c r="AC4123">
        <v>-6.8926999999999898</v>
      </c>
      <c r="AD4123">
        <v>-1.1064638500399999</v>
      </c>
      <c r="AE4123">
        <v>-13.6958999999999</v>
      </c>
      <c r="AF4123">
        <v>5.8054166632267998</v>
      </c>
      <c r="AG4123">
        <v>-1.1064638500399999</v>
      </c>
      <c r="AH4123">
        <v>14.1051266488968</v>
      </c>
      <c r="AI4123">
        <v>94.148979962981599</v>
      </c>
      <c r="AJ4123">
        <v>67.628814726798296</v>
      </c>
      <c r="AK4123">
        <v>15.2931920365414</v>
      </c>
      <c r="AL4123">
        <v>89.170005485816304</v>
      </c>
      <c r="AM4123">
        <v>80.183591645176094</v>
      </c>
      <c r="AN4123">
        <v>0.99999997217271197</v>
      </c>
    </row>
    <row r="4124" spans="1:40" x14ac:dyDescent="0.25">
      <c r="A4124" t="str">
        <f>"20190312154918161"</f>
        <v>20190312154918161</v>
      </c>
      <c r="B4124" t="str">
        <f>"1552376958149588"</f>
        <v>1552376958149588</v>
      </c>
      <c r="C4124" t="s">
        <v>40</v>
      </c>
      <c r="D4124">
        <v>4.5866259999999999</v>
      </c>
      <c r="E4124">
        <v>0.58463940000000003</v>
      </c>
      <c r="F4124" t="s">
        <v>63</v>
      </c>
      <c r="G4124">
        <v>-200.3038</v>
      </c>
      <c r="H4124" s="1">
        <v>-1.150855E-5</v>
      </c>
      <c r="I4124">
        <v>146.92930000000001</v>
      </c>
      <c r="J4124">
        <v>-193.0985</v>
      </c>
      <c r="K4124">
        <v>1.1063240000000001</v>
      </c>
      <c r="L4124">
        <v>161.0521</v>
      </c>
      <c r="M4124">
        <v>-8.1302520000000003E-2</v>
      </c>
      <c r="N4124">
        <v>0</v>
      </c>
      <c r="O4124">
        <v>-0.99659200000000003</v>
      </c>
      <c r="P4124">
        <v>-0.25056489999999998</v>
      </c>
      <c r="Q4124">
        <v>4.8579979999999997E-3</v>
      </c>
      <c r="R4124">
        <v>-0.96808760000000005</v>
      </c>
      <c r="S4124">
        <v>-1.3836059999999999</v>
      </c>
      <c r="T4124">
        <v>-0.21179249999999999</v>
      </c>
      <c r="U4124">
        <v>-2.7455440000000002</v>
      </c>
      <c r="V4124">
        <v>0.1711809</v>
      </c>
      <c r="W4124">
        <v>1.704259E-2</v>
      </c>
      <c r="X4124">
        <v>0.98509219999999997</v>
      </c>
      <c r="Y4124">
        <v>0.37484129999999999</v>
      </c>
      <c r="Z4124">
        <v>6.958599E-2</v>
      </c>
      <c r="AA4124">
        <v>0.92447380000000001</v>
      </c>
      <c r="AB4124">
        <v>23</v>
      </c>
      <c r="AC4124">
        <v>-7.2052999999999896</v>
      </c>
      <c r="AD4124">
        <v>-1.10633550855</v>
      </c>
      <c r="AE4124">
        <v>-14.1227999999999</v>
      </c>
      <c r="AF4124">
        <v>6.00387693485838</v>
      </c>
      <c r="AG4124">
        <v>-1.10633550855</v>
      </c>
      <c r="AH4124">
        <v>14.5908566333556</v>
      </c>
      <c r="AI4124">
        <v>94.010995698883704</v>
      </c>
      <c r="AJ4124">
        <v>67.633709033793494</v>
      </c>
      <c r="AK4124">
        <v>15.8165613772887</v>
      </c>
      <c r="AL4124">
        <v>89.023484242190605</v>
      </c>
      <c r="AM4124">
        <v>80.142067781274307</v>
      </c>
      <c r="AN4124">
        <v>0.99999999644977899</v>
      </c>
    </row>
    <row r="4125" spans="1:40" x14ac:dyDescent="0.25">
      <c r="A4125" t="str">
        <f>"20190312154918174"</f>
        <v>20190312154918174</v>
      </c>
      <c r="B4125" t="str">
        <f>"1552376958170084"</f>
        <v>1552376958170084</v>
      </c>
      <c r="C4125" t="s">
        <v>40</v>
      </c>
      <c r="D4125">
        <v>4.5782239999999996</v>
      </c>
      <c r="E4125">
        <v>0.58463209999999999</v>
      </c>
      <c r="F4125" t="s">
        <v>63</v>
      </c>
      <c r="G4125">
        <v>-200.66130000000001</v>
      </c>
      <c r="H4125" s="1">
        <v>-1.1153039999999999E-5</v>
      </c>
      <c r="I4125">
        <v>146.2672</v>
      </c>
      <c r="J4125">
        <v>-193.1129</v>
      </c>
      <c r="K4125">
        <v>1.1062510000000001</v>
      </c>
      <c r="L4125">
        <v>160.92099999999999</v>
      </c>
      <c r="M4125">
        <v>-8.4730379999999994E-2</v>
      </c>
      <c r="N4125">
        <v>0</v>
      </c>
      <c r="O4125">
        <v>-0.99630620000000003</v>
      </c>
      <c r="P4125">
        <v>-0.25448579999999998</v>
      </c>
      <c r="Q4125">
        <v>5.5181719999999896E-3</v>
      </c>
      <c r="R4125">
        <v>-0.96706049999999999</v>
      </c>
      <c r="S4125">
        <v>-1.4002840000000001</v>
      </c>
      <c r="T4125">
        <v>-0.20484189999999999</v>
      </c>
      <c r="U4125">
        <v>-2.7374879999999999</v>
      </c>
      <c r="V4125">
        <v>0.1717938</v>
      </c>
      <c r="W4125">
        <v>1.767287E-2</v>
      </c>
      <c r="X4125">
        <v>0.98497440000000003</v>
      </c>
      <c r="Y4125">
        <v>0.37729040000000003</v>
      </c>
      <c r="Z4125">
        <v>6.7337649999999999E-2</v>
      </c>
      <c r="AA4125">
        <v>0.92364360000000001</v>
      </c>
      <c r="AB4125">
        <v>23</v>
      </c>
      <c r="AC4125">
        <v>-7.5484000000000098</v>
      </c>
      <c r="AD4125">
        <v>-1.1062621530399901</v>
      </c>
      <c r="AE4125">
        <v>-14.653799999999899</v>
      </c>
      <c r="AF4125">
        <v>6.2513504361386802</v>
      </c>
      <c r="AG4125">
        <v>-1.1062621530399901</v>
      </c>
      <c r="AH4125">
        <v>15.1723966662232</v>
      </c>
      <c r="AI4125">
        <v>93.856747446812193</v>
      </c>
      <c r="AJ4125">
        <v>67.607296168245</v>
      </c>
      <c r="AK4125">
        <v>16.447030699305</v>
      </c>
      <c r="AL4125">
        <v>88.987366424163099</v>
      </c>
      <c r="AM4125">
        <v>80.106308553541595</v>
      </c>
      <c r="AN4125">
        <v>1.0000000043539099</v>
      </c>
    </row>
    <row r="4126" spans="1:40" x14ac:dyDescent="0.25">
      <c r="A4126" t="str">
        <f>"20190312154918187"</f>
        <v>20190312154918187</v>
      </c>
      <c r="B4126" t="str">
        <f>"1552376958179845"</f>
        <v>1552376958179845</v>
      </c>
      <c r="C4126" t="s">
        <v>40</v>
      </c>
      <c r="D4126">
        <v>4.651446</v>
      </c>
      <c r="E4126">
        <v>0.58463209999999999</v>
      </c>
      <c r="F4126" t="s">
        <v>63</v>
      </c>
      <c r="G4126">
        <v>-200.7834</v>
      </c>
      <c r="H4126" s="1">
        <v>-1.1041690000000001E-5</v>
      </c>
      <c r="I4126">
        <v>146.07499999999999</v>
      </c>
      <c r="J4126">
        <v>-193.1283</v>
      </c>
      <c r="K4126">
        <v>1.106171</v>
      </c>
      <c r="L4126">
        <v>160.78550000000001</v>
      </c>
      <c r="M4126">
        <v>-8.833212E-2</v>
      </c>
      <c r="N4126">
        <v>0</v>
      </c>
      <c r="O4126">
        <v>-0.99599329999999997</v>
      </c>
      <c r="P4126">
        <v>-0.25859660000000001</v>
      </c>
      <c r="Q4126">
        <v>6.1465130000000002E-3</v>
      </c>
      <c r="R4126">
        <v>-0.9659662</v>
      </c>
      <c r="S4126">
        <v>-1.4114990000000001</v>
      </c>
      <c r="T4126">
        <v>-0.20356920000000001</v>
      </c>
      <c r="U4126">
        <v>-2.731903</v>
      </c>
      <c r="V4126">
        <v>0.17243169999999999</v>
      </c>
      <c r="W4126">
        <v>1.8269779999999999E-2</v>
      </c>
      <c r="X4126">
        <v>0.98485199999999995</v>
      </c>
      <c r="Y4126">
        <v>0.37771870000000002</v>
      </c>
      <c r="Z4126">
        <v>6.6945050000000006E-2</v>
      </c>
      <c r="AA4126">
        <v>0.92349709999999996</v>
      </c>
      <c r="AB4126">
        <v>23</v>
      </c>
      <c r="AC4126">
        <v>-7.6551</v>
      </c>
      <c r="AD4126">
        <v>-1.1061820416899999</v>
      </c>
      <c r="AE4126">
        <v>-14.7105</v>
      </c>
      <c r="AF4126">
        <v>6.2976128592137997</v>
      </c>
      <c r="AG4126">
        <v>-1.1061820416899999</v>
      </c>
      <c r="AH4126">
        <v>15.261336732883599</v>
      </c>
      <c r="AI4126">
        <v>93.833212638415802</v>
      </c>
      <c r="AJ4126">
        <v>67.5764368777063</v>
      </c>
      <c r="AK4126">
        <v>16.546660246356499</v>
      </c>
      <c r="AL4126">
        <v>88.953160438835596</v>
      </c>
      <c r="AM4126">
        <v>80.069091928879899</v>
      </c>
      <c r="AN4126">
        <v>0.99999996896506804</v>
      </c>
    </row>
    <row r="4127" spans="1:40" x14ac:dyDescent="0.25">
      <c r="A4127" t="str">
        <f>"20190312154918206"</f>
        <v>20190312154918206</v>
      </c>
      <c r="B4127" t="str">
        <f>"1552376958200340"</f>
        <v>1552376958200340</v>
      </c>
      <c r="C4127" t="s">
        <v>40</v>
      </c>
      <c r="D4127">
        <v>4.7086059999999996</v>
      </c>
      <c r="E4127">
        <v>0.60512100000000002</v>
      </c>
      <c r="F4127" t="s">
        <v>63</v>
      </c>
      <c r="G4127">
        <v>-200.94820000000001</v>
      </c>
      <c r="H4127" s="1">
        <v>-1.0889E-5</v>
      </c>
      <c r="I4127">
        <v>145.80719999999999</v>
      </c>
      <c r="J4127">
        <v>-193.15029999999999</v>
      </c>
      <c r="K4127">
        <v>1.106063</v>
      </c>
      <c r="L4127">
        <v>160.6003</v>
      </c>
      <c r="M4127">
        <v>-9.3397670000000002E-2</v>
      </c>
      <c r="N4127">
        <v>0</v>
      </c>
      <c r="O4127">
        <v>-0.99553069999999999</v>
      </c>
      <c r="P4127">
        <v>-0.26422050000000002</v>
      </c>
      <c r="Q4127">
        <v>7.7337439999999999E-3</v>
      </c>
      <c r="R4127">
        <v>-0.96443140000000005</v>
      </c>
      <c r="S4127">
        <v>-1.423203</v>
      </c>
      <c r="T4127">
        <v>-0.201323</v>
      </c>
      <c r="U4127">
        <v>-2.726013</v>
      </c>
      <c r="V4127">
        <v>0.17318169999999999</v>
      </c>
      <c r="W4127">
        <v>1.9815409999999999E-2</v>
      </c>
      <c r="X4127">
        <v>0.98469050000000002</v>
      </c>
      <c r="Y4127">
        <v>0.37696639999999998</v>
      </c>
      <c r="Z4127">
        <v>6.6238210000000006E-2</v>
      </c>
      <c r="AA4127">
        <v>0.92385539999999999</v>
      </c>
      <c r="AB4127">
        <v>23</v>
      </c>
      <c r="AC4127">
        <v>-7.7979000000000198</v>
      </c>
      <c r="AD4127">
        <v>-1.1060738889999999</v>
      </c>
      <c r="AE4127">
        <v>-14.793100000000001</v>
      </c>
      <c r="AF4127">
        <v>6.3542327651122097</v>
      </c>
      <c r="AG4127">
        <v>-1.1060738889999999</v>
      </c>
      <c r="AH4127">
        <v>15.389475057552</v>
      </c>
      <c r="AI4127">
        <v>93.800694205439399</v>
      </c>
      <c r="AJ4127">
        <v>67.564528786964502</v>
      </c>
      <c r="AK4127">
        <v>16.686390143712</v>
      </c>
      <c r="AL4127">
        <v>88.864586287620497</v>
      </c>
      <c r="AM4127">
        <v>80.025159510597405</v>
      </c>
      <c r="AN4127">
        <v>0.99999996623930298</v>
      </c>
    </row>
    <row r="4128" spans="1:40" x14ac:dyDescent="0.25">
      <c r="A4128" t="str">
        <f>"20190312154918218"</f>
        <v>20190312154918218</v>
      </c>
      <c r="B4128" t="str">
        <f>"1552376958210101"</f>
        <v>1552376958210101</v>
      </c>
      <c r="C4128" t="s">
        <v>40</v>
      </c>
      <c r="D4128">
        <v>4.7152589999999996</v>
      </c>
      <c r="E4128">
        <v>0.6072187</v>
      </c>
      <c r="F4128" t="s">
        <v>63</v>
      </c>
      <c r="G4128">
        <v>-197.2226</v>
      </c>
      <c r="H4128" s="1">
        <v>-1.325925E-5</v>
      </c>
      <c r="I4128">
        <v>153.75149999999999</v>
      </c>
      <c r="J4128">
        <v>-193.1677</v>
      </c>
      <c r="K4128">
        <v>1.105977</v>
      </c>
      <c r="L4128">
        <v>160.46190000000001</v>
      </c>
      <c r="M4128">
        <v>-9.7303120000000007E-2</v>
      </c>
      <c r="N4128">
        <v>0</v>
      </c>
      <c r="O4128">
        <v>-0.99515640000000005</v>
      </c>
      <c r="P4128">
        <v>-0.2690459</v>
      </c>
      <c r="Q4128">
        <v>8.8370889999999994E-3</v>
      </c>
      <c r="R4128">
        <v>-0.96308680000000002</v>
      </c>
      <c r="S4128">
        <v>-1.5922700000000001</v>
      </c>
      <c r="T4128">
        <v>-0.43247439999999998</v>
      </c>
      <c r="U4128">
        <v>-2.6778719999999998</v>
      </c>
      <c r="V4128">
        <v>0.17426449999999999</v>
      </c>
      <c r="W4128">
        <v>2.088187E-2</v>
      </c>
      <c r="X4128">
        <v>0.98447750000000001</v>
      </c>
      <c r="Y4128">
        <v>0.42000959999999898</v>
      </c>
      <c r="Z4128">
        <v>0.13981289999999999</v>
      </c>
      <c r="AA4128">
        <v>0.89668519999999896</v>
      </c>
      <c r="AB4128">
        <v>23</v>
      </c>
      <c r="AC4128">
        <v>-4.0548999999999999</v>
      </c>
      <c r="AD4128">
        <v>-1.1059902592499999</v>
      </c>
      <c r="AE4128">
        <v>-6.7104000000000203</v>
      </c>
      <c r="AF4128">
        <v>3.3166506176245401</v>
      </c>
      <c r="AG4128">
        <v>-1.1059902592499999</v>
      </c>
      <c r="AH4128">
        <v>6.9351433452871802</v>
      </c>
      <c r="AI4128">
        <v>98.186977265900197</v>
      </c>
      <c r="AJ4128">
        <v>64.441090926879696</v>
      </c>
      <c r="AK4128">
        <v>7.7665693193730201</v>
      </c>
      <c r="AL4128">
        <v>88.803470081283507</v>
      </c>
      <c r="AM4128">
        <v>79.961929719630902</v>
      </c>
      <c r="AN4128">
        <v>1.0000000582305899</v>
      </c>
    </row>
    <row r="4129" spans="1:40" x14ac:dyDescent="0.25">
      <c r="A4129" t="str">
        <f>"20190312154918231"</f>
        <v>20190312154918231</v>
      </c>
      <c r="B4129" t="str">
        <f>"1552376958219860"</f>
        <v>1552376958219860</v>
      </c>
      <c r="C4129" t="s">
        <v>40</v>
      </c>
      <c r="D4129">
        <v>4.6906189999999999</v>
      </c>
      <c r="E4129">
        <v>0.60880429999999996</v>
      </c>
      <c r="F4129" t="s">
        <v>63</v>
      </c>
      <c r="G4129">
        <v>-197.02940000000001</v>
      </c>
      <c r="H4129" s="1">
        <v>-1.3332560000000001E-5</v>
      </c>
      <c r="I4129">
        <v>154.11099999999999</v>
      </c>
      <c r="J4129">
        <v>-193.1833</v>
      </c>
      <c r="K4129">
        <v>1.105909</v>
      </c>
      <c r="L4129">
        <v>160.34059999999999</v>
      </c>
      <c r="M4129">
        <v>-0.1007802</v>
      </c>
      <c r="N4129">
        <v>0</v>
      </c>
      <c r="O4129">
        <v>-0.99481019999999998</v>
      </c>
      <c r="P4129">
        <v>-0.27300459999999999</v>
      </c>
      <c r="Q4129">
        <v>9.9302479999999992E-3</v>
      </c>
      <c r="R4129">
        <v>-0.96196139999999997</v>
      </c>
      <c r="S4129">
        <v>-1.621262</v>
      </c>
      <c r="T4129">
        <v>-0.46432980000000001</v>
      </c>
      <c r="U4129">
        <v>-2.6663359999999998</v>
      </c>
      <c r="V4129">
        <v>0.17488899999999999</v>
      </c>
      <c r="W4129">
        <v>2.1947350000000001E-2</v>
      </c>
      <c r="X4129">
        <v>0.98434350000000004</v>
      </c>
      <c r="Y4129">
        <v>0.42493959999999997</v>
      </c>
      <c r="Z4129">
        <v>0.14976709999999999</v>
      </c>
      <c r="AA4129">
        <v>0.89274639999999905</v>
      </c>
      <c r="AB4129">
        <v>23</v>
      </c>
      <c r="AC4129">
        <v>-3.8460999999999999</v>
      </c>
      <c r="AD4129">
        <v>-1.1059223325600001</v>
      </c>
      <c r="AE4129">
        <v>-6.2295999999999996</v>
      </c>
      <c r="AF4129">
        <v>3.12727395041254</v>
      </c>
      <c r="AG4129">
        <v>-1.1059223325600001</v>
      </c>
      <c r="AH4129">
        <v>6.4386084212745098</v>
      </c>
      <c r="AI4129">
        <v>98.782965465844299</v>
      </c>
      <c r="AJ4129">
        <v>64.093853015949705</v>
      </c>
      <c r="AK4129">
        <v>7.2428299006045203</v>
      </c>
      <c r="AL4129">
        <v>88.742408482935701</v>
      </c>
      <c r="AM4129">
        <v>79.925349193582804</v>
      </c>
      <c r="AN4129">
        <v>0.99999998724263595</v>
      </c>
    </row>
    <row r="4130" spans="1:40" x14ac:dyDescent="0.25">
      <c r="A4130" t="str">
        <f>"20190312154918243"</f>
        <v>20190312154918243</v>
      </c>
      <c r="B4130" t="str">
        <f>"1552376958240356"</f>
        <v>1552376958240356</v>
      </c>
      <c r="C4130" t="s">
        <v>40</v>
      </c>
      <c r="D4130">
        <v>4.6937430000000004</v>
      </c>
      <c r="E4130">
        <v>0.61014089999999999</v>
      </c>
      <c r="F4130" t="s">
        <v>63</v>
      </c>
      <c r="G4130">
        <v>-196.97450000000001</v>
      </c>
      <c r="H4130" s="1">
        <v>-1.3353990000000001E-5</v>
      </c>
      <c r="I4130">
        <v>154.21549999999999</v>
      </c>
      <c r="J4130">
        <v>-193.2002</v>
      </c>
      <c r="K4130">
        <v>1.105839</v>
      </c>
      <c r="L4130">
        <v>160.2131</v>
      </c>
      <c r="M4130">
        <v>-0.1044861</v>
      </c>
      <c r="N4130">
        <v>0</v>
      </c>
      <c r="O4130">
        <v>-0.99442759999999997</v>
      </c>
      <c r="P4130">
        <v>-0.27731719999999999</v>
      </c>
      <c r="Q4130">
        <v>1.1043620000000001E-2</v>
      </c>
      <c r="R4130">
        <v>-0.96071510000000004</v>
      </c>
      <c r="S4130">
        <v>-1.64448499999999</v>
      </c>
      <c r="T4130">
        <v>-0.47971259999999999</v>
      </c>
      <c r="U4130">
        <v>-2.656876</v>
      </c>
      <c r="V4130">
        <v>0.175654</v>
      </c>
      <c r="W4130">
        <v>2.3030930000000002E-2</v>
      </c>
      <c r="X4130">
        <v>0.98418249999999996</v>
      </c>
      <c r="Y4130">
        <v>0.42826419999999998</v>
      </c>
      <c r="Z4130">
        <v>0.15452080000000001</v>
      </c>
      <c r="AA4130">
        <v>0.89034439999999904</v>
      </c>
      <c r="AB4130">
        <v>23</v>
      </c>
      <c r="AC4130">
        <v>-3.77430000000001</v>
      </c>
      <c r="AD4130">
        <v>-1.10585235398999</v>
      </c>
      <c r="AE4130">
        <v>-5.9976000000000003</v>
      </c>
      <c r="AF4130">
        <v>3.0525709383884099</v>
      </c>
      <c r="AG4130">
        <v>-1.10585235398999</v>
      </c>
      <c r="AH4130">
        <v>6.2079840815603697</v>
      </c>
      <c r="AI4130">
        <v>99.082115074661104</v>
      </c>
      <c r="AJ4130">
        <v>63.8158728024992</v>
      </c>
      <c r="AK4130">
        <v>7.0057237398876699</v>
      </c>
      <c r="AL4130">
        <v>88.680308192770198</v>
      </c>
      <c r="AM4130">
        <v>79.880568213884999</v>
      </c>
      <c r="AN4130">
        <v>0.99999997237945704</v>
      </c>
    </row>
    <row r="4131" spans="1:40" x14ac:dyDescent="0.25">
      <c r="A4131" t="str">
        <f>"20190312154918261"</f>
        <v>20190312154918261</v>
      </c>
      <c r="B4131" t="str">
        <f>"1552376958250115"</f>
        <v>1552376958250115</v>
      </c>
      <c r="C4131" t="s">
        <v>40</v>
      </c>
      <c r="D4131">
        <v>4.6211789999999997</v>
      </c>
      <c r="E4131">
        <v>0.6107011</v>
      </c>
      <c r="F4131" t="s">
        <v>63</v>
      </c>
      <c r="G4131">
        <v>-196.9238</v>
      </c>
      <c r="H4131" s="1">
        <v>-1.337014E-5</v>
      </c>
      <c r="I4131">
        <v>154.29750000000001</v>
      </c>
      <c r="J4131">
        <v>-193.2259</v>
      </c>
      <c r="K4131">
        <v>1.10572</v>
      </c>
      <c r="L4131">
        <v>160.02889999999999</v>
      </c>
      <c r="M4131">
        <v>-0.11001859999999999</v>
      </c>
      <c r="N4131">
        <v>0</v>
      </c>
      <c r="O4131">
        <v>-0.99383069999999896</v>
      </c>
      <c r="P4131">
        <v>-0.28426679999999999</v>
      </c>
      <c r="Q4131">
        <v>1.1757989999999999E-2</v>
      </c>
      <c r="R4131">
        <v>-0.9586732</v>
      </c>
      <c r="S4131">
        <v>-1.666412</v>
      </c>
      <c r="T4131">
        <v>-0.49489880000000003</v>
      </c>
      <c r="U4131">
        <v>-2.6473689999999999</v>
      </c>
      <c r="V4131">
        <v>0.177318899999999</v>
      </c>
      <c r="W4131">
        <v>2.3692600000000001E-2</v>
      </c>
      <c r="X4131">
        <v>0.98386819999999997</v>
      </c>
      <c r="Y4131">
        <v>0.42958390000000002</v>
      </c>
      <c r="Z4131">
        <v>0.15923799999999999</v>
      </c>
      <c r="AA4131">
        <v>0.88887619999999901</v>
      </c>
      <c r="AB4131">
        <v>23</v>
      </c>
      <c r="AC4131">
        <v>-3.6979000000000002</v>
      </c>
      <c r="AD4131">
        <v>-1.1057333701400001</v>
      </c>
      <c r="AE4131">
        <v>-5.7313999999999696</v>
      </c>
      <c r="AF4131">
        <v>2.9668553657414001</v>
      </c>
      <c r="AG4131">
        <v>-1.1057333701400001</v>
      </c>
      <c r="AH4131">
        <v>5.9471851508346099</v>
      </c>
      <c r="AI4131">
        <v>99.445902550443506</v>
      </c>
      <c r="AJ4131">
        <v>63.486897912853799</v>
      </c>
      <c r="AK4131">
        <v>6.7374986653339999</v>
      </c>
      <c r="AL4131">
        <v>88.642386957810899</v>
      </c>
      <c r="AM4131">
        <v>79.7834690856983</v>
      </c>
      <c r="AN4131">
        <v>0.999999983281604</v>
      </c>
    </row>
    <row r="4132" spans="1:40" x14ac:dyDescent="0.25">
      <c r="A4132" t="str">
        <f>"20190312154918274"</f>
        <v>20190312154918274</v>
      </c>
      <c r="B4132" t="str">
        <f>"1552376958269636"</f>
        <v>1552376958269636</v>
      </c>
      <c r="C4132" t="s">
        <v>40</v>
      </c>
      <c r="D4132">
        <v>4.6366069999999997</v>
      </c>
      <c r="E4132">
        <v>0.61110830000000005</v>
      </c>
      <c r="F4132" t="s">
        <v>63</v>
      </c>
      <c r="G4132">
        <v>-196.9845</v>
      </c>
      <c r="H4132" s="1">
        <v>-1.3343700000000001E-5</v>
      </c>
      <c r="I4132">
        <v>154.1711</v>
      </c>
      <c r="J4132">
        <v>-193.24420000000001</v>
      </c>
      <c r="K4132">
        <v>1.105634</v>
      </c>
      <c r="L4132">
        <v>159.9023</v>
      </c>
      <c r="M4132">
        <v>-0.1139421</v>
      </c>
      <c r="N4132">
        <v>0</v>
      </c>
      <c r="O4132">
        <v>-0.9933881</v>
      </c>
      <c r="P4132">
        <v>-0.28898059999999998</v>
      </c>
      <c r="Q4132">
        <v>1.2180099999999999E-2</v>
      </c>
      <c r="R4132">
        <v>-0.95725760000000004</v>
      </c>
      <c r="S4132">
        <v>-1.6902159999999999</v>
      </c>
      <c r="T4132">
        <v>-0.49724249999999998</v>
      </c>
      <c r="U4132">
        <v>-2.6342319999999999</v>
      </c>
      <c r="V4132">
        <v>0.17828540000000001</v>
      </c>
      <c r="W4132">
        <v>2.4077299999999999E-2</v>
      </c>
      <c r="X4132">
        <v>0.98368420000000001</v>
      </c>
      <c r="Y4132">
        <v>0.43366900000000003</v>
      </c>
      <c r="Z4132">
        <v>0.160004799999999</v>
      </c>
      <c r="AA4132">
        <v>0.88675230000000005</v>
      </c>
      <c r="AB4132">
        <v>23</v>
      </c>
      <c r="AC4132">
        <v>-3.7402999999999902</v>
      </c>
      <c r="AD4132">
        <v>-1.1056473437000001</v>
      </c>
      <c r="AE4132">
        <v>-5.7312000000000003</v>
      </c>
      <c r="AF4132">
        <v>2.9849382970860501</v>
      </c>
      <c r="AG4132">
        <v>-1.1056473437000001</v>
      </c>
      <c r="AH4132">
        <v>5.9644130635699897</v>
      </c>
      <c r="AI4132">
        <v>99.412506702013005</v>
      </c>
      <c r="AJ4132">
        <v>63.413959002925303</v>
      </c>
      <c r="AK4132">
        <v>6.7606609054829896</v>
      </c>
      <c r="AL4132">
        <v>88.620339007850802</v>
      </c>
      <c r="AM4132">
        <v>79.727084485545106</v>
      </c>
      <c r="AN4132">
        <v>1.0000000027790401</v>
      </c>
    </row>
    <row r="4133" spans="1:40" x14ac:dyDescent="0.25">
      <c r="A4133" t="str">
        <f>"20190312154918287"</f>
        <v>20190312154918287</v>
      </c>
      <c r="B4133" t="str">
        <f>"1552376958280372"</f>
        <v>1552376958280372</v>
      </c>
      <c r="C4133" t="s">
        <v>40</v>
      </c>
      <c r="D4133">
        <v>4.6311689999999999</v>
      </c>
      <c r="E4133">
        <v>0.61112029999999995</v>
      </c>
      <c r="F4133" t="s">
        <v>63</v>
      </c>
      <c r="G4133">
        <v>-196.9545</v>
      </c>
      <c r="H4133" s="1">
        <v>-1.334693E-5</v>
      </c>
      <c r="I4133">
        <v>154.19450000000001</v>
      </c>
      <c r="J4133">
        <v>-193.26320000000001</v>
      </c>
      <c r="K4133">
        <v>1.1055429999999999</v>
      </c>
      <c r="L4133">
        <v>159.77420000000001</v>
      </c>
      <c r="M4133">
        <v>-0.11798019999999999</v>
      </c>
      <c r="N4133">
        <v>0</v>
      </c>
      <c r="O4133">
        <v>-0.99291629999999997</v>
      </c>
      <c r="P4133">
        <v>-0.29384769999999999</v>
      </c>
      <c r="Q4133">
        <v>1.250211E-2</v>
      </c>
      <c r="R4133">
        <v>-0.95577040000000002</v>
      </c>
      <c r="S4133">
        <v>-1.7064969999999999</v>
      </c>
      <c r="T4133">
        <v>-0.50852600000000003</v>
      </c>
      <c r="U4133">
        <v>-2.6252439999999999</v>
      </c>
      <c r="V4133">
        <v>0.17930090000000001</v>
      </c>
      <c r="W4133">
        <v>2.435903E-2</v>
      </c>
      <c r="X4133">
        <v>0.9834927</v>
      </c>
      <c r="Y4133">
        <v>0.43495590000000001</v>
      </c>
      <c r="Z4133">
        <v>0.16356889999999999</v>
      </c>
      <c r="AA4133">
        <v>0.8854708</v>
      </c>
      <c r="AB4133">
        <v>23</v>
      </c>
      <c r="AC4133">
        <v>-3.69129999999998</v>
      </c>
      <c r="AD4133">
        <v>-1.1055563469299901</v>
      </c>
      <c r="AE4133">
        <v>-5.5796999999999999</v>
      </c>
      <c r="AF4133">
        <v>2.9272199713473999</v>
      </c>
      <c r="AG4133">
        <v>-1.1055563469299901</v>
      </c>
      <c r="AH4133">
        <v>5.8174072127304104</v>
      </c>
      <c r="AI4133">
        <v>99.634833748380302</v>
      </c>
      <c r="AJ4133">
        <v>63.289240160326202</v>
      </c>
      <c r="AK4133">
        <v>6.6055354268688999</v>
      </c>
      <c r="AL4133">
        <v>88.604192374231701</v>
      </c>
      <c r="AM4133">
        <v>79.6678590185643</v>
      </c>
      <c r="AN4133">
        <v>1.0000000330183101</v>
      </c>
    </row>
    <row r="4134" spans="1:40" x14ac:dyDescent="0.25">
      <c r="A4134" t="str">
        <f>"20190312154918300"</f>
        <v>20190312154918300</v>
      </c>
      <c r="B4134" t="str">
        <f>"1552376958290132"</f>
        <v>1552376958290132</v>
      </c>
      <c r="C4134" t="s">
        <v>40</v>
      </c>
      <c r="D4134">
        <v>4.6199240000000001</v>
      </c>
      <c r="E4134">
        <v>0.61115299999999995</v>
      </c>
      <c r="F4134" t="s">
        <v>63</v>
      </c>
      <c r="G4134">
        <v>-196.99019999999999</v>
      </c>
      <c r="H4134" s="1">
        <v>-1.332764E-5</v>
      </c>
      <c r="I4134">
        <v>154.1052</v>
      </c>
      <c r="J4134">
        <v>-193.285</v>
      </c>
      <c r="K4134">
        <v>1.105429</v>
      </c>
      <c r="L4134">
        <v>159.63419999999999</v>
      </c>
      <c r="M4134">
        <v>-0.1225427</v>
      </c>
      <c r="N4134">
        <v>0</v>
      </c>
      <c r="O4134">
        <v>-0.99236340000000001</v>
      </c>
      <c r="P4134">
        <v>-0.29889139999999997</v>
      </c>
      <c r="Q4134">
        <v>1.2689600000000001E-2</v>
      </c>
      <c r="R4134">
        <v>-0.95420269999999996</v>
      </c>
      <c r="S4134">
        <v>-1.720245</v>
      </c>
      <c r="T4134">
        <v>-0.51029539999999995</v>
      </c>
      <c r="U4134">
        <v>-2.616638</v>
      </c>
      <c r="V4134">
        <v>0.17998420000000001</v>
      </c>
      <c r="W4134">
        <v>2.450633E-2</v>
      </c>
      <c r="X4134">
        <v>0.98336420000000002</v>
      </c>
      <c r="Y4134">
        <v>0.43536150000000001</v>
      </c>
      <c r="Z4134">
        <v>0.1641938</v>
      </c>
      <c r="AA4134">
        <v>0.88515580000000005</v>
      </c>
      <c r="AB4134">
        <v>23</v>
      </c>
      <c r="AC4134">
        <v>-3.7051999999999898</v>
      </c>
      <c r="AD4134">
        <v>-1.1054423276400001</v>
      </c>
      <c r="AE4134">
        <v>-5.5289999999999901</v>
      </c>
      <c r="AF4134">
        <v>2.9191369611925699</v>
      </c>
      <c r="AG4134">
        <v>-1.1054423276400001</v>
      </c>
      <c r="AH4134">
        <v>5.7819128337893</v>
      </c>
      <c r="AI4134">
        <v>99.685421217990907</v>
      </c>
      <c r="AJ4134">
        <v>63.211980892476099</v>
      </c>
      <c r="AK4134">
        <v>6.5706833248510899</v>
      </c>
      <c r="AL4134">
        <v>88.595750155283795</v>
      </c>
      <c r="AM4134">
        <v>79.628011183304594</v>
      </c>
      <c r="AN4134">
        <v>1.0000000111506699</v>
      </c>
    </row>
    <row r="4135" spans="1:40" x14ac:dyDescent="0.25">
      <c r="A4135" t="str">
        <f>"20190312154918320"</f>
        <v>20190312154918320</v>
      </c>
      <c r="B4135" t="str">
        <f>"1552376958309651"</f>
        <v>1552376958309651</v>
      </c>
      <c r="C4135" t="s">
        <v>40</v>
      </c>
      <c r="D4135">
        <v>4.6233630000000003</v>
      </c>
      <c r="E4135">
        <v>0.61115779999999997</v>
      </c>
      <c r="F4135" t="s">
        <v>63</v>
      </c>
      <c r="G4135">
        <v>-197.0369</v>
      </c>
      <c r="H4135" s="1">
        <v>-1.330402E-5</v>
      </c>
      <c r="I4135">
        <v>153.9949</v>
      </c>
      <c r="J4135">
        <v>-193.31469999999999</v>
      </c>
      <c r="K4135">
        <v>1.105272</v>
      </c>
      <c r="L4135">
        <v>159.4504</v>
      </c>
      <c r="M4135">
        <v>-0.1287026</v>
      </c>
      <c r="N4135">
        <v>0</v>
      </c>
      <c r="O4135">
        <v>-0.99158299999999999</v>
      </c>
      <c r="P4135">
        <v>-0.30657659999999998</v>
      </c>
      <c r="Q4135">
        <v>1.249808E-2</v>
      </c>
      <c r="R4135">
        <v>-0.95176419999999995</v>
      </c>
      <c r="S4135">
        <v>-1.7347410000000001</v>
      </c>
      <c r="T4135">
        <v>-0.51111839999999997</v>
      </c>
      <c r="U4135">
        <v>-2.6074069999999998</v>
      </c>
      <c r="V4135">
        <v>0.18181459999999999</v>
      </c>
      <c r="W4135">
        <v>2.4247959999999999E-2</v>
      </c>
      <c r="X4135">
        <v>0.98303379999999996</v>
      </c>
      <c r="Y4135">
        <v>0.43461719999999998</v>
      </c>
      <c r="Z4135">
        <v>0.16453309999999999</v>
      </c>
      <c r="AA4135">
        <v>0.88545849999999904</v>
      </c>
      <c r="AB4135">
        <v>23</v>
      </c>
      <c r="AC4135">
        <v>-3.7222000000000102</v>
      </c>
      <c r="AD4135">
        <v>-1.1052853040199999</v>
      </c>
      <c r="AE4135">
        <v>-5.4554999999999998</v>
      </c>
      <c r="AF4135">
        <v>2.9075928915058298</v>
      </c>
      <c r="AG4135">
        <v>-1.1052853040199999</v>
      </c>
      <c r="AH4135">
        <v>5.7287688229197604</v>
      </c>
      <c r="AI4135">
        <v>99.761883426877404</v>
      </c>
      <c r="AJ4135">
        <v>63.090276189988003</v>
      </c>
      <c r="AK4135">
        <v>6.5187839550391002</v>
      </c>
      <c r="AL4135">
        <v>88.610558025814797</v>
      </c>
      <c r="AM4135">
        <v>79.521411048538894</v>
      </c>
      <c r="AN4135">
        <v>0.99999998213987995</v>
      </c>
    </row>
    <row r="4136" spans="1:40" x14ac:dyDescent="0.25">
      <c r="A4136" t="str">
        <f>"20190312154918339"</f>
        <v>20190312154918339</v>
      </c>
      <c r="B4136" t="str">
        <f>"1552376958330148"</f>
        <v>1552376958330148</v>
      </c>
      <c r="C4136" t="s">
        <v>40</v>
      </c>
      <c r="D4136">
        <v>4.6379199999999896</v>
      </c>
      <c r="E4136">
        <v>0.61096569999999994</v>
      </c>
      <c r="F4136" t="s">
        <v>63</v>
      </c>
      <c r="G4136">
        <v>-197.0829</v>
      </c>
      <c r="H4136" s="1">
        <v>-1.328112E-5</v>
      </c>
      <c r="I4136">
        <v>153.8877</v>
      </c>
      <c r="J4136">
        <v>-193.35</v>
      </c>
      <c r="K4136">
        <v>1.105089</v>
      </c>
      <c r="L4136">
        <v>159.2423</v>
      </c>
      <c r="M4136">
        <v>-0.135924499999999</v>
      </c>
      <c r="N4136">
        <v>0</v>
      </c>
      <c r="O4136">
        <v>-0.99061840000000001</v>
      </c>
      <c r="P4136">
        <v>-0.31499280000000002</v>
      </c>
      <c r="Q4136">
        <v>1.12958E-2</v>
      </c>
      <c r="R4136">
        <v>-0.94902699999999995</v>
      </c>
      <c r="S4136">
        <v>-1.7565</v>
      </c>
      <c r="T4136">
        <v>-0.51521289999999997</v>
      </c>
      <c r="U4136">
        <v>-2.5929869999999999</v>
      </c>
      <c r="V4136">
        <v>0.18335129999999999</v>
      </c>
      <c r="W4136">
        <v>2.2974680000000001E-2</v>
      </c>
      <c r="X4136">
        <v>0.98277899999999996</v>
      </c>
      <c r="Y4136">
        <v>0.43532769999999998</v>
      </c>
      <c r="Z4136">
        <v>0.1659349</v>
      </c>
      <c r="AA4136">
        <v>0.88484769999999902</v>
      </c>
      <c r="AB4136">
        <v>23</v>
      </c>
      <c r="AC4136">
        <v>-3.7328999999999999</v>
      </c>
      <c r="AD4136">
        <v>-1.10510228112</v>
      </c>
      <c r="AE4136">
        <v>-5.3545999999999996</v>
      </c>
      <c r="AF4136">
        <v>2.8875860084471401</v>
      </c>
      <c r="AG4136">
        <v>-1.10510228112</v>
      </c>
      <c r="AH4136">
        <v>5.6503779058588801</v>
      </c>
      <c r="AI4136">
        <v>99.879331374300705</v>
      </c>
      <c r="AJ4136">
        <v>62.931014565711699</v>
      </c>
      <c r="AK4136">
        <v>6.4409762060525004</v>
      </c>
      <c r="AL4136">
        <v>88.683532034326504</v>
      </c>
      <c r="AM4136">
        <v>79.432154302834505</v>
      </c>
      <c r="AN4136">
        <v>1.0000000489868901</v>
      </c>
    </row>
    <row r="4137" spans="1:40" x14ac:dyDescent="0.25">
      <c r="A4137" t="str">
        <f>"20190312154918362"</f>
        <v>20190312154918362</v>
      </c>
      <c r="B4137" t="str">
        <f>"1552376958349668"</f>
        <v>1552376958349668</v>
      </c>
      <c r="C4137" t="s">
        <v>40</v>
      </c>
      <c r="D4137">
        <v>4.6659940000000004</v>
      </c>
      <c r="E4137">
        <v>0.61070749999999996</v>
      </c>
      <c r="F4137" t="s">
        <v>63</v>
      </c>
      <c r="G4137">
        <v>-197.10890000000001</v>
      </c>
      <c r="H4137" s="1">
        <v>-1.326046E-5</v>
      </c>
      <c r="I4137">
        <v>153.79640000000001</v>
      </c>
      <c r="J4137">
        <v>-193.38990000000001</v>
      </c>
      <c r="K4137">
        <v>1.104894</v>
      </c>
      <c r="L4137">
        <v>159.01900000000001</v>
      </c>
      <c r="M4137">
        <v>-0.14398710000000001</v>
      </c>
      <c r="N4137">
        <v>0</v>
      </c>
      <c r="O4137">
        <v>-0.98947819999999997</v>
      </c>
      <c r="P4137">
        <v>-0.3247506</v>
      </c>
      <c r="Q4137">
        <v>1.0267460000000001E-2</v>
      </c>
      <c r="R4137">
        <v>-0.94574400000000003</v>
      </c>
      <c r="S4137">
        <v>-1.778702</v>
      </c>
      <c r="T4137">
        <v>-0.52292729999999998</v>
      </c>
      <c r="U4137">
        <v>-2.576965</v>
      </c>
      <c r="V4137">
        <v>0.18546689999999999</v>
      </c>
      <c r="W4137">
        <v>2.1862019999999999E-2</v>
      </c>
      <c r="X4137">
        <v>0.98240729999999998</v>
      </c>
      <c r="Y4137">
        <v>0.43550939999999999</v>
      </c>
      <c r="Z4137">
        <v>0.16851540000000001</v>
      </c>
      <c r="AA4137">
        <v>0.88427040000000001</v>
      </c>
      <c r="AB4137">
        <v>23</v>
      </c>
      <c r="AC4137">
        <v>-3.7189999999999901</v>
      </c>
      <c r="AD4137">
        <v>-1.1049072604600001</v>
      </c>
      <c r="AE4137">
        <v>-5.2225999999999999</v>
      </c>
      <c r="AF4137">
        <v>2.84372061436562</v>
      </c>
      <c r="AG4137">
        <v>-1.1049072604600001</v>
      </c>
      <c r="AH4137">
        <v>5.5392005856570599</v>
      </c>
      <c r="AI4137">
        <v>100.06250051424701</v>
      </c>
      <c r="AJ4137">
        <v>62.8248950996189</v>
      </c>
      <c r="AK4137">
        <v>6.3237892212603599</v>
      </c>
      <c r="AL4137">
        <v>88.747298734978003</v>
      </c>
      <c r="AM4137">
        <v>79.309060000412998</v>
      </c>
      <c r="AN4137">
        <v>1.00000001100369</v>
      </c>
    </row>
    <row r="4138" spans="1:40" x14ac:dyDescent="0.25">
      <c r="A4138" t="str">
        <f>"20190312154918374"</f>
        <v>20190312154918374</v>
      </c>
      <c r="B4138" t="str">
        <f>"1552376958370165"</f>
        <v>1552376958370165</v>
      </c>
      <c r="C4138" t="s">
        <v>40</v>
      </c>
      <c r="D4138">
        <v>4.6518759999999997</v>
      </c>
      <c r="E4138">
        <v>0.61035709999999999</v>
      </c>
      <c r="F4138" t="s">
        <v>63</v>
      </c>
      <c r="G4138">
        <v>-197.1474</v>
      </c>
      <c r="H4138" s="1">
        <v>-1.323724E-5</v>
      </c>
      <c r="I4138">
        <v>153.69059999999999</v>
      </c>
      <c r="J4138">
        <v>-193.4134</v>
      </c>
      <c r="K4138">
        <v>1.104787</v>
      </c>
      <c r="L4138">
        <v>158.89400000000001</v>
      </c>
      <c r="M4138">
        <v>-0.14866660000000001</v>
      </c>
      <c r="N4138">
        <v>0</v>
      </c>
      <c r="O4138">
        <v>-0.98878560000000004</v>
      </c>
      <c r="P4138">
        <v>-0.33002740000000003</v>
      </c>
      <c r="Q4138">
        <v>9.9863299999999999E-3</v>
      </c>
      <c r="R4138">
        <v>-0.9439187</v>
      </c>
      <c r="S4138">
        <v>-1.804092</v>
      </c>
      <c r="T4138">
        <v>-0.53050969999999997</v>
      </c>
      <c r="U4138">
        <v>-2.5583649999999998</v>
      </c>
      <c r="V4138">
        <v>0.1863078</v>
      </c>
      <c r="W4138">
        <v>2.1539280000000001E-2</v>
      </c>
      <c r="X4138">
        <v>0.98225530000000005</v>
      </c>
      <c r="Y4138">
        <v>0.43989790000000001</v>
      </c>
      <c r="Z4138">
        <v>0.17106360000000001</v>
      </c>
      <c r="AA4138">
        <v>0.88160479999999997</v>
      </c>
      <c r="AB4138">
        <v>23</v>
      </c>
      <c r="AC4138">
        <v>-3.734</v>
      </c>
      <c r="AD4138">
        <v>-1.1048002372399901</v>
      </c>
      <c r="AE4138">
        <v>-5.20340000000001</v>
      </c>
      <c r="AF4138">
        <v>2.8345006801852901</v>
      </c>
      <c r="AG4138">
        <v>-1.1048002372399901</v>
      </c>
      <c r="AH4138">
        <v>5.5360059324051401</v>
      </c>
      <c r="AI4138">
        <v>100.072716223706</v>
      </c>
      <c r="AJ4138">
        <v>62.887015299601202</v>
      </c>
      <c r="AK4138">
        <v>6.3168298499960702</v>
      </c>
      <c r="AL4138">
        <v>88.765794723690803</v>
      </c>
      <c r="AM4138">
        <v>79.260089304930602</v>
      </c>
      <c r="AN4138">
        <v>1.00000000565092</v>
      </c>
    </row>
    <row r="4139" spans="1:40" x14ac:dyDescent="0.25">
      <c r="A4139" t="str">
        <f>"20190312154918387"</f>
        <v>20190312154918387</v>
      </c>
      <c r="B4139" t="str">
        <f>"1552376958379924"</f>
        <v>1552376958379924</v>
      </c>
      <c r="C4139" t="s">
        <v>40</v>
      </c>
      <c r="D4139">
        <v>4.6527940000000001</v>
      </c>
      <c r="E4139">
        <v>0.61011759999999904</v>
      </c>
      <c r="F4139" t="s">
        <v>63</v>
      </c>
      <c r="G4139">
        <v>-197.16329999999999</v>
      </c>
      <c r="H4139" s="1">
        <v>-1.322382E-5</v>
      </c>
      <c r="I4139">
        <v>153.63159999999999</v>
      </c>
      <c r="J4139">
        <v>-193.4383</v>
      </c>
      <c r="K4139">
        <v>1.1046769999999999</v>
      </c>
      <c r="L4139">
        <v>158.76419999999999</v>
      </c>
      <c r="M4139">
        <v>-0.1536062</v>
      </c>
      <c r="N4139">
        <v>0</v>
      </c>
      <c r="O4139">
        <v>-0.98802979999999996</v>
      </c>
      <c r="P4139">
        <v>-0.33573380000000003</v>
      </c>
      <c r="Q4139">
        <v>1.00216E-2</v>
      </c>
      <c r="R4139">
        <v>-0.94190359999999995</v>
      </c>
      <c r="S4139">
        <v>-1.8162689999999999</v>
      </c>
      <c r="T4139">
        <v>-0.5351129</v>
      </c>
      <c r="U4139">
        <v>-2.5488590000000002</v>
      </c>
      <c r="V4139">
        <v>0.18735009999999999</v>
      </c>
      <c r="W4139">
        <v>2.152832E-2</v>
      </c>
      <c r="X4139">
        <v>0.98205730000000002</v>
      </c>
      <c r="Y4139">
        <v>0.4396178</v>
      </c>
      <c r="Z4139">
        <v>0.17261079999999901</v>
      </c>
      <c r="AA4139">
        <v>0.88144299999999998</v>
      </c>
      <c r="AB4139">
        <v>22</v>
      </c>
      <c r="AC4139">
        <v>-3.7249999999999899</v>
      </c>
      <c r="AD4139">
        <v>-1.10469022382</v>
      </c>
      <c r="AE4139">
        <v>-5.1325999999999903</v>
      </c>
      <c r="AF4139">
        <v>2.8071297424539101</v>
      </c>
      <c r="AG4139">
        <v>-1.10469022382</v>
      </c>
      <c r="AH4139">
        <v>5.4777096829784897</v>
      </c>
      <c r="AI4139">
        <v>100.174864461783</v>
      </c>
      <c r="AJ4139">
        <v>62.866487953696002</v>
      </c>
      <c r="AK4139">
        <v>6.2534487486961297</v>
      </c>
      <c r="AL4139">
        <v>88.766422866678298</v>
      </c>
      <c r="AM4139">
        <v>79.199287832911295</v>
      </c>
      <c r="AN4139">
        <v>1.0000000345076601</v>
      </c>
    </row>
    <row r="4140" spans="1:40" x14ac:dyDescent="0.25">
      <c r="A4140" t="str">
        <f>"20190312154918398"</f>
        <v>20190312154918398</v>
      </c>
      <c r="B4140" t="str">
        <f>"1552376958389684"</f>
        <v>1552376958389684</v>
      </c>
      <c r="C4140" t="s">
        <v>40</v>
      </c>
      <c r="D4140">
        <v>4.6363669999999999</v>
      </c>
      <c r="E4140">
        <v>0.60991430000000002</v>
      </c>
      <c r="F4140" t="s">
        <v>63</v>
      </c>
      <c r="G4140">
        <v>-197.2184</v>
      </c>
      <c r="H4140" s="1">
        <v>-1.32013E-5</v>
      </c>
      <c r="I4140">
        <v>153.52269999999999</v>
      </c>
      <c r="J4140">
        <v>-193.4616</v>
      </c>
      <c r="K4140">
        <v>1.1045750000000001</v>
      </c>
      <c r="L4140">
        <v>158.6474</v>
      </c>
      <c r="M4140">
        <v>-0.158184299999999</v>
      </c>
      <c r="N4140">
        <v>0</v>
      </c>
      <c r="O4140">
        <v>-0.98730689999999999</v>
      </c>
      <c r="P4140">
        <v>-0.34077859999999999</v>
      </c>
      <c r="Q4140">
        <v>1.000879E-2</v>
      </c>
      <c r="R4140">
        <v>-0.94009050000000005</v>
      </c>
      <c r="S4140">
        <v>-1.8305659999999999</v>
      </c>
      <c r="T4140">
        <v>-0.53496690000000002</v>
      </c>
      <c r="U4140">
        <v>-2.5382690000000001</v>
      </c>
      <c r="V4140">
        <v>0.1880684</v>
      </c>
      <c r="W4140">
        <v>2.1478259999999999E-2</v>
      </c>
      <c r="X4140">
        <v>0.98192109999999999</v>
      </c>
      <c r="Y4140">
        <v>0.44047789999999998</v>
      </c>
      <c r="Z4140">
        <v>0.172654</v>
      </c>
      <c r="AA4140">
        <v>0.88100499999999904</v>
      </c>
      <c r="AB4140">
        <v>22</v>
      </c>
      <c r="AC4140">
        <v>-3.7567999999999899</v>
      </c>
      <c r="AD4140">
        <v>-1.1045882012999999</v>
      </c>
      <c r="AE4140">
        <v>-5.1247000000000096</v>
      </c>
      <c r="AF4140">
        <v>2.8137339295184698</v>
      </c>
      <c r="AG4140">
        <v>-1.1045882012999999</v>
      </c>
      <c r="AH4140">
        <v>5.4886322807199601</v>
      </c>
      <c r="AI4140">
        <v>100.153379265534</v>
      </c>
      <c r="AJ4140">
        <v>62.858165062284598</v>
      </c>
      <c r="AK4140">
        <v>6.2659634561283397</v>
      </c>
      <c r="AL4140">
        <v>88.769291766710893</v>
      </c>
      <c r="AM4140">
        <v>79.157389321088601</v>
      </c>
      <c r="AN4140">
        <v>1.0000000426781901</v>
      </c>
    </row>
    <row r="4141" spans="1:40" x14ac:dyDescent="0.25">
      <c r="A4141" t="str">
        <f>"20190312154918411"</f>
        <v>20190312154918411</v>
      </c>
      <c r="B4141" t="str">
        <f>"1552376958400421"</f>
        <v>1552376958400421</v>
      </c>
      <c r="C4141" t="s">
        <v>40</v>
      </c>
      <c r="D4141">
        <v>4.6702500000000002</v>
      </c>
      <c r="E4141">
        <v>0.60998509999999995</v>
      </c>
      <c r="F4141" t="s">
        <v>63</v>
      </c>
      <c r="G4141">
        <v>-197.2672</v>
      </c>
      <c r="H4141" s="1">
        <v>-1.3181189999999999E-5</v>
      </c>
      <c r="I4141">
        <v>153.4255</v>
      </c>
      <c r="J4141">
        <v>-193.4845</v>
      </c>
      <c r="K4141">
        <v>1.1044780000000001</v>
      </c>
      <c r="L4141">
        <v>158.5352</v>
      </c>
      <c r="M4141">
        <v>-0.1626532</v>
      </c>
      <c r="N4141">
        <v>0</v>
      </c>
      <c r="O4141">
        <v>-0.98658029999999997</v>
      </c>
      <c r="P4141">
        <v>-0.3459815</v>
      </c>
      <c r="Q4141">
        <v>1.026971E-2</v>
      </c>
      <c r="R4141">
        <v>-0.93818539999999995</v>
      </c>
      <c r="S4141">
        <v>-1.842957</v>
      </c>
      <c r="T4141">
        <v>-0.53492649999999997</v>
      </c>
      <c r="U4141">
        <v>-2.5288390000000001</v>
      </c>
      <c r="V4141">
        <v>0.1890714</v>
      </c>
      <c r="W4141">
        <v>2.169946E-2</v>
      </c>
      <c r="X4141">
        <v>0.98172349999999997</v>
      </c>
      <c r="Y4141">
        <v>0.440805</v>
      </c>
      <c r="Z4141">
        <v>0.17272209999999999</v>
      </c>
      <c r="AA4141">
        <v>0.880828099999999</v>
      </c>
      <c r="AB4141">
        <v>22</v>
      </c>
      <c r="AC4141">
        <v>-3.7827000000000002</v>
      </c>
      <c r="AD4141">
        <v>-1.10449118119</v>
      </c>
      <c r="AE4141">
        <v>-5.1097000000000001</v>
      </c>
      <c r="AF4141">
        <v>2.8161261295634401</v>
      </c>
      <c r="AG4141">
        <v>-1.10449118119</v>
      </c>
      <c r="AH4141">
        <v>5.4912348435376099</v>
      </c>
      <c r="AI4141">
        <v>100.147016974897</v>
      </c>
      <c r="AJ4141">
        <v>62.849423919592802</v>
      </c>
      <c r="AK4141">
        <v>6.2693003799321998</v>
      </c>
      <c r="AL4141">
        <v>88.756614865610402</v>
      </c>
      <c r="AM4141">
        <v>79.098804045620696</v>
      </c>
      <c r="AN4141">
        <v>0.99999994565724903</v>
      </c>
    </row>
    <row r="4142" spans="1:40" x14ac:dyDescent="0.25">
      <c r="A4142" t="str">
        <f>"20190312154918428"</f>
        <v>20190312154918428</v>
      </c>
      <c r="B4142" t="str">
        <f>"1552376958419940"</f>
        <v>1552376958419940</v>
      </c>
      <c r="C4142" t="s">
        <v>40</v>
      </c>
      <c r="D4142">
        <v>4.6072129999999998</v>
      </c>
      <c r="E4142">
        <v>0.63205119999999904</v>
      </c>
      <c r="F4142" t="s">
        <v>63</v>
      </c>
      <c r="G4142">
        <v>-197.31319999999999</v>
      </c>
      <c r="H4142" s="1">
        <v>-1.316502E-5</v>
      </c>
      <c r="I4142">
        <v>153.3451</v>
      </c>
      <c r="J4142">
        <v>-193.5224</v>
      </c>
      <c r="K4142">
        <v>1.1043289999999999</v>
      </c>
      <c r="L4142">
        <v>158.35560000000001</v>
      </c>
      <c r="M4142">
        <v>-0.16996820000000001</v>
      </c>
      <c r="N4142">
        <v>0</v>
      </c>
      <c r="O4142">
        <v>-0.98534600000000006</v>
      </c>
      <c r="P4142">
        <v>-0.35506959999999999</v>
      </c>
      <c r="Q4142">
        <v>1.05395E-2</v>
      </c>
      <c r="R4142">
        <v>-0.93478070000000002</v>
      </c>
      <c r="S4142">
        <v>-1.8578030000000001</v>
      </c>
      <c r="T4142">
        <v>-0.53593519999999994</v>
      </c>
      <c r="U4142">
        <v>-2.518402</v>
      </c>
      <c r="V4142">
        <v>0.1913271</v>
      </c>
      <c r="W4142">
        <v>2.1896820000000001E-2</v>
      </c>
      <c r="X4142">
        <v>0.98128210000000005</v>
      </c>
      <c r="Y4142">
        <v>0.43924150000000001</v>
      </c>
      <c r="Z4142">
        <v>0.17307719999999999</v>
      </c>
      <c r="AA4142">
        <v>0.88153909999999902</v>
      </c>
      <c r="AB4142">
        <v>22</v>
      </c>
      <c r="AC4142">
        <v>-3.7907999999999902</v>
      </c>
      <c r="AD4142">
        <v>-1.10434216502</v>
      </c>
      <c r="AE4142">
        <v>-5.0105000000000004</v>
      </c>
      <c r="AF4142">
        <v>2.7974909500032599</v>
      </c>
      <c r="AG4142">
        <v>-1.10434216502</v>
      </c>
      <c r="AH4142">
        <v>5.4146770577482002</v>
      </c>
      <c r="AI4142">
        <v>100.270490551093</v>
      </c>
      <c r="AJ4142">
        <v>62.676878732742097</v>
      </c>
      <c r="AK4142">
        <v>6.1938885098535597</v>
      </c>
      <c r="AL4142">
        <v>88.745304406928298</v>
      </c>
      <c r="AM4142">
        <v>78.967079657075004</v>
      </c>
      <c r="AN4142">
        <v>1.00000004485046</v>
      </c>
    </row>
    <row r="4143" spans="1:40" x14ac:dyDescent="0.25">
      <c r="A4143" t="str">
        <f>"20190312154918439"</f>
        <v>20190312154918439</v>
      </c>
      <c r="B4143" t="str">
        <f>"1552376958429700"</f>
        <v>1552376958429700</v>
      </c>
      <c r="C4143" t="s">
        <v>40</v>
      </c>
      <c r="D4143">
        <v>4.5944599999999998</v>
      </c>
      <c r="E4143">
        <v>0.63879940000000002</v>
      </c>
      <c r="F4143" t="s">
        <v>63</v>
      </c>
      <c r="G4143">
        <v>-197.35679999999999</v>
      </c>
      <c r="H4143" s="1">
        <v>-1.327945E-5</v>
      </c>
      <c r="I4143">
        <v>153.78450000000001</v>
      </c>
      <c r="J4143">
        <v>-193.54820000000001</v>
      </c>
      <c r="K4143">
        <v>1.104236</v>
      </c>
      <c r="L4143">
        <v>158.23859999999999</v>
      </c>
      <c r="M4143">
        <v>-0.17485400000000001</v>
      </c>
      <c r="N4143">
        <v>0</v>
      </c>
      <c r="O4143">
        <v>-0.98449050000000005</v>
      </c>
      <c r="P4143">
        <v>-0.3609059</v>
      </c>
      <c r="Q4143">
        <v>1.0693970000000001E-2</v>
      </c>
      <c r="R4143">
        <v>-0.93254130000000002</v>
      </c>
      <c r="S4143">
        <v>-2.0457920000000001</v>
      </c>
      <c r="T4143">
        <v>-0.58921659999999998</v>
      </c>
      <c r="U4143">
        <v>-2.4388730000000001</v>
      </c>
      <c r="V4143">
        <v>0.19260099999999999</v>
      </c>
      <c r="W4143">
        <v>2.200885E-2</v>
      </c>
      <c r="X4143">
        <v>0.98103030000000002</v>
      </c>
      <c r="Y4143">
        <v>0.48737449999999999</v>
      </c>
      <c r="Z4143">
        <v>0.18762799999999999</v>
      </c>
      <c r="AA4143">
        <v>0.85279649999999996</v>
      </c>
      <c r="AB4143">
        <v>22</v>
      </c>
      <c r="AC4143">
        <v>-3.8085999999999798</v>
      </c>
      <c r="AD4143">
        <v>-1.1042492794499901</v>
      </c>
      <c r="AE4143">
        <v>-4.45409999999998</v>
      </c>
      <c r="AF4143">
        <v>2.8691507215663101</v>
      </c>
      <c r="AG4143">
        <v>-1.1042492794499901</v>
      </c>
      <c r="AH4143">
        <v>4.8782858413797499</v>
      </c>
      <c r="AI4143">
        <v>101.040557508731</v>
      </c>
      <c r="AJ4143">
        <v>59.538200194104697</v>
      </c>
      <c r="AK4143">
        <v>5.7662002293049603</v>
      </c>
      <c r="AL4143">
        <v>88.738883947230505</v>
      </c>
      <c r="AM4143">
        <v>78.892660592296707</v>
      </c>
      <c r="AN4143">
        <v>0.99999999209870605</v>
      </c>
    </row>
    <row r="4144" spans="1:40" x14ac:dyDescent="0.25">
      <c r="A4144" t="str">
        <f>"20190312154918452"</f>
        <v>20190312154918452</v>
      </c>
      <c r="B4144" t="str">
        <f>"1552376958450196"</f>
        <v>1552376958450196</v>
      </c>
      <c r="C4144" t="s">
        <v>40</v>
      </c>
      <c r="D4144">
        <v>4.5634379999999997</v>
      </c>
      <c r="E4144">
        <v>0.64661259999999998</v>
      </c>
      <c r="F4144" t="s">
        <v>63</v>
      </c>
      <c r="G4144">
        <v>-197.30520000000001</v>
      </c>
      <c r="H4144" s="1">
        <v>-1.3317669999999999E-5</v>
      </c>
      <c r="I4144">
        <v>153.9546</v>
      </c>
      <c r="J4144">
        <v>-193.5754</v>
      </c>
      <c r="K4144">
        <v>1.1041430000000001</v>
      </c>
      <c r="L4144">
        <v>158.11760000000001</v>
      </c>
      <c r="M4144">
        <v>-0.17998549999999999</v>
      </c>
      <c r="N4144">
        <v>0</v>
      </c>
      <c r="O4144">
        <v>-0.98356469999999896</v>
      </c>
      <c r="P4144">
        <v>-0.36690800000000001</v>
      </c>
      <c r="Q4144">
        <v>1.0530950000000001E-2</v>
      </c>
      <c r="R4144">
        <v>-0.93019770000000002</v>
      </c>
      <c r="S4144">
        <v>-2.1110380000000002</v>
      </c>
      <c r="T4144">
        <v>-0.62046099999999904</v>
      </c>
      <c r="U4144">
        <v>-2.4071349999999998</v>
      </c>
      <c r="V4144">
        <v>0.1938096</v>
      </c>
      <c r="W4144">
        <v>2.1805290000000001E-2</v>
      </c>
      <c r="X4144">
        <v>0.98079680000000002</v>
      </c>
      <c r="Y4144">
        <v>0.50039670000000003</v>
      </c>
      <c r="Z4144">
        <v>0.19650999999999999</v>
      </c>
      <c r="AA4144">
        <v>0.84320039999999996</v>
      </c>
      <c r="AB4144">
        <v>22</v>
      </c>
      <c r="AC4144">
        <v>-3.7298000000000102</v>
      </c>
      <c r="AD4144">
        <v>-1.10415631767</v>
      </c>
      <c r="AE4144">
        <v>-4.16300000000001</v>
      </c>
      <c r="AF4144">
        <v>2.8098702104598599</v>
      </c>
      <c r="AG4144">
        <v>-1.10415631767</v>
      </c>
      <c r="AH4144">
        <v>4.5873664056803598</v>
      </c>
      <c r="AI4144">
        <v>101.59895953815099</v>
      </c>
      <c r="AJ4144">
        <v>58.511547125664002</v>
      </c>
      <c r="AK4144">
        <v>5.49167208721033</v>
      </c>
      <c r="AL4144">
        <v>88.750549882419904</v>
      </c>
      <c r="AM4144">
        <v>78.822115920898796</v>
      </c>
      <c r="AN4144">
        <v>0.99999999730719202</v>
      </c>
    </row>
    <row r="4145" spans="1:40" x14ac:dyDescent="0.25">
      <c r="A4145" t="str">
        <f>"20190312154918463"</f>
        <v>20190312154918463</v>
      </c>
      <c r="B4145" t="str">
        <f>"1552376958459956"</f>
        <v>1552376958459956</v>
      </c>
      <c r="C4145" t="s">
        <v>40</v>
      </c>
      <c r="D4145">
        <v>4.5598640000000001</v>
      </c>
      <c r="E4145">
        <v>0.64879629999999999</v>
      </c>
      <c r="F4145" t="s">
        <v>63</v>
      </c>
      <c r="G4145">
        <v>-197.44120000000001</v>
      </c>
      <c r="H4145" s="1">
        <v>-1.332166E-5</v>
      </c>
      <c r="I4145">
        <v>153.92250000000001</v>
      </c>
      <c r="J4145">
        <v>-193.6026</v>
      </c>
      <c r="K4145">
        <v>1.1040589999999999</v>
      </c>
      <c r="L4145">
        <v>157.9991</v>
      </c>
      <c r="M4145">
        <v>-0.18506300000000001</v>
      </c>
      <c r="N4145">
        <v>0</v>
      </c>
      <c r="O4145">
        <v>-0.982622</v>
      </c>
      <c r="P4145">
        <v>-0.3725618</v>
      </c>
      <c r="Q4145">
        <v>1.009404E-2</v>
      </c>
      <c r="R4145">
        <v>-0.92795269999999996</v>
      </c>
      <c r="S4145">
        <v>-2.1844790000000001</v>
      </c>
      <c r="T4145">
        <v>-0.62393509999999996</v>
      </c>
      <c r="U4145">
        <v>-2.3705440000000002</v>
      </c>
      <c r="V4145">
        <v>0.19470989999999999</v>
      </c>
      <c r="W4145">
        <v>2.1334760000000001E-2</v>
      </c>
      <c r="X4145">
        <v>0.98062879999999997</v>
      </c>
      <c r="Y4145">
        <v>0.51660620000000002</v>
      </c>
      <c r="Z4145">
        <v>0.19672709999999999</v>
      </c>
      <c r="AA4145">
        <v>0.83331659999999996</v>
      </c>
      <c r="AB4145">
        <v>22</v>
      </c>
      <c r="AC4145">
        <v>-3.8386000000000098</v>
      </c>
      <c r="AD4145">
        <v>-1.1040723216599999</v>
      </c>
      <c r="AE4145">
        <v>-4.0765999999999796</v>
      </c>
      <c r="AF4145">
        <v>2.9048397412690701</v>
      </c>
      <c r="AG4145">
        <v>-1.1040723216599999</v>
      </c>
      <c r="AH4145">
        <v>4.5401123242494101</v>
      </c>
      <c r="AI4145">
        <v>101.57644119513699</v>
      </c>
      <c r="AJ4145">
        <v>57.388207609379201</v>
      </c>
      <c r="AK4145">
        <v>5.5017896661643899</v>
      </c>
      <c r="AL4145">
        <v>88.777515518871297</v>
      </c>
      <c r="AM4145">
        <v>78.7696331155651</v>
      </c>
      <c r="AN4145">
        <v>0.99999998026585302</v>
      </c>
    </row>
    <row r="4146" spans="1:40" x14ac:dyDescent="0.25">
      <c r="A4146" t="str">
        <f>"20190312154918475"</f>
        <v>20190312154918475</v>
      </c>
      <c r="B4146" t="str">
        <f>"1552376958469717"</f>
        <v>1552376958469717</v>
      </c>
      <c r="C4146" t="s">
        <v>40</v>
      </c>
      <c r="D4146">
        <v>4.5294589999999904</v>
      </c>
      <c r="E4146">
        <v>0.64983539999999995</v>
      </c>
      <c r="F4146" t="s">
        <v>63</v>
      </c>
      <c r="G4146">
        <v>-197.5395</v>
      </c>
      <c r="H4146" s="1">
        <v>-1.330511E-5</v>
      </c>
      <c r="I4146">
        <v>153.82210000000001</v>
      </c>
      <c r="J4146">
        <v>-193.63050000000001</v>
      </c>
      <c r="K4146">
        <v>1.103985</v>
      </c>
      <c r="L4146">
        <v>157.8826</v>
      </c>
      <c r="M4146">
        <v>-0.1901697</v>
      </c>
      <c r="N4146">
        <v>0</v>
      </c>
      <c r="O4146">
        <v>-0.98164609999999997</v>
      </c>
      <c r="P4146">
        <v>-0.37827569999999999</v>
      </c>
      <c r="Q4146">
        <v>9.6711230000000002E-3</v>
      </c>
      <c r="R4146">
        <v>-0.92564259999999998</v>
      </c>
      <c r="S4146">
        <v>-2.2151640000000001</v>
      </c>
      <c r="T4146">
        <v>-0.62123869999999903</v>
      </c>
      <c r="U4146">
        <v>-2.350311</v>
      </c>
      <c r="V4146">
        <v>0.19565379999999999</v>
      </c>
      <c r="W4146">
        <v>2.0880920000000001E-2</v>
      </c>
      <c r="X4146">
        <v>0.98045070000000001</v>
      </c>
      <c r="Y4146">
        <v>0.52168009999999998</v>
      </c>
      <c r="Z4146">
        <v>0.19575629999999999</v>
      </c>
      <c r="AA4146">
        <v>0.83037909999999904</v>
      </c>
      <c r="AB4146">
        <v>22</v>
      </c>
      <c r="AC4146">
        <v>-3.90899999999999</v>
      </c>
      <c r="AD4146">
        <v>-1.10399830511</v>
      </c>
      <c r="AE4146">
        <v>-4.0604999999999896</v>
      </c>
      <c r="AF4146">
        <v>2.9521253721022198</v>
      </c>
      <c r="AG4146">
        <v>-1.10399830511</v>
      </c>
      <c r="AH4146">
        <v>4.5550750370418998</v>
      </c>
      <c r="AI4146">
        <v>101.496437819878</v>
      </c>
      <c r="AJ4146">
        <v>57.0528936994953</v>
      </c>
      <c r="AK4146">
        <v>5.5391845124871599</v>
      </c>
      <c r="AL4146">
        <v>88.803524452907396</v>
      </c>
      <c r="AM4146">
        <v>78.714587821696398</v>
      </c>
      <c r="AN4146">
        <v>0.99999999870248801</v>
      </c>
    </row>
    <row r="4147" spans="1:40" x14ac:dyDescent="0.25">
      <c r="A4147" t="str">
        <f>"20190312154918488"</f>
        <v>20190312154918488</v>
      </c>
      <c r="B4147" t="str">
        <f>"1552376958480452"</f>
        <v>1552376958480452</v>
      </c>
      <c r="C4147" t="s">
        <v>40</v>
      </c>
      <c r="D4147">
        <v>4.5370160000000004</v>
      </c>
      <c r="E4147">
        <v>0.65057039999999999</v>
      </c>
      <c r="F4147" t="s">
        <v>63</v>
      </c>
      <c r="G4147">
        <v>-197.60550000000001</v>
      </c>
      <c r="H4147" s="1">
        <v>-1.328976E-5</v>
      </c>
      <c r="I4147">
        <v>153.73779999999999</v>
      </c>
      <c r="J4147">
        <v>-193.66079999999999</v>
      </c>
      <c r="K4147">
        <v>1.1039030000000001</v>
      </c>
      <c r="L4147">
        <v>157.75839999999999</v>
      </c>
      <c r="M4147">
        <v>-0.19565540000000001</v>
      </c>
      <c r="N4147">
        <v>0</v>
      </c>
      <c r="O4147">
        <v>-0.98056719999999997</v>
      </c>
      <c r="P4147">
        <v>-0.38454519999999998</v>
      </c>
      <c r="Q4147">
        <v>9.3559000000000003E-3</v>
      </c>
      <c r="R4147">
        <v>-0.92305910000000002</v>
      </c>
      <c r="S4147">
        <v>-2.2375340000000001</v>
      </c>
      <c r="T4147">
        <v>-0.6214404</v>
      </c>
      <c r="U4147">
        <v>-2.3331149999999998</v>
      </c>
      <c r="V4147">
        <v>0.19682050000000001</v>
      </c>
      <c r="W4147">
        <v>2.0530039999999999E-2</v>
      </c>
      <c r="X4147">
        <v>0.98022450000000005</v>
      </c>
      <c r="Y4147">
        <v>0.52415489999999998</v>
      </c>
      <c r="Z4147">
        <v>0.19580040000000001</v>
      </c>
      <c r="AA4147">
        <v>0.82880869999999995</v>
      </c>
      <c r="AB4147">
        <v>22</v>
      </c>
      <c r="AC4147">
        <v>-3.9447000000000099</v>
      </c>
      <c r="AD4147">
        <v>-1.1039162897599999</v>
      </c>
      <c r="AE4147">
        <v>-4.0206</v>
      </c>
      <c r="AF4147">
        <v>2.96771646544344</v>
      </c>
      <c r="AG4147">
        <v>-1.1039162897599999</v>
      </c>
      <c r="AH4147">
        <v>4.5403573264555499</v>
      </c>
      <c r="AI4147">
        <v>101.50350769952399</v>
      </c>
      <c r="AJ4147">
        <v>56.830140981586503</v>
      </c>
      <c r="AK4147">
        <v>5.5354147853580198</v>
      </c>
      <c r="AL4147">
        <v>88.8236326274302</v>
      </c>
      <c r="AM4147">
        <v>78.6464826938046</v>
      </c>
      <c r="AN4147">
        <v>0.99999993108144802</v>
      </c>
    </row>
    <row r="4148" spans="1:40" x14ac:dyDescent="0.25">
      <c r="A4148" t="str">
        <f>"20190312154918502"</f>
        <v>20190312154918502</v>
      </c>
      <c r="B4148" t="str">
        <f>"1552376958490213"</f>
        <v>1552376958490213</v>
      </c>
      <c r="C4148" t="s">
        <v>40</v>
      </c>
      <c r="D4148">
        <v>4.5640929999999997</v>
      </c>
      <c r="E4148">
        <v>0.6514354</v>
      </c>
      <c r="F4148" t="s">
        <v>63</v>
      </c>
      <c r="G4148">
        <v>-197.67830000000001</v>
      </c>
      <c r="H4148" s="1">
        <v>-1.327129E-5</v>
      </c>
      <c r="I4148">
        <v>153.6387</v>
      </c>
      <c r="J4148">
        <v>-193.6951</v>
      </c>
      <c r="K4148">
        <v>1.1038239999999999</v>
      </c>
      <c r="L4148">
        <v>157.62119999999999</v>
      </c>
      <c r="M4148">
        <v>-0.20180809999999999</v>
      </c>
      <c r="N4148">
        <v>0</v>
      </c>
      <c r="O4148">
        <v>-0.97931900000000005</v>
      </c>
      <c r="P4148">
        <v>-0.39131270000000001</v>
      </c>
      <c r="Q4148">
        <v>9.486619E-3</v>
      </c>
      <c r="R4148">
        <v>-0.9202091</v>
      </c>
      <c r="S4148">
        <v>-2.2582399999999998</v>
      </c>
      <c r="T4148">
        <v>-0.62049779999999999</v>
      </c>
      <c r="U4148">
        <v>-2.3156129999999999</v>
      </c>
      <c r="V4148">
        <v>0.19786999999999999</v>
      </c>
      <c r="W4148">
        <v>2.06292E-2</v>
      </c>
      <c r="X4148">
        <v>0.98001119999999997</v>
      </c>
      <c r="Y4148">
        <v>0.52582169999999995</v>
      </c>
      <c r="Z4148">
        <v>0.1955509</v>
      </c>
      <c r="AA4148">
        <v>0.82781119999999997</v>
      </c>
      <c r="AB4148">
        <v>22</v>
      </c>
      <c r="AC4148">
        <v>-3.9832000000000001</v>
      </c>
      <c r="AD4148">
        <v>-1.10383727129</v>
      </c>
      <c r="AE4148">
        <v>-3.9824999999999799</v>
      </c>
      <c r="AF4148">
        <v>2.9828856109677502</v>
      </c>
      <c r="AG4148">
        <v>-1.10383727129</v>
      </c>
      <c r="AH4148">
        <v>4.5304740947458502</v>
      </c>
      <c r="AI4148">
        <v>101.50258894289099</v>
      </c>
      <c r="AJ4148">
        <v>56.638903504879003</v>
      </c>
      <c r="AK4148">
        <v>5.5354547069568403</v>
      </c>
      <c r="AL4148">
        <v>88.817950086808494</v>
      </c>
      <c r="AM4148">
        <v>78.585108523596105</v>
      </c>
      <c r="AN4148">
        <v>1.0000000264590301</v>
      </c>
    </row>
    <row r="4149" spans="1:40" x14ac:dyDescent="0.25">
      <c r="A4149" t="str">
        <f>"20190312154918520"</f>
        <v>20190312154918520</v>
      </c>
      <c r="B4149" t="str">
        <f>"1552376958509732"</f>
        <v>1552376958509732</v>
      </c>
      <c r="C4149" t="s">
        <v>40</v>
      </c>
      <c r="D4149">
        <v>4.5324809999999998</v>
      </c>
      <c r="E4149">
        <v>0.65231839999999996</v>
      </c>
      <c r="F4149" t="s">
        <v>63</v>
      </c>
      <c r="G4149">
        <v>-197.76689999999999</v>
      </c>
      <c r="H4149" s="1">
        <v>-1.3249790000000001E-5</v>
      </c>
      <c r="I4149">
        <v>153.52199999999999</v>
      </c>
      <c r="J4149">
        <v>-193.73840000000001</v>
      </c>
      <c r="K4149">
        <v>1.10375</v>
      </c>
      <c r="L4149">
        <v>157.4545</v>
      </c>
      <c r="M4149">
        <v>-0.2094019</v>
      </c>
      <c r="N4149">
        <v>0</v>
      </c>
      <c r="O4149">
        <v>-0.97772309999999996</v>
      </c>
      <c r="P4149">
        <v>-0.40103090000000002</v>
      </c>
      <c r="Q4149">
        <v>1.027365E-2</v>
      </c>
      <c r="R4149">
        <v>-0.91600740000000003</v>
      </c>
      <c r="S4149">
        <v>-2.2811129999999999</v>
      </c>
      <c r="T4149">
        <v>-0.61839739999999999</v>
      </c>
      <c r="U4149">
        <v>-2.2964630000000001</v>
      </c>
      <c r="V4149">
        <v>0.20065540000000001</v>
      </c>
      <c r="W4149">
        <v>2.1354789999999998E-2</v>
      </c>
      <c r="X4149">
        <v>0.97942910000000005</v>
      </c>
      <c r="Y4149">
        <v>0.52697280000000002</v>
      </c>
      <c r="Z4149">
        <v>0.19491790000000001</v>
      </c>
      <c r="AA4149">
        <v>0.82722830000000003</v>
      </c>
      <c r="AB4149">
        <v>22</v>
      </c>
      <c r="AC4149">
        <v>-4.0284999999999798</v>
      </c>
      <c r="AD4149">
        <v>-1.1037632497900001</v>
      </c>
      <c r="AE4149">
        <v>-3.9324999999999699</v>
      </c>
      <c r="AF4149">
        <v>3.0002784500134201</v>
      </c>
      <c r="AG4149">
        <v>-1.1037632497900001</v>
      </c>
      <c r="AH4149">
        <v>4.5153886505162601</v>
      </c>
      <c r="AI4149">
        <v>101.508006542901</v>
      </c>
      <c r="AJ4149">
        <v>56.3976989038946</v>
      </c>
      <c r="AK4149">
        <v>5.5325128788293796</v>
      </c>
      <c r="AL4149">
        <v>88.776367633879403</v>
      </c>
      <c r="AM4149">
        <v>78.422035470650698</v>
      </c>
      <c r="AN4149">
        <v>0.99999998926595601</v>
      </c>
    </row>
    <row r="4150" spans="1:40" x14ac:dyDescent="0.25">
      <c r="A4150" t="str">
        <f>"20190312154918541"</f>
        <v>20190312154918541</v>
      </c>
      <c r="B4150" t="str">
        <f>"1552376958530228"</f>
        <v>1552376958530228</v>
      </c>
      <c r="C4150" t="s">
        <v>40</v>
      </c>
      <c r="D4150">
        <v>4.5612700000000004</v>
      </c>
      <c r="E4150">
        <v>0.65237789999999996</v>
      </c>
      <c r="F4150" t="s">
        <v>63</v>
      </c>
      <c r="G4150">
        <v>-197.91120000000001</v>
      </c>
      <c r="H4150" s="1">
        <v>-1.3220589999999999E-5</v>
      </c>
      <c r="I4150">
        <v>153.35509999999999</v>
      </c>
      <c r="J4150">
        <v>-193.7954</v>
      </c>
      <c r="K4150">
        <v>1.103675</v>
      </c>
      <c r="L4150">
        <v>157.2431</v>
      </c>
      <c r="M4150">
        <v>-0.21916060000000001</v>
      </c>
      <c r="N4150">
        <v>0</v>
      </c>
      <c r="O4150">
        <v>-0.97558140000000004</v>
      </c>
      <c r="P4150">
        <v>-0.4123021</v>
      </c>
      <c r="Q4150">
        <v>9.9153999999999996E-3</v>
      </c>
      <c r="R4150">
        <v>-0.91099350000000001</v>
      </c>
      <c r="S4150">
        <v>-2.310883</v>
      </c>
      <c r="T4150">
        <v>-0.61126689999999995</v>
      </c>
      <c r="U4150">
        <v>-2.2702179999999998</v>
      </c>
      <c r="V4150">
        <v>0.2029512</v>
      </c>
      <c r="W4150">
        <v>2.0948129999999999E-2</v>
      </c>
      <c r="X4150">
        <v>0.97896470000000002</v>
      </c>
      <c r="Y4150">
        <v>0.52897139999999998</v>
      </c>
      <c r="Z4150">
        <v>0.19277939999999999</v>
      </c>
      <c r="AA4150">
        <v>0.82645349999999995</v>
      </c>
      <c r="AB4150">
        <v>22</v>
      </c>
      <c r="AC4150">
        <v>-4.1158000000000001</v>
      </c>
      <c r="AD4150">
        <v>-1.10368822059</v>
      </c>
      <c r="AE4150">
        <v>-3.8879999999999999</v>
      </c>
      <c r="AF4150">
        <v>3.0477209232143898</v>
      </c>
      <c r="AG4150">
        <v>-1.10368822059</v>
      </c>
      <c r="AH4150">
        <v>4.5236759701061304</v>
      </c>
      <c r="AI4150">
        <v>101.438912242784</v>
      </c>
      <c r="AJ4150">
        <v>56.030801913410997</v>
      </c>
      <c r="AK4150">
        <v>5.5651033051133503</v>
      </c>
      <c r="AL4150">
        <v>88.799672701148694</v>
      </c>
      <c r="AM4150">
        <v>78.287802447702504</v>
      </c>
      <c r="AN4150">
        <v>0.99999994878901199</v>
      </c>
    </row>
    <row r="4151" spans="1:40" x14ac:dyDescent="0.25">
      <c r="A4151" t="str">
        <f>"20190312154918554"</f>
        <v>20190312154918554</v>
      </c>
      <c r="B4151" t="str">
        <f>"1552376958549748"</f>
        <v>1552376958549748</v>
      </c>
      <c r="C4151" t="s">
        <v>40</v>
      </c>
      <c r="D4151">
        <v>4.5493699999999997</v>
      </c>
      <c r="E4151">
        <v>0.65231980000000001</v>
      </c>
      <c r="F4151" t="s">
        <v>63</v>
      </c>
      <c r="G4151">
        <v>-198.00360000000001</v>
      </c>
      <c r="H4151" s="1">
        <v>-1.319214E-5</v>
      </c>
      <c r="I4151">
        <v>153.20949999999999</v>
      </c>
      <c r="J4151">
        <v>-193.83090000000001</v>
      </c>
      <c r="K4151">
        <v>1.1036360000000001</v>
      </c>
      <c r="L4151">
        <v>157.11590000000001</v>
      </c>
      <c r="M4151">
        <v>-0.22510169999999999</v>
      </c>
      <c r="N4151">
        <v>0</v>
      </c>
      <c r="O4151">
        <v>-0.97422739999999997</v>
      </c>
      <c r="P4151">
        <v>-0.41889939999999998</v>
      </c>
      <c r="Q4151">
        <v>9.3922050000000007E-3</v>
      </c>
      <c r="R4151">
        <v>-0.90798449999999997</v>
      </c>
      <c r="S4151">
        <v>-2.33847</v>
      </c>
      <c r="T4151">
        <v>-0.61329979999999995</v>
      </c>
      <c r="U4151">
        <v>-2.241409</v>
      </c>
      <c r="V4151">
        <v>0.20407900000000001</v>
      </c>
      <c r="W4151">
        <v>2.040322E-2</v>
      </c>
      <c r="X4151">
        <v>0.9787418</v>
      </c>
      <c r="Y4151">
        <v>0.53389370000000003</v>
      </c>
      <c r="Z4151">
        <v>0.19362380000000001</v>
      </c>
      <c r="AA4151">
        <v>0.82308400000000004</v>
      </c>
      <c r="AB4151">
        <v>22</v>
      </c>
      <c r="AC4151">
        <v>-4.1726999999999901</v>
      </c>
      <c r="AD4151">
        <v>-1.10364919214</v>
      </c>
      <c r="AE4151">
        <v>-3.9064000000000099</v>
      </c>
      <c r="AF4151">
        <v>3.0716405954539501</v>
      </c>
      <c r="AG4151">
        <v>-1.10364919214</v>
      </c>
      <c r="AH4151">
        <v>4.5749414181605799</v>
      </c>
      <c r="AI4151">
        <v>101.325518997022</v>
      </c>
      <c r="AJ4151">
        <v>56.122373371282698</v>
      </c>
      <c r="AK4151">
        <v>5.6198849157747999</v>
      </c>
      <c r="AL4151">
        <v>88.830900505401701</v>
      </c>
      <c r="AM4151">
        <v>78.221923410428403</v>
      </c>
      <c r="AN4151">
        <v>1.0000000203473001</v>
      </c>
    </row>
    <row r="4152" spans="1:40" x14ac:dyDescent="0.25">
      <c r="A4152" t="str">
        <f>"20190312154918568"</f>
        <v>20190312154918568</v>
      </c>
      <c r="B4152" t="str">
        <f>"1552376958560485"</f>
        <v>1552376958560485</v>
      </c>
      <c r="C4152" t="s">
        <v>40</v>
      </c>
      <c r="D4152">
        <v>4.5403729999999998</v>
      </c>
      <c r="E4152">
        <v>0.65216370000000001</v>
      </c>
      <c r="F4152" t="s">
        <v>63</v>
      </c>
      <c r="G4152">
        <v>-198.0548</v>
      </c>
      <c r="H4152" s="1">
        <v>-1.3175329999999999E-5</v>
      </c>
      <c r="I4152">
        <v>153.12459999999999</v>
      </c>
      <c r="J4152">
        <v>-193.8674</v>
      </c>
      <c r="K4152">
        <v>1.1036049999999999</v>
      </c>
      <c r="L4152">
        <v>156.98759999999999</v>
      </c>
      <c r="M4152">
        <v>-0.2311279</v>
      </c>
      <c r="N4152">
        <v>0</v>
      </c>
      <c r="O4152">
        <v>-0.97281530000000005</v>
      </c>
      <c r="P4152">
        <v>-0.42542609999999997</v>
      </c>
      <c r="Q4152">
        <v>8.9811370000000001E-3</v>
      </c>
      <c r="R4152">
        <v>-0.9049488</v>
      </c>
      <c r="S4152">
        <v>-2.354034</v>
      </c>
      <c r="T4152">
        <v>-0.61507529999999999</v>
      </c>
      <c r="U4152">
        <v>-2.22438</v>
      </c>
      <c r="V4152">
        <v>0.20506189999999999</v>
      </c>
      <c r="W4152">
        <v>1.9975119999999999E-2</v>
      </c>
      <c r="X4152">
        <v>0.97854509999999995</v>
      </c>
      <c r="Y4152">
        <v>0.53447029999999995</v>
      </c>
      <c r="Z4152">
        <v>0.19428119999999999</v>
      </c>
      <c r="AA4152">
        <v>0.82255480000000003</v>
      </c>
      <c r="AB4152">
        <v>22</v>
      </c>
      <c r="AC4152">
        <v>-4.1873999999999896</v>
      </c>
      <c r="AD4152">
        <v>-1.1036181753299901</v>
      </c>
      <c r="AE4152">
        <v>-3.863</v>
      </c>
      <c r="AF4152">
        <v>3.0660005514940298</v>
      </c>
      <c r="AG4152">
        <v>-1.1036181753299901</v>
      </c>
      <c r="AH4152">
        <v>4.5553644576555996</v>
      </c>
      <c r="AI4152">
        <v>101.364169094239</v>
      </c>
      <c r="AJ4152">
        <v>56.057366387974803</v>
      </c>
      <c r="AK4152">
        <v>5.6008640226979498</v>
      </c>
      <c r="AL4152">
        <v>88.855433748767894</v>
      </c>
      <c r="AM4152">
        <v>78.164481151834494</v>
      </c>
      <c r="AN4152">
        <v>0.99999995049231505</v>
      </c>
    </row>
    <row r="4153" spans="1:40" x14ac:dyDescent="0.25">
      <c r="A4153" t="str">
        <f>"20190312154918585"</f>
        <v>20190312154918585</v>
      </c>
      <c r="B4153" t="str">
        <f>"1552376958580005"</f>
        <v>1552376958580005</v>
      </c>
      <c r="C4153" t="s">
        <v>40</v>
      </c>
      <c r="D4153">
        <v>4.5223009999999997</v>
      </c>
      <c r="E4153">
        <v>0.65156040000000004</v>
      </c>
      <c r="F4153" t="s">
        <v>63</v>
      </c>
      <c r="G4153">
        <v>-198.1028</v>
      </c>
      <c r="H4153" s="1">
        <v>-1.315821E-5</v>
      </c>
      <c r="I4153">
        <v>153.03970000000001</v>
      </c>
      <c r="J4153">
        <v>-193.9186</v>
      </c>
      <c r="K4153">
        <v>1.1035790000000001</v>
      </c>
      <c r="L4153">
        <v>156.8134</v>
      </c>
      <c r="M4153">
        <v>-0.23937320000000001</v>
      </c>
      <c r="N4153">
        <v>0</v>
      </c>
      <c r="O4153">
        <v>-0.97081899999999999</v>
      </c>
      <c r="P4153">
        <v>-0.4353725</v>
      </c>
      <c r="Q4153">
        <v>9.1102230000000006E-3</v>
      </c>
      <c r="R4153">
        <v>-0.90020489999999997</v>
      </c>
      <c r="S4153">
        <v>-2.3685149999999999</v>
      </c>
      <c r="T4153">
        <v>-0.61717580000000005</v>
      </c>
      <c r="U4153">
        <v>-2.2077640000000001</v>
      </c>
      <c r="V4153">
        <v>0.20754639999999999</v>
      </c>
      <c r="W4153">
        <v>2.006283E-2</v>
      </c>
      <c r="X4153">
        <v>0.97801939999999998</v>
      </c>
      <c r="Y4153">
        <v>0.53284480000000001</v>
      </c>
      <c r="Z4153">
        <v>0.19500999999999999</v>
      </c>
      <c r="AA4153">
        <v>0.82343639999999996</v>
      </c>
      <c r="AB4153">
        <v>22</v>
      </c>
      <c r="AC4153">
        <v>-4.1841999999999997</v>
      </c>
      <c r="AD4153">
        <v>-1.1035921582099999</v>
      </c>
      <c r="AE4153">
        <v>-3.7736999999999901</v>
      </c>
      <c r="AF4153">
        <v>3.0424002295135502</v>
      </c>
      <c r="AG4153">
        <v>-1.1035921582099999</v>
      </c>
      <c r="AH4153">
        <v>4.4932876296530004</v>
      </c>
      <c r="AI4153">
        <v>101.49572433108899</v>
      </c>
      <c r="AJ4153">
        <v>55.898113231670003</v>
      </c>
      <c r="AK4153">
        <v>5.5374857589884003</v>
      </c>
      <c r="AL4153">
        <v>88.850407369271906</v>
      </c>
      <c r="AM4153">
        <v>78.018948887892094</v>
      </c>
      <c r="AN4153">
        <v>0.99999998603846396</v>
      </c>
    </row>
    <row r="4154" spans="1:40" x14ac:dyDescent="0.25">
      <c r="A4154" t="str">
        <f>"20190312154918596"</f>
        <v>20190312154918596</v>
      </c>
      <c r="B4154" t="str">
        <f>"1552376958589764"</f>
        <v>1552376958589764</v>
      </c>
      <c r="C4154" t="s">
        <v>40</v>
      </c>
      <c r="D4154">
        <v>4.5457549999999998</v>
      </c>
      <c r="E4154">
        <v>0.65120739999999999</v>
      </c>
      <c r="F4154" t="s">
        <v>63</v>
      </c>
      <c r="G4154">
        <v>-198.16059999999999</v>
      </c>
      <c r="H4154" s="1">
        <v>-1.3136509999999999E-5</v>
      </c>
      <c r="I4154">
        <v>152.9331</v>
      </c>
      <c r="J4154">
        <v>-193.95320000000001</v>
      </c>
      <c r="K4154">
        <v>1.1035699999999999</v>
      </c>
      <c r="L4154">
        <v>156.69970000000001</v>
      </c>
      <c r="M4154">
        <v>-0.24479600000000001</v>
      </c>
      <c r="N4154">
        <v>0</v>
      </c>
      <c r="O4154">
        <v>-0.96946569999999999</v>
      </c>
      <c r="P4154">
        <v>-0.44144870000000003</v>
      </c>
      <c r="Q4154">
        <v>9.8457630000000004E-3</v>
      </c>
      <c r="R4154">
        <v>-0.89723299999999995</v>
      </c>
      <c r="S4154">
        <v>-2.3876339999999998</v>
      </c>
      <c r="T4154">
        <v>-0.62117080000000002</v>
      </c>
      <c r="U4154">
        <v>-2.1840820000000001</v>
      </c>
      <c r="V4154">
        <v>0.2087058</v>
      </c>
      <c r="W4154">
        <v>2.0782229999999999E-2</v>
      </c>
      <c r="X4154">
        <v>0.9777576</v>
      </c>
      <c r="Y4154">
        <v>0.53566119999999995</v>
      </c>
      <c r="Z4154">
        <v>0.1964844</v>
      </c>
      <c r="AA4154">
        <v>0.82125569999999903</v>
      </c>
      <c r="AB4154">
        <v>22</v>
      </c>
      <c r="AC4154">
        <v>-4.2073999999999696</v>
      </c>
      <c r="AD4154">
        <v>-1.10358313651</v>
      </c>
      <c r="AE4154">
        <v>-3.7666000000000102</v>
      </c>
      <c r="AF4154">
        <v>3.04107274148285</v>
      </c>
      <c r="AG4154">
        <v>-1.10358313651</v>
      </c>
      <c r="AH4154">
        <v>4.5098040636631502</v>
      </c>
      <c r="AI4154">
        <v>101.46900680607</v>
      </c>
      <c r="AJ4154">
        <v>56.007235148871601</v>
      </c>
      <c r="AK4154">
        <v>5.5501668308990402</v>
      </c>
      <c r="AL4154">
        <v>88.809180164367902</v>
      </c>
      <c r="AM4154">
        <v>77.950838665751704</v>
      </c>
      <c r="AN4154">
        <v>0.99999996819758497</v>
      </c>
    </row>
    <row r="4155" spans="1:40" x14ac:dyDescent="0.25">
      <c r="A4155" t="str">
        <f>"20190312154918609"</f>
        <v>20190312154918609</v>
      </c>
      <c r="B4155" t="str">
        <f>"1552376958599524"</f>
        <v>1552376958599524</v>
      </c>
      <c r="C4155" t="s">
        <v>40</v>
      </c>
      <c r="D4155">
        <v>4.5522489999999998</v>
      </c>
      <c r="E4155">
        <v>0.6509066</v>
      </c>
      <c r="F4155" t="s">
        <v>63</v>
      </c>
      <c r="G4155">
        <v>-198.22739999999999</v>
      </c>
      <c r="H4155" s="1">
        <v>-1.3118E-5</v>
      </c>
      <c r="I4155">
        <v>152.83600000000001</v>
      </c>
      <c r="J4155">
        <v>-193.9888</v>
      </c>
      <c r="K4155">
        <v>1.1035629999999901</v>
      </c>
      <c r="L4155">
        <v>156.584</v>
      </c>
      <c r="M4155">
        <v>-0.2503244</v>
      </c>
      <c r="N4155">
        <v>0</v>
      </c>
      <c r="O4155">
        <v>-0.96805260000000004</v>
      </c>
      <c r="P4155">
        <v>-0.44786609999999999</v>
      </c>
      <c r="Q4155">
        <v>1.0452039999999999E-2</v>
      </c>
      <c r="R4155">
        <v>-0.89403960000000005</v>
      </c>
      <c r="S4155">
        <v>-2.400055</v>
      </c>
      <c r="T4155">
        <v>-0.61967589999999995</v>
      </c>
      <c r="U4155">
        <v>-2.16954</v>
      </c>
      <c r="V4155">
        <v>0.21014369999999999</v>
      </c>
      <c r="W4155">
        <v>2.136861E-2</v>
      </c>
      <c r="X4155">
        <v>0.977437</v>
      </c>
      <c r="Y4155">
        <v>0.53579109999999996</v>
      </c>
      <c r="Z4155">
        <v>0.1961117</v>
      </c>
      <c r="AA4155">
        <v>0.82126010000000005</v>
      </c>
      <c r="AB4155">
        <v>22</v>
      </c>
      <c r="AC4155">
        <v>-4.2385999999999902</v>
      </c>
      <c r="AD4155">
        <v>-1.1035761180000001</v>
      </c>
      <c r="AE4155">
        <v>-3.74799999999999</v>
      </c>
      <c r="AF4155">
        <v>3.0493025243229499</v>
      </c>
      <c r="AG4155">
        <v>-1.1035761180000001</v>
      </c>
      <c r="AH4155">
        <v>4.5179080699001002</v>
      </c>
      <c r="AI4155">
        <v>101.445744710253</v>
      </c>
      <c r="AJ4155">
        <v>55.983136789296601</v>
      </c>
      <c r="AK4155">
        <v>5.56126060000165</v>
      </c>
      <c r="AL4155">
        <v>88.775575688282203</v>
      </c>
      <c r="AM4155">
        <v>77.866414259302402</v>
      </c>
      <c r="AN4155">
        <v>1.0000000405560101</v>
      </c>
    </row>
    <row r="4156" spans="1:40" x14ac:dyDescent="0.25">
      <c r="A4156" t="str">
        <f>"20190312154918621"</f>
        <v>20190312154918621</v>
      </c>
      <c r="B4156" t="str">
        <f>"1552376958610261"</f>
        <v>1552376958610261</v>
      </c>
      <c r="C4156" t="s">
        <v>40</v>
      </c>
      <c r="D4156">
        <v>4.554106</v>
      </c>
      <c r="E4156">
        <v>0.65056000000000003</v>
      </c>
      <c r="F4156" t="s">
        <v>63</v>
      </c>
      <c r="G4156">
        <v>-198.29669999999999</v>
      </c>
      <c r="H4156" s="1">
        <v>-1.309988E-5</v>
      </c>
      <c r="I4156">
        <v>152.73949999999999</v>
      </c>
      <c r="J4156">
        <v>-194.02809999999999</v>
      </c>
      <c r="K4156">
        <v>1.103561</v>
      </c>
      <c r="L4156">
        <v>156.45939999999999</v>
      </c>
      <c r="M4156">
        <v>-0.2562972</v>
      </c>
      <c r="N4156">
        <v>0</v>
      </c>
      <c r="O4156">
        <v>-0.96648829999999997</v>
      </c>
      <c r="P4156">
        <v>-0.45466509999999999</v>
      </c>
      <c r="Q4156">
        <v>1.102006E-2</v>
      </c>
      <c r="R4156">
        <v>-0.89059469999999996</v>
      </c>
      <c r="S4156">
        <v>-2.4134220000000002</v>
      </c>
      <c r="T4156">
        <v>-0.61825620000000003</v>
      </c>
      <c r="U4156">
        <v>-2.1537929999999998</v>
      </c>
      <c r="V4156">
        <v>0.21156639999999999</v>
      </c>
      <c r="W4156">
        <v>2.1918279999999998E-2</v>
      </c>
      <c r="X4156">
        <v>0.97711780000000004</v>
      </c>
      <c r="Y4156">
        <v>0.53591639999999996</v>
      </c>
      <c r="Z4156">
        <v>0.1957573</v>
      </c>
      <c r="AA4156">
        <v>0.82126290000000002</v>
      </c>
      <c r="AB4156">
        <v>22</v>
      </c>
      <c r="AC4156">
        <v>-4.2685999999999904</v>
      </c>
      <c r="AD4156">
        <v>-1.1035740998799899</v>
      </c>
      <c r="AE4156">
        <v>-3.7198999999999902</v>
      </c>
      <c r="AF4156">
        <v>3.05637953012145</v>
      </c>
      <c r="AG4156">
        <v>-1.1035740998799899</v>
      </c>
      <c r="AH4156">
        <v>4.5181280700238799</v>
      </c>
      <c r="AI4156">
        <v>101.437257242683</v>
      </c>
      <c r="AJ4156">
        <v>55.922815361169398</v>
      </c>
      <c r="AK4156">
        <v>5.5653223521381996</v>
      </c>
      <c r="AL4156">
        <v>88.744074455193399</v>
      </c>
      <c r="AM4156">
        <v>77.782856314799801</v>
      </c>
      <c r="AN4156">
        <v>0.99999997384197803</v>
      </c>
    </row>
    <row r="4157" spans="1:40" x14ac:dyDescent="0.25">
      <c r="A4157" t="str">
        <f>"20190312154918634"</f>
        <v>20190312154918634</v>
      </c>
      <c r="B4157" t="str">
        <f>"1552376958629781"</f>
        <v>1552376958629781</v>
      </c>
      <c r="C4157" t="s">
        <v>40</v>
      </c>
      <c r="D4157">
        <v>4.5540219999999998</v>
      </c>
      <c r="E4157">
        <v>0.64992740000000004</v>
      </c>
      <c r="F4157" t="s">
        <v>63</v>
      </c>
      <c r="G4157">
        <v>-198.36920000000001</v>
      </c>
      <c r="H4157" s="1">
        <v>-1.3080710000000001E-5</v>
      </c>
      <c r="I4157">
        <v>152.6378</v>
      </c>
      <c r="J4157">
        <v>-194.06489999999999</v>
      </c>
      <c r="K4157">
        <v>1.103561</v>
      </c>
      <c r="L4157">
        <v>156.34540000000001</v>
      </c>
      <c r="M4157">
        <v>-0.26178109999999999</v>
      </c>
      <c r="N4157">
        <v>0</v>
      </c>
      <c r="O4157">
        <v>-0.96501760000000003</v>
      </c>
      <c r="P4157">
        <v>-0.4609087</v>
      </c>
      <c r="Q4157">
        <v>1.1008209999999999E-2</v>
      </c>
      <c r="R4157">
        <v>-0.88737929999999998</v>
      </c>
      <c r="S4157">
        <v>-2.4274290000000001</v>
      </c>
      <c r="T4157">
        <v>-0.61708809999999903</v>
      </c>
      <c r="U4157">
        <v>-2.1369319999999998</v>
      </c>
      <c r="V4157">
        <v>0.2128805</v>
      </c>
      <c r="W4157">
        <v>2.1890150000000001E-2</v>
      </c>
      <c r="X4157">
        <v>0.97683299999999995</v>
      </c>
      <c r="Y4157">
        <v>0.53676550000000001</v>
      </c>
      <c r="Z4157">
        <v>0.19550049999999999</v>
      </c>
      <c r="AA4157">
        <v>0.82076939999999998</v>
      </c>
      <c r="AB4157">
        <v>22</v>
      </c>
      <c r="AC4157">
        <v>-4.3043000000000102</v>
      </c>
      <c r="AD4157">
        <v>-1.1035740807100001</v>
      </c>
      <c r="AE4157">
        <v>-3.70760000000001</v>
      </c>
      <c r="AF4157">
        <v>3.0677181931633801</v>
      </c>
      <c r="AG4157">
        <v>-1.1035740807100001</v>
      </c>
      <c r="AH4157">
        <v>4.53408206634463</v>
      </c>
      <c r="AI4157">
        <v>101.397447517253</v>
      </c>
      <c r="AJ4157">
        <v>55.9180798715525</v>
      </c>
      <c r="AK4157">
        <v>5.5845027396025602</v>
      </c>
      <c r="AL4157">
        <v>88.745686602506197</v>
      </c>
      <c r="AM4157">
        <v>77.7057974822592</v>
      </c>
      <c r="AN4157">
        <v>0.99999999791813599</v>
      </c>
    </row>
    <row r="4158" spans="1:40" x14ac:dyDescent="0.25">
      <c r="A4158" t="str">
        <f>"20190312154918646"</f>
        <v>20190312154918646</v>
      </c>
      <c r="B4158" t="str">
        <f>"1552376958640517"</f>
        <v>1552376958640517</v>
      </c>
      <c r="C4158" t="s">
        <v>40</v>
      </c>
      <c r="D4158">
        <v>4.5735999999999999</v>
      </c>
      <c r="E4158">
        <v>0.64969060000000001</v>
      </c>
      <c r="F4158" t="s">
        <v>63</v>
      </c>
      <c r="G4158">
        <v>-198.42339999999999</v>
      </c>
      <c r="H4158" s="1">
        <v>-1.3063909999999999E-5</v>
      </c>
      <c r="I4158">
        <v>152.55189999999999</v>
      </c>
      <c r="J4158">
        <v>-194.10329999999999</v>
      </c>
      <c r="K4158">
        <v>1.103561</v>
      </c>
      <c r="L4158">
        <v>156.22799999999901</v>
      </c>
      <c r="M4158">
        <v>-0.26743640000000002</v>
      </c>
      <c r="N4158">
        <v>0</v>
      </c>
      <c r="O4158">
        <v>-0.96346520000000002</v>
      </c>
      <c r="P4158">
        <v>-0.4673426</v>
      </c>
      <c r="Q4158">
        <v>1.1109320000000001E-2</v>
      </c>
      <c r="R4158">
        <v>-0.88400639999999997</v>
      </c>
      <c r="S4158">
        <v>-2.4380950000000001</v>
      </c>
      <c r="T4158">
        <v>-0.61733090000000002</v>
      </c>
      <c r="U4158">
        <v>-2.1220859999999999</v>
      </c>
      <c r="V4158">
        <v>0.2142491</v>
      </c>
      <c r="W4158">
        <v>2.1974049999999998E-2</v>
      </c>
      <c r="X4158">
        <v>0.97653190000000001</v>
      </c>
      <c r="Y4158">
        <v>0.53644749999999997</v>
      </c>
      <c r="Z4158">
        <v>0.19569510000000001</v>
      </c>
      <c r="AA4158">
        <v>0.82093099999999997</v>
      </c>
      <c r="AB4158">
        <v>22</v>
      </c>
      <c r="AC4158">
        <v>-4.3200999999999903</v>
      </c>
      <c r="AD4158">
        <v>-1.10357406391</v>
      </c>
      <c r="AE4158">
        <v>-3.6760999999999902</v>
      </c>
      <c r="AF4158">
        <v>3.06352863761825</v>
      </c>
      <c r="AG4158">
        <v>-1.10357406391</v>
      </c>
      <c r="AH4158">
        <v>4.5263274658176504</v>
      </c>
      <c r="AI4158">
        <v>101.415256336211</v>
      </c>
      <c r="AJ4158">
        <v>55.908901411255997</v>
      </c>
      <c r="AK4158">
        <v>5.5759056444542896</v>
      </c>
      <c r="AL4158">
        <v>88.740878387704697</v>
      </c>
      <c r="AM4158">
        <v>77.625487902328999</v>
      </c>
      <c r="AN4158">
        <v>1.00000004372091</v>
      </c>
    </row>
    <row r="4159" spans="1:40" x14ac:dyDescent="0.25">
      <c r="A4159" t="str">
        <f>"20190312154918664"</f>
        <v>20190312154918664</v>
      </c>
      <c r="B4159" t="str">
        <f>"1552376958660036"</f>
        <v>1552376958660036</v>
      </c>
      <c r="C4159" t="s">
        <v>40</v>
      </c>
      <c r="D4159">
        <v>4.5799099999999999</v>
      </c>
      <c r="E4159">
        <v>0.64949299999999999</v>
      </c>
      <c r="F4159" t="s">
        <v>63</v>
      </c>
      <c r="G4159">
        <v>-198.49639999999999</v>
      </c>
      <c r="H4159" s="1">
        <v>-1.304621E-5</v>
      </c>
      <c r="I4159">
        <v>152.45580000000001</v>
      </c>
      <c r="J4159">
        <v>-194.16229999999999</v>
      </c>
      <c r="K4159">
        <v>1.103559</v>
      </c>
      <c r="L4159">
        <v>156.05260000000001</v>
      </c>
      <c r="M4159">
        <v>-0.2759182</v>
      </c>
      <c r="N4159">
        <v>0</v>
      </c>
      <c r="O4159">
        <v>-0.96107050000000005</v>
      </c>
      <c r="P4159">
        <v>-0.47737350000000001</v>
      </c>
      <c r="Q4159">
        <v>1.110066E-2</v>
      </c>
      <c r="R4159">
        <v>-0.87863080000000005</v>
      </c>
      <c r="S4159">
        <v>-2.4517519999999999</v>
      </c>
      <c r="T4159">
        <v>-0.61588949999999998</v>
      </c>
      <c r="U4159">
        <v>-2.1052249999999999</v>
      </c>
      <c r="V4159">
        <v>0.21675520000000001</v>
      </c>
      <c r="W4159">
        <v>2.1931619999999999E-2</v>
      </c>
      <c r="X4159">
        <v>0.97597959999999995</v>
      </c>
      <c r="Y4159">
        <v>0.53464089999999997</v>
      </c>
      <c r="Z4159">
        <v>0.19526099999999999</v>
      </c>
      <c r="AA4159">
        <v>0.82221180000000005</v>
      </c>
      <c r="AB4159">
        <v>22</v>
      </c>
      <c r="AC4159">
        <v>-4.3341000000000003</v>
      </c>
      <c r="AD4159">
        <v>-1.10357204621</v>
      </c>
      <c r="AE4159">
        <v>-3.5968</v>
      </c>
      <c r="AF4159">
        <v>3.0559636517319499</v>
      </c>
      <c r="AG4159">
        <v>-1.10357204621</v>
      </c>
      <c r="AH4159">
        <v>4.4810889038705799</v>
      </c>
      <c r="AI4159">
        <v>101.500608464716</v>
      </c>
      <c r="AJ4159">
        <v>55.707225061064698</v>
      </c>
      <c r="AK4159">
        <v>5.5350648475221202</v>
      </c>
      <c r="AL4159">
        <v>88.743309973739599</v>
      </c>
      <c r="AM4159">
        <v>77.478417879698497</v>
      </c>
      <c r="AN4159">
        <v>0.99999999614951196</v>
      </c>
    </row>
    <row r="4160" spans="1:40" x14ac:dyDescent="0.25">
      <c r="A4160" t="str">
        <f>"20190312154918687"</f>
        <v>20190312154918687</v>
      </c>
      <c r="B4160" t="str">
        <f>"1552376958679559"</f>
        <v>1552376958679559</v>
      </c>
      <c r="C4160" t="s">
        <v>40</v>
      </c>
      <c r="D4160">
        <v>4.5300379999999896</v>
      </c>
      <c r="E4160">
        <v>0.66745619999999894</v>
      </c>
      <c r="F4160" t="s">
        <v>63</v>
      </c>
      <c r="G4160">
        <v>-198.5685</v>
      </c>
      <c r="H4160" s="1">
        <v>-1.30265E-5</v>
      </c>
      <c r="I4160">
        <v>152.35210000000001</v>
      </c>
      <c r="J4160">
        <v>-194.23339999999999</v>
      </c>
      <c r="K4160">
        <v>1.103567</v>
      </c>
      <c r="L4160">
        <v>155.8486</v>
      </c>
      <c r="M4160">
        <v>-0.28581780000000001</v>
      </c>
      <c r="N4160">
        <v>0</v>
      </c>
      <c r="O4160">
        <v>-0.95817289999999999</v>
      </c>
      <c r="P4160">
        <v>-0.48889169999999998</v>
      </c>
      <c r="Q4160">
        <v>1.1575729999999999E-2</v>
      </c>
      <c r="R4160">
        <v>-0.87226800000000004</v>
      </c>
      <c r="S4160">
        <v>-2.474167</v>
      </c>
      <c r="T4160">
        <v>-0.61968780000000001</v>
      </c>
      <c r="U4160">
        <v>-2.0779879999999999</v>
      </c>
      <c r="V4160">
        <v>0.2195357</v>
      </c>
      <c r="W4160">
        <v>2.2368780000000001E-2</v>
      </c>
      <c r="X4160">
        <v>0.97534799999999999</v>
      </c>
      <c r="Y4160">
        <v>0.53477889999999995</v>
      </c>
      <c r="Z4160">
        <v>0.19647700000000001</v>
      </c>
      <c r="AA4160">
        <v>0.82183229999999996</v>
      </c>
      <c r="AB4160">
        <v>22</v>
      </c>
      <c r="AC4160">
        <v>-4.3351000000000104</v>
      </c>
      <c r="AD4160">
        <v>-1.1035800265</v>
      </c>
      <c r="AE4160">
        <v>-3.4964999999999899</v>
      </c>
      <c r="AF4160">
        <v>3.03556335474227</v>
      </c>
      <c r="AG4160">
        <v>-1.1035800265</v>
      </c>
      <c r="AH4160">
        <v>4.4163874583765699</v>
      </c>
      <c r="AI4160">
        <v>101.636217098233</v>
      </c>
      <c r="AJ4160">
        <v>55.497670792969799</v>
      </c>
      <c r="AK4160">
        <v>5.4714725566386404</v>
      </c>
      <c r="AL4160">
        <v>88.718256413104896</v>
      </c>
      <c r="AM4160">
        <v>77.315009333729193</v>
      </c>
      <c r="AN4160">
        <v>1.0000000034985801</v>
      </c>
    </row>
    <row r="4161" spans="1:40" x14ac:dyDescent="0.25">
      <c r="A4161" t="str">
        <f>"20190312154918700"</f>
        <v>20190312154918700</v>
      </c>
      <c r="B4161" t="str">
        <f>"1552376958690293"</f>
        <v>1552376958690293</v>
      </c>
      <c r="C4161" t="s">
        <v>40</v>
      </c>
      <c r="D4161">
        <v>4.4988950000000001</v>
      </c>
      <c r="E4161">
        <v>0.66720219999999997</v>
      </c>
      <c r="F4161" t="s">
        <v>63</v>
      </c>
      <c r="G4161">
        <v>-198.5538</v>
      </c>
      <c r="H4161" s="1">
        <v>-1.308666E-5</v>
      </c>
      <c r="I4161">
        <v>152.59630000000001</v>
      </c>
      <c r="J4161">
        <v>-194.2808</v>
      </c>
      <c r="K4161">
        <v>1.1035740000000001</v>
      </c>
      <c r="L4161">
        <v>155.71629999999999</v>
      </c>
      <c r="M4161">
        <v>-0.29225319999999999</v>
      </c>
      <c r="N4161">
        <v>0</v>
      </c>
      <c r="O4161">
        <v>-0.95622969999999896</v>
      </c>
      <c r="P4161">
        <v>-0.49571399999999999</v>
      </c>
      <c r="Q4161">
        <v>1.1942899999999999E-2</v>
      </c>
      <c r="R4161">
        <v>-0.86840399999999995</v>
      </c>
      <c r="S4161">
        <v>-2.625702</v>
      </c>
      <c r="T4161">
        <v>-0.67069080000000003</v>
      </c>
      <c r="U4161">
        <v>-1.9765470000000001</v>
      </c>
      <c r="V4161">
        <v>0.22063050000000001</v>
      </c>
      <c r="W4161">
        <v>2.2724879999999999E-2</v>
      </c>
      <c r="X4161">
        <v>0.97509270000000003</v>
      </c>
      <c r="Y4161">
        <v>0.57014929999999997</v>
      </c>
      <c r="Z4161">
        <v>0.21001619999999999</v>
      </c>
      <c r="AA4161">
        <v>0.79424359999999905</v>
      </c>
      <c r="AB4161">
        <v>22</v>
      </c>
      <c r="AC4161">
        <v>-4.2729999999999899</v>
      </c>
      <c r="AD4161">
        <v>-1.1035870866599999</v>
      </c>
      <c r="AE4161">
        <v>-3.1199999999999699</v>
      </c>
      <c r="AF4161">
        <v>3.04212199974108</v>
      </c>
      <c r="AG4161">
        <v>-1.1035870866599999</v>
      </c>
      <c r="AH4161">
        <v>4.0562092022887901</v>
      </c>
      <c r="AI4161">
        <v>102.27945740510199</v>
      </c>
      <c r="AJ4161">
        <v>53.130417879365297</v>
      </c>
      <c r="AK4161">
        <v>5.1889540190565997</v>
      </c>
      <c r="AL4161">
        <v>88.697848200767197</v>
      </c>
      <c r="AM4161">
        <v>77.250584221365003</v>
      </c>
      <c r="AN4161">
        <v>1.00000000564727</v>
      </c>
    </row>
    <row r="4162" spans="1:40" x14ac:dyDescent="0.25">
      <c r="A4162" t="str">
        <f>"20190312154918715"</f>
        <v>20190312154918715</v>
      </c>
      <c r="B4162" t="str">
        <f>"1552376958709812"</f>
        <v>1552376958709812</v>
      </c>
      <c r="C4162" t="s">
        <v>40</v>
      </c>
      <c r="D4162">
        <v>4.4621370000000002</v>
      </c>
      <c r="E4162">
        <v>0.66576489999999999</v>
      </c>
      <c r="F4162" t="s">
        <v>63</v>
      </c>
      <c r="G4162">
        <v>-198.7079</v>
      </c>
      <c r="H4162" s="1">
        <v>-1.3059429999999999E-5</v>
      </c>
      <c r="I4162">
        <v>152.43379999999999</v>
      </c>
      <c r="J4162">
        <v>-194.33009999999999</v>
      </c>
      <c r="K4162">
        <v>1.103583</v>
      </c>
      <c r="L4162">
        <v>155.58150000000001</v>
      </c>
      <c r="M4162">
        <v>-0.298819</v>
      </c>
      <c r="N4162">
        <v>0</v>
      </c>
      <c r="O4162">
        <v>-0.95419799999999999</v>
      </c>
      <c r="P4162">
        <v>-0.50242500000000001</v>
      </c>
      <c r="Q4162">
        <v>1.222226E-2</v>
      </c>
      <c r="R4162">
        <v>-0.86453440000000004</v>
      </c>
      <c r="S4162">
        <v>-2.639389</v>
      </c>
      <c r="T4162">
        <v>-0.65794859999999999</v>
      </c>
      <c r="U4162">
        <v>-1.9570160000000001</v>
      </c>
      <c r="V4162">
        <v>0.2214855</v>
      </c>
      <c r="W4162">
        <v>2.2998040000000001E-2</v>
      </c>
      <c r="X4162">
        <v>0.97489239999999999</v>
      </c>
      <c r="Y4162">
        <v>0.57098260000000001</v>
      </c>
      <c r="Z4162">
        <v>0.2062609</v>
      </c>
      <c r="AA4162">
        <v>0.79462909999999998</v>
      </c>
      <c r="AB4162">
        <v>22</v>
      </c>
      <c r="AC4162">
        <v>-4.3777999999999997</v>
      </c>
      <c r="AD4162">
        <v>-1.1035960594299901</v>
      </c>
      <c r="AE4162">
        <v>-3.1477000000000102</v>
      </c>
      <c r="AF4162">
        <v>3.1068879316984699</v>
      </c>
      <c r="AG4162">
        <v>-1.1035960594299901</v>
      </c>
      <c r="AH4162">
        <v>4.1387783985678404</v>
      </c>
      <c r="AI4162">
        <v>102.03794524942001</v>
      </c>
      <c r="AJ4162">
        <v>53.105266004610499</v>
      </c>
      <c r="AK4162">
        <v>5.2915180728194402</v>
      </c>
      <c r="AL4162">
        <v>88.6821931393185</v>
      </c>
      <c r="AM4162">
        <v>77.200258142662307</v>
      </c>
      <c r="AN4162">
        <v>0.99999996406592495</v>
      </c>
    </row>
    <row r="4163" spans="1:40" x14ac:dyDescent="0.25">
      <c r="A4163" t="str">
        <f>"20190312154918732"</f>
        <v>20190312154918732</v>
      </c>
      <c r="B4163" t="str">
        <f>"1552376958719573"</f>
        <v>1552376958719573</v>
      </c>
      <c r="C4163" t="s">
        <v>40</v>
      </c>
      <c r="D4163">
        <v>4.4847859999999997</v>
      </c>
      <c r="E4163">
        <v>0.66531219999999902</v>
      </c>
      <c r="F4163" t="s">
        <v>63</v>
      </c>
      <c r="G4163">
        <v>-198.86850000000001</v>
      </c>
      <c r="H4163" s="1">
        <v>-1.3027049999999999E-5</v>
      </c>
      <c r="I4163">
        <v>152.24850000000001</v>
      </c>
      <c r="J4163">
        <v>-194.39009999999999</v>
      </c>
      <c r="K4163">
        <v>1.1035999999999999</v>
      </c>
      <c r="L4163">
        <v>155.4212</v>
      </c>
      <c r="M4163">
        <v>-0.30663610000000002</v>
      </c>
      <c r="N4163">
        <v>0</v>
      </c>
      <c r="O4163">
        <v>-0.95171470000000002</v>
      </c>
      <c r="P4163">
        <v>-0.51092280000000001</v>
      </c>
      <c r="Q4163">
        <v>1.198106E-2</v>
      </c>
      <c r="R4163">
        <v>-0.85954330000000001</v>
      </c>
      <c r="S4163">
        <v>-2.6446230000000002</v>
      </c>
      <c r="T4163">
        <v>-0.6430863</v>
      </c>
      <c r="U4163">
        <v>-1.942245</v>
      </c>
      <c r="V4163">
        <v>0.22309309999999999</v>
      </c>
      <c r="W4163">
        <v>2.2738709999999999E-2</v>
      </c>
      <c r="X4163">
        <v>0.97453190000000001</v>
      </c>
      <c r="Y4163">
        <v>0.56868050000000003</v>
      </c>
      <c r="Z4163">
        <v>0.2019434</v>
      </c>
      <c r="AA4163">
        <v>0.79738409999999904</v>
      </c>
      <c r="AB4163">
        <v>22</v>
      </c>
      <c r="AC4163">
        <v>-4.4784000000000201</v>
      </c>
      <c r="AD4163">
        <v>-1.10361302705</v>
      </c>
      <c r="AE4163">
        <v>-3.1726999999999901</v>
      </c>
      <c r="AF4163">
        <v>3.16180104101606</v>
      </c>
      <c r="AG4163">
        <v>-1.10361302705</v>
      </c>
      <c r="AH4163">
        <v>4.22248069739695</v>
      </c>
      <c r="AI4163">
        <v>101.81659017042701</v>
      </c>
      <c r="AJ4163">
        <v>53.174065702477002</v>
      </c>
      <c r="AK4163">
        <v>5.3892755335327296</v>
      </c>
      <c r="AL4163">
        <v>88.697055590785297</v>
      </c>
      <c r="AM4163">
        <v>77.105837838546805</v>
      </c>
      <c r="AN4163">
        <v>1.00000000215884</v>
      </c>
    </row>
    <row r="4164" spans="1:40" x14ac:dyDescent="0.25">
      <c r="A4164" t="str">
        <f>"20190312154918754"</f>
        <v>20190312154918754</v>
      </c>
      <c r="B4164" t="str">
        <f>"1552376958749828"</f>
        <v>1552376958749828</v>
      </c>
      <c r="C4164" t="s">
        <v>40</v>
      </c>
      <c r="D4164">
        <v>4.4796990000000001</v>
      </c>
      <c r="E4164">
        <v>0.664620199999999</v>
      </c>
      <c r="F4164" t="s">
        <v>63</v>
      </c>
      <c r="G4164">
        <v>-198.96879999999999</v>
      </c>
      <c r="H4164" s="1">
        <v>-1.3003849999999999E-5</v>
      </c>
      <c r="I4164">
        <v>152.12090000000001</v>
      </c>
      <c r="J4164">
        <v>-194.47059999999999</v>
      </c>
      <c r="K4164">
        <v>1.103621</v>
      </c>
      <c r="L4164">
        <v>155.21209999999999</v>
      </c>
      <c r="M4164">
        <v>-0.3168492</v>
      </c>
      <c r="N4164">
        <v>0</v>
      </c>
      <c r="O4164">
        <v>-0.94836319999999996</v>
      </c>
      <c r="P4164">
        <v>-0.52058899999999997</v>
      </c>
      <c r="Q4164">
        <v>1.17122999999999E-2</v>
      </c>
      <c r="R4164">
        <v>-0.85372719999999902</v>
      </c>
      <c r="S4164">
        <v>-2.660568</v>
      </c>
      <c r="T4164">
        <v>-0.64128260000000004</v>
      </c>
      <c r="U4164">
        <v>-1.9177090000000001</v>
      </c>
      <c r="V4164">
        <v>0.22360650000000001</v>
      </c>
      <c r="W4164">
        <v>2.2476989999999999E-2</v>
      </c>
      <c r="X4164">
        <v>0.97442030000000002</v>
      </c>
      <c r="Y4164">
        <v>0.56711669999999903</v>
      </c>
      <c r="Z4164">
        <v>0.20141310000000001</v>
      </c>
      <c r="AA4164">
        <v>0.79863099999999998</v>
      </c>
      <c r="AB4164">
        <v>22</v>
      </c>
      <c r="AC4164">
        <v>-4.49819999999999</v>
      </c>
      <c r="AD4164">
        <v>-1.1036340038500001</v>
      </c>
      <c r="AE4164">
        <v>-3.0911999999999802</v>
      </c>
      <c r="AF4164">
        <v>3.1577234069475799</v>
      </c>
      <c r="AG4164">
        <v>-1.1036340038500001</v>
      </c>
      <c r="AH4164">
        <v>4.1861369925646601</v>
      </c>
      <c r="AI4164">
        <v>101.885789658585</v>
      </c>
      <c r="AJ4164">
        <v>52.971700340390399</v>
      </c>
      <c r="AK4164">
        <v>5.3584482874948902</v>
      </c>
      <c r="AL4164">
        <v>88.712054875013195</v>
      </c>
      <c r="AM4164">
        <v>77.075729451599699</v>
      </c>
      <c r="AN4164">
        <v>1.0000000014868999</v>
      </c>
    </row>
    <row r="4165" spans="1:40" x14ac:dyDescent="0.25">
      <c r="A4165" t="str">
        <f>"20190312154918767"</f>
        <v>20190312154918767</v>
      </c>
      <c r="B4165" t="str">
        <f>"1552376958759588"</f>
        <v>1552376958759588</v>
      </c>
      <c r="C4165" t="s">
        <v>40</v>
      </c>
      <c r="D4165">
        <v>4.4904970000000004</v>
      </c>
      <c r="E4165">
        <v>0.66387089999999904</v>
      </c>
      <c r="F4165" t="s">
        <v>63</v>
      </c>
      <c r="G4165">
        <v>-199.14449999999999</v>
      </c>
      <c r="H4165" s="1">
        <v>-1.296734E-5</v>
      </c>
      <c r="I4165">
        <v>151.91390000000001</v>
      </c>
      <c r="J4165">
        <v>-194.5181</v>
      </c>
      <c r="K4165">
        <v>1.1036379999999999</v>
      </c>
      <c r="L4165">
        <v>155.09139999999999</v>
      </c>
      <c r="M4165">
        <v>-0.32274069999999999</v>
      </c>
      <c r="N4165">
        <v>0</v>
      </c>
      <c r="O4165">
        <v>-0.94637459999999995</v>
      </c>
      <c r="P4165">
        <v>-0.52576969999999901</v>
      </c>
      <c r="Q4165">
        <v>1.156507E-2</v>
      </c>
      <c r="R4165">
        <v>-0.85054839999999998</v>
      </c>
      <c r="S4165">
        <v>-2.6779480000000002</v>
      </c>
      <c r="T4165">
        <v>-0.63233660000000003</v>
      </c>
      <c r="U4165">
        <v>-1.8897090000000001</v>
      </c>
      <c r="V4165">
        <v>0.22346730000000001</v>
      </c>
      <c r="W4165">
        <v>2.234208E-2</v>
      </c>
      <c r="X4165">
        <v>0.97445539999999997</v>
      </c>
      <c r="Y4165">
        <v>0.57048259999999995</v>
      </c>
      <c r="Z4165">
        <v>0.1989399</v>
      </c>
      <c r="AA4165">
        <v>0.79685169999999905</v>
      </c>
      <c r="AB4165">
        <v>22</v>
      </c>
      <c r="AC4165">
        <v>-4.6263999999999896</v>
      </c>
      <c r="AD4165">
        <v>-1.1036509673399999</v>
      </c>
      <c r="AE4165">
        <v>-3.1774999999999798</v>
      </c>
      <c r="AF4165">
        <v>3.2283240793291701</v>
      </c>
      <c r="AG4165">
        <v>-1.1036509673399999</v>
      </c>
      <c r="AH4165">
        <v>4.3331588516500004</v>
      </c>
      <c r="AI4165">
        <v>101.543637899199</v>
      </c>
      <c r="AJ4165">
        <v>53.312862693714003</v>
      </c>
      <c r="AK4165">
        <v>5.5151053890673696</v>
      </c>
      <c r="AL4165">
        <v>88.719786671123799</v>
      </c>
      <c r="AM4165">
        <v>77.083954832535198</v>
      </c>
      <c r="AN4165">
        <v>1.00000006464858</v>
      </c>
    </row>
    <row r="4166" spans="1:40" x14ac:dyDescent="0.25">
      <c r="A4166" t="str">
        <f>"20190312154918780"</f>
        <v>20190312154918780</v>
      </c>
      <c r="B4166" t="str">
        <f>"1552376958770324"</f>
        <v>1552376958770324</v>
      </c>
      <c r="C4166" t="s">
        <v>40</v>
      </c>
      <c r="D4166">
        <v>4.4746579999999998</v>
      </c>
      <c r="E4166">
        <v>0.66332019999999903</v>
      </c>
      <c r="F4166" t="s">
        <v>63</v>
      </c>
      <c r="G4166">
        <v>-199.20269999999999</v>
      </c>
      <c r="H4166" s="1">
        <v>-1.29481399999999E-5</v>
      </c>
      <c r="I4166">
        <v>151.81710000000001</v>
      </c>
      <c r="J4166">
        <v>-194.56389999999999</v>
      </c>
      <c r="K4166">
        <v>1.1036549999999901</v>
      </c>
      <c r="L4166">
        <v>154.9778</v>
      </c>
      <c r="M4166">
        <v>-0.32829779999999997</v>
      </c>
      <c r="N4166">
        <v>0</v>
      </c>
      <c r="O4166">
        <v>-0.94446099999999999</v>
      </c>
      <c r="P4166">
        <v>-0.5305803</v>
      </c>
      <c r="Q4166">
        <v>1.177972E-2</v>
      </c>
      <c r="R4166">
        <v>-0.847553</v>
      </c>
      <c r="S4166">
        <v>-2.684418</v>
      </c>
      <c r="T4166">
        <v>-0.63242229999999999</v>
      </c>
      <c r="U4166">
        <v>-1.876312</v>
      </c>
      <c r="V4166">
        <v>0.22326389999999999</v>
      </c>
      <c r="W4166">
        <v>2.2569949999999998E-2</v>
      </c>
      <c r="X4166">
        <v>0.97449669999999999</v>
      </c>
      <c r="Y4166">
        <v>0.56925349999999997</v>
      </c>
      <c r="Z4166">
        <v>0.19903460000000001</v>
      </c>
      <c r="AA4166">
        <v>0.79770649999999999</v>
      </c>
      <c r="AB4166">
        <v>22</v>
      </c>
      <c r="AC4166">
        <v>-4.6387999999999998</v>
      </c>
      <c r="AD4166">
        <v>-1.10366794813999</v>
      </c>
      <c r="AE4166">
        <v>-3.1606999999999901</v>
      </c>
      <c r="AF4166">
        <v>3.21941367265087</v>
      </c>
      <c r="AG4166">
        <v>-1.10366794813999</v>
      </c>
      <c r="AH4166">
        <v>4.3407399530323403</v>
      </c>
      <c r="AI4166">
        <v>101.542213274872</v>
      </c>
      <c r="AJ4166">
        <v>53.436635548011303</v>
      </c>
      <c r="AK4166">
        <v>5.5158617346026899</v>
      </c>
      <c r="AL4166">
        <v>88.706727299436295</v>
      </c>
      <c r="AM4166">
        <v>77.095845888345295</v>
      </c>
      <c r="AN4166">
        <v>0.99999999499855097</v>
      </c>
    </row>
    <row r="4167" spans="1:40" x14ac:dyDescent="0.25">
      <c r="A4167" t="str">
        <f>"20190312154918797"</f>
        <v>20190312154918797</v>
      </c>
      <c r="B4167" t="str">
        <f>"1552376958789845"</f>
        <v>1552376958789845</v>
      </c>
      <c r="C4167" t="s">
        <v>40</v>
      </c>
      <c r="D4167">
        <v>4.4844429999999997</v>
      </c>
      <c r="E4167">
        <v>0.66197989999999995</v>
      </c>
      <c r="F4167" t="s">
        <v>63</v>
      </c>
      <c r="G4167">
        <v>-199.274</v>
      </c>
      <c r="H4167" s="1">
        <v>-1.2929339999999999E-5</v>
      </c>
      <c r="I4167">
        <v>151.71719999999999</v>
      </c>
      <c r="J4167">
        <v>-194.63300000000001</v>
      </c>
      <c r="K4167">
        <v>1.1036809999999999</v>
      </c>
      <c r="L4167">
        <v>154.80940000000001</v>
      </c>
      <c r="M4167">
        <v>-0.33653699999999998</v>
      </c>
      <c r="N4167">
        <v>0</v>
      </c>
      <c r="O4167">
        <v>-0.94155679999999997</v>
      </c>
      <c r="P4167">
        <v>-0.53724830000000001</v>
      </c>
      <c r="Q4167">
        <v>1.1805029999999999E-2</v>
      </c>
      <c r="R4167">
        <v>-0.84334179999999903</v>
      </c>
      <c r="S4167">
        <v>-2.691681</v>
      </c>
      <c r="T4167">
        <v>-0.63071129999999997</v>
      </c>
      <c r="U4167">
        <v>-1.8633120000000001</v>
      </c>
      <c r="V4167">
        <v>0.2224344</v>
      </c>
      <c r="W4167">
        <v>2.26243E-2</v>
      </c>
      <c r="X4167">
        <v>0.97468509999999997</v>
      </c>
      <c r="Y4167">
        <v>0.56584480000000004</v>
      </c>
      <c r="Z4167">
        <v>0.19840559999999999</v>
      </c>
      <c r="AA4167">
        <v>0.80028429999999995</v>
      </c>
      <c r="AB4167">
        <v>22</v>
      </c>
      <c r="AC4167">
        <v>-4.6410000000000204</v>
      </c>
      <c r="AD4167">
        <v>-1.1036939293400001</v>
      </c>
      <c r="AE4167">
        <v>-3.09220000000002</v>
      </c>
      <c r="AF4167">
        <v>3.2039880208063098</v>
      </c>
      <c r="AG4167">
        <v>-1.1036939293400001</v>
      </c>
      <c r="AH4167">
        <v>4.30520289723946</v>
      </c>
      <c r="AI4167">
        <v>101.621417667115</v>
      </c>
      <c r="AJ4167">
        <v>53.3428972169785</v>
      </c>
      <c r="AK4167">
        <v>5.4789097011660397</v>
      </c>
      <c r="AL4167">
        <v>88.703612462505504</v>
      </c>
      <c r="AM4167">
        <v>77.144595573735998</v>
      </c>
      <c r="AN4167">
        <v>0.999999982707929</v>
      </c>
    </row>
    <row r="4168" spans="1:40" x14ac:dyDescent="0.25">
      <c r="A4168" t="str">
        <f>"20190312154918810"</f>
        <v>20190312154918810</v>
      </c>
      <c r="B4168" t="str">
        <f>"1552376958799604"</f>
        <v>1552376958799604</v>
      </c>
      <c r="C4168" t="s">
        <v>40</v>
      </c>
      <c r="D4168">
        <v>4.5568419999999996</v>
      </c>
      <c r="E4168">
        <v>0.66197989999999995</v>
      </c>
      <c r="F4168" t="s">
        <v>63</v>
      </c>
      <c r="G4168">
        <v>-199.3681</v>
      </c>
      <c r="H4168" s="1">
        <v>-1.289959E-5</v>
      </c>
      <c r="I4168">
        <v>151.5658</v>
      </c>
      <c r="J4168">
        <v>-194.67740000000001</v>
      </c>
      <c r="K4168">
        <v>1.1036969999999999</v>
      </c>
      <c r="L4168">
        <v>154.70320000000001</v>
      </c>
      <c r="M4168">
        <v>-0.34173229999999999</v>
      </c>
      <c r="N4168">
        <v>0</v>
      </c>
      <c r="O4168">
        <v>-0.93968370000000001</v>
      </c>
      <c r="P4168">
        <v>-0.54172089999999995</v>
      </c>
      <c r="Q4168">
        <v>1.190561E-2</v>
      </c>
      <c r="R4168">
        <v>-0.8404741</v>
      </c>
      <c r="S4168">
        <v>-2.6973720000000001</v>
      </c>
      <c r="T4168">
        <v>-0.62871829999999995</v>
      </c>
      <c r="U4168">
        <v>-1.8477170000000001</v>
      </c>
      <c r="V4168">
        <v>0.22223029999999999</v>
      </c>
      <c r="W4168">
        <v>2.2737279999999999E-2</v>
      </c>
      <c r="X4168">
        <v>0.97472910000000001</v>
      </c>
      <c r="Y4168">
        <v>0.56533619999999996</v>
      </c>
      <c r="Z4168">
        <v>0.1979813</v>
      </c>
      <c r="AA4168">
        <v>0.80074869999999898</v>
      </c>
      <c r="AB4168">
        <v>22</v>
      </c>
      <c r="AC4168">
        <v>-4.6906999999999899</v>
      </c>
      <c r="AD4168">
        <v>-1.1037098995900001</v>
      </c>
      <c r="AE4168">
        <v>-3.1374000000000102</v>
      </c>
      <c r="AF4168">
        <v>3.2130727722151899</v>
      </c>
      <c r="AG4168">
        <v>-1.1037098995900001</v>
      </c>
      <c r="AH4168">
        <v>4.3839191437247704</v>
      </c>
      <c r="AI4168">
        <v>101.47857722902501</v>
      </c>
      <c r="AJ4168">
        <v>53.761474180247603</v>
      </c>
      <c r="AK4168">
        <v>5.54623829642399</v>
      </c>
      <c r="AL4168">
        <v>88.697137612835107</v>
      </c>
      <c r="AM4168">
        <v>77.156560523131205</v>
      </c>
      <c r="AN4168">
        <v>1.00000005426334</v>
      </c>
    </row>
    <row r="4169" spans="1:40" x14ac:dyDescent="0.25">
      <c r="A4169" t="str">
        <f>"20190312154918821"</f>
        <v>20190312154918821</v>
      </c>
      <c r="B4169" t="str">
        <f>"1552376958810340"</f>
        <v>1552376958810340</v>
      </c>
      <c r="C4169" t="s">
        <v>40</v>
      </c>
      <c r="D4169">
        <v>4.4956569999999996</v>
      </c>
      <c r="E4169">
        <v>0.65404090000000004</v>
      </c>
      <c r="F4169" t="s">
        <v>63</v>
      </c>
      <c r="G4169">
        <v>-199.43049999999999</v>
      </c>
      <c r="H4169" s="1">
        <v>-1.288452E-5</v>
      </c>
      <c r="I4169">
        <v>151.48390000000001</v>
      </c>
      <c r="J4169">
        <v>-194.72309999999999</v>
      </c>
      <c r="K4169">
        <v>1.1037170000000001</v>
      </c>
      <c r="L4169">
        <v>154.5958</v>
      </c>
      <c r="M4169">
        <v>-0.34699099999999999</v>
      </c>
      <c r="N4169">
        <v>0</v>
      </c>
      <c r="O4169">
        <v>-0.93775459999999999</v>
      </c>
      <c r="P4169">
        <v>-0.54594730000000002</v>
      </c>
      <c r="Q4169">
        <v>1.1857309999999999E-2</v>
      </c>
      <c r="R4169">
        <v>-0.83773589999999998</v>
      </c>
      <c r="S4169">
        <v>-2.7071079999999998</v>
      </c>
      <c r="T4169">
        <v>-0.62861279999999997</v>
      </c>
      <c r="U4169">
        <v>-1.8335269999999999</v>
      </c>
      <c r="V4169">
        <v>0.22167709999999999</v>
      </c>
      <c r="W4169">
        <v>2.270724E-2</v>
      </c>
      <c r="X4169">
        <v>0.97485569999999999</v>
      </c>
      <c r="Y4169">
        <v>0.56498789999999999</v>
      </c>
      <c r="Z4169">
        <v>0.19788529999999999</v>
      </c>
      <c r="AA4169">
        <v>0.80101820000000001</v>
      </c>
      <c r="AB4169">
        <v>22</v>
      </c>
      <c r="AC4169">
        <v>-4.7073999999999998</v>
      </c>
      <c r="AD4169">
        <v>-1.1037298845200001</v>
      </c>
      <c r="AE4169">
        <v>-3.1118999999999901</v>
      </c>
      <c r="AF4169">
        <v>3.2120589565283599</v>
      </c>
      <c r="AG4169">
        <v>-1.1037298845200001</v>
      </c>
      <c r="AH4169">
        <v>4.3843794103749998</v>
      </c>
      <c r="AI4169">
        <v>101.479248246278</v>
      </c>
      <c r="AJ4169">
        <v>53.772962598257699</v>
      </c>
      <c r="AK4169">
        <v>5.5460188615183199</v>
      </c>
      <c r="AL4169">
        <v>88.698859146130701</v>
      </c>
      <c r="AM4169">
        <v>77.189084333340702</v>
      </c>
      <c r="AN4169">
        <v>0.99999999561765796</v>
      </c>
    </row>
    <row r="4170" spans="1:40" x14ac:dyDescent="0.25">
      <c r="A4170" t="str">
        <f>"20190312154918831"</f>
        <v>20190312154918831</v>
      </c>
      <c r="B4170" t="str">
        <f>"1552376958820100"</f>
        <v>1552376958820100</v>
      </c>
      <c r="C4170" t="s">
        <v>40</v>
      </c>
      <c r="D4170">
        <v>4.4858229999999999</v>
      </c>
      <c r="E4170">
        <v>0.65300630000000004</v>
      </c>
      <c r="F4170" t="s">
        <v>63</v>
      </c>
      <c r="G4170">
        <v>-199.72649999999999</v>
      </c>
      <c r="H4170" s="1">
        <v>-1.2817459999999999E-5</v>
      </c>
      <c r="I4170">
        <v>151.113</v>
      </c>
      <c r="J4170">
        <v>-194.76349999999999</v>
      </c>
      <c r="K4170">
        <v>1.1037319999999999</v>
      </c>
      <c r="L4170">
        <v>154.50229999999999</v>
      </c>
      <c r="M4170">
        <v>-0.35156769999999998</v>
      </c>
      <c r="N4170">
        <v>0</v>
      </c>
      <c r="O4170">
        <v>-0.93604830000000006</v>
      </c>
      <c r="P4170">
        <v>-0.54957199999999995</v>
      </c>
      <c r="Q4170">
        <v>1.212309E-2</v>
      </c>
      <c r="R4170">
        <v>-0.83535859999999995</v>
      </c>
      <c r="S4170">
        <v>-2.6632229999999999</v>
      </c>
      <c r="T4170">
        <v>-0.58749099999999999</v>
      </c>
      <c r="U4170">
        <v>-1.853775</v>
      </c>
      <c r="V4170">
        <v>0.2211437</v>
      </c>
      <c r="W4170">
        <v>2.2989929999999999E-2</v>
      </c>
      <c r="X4170">
        <v>0.97497020000000001</v>
      </c>
      <c r="Y4170">
        <v>0.55262169999999999</v>
      </c>
      <c r="Z4170">
        <v>0.1861023</v>
      </c>
      <c r="AA4170">
        <v>0.81238849999999996</v>
      </c>
      <c r="AB4170">
        <v>22</v>
      </c>
      <c r="AC4170">
        <v>-4.9629999999999903</v>
      </c>
      <c r="AD4170">
        <v>-1.10374481746</v>
      </c>
      <c r="AE4170">
        <v>-3.3892999999999902</v>
      </c>
      <c r="AF4170">
        <v>3.3416960326625298</v>
      </c>
      <c r="AG4170">
        <v>-1.10374481746</v>
      </c>
      <c r="AH4170">
        <v>4.7574403264612499</v>
      </c>
      <c r="AI4170">
        <v>100.74963877793201</v>
      </c>
      <c r="AJ4170">
        <v>54.915231222827003</v>
      </c>
      <c r="AK4170">
        <v>5.9176366445247499</v>
      </c>
      <c r="AL4170">
        <v>88.682657954506794</v>
      </c>
      <c r="AM4170">
        <v>77.220348060307899</v>
      </c>
      <c r="AN4170">
        <v>0.99999998190956696</v>
      </c>
    </row>
    <row r="4171" spans="1:40" x14ac:dyDescent="0.25">
      <c r="A4171" t="str">
        <f>"20190312154918843"</f>
        <v>20190312154918843</v>
      </c>
      <c r="B4171" t="str">
        <f>"1552376958839620"</f>
        <v>1552376958839620</v>
      </c>
      <c r="C4171" t="s">
        <v>40</v>
      </c>
      <c r="D4171">
        <v>4.5140909999999996</v>
      </c>
      <c r="E4171">
        <v>0.65172010000000002</v>
      </c>
      <c r="F4171" t="s">
        <v>63</v>
      </c>
      <c r="G4171">
        <v>-199.67490000000001</v>
      </c>
      <c r="H4171" s="1">
        <v>-1.2808839999999999E-5</v>
      </c>
      <c r="I4171">
        <v>151.09700000000001</v>
      </c>
      <c r="J4171">
        <v>-194.81229999999999</v>
      </c>
      <c r="K4171">
        <v>1.103748</v>
      </c>
      <c r="L4171">
        <v>154.3904</v>
      </c>
      <c r="M4171">
        <v>-0.35704590000000003</v>
      </c>
      <c r="N4171">
        <v>0</v>
      </c>
      <c r="O4171">
        <v>-0.93397249999999998</v>
      </c>
      <c r="P4171">
        <v>-0.55422709999999997</v>
      </c>
      <c r="Q4171">
        <v>1.261927E-2</v>
      </c>
      <c r="R4171">
        <v>-0.83226999999999995</v>
      </c>
      <c r="S4171">
        <v>-2.6642000000000001</v>
      </c>
      <c r="T4171">
        <v>-0.59872650000000005</v>
      </c>
      <c r="U4171">
        <v>-1.8472139999999999</v>
      </c>
      <c r="V4171">
        <v>0.22088389999999999</v>
      </c>
      <c r="W4171">
        <v>2.3498580000000002E-2</v>
      </c>
      <c r="X4171">
        <v>0.97501700000000002</v>
      </c>
      <c r="Y4171">
        <v>0.54869880000000004</v>
      </c>
      <c r="Z4171">
        <v>0.18949289999999999</v>
      </c>
      <c r="AA4171">
        <v>0.81426169999999998</v>
      </c>
      <c r="AB4171">
        <v>22</v>
      </c>
      <c r="AC4171">
        <v>-4.8626000000000102</v>
      </c>
      <c r="AD4171">
        <v>-1.1037608088399999</v>
      </c>
      <c r="AE4171">
        <v>-3.2933999999999899</v>
      </c>
      <c r="AF4171">
        <v>3.25116313198175</v>
      </c>
      <c r="AG4171">
        <v>-1.1037608088399999</v>
      </c>
      <c r="AH4171">
        <v>4.6484403705082897</v>
      </c>
      <c r="AI4171">
        <v>101.01094642639301</v>
      </c>
      <c r="AJ4171">
        <v>55.030694767086999</v>
      </c>
      <c r="AK4171">
        <v>5.7789573031871297</v>
      </c>
      <c r="AL4171">
        <v>88.653506624297506</v>
      </c>
      <c r="AM4171">
        <v>77.235462075489906</v>
      </c>
      <c r="AN4171">
        <v>1.0000000154151101</v>
      </c>
    </row>
    <row r="4172" spans="1:40" x14ac:dyDescent="0.25">
      <c r="A4172" t="str">
        <f>"20190312154918856"</f>
        <v>20190312154918856</v>
      </c>
      <c r="B4172" t="str">
        <f>"1552376958850356"</f>
        <v>1552376958850356</v>
      </c>
      <c r="C4172" t="s">
        <v>40</v>
      </c>
      <c r="D4172">
        <v>4.4879550000000004</v>
      </c>
      <c r="E4172">
        <v>0.65121229999999997</v>
      </c>
      <c r="F4172" t="s">
        <v>63</v>
      </c>
      <c r="G4172">
        <v>-199.63159999999999</v>
      </c>
      <c r="H4172" s="1">
        <v>-1.279751E-5</v>
      </c>
      <c r="I4172">
        <v>151.06720000000001</v>
      </c>
      <c r="J4172">
        <v>-194.86089999999999</v>
      </c>
      <c r="K4172">
        <v>1.103764</v>
      </c>
      <c r="L4172">
        <v>154.2816</v>
      </c>
      <c r="M4172">
        <v>-0.36237370000000002</v>
      </c>
      <c r="N4172">
        <v>0</v>
      </c>
      <c r="O4172">
        <v>-0.93191840000000004</v>
      </c>
      <c r="P4172">
        <v>-0.5586198</v>
      </c>
      <c r="Q4172">
        <v>1.286635E-2</v>
      </c>
      <c r="R4172">
        <v>-0.82932469999999903</v>
      </c>
      <c r="S4172">
        <v>-2.6661069999999998</v>
      </c>
      <c r="T4172">
        <v>-0.61062659999999902</v>
      </c>
      <c r="U4172">
        <v>-1.838425</v>
      </c>
      <c r="V4172">
        <v>0.22047510000000001</v>
      </c>
      <c r="W4172">
        <v>2.3759820000000001E-2</v>
      </c>
      <c r="X4172">
        <v>0.97510319999999995</v>
      </c>
      <c r="Y4172">
        <v>0.54543299999999995</v>
      </c>
      <c r="Z4172">
        <v>0.1931282</v>
      </c>
      <c r="AA4172">
        <v>0.81560059999999901</v>
      </c>
      <c r="AB4172">
        <v>22</v>
      </c>
      <c r="AC4172">
        <v>-4.7706999999999997</v>
      </c>
      <c r="AD4172">
        <v>-1.1037767975099999</v>
      </c>
      <c r="AE4172">
        <v>-3.2143999999999799</v>
      </c>
      <c r="AF4172">
        <v>3.1649186196777701</v>
      </c>
      <c r="AG4172">
        <v>-1.1037767975099999</v>
      </c>
      <c r="AH4172">
        <v>4.55706458999473</v>
      </c>
      <c r="AI4172">
        <v>101.25151825326699</v>
      </c>
      <c r="AJ4172">
        <v>55.219705166039503</v>
      </c>
      <c r="AK4172">
        <v>5.6570196009284199</v>
      </c>
      <c r="AL4172">
        <v>88.638534507354294</v>
      </c>
      <c r="AM4172">
        <v>77.259403715822401</v>
      </c>
      <c r="AN4172">
        <v>1.00000002470834</v>
      </c>
    </row>
    <row r="4173" spans="1:40" x14ac:dyDescent="0.25">
      <c r="A4173" t="str">
        <f>"20190312154918875"</f>
        <v>20190312154918875</v>
      </c>
      <c r="B4173" t="str">
        <f>"1552376958869877"</f>
        <v>1552376958869877</v>
      </c>
      <c r="C4173" t="s">
        <v>40</v>
      </c>
      <c r="D4173">
        <v>4.4752320000000001</v>
      </c>
      <c r="E4173">
        <v>0.65005179999999996</v>
      </c>
      <c r="F4173" t="s">
        <v>63</v>
      </c>
      <c r="G4173">
        <v>-199.68860000000001</v>
      </c>
      <c r="H4173" s="1">
        <v>-1.2780989999999999E-5</v>
      </c>
      <c r="I4173">
        <v>150.98150000000001</v>
      </c>
      <c r="J4173">
        <v>-194.94380000000001</v>
      </c>
      <c r="K4173">
        <v>1.1037859999999999</v>
      </c>
      <c r="L4173">
        <v>154.09909999999999</v>
      </c>
      <c r="M4173">
        <v>-0.37131350000000002</v>
      </c>
      <c r="N4173">
        <v>0</v>
      </c>
      <c r="O4173">
        <v>-0.92839249999999995</v>
      </c>
      <c r="P4173">
        <v>-0.56588130000000003</v>
      </c>
      <c r="Q4173">
        <v>1.401312E-2</v>
      </c>
      <c r="R4173">
        <v>-0.82436749999999903</v>
      </c>
      <c r="S4173">
        <v>-2.6723629999999998</v>
      </c>
      <c r="T4173">
        <v>-0.61099349999999997</v>
      </c>
      <c r="U4173">
        <v>-1.8267819999999999</v>
      </c>
      <c r="V4173">
        <v>0.21968979999999999</v>
      </c>
      <c r="W4173">
        <v>2.493105E-2</v>
      </c>
      <c r="X4173">
        <v>0.97525119999999998</v>
      </c>
      <c r="Y4173">
        <v>0.54075439999999997</v>
      </c>
      <c r="Z4173">
        <v>0.19296640000000001</v>
      </c>
      <c r="AA4173">
        <v>0.81874820000000004</v>
      </c>
      <c r="AB4173">
        <v>22</v>
      </c>
      <c r="AC4173">
        <v>-4.7447999999999899</v>
      </c>
      <c r="AD4173">
        <v>-1.1037987809899901</v>
      </c>
      <c r="AE4173">
        <v>-3.1175999999999799</v>
      </c>
      <c r="AF4173">
        <v>3.1294840668628598</v>
      </c>
      <c r="AG4173">
        <v>-1.1037987809899901</v>
      </c>
      <c r="AH4173">
        <v>4.4870542104839304</v>
      </c>
      <c r="AI4173">
        <v>101.40739580785301</v>
      </c>
      <c r="AJ4173">
        <v>55.106256011668599</v>
      </c>
      <c r="AK4173">
        <v>5.5808330705625897</v>
      </c>
      <c r="AL4173">
        <v>88.571408087146196</v>
      </c>
      <c r="AM4173">
        <v>77.305174601118097</v>
      </c>
      <c r="AN4173">
        <v>1.0000000342897899</v>
      </c>
    </row>
    <row r="4174" spans="1:40" x14ac:dyDescent="0.25">
      <c r="A4174" t="str">
        <f>"20190312154918888"</f>
        <v>20190312154918888</v>
      </c>
      <c r="B4174" t="str">
        <f>"1552376958879637"</f>
        <v>1552376958879637</v>
      </c>
      <c r="C4174" t="s">
        <v>40</v>
      </c>
      <c r="D4174">
        <v>4.4859339999999897</v>
      </c>
      <c r="E4174">
        <v>0.64967489999999894</v>
      </c>
      <c r="F4174" t="s">
        <v>63</v>
      </c>
      <c r="G4174">
        <v>-199.792</v>
      </c>
      <c r="H4174" s="1">
        <v>-1.275157E-5</v>
      </c>
      <c r="I4174">
        <v>150.82810000000001</v>
      </c>
      <c r="J4174">
        <v>-194.99270000000001</v>
      </c>
      <c r="K4174">
        <v>1.103799</v>
      </c>
      <c r="L4174">
        <v>153.99340000000001</v>
      </c>
      <c r="M4174">
        <v>-0.3764904</v>
      </c>
      <c r="N4174">
        <v>0</v>
      </c>
      <c r="O4174">
        <v>-0.92630520000000005</v>
      </c>
      <c r="P4174">
        <v>-0.57000200000000001</v>
      </c>
      <c r="Q4174">
        <v>1.4036989999999999E-2</v>
      </c>
      <c r="R4174">
        <v>-0.82152349999999996</v>
      </c>
      <c r="S4174">
        <v>-2.6812589999999998</v>
      </c>
      <c r="T4174">
        <v>-0.61044500000000002</v>
      </c>
      <c r="U4174">
        <v>-1.808975</v>
      </c>
      <c r="V4174">
        <v>0.2191284</v>
      </c>
      <c r="W4174">
        <v>2.4970630000000001E-2</v>
      </c>
      <c r="X4174">
        <v>0.97537640000000003</v>
      </c>
      <c r="Y4174">
        <v>0.54109969999999996</v>
      </c>
      <c r="Z4174">
        <v>0.19287299999999999</v>
      </c>
      <c r="AA4174">
        <v>0.81854209999999905</v>
      </c>
      <c r="AB4174">
        <v>22</v>
      </c>
      <c r="AC4174">
        <v>-4.7992999999999801</v>
      </c>
      <c r="AD4174">
        <v>-1.1038117515700001</v>
      </c>
      <c r="AE4174">
        <v>-3.1652999999999998</v>
      </c>
      <c r="AF4174">
        <v>3.1385632766076301</v>
      </c>
      <c r="AG4174">
        <v>-1.1038117515700001</v>
      </c>
      <c r="AH4174">
        <v>4.5709336667077496</v>
      </c>
      <c r="AI4174">
        <v>101.258912813778</v>
      </c>
      <c r="AJ4174">
        <v>55.525142625059203</v>
      </c>
      <c r="AK4174">
        <v>5.6535311451885004</v>
      </c>
      <c r="AL4174">
        <v>88.569139500375996</v>
      </c>
      <c r="AM4174">
        <v>77.3381408404219</v>
      </c>
      <c r="AN4174">
        <v>0.99999995486305704</v>
      </c>
    </row>
    <row r="4175" spans="1:40" x14ac:dyDescent="0.25">
      <c r="A4175" t="str">
        <f>"20190312154918899"</f>
        <v>20190312154918899</v>
      </c>
      <c r="B4175" t="str">
        <f>"1552376958889397"</f>
        <v>1552376958889397</v>
      </c>
      <c r="C4175" t="s">
        <v>40</v>
      </c>
      <c r="D4175">
        <v>4.5213910000000004</v>
      </c>
      <c r="E4175">
        <v>0.64931380000000005</v>
      </c>
      <c r="F4175" t="s">
        <v>63</v>
      </c>
      <c r="G4175">
        <v>-199.84020000000001</v>
      </c>
      <c r="H4175" s="1">
        <v>-1.273658E-5</v>
      </c>
      <c r="I4175">
        <v>150.7516</v>
      </c>
      <c r="J4175">
        <v>-195.03919999999999</v>
      </c>
      <c r="K4175">
        <v>1.10381</v>
      </c>
      <c r="L4175">
        <v>153.89449999999999</v>
      </c>
      <c r="M4175">
        <v>-0.38133719999999999</v>
      </c>
      <c r="N4175">
        <v>0</v>
      </c>
      <c r="O4175">
        <v>-0.92432049999999999</v>
      </c>
      <c r="P4175">
        <v>-0.57392209999999999</v>
      </c>
      <c r="Q4175">
        <v>1.4293139999999999E-2</v>
      </c>
      <c r="R4175">
        <v>-0.81878530000000005</v>
      </c>
      <c r="S4175">
        <v>-2.6876980000000001</v>
      </c>
      <c r="T4175">
        <v>-0.61200359999999998</v>
      </c>
      <c r="U4175">
        <v>-1.797409</v>
      </c>
      <c r="V4175">
        <v>0.2186862</v>
      </c>
      <c r="W4175">
        <v>2.5239000000000001E-2</v>
      </c>
      <c r="X4175">
        <v>0.97546880000000002</v>
      </c>
      <c r="Y4175">
        <v>0.53999339999999996</v>
      </c>
      <c r="Z4175">
        <v>0.1932693</v>
      </c>
      <c r="AA4175">
        <v>0.81917890000000004</v>
      </c>
      <c r="AB4175">
        <v>22</v>
      </c>
      <c r="AC4175">
        <v>-4.8010000000000099</v>
      </c>
      <c r="AD4175">
        <v>-1.10382273658</v>
      </c>
      <c r="AE4175">
        <v>-3.1428999999999898</v>
      </c>
      <c r="AF4175">
        <v>3.1239088875000798</v>
      </c>
      <c r="AG4175">
        <v>-1.10382273658</v>
      </c>
      <c r="AH4175">
        <v>4.5673455076202396</v>
      </c>
      <c r="AI4175">
        <v>101.281313889141</v>
      </c>
      <c r="AJ4175">
        <v>55.629200527701599</v>
      </c>
      <c r="AK4175">
        <v>5.6425062124176399</v>
      </c>
      <c r="AL4175">
        <v>88.553758278394199</v>
      </c>
      <c r="AM4175">
        <v>77.364029578472994</v>
      </c>
      <c r="AN4175">
        <v>1.00000002048243</v>
      </c>
    </row>
    <row r="4176" spans="1:40" x14ac:dyDescent="0.25">
      <c r="A4176" t="str">
        <f>"20190312154918910"</f>
        <v>20190312154918910</v>
      </c>
      <c r="B4176" t="str">
        <f>"1552376958900133"</f>
        <v>1552376958900133</v>
      </c>
      <c r="C4176" t="s">
        <v>40</v>
      </c>
      <c r="D4176">
        <v>4.5020379999999998</v>
      </c>
      <c r="E4176">
        <v>0.64906519999999901</v>
      </c>
      <c r="F4176" t="s">
        <v>63</v>
      </c>
      <c r="G4176">
        <v>-199.88759999999999</v>
      </c>
      <c r="H4176" s="1">
        <v>-1.2722620000000001E-5</v>
      </c>
      <c r="I4176">
        <v>150.67939999999999</v>
      </c>
      <c r="J4176">
        <v>-195.0874</v>
      </c>
      <c r="K4176">
        <v>1.1038220000000001</v>
      </c>
      <c r="L4176">
        <v>153.79339999999999</v>
      </c>
      <c r="M4176">
        <v>-0.3862932</v>
      </c>
      <c r="N4176">
        <v>0</v>
      </c>
      <c r="O4176">
        <v>-0.92226030000000003</v>
      </c>
      <c r="P4176">
        <v>-0.57814149999999997</v>
      </c>
      <c r="Q4176">
        <v>1.422671E-2</v>
      </c>
      <c r="R4176">
        <v>-0.8158126</v>
      </c>
      <c r="S4176">
        <v>-2.693924</v>
      </c>
      <c r="T4176">
        <v>-0.61331159999999996</v>
      </c>
      <c r="U4176">
        <v>-1.7864070000000001</v>
      </c>
      <c r="V4176">
        <v>0.21848380000000001</v>
      </c>
      <c r="W4176">
        <v>2.5180839999999999E-2</v>
      </c>
      <c r="X4176">
        <v>0.97551569999999999</v>
      </c>
      <c r="Y4176">
        <v>0.53864749999999995</v>
      </c>
      <c r="Z4176">
        <v>0.19355700000000001</v>
      </c>
      <c r="AA4176">
        <v>0.81999669999999902</v>
      </c>
      <c r="AB4176">
        <v>22</v>
      </c>
      <c r="AC4176">
        <v>-4.8001999999999896</v>
      </c>
      <c r="AD4176">
        <v>-1.10383472261999</v>
      </c>
      <c r="AE4176">
        <v>-3.1139999999999999</v>
      </c>
      <c r="AF4176">
        <v>3.1087616671321201</v>
      </c>
      <c r="AG4176">
        <v>-1.10383472261999</v>
      </c>
      <c r="AH4176">
        <v>4.5571050684229597</v>
      </c>
      <c r="AI4176">
        <v>101.315302697501</v>
      </c>
      <c r="AJ4176">
        <v>55.699010214025897</v>
      </c>
      <c r="AK4176">
        <v>5.6258383199784401</v>
      </c>
      <c r="AL4176">
        <v>88.557091722011407</v>
      </c>
      <c r="AM4176">
        <v>77.375936978293694</v>
      </c>
      <c r="AN4176">
        <v>1.00000006325601</v>
      </c>
    </row>
    <row r="4177" spans="1:40" x14ac:dyDescent="0.25">
      <c r="A4177" t="str">
        <f>"20190312154918923"</f>
        <v>20190312154918923</v>
      </c>
      <c r="B4177" t="str">
        <f>"1552376958919653"</f>
        <v>1552376958919653</v>
      </c>
      <c r="C4177" t="s">
        <v>40</v>
      </c>
      <c r="D4177">
        <v>4.5066600000000001</v>
      </c>
      <c r="E4177">
        <v>0.64862229999999998</v>
      </c>
      <c r="F4177" t="s">
        <v>63</v>
      </c>
      <c r="G4177">
        <v>-199.9307</v>
      </c>
      <c r="H4177" s="1">
        <v>-1.2709980000000001E-5</v>
      </c>
      <c r="I4177">
        <v>150.6139</v>
      </c>
      <c r="J4177">
        <v>-195.14519999999999</v>
      </c>
      <c r="K4177">
        <v>1.1038349999999999</v>
      </c>
      <c r="L4177">
        <v>153.67339999999999</v>
      </c>
      <c r="M4177">
        <v>-0.39217049999999998</v>
      </c>
      <c r="N4177">
        <v>0</v>
      </c>
      <c r="O4177">
        <v>-0.9197765</v>
      </c>
      <c r="P4177">
        <v>-0.5831307</v>
      </c>
      <c r="Q4177">
        <v>1.4305740000000001E-2</v>
      </c>
      <c r="R4177">
        <v>-0.81225259999999999</v>
      </c>
      <c r="S4177">
        <v>-2.7015989999999999</v>
      </c>
      <c r="T4177">
        <v>-0.61571039999999999</v>
      </c>
      <c r="U4177">
        <v>-1.7734829999999999</v>
      </c>
      <c r="V4177">
        <v>0.2182386</v>
      </c>
      <c r="W4177">
        <v>2.5269030000000001E-2</v>
      </c>
      <c r="X4177">
        <v>0.9755682</v>
      </c>
      <c r="Y4177">
        <v>0.53701309999999902</v>
      </c>
      <c r="Z4177">
        <v>0.19412360000000001</v>
      </c>
      <c r="AA4177">
        <v>0.82093419999999895</v>
      </c>
      <c r="AB4177">
        <v>22</v>
      </c>
      <c r="AC4177">
        <v>-4.7855000000000096</v>
      </c>
      <c r="AD4177">
        <v>-1.1038477099799999</v>
      </c>
      <c r="AE4177">
        <v>-3.0594999999999799</v>
      </c>
      <c r="AF4177">
        <v>3.0855491572746199</v>
      </c>
      <c r="AG4177">
        <v>-1.1038477099799999</v>
      </c>
      <c r="AH4177">
        <v>4.52055309905231</v>
      </c>
      <c r="AI4177">
        <v>101.40256758250599</v>
      </c>
      <c r="AJ4177">
        <v>55.684114510826703</v>
      </c>
      <c r="AK4177">
        <v>5.5834123697016702</v>
      </c>
      <c r="AL4177">
        <v>88.552037052005502</v>
      </c>
      <c r="AM4177">
        <v>77.390308275052206</v>
      </c>
      <c r="AN4177">
        <v>0.99999996162916904</v>
      </c>
    </row>
    <row r="4178" spans="1:40" x14ac:dyDescent="0.25">
      <c r="A4178" t="str">
        <f>"20190312154918938"</f>
        <v>20190312154918938</v>
      </c>
      <c r="B4178" t="str">
        <f>"1552376958930389"</f>
        <v>1552376958930389</v>
      </c>
      <c r="C4178" t="s">
        <v>40</v>
      </c>
      <c r="D4178">
        <v>4.5116449999999997</v>
      </c>
      <c r="E4178">
        <v>0.64862229999999998</v>
      </c>
      <c r="F4178" t="s">
        <v>63</v>
      </c>
      <c r="G4178">
        <v>-199.9958</v>
      </c>
      <c r="H4178" s="1">
        <v>-1.26713E-5</v>
      </c>
      <c r="I4178">
        <v>150.52440000000001</v>
      </c>
      <c r="J4178">
        <v>-195.20570000000001</v>
      </c>
      <c r="K4178">
        <v>1.103847</v>
      </c>
      <c r="L4178">
        <v>153.55080000000001</v>
      </c>
      <c r="M4178">
        <v>-0.3981883</v>
      </c>
      <c r="N4178">
        <v>0</v>
      </c>
      <c r="O4178">
        <v>-0.91718750000000004</v>
      </c>
      <c r="P4178">
        <v>-0.58805229999999997</v>
      </c>
      <c r="Q4178">
        <v>1.412131E-2</v>
      </c>
      <c r="R4178">
        <v>-0.80869990000000003</v>
      </c>
      <c r="S4178">
        <v>-2.709549</v>
      </c>
      <c r="T4178">
        <v>-0.61660839999999995</v>
      </c>
      <c r="U4178">
        <v>-1.759064</v>
      </c>
      <c r="V4178">
        <v>0.21776590000000001</v>
      </c>
      <c r="W4178">
        <v>2.5097899999999999E-2</v>
      </c>
      <c r="X4178">
        <v>0.9756783</v>
      </c>
      <c r="Y4178">
        <v>0.53566639999999999</v>
      </c>
      <c r="Z4178">
        <v>0.19426019999999999</v>
      </c>
      <c r="AA4178">
        <v>0.82178130000000005</v>
      </c>
      <c r="AB4178">
        <v>22</v>
      </c>
      <c r="AC4178">
        <v>-4.79009999999999</v>
      </c>
      <c r="AD4178">
        <v>-1.1038596713</v>
      </c>
      <c r="AE4178">
        <v>-3.02639999999999</v>
      </c>
      <c r="AF4178">
        <v>3.0720824362816099</v>
      </c>
      <c r="AG4178">
        <v>-1.1038596713</v>
      </c>
      <c r="AH4178">
        <v>4.5123711914975004</v>
      </c>
      <c r="AI4178">
        <v>101.431866045858</v>
      </c>
      <c r="AJ4178">
        <v>55.752444413953199</v>
      </c>
      <c r="AK4178">
        <v>5.5693527845782098</v>
      </c>
      <c r="AL4178">
        <v>88.561845271548293</v>
      </c>
      <c r="AM4178">
        <v>77.418124636292205</v>
      </c>
      <c r="AN4178">
        <v>1.0000000184390501</v>
      </c>
    </row>
    <row r="4179" spans="1:40" x14ac:dyDescent="0.25">
      <c r="A4179" t="str">
        <f>"20190312154918957"</f>
        <v>20190312154918957</v>
      </c>
      <c r="B4179" t="str">
        <f>"1552376958949908"</f>
        <v>1552376958949908</v>
      </c>
      <c r="C4179" t="s">
        <v>40</v>
      </c>
      <c r="D4179">
        <v>4.4454310000000001</v>
      </c>
      <c r="E4179">
        <v>0.67271320000000001</v>
      </c>
      <c r="F4179" t="s">
        <v>63</v>
      </c>
      <c r="G4179">
        <v>-200.07259999999999</v>
      </c>
      <c r="H4179" s="1">
        <v>-1.2610890000000001E-5</v>
      </c>
      <c r="I4179">
        <v>150.43299999999999</v>
      </c>
      <c r="J4179">
        <v>-195.28649999999999</v>
      </c>
      <c r="K4179">
        <v>1.1038650000000001</v>
      </c>
      <c r="L4179">
        <v>153.3896</v>
      </c>
      <c r="M4179">
        <v>-0.40610489999999999</v>
      </c>
      <c r="N4179">
        <v>0</v>
      </c>
      <c r="O4179">
        <v>-0.91370969999999996</v>
      </c>
      <c r="P4179">
        <v>-0.59451779999999999</v>
      </c>
      <c r="Q4179">
        <v>1.297153E-2</v>
      </c>
      <c r="R4179">
        <v>-0.80397790000000002</v>
      </c>
      <c r="S4179">
        <v>-2.720062</v>
      </c>
      <c r="T4179">
        <v>-0.61693069999999905</v>
      </c>
      <c r="U4179">
        <v>-1.7425079999999999</v>
      </c>
      <c r="V4179">
        <v>0.2171255</v>
      </c>
      <c r="W4179">
        <v>2.3965750000000001E-2</v>
      </c>
      <c r="X4179">
        <v>0.97584939999999998</v>
      </c>
      <c r="Y4179">
        <v>0.53342869999999998</v>
      </c>
      <c r="Z4179">
        <v>0.1940508</v>
      </c>
      <c r="AA4179">
        <v>0.82328500000000004</v>
      </c>
      <c r="AB4179">
        <v>22</v>
      </c>
      <c r="AC4179">
        <v>-4.7861000000000002</v>
      </c>
      <c r="AD4179">
        <v>-1.1038776108899999</v>
      </c>
      <c r="AE4179">
        <v>-2.9565999999999999</v>
      </c>
      <c r="AF4179">
        <v>3.0551239583357699</v>
      </c>
      <c r="AG4179">
        <v>-1.1038776108899999</v>
      </c>
      <c r="AH4179">
        <v>4.4733903998927698</v>
      </c>
      <c r="AI4179">
        <v>101.517829140045</v>
      </c>
      <c r="AJ4179">
        <v>55.6686854508186</v>
      </c>
      <c r="AK4179">
        <v>5.5284310478176604</v>
      </c>
      <c r="AL4179">
        <v>88.626732118452495</v>
      </c>
      <c r="AM4179">
        <v>77.456082122080403</v>
      </c>
      <c r="AN4179">
        <v>0.99999994570183404</v>
      </c>
    </row>
    <row r="4180" spans="1:40" x14ac:dyDescent="0.25">
      <c r="A4180" t="str">
        <f>"20190312154918968"</f>
        <v>20190312154918968</v>
      </c>
      <c r="B4180" t="str">
        <f>"1552376958960061"</f>
        <v>1552376958960061</v>
      </c>
      <c r="C4180" t="s">
        <v>40</v>
      </c>
      <c r="D4180">
        <v>4.4601509999999998</v>
      </c>
      <c r="E4180">
        <v>0.67689299999999997</v>
      </c>
      <c r="F4180" t="s">
        <v>63</v>
      </c>
      <c r="G4180">
        <v>-201.10419999999999</v>
      </c>
      <c r="H4180" s="1">
        <v>-1.20657E-5</v>
      </c>
      <c r="I4180">
        <v>150.15889999999999</v>
      </c>
      <c r="J4180">
        <v>-195.34280000000001</v>
      </c>
      <c r="K4180">
        <v>1.103874</v>
      </c>
      <c r="L4180">
        <v>153.279</v>
      </c>
      <c r="M4180">
        <v>-0.41153109999999998</v>
      </c>
      <c r="N4180">
        <v>0</v>
      </c>
      <c r="O4180">
        <v>-0.9112787</v>
      </c>
      <c r="P4180">
        <v>-0.59878889999999996</v>
      </c>
      <c r="Q4180">
        <v>1.303348E-2</v>
      </c>
      <c r="R4180">
        <v>-0.80080099999999999</v>
      </c>
      <c r="S4180">
        <v>-2.8887179999999999</v>
      </c>
      <c r="T4180">
        <v>-0.54812090000000002</v>
      </c>
      <c r="U4180">
        <v>-1.6041559999999999</v>
      </c>
      <c r="V4180">
        <v>0.2165175</v>
      </c>
      <c r="W4180">
        <v>2.4042500000000001E-2</v>
      </c>
      <c r="X4180">
        <v>0.97598269999999998</v>
      </c>
      <c r="Y4180">
        <v>0.58329819999999999</v>
      </c>
      <c r="Z4180">
        <v>0.17128560000000001</v>
      </c>
      <c r="AA4180">
        <v>0.7939927</v>
      </c>
      <c r="AB4180">
        <v>22</v>
      </c>
      <c r="AC4180">
        <v>-5.7613999999999796</v>
      </c>
      <c r="AD4180">
        <v>-1.1038860657</v>
      </c>
      <c r="AE4180">
        <v>-3.1200999999999999</v>
      </c>
      <c r="AF4180">
        <v>3.8571576772666898</v>
      </c>
      <c r="AG4180">
        <v>-1.1038860657</v>
      </c>
      <c r="AH4180">
        <v>5.0708911067020903</v>
      </c>
      <c r="AI4180">
        <v>99.829658887929796</v>
      </c>
      <c r="AJ4180">
        <v>52.741678469793698</v>
      </c>
      <c r="AK4180">
        <v>6.4660781320189997</v>
      </c>
      <c r="AL4180">
        <v>88.622333543616307</v>
      </c>
      <c r="AM4180">
        <v>77.491755509129305</v>
      </c>
      <c r="AN4180">
        <v>1.0000000501558901</v>
      </c>
    </row>
    <row r="4181" spans="1:40" x14ac:dyDescent="0.25">
      <c r="A4181" t="str">
        <f>"20190312154918981"</f>
        <v>20190312154918981</v>
      </c>
      <c r="B4181" t="str">
        <f>"1552376958969820"</f>
        <v>1552376958969820</v>
      </c>
      <c r="C4181" t="s">
        <v>40</v>
      </c>
      <c r="D4181">
        <v>4.4634460000000002</v>
      </c>
      <c r="E4181">
        <v>0.67956070000000002</v>
      </c>
      <c r="F4181" t="s">
        <v>63</v>
      </c>
      <c r="G4181">
        <v>-201.39400000000001</v>
      </c>
      <c r="H4181" s="1">
        <v>-1.191122E-5</v>
      </c>
      <c r="I4181">
        <v>150.03399999999999</v>
      </c>
      <c r="J4181">
        <v>-195.3997</v>
      </c>
      <c r="K4181">
        <v>1.103885</v>
      </c>
      <c r="L4181">
        <v>153.16909999999999</v>
      </c>
      <c r="M4181">
        <v>-0.41693239999999998</v>
      </c>
      <c r="N4181">
        <v>0</v>
      </c>
      <c r="O4181">
        <v>-0.90882019999999997</v>
      </c>
      <c r="P4181">
        <v>-0.60312889999999997</v>
      </c>
      <c r="Q4181">
        <v>1.281887E-2</v>
      </c>
      <c r="R4181">
        <v>-0.79754080000000005</v>
      </c>
      <c r="S4181">
        <v>-2.9244690000000002</v>
      </c>
      <c r="T4181">
        <v>-0.53348989999999996</v>
      </c>
      <c r="U4181">
        <v>-1.5682370000000001</v>
      </c>
      <c r="V4181">
        <v>0.21601970000000001</v>
      </c>
      <c r="W4181">
        <v>2.3840380000000001E-2</v>
      </c>
      <c r="X4181">
        <v>0.97609789999999996</v>
      </c>
      <c r="Y4181">
        <v>0.59095659999999905</v>
      </c>
      <c r="Z4181">
        <v>0.16635739999999999</v>
      </c>
      <c r="AA4181">
        <v>0.78936399999999995</v>
      </c>
      <c r="AB4181">
        <v>22</v>
      </c>
      <c r="AC4181">
        <v>-5.9943000000000097</v>
      </c>
      <c r="AD4181">
        <v>-1.1038969112200001</v>
      </c>
      <c r="AE4181">
        <v>-3.1350999999999898</v>
      </c>
      <c r="AF4181">
        <v>4.0336429174549702</v>
      </c>
      <c r="AG4181">
        <v>-1.1038969112200001</v>
      </c>
      <c r="AH4181">
        <v>5.2102820830476198</v>
      </c>
      <c r="AI4181">
        <v>99.510539596294706</v>
      </c>
      <c r="AJ4181">
        <v>52.254046211009502</v>
      </c>
      <c r="AK4181">
        <v>6.6810106242291498</v>
      </c>
      <c r="AL4181">
        <v>88.633917407548793</v>
      </c>
      <c r="AM4181">
        <v>77.521038233657507</v>
      </c>
      <c r="AN4181">
        <v>0.99999999244552196</v>
      </c>
    </row>
    <row r="4182" spans="1:40" x14ac:dyDescent="0.25">
      <c r="A4182" t="str">
        <f>"20190312154918999"</f>
        <v>20190312154918999</v>
      </c>
      <c r="B4182" t="str">
        <f>"1552376958990317"</f>
        <v>1552376958990317</v>
      </c>
      <c r="C4182" t="s">
        <v>40</v>
      </c>
      <c r="D4182">
        <v>4.5167699999999904</v>
      </c>
      <c r="E4182">
        <v>0.68250509999999998</v>
      </c>
      <c r="F4182" t="s">
        <v>63</v>
      </c>
      <c r="G4182">
        <v>-201.63140000000001</v>
      </c>
      <c r="H4182" s="1">
        <v>-1.178202E-5</v>
      </c>
      <c r="I4182">
        <v>149.9187</v>
      </c>
      <c r="J4182">
        <v>-195.4796</v>
      </c>
      <c r="K4182">
        <v>1.1039000000000001</v>
      </c>
      <c r="L4182">
        <v>153.01750000000001</v>
      </c>
      <c r="M4182">
        <v>-0.42438330000000002</v>
      </c>
      <c r="N4182">
        <v>0</v>
      </c>
      <c r="O4182">
        <v>-0.90536490000000003</v>
      </c>
      <c r="P4182">
        <v>-0.60913530000000005</v>
      </c>
      <c r="Q4182">
        <v>1.2895179999999999E-2</v>
      </c>
      <c r="R4182">
        <v>-0.79296140000000004</v>
      </c>
      <c r="S4182">
        <v>-2.9503020000000002</v>
      </c>
      <c r="T4182">
        <v>-0.52262699999999995</v>
      </c>
      <c r="U4182">
        <v>-1.538834</v>
      </c>
      <c r="V4182">
        <v>0.21537500000000001</v>
      </c>
      <c r="W4182">
        <v>2.393381E-2</v>
      </c>
      <c r="X4182">
        <v>0.9762381</v>
      </c>
      <c r="Y4182">
        <v>0.59401090000000001</v>
      </c>
      <c r="Z4182">
        <v>0.16259289999999901</v>
      </c>
      <c r="AA4182">
        <v>0.78785439999999995</v>
      </c>
      <c r="AB4182">
        <v>22</v>
      </c>
      <c r="AC4182">
        <v>-6.1517999999999997</v>
      </c>
      <c r="AD4182">
        <v>-1.10391178202</v>
      </c>
      <c r="AE4182">
        <v>-3.09880000000001</v>
      </c>
      <c r="AF4182">
        <v>4.1484507636524999</v>
      </c>
      <c r="AG4182">
        <v>-1.10391178202</v>
      </c>
      <c r="AH4182">
        <v>5.2812024561868496</v>
      </c>
      <c r="AI4182">
        <v>99.334663433428503</v>
      </c>
      <c r="AJ4182">
        <v>51.8499210588217</v>
      </c>
      <c r="AK4182">
        <v>6.8058331116892399</v>
      </c>
      <c r="AL4182">
        <v>88.628562776697393</v>
      </c>
      <c r="AM4182">
        <v>77.558850748471798</v>
      </c>
      <c r="AN4182">
        <v>1.0000000228888599</v>
      </c>
    </row>
    <row r="4183" spans="1:40" x14ac:dyDescent="0.25">
      <c r="A4183" t="str">
        <f>"20190312154919022"</f>
        <v>20190312154919022</v>
      </c>
      <c r="B4183" t="str">
        <f>"1552376959019596"</f>
        <v>1552376959019596</v>
      </c>
      <c r="C4183" t="s">
        <v>40</v>
      </c>
      <c r="D4183">
        <v>4.4364270000000001</v>
      </c>
      <c r="E4183">
        <v>0.68451879999999998</v>
      </c>
      <c r="F4183" t="s">
        <v>63</v>
      </c>
      <c r="G4183">
        <v>-202.0352</v>
      </c>
      <c r="H4183" s="1">
        <v>-1.1560699999999999E-5</v>
      </c>
      <c r="I4183">
        <v>149.71549999999999</v>
      </c>
      <c r="J4183">
        <v>-195.5889</v>
      </c>
      <c r="K4183">
        <v>1.103925</v>
      </c>
      <c r="L4183">
        <v>152.81479999999999</v>
      </c>
      <c r="M4183">
        <v>-0.43434780000000001</v>
      </c>
      <c r="N4183">
        <v>0</v>
      </c>
      <c r="O4183">
        <v>-0.90062719999999896</v>
      </c>
      <c r="P4183">
        <v>-0.61762299999999903</v>
      </c>
      <c r="Q4183">
        <v>1.33586E-2</v>
      </c>
      <c r="R4183">
        <v>-0.78636119999999898</v>
      </c>
      <c r="S4183">
        <v>-2.980988</v>
      </c>
      <c r="T4183">
        <v>-0.50197579999999997</v>
      </c>
      <c r="U4183">
        <v>-1.5015259999999999</v>
      </c>
      <c r="V4183">
        <v>0.21510399999999999</v>
      </c>
      <c r="W4183">
        <v>2.440908E-2</v>
      </c>
      <c r="X4183">
        <v>0.97628610000000005</v>
      </c>
      <c r="Y4183">
        <v>0.59739969999999998</v>
      </c>
      <c r="Z4183">
        <v>0.15575939999999999</v>
      </c>
      <c r="AA4183">
        <v>0.78667189999999998</v>
      </c>
      <c r="AB4183">
        <v>21</v>
      </c>
      <c r="AC4183">
        <v>-6.4462999999999999</v>
      </c>
      <c r="AD4183">
        <v>-1.1039365607</v>
      </c>
      <c r="AE4183">
        <v>-3.0992999999999902</v>
      </c>
      <c r="AF4183">
        <v>4.35624453346305</v>
      </c>
      <c r="AG4183">
        <v>-1.1039365607</v>
      </c>
      <c r="AH4183">
        <v>5.4617423000545697</v>
      </c>
      <c r="AI4183">
        <v>98.979401120337599</v>
      </c>
      <c r="AJ4183">
        <v>51.424401123034698</v>
      </c>
      <c r="AK4183">
        <v>7.0729181613802297</v>
      </c>
      <c r="AL4183">
        <v>88.601323879557796</v>
      </c>
      <c r="AM4183">
        <v>77.574610481590796</v>
      </c>
      <c r="AN4183">
        <v>1.0000000415278201</v>
      </c>
    </row>
    <row r="4184" spans="1:40" x14ac:dyDescent="0.25">
      <c r="A4184" t="str">
        <f>"20190312154919035"</f>
        <v>20190312154919035</v>
      </c>
      <c r="B4184" t="str">
        <f>"1552376959030333"</f>
        <v>1552376959030333</v>
      </c>
      <c r="C4184" t="s">
        <v>40</v>
      </c>
      <c r="D4184">
        <v>4.4171120000000004</v>
      </c>
      <c r="E4184">
        <v>0.68436399999999997</v>
      </c>
      <c r="F4184" t="s">
        <v>63</v>
      </c>
      <c r="G4184">
        <v>-202.66130000000001</v>
      </c>
      <c r="H4184" s="1">
        <v>-1.119398E-5</v>
      </c>
      <c r="I4184">
        <v>149.3861</v>
      </c>
      <c r="J4184">
        <v>-195.64590000000001</v>
      </c>
      <c r="K4184">
        <v>1.1039350000000001</v>
      </c>
      <c r="L4184">
        <v>152.7115</v>
      </c>
      <c r="M4184">
        <v>-0.43943359999999898</v>
      </c>
      <c r="N4184">
        <v>0</v>
      </c>
      <c r="O4184">
        <v>-0.89815679999999998</v>
      </c>
      <c r="P4184">
        <v>-0.62201790000000001</v>
      </c>
      <c r="Q4184">
        <v>1.337998E-2</v>
      </c>
      <c r="R4184">
        <v>-0.7828891</v>
      </c>
      <c r="S4184">
        <v>-3.0097200000000002</v>
      </c>
      <c r="T4184">
        <v>-0.46978760000000003</v>
      </c>
      <c r="U4184">
        <v>-1.459122</v>
      </c>
      <c r="V4184">
        <v>0.21505150000000001</v>
      </c>
      <c r="W4184">
        <v>2.44353E-2</v>
      </c>
      <c r="X4184">
        <v>0.97629699999999997</v>
      </c>
      <c r="Y4184">
        <v>0.606271</v>
      </c>
      <c r="Z4184">
        <v>0.1459087</v>
      </c>
      <c r="AA4184">
        <v>0.78175839999999996</v>
      </c>
      <c r="AB4184">
        <v>21</v>
      </c>
      <c r="AC4184">
        <v>-7.0153999999999996</v>
      </c>
      <c r="AD4184">
        <v>-1.1039461939799999</v>
      </c>
      <c r="AE4184">
        <v>-3.3254000000000001</v>
      </c>
      <c r="AF4184">
        <v>4.7442262814318799</v>
      </c>
      <c r="AG4184">
        <v>-1.1039461939799999</v>
      </c>
      <c r="AH4184">
        <v>5.9498760151121299</v>
      </c>
      <c r="AI4184">
        <v>98.254284550094596</v>
      </c>
      <c r="AJ4184">
        <v>51.432347722337603</v>
      </c>
      <c r="AK4184">
        <v>7.6894346218586502</v>
      </c>
      <c r="AL4184">
        <v>88.599821122543503</v>
      </c>
      <c r="AM4184">
        <v>77.577683348107101</v>
      </c>
      <c r="AN4184">
        <v>1.0000000318736599</v>
      </c>
    </row>
    <row r="4185" spans="1:40" x14ac:dyDescent="0.25">
      <c r="A4185" t="str">
        <f>"20190312154919046"</f>
        <v>20190312154919046</v>
      </c>
      <c r="B4185" t="str">
        <f>"1552376959040093"</f>
        <v>1552376959040093</v>
      </c>
      <c r="C4185" t="s">
        <v>40</v>
      </c>
      <c r="D4185">
        <v>4.4591260000000004</v>
      </c>
      <c r="E4185">
        <v>0.68405369999999999</v>
      </c>
      <c r="F4185" t="s">
        <v>63</v>
      </c>
      <c r="G4185">
        <v>-202.78299999999999</v>
      </c>
      <c r="H4185" s="1">
        <v>-1.111367E-5</v>
      </c>
      <c r="I4185">
        <v>149.29759999999999</v>
      </c>
      <c r="J4185">
        <v>-195.70339999999999</v>
      </c>
      <c r="K4185">
        <v>1.103947</v>
      </c>
      <c r="L4185">
        <v>152.608</v>
      </c>
      <c r="M4185">
        <v>-0.44451950000000001</v>
      </c>
      <c r="N4185">
        <v>0</v>
      </c>
      <c r="O4185">
        <v>-0.89565059999999996</v>
      </c>
      <c r="P4185">
        <v>-0.6266214</v>
      </c>
      <c r="Q4185">
        <v>1.296782E-2</v>
      </c>
      <c r="R4185">
        <v>-0.77921609999999997</v>
      </c>
      <c r="S4185">
        <v>-3.0168149999999998</v>
      </c>
      <c r="T4185">
        <v>-0.46663009999999999</v>
      </c>
      <c r="U4185">
        <v>-1.4430240000000001</v>
      </c>
      <c r="V4185">
        <v>0.2152599</v>
      </c>
      <c r="W4185">
        <v>2.4022959999999999E-2</v>
      </c>
      <c r="X4185">
        <v>0.9762613</v>
      </c>
      <c r="Y4185">
        <v>0.60604440000000004</v>
      </c>
      <c r="Z4185">
        <v>0.14485410000000001</v>
      </c>
      <c r="AA4185">
        <v>0.78213009999999905</v>
      </c>
      <c r="AB4185">
        <v>21</v>
      </c>
      <c r="AC4185">
        <v>-7.0795999999999903</v>
      </c>
      <c r="AD4185">
        <v>-1.1039581136700001</v>
      </c>
      <c r="AE4185">
        <v>-3.3104000000000098</v>
      </c>
      <c r="AF4185">
        <v>4.7745607123290101</v>
      </c>
      <c r="AG4185">
        <v>-1.1039581136700001</v>
      </c>
      <c r="AH4185">
        <v>5.9930514423739503</v>
      </c>
      <c r="AI4185">
        <v>98.198407596414498</v>
      </c>
      <c r="AJ4185">
        <v>51.456272318731401</v>
      </c>
      <c r="AK4185">
        <v>7.7415643834688899</v>
      </c>
      <c r="AL4185">
        <v>88.623453393998105</v>
      </c>
      <c r="AM4185">
        <v>77.565578947023795</v>
      </c>
      <c r="AN4185">
        <v>1.0000000265164299</v>
      </c>
    </row>
    <row r="4186" spans="1:40" x14ac:dyDescent="0.25">
      <c r="A4186" t="str">
        <f>"20190312154919058"</f>
        <v>20190312154919058</v>
      </c>
      <c r="B4186" t="str">
        <f>"1552376959049852"</f>
        <v>1552376959049852</v>
      </c>
      <c r="C4186" t="s">
        <v>40</v>
      </c>
      <c r="D4186">
        <v>4.469379</v>
      </c>
      <c r="E4186">
        <v>0.68364780000000003</v>
      </c>
      <c r="F4186" t="s">
        <v>63</v>
      </c>
      <c r="G4186">
        <v>-202.84129999999999</v>
      </c>
      <c r="H4186" s="1">
        <v>-1.107077E-5</v>
      </c>
      <c r="I4186">
        <v>149.24029999999999</v>
      </c>
      <c r="J4186">
        <v>-195.75899999999999</v>
      </c>
      <c r="K4186">
        <v>1.1039620000000001</v>
      </c>
      <c r="L4186">
        <v>152.50970000000001</v>
      </c>
      <c r="M4186">
        <v>-0.44935259999999999</v>
      </c>
      <c r="N4186">
        <v>0</v>
      </c>
      <c r="O4186">
        <v>-0.89323539999999901</v>
      </c>
      <c r="P4186">
        <v>-0.63093889999999997</v>
      </c>
      <c r="Q4186">
        <v>1.2529139999999999E-2</v>
      </c>
      <c r="R4186">
        <v>-0.77573149999999902</v>
      </c>
      <c r="S4186">
        <v>-3.0234380000000001</v>
      </c>
      <c r="T4186">
        <v>-0.46760420000000003</v>
      </c>
      <c r="U4186">
        <v>-1.426437</v>
      </c>
      <c r="V4186">
        <v>0.21539549999999999</v>
      </c>
      <c r="W4186">
        <v>2.3586780000000002E-2</v>
      </c>
      <c r="X4186">
        <v>0.97624200000000005</v>
      </c>
      <c r="Y4186">
        <v>0.60590390000000005</v>
      </c>
      <c r="Z4186">
        <v>0.145091</v>
      </c>
      <c r="AA4186">
        <v>0.78219499999999997</v>
      </c>
      <c r="AB4186">
        <v>21</v>
      </c>
      <c r="AC4186">
        <v>-7.0822999999999698</v>
      </c>
      <c r="AD4186">
        <v>-1.10397307077</v>
      </c>
      <c r="AE4186">
        <v>-3.2694000000000099</v>
      </c>
      <c r="AF4186">
        <v>4.76218017466402</v>
      </c>
      <c r="AG4186">
        <v>-1.10397307077</v>
      </c>
      <c r="AH4186">
        <v>5.9835944045280396</v>
      </c>
      <c r="AI4186">
        <v>98.214495546113696</v>
      </c>
      <c r="AJ4186">
        <v>51.484671206461101</v>
      </c>
      <c r="AK4186">
        <v>7.7266110653279103</v>
      </c>
      <c r="AL4186">
        <v>88.648451714851006</v>
      </c>
      <c r="AM4186">
        <v>77.5577516006243</v>
      </c>
      <c r="AN4186">
        <v>1.0000000000875</v>
      </c>
    </row>
    <row r="4187" spans="1:40" x14ac:dyDescent="0.25">
      <c r="A4187" t="str">
        <f>"20190312154919070"</f>
        <v>20190312154919070</v>
      </c>
      <c r="B4187" t="str">
        <f>"1552376959060102"</f>
        <v>1552376959060102</v>
      </c>
      <c r="C4187" t="s">
        <v>40</v>
      </c>
      <c r="D4187">
        <v>4.3987429999999996</v>
      </c>
      <c r="E4187">
        <v>0.68334309999999998</v>
      </c>
      <c r="F4187" t="s">
        <v>63</v>
      </c>
      <c r="G4187">
        <v>-202.88339999999999</v>
      </c>
      <c r="H4187" s="1">
        <v>-1.1037040000000001E-5</v>
      </c>
      <c r="I4187">
        <v>149.18969999999999</v>
      </c>
      <c r="J4187">
        <v>-195.81700000000001</v>
      </c>
      <c r="K4187">
        <v>1.1039749999999999</v>
      </c>
      <c r="L4187">
        <v>152.40819999999999</v>
      </c>
      <c r="M4187">
        <v>-0.45434219999999997</v>
      </c>
      <c r="N4187">
        <v>0</v>
      </c>
      <c r="O4187">
        <v>-0.89070799999999895</v>
      </c>
      <c r="P4187">
        <v>-0.63536809999999999</v>
      </c>
      <c r="Q4187">
        <v>1.190767E-2</v>
      </c>
      <c r="R4187">
        <v>-0.77211790000000002</v>
      </c>
      <c r="S4187">
        <v>-3.028778</v>
      </c>
      <c r="T4187">
        <v>-0.4693272</v>
      </c>
      <c r="U4187">
        <v>-1.411438</v>
      </c>
      <c r="V4187">
        <v>0.21550720000000001</v>
      </c>
      <c r="W4187">
        <v>2.2967049999999999E-2</v>
      </c>
      <c r="X4187">
        <v>0.97623210000000005</v>
      </c>
      <c r="Y4187">
        <v>0.6051204</v>
      </c>
      <c r="Z4187">
        <v>0.14553629999999901</v>
      </c>
      <c r="AA4187">
        <v>0.78271869999999999</v>
      </c>
      <c r="AB4187">
        <v>21</v>
      </c>
      <c r="AC4187">
        <v>-7.0663999999999803</v>
      </c>
      <c r="AD4187">
        <v>-1.1039860370400001</v>
      </c>
      <c r="AE4187">
        <v>-3.2185000000000001</v>
      </c>
      <c r="AF4187">
        <v>4.7365648356200598</v>
      </c>
      <c r="AG4187">
        <v>-1.1039860370400001</v>
      </c>
      <c r="AH4187">
        <v>5.9575248810917198</v>
      </c>
      <c r="AI4187">
        <v>98.253282399554493</v>
      </c>
      <c r="AJ4187">
        <v>51.513340886315603</v>
      </c>
      <c r="AK4187">
        <v>7.6906393960995603</v>
      </c>
      <c r="AL4187">
        <v>88.683969220224199</v>
      </c>
      <c r="AM4187">
        <v>77.551378079340694</v>
      </c>
      <c r="AN4187">
        <v>0.99999997585397604</v>
      </c>
    </row>
    <row r="4188" spans="1:40" x14ac:dyDescent="0.25">
      <c r="A4188" t="str">
        <f>"20190312154919081"</f>
        <v>20190312154919081</v>
      </c>
      <c r="B4188" t="str">
        <f>"1552376959069861"</f>
        <v>1552376959069861</v>
      </c>
      <c r="C4188" t="s">
        <v>40</v>
      </c>
      <c r="D4188">
        <v>4.4599060000000001</v>
      </c>
      <c r="E4188">
        <v>0.68305130000000003</v>
      </c>
      <c r="F4188" t="s">
        <v>63</v>
      </c>
      <c r="G4188">
        <v>-202.9434</v>
      </c>
      <c r="H4188" s="1">
        <v>-1.0993309999999999E-5</v>
      </c>
      <c r="I4188">
        <v>149.13200000000001</v>
      </c>
      <c r="J4188">
        <v>-195.87299999999999</v>
      </c>
      <c r="K4188">
        <v>1.1039870000000001</v>
      </c>
      <c r="L4188">
        <v>152.31139999999999</v>
      </c>
      <c r="M4188">
        <v>-0.45909879999999997</v>
      </c>
      <c r="N4188">
        <v>0</v>
      </c>
      <c r="O4188">
        <v>-0.88826579999999999</v>
      </c>
      <c r="P4188">
        <v>-0.63962529999999995</v>
      </c>
      <c r="Q4188">
        <v>1.164274E-2</v>
      </c>
      <c r="R4188">
        <v>-0.76859889999999997</v>
      </c>
      <c r="S4188">
        <v>-3.0349430000000002</v>
      </c>
      <c r="T4188">
        <v>-0.47016170000000002</v>
      </c>
      <c r="U4188">
        <v>-1.395248</v>
      </c>
      <c r="V4188">
        <v>0.21567500000000001</v>
      </c>
      <c r="W4188">
        <v>2.2703899999999999E-2</v>
      </c>
      <c r="X4188">
        <v>0.97620119999999999</v>
      </c>
      <c r="Y4188">
        <v>0.60490630000000001</v>
      </c>
      <c r="Z4188">
        <v>0.1457214</v>
      </c>
      <c r="AA4188">
        <v>0.78284969999999998</v>
      </c>
      <c r="AB4188">
        <v>21</v>
      </c>
      <c r="AC4188">
        <v>-7.0704000000000002</v>
      </c>
      <c r="AD4188">
        <v>-1.1039979933099999</v>
      </c>
      <c r="AE4188">
        <v>-3.1793999999999798</v>
      </c>
      <c r="AF4188">
        <v>4.7254157437068098</v>
      </c>
      <c r="AG4188">
        <v>-1.1039979933099999</v>
      </c>
      <c r="AH4188">
        <v>5.9501395379593003</v>
      </c>
      <c r="AI4188">
        <v>98.266994514562001</v>
      </c>
      <c r="AJ4188">
        <v>51.544490100611803</v>
      </c>
      <c r="AK4188">
        <v>7.6780548344806201</v>
      </c>
      <c r="AL4188">
        <v>88.699050540187599</v>
      </c>
      <c r="AM4188">
        <v>77.541605718605993</v>
      </c>
      <c r="AN4188">
        <v>0.99999997779082395</v>
      </c>
    </row>
    <row r="4189" spans="1:40" x14ac:dyDescent="0.25">
      <c r="A4189" t="str">
        <f>"20190312154919100"</f>
        <v>20190312154919100</v>
      </c>
      <c r="B4189" t="str">
        <f>"1552376959090361"</f>
        <v>1552376959090361</v>
      </c>
      <c r="C4189" t="s">
        <v>40</v>
      </c>
      <c r="D4189">
        <v>4.6350429999999996</v>
      </c>
      <c r="E4189">
        <v>0.68195269999999997</v>
      </c>
      <c r="F4189" t="s">
        <v>63</v>
      </c>
      <c r="G4189">
        <v>-202.98920000000001</v>
      </c>
      <c r="H4189" s="1">
        <v>-1.095825E-5</v>
      </c>
      <c r="I4189">
        <v>149.08250000000001</v>
      </c>
      <c r="J4189">
        <v>-195.9633</v>
      </c>
      <c r="K4189">
        <v>1.1040030000000001</v>
      </c>
      <c r="L4189">
        <v>152.15809999999999</v>
      </c>
      <c r="M4189">
        <v>-0.46663070000000001</v>
      </c>
      <c r="N4189">
        <v>0</v>
      </c>
      <c r="O4189">
        <v>-0.88433220000000001</v>
      </c>
      <c r="P4189">
        <v>-0.64610659999999998</v>
      </c>
      <c r="Q4189">
        <v>1.111037E-2</v>
      </c>
      <c r="R4189">
        <v>-0.76316669999999998</v>
      </c>
      <c r="S4189">
        <v>-3.0408330000000001</v>
      </c>
      <c r="T4189">
        <v>-0.47175489999999998</v>
      </c>
      <c r="U4189">
        <v>-1.3797759999999999</v>
      </c>
      <c r="V4189">
        <v>0.2156275</v>
      </c>
      <c r="W4189">
        <v>2.2179520000000001E-2</v>
      </c>
      <c r="X4189">
        <v>0.97622379999999997</v>
      </c>
      <c r="Y4189">
        <v>0.60200619999999905</v>
      </c>
      <c r="Z4189">
        <v>0.14593229999999999</v>
      </c>
      <c r="AA4189">
        <v>0.78504280000000004</v>
      </c>
      <c r="AB4189">
        <v>21</v>
      </c>
      <c r="AC4189">
        <v>-7.0259</v>
      </c>
      <c r="AD4189">
        <v>-1.1040139582499999</v>
      </c>
      <c r="AE4189">
        <v>-3.0755999999999699</v>
      </c>
      <c r="AF4189">
        <v>4.6815622354519801</v>
      </c>
      <c r="AG4189">
        <v>-1.1040139582499999</v>
      </c>
      <c r="AH4189">
        <v>5.8772096616145699</v>
      </c>
      <c r="AI4189">
        <v>98.358641507944895</v>
      </c>
      <c r="AJ4189">
        <v>51.460502756259302</v>
      </c>
      <c r="AK4189">
        <v>7.5945681372278599</v>
      </c>
      <c r="AL4189">
        <v>88.729102935453398</v>
      </c>
      <c r="AM4189">
        <v>77.544543252374993</v>
      </c>
      <c r="AN4189">
        <v>1.0000000287750599</v>
      </c>
    </row>
    <row r="4190" spans="1:40" x14ac:dyDescent="0.25">
      <c r="A4190" t="str">
        <f>"20190312154919112"</f>
        <v>20190312154919112</v>
      </c>
      <c r="B4190" t="str">
        <f>"1552376959109877"</f>
        <v>1552376959109877</v>
      </c>
      <c r="C4190" t="s">
        <v>40</v>
      </c>
      <c r="D4190">
        <v>4.5016470000000002</v>
      </c>
      <c r="E4190">
        <v>0.68088019999999905</v>
      </c>
      <c r="F4190" t="s">
        <v>63</v>
      </c>
      <c r="G4190">
        <v>-203.0549</v>
      </c>
      <c r="H4190" s="1">
        <v>-1.090263E-5</v>
      </c>
      <c r="I4190">
        <v>148.99350000000001</v>
      </c>
      <c r="J4190">
        <v>-196.02799999999999</v>
      </c>
      <c r="K4190">
        <v>1.1040179999999999</v>
      </c>
      <c r="L4190">
        <v>152.05009999999999</v>
      </c>
      <c r="M4190">
        <v>-0.4719353</v>
      </c>
      <c r="N4190">
        <v>0</v>
      </c>
      <c r="O4190">
        <v>-0.88151290000000004</v>
      </c>
      <c r="P4190">
        <v>-0.65060479999999998</v>
      </c>
      <c r="Q4190">
        <v>1.0993670000000001E-2</v>
      </c>
      <c r="R4190">
        <v>-0.75933739999999905</v>
      </c>
      <c r="S4190">
        <v>-3.0458980000000002</v>
      </c>
      <c r="T4190">
        <v>-0.47417999999999999</v>
      </c>
      <c r="U4190">
        <v>-1.359192</v>
      </c>
      <c r="V4190">
        <v>0.2155272</v>
      </c>
      <c r="W4190">
        <v>2.2069399999999999E-2</v>
      </c>
      <c r="X4190">
        <v>0.97624840000000002</v>
      </c>
      <c r="Y4190">
        <v>0.60202469999999997</v>
      </c>
      <c r="Z4190">
        <v>0.14669699999999999</v>
      </c>
      <c r="AA4190">
        <v>0.78488619999999898</v>
      </c>
      <c r="AB4190">
        <v>21</v>
      </c>
      <c r="AC4190">
        <v>-7.0269000000000101</v>
      </c>
      <c r="AD4190">
        <v>-1.1040289026300001</v>
      </c>
      <c r="AE4190">
        <v>-3.0565999999999698</v>
      </c>
      <c r="AF4190">
        <v>4.6556501160957797</v>
      </c>
      <c r="AG4190">
        <v>-1.1040289026300001</v>
      </c>
      <c r="AH4190">
        <v>5.8890699166029803</v>
      </c>
      <c r="AI4190">
        <v>98.366235903660595</v>
      </c>
      <c r="AJ4190">
        <v>51.671591681739798</v>
      </c>
      <c r="AK4190">
        <v>7.5878259273643902</v>
      </c>
      <c r="AL4190">
        <v>88.735413836461106</v>
      </c>
      <c r="AM4190">
        <v>77.550460200852001</v>
      </c>
      <c r="AN4190">
        <v>0.99999998542937996</v>
      </c>
    </row>
    <row r="4191" spans="1:40" x14ac:dyDescent="0.25">
      <c r="A4191" t="str">
        <f>"20190312154919126"</f>
        <v>20190312154919126</v>
      </c>
      <c r="B4191" t="str">
        <f>"1552376959119638"</f>
        <v>1552376959119638</v>
      </c>
      <c r="C4191" t="s">
        <v>40</v>
      </c>
      <c r="D4191">
        <v>4.5143209999999998</v>
      </c>
      <c r="E4191">
        <v>0.68038940000000003</v>
      </c>
      <c r="F4191" t="s">
        <v>63</v>
      </c>
      <c r="G4191">
        <v>-203.10919999999999</v>
      </c>
      <c r="H4191" s="1">
        <v>-1.085696E-5</v>
      </c>
      <c r="I4191">
        <v>148.92089999999999</v>
      </c>
      <c r="J4191">
        <v>-196.09379999999999</v>
      </c>
      <c r="K4191">
        <v>1.104039</v>
      </c>
      <c r="L4191">
        <v>151.94130000000001</v>
      </c>
      <c r="M4191">
        <v>-0.4772708</v>
      </c>
      <c r="N4191">
        <v>0</v>
      </c>
      <c r="O4191">
        <v>-0.87863559999999996</v>
      </c>
      <c r="P4191">
        <v>-0.65484900000000001</v>
      </c>
      <c r="Q4191">
        <v>1.071363E-2</v>
      </c>
      <c r="R4191">
        <v>-0.75568369999999996</v>
      </c>
      <c r="S4191">
        <v>-3.047409</v>
      </c>
      <c r="T4191">
        <v>-0.47512219999999999</v>
      </c>
      <c r="U4191">
        <v>-1.346649</v>
      </c>
      <c r="V4191">
        <v>0.2150716</v>
      </c>
      <c r="W4191">
        <v>2.1802910000000002E-2</v>
      </c>
      <c r="X4191">
        <v>0.97635490000000003</v>
      </c>
      <c r="Y4191">
        <v>0.60001510000000002</v>
      </c>
      <c r="Z4191">
        <v>0.14690129999999901</v>
      </c>
      <c r="AA4191">
        <v>0.78638540000000001</v>
      </c>
      <c r="AB4191">
        <v>21</v>
      </c>
      <c r="AC4191">
        <v>-7.0153999999999996</v>
      </c>
      <c r="AD4191">
        <v>-1.1040498569599999</v>
      </c>
      <c r="AE4191">
        <v>-3.02040000000002</v>
      </c>
      <c r="AF4191">
        <v>4.6262711060286801</v>
      </c>
      <c r="AG4191">
        <v>-1.1040498569599999</v>
      </c>
      <c r="AH4191">
        <v>5.87985944727959</v>
      </c>
      <c r="AI4191">
        <v>98.394419806310694</v>
      </c>
      <c r="AJ4191">
        <v>51.804345302629301</v>
      </c>
      <c r="AK4191">
        <v>7.5626752907216801</v>
      </c>
      <c r="AL4191">
        <v>88.750686313882497</v>
      </c>
      <c r="AM4191">
        <v>77.577272197296296</v>
      </c>
      <c r="AN4191">
        <v>1.0000000253825101</v>
      </c>
    </row>
    <row r="4192" spans="1:40" x14ac:dyDescent="0.25">
      <c r="A4192" t="str">
        <f>"20190312154919146"</f>
        <v>20190312154919146</v>
      </c>
      <c r="B4192" t="str">
        <f>"1552376959140134"</f>
        <v>1552376959140134</v>
      </c>
      <c r="C4192" t="s">
        <v>40</v>
      </c>
      <c r="D4192">
        <v>4.4937329999999998</v>
      </c>
      <c r="E4192">
        <v>0.6796603</v>
      </c>
      <c r="F4192" t="s">
        <v>63</v>
      </c>
      <c r="G4192">
        <v>-203.17850000000001</v>
      </c>
      <c r="H4192" s="1">
        <v>-1.080516E-5</v>
      </c>
      <c r="I4192">
        <v>148.8501</v>
      </c>
      <c r="J4192">
        <v>-196.1961</v>
      </c>
      <c r="K4192">
        <v>1.1040639999999999</v>
      </c>
      <c r="L4192">
        <v>151.77539999999999</v>
      </c>
      <c r="M4192">
        <v>-0.4854058</v>
      </c>
      <c r="N4192">
        <v>0</v>
      </c>
      <c r="O4192">
        <v>-0.87416769999999999</v>
      </c>
      <c r="P4192">
        <v>-0.66077980000000003</v>
      </c>
      <c r="Q4192">
        <v>1.0196159999999999E-2</v>
      </c>
      <c r="R4192">
        <v>-0.75051080000000003</v>
      </c>
      <c r="S4192">
        <v>-3.052216</v>
      </c>
      <c r="T4192">
        <v>-0.47564269999999997</v>
      </c>
      <c r="U4192">
        <v>-1.3317410000000001</v>
      </c>
      <c r="V4192">
        <v>0.21368500000000001</v>
      </c>
      <c r="W4192">
        <v>2.1317119999999998E-2</v>
      </c>
      <c r="X4192">
        <v>0.97667000000000004</v>
      </c>
      <c r="Y4192">
        <v>0.59631800000000001</v>
      </c>
      <c r="Z4192">
        <v>0.1467107</v>
      </c>
      <c r="AA4192">
        <v>0.78922799999999904</v>
      </c>
      <c r="AB4192">
        <v>21</v>
      </c>
      <c r="AC4192">
        <v>-6.9824000000000099</v>
      </c>
      <c r="AD4192">
        <v>-1.10407480516</v>
      </c>
      <c r="AE4192">
        <v>-2.9252999999999898</v>
      </c>
      <c r="AF4192">
        <v>4.5867694360867199</v>
      </c>
      <c r="AG4192">
        <v>-1.10407480516</v>
      </c>
      <c r="AH4192">
        <v>5.8232728150937403</v>
      </c>
      <c r="AI4192">
        <v>98.471501761568305</v>
      </c>
      <c r="AJ4192">
        <v>51.7738471186859</v>
      </c>
      <c r="AK4192">
        <v>7.4945274243422499</v>
      </c>
      <c r="AL4192">
        <v>88.778526462964393</v>
      </c>
      <c r="AM4192">
        <v>77.658760799384098</v>
      </c>
      <c r="AN4192">
        <v>0.99999999386504701</v>
      </c>
    </row>
    <row r="4193" spans="1:40" x14ac:dyDescent="0.25">
      <c r="A4193" t="str">
        <f>"20190312154919167"</f>
        <v>20190312154919167</v>
      </c>
      <c r="B4193" t="str">
        <f>"1552376959160161"</f>
        <v>1552376959160161</v>
      </c>
      <c r="C4193" t="s">
        <v>40</v>
      </c>
      <c r="D4193">
        <v>4.5414629999999896</v>
      </c>
      <c r="E4193">
        <v>0.6788904</v>
      </c>
      <c r="F4193" t="s">
        <v>63</v>
      </c>
      <c r="G4193">
        <v>-203.2415</v>
      </c>
      <c r="H4193" s="1">
        <v>-1.0748919999999999E-5</v>
      </c>
      <c r="I4193">
        <v>148.75489999999999</v>
      </c>
      <c r="J4193">
        <v>-196.30709999999999</v>
      </c>
      <c r="K4193">
        <v>1.104087</v>
      </c>
      <c r="L4193">
        <v>151.5994</v>
      </c>
      <c r="M4193">
        <v>-0.49403940000000002</v>
      </c>
      <c r="N4193">
        <v>0</v>
      </c>
      <c r="O4193">
        <v>-0.86931789999999998</v>
      </c>
      <c r="P4193">
        <v>-0.66718120000000003</v>
      </c>
      <c r="Q4193">
        <v>9.8805690000000005E-3</v>
      </c>
      <c r="R4193">
        <v>-0.7448302</v>
      </c>
      <c r="S4193">
        <v>-3.0582729999999998</v>
      </c>
      <c r="T4193">
        <v>-0.47925640000000003</v>
      </c>
      <c r="U4193">
        <v>-1.3111269999999999</v>
      </c>
      <c r="V4193">
        <v>0.212366</v>
      </c>
      <c r="W4193">
        <v>2.1031080000000001E-2</v>
      </c>
      <c r="X4193">
        <v>0.9769639</v>
      </c>
      <c r="Y4193">
        <v>0.59333100000000005</v>
      </c>
      <c r="Z4193">
        <v>0.1475011</v>
      </c>
      <c r="AA4193">
        <v>0.79132910000000001</v>
      </c>
      <c r="AB4193">
        <v>21</v>
      </c>
      <c r="AC4193">
        <v>-6.9344000000000099</v>
      </c>
      <c r="AD4193">
        <v>-1.1040977489199999</v>
      </c>
      <c r="AE4193">
        <v>-2.8445000000000098</v>
      </c>
      <c r="AF4193">
        <v>4.5251959533264303</v>
      </c>
      <c r="AG4193">
        <v>-1.1040977489199999</v>
      </c>
      <c r="AH4193">
        <v>5.7739712850556</v>
      </c>
      <c r="AI4193">
        <v>98.559067254744505</v>
      </c>
      <c r="AJ4193">
        <v>51.913373128594202</v>
      </c>
      <c r="AK4193">
        <v>7.4185695828656097</v>
      </c>
      <c r="AL4193">
        <v>88.794919082377504</v>
      </c>
      <c r="AM4193">
        <v>77.736203845444507</v>
      </c>
      <c r="AN4193">
        <v>1.0000000430925799</v>
      </c>
    </row>
    <row r="4194" spans="1:40" x14ac:dyDescent="0.25">
      <c r="A4194" t="str">
        <f>"20190312154919180"</f>
        <v>20190312154919180</v>
      </c>
      <c r="B4194" t="str">
        <f>"1552376959169921"</f>
        <v>1552376959169921</v>
      </c>
      <c r="C4194" t="s">
        <v>40</v>
      </c>
      <c r="D4194">
        <v>4.5671879999999998</v>
      </c>
      <c r="E4194">
        <v>0.67854559999999997</v>
      </c>
      <c r="F4194" t="s">
        <v>63</v>
      </c>
      <c r="G4194">
        <v>-203.29759999999999</v>
      </c>
      <c r="H4194" s="1">
        <v>-1.0695789999999999E-5</v>
      </c>
      <c r="I4194">
        <v>148.66</v>
      </c>
      <c r="J4194">
        <v>-196.37569999999999</v>
      </c>
      <c r="K4194">
        <v>1.104101</v>
      </c>
      <c r="L4194">
        <v>151.4924</v>
      </c>
      <c r="M4194">
        <v>-0.4992839</v>
      </c>
      <c r="N4194">
        <v>0</v>
      </c>
      <c r="O4194">
        <v>-0.86631630000000004</v>
      </c>
      <c r="P4194">
        <v>-0.67128900000000002</v>
      </c>
      <c r="Q4194">
        <v>9.8744890000000002E-3</v>
      </c>
      <c r="R4194">
        <v>-0.74113019999999996</v>
      </c>
      <c r="S4194">
        <v>-3.0649109999999999</v>
      </c>
      <c r="T4194">
        <v>-0.48408089999999998</v>
      </c>
      <c r="U4194">
        <v>-1.2887569999999999</v>
      </c>
      <c r="V4194">
        <v>0.2118623</v>
      </c>
      <c r="W4194">
        <v>2.1037279999999998E-2</v>
      </c>
      <c r="X4194">
        <v>0.97707310000000003</v>
      </c>
      <c r="Y4194">
        <v>0.59378679999999995</v>
      </c>
      <c r="Z4194">
        <v>0.1489249</v>
      </c>
      <c r="AA4194">
        <v>0.79072030000000004</v>
      </c>
      <c r="AB4194">
        <v>21</v>
      </c>
      <c r="AC4194">
        <v>-6.9218999999999902</v>
      </c>
      <c r="AD4194">
        <v>-1.1041116957899999</v>
      </c>
      <c r="AE4194">
        <v>-2.8323999999999998</v>
      </c>
      <c r="AF4194">
        <v>4.4851185340695698</v>
      </c>
      <c r="AG4194">
        <v>-1.1041116957899999</v>
      </c>
      <c r="AH4194">
        <v>5.7843086574978004</v>
      </c>
      <c r="AI4194">
        <v>98.578167036528299</v>
      </c>
      <c r="AJ4194">
        <v>52.210212909354503</v>
      </c>
      <c r="AK4194">
        <v>7.4022684054713004</v>
      </c>
      <c r="AL4194">
        <v>88.794563744553002</v>
      </c>
      <c r="AM4194">
        <v>77.765740688142699</v>
      </c>
      <c r="AN4194">
        <v>1.00000002202734</v>
      </c>
    </row>
    <row r="4195" spans="1:40" x14ac:dyDescent="0.25">
      <c r="A4195" t="str">
        <f>"20190312154919193"</f>
        <v>20190312154919193</v>
      </c>
      <c r="B4195" t="str">
        <f>"1552376959189441"</f>
        <v>1552376959189441</v>
      </c>
      <c r="C4195" t="s">
        <v>40</v>
      </c>
      <c r="D4195">
        <v>4.556743</v>
      </c>
      <c r="E4195">
        <v>0.67793139999999996</v>
      </c>
      <c r="F4195" t="s">
        <v>63</v>
      </c>
      <c r="G4195">
        <v>-203.36959999999999</v>
      </c>
      <c r="H4195" s="1">
        <v>-1.0643429999999999E-5</v>
      </c>
      <c r="I4195">
        <v>148.59129999999999</v>
      </c>
      <c r="J4195">
        <v>-196.4385</v>
      </c>
      <c r="K4195">
        <v>1.104117</v>
      </c>
      <c r="L4195">
        <v>151.39590000000001</v>
      </c>
      <c r="M4195">
        <v>-0.50402130000000001</v>
      </c>
      <c r="N4195">
        <v>0</v>
      </c>
      <c r="O4195">
        <v>-0.86356900000000003</v>
      </c>
      <c r="P4195">
        <v>-0.67488380000000003</v>
      </c>
      <c r="Q4195">
        <v>9.9867470000000007E-3</v>
      </c>
      <c r="R4195">
        <v>-0.73785669999999903</v>
      </c>
      <c r="S4195">
        <v>-3.0701290000000001</v>
      </c>
      <c r="T4195">
        <v>-0.48467779999999999</v>
      </c>
      <c r="U4195">
        <v>-1.2735289999999999</v>
      </c>
      <c r="V4195">
        <v>0.21126210000000001</v>
      </c>
      <c r="W4195">
        <v>2.116266E-2</v>
      </c>
      <c r="X4195">
        <v>0.97720030000000002</v>
      </c>
      <c r="Y4195">
        <v>0.59321309999999905</v>
      </c>
      <c r="Z4195">
        <v>0.14895710000000001</v>
      </c>
      <c r="AA4195">
        <v>0.79114469999999903</v>
      </c>
      <c r="AB4195">
        <v>21</v>
      </c>
      <c r="AC4195">
        <v>-6.9310999999999803</v>
      </c>
      <c r="AD4195">
        <v>-1.10412764343</v>
      </c>
      <c r="AE4195">
        <v>-2.8046000000000202</v>
      </c>
      <c r="AF4195">
        <v>4.4748088874717196</v>
      </c>
      <c r="AG4195">
        <v>-1.10412764343</v>
      </c>
      <c r="AH4195">
        <v>5.7897592955087598</v>
      </c>
      <c r="AI4195">
        <v>98.580599896206706</v>
      </c>
      <c r="AJ4195">
        <v>52.300158699175299</v>
      </c>
      <c r="AK4195">
        <v>7.4002922328994698</v>
      </c>
      <c r="AL4195">
        <v>88.787378348866298</v>
      </c>
      <c r="AM4195">
        <v>77.800900896782494</v>
      </c>
      <c r="AN4195">
        <v>0.99999997969738696</v>
      </c>
    </row>
    <row r="4196" spans="1:40" x14ac:dyDescent="0.25">
      <c r="A4196" t="str">
        <f>"20190312154919212"</f>
        <v>20190312154919212</v>
      </c>
      <c r="B4196" t="str">
        <f>"1552376959209937"</f>
        <v>1552376959209937</v>
      </c>
      <c r="C4196" t="s">
        <v>40</v>
      </c>
      <c r="D4196">
        <v>4.6386260000000004</v>
      </c>
      <c r="E4196">
        <v>0.6772688</v>
      </c>
      <c r="F4196" t="s">
        <v>63</v>
      </c>
      <c r="G4196">
        <v>-203.36789999999999</v>
      </c>
      <c r="H4196" s="1">
        <v>-1.063214E-5</v>
      </c>
      <c r="I4196">
        <v>148.55080000000001</v>
      </c>
      <c r="J4196">
        <v>-196.54329999999999</v>
      </c>
      <c r="K4196">
        <v>1.1041369999999999</v>
      </c>
      <c r="L4196">
        <v>151.2372</v>
      </c>
      <c r="M4196">
        <v>-0.51180530000000002</v>
      </c>
      <c r="N4196">
        <v>0</v>
      </c>
      <c r="O4196">
        <v>-0.85897860000000004</v>
      </c>
      <c r="P4196">
        <v>-0.68063499999999999</v>
      </c>
      <c r="Q4196">
        <v>9.9231790000000007E-3</v>
      </c>
      <c r="R4196">
        <v>-0.73255590000000004</v>
      </c>
      <c r="S4196">
        <v>-3.0729829999999998</v>
      </c>
      <c r="T4196">
        <v>-0.48964999999999997</v>
      </c>
      <c r="U4196">
        <v>-1.261703</v>
      </c>
      <c r="V4196">
        <v>0.21007210000000001</v>
      </c>
      <c r="W4196">
        <v>2.1123090000000001E-2</v>
      </c>
      <c r="X4196">
        <v>0.97745769999999998</v>
      </c>
      <c r="Y4196">
        <v>0.58864640000000001</v>
      </c>
      <c r="Z4196">
        <v>0.15001979999999901</v>
      </c>
      <c r="AA4196">
        <v>0.79434839999999995</v>
      </c>
      <c r="AB4196">
        <v>21</v>
      </c>
      <c r="AC4196">
        <v>-6.8246000000000002</v>
      </c>
      <c r="AD4196">
        <v>-1.1041476321399999</v>
      </c>
      <c r="AE4196">
        <v>-2.6863999999999901</v>
      </c>
      <c r="AF4196">
        <v>4.3882889458757797</v>
      </c>
      <c r="AG4196">
        <v>-1.1041476321399999</v>
      </c>
      <c r="AH4196">
        <v>5.6724776333074196</v>
      </c>
      <c r="AI4196">
        <v>98.752410131722598</v>
      </c>
      <c r="AJ4196">
        <v>52.274083195567698</v>
      </c>
      <c r="AK4196">
        <v>7.2562541553082998</v>
      </c>
      <c r="AL4196">
        <v>88.789646090992306</v>
      </c>
      <c r="AM4196">
        <v>77.870675233531699</v>
      </c>
      <c r="AN4196">
        <v>1.00000001370942</v>
      </c>
    </row>
    <row r="4197" spans="1:40" x14ac:dyDescent="0.25">
      <c r="A4197" t="str">
        <f>"20190312154919224"</f>
        <v>20190312154919224</v>
      </c>
      <c r="B4197" t="str">
        <f>"1552376959219697"</f>
        <v>1552376959219697</v>
      </c>
      <c r="C4197" t="s">
        <v>40</v>
      </c>
      <c r="D4197">
        <v>4.6538180000000002</v>
      </c>
      <c r="E4197">
        <v>0.6769771</v>
      </c>
      <c r="F4197" t="s">
        <v>63</v>
      </c>
      <c r="G4197">
        <v>-203.41370000000001</v>
      </c>
      <c r="H4197" s="1">
        <v>-1.058741E-5</v>
      </c>
      <c r="I4197">
        <v>148.46879999999999</v>
      </c>
      <c r="J4197">
        <v>-196.6104</v>
      </c>
      <c r="K4197">
        <v>1.104142</v>
      </c>
      <c r="L4197">
        <v>151.13669999999999</v>
      </c>
      <c r="M4197">
        <v>-0.51673230000000003</v>
      </c>
      <c r="N4197">
        <v>0</v>
      </c>
      <c r="O4197">
        <v>-0.85602369999999905</v>
      </c>
      <c r="P4197">
        <v>-0.68457670000000004</v>
      </c>
      <c r="Q4197">
        <v>1.0343049999999999E-2</v>
      </c>
      <c r="R4197">
        <v>-0.72886779999999995</v>
      </c>
      <c r="S4197">
        <v>-3.0793759999999999</v>
      </c>
      <c r="T4197">
        <v>-0.4948844</v>
      </c>
      <c r="U4197">
        <v>-1.2408140000000001</v>
      </c>
      <c r="V4197">
        <v>0.2097369</v>
      </c>
      <c r="W4197">
        <v>2.1550719999999999E-2</v>
      </c>
      <c r="X4197">
        <v>0.97752030000000001</v>
      </c>
      <c r="Y4197">
        <v>0.58899009999999996</v>
      </c>
      <c r="Z4197">
        <v>0.1515116</v>
      </c>
      <c r="AA4197">
        <v>0.79381040000000003</v>
      </c>
      <c r="AB4197">
        <v>21</v>
      </c>
      <c r="AC4197">
        <v>-6.8033000000000001</v>
      </c>
      <c r="AD4197">
        <v>-1.10415258741</v>
      </c>
      <c r="AE4197">
        <v>-2.6678999999999999</v>
      </c>
      <c r="AF4197">
        <v>4.3464384119911301</v>
      </c>
      <c r="AG4197">
        <v>-1.10415258741</v>
      </c>
      <c r="AH4197">
        <v>5.6704299134269096</v>
      </c>
      <c r="AI4197">
        <v>98.785198521003096</v>
      </c>
      <c r="AJ4197">
        <v>52.529492218432701</v>
      </c>
      <c r="AK4197">
        <v>7.22941596594102</v>
      </c>
      <c r="AL4197">
        <v>88.765139062323101</v>
      </c>
      <c r="AM4197">
        <v>77.890210205753803</v>
      </c>
      <c r="AN4197">
        <v>0.99999996883310804</v>
      </c>
    </row>
    <row r="4198" spans="1:40" x14ac:dyDescent="0.25">
      <c r="A4198" t="str">
        <f>"20190312154919237"</f>
        <v>20190312154919237</v>
      </c>
      <c r="B4198" t="str">
        <f>"1552376959229457"</f>
        <v>1552376959229457</v>
      </c>
      <c r="C4198" t="s">
        <v>40</v>
      </c>
      <c r="D4198">
        <v>4.6543340000000004</v>
      </c>
      <c r="E4198">
        <v>0.67669369999999995</v>
      </c>
      <c r="F4198" t="s">
        <v>63</v>
      </c>
      <c r="G4198">
        <v>-203.49019999999999</v>
      </c>
      <c r="H4198" s="1">
        <v>-1.053381E-5</v>
      </c>
      <c r="I4198">
        <v>148.40260000000001</v>
      </c>
      <c r="J4198">
        <v>-196.67580000000001</v>
      </c>
      <c r="K4198">
        <v>1.104152</v>
      </c>
      <c r="L4198">
        <v>151.04069999999999</v>
      </c>
      <c r="M4198">
        <v>-0.52144829999999998</v>
      </c>
      <c r="N4198">
        <v>0</v>
      </c>
      <c r="O4198">
        <v>-0.853159</v>
      </c>
      <c r="P4198">
        <v>-0.68831830000000005</v>
      </c>
      <c r="Q4198">
        <v>1.0235940000000001E-2</v>
      </c>
      <c r="R4198">
        <v>-0.7253366</v>
      </c>
      <c r="S4198">
        <v>-3.084641</v>
      </c>
      <c r="T4198">
        <v>-0.49506080000000002</v>
      </c>
      <c r="U4198">
        <v>-1.22583</v>
      </c>
      <c r="V4198">
        <v>0.20937020000000001</v>
      </c>
      <c r="W4198">
        <v>2.1451560000000001E-2</v>
      </c>
      <c r="X4198">
        <v>0.9776011</v>
      </c>
      <c r="Y4198">
        <v>0.58836339999999998</v>
      </c>
      <c r="Z4198">
        <v>0.1513716</v>
      </c>
      <c r="AA4198">
        <v>0.7943017</v>
      </c>
      <c r="AB4198">
        <v>21</v>
      </c>
      <c r="AC4198">
        <v>-6.8143999999999698</v>
      </c>
      <c r="AD4198">
        <v>-1.1041625338100001</v>
      </c>
      <c r="AE4198">
        <v>-2.6380999999999801</v>
      </c>
      <c r="AF4198">
        <v>4.3395194381192796</v>
      </c>
      <c r="AG4198">
        <v>-1.1041625338100001</v>
      </c>
      <c r="AH4198">
        <v>5.6751105881372101</v>
      </c>
      <c r="AI4198">
        <v>98.785868881894899</v>
      </c>
      <c r="AJ4198">
        <v>52.596369916399198</v>
      </c>
      <c r="AK4198">
        <v>7.2289338109068302</v>
      </c>
      <c r="AL4198">
        <v>88.770821839936204</v>
      </c>
      <c r="AM4198">
        <v>77.911729188080002</v>
      </c>
      <c r="AN4198">
        <v>0.99999998039784099</v>
      </c>
    </row>
    <row r="4199" spans="1:40" x14ac:dyDescent="0.25">
      <c r="A4199" t="str">
        <f>"20190312154919255"</f>
        <v>20190312154919255</v>
      </c>
      <c r="B4199" t="str">
        <f>"1552376959249953"</f>
        <v>1552376959249953</v>
      </c>
      <c r="C4199" t="s">
        <v>40</v>
      </c>
      <c r="D4199">
        <v>4.632441</v>
      </c>
      <c r="E4199">
        <v>0.67599900000000002</v>
      </c>
      <c r="F4199" t="s">
        <v>63</v>
      </c>
      <c r="G4199">
        <v>-203.5487</v>
      </c>
      <c r="H4199" s="1">
        <v>-1.049107E-5</v>
      </c>
      <c r="I4199">
        <v>148.34610000000001</v>
      </c>
      <c r="J4199">
        <v>-196.78200000000001</v>
      </c>
      <c r="K4199">
        <v>1.104169</v>
      </c>
      <c r="L4199">
        <v>150.88669999999999</v>
      </c>
      <c r="M4199">
        <v>-0.52901180000000003</v>
      </c>
      <c r="N4199">
        <v>0</v>
      </c>
      <c r="O4199">
        <v>-0.84849010000000002</v>
      </c>
      <c r="P4199">
        <v>-0.69484869999999899</v>
      </c>
      <c r="Q4199">
        <v>1.074876E-2</v>
      </c>
      <c r="R4199">
        <v>-0.71907589999999999</v>
      </c>
      <c r="S4199">
        <v>-3.0894620000000002</v>
      </c>
      <c r="T4199">
        <v>-0.49633709999999998</v>
      </c>
      <c r="U4199">
        <v>-1.2112579999999999</v>
      </c>
      <c r="V4199">
        <v>0.20952960000000001</v>
      </c>
      <c r="W4199">
        <v>2.1964040000000001E-2</v>
      </c>
      <c r="X4199">
        <v>0.97755559999999997</v>
      </c>
      <c r="Y4199">
        <v>0.58487109999999998</v>
      </c>
      <c r="Z4199">
        <v>0.15128699999999901</v>
      </c>
      <c r="AA4199">
        <v>0.79689279999999996</v>
      </c>
      <c r="AB4199">
        <v>21</v>
      </c>
      <c r="AC4199">
        <v>-6.7666999999999797</v>
      </c>
      <c r="AD4199">
        <v>-1.10417949107</v>
      </c>
      <c r="AE4199">
        <v>-2.54059999999998</v>
      </c>
      <c r="AF4199">
        <v>4.2976390571586398</v>
      </c>
      <c r="AG4199">
        <v>-1.10417949107</v>
      </c>
      <c r="AH4199">
        <v>5.6051342588608</v>
      </c>
      <c r="AI4199">
        <v>98.885186802918895</v>
      </c>
      <c r="AJ4199">
        <v>52.521441961577402</v>
      </c>
      <c r="AK4199">
        <v>7.1488771058097003</v>
      </c>
      <c r="AL4199">
        <v>88.741452016593399</v>
      </c>
      <c r="AM4199">
        <v>77.902250522127503</v>
      </c>
      <c r="AN4199">
        <v>1.00000001171032</v>
      </c>
    </row>
    <row r="4200" spans="1:40" x14ac:dyDescent="0.25">
      <c r="A4200" t="str">
        <f>"20190312154919279"</f>
        <v>20190312154919279</v>
      </c>
      <c r="B4200" t="str">
        <f>"1552376959270449"</f>
        <v>1552376959270449</v>
      </c>
      <c r="C4200" t="s">
        <v>40</v>
      </c>
      <c r="D4200">
        <v>4.6456920000000004</v>
      </c>
      <c r="E4200">
        <v>0.6756491</v>
      </c>
      <c r="F4200" t="s">
        <v>63</v>
      </c>
      <c r="G4200">
        <v>-203.68260000000001</v>
      </c>
      <c r="H4200" s="1">
        <v>-1.04006E-5</v>
      </c>
      <c r="I4200">
        <v>148.24160000000001</v>
      </c>
      <c r="J4200">
        <v>-196.9066</v>
      </c>
      <c r="K4200">
        <v>1.1041890000000001</v>
      </c>
      <c r="L4200">
        <v>150.70949999999999</v>
      </c>
      <c r="M4200">
        <v>-0.53772249999999999</v>
      </c>
      <c r="N4200">
        <v>0</v>
      </c>
      <c r="O4200">
        <v>-0.842996999999999</v>
      </c>
      <c r="P4200">
        <v>-0.70201329999999995</v>
      </c>
      <c r="Q4200">
        <v>1.098829E-2</v>
      </c>
      <c r="R4200">
        <v>-0.71207959999999904</v>
      </c>
      <c r="S4200">
        <v>-3.0967099999999999</v>
      </c>
      <c r="T4200">
        <v>-0.49551139999999999</v>
      </c>
      <c r="U4200">
        <v>-1.1870419999999999</v>
      </c>
      <c r="V4200">
        <v>0.2092533</v>
      </c>
      <c r="W4200">
        <v>2.2211459999999999E-2</v>
      </c>
      <c r="X4200">
        <v>0.97760919999999896</v>
      </c>
      <c r="Y4200">
        <v>0.58269989999999905</v>
      </c>
      <c r="Z4200">
        <v>0.150623799999999</v>
      </c>
      <c r="AA4200">
        <v>0.79860719999999996</v>
      </c>
      <c r="AB4200">
        <v>21</v>
      </c>
      <c r="AC4200">
        <v>-6.7760000000000096</v>
      </c>
      <c r="AD4200">
        <v>-1.10419940059999</v>
      </c>
      <c r="AE4200">
        <v>-2.4678999999999802</v>
      </c>
      <c r="AF4200">
        <v>4.2850994264896602</v>
      </c>
      <c r="AG4200">
        <v>-1.10419940059999</v>
      </c>
      <c r="AH4200">
        <v>5.5935024034074399</v>
      </c>
      <c r="AI4200">
        <v>98.906264798088401</v>
      </c>
      <c r="AJ4200">
        <v>52.544808731745597</v>
      </c>
      <c r="AK4200">
        <v>7.1322228335990898</v>
      </c>
      <c r="AL4200">
        <v>88.7272724464802</v>
      </c>
      <c r="AM4200">
        <v>77.918377377066605</v>
      </c>
      <c r="AN4200">
        <v>1.00000002022043</v>
      </c>
    </row>
    <row r="4201" spans="1:40" x14ac:dyDescent="0.25">
      <c r="A4201" t="str">
        <f>"20190312154919290"</f>
        <v>20190312154919290</v>
      </c>
      <c r="B4201" t="str">
        <f>"1552376959280209"</f>
        <v>1552376959280209</v>
      </c>
      <c r="C4201" t="s">
        <v>40</v>
      </c>
      <c r="D4201">
        <v>4.6224489999999996</v>
      </c>
      <c r="E4201">
        <v>0.6617923</v>
      </c>
      <c r="F4201" t="s">
        <v>63</v>
      </c>
      <c r="G4201">
        <v>-203.83519999999999</v>
      </c>
      <c r="H4201" s="1">
        <v>-1.029897E-5</v>
      </c>
      <c r="I4201">
        <v>148.1275</v>
      </c>
      <c r="J4201">
        <v>-196.97290000000001</v>
      </c>
      <c r="K4201">
        <v>1.104204</v>
      </c>
      <c r="L4201">
        <v>150.61689999999999</v>
      </c>
      <c r="M4201">
        <v>-0.54227769999999897</v>
      </c>
      <c r="N4201">
        <v>0</v>
      </c>
      <c r="O4201">
        <v>-0.84007389999999904</v>
      </c>
      <c r="P4201">
        <v>-0.70558259999999995</v>
      </c>
      <c r="Q4201">
        <v>1.123683E-2</v>
      </c>
      <c r="R4201">
        <v>-0.70853880000000002</v>
      </c>
      <c r="S4201">
        <v>-3.1067659999999999</v>
      </c>
      <c r="T4201">
        <v>-0.49512420000000001</v>
      </c>
      <c r="U4201">
        <v>-1.1578059999999999</v>
      </c>
      <c r="V4201">
        <v>0.20887919999999999</v>
      </c>
      <c r="W4201">
        <v>2.2468889999999998E-2</v>
      </c>
      <c r="X4201">
        <v>0.97768330000000003</v>
      </c>
      <c r="Y4201">
        <v>0.58577860000000004</v>
      </c>
      <c r="Z4201">
        <v>0.15051110000000001</v>
      </c>
      <c r="AA4201">
        <v>0.796373</v>
      </c>
      <c r="AB4201">
        <v>21</v>
      </c>
      <c r="AC4201">
        <v>-6.8622999999999701</v>
      </c>
      <c r="AD4201">
        <v>-1.1042142989699999</v>
      </c>
      <c r="AE4201">
        <v>-2.4893999999999799</v>
      </c>
      <c r="AF4201">
        <v>4.3165903627500803</v>
      </c>
      <c r="AG4201">
        <v>-1.1042142989699999</v>
      </c>
      <c r="AH4201">
        <v>5.6831290877673801</v>
      </c>
      <c r="AI4201">
        <v>98.795388799726098</v>
      </c>
      <c r="AJ4201">
        <v>52.781706752521799</v>
      </c>
      <c r="AK4201">
        <v>7.2215093855830697</v>
      </c>
      <c r="AL4201">
        <v>88.712519090210407</v>
      </c>
      <c r="AM4201">
        <v>77.9402311125544</v>
      </c>
      <c r="AN4201">
        <v>1.0000000031546801</v>
      </c>
    </row>
    <row r="4202" spans="1:40" x14ac:dyDescent="0.25">
      <c r="A4202" t="str">
        <f>"20190312154919303"</f>
        <v>20190312154919303</v>
      </c>
      <c r="B4202" t="str">
        <f>"1552376959299729"</f>
        <v>1552376959299729</v>
      </c>
      <c r="C4202" t="s">
        <v>40</v>
      </c>
      <c r="D4202">
        <v>4.6604169999999998</v>
      </c>
      <c r="E4202">
        <v>0.66159939999999995</v>
      </c>
      <c r="F4202" t="s">
        <v>63</v>
      </c>
      <c r="G4202">
        <v>-204.44810000000001</v>
      </c>
      <c r="H4202" s="1">
        <v>-9.9067689999999999E-6</v>
      </c>
      <c r="I4202">
        <v>147.61170000000001</v>
      </c>
      <c r="J4202">
        <v>-197.04900000000001</v>
      </c>
      <c r="K4202">
        <v>1.104217</v>
      </c>
      <c r="L4202">
        <v>150.51159999999999</v>
      </c>
      <c r="M4202">
        <v>-0.54745639999999995</v>
      </c>
      <c r="N4202">
        <v>0</v>
      </c>
      <c r="O4202">
        <v>-0.83670849999999997</v>
      </c>
      <c r="P4202">
        <v>-0.70990330000000001</v>
      </c>
      <c r="Q4202">
        <v>1.0916189999999999E-2</v>
      </c>
      <c r="R4202">
        <v>-0.70421489999999998</v>
      </c>
      <c r="S4202">
        <v>-3.0340419999999999</v>
      </c>
      <c r="T4202">
        <v>-0.44818259999999999</v>
      </c>
      <c r="U4202">
        <v>-1.2197720000000001</v>
      </c>
      <c r="V4202">
        <v>0.20881240000000001</v>
      </c>
      <c r="W4202">
        <v>2.2151870000000001E-2</v>
      </c>
      <c r="X4202">
        <v>0.97770480000000004</v>
      </c>
      <c r="Y4202">
        <v>0.56221189999999999</v>
      </c>
      <c r="Z4202">
        <v>0.13687779999999899</v>
      </c>
      <c r="AA4202">
        <v>0.81558699999999995</v>
      </c>
      <c r="AB4202">
        <v>21</v>
      </c>
      <c r="AC4202">
        <v>-7.3990999999999998</v>
      </c>
      <c r="AD4202">
        <v>-1.104226906769</v>
      </c>
      <c r="AE4202">
        <v>-2.8998999999999699</v>
      </c>
      <c r="AF4202">
        <v>4.5166059297575396</v>
      </c>
      <c r="AG4202">
        <v>-1.104226906769</v>
      </c>
      <c r="AH4202">
        <v>6.3550440113945896</v>
      </c>
      <c r="AI4202">
        <v>98.0611897101968</v>
      </c>
      <c r="AJ4202">
        <v>54.598135665170297</v>
      </c>
      <c r="AK4202">
        <v>7.8743654076449801</v>
      </c>
      <c r="AL4202">
        <v>88.730687516301998</v>
      </c>
      <c r="AM4202">
        <v>77.944232358124694</v>
      </c>
      <c r="AN4202">
        <v>0.99999999984064802</v>
      </c>
    </row>
    <row r="4203" spans="1:40" x14ac:dyDescent="0.25">
      <c r="A4203" t="str">
        <f>"20190312154919325"</f>
        <v>20190312154919325</v>
      </c>
      <c r="B4203" t="str">
        <f>"1552376959320224"</f>
        <v>1552376959320224</v>
      </c>
      <c r="C4203" t="s">
        <v>40</v>
      </c>
      <c r="D4203">
        <v>4.656574</v>
      </c>
      <c r="E4203">
        <v>0.66105459999999905</v>
      </c>
      <c r="F4203" t="s">
        <v>63</v>
      </c>
      <c r="G4203">
        <v>-204.1807</v>
      </c>
      <c r="H4203" s="1">
        <v>-1.0028500000000001E-5</v>
      </c>
      <c r="I4203">
        <v>147.69159999999999</v>
      </c>
      <c r="J4203">
        <v>-197.16249999999999</v>
      </c>
      <c r="K4203">
        <v>1.104231</v>
      </c>
      <c r="L4203">
        <v>150.35740000000001</v>
      </c>
      <c r="M4203">
        <v>-0.55504129999999996</v>
      </c>
      <c r="N4203">
        <v>0</v>
      </c>
      <c r="O4203">
        <v>-0.83169629999999894</v>
      </c>
      <c r="P4203">
        <v>-0.71611969999999903</v>
      </c>
      <c r="Q4203">
        <v>1.052985E-2</v>
      </c>
      <c r="R4203">
        <v>-0.69789829999999997</v>
      </c>
      <c r="S4203">
        <v>-3.0405120000000001</v>
      </c>
      <c r="T4203">
        <v>-0.470777</v>
      </c>
      <c r="U4203">
        <v>-1.202286</v>
      </c>
      <c r="V4203">
        <v>0.2085823</v>
      </c>
      <c r="W4203">
        <v>2.1774780000000001E-2</v>
      </c>
      <c r="X4203">
        <v>0.97776240000000003</v>
      </c>
      <c r="Y4203">
        <v>0.55840409999999996</v>
      </c>
      <c r="Z4203">
        <v>0.1431259</v>
      </c>
      <c r="AA4203">
        <v>0.81712899999999999</v>
      </c>
      <c r="AB4203">
        <v>21</v>
      </c>
      <c r="AC4203">
        <v>-7.0182000000000002</v>
      </c>
      <c r="AD4203">
        <v>-1.1042410284999999</v>
      </c>
      <c r="AE4203">
        <v>-2.6658000000000102</v>
      </c>
      <c r="AF4203">
        <v>4.26555772647027</v>
      </c>
      <c r="AG4203">
        <v>-1.1042410284999999</v>
      </c>
      <c r="AH4203">
        <v>5.9837161104633596</v>
      </c>
      <c r="AI4203">
        <v>98.545804341699593</v>
      </c>
      <c r="AJ4203">
        <v>54.516411799301501</v>
      </c>
      <c r="AK4203">
        <v>7.4309615432655596</v>
      </c>
      <c r="AL4203">
        <v>88.752298412496103</v>
      </c>
      <c r="AM4203">
        <v>77.957817866743397</v>
      </c>
      <c r="AN4203">
        <v>1.0000000138855401</v>
      </c>
    </row>
    <row r="4204" spans="1:40" x14ac:dyDescent="0.25">
      <c r="A4204" t="str">
        <f>"20190312154919350"</f>
        <v>20190312154919350</v>
      </c>
      <c r="B4204" t="str">
        <f>"1552376959339746"</f>
        <v>1552376959339746</v>
      </c>
      <c r="C4204" t="s">
        <v>40</v>
      </c>
      <c r="D4204">
        <v>4.6481690000000002</v>
      </c>
      <c r="E4204">
        <v>0.66029090000000001</v>
      </c>
      <c r="F4204" t="s">
        <v>63</v>
      </c>
      <c r="G4204">
        <v>-204.1601</v>
      </c>
      <c r="H4204" s="1">
        <v>-1.0026059999999999E-5</v>
      </c>
      <c r="I4204">
        <v>147.65289999999999</v>
      </c>
      <c r="J4204">
        <v>-197.30529999999999</v>
      </c>
      <c r="K4204">
        <v>1.104257</v>
      </c>
      <c r="L4204">
        <v>150.1677</v>
      </c>
      <c r="M4204">
        <v>-0.56437919999999997</v>
      </c>
      <c r="N4204">
        <v>0</v>
      </c>
      <c r="O4204">
        <v>-0.82538829999999996</v>
      </c>
      <c r="P4204">
        <v>-0.72415600000000002</v>
      </c>
      <c r="Q4204">
        <v>1.011977E-2</v>
      </c>
      <c r="R4204">
        <v>-0.68956209999999996</v>
      </c>
      <c r="S4204">
        <v>-3.048203</v>
      </c>
      <c r="T4204">
        <v>-0.48101909999999998</v>
      </c>
      <c r="U4204">
        <v>-1.1781159999999999</v>
      </c>
      <c r="V4204">
        <v>0.20887849999999999</v>
      </c>
      <c r="W4204">
        <v>2.136718E-2</v>
      </c>
      <c r="X4204">
        <v>0.97770820000000003</v>
      </c>
      <c r="Y4204">
        <v>0.55500229999999995</v>
      </c>
      <c r="Z4204">
        <v>0.14558570000000001</v>
      </c>
      <c r="AA4204">
        <v>0.81901000000000002</v>
      </c>
      <c r="AB4204">
        <v>21</v>
      </c>
      <c r="AC4204">
        <v>-6.8548000000000098</v>
      </c>
      <c r="AD4204">
        <v>-1.10426702606</v>
      </c>
      <c r="AE4204">
        <v>-2.5148000000000001</v>
      </c>
      <c r="AF4204">
        <v>4.1442265807952898</v>
      </c>
      <c r="AG4204">
        <v>-1.10426702606</v>
      </c>
      <c r="AH4204">
        <v>5.8120796308503797</v>
      </c>
      <c r="AI4204">
        <v>98.793765051131302</v>
      </c>
      <c r="AJ4204">
        <v>54.509733409662402</v>
      </c>
      <c r="AK4204">
        <v>7.22317722703517</v>
      </c>
      <c r="AL4204">
        <v>88.775657656717698</v>
      </c>
      <c r="AM4204">
        <v>77.940568487326203</v>
      </c>
      <c r="AN4204">
        <v>1.00000005424531</v>
      </c>
    </row>
    <row r="4205" spans="1:40" x14ac:dyDescent="0.25">
      <c r="A4205" t="str">
        <f>"20190312154919370"</f>
        <v>20190312154919370</v>
      </c>
      <c r="B4205" t="str">
        <f>"1552376959359772"</f>
        <v>1552376959359772</v>
      </c>
      <c r="C4205" t="s">
        <v>40</v>
      </c>
      <c r="D4205">
        <v>4.6763219999999999</v>
      </c>
      <c r="E4205">
        <v>0.65929259999999901</v>
      </c>
      <c r="F4205" t="s">
        <v>63</v>
      </c>
      <c r="G4205">
        <v>-204.1695</v>
      </c>
      <c r="H4205" s="1">
        <v>-1.000638E-5</v>
      </c>
      <c r="I4205">
        <v>147.59180000000001</v>
      </c>
      <c r="J4205">
        <v>-197.4263</v>
      </c>
      <c r="K4205">
        <v>1.1042809999999901</v>
      </c>
      <c r="L4205">
        <v>150.0102</v>
      </c>
      <c r="M4205">
        <v>-0.57212640000000003</v>
      </c>
      <c r="N4205">
        <v>0</v>
      </c>
      <c r="O4205">
        <v>-0.82003769999999998</v>
      </c>
      <c r="P4205">
        <v>-0.73092460000000004</v>
      </c>
      <c r="Q4205">
        <v>1.0222429999999999E-2</v>
      </c>
      <c r="R4205">
        <v>-0.6823823</v>
      </c>
      <c r="S4205">
        <v>-3.0571899999999999</v>
      </c>
      <c r="T4205">
        <v>-0.49182360000000003</v>
      </c>
      <c r="U4205">
        <v>-1.1472629999999999</v>
      </c>
      <c r="V4205">
        <v>0.2093198</v>
      </c>
      <c r="W4205">
        <v>2.1468729999999998E-2</v>
      </c>
      <c r="X4205">
        <v>0.97761149999999997</v>
      </c>
      <c r="Y4205">
        <v>0.55474659999999998</v>
      </c>
      <c r="Z4205">
        <v>0.1484692</v>
      </c>
      <c r="AA4205">
        <v>0.81866539999999999</v>
      </c>
      <c r="AB4205">
        <v>21</v>
      </c>
      <c r="AC4205">
        <v>-6.7431999999999999</v>
      </c>
      <c r="AD4205">
        <v>-1.10429100637999</v>
      </c>
      <c r="AE4205">
        <v>-2.4183999999999899</v>
      </c>
      <c r="AF4205">
        <v>4.0502398629911198</v>
      </c>
      <c r="AG4205">
        <v>-1.10429100637999</v>
      </c>
      <c r="AH4205">
        <v>5.7061633995432297</v>
      </c>
      <c r="AI4205">
        <v>98.968037320546202</v>
      </c>
      <c r="AJ4205">
        <v>54.632833555817598</v>
      </c>
      <c r="AK4205">
        <v>7.0840809084044798</v>
      </c>
      <c r="AL4205">
        <v>88.769837825811194</v>
      </c>
      <c r="AM4205">
        <v>77.9146783309548</v>
      </c>
      <c r="AN4205">
        <v>0.99999996498605004</v>
      </c>
    </row>
    <row r="4206" spans="1:40" x14ac:dyDescent="0.25">
      <c r="A4206" t="str">
        <f>"20190312154919391"</f>
        <v>20190312154919391</v>
      </c>
      <c r="B4206" t="str">
        <f>"1552376959380268"</f>
        <v>1552376959380268</v>
      </c>
      <c r="C4206" t="s">
        <v>40</v>
      </c>
      <c r="D4206">
        <v>4.682741</v>
      </c>
      <c r="E4206">
        <v>0.65781069999999997</v>
      </c>
      <c r="F4206" t="s">
        <v>63</v>
      </c>
      <c r="G4206">
        <v>-204.21190000000001</v>
      </c>
      <c r="H4206" s="1">
        <v>-9.9720700000000002E-6</v>
      </c>
      <c r="I4206">
        <v>147.5223</v>
      </c>
      <c r="J4206">
        <v>-197.548</v>
      </c>
      <c r="K4206">
        <v>1.1043080000000001</v>
      </c>
      <c r="L4206">
        <v>149.85489999999999</v>
      </c>
      <c r="M4206">
        <v>-0.57976229999999995</v>
      </c>
      <c r="N4206">
        <v>0</v>
      </c>
      <c r="O4206">
        <v>-0.81465669999999901</v>
      </c>
      <c r="P4206">
        <v>-0.73738119999999996</v>
      </c>
      <c r="Q4206">
        <v>1.021474E-2</v>
      </c>
      <c r="R4206">
        <v>-0.67539939999999998</v>
      </c>
      <c r="S4206">
        <v>-3.0629430000000002</v>
      </c>
      <c r="T4206">
        <v>-0.49846780000000002</v>
      </c>
      <c r="U4206">
        <v>-1.1230009999999999</v>
      </c>
      <c r="V4206">
        <v>0.20948330000000001</v>
      </c>
      <c r="W4206">
        <v>2.1464440000000001E-2</v>
      </c>
      <c r="X4206">
        <v>0.97757660000000002</v>
      </c>
      <c r="Y4206">
        <v>0.55293110000000001</v>
      </c>
      <c r="Z4206">
        <v>0.1500216</v>
      </c>
      <c r="AA4206">
        <v>0.81961010000000001</v>
      </c>
      <c r="AB4206">
        <v>21</v>
      </c>
      <c r="AC4206">
        <v>-6.6639000000000097</v>
      </c>
      <c r="AD4206">
        <v>-1.10431797207</v>
      </c>
      <c r="AE4206">
        <v>-2.3325999999999798</v>
      </c>
      <c r="AF4206">
        <v>3.9795091167121499</v>
      </c>
      <c r="AG4206">
        <v>-1.10431797207</v>
      </c>
      <c r="AH4206">
        <v>5.6266978305264104</v>
      </c>
      <c r="AI4206">
        <v>99.103553786184506</v>
      </c>
      <c r="AJ4206">
        <v>54.729956348513902</v>
      </c>
      <c r="AK4206">
        <v>6.9796661431247902</v>
      </c>
      <c r="AL4206">
        <v>88.770083714616405</v>
      </c>
      <c r="AM4206">
        <v>77.9050972271462</v>
      </c>
      <c r="AN4206">
        <v>0.99999999201548095</v>
      </c>
    </row>
    <row r="4207" spans="1:40" x14ac:dyDescent="0.25">
      <c r="A4207" t="str">
        <f>"20190312154919403"</f>
        <v>20190312154919403</v>
      </c>
      <c r="B4207" t="str">
        <f>"1552376959399788"</f>
        <v>1552376959399788</v>
      </c>
      <c r="C4207" t="s">
        <v>40</v>
      </c>
      <c r="D4207">
        <v>4.5526239999999998</v>
      </c>
      <c r="E4207">
        <v>0.66657880000000003</v>
      </c>
      <c r="F4207" t="s">
        <v>63</v>
      </c>
      <c r="G4207">
        <v>-202.85980000000001</v>
      </c>
      <c r="H4207" s="1">
        <v>-1.0676679999999999E-5</v>
      </c>
      <c r="I4207">
        <v>147.94309999999999</v>
      </c>
      <c r="J4207">
        <v>-197.62690000000001</v>
      </c>
      <c r="K4207">
        <v>1.104325</v>
      </c>
      <c r="L4207">
        <v>149.75540000000001</v>
      </c>
      <c r="M4207">
        <v>-0.58464769999999999</v>
      </c>
      <c r="N4207">
        <v>0</v>
      </c>
      <c r="O4207">
        <v>-0.81115819999999905</v>
      </c>
      <c r="P4207">
        <v>-0.74170100000000005</v>
      </c>
      <c r="Q4207">
        <v>1.0241979999999999E-2</v>
      </c>
      <c r="R4207">
        <v>-0.6706529</v>
      </c>
      <c r="S4207">
        <v>-3.0664220000000002</v>
      </c>
      <c r="T4207">
        <v>-0.63750580000000001</v>
      </c>
      <c r="U4207">
        <v>-1.1036379999999999</v>
      </c>
      <c r="V4207">
        <v>0.2098824</v>
      </c>
      <c r="W4207">
        <v>2.148827E-2</v>
      </c>
      <c r="X4207">
        <v>0.97749050000000004</v>
      </c>
      <c r="Y4207">
        <v>0.54512569999999905</v>
      </c>
      <c r="Z4207">
        <v>0.1901544</v>
      </c>
      <c r="AA4207">
        <v>0.81650429999999996</v>
      </c>
      <c r="AB4207">
        <v>21</v>
      </c>
      <c r="AC4207">
        <v>-5.2328999999999999</v>
      </c>
      <c r="AD4207">
        <v>-1.1043356766799901</v>
      </c>
      <c r="AE4207">
        <v>-1.81230000000002</v>
      </c>
      <c r="AF4207">
        <v>3.0636543868924502</v>
      </c>
      <c r="AG4207">
        <v>-1.1043356766799901</v>
      </c>
      <c r="AH4207">
        <v>4.3566875464144097</v>
      </c>
      <c r="AI4207">
        <v>101.714087567481</v>
      </c>
      <c r="AJ4207">
        <v>54.884834373117897</v>
      </c>
      <c r="AK4207">
        <v>5.4393254973568297</v>
      </c>
      <c r="AL4207">
        <v>88.768718078839896</v>
      </c>
      <c r="AM4207">
        <v>77.881699023348901</v>
      </c>
      <c r="AN4207">
        <v>1.0000000225837999</v>
      </c>
    </row>
    <row r="4208" spans="1:40" x14ac:dyDescent="0.25">
      <c r="A4208" t="str">
        <f>"20190312154919417"</f>
        <v>20190312154919417</v>
      </c>
      <c r="B4208" t="str">
        <f>"1552376959410524"</f>
        <v>1552376959410524</v>
      </c>
      <c r="C4208" t="s">
        <v>40</v>
      </c>
      <c r="D4208">
        <v>4.5688789999999999</v>
      </c>
      <c r="E4208">
        <v>0.6691165</v>
      </c>
      <c r="F4208" t="s">
        <v>63</v>
      </c>
      <c r="G4208">
        <v>-203.5078</v>
      </c>
      <c r="H4208" s="1">
        <v>-1.0350020000000001E-5</v>
      </c>
      <c r="I4208">
        <v>147.81110000000001</v>
      </c>
      <c r="J4208">
        <v>-197.7054</v>
      </c>
      <c r="K4208">
        <v>1.104339</v>
      </c>
      <c r="L4208">
        <v>149.65819999999999</v>
      </c>
      <c r="M4208">
        <v>-0.58942759999999905</v>
      </c>
      <c r="N4208">
        <v>0</v>
      </c>
      <c r="O4208">
        <v>-0.8076913</v>
      </c>
      <c r="P4208">
        <v>-0.74567850000000002</v>
      </c>
      <c r="Q4208">
        <v>1.009062E-2</v>
      </c>
      <c r="R4208">
        <v>-0.66622950000000003</v>
      </c>
      <c r="S4208">
        <v>-3.1200709999999998</v>
      </c>
      <c r="T4208">
        <v>-0.58589979999999997</v>
      </c>
      <c r="U4208">
        <v>-1.0315700000000001</v>
      </c>
      <c r="V4208">
        <v>0.20992230000000001</v>
      </c>
      <c r="W4208">
        <v>2.1339529999999999E-2</v>
      </c>
      <c r="X4208">
        <v>0.97748520000000005</v>
      </c>
      <c r="Y4208">
        <v>0.56471590000000005</v>
      </c>
      <c r="Z4208">
        <v>0.17470250000000001</v>
      </c>
      <c r="AA4208">
        <v>0.80658229999999997</v>
      </c>
      <c r="AB4208">
        <v>21</v>
      </c>
      <c r="AC4208">
        <v>-5.8023999999999996</v>
      </c>
      <c r="AD4208">
        <v>-1.1043493500199999</v>
      </c>
      <c r="AE4208">
        <v>-1.84709999999998</v>
      </c>
      <c r="AF4208">
        <v>3.48361417127072</v>
      </c>
      <c r="AG4208">
        <v>-1.1043493500199999</v>
      </c>
      <c r="AH4208">
        <v>4.7560648906260399</v>
      </c>
      <c r="AI4208">
        <v>100.60991114836099</v>
      </c>
      <c r="AJ4208">
        <v>53.778818038289401</v>
      </c>
      <c r="AK4208">
        <v>5.9979420158095502</v>
      </c>
      <c r="AL4208">
        <v>88.777242218906807</v>
      </c>
      <c r="AM4208">
        <v>77.879399591955007</v>
      </c>
      <c r="AN4208">
        <v>1.0000000318984701</v>
      </c>
    </row>
    <row r="4209" spans="1:40" x14ac:dyDescent="0.25">
      <c r="A4209" t="str">
        <f>"20190312154919436"</f>
        <v>20190312154919436</v>
      </c>
      <c r="B4209" t="str">
        <f>"1552376959430044"</f>
        <v>1552376959430044</v>
      </c>
      <c r="C4209" t="s">
        <v>40</v>
      </c>
      <c r="D4209">
        <v>4.5314709999999998</v>
      </c>
      <c r="E4209">
        <v>0.672496599999999</v>
      </c>
      <c r="F4209" t="s">
        <v>63</v>
      </c>
      <c r="G4209">
        <v>-203.87049999999999</v>
      </c>
      <c r="H4209" s="1">
        <v>-1.015589E-5</v>
      </c>
      <c r="I4209">
        <v>147.69909999999999</v>
      </c>
      <c r="J4209">
        <v>-197.82159999999999</v>
      </c>
      <c r="K4209">
        <v>1.104355</v>
      </c>
      <c r="L4209">
        <v>149.51609999999999</v>
      </c>
      <c r="M4209">
        <v>-0.59641239999999995</v>
      </c>
      <c r="N4209">
        <v>0</v>
      </c>
      <c r="O4209">
        <v>-0.80254759999999903</v>
      </c>
      <c r="P4209">
        <v>-0.751475</v>
      </c>
      <c r="Q4209">
        <v>1.059323E-2</v>
      </c>
      <c r="R4209">
        <v>-0.65967640000000005</v>
      </c>
      <c r="S4209">
        <v>-3.1394350000000002</v>
      </c>
      <c r="T4209">
        <v>-0.56236769999999903</v>
      </c>
      <c r="U4209">
        <v>-0.99765009999999998</v>
      </c>
      <c r="V4209">
        <v>0.2099994</v>
      </c>
      <c r="W4209">
        <v>2.1844860000000001E-2</v>
      </c>
      <c r="X4209">
        <v>0.97745749999999998</v>
      </c>
      <c r="Y4209">
        <v>0.56842609999999905</v>
      </c>
      <c r="Z4209">
        <v>0.1671879</v>
      </c>
      <c r="AA4209">
        <v>0.80556799999999995</v>
      </c>
      <c r="AB4209">
        <v>21</v>
      </c>
      <c r="AC4209">
        <v>-6.0488999999999997</v>
      </c>
      <c r="AD4209">
        <v>-1.1043651558900001</v>
      </c>
      <c r="AE4209">
        <v>-1.8169999999999999</v>
      </c>
      <c r="AF4209">
        <v>3.6593623135140398</v>
      </c>
      <c r="AG4209">
        <v>-1.1043651558900001</v>
      </c>
      <c r="AH4209">
        <v>4.9160937058905301</v>
      </c>
      <c r="AI4209">
        <v>100.215105556183</v>
      </c>
      <c r="AJ4209">
        <v>53.337336693819701</v>
      </c>
      <c r="AK4209">
        <v>6.22724114389408</v>
      </c>
      <c r="AL4209">
        <v>88.748282220615806</v>
      </c>
      <c r="AM4209">
        <v>77.874746210944494</v>
      </c>
      <c r="AN4209">
        <v>1.0000000551075101</v>
      </c>
    </row>
    <row r="4210" spans="1:40" x14ac:dyDescent="0.25">
      <c r="A4210" t="str">
        <f>"20190312154919457"</f>
        <v>20190312154919457</v>
      </c>
      <c r="B4210" t="str">
        <f>"1552376959449564"</f>
        <v>1552376959449564</v>
      </c>
      <c r="C4210" t="s">
        <v>40</v>
      </c>
      <c r="D4210">
        <v>4.7122570000000001</v>
      </c>
      <c r="E4210">
        <v>0.67241689999999998</v>
      </c>
      <c r="F4210" t="s">
        <v>63</v>
      </c>
      <c r="G4210">
        <v>-204.68279999999999</v>
      </c>
      <c r="H4210" s="1">
        <v>-9.7777139999999995E-6</v>
      </c>
      <c r="I4210">
        <v>147.45760000000001</v>
      </c>
      <c r="J4210">
        <v>-197.95179999999999</v>
      </c>
      <c r="K4210">
        <v>1.104373</v>
      </c>
      <c r="L4210">
        <v>149.3597</v>
      </c>
      <c r="M4210">
        <v>-0.60409969999999902</v>
      </c>
      <c r="N4210">
        <v>0</v>
      </c>
      <c r="O4210">
        <v>-0.79677739999999997</v>
      </c>
      <c r="P4210">
        <v>-0.75760450000000001</v>
      </c>
      <c r="Q4210">
        <v>1.0785650000000001E-2</v>
      </c>
      <c r="R4210">
        <v>-0.65262489999999995</v>
      </c>
      <c r="S4210">
        <v>-3.1656339999999998</v>
      </c>
      <c r="T4210">
        <v>-0.50952900000000001</v>
      </c>
      <c r="U4210">
        <v>-0.94973750000000001</v>
      </c>
      <c r="V4210">
        <v>0.20973749999999999</v>
      </c>
      <c r="W4210">
        <v>2.2045080000000002E-2</v>
      </c>
      <c r="X4210">
        <v>0.97750919999999997</v>
      </c>
      <c r="Y4210">
        <v>0.57653809999999905</v>
      </c>
      <c r="Z4210">
        <v>0.15124789999999999</v>
      </c>
      <c r="AA4210">
        <v>0.80294949999999998</v>
      </c>
      <c r="AB4210">
        <v>21</v>
      </c>
      <c r="AC4210">
        <v>-6.7309999999999901</v>
      </c>
      <c r="AD4210">
        <v>-1.1043827777140001</v>
      </c>
      <c r="AE4210">
        <v>-1.9020999999999899</v>
      </c>
      <c r="AF4210">
        <v>4.11198195746152</v>
      </c>
      <c r="AG4210">
        <v>-1.1043827777140001</v>
      </c>
      <c r="AH4210">
        <v>5.4465497039550899</v>
      </c>
      <c r="AI4210">
        <v>99.192317127143696</v>
      </c>
      <c r="AJ4210">
        <v>52.948288087072299</v>
      </c>
      <c r="AK4210">
        <v>6.9132453027397798</v>
      </c>
      <c r="AL4210">
        <v>88.736807652950304</v>
      </c>
      <c r="AM4210">
        <v>77.890043132549806</v>
      </c>
      <c r="AN4210">
        <v>1.00000002027154</v>
      </c>
    </row>
    <row r="4211" spans="1:40" x14ac:dyDescent="0.25">
      <c r="A4211" t="str">
        <f>"20190312154919470"</f>
        <v>20190312154919470</v>
      </c>
      <c r="B4211" t="str">
        <f>"1552376959460300"</f>
        <v>1552376959460300</v>
      </c>
      <c r="C4211" t="s">
        <v>40</v>
      </c>
      <c r="D4211">
        <v>4.5688579999999996</v>
      </c>
      <c r="E4211">
        <v>0.67261280000000001</v>
      </c>
      <c r="F4211" t="s">
        <v>63</v>
      </c>
      <c r="G4211">
        <v>-204.56800000000001</v>
      </c>
      <c r="H4211" s="1">
        <v>-9.8161879999999998E-6</v>
      </c>
      <c r="I4211">
        <v>147.43960000000001</v>
      </c>
      <c r="J4211">
        <v>-198.0258</v>
      </c>
      <c r="K4211">
        <v>1.104384</v>
      </c>
      <c r="L4211">
        <v>149.2722</v>
      </c>
      <c r="M4211">
        <v>-0.60840539999999999</v>
      </c>
      <c r="N4211">
        <v>0</v>
      </c>
      <c r="O4211">
        <v>-0.79349459999999905</v>
      </c>
      <c r="P4211">
        <v>-0.76108909999999996</v>
      </c>
      <c r="Q4211">
        <v>1.090674E-2</v>
      </c>
      <c r="R4211">
        <v>-0.6485554</v>
      </c>
      <c r="S4211">
        <v>-3.1739199999999999</v>
      </c>
      <c r="T4211">
        <v>-0.52979100000000001</v>
      </c>
      <c r="U4211">
        <v>-0.92109680000000005</v>
      </c>
      <c r="V4211">
        <v>0.20968229999999999</v>
      </c>
      <c r="W4211">
        <v>2.2169029999999999E-2</v>
      </c>
      <c r="X4211">
        <v>0.9775182</v>
      </c>
      <c r="Y4211">
        <v>0.57833889999999999</v>
      </c>
      <c r="Z4211">
        <v>0.15699749999999901</v>
      </c>
      <c r="AA4211">
        <v>0.80054729999999996</v>
      </c>
      <c r="AB4211">
        <v>21</v>
      </c>
      <c r="AC4211">
        <v>-6.5421999999999798</v>
      </c>
      <c r="AD4211">
        <v>-1.104393816188</v>
      </c>
      <c r="AE4211">
        <v>-1.83259999999998</v>
      </c>
      <c r="AF4211">
        <v>3.9717156893890699</v>
      </c>
      <c r="AG4211">
        <v>-1.104393816188</v>
      </c>
      <c r="AH4211">
        <v>5.2951199336809802</v>
      </c>
      <c r="AI4211">
        <v>99.472481163892894</v>
      </c>
      <c r="AJ4211">
        <v>53.1275004072141</v>
      </c>
      <c r="AK4211">
        <v>6.7106263739415102</v>
      </c>
      <c r="AL4211">
        <v>88.729704056652096</v>
      </c>
      <c r="AM4211">
        <v>77.893244445538002</v>
      </c>
      <c r="AN4211">
        <v>0.99999998207783503</v>
      </c>
    </row>
    <row r="4212" spans="1:40" x14ac:dyDescent="0.25">
      <c r="A4212" t="str">
        <f>"20190312154919482"</f>
        <v>20190312154919482</v>
      </c>
      <c r="B4212" t="str">
        <f>"1552376959479820"</f>
        <v>1552376959479820</v>
      </c>
      <c r="C4212" t="s">
        <v>40</v>
      </c>
      <c r="D4212">
        <v>4.5743119999999999</v>
      </c>
      <c r="E4212">
        <v>0.67259539999999995</v>
      </c>
      <c r="F4212" t="s">
        <v>63</v>
      </c>
      <c r="G4212">
        <v>-204.9674</v>
      </c>
      <c r="H4212" s="1">
        <v>-9.6286350000000004E-6</v>
      </c>
      <c r="I4212">
        <v>147.30109999999999</v>
      </c>
      <c r="J4212">
        <v>-198.1069</v>
      </c>
      <c r="K4212">
        <v>1.104393</v>
      </c>
      <c r="L4212">
        <v>149.1771</v>
      </c>
      <c r="M4212">
        <v>-0.61307809999999996</v>
      </c>
      <c r="N4212">
        <v>0</v>
      </c>
      <c r="O4212">
        <v>-0.78988990000000003</v>
      </c>
      <c r="P4212">
        <v>-0.76474799999999998</v>
      </c>
      <c r="Q4212">
        <v>1.107909E-2</v>
      </c>
      <c r="R4212">
        <v>-0.64423430000000004</v>
      </c>
      <c r="S4212">
        <v>-3.1795960000000001</v>
      </c>
      <c r="T4212">
        <v>-0.50586779999999998</v>
      </c>
      <c r="U4212">
        <v>-0.90286250000000001</v>
      </c>
      <c r="V4212">
        <v>0.20944950000000001</v>
      </c>
      <c r="W4212">
        <v>2.234684E-2</v>
      </c>
      <c r="X4212">
        <v>0.97756410000000005</v>
      </c>
      <c r="Y4212">
        <v>0.57945559999999996</v>
      </c>
      <c r="Z4212">
        <v>0.14975260000000001</v>
      </c>
      <c r="AA4212">
        <v>0.80112759999999905</v>
      </c>
      <c r="AB4212">
        <v>21</v>
      </c>
      <c r="AC4212">
        <v>-6.8605</v>
      </c>
      <c r="AD4212">
        <v>-1.1044026286349999</v>
      </c>
      <c r="AE4212">
        <v>-1.8759999999999999</v>
      </c>
      <c r="AF4212">
        <v>4.1688344718806496</v>
      </c>
      <c r="AG4212">
        <v>-1.1044026286349999</v>
      </c>
      <c r="AH4212">
        <v>5.55452237904138</v>
      </c>
      <c r="AI4212">
        <v>99.035694157351898</v>
      </c>
      <c r="AJ4212">
        <v>53.110680548548899</v>
      </c>
      <c r="AK4212">
        <v>7.03218350722931</v>
      </c>
      <c r="AL4212">
        <v>88.719513820449194</v>
      </c>
      <c r="AM4212">
        <v>77.906841205210597</v>
      </c>
      <c r="AN4212">
        <v>1.0000000219585199</v>
      </c>
    </row>
    <row r="4213" spans="1:40" x14ac:dyDescent="0.25">
      <c r="A4213" t="str">
        <f>"20190312154919503"</f>
        <v>20190312154919503</v>
      </c>
      <c r="B4213" t="str">
        <f>"1552376959500316"</f>
        <v>1552376959500316</v>
      </c>
      <c r="C4213" t="s">
        <v>40</v>
      </c>
      <c r="D4213">
        <v>4.610779</v>
      </c>
      <c r="E4213">
        <v>0.67195669999999996</v>
      </c>
      <c r="F4213" t="s">
        <v>63</v>
      </c>
      <c r="G4213">
        <v>-205.0429</v>
      </c>
      <c r="H4213" s="1">
        <v>-9.5814829999999998E-6</v>
      </c>
      <c r="I4213">
        <v>147.24930000000001</v>
      </c>
      <c r="J4213">
        <v>-198.2287</v>
      </c>
      <c r="K4213">
        <v>1.1044119999999999</v>
      </c>
      <c r="L4213">
        <v>149.0369</v>
      </c>
      <c r="M4213">
        <v>-0.61998469999999894</v>
      </c>
      <c r="N4213">
        <v>0</v>
      </c>
      <c r="O4213">
        <v>-0.78448070000000003</v>
      </c>
      <c r="P4213">
        <v>-0.77025829999999995</v>
      </c>
      <c r="Q4213">
        <v>1.1068450000000001E-2</v>
      </c>
      <c r="R4213">
        <v>-0.63763619999999899</v>
      </c>
      <c r="S4213">
        <v>-3.184555</v>
      </c>
      <c r="T4213">
        <v>-0.50707389999999997</v>
      </c>
      <c r="U4213">
        <v>-0.88513180000000002</v>
      </c>
      <c r="V4213">
        <v>0.20927570000000001</v>
      </c>
      <c r="W4213">
        <v>2.23416E-2</v>
      </c>
      <c r="X4213">
        <v>0.97760139999999995</v>
      </c>
      <c r="Y4213">
        <v>0.57682009999999995</v>
      </c>
      <c r="Z4213">
        <v>0.14945710000000001</v>
      </c>
      <c r="AA4213">
        <v>0.80308230000000003</v>
      </c>
      <c r="AB4213">
        <v>21</v>
      </c>
      <c r="AC4213">
        <v>-6.8141999999999996</v>
      </c>
      <c r="AD4213">
        <v>-1.1044215814830001</v>
      </c>
      <c r="AE4213">
        <v>-1.7875999999999901</v>
      </c>
      <c r="AF4213">
        <v>4.1361117975655404</v>
      </c>
      <c r="AG4213">
        <v>-1.1044215814830001</v>
      </c>
      <c r="AH4213">
        <v>5.4926310563680198</v>
      </c>
      <c r="AI4213">
        <v>99.125178531507203</v>
      </c>
      <c r="AJ4213">
        <v>53.019183615120397</v>
      </c>
      <c r="AK4213">
        <v>6.9639187066611203</v>
      </c>
      <c r="AL4213">
        <v>88.719814073488394</v>
      </c>
      <c r="AM4213">
        <v>77.917028502372801</v>
      </c>
      <c r="AN4213">
        <v>0.99999998149150404</v>
      </c>
    </row>
    <row r="4214" spans="1:40" x14ac:dyDescent="0.25">
      <c r="A4214" t="str">
        <f>"20190312154919515"</f>
        <v>20190312154919515</v>
      </c>
      <c r="B4214" t="str">
        <f>"1552376959510076"</f>
        <v>1552376959510076</v>
      </c>
      <c r="C4214" t="s">
        <v>40</v>
      </c>
      <c r="D4214">
        <v>4.6196250000000001</v>
      </c>
      <c r="E4214">
        <v>0.67171840000000005</v>
      </c>
      <c r="F4214" t="s">
        <v>63</v>
      </c>
      <c r="G4214">
        <v>-205.2217</v>
      </c>
      <c r="H4214" s="1">
        <v>-9.4751459999999993E-6</v>
      </c>
      <c r="I4214">
        <v>147.14689999999999</v>
      </c>
      <c r="J4214">
        <v>-198.31110000000001</v>
      </c>
      <c r="K4214">
        <v>1.1044210000000001</v>
      </c>
      <c r="L4214">
        <v>148.9436</v>
      </c>
      <c r="M4214">
        <v>-0.62458939999999996</v>
      </c>
      <c r="N4214">
        <v>0</v>
      </c>
      <c r="O4214">
        <v>-0.78081969999999901</v>
      </c>
      <c r="P4214">
        <v>-0.77392720000000004</v>
      </c>
      <c r="Q4214">
        <v>1.114119E-2</v>
      </c>
      <c r="R4214">
        <v>-0.63317670000000004</v>
      </c>
      <c r="S4214">
        <v>-3.1886290000000002</v>
      </c>
      <c r="T4214">
        <v>-0.5035887</v>
      </c>
      <c r="U4214">
        <v>-0.86177060000000005</v>
      </c>
      <c r="V4214">
        <v>0.2091703</v>
      </c>
      <c r="W4214">
        <v>2.2417400000000001E-2</v>
      </c>
      <c r="X4214">
        <v>0.97762230000000006</v>
      </c>
      <c r="Y4214">
        <v>0.57796569999999903</v>
      </c>
      <c r="Z4214">
        <v>0.148292799999999</v>
      </c>
      <c r="AA4214">
        <v>0.80247429999999997</v>
      </c>
      <c r="AB4214">
        <v>21</v>
      </c>
      <c r="AC4214">
        <v>-6.9105999999999801</v>
      </c>
      <c r="AD4214">
        <v>-1.1044304751459999</v>
      </c>
      <c r="AE4214">
        <v>-1.79670000000001</v>
      </c>
      <c r="AF4214">
        <v>4.1743115408139699</v>
      </c>
      <c r="AG4214">
        <v>-1.1044304751459999</v>
      </c>
      <c r="AH4214">
        <v>5.58613888431793</v>
      </c>
      <c r="AI4214">
        <v>98.999480558363501</v>
      </c>
      <c r="AJ4214">
        <v>53.230620265788502</v>
      </c>
      <c r="AK4214">
        <v>7.0604242895942599</v>
      </c>
      <c r="AL4214">
        <v>88.715470063417399</v>
      </c>
      <c r="AM4214">
        <v>77.923185900446896</v>
      </c>
      <c r="AN4214">
        <v>1.0000000578410599</v>
      </c>
    </row>
    <row r="4215" spans="1:40" x14ac:dyDescent="0.25">
      <c r="A4215" t="str">
        <f>"20190312154919527"</f>
        <v>20190312154919527</v>
      </c>
      <c r="B4215" t="str">
        <f>"1552376959519836"</f>
        <v>1552376959519836</v>
      </c>
      <c r="C4215" t="s">
        <v>40</v>
      </c>
      <c r="D4215">
        <v>4.6245200000000004</v>
      </c>
      <c r="E4215">
        <v>0.67137060000000004</v>
      </c>
      <c r="F4215" t="s">
        <v>63</v>
      </c>
      <c r="G4215">
        <v>-205.4126</v>
      </c>
      <c r="H4215" s="1">
        <v>-9.3686929999999998E-6</v>
      </c>
      <c r="I4215">
        <v>147.0643</v>
      </c>
      <c r="J4215">
        <v>-198.38579999999999</v>
      </c>
      <c r="K4215">
        <v>1.1044389999999999</v>
      </c>
      <c r="L4215">
        <v>148.8597</v>
      </c>
      <c r="M4215">
        <v>-0.62872299999999903</v>
      </c>
      <c r="N4215">
        <v>0</v>
      </c>
      <c r="O4215">
        <v>-0.77749499999999905</v>
      </c>
      <c r="P4215">
        <v>-0.77742469999999997</v>
      </c>
      <c r="Q4215">
        <v>1.107296E-2</v>
      </c>
      <c r="R4215">
        <v>-0.62887859999999995</v>
      </c>
      <c r="S4215">
        <v>-3.1923680000000001</v>
      </c>
      <c r="T4215">
        <v>-0.49648120000000001</v>
      </c>
      <c r="U4215">
        <v>-0.84477230000000003</v>
      </c>
      <c r="V4215">
        <v>0.20940010000000001</v>
      </c>
      <c r="W4215">
        <v>2.234684E-2</v>
      </c>
      <c r="X4215">
        <v>0.97757459999999996</v>
      </c>
      <c r="Y4215">
        <v>0.57826940000000004</v>
      </c>
      <c r="Z4215">
        <v>0.1459887</v>
      </c>
      <c r="AA4215">
        <v>0.80267790000000006</v>
      </c>
      <c r="AB4215">
        <v>21</v>
      </c>
      <c r="AC4215">
        <v>-7.0267999999999997</v>
      </c>
      <c r="AD4215">
        <v>-1.104448368693</v>
      </c>
      <c r="AE4215">
        <v>-1.7954000000000001</v>
      </c>
      <c r="AF4215">
        <v>4.2366943476613503</v>
      </c>
      <c r="AG4215">
        <v>-1.104448368693</v>
      </c>
      <c r="AH4215">
        <v>5.6826491827108603</v>
      </c>
      <c r="AI4215">
        <v>98.856374933158307</v>
      </c>
      <c r="AJ4215">
        <v>53.293660370772002</v>
      </c>
      <c r="AK4215">
        <v>7.17369409219397</v>
      </c>
      <c r="AL4215">
        <v>88.719513716575605</v>
      </c>
      <c r="AM4215">
        <v>77.909735565397</v>
      </c>
      <c r="AN4215">
        <v>0.99999994085157595</v>
      </c>
    </row>
    <row r="4216" spans="1:40" x14ac:dyDescent="0.25">
      <c r="A4216" t="str">
        <f>"20190312154919549"</f>
        <v>20190312154919549</v>
      </c>
      <c r="B4216" t="str">
        <f>"1552376959540333"</f>
        <v>1552376959540333</v>
      </c>
      <c r="C4216" t="s">
        <v>40</v>
      </c>
      <c r="D4216">
        <v>4.6753819999999999</v>
      </c>
      <c r="E4216">
        <v>0.67082269999999999</v>
      </c>
      <c r="F4216" t="s">
        <v>63</v>
      </c>
      <c r="G4216">
        <v>-205.4308</v>
      </c>
      <c r="H4216" s="1">
        <v>-9.3519689999999998E-6</v>
      </c>
      <c r="I4216">
        <v>147.03149999999999</v>
      </c>
      <c r="J4216">
        <v>-198.5147</v>
      </c>
      <c r="K4216">
        <v>1.1044560000000001</v>
      </c>
      <c r="L4216">
        <v>148.71719999999999</v>
      </c>
      <c r="M4216">
        <v>-0.63575839999999995</v>
      </c>
      <c r="N4216">
        <v>0</v>
      </c>
      <c r="O4216">
        <v>-0.77175280000000002</v>
      </c>
      <c r="P4216">
        <v>-0.78338350000000001</v>
      </c>
      <c r="Q4216">
        <v>1.143945E-2</v>
      </c>
      <c r="R4216">
        <v>-0.62143340000000002</v>
      </c>
      <c r="S4216">
        <v>-3.1952970000000001</v>
      </c>
      <c r="T4216">
        <v>-0.50092840000000005</v>
      </c>
      <c r="U4216">
        <v>-0.82917790000000002</v>
      </c>
      <c r="V4216">
        <v>0.2098478</v>
      </c>
      <c r="W4216">
        <v>2.2707720000000001E-2</v>
      </c>
      <c r="X4216">
        <v>0.97747030000000001</v>
      </c>
      <c r="Y4216">
        <v>0.57459819999999995</v>
      </c>
      <c r="Z4216">
        <v>0.14656930000000001</v>
      </c>
      <c r="AA4216">
        <v>0.80520459999999905</v>
      </c>
      <c r="AB4216">
        <v>21</v>
      </c>
      <c r="AC4216">
        <v>-6.9161000000000001</v>
      </c>
      <c r="AD4216">
        <v>-1.104465351969</v>
      </c>
      <c r="AE4216">
        <v>-1.68569999999999</v>
      </c>
      <c r="AF4216">
        <v>4.1659821292637202</v>
      </c>
      <c r="AG4216">
        <v>-1.104465351969</v>
      </c>
      <c r="AH4216">
        <v>5.5645555028832696</v>
      </c>
      <c r="AI4216">
        <v>99.0281221377804</v>
      </c>
      <c r="AJ4216">
        <v>53.179125623183097</v>
      </c>
      <c r="AK4216">
        <v>7.0384322657615401</v>
      </c>
      <c r="AL4216">
        <v>88.698831595327107</v>
      </c>
      <c r="AM4216">
        <v>77.883394749847497</v>
      </c>
      <c r="AN4216">
        <v>0.99999996354726295</v>
      </c>
    </row>
    <row r="4217" spans="1:40" x14ac:dyDescent="0.25">
      <c r="A4217" t="str">
        <f>"20190312154919571"</f>
        <v>20190312154919571</v>
      </c>
      <c r="B4217" t="str">
        <f>"1552376959559853"</f>
        <v>1552376959559853</v>
      </c>
      <c r="C4217" t="s">
        <v>40</v>
      </c>
      <c r="D4217">
        <v>4.619802</v>
      </c>
      <c r="E4217">
        <v>0.67050580000000004</v>
      </c>
      <c r="F4217" t="s">
        <v>63</v>
      </c>
      <c r="G4217">
        <v>-205.56190000000001</v>
      </c>
      <c r="H4217" s="1">
        <v>-9.2723260000000004E-6</v>
      </c>
      <c r="I4217">
        <v>146.94999999999999</v>
      </c>
      <c r="J4217">
        <v>-198.6576</v>
      </c>
      <c r="K4217">
        <v>1.104474</v>
      </c>
      <c r="L4217">
        <v>148.56219999999999</v>
      </c>
      <c r="M4217">
        <v>-0.64341959999999998</v>
      </c>
      <c r="N4217">
        <v>0</v>
      </c>
      <c r="O4217">
        <v>-0.76537749999999904</v>
      </c>
      <c r="P4217">
        <v>-0.78977310000000001</v>
      </c>
      <c r="Q4217">
        <v>1.1582520000000001E-2</v>
      </c>
      <c r="R4217">
        <v>-0.61328950000000004</v>
      </c>
      <c r="S4217">
        <v>-3.200272</v>
      </c>
      <c r="T4217">
        <v>-0.50155879999999997</v>
      </c>
      <c r="U4217">
        <v>-0.80249019999999904</v>
      </c>
      <c r="V4217">
        <v>0.21022370000000001</v>
      </c>
      <c r="W4217">
        <v>2.2847869999999999E-2</v>
      </c>
      <c r="X4217">
        <v>0.97738630000000004</v>
      </c>
      <c r="Y4217">
        <v>0.57312479999999999</v>
      </c>
      <c r="Z4217">
        <v>0.1461461</v>
      </c>
      <c r="AA4217">
        <v>0.80633080000000001</v>
      </c>
      <c r="AB4217">
        <v>21</v>
      </c>
      <c r="AC4217">
        <v>-6.9043000000000001</v>
      </c>
      <c r="AD4217">
        <v>-1.1044832723260001</v>
      </c>
      <c r="AE4217">
        <v>-1.6122000000000001</v>
      </c>
      <c r="AF4217">
        <v>4.1468838347436296</v>
      </c>
      <c r="AG4217">
        <v>-1.1044832723260001</v>
      </c>
      <c r="AH4217">
        <v>5.5423962545266203</v>
      </c>
      <c r="AI4217">
        <v>99.0656998472125</v>
      </c>
      <c r="AJ4217">
        <v>53.195746889048202</v>
      </c>
      <c r="AK4217">
        <v>7.0096137611067197</v>
      </c>
      <c r="AL4217">
        <v>88.690799561007097</v>
      </c>
      <c r="AM4217">
        <v>77.861321080535305</v>
      </c>
      <c r="AN4217">
        <v>1.0000000043164501</v>
      </c>
    </row>
    <row r="4218" spans="1:40" x14ac:dyDescent="0.25">
      <c r="A4218" t="str">
        <f>"20190312154919592"</f>
        <v>20190312154919592</v>
      </c>
      <c r="B4218" t="str">
        <f>"1552376959580348"</f>
        <v>1552376959580348</v>
      </c>
      <c r="C4218" t="s">
        <v>40</v>
      </c>
      <c r="D4218">
        <v>4.6134529999999998</v>
      </c>
      <c r="E4218">
        <v>0.66997589999999996</v>
      </c>
      <c r="F4218" t="s">
        <v>63</v>
      </c>
      <c r="G4218">
        <v>-205.67429999999999</v>
      </c>
      <c r="H4218" s="1">
        <v>-9.2024130000000008E-6</v>
      </c>
      <c r="I4218">
        <v>146.874</v>
      </c>
      <c r="J4218">
        <v>-198.79429999999999</v>
      </c>
      <c r="K4218">
        <v>1.1044940000000001</v>
      </c>
      <c r="L4218">
        <v>148.41679999999999</v>
      </c>
      <c r="M4218">
        <v>-0.65061829999999998</v>
      </c>
      <c r="N4218">
        <v>0</v>
      </c>
      <c r="O4218">
        <v>-0.75926780000000005</v>
      </c>
      <c r="P4218">
        <v>-0.79594189999999998</v>
      </c>
      <c r="Q4218">
        <v>1.1017900000000001E-2</v>
      </c>
      <c r="R4218">
        <v>-0.60527280000000006</v>
      </c>
      <c r="S4218">
        <v>-3.2068180000000002</v>
      </c>
      <c r="T4218">
        <v>-0.50477780000000005</v>
      </c>
      <c r="U4218">
        <v>-0.77156069999999999</v>
      </c>
      <c r="V4218">
        <v>0.2108746</v>
      </c>
      <c r="W4218">
        <v>2.2275340000000001E-2</v>
      </c>
      <c r="X4218">
        <v>0.97725930000000005</v>
      </c>
      <c r="Y4218">
        <v>0.57304350000000004</v>
      </c>
      <c r="Z4218">
        <v>0.14653769999999999</v>
      </c>
      <c r="AA4218">
        <v>0.80631739999999996</v>
      </c>
      <c r="AB4218">
        <v>21</v>
      </c>
      <c r="AC4218">
        <v>-6.8799999999999901</v>
      </c>
      <c r="AD4218">
        <v>-1.1045032024129999</v>
      </c>
      <c r="AE4218">
        <v>-1.54279999999999</v>
      </c>
      <c r="AF4218">
        <v>4.11934504659179</v>
      </c>
      <c r="AG4218">
        <v>-1.1045032024129999</v>
      </c>
      <c r="AH4218">
        <v>5.5129600723611096</v>
      </c>
      <c r="AI4218">
        <v>99.117756577794495</v>
      </c>
      <c r="AJ4218">
        <v>53.232505760271998</v>
      </c>
      <c r="AK4218">
        <v>6.9700544973815504</v>
      </c>
      <c r="AL4218">
        <v>88.7236114778878</v>
      </c>
      <c r="AM4218">
        <v>77.823321554796607</v>
      </c>
      <c r="AN4218">
        <v>1.0000000135668801</v>
      </c>
    </row>
    <row r="4219" spans="1:40" x14ac:dyDescent="0.25">
      <c r="A4219" t="str">
        <f>"20190312154919615"</f>
        <v>20190312154919615</v>
      </c>
      <c r="B4219" t="str">
        <f>"1552376959609629"</f>
        <v>1552376959609629</v>
      </c>
      <c r="C4219" t="s">
        <v>40</v>
      </c>
      <c r="D4219">
        <v>4.6508180000000001</v>
      </c>
      <c r="E4219">
        <v>0.66844840000000005</v>
      </c>
      <c r="F4219" t="s">
        <v>63</v>
      </c>
      <c r="G4219">
        <v>-205.6908</v>
      </c>
      <c r="H4219" s="1">
        <v>-9.1814600000000007E-6</v>
      </c>
      <c r="I4219">
        <v>146.82239999999999</v>
      </c>
      <c r="J4219">
        <v>-198.94659999999999</v>
      </c>
      <c r="K4219">
        <v>1.1045130000000001</v>
      </c>
      <c r="L4219">
        <v>148.25790000000001</v>
      </c>
      <c r="M4219">
        <v>-0.65849019999999903</v>
      </c>
      <c r="N4219">
        <v>0</v>
      </c>
      <c r="O4219">
        <v>-0.75245109999999904</v>
      </c>
      <c r="P4219">
        <v>-0.80276020000000003</v>
      </c>
      <c r="Q4219">
        <v>1.098091E-2</v>
      </c>
      <c r="R4219">
        <v>-0.59620130000000005</v>
      </c>
      <c r="S4219">
        <v>-3.211624</v>
      </c>
      <c r="T4219">
        <v>-0.51435719999999996</v>
      </c>
      <c r="U4219">
        <v>-0.74249270000000001</v>
      </c>
      <c r="V4219">
        <v>0.21178669999999999</v>
      </c>
      <c r="W4219">
        <v>2.2227190000000001E-2</v>
      </c>
      <c r="X4219">
        <v>0.97706309999999996</v>
      </c>
      <c r="Y4219">
        <v>0.57131980000000004</v>
      </c>
      <c r="Z4219">
        <v>0.1485892</v>
      </c>
      <c r="AA4219">
        <v>0.80716480000000002</v>
      </c>
      <c r="AB4219">
        <v>21</v>
      </c>
      <c r="AC4219">
        <v>-6.7442000000000002</v>
      </c>
      <c r="AD4219">
        <v>-1.1045221814599999</v>
      </c>
      <c r="AE4219">
        <v>-1.43550000000001</v>
      </c>
      <c r="AF4219">
        <v>4.0265295729855604</v>
      </c>
      <c r="AG4219">
        <v>-1.1045221814599999</v>
      </c>
      <c r="AH4219">
        <v>5.3835687755375403</v>
      </c>
      <c r="AI4219">
        <v>99.330084732679893</v>
      </c>
      <c r="AJ4219">
        <v>53.206103873012097</v>
      </c>
      <c r="AK4219">
        <v>6.8129085134329497</v>
      </c>
      <c r="AL4219">
        <v>88.726370907325702</v>
      </c>
      <c r="AM4219">
        <v>77.769853477709304</v>
      </c>
      <c r="AN4219">
        <v>0.99999997782689698</v>
      </c>
    </row>
    <row r="4220" spans="1:40" x14ac:dyDescent="0.25">
      <c r="A4220" t="str">
        <f>"20190312154919636"</f>
        <v>20190312154919636</v>
      </c>
      <c r="B4220" t="str">
        <f>"1552376959630125"</f>
        <v>1552376959630125</v>
      </c>
      <c r="C4220" t="s">
        <v>40</v>
      </c>
      <c r="D4220">
        <v>4.6557130000000004</v>
      </c>
      <c r="E4220">
        <v>0.66758919999999999</v>
      </c>
      <c r="F4220" t="s">
        <v>63</v>
      </c>
      <c r="G4220">
        <v>-205.75319999999999</v>
      </c>
      <c r="H4220" s="1">
        <v>-9.1322129999999993E-6</v>
      </c>
      <c r="I4220">
        <v>146.7406</v>
      </c>
      <c r="J4220">
        <v>-199.0865</v>
      </c>
      <c r="K4220">
        <v>1.104527</v>
      </c>
      <c r="L4220">
        <v>148.11500000000001</v>
      </c>
      <c r="M4220">
        <v>-0.66558269999999997</v>
      </c>
      <c r="N4220">
        <v>0</v>
      </c>
      <c r="O4220">
        <v>-0.74618469999999903</v>
      </c>
      <c r="P4220">
        <v>-0.80848149999999996</v>
      </c>
      <c r="Q4220">
        <v>1.137087E-2</v>
      </c>
      <c r="R4220">
        <v>-0.58841199999999905</v>
      </c>
      <c r="S4220">
        <v>-3.2123870000000001</v>
      </c>
      <c r="T4220">
        <v>-0.52128540000000001</v>
      </c>
      <c r="U4220">
        <v>-0.71609500000000004</v>
      </c>
      <c r="V4220">
        <v>0.2119858</v>
      </c>
      <c r="W4220">
        <v>2.2616669999999998E-2</v>
      </c>
      <c r="X4220">
        <v>0.97701099999999996</v>
      </c>
      <c r="Y4220">
        <v>0.56962360000000001</v>
      </c>
      <c r="Z4220">
        <v>0.1500474</v>
      </c>
      <c r="AA4220">
        <v>0.80809319999999996</v>
      </c>
      <c r="AB4220">
        <v>21</v>
      </c>
      <c r="AC4220">
        <v>-6.6666999999999899</v>
      </c>
      <c r="AD4220">
        <v>-1.1045361322130001</v>
      </c>
      <c r="AE4220">
        <v>-1.3744000000000001</v>
      </c>
      <c r="AF4220">
        <v>3.9560692747430402</v>
      </c>
      <c r="AG4220">
        <v>-1.1045361322130001</v>
      </c>
      <c r="AH4220">
        <v>5.3232015521670197</v>
      </c>
      <c r="AI4220">
        <v>99.455247884437199</v>
      </c>
      <c r="AJ4220">
        <v>53.381198487043598</v>
      </c>
      <c r="AK4220">
        <v>6.7236120455394701</v>
      </c>
      <c r="AL4220">
        <v>88.704049755372594</v>
      </c>
      <c r="AM4220">
        <v>77.758069410909499</v>
      </c>
      <c r="AN4220">
        <v>0.999999993642264</v>
      </c>
    </row>
    <row r="4221" spans="1:40" x14ac:dyDescent="0.25">
      <c r="A4221" t="str">
        <f>"20190312154919650"</f>
        <v>20190312154919650</v>
      </c>
      <c r="B4221" t="str">
        <f>"1552376959639884"</f>
        <v>1552376959639884</v>
      </c>
      <c r="C4221" t="s">
        <v>40</v>
      </c>
      <c r="D4221">
        <v>4.5991860000000004</v>
      </c>
      <c r="E4221">
        <v>0.66723269999999901</v>
      </c>
      <c r="F4221" t="s">
        <v>63</v>
      </c>
      <c r="G4221">
        <v>-205.89330000000001</v>
      </c>
      <c r="H4221" s="1">
        <v>-9.0468630000000002E-6</v>
      </c>
      <c r="I4221">
        <v>146.65260000000001</v>
      </c>
      <c r="J4221">
        <v>-199.17590000000001</v>
      </c>
      <c r="K4221">
        <v>1.1045370000000001</v>
      </c>
      <c r="L4221">
        <v>148.0249</v>
      </c>
      <c r="M4221">
        <v>-0.67005139999999996</v>
      </c>
      <c r="N4221">
        <v>0</v>
      </c>
      <c r="O4221">
        <v>-0.74217460000000002</v>
      </c>
      <c r="P4221">
        <v>-0.81190220000000002</v>
      </c>
      <c r="Q4221">
        <v>1.156186E-2</v>
      </c>
      <c r="R4221">
        <v>-0.58367930000000001</v>
      </c>
      <c r="S4221">
        <v>-3.215271</v>
      </c>
      <c r="T4221">
        <v>-0.52174279999999995</v>
      </c>
      <c r="U4221">
        <v>-0.69075010000000003</v>
      </c>
      <c r="V4221">
        <v>0.21182619999999999</v>
      </c>
      <c r="W4221">
        <v>2.2812120000000002E-2</v>
      </c>
      <c r="X4221">
        <v>0.9770411</v>
      </c>
      <c r="Y4221">
        <v>0.57093470000000002</v>
      </c>
      <c r="Z4221">
        <v>0.1499848</v>
      </c>
      <c r="AA4221">
        <v>0.80717919999999999</v>
      </c>
      <c r="AB4221">
        <v>21</v>
      </c>
      <c r="AC4221">
        <v>-6.7173999999999898</v>
      </c>
      <c r="AD4221">
        <v>-1.104546046863</v>
      </c>
      <c r="AE4221">
        <v>-1.3722999999999901</v>
      </c>
      <c r="AF4221">
        <v>3.9635247798953501</v>
      </c>
      <c r="AG4221">
        <v>-1.104546046863</v>
      </c>
      <c r="AH4221">
        <v>5.3804189164962697</v>
      </c>
      <c r="AI4221">
        <v>99.385251737861395</v>
      </c>
      <c r="AJ4221">
        <v>53.622512029478898</v>
      </c>
      <c r="AK4221">
        <v>6.7733638886063199</v>
      </c>
      <c r="AL4221">
        <v>88.692848441536398</v>
      </c>
      <c r="AM4221">
        <v>77.767373988527595</v>
      </c>
      <c r="AN4221">
        <v>1.00000002145727</v>
      </c>
    </row>
    <row r="4222" spans="1:40" x14ac:dyDescent="0.25">
      <c r="A4222" t="str">
        <f>"20190312154919672"</f>
        <v>20190312154919672</v>
      </c>
      <c r="B4222" t="str">
        <f>"1552376959660380"</f>
        <v>1552376959660380</v>
      </c>
      <c r="C4222" t="s">
        <v>40</v>
      </c>
      <c r="D4222">
        <v>4.6480090000000001</v>
      </c>
      <c r="E4222">
        <v>0.66635659999999997</v>
      </c>
      <c r="F4222" t="s">
        <v>63</v>
      </c>
      <c r="G4222">
        <v>-205.9846</v>
      </c>
      <c r="H4222" s="1">
        <v>-8.9919159999999998E-6</v>
      </c>
      <c r="I4222">
        <v>146.59790000000001</v>
      </c>
      <c r="J4222">
        <v>-199.31710000000001</v>
      </c>
      <c r="K4222">
        <v>1.1045480000000001</v>
      </c>
      <c r="L4222">
        <v>147.88499999999999</v>
      </c>
      <c r="M4222">
        <v>-0.67700919999999998</v>
      </c>
      <c r="N4222">
        <v>0</v>
      </c>
      <c r="O4222">
        <v>-0.73583330000000002</v>
      </c>
      <c r="P4222">
        <v>-0.81711650000000002</v>
      </c>
      <c r="Q4222">
        <v>1.164021E-2</v>
      </c>
      <c r="R4222">
        <v>-0.57635519999999996</v>
      </c>
      <c r="S4222">
        <v>-3.2176209999999998</v>
      </c>
      <c r="T4222">
        <v>-0.52198169999999999</v>
      </c>
      <c r="U4222">
        <v>-0.67440800000000001</v>
      </c>
      <c r="V4222">
        <v>0.21141190000000001</v>
      </c>
      <c r="W4222">
        <v>2.2900790000000001E-2</v>
      </c>
      <c r="X4222">
        <v>0.97712869999999996</v>
      </c>
      <c r="Y4222">
        <v>0.56737660000000001</v>
      </c>
      <c r="Z4222">
        <v>0.14919969999999999</v>
      </c>
      <c r="AA4222">
        <v>0.80982919999999903</v>
      </c>
      <c r="AB4222">
        <v>21</v>
      </c>
      <c r="AC4222">
        <v>-6.6674999999999898</v>
      </c>
      <c r="AD4222">
        <v>-1.1045569919160001</v>
      </c>
      <c r="AE4222">
        <v>-1.2870999999999799</v>
      </c>
      <c r="AF4222">
        <v>3.93119699926579</v>
      </c>
      <c r="AG4222">
        <v>-1.1045569919160001</v>
      </c>
      <c r="AH4222">
        <v>5.3208377583274604</v>
      </c>
      <c r="AI4222">
        <v>99.478869588562304</v>
      </c>
      <c r="AJ4222">
        <v>53.541882275784999</v>
      </c>
      <c r="AK4222">
        <v>6.7071357855548204</v>
      </c>
      <c r="AL4222">
        <v>88.687766625836801</v>
      </c>
      <c r="AM4222">
        <v>77.791642498250795</v>
      </c>
      <c r="AN4222">
        <v>0.99999996700396099</v>
      </c>
    </row>
    <row r="4223" spans="1:40" x14ac:dyDescent="0.25">
      <c r="A4223" t="str">
        <f>"20190312154919693"</f>
        <v>20190312154919693</v>
      </c>
      <c r="B4223" t="str">
        <f>"1552376959689661"</f>
        <v>1552376959689661</v>
      </c>
      <c r="C4223" t="s">
        <v>40</v>
      </c>
      <c r="D4223">
        <v>4.6156199999999998</v>
      </c>
      <c r="E4223">
        <v>0.66482540000000001</v>
      </c>
      <c r="F4223" t="s">
        <v>63</v>
      </c>
      <c r="G4223">
        <v>-206.1259</v>
      </c>
      <c r="H4223" s="1">
        <v>-8.9052840000000005E-6</v>
      </c>
      <c r="I4223">
        <v>146.50720000000001</v>
      </c>
      <c r="J4223">
        <v>-199.46299999999999</v>
      </c>
      <c r="K4223">
        <v>1.104563</v>
      </c>
      <c r="L4223">
        <v>147.7432</v>
      </c>
      <c r="M4223">
        <v>-0.68406400000000001</v>
      </c>
      <c r="N4223">
        <v>0</v>
      </c>
      <c r="O4223">
        <v>-0.72927949999999997</v>
      </c>
      <c r="P4223">
        <v>-0.82237139999999997</v>
      </c>
      <c r="Q4223">
        <v>1.157975E-2</v>
      </c>
      <c r="R4223">
        <v>-0.56883309999999998</v>
      </c>
      <c r="S4223">
        <v>-3.2193909999999999</v>
      </c>
      <c r="T4223">
        <v>-0.52226349999999999</v>
      </c>
      <c r="U4223">
        <v>-0.65144349999999995</v>
      </c>
      <c r="V4223">
        <v>0.21096679999999901</v>
      </c>
      <c r="W4223">
        <v>2.285121E-2</v>
      </c>
      <c r="X4223">
        <v>0.97722609999999999</v>
      </c>
      <c r="Y4223">
        <v>0.56518049999999997</v>
      </c>
      <c r="Z4223">
        <v>0.14857229999999999</v>
      </c>
      <c r="AA4223">
        <v>0.81147840000000004</v>
      </c>
      <c r="AB4223">
        <v>20</v>
      </c>
      <c r="AC4223">
        <v>-6.6628999999999996</v>
      </c>
      <c r="AD4223">
        <v>-1.104571905284</v>
      </c>
      <c r="AE4223">
        <v>-1.23599999999999</v>
      </c>
      <c r="AF4223">
        <v>3.9101436249381401</v>
      </c>
      <c r="AG4223">
        <v>-1.104571905284</v>
      </c>
      <c r="AH4223">
        <v>5.3185020600187096</v>
      </c>
      <c r="AI4223">
        <v>99.499255543083905</v>
      </c>
      <c r="AJ4223">
        <v>53.676807857320398</v>
      </c>
      <c r="AK4223">
        <v>6.6929639491043398</v>
      </c>
      <c r="AL4223">
        <v>88.690608149930895</v>
      </c>
      <c r="AM4223">
        <v>77.8177550514459</v>
      </c>
      <c r="AN4223">
        <v>1.00000000951095</v>
      </c>
    </row>
    <row r="4224" spans="1:40" x14ac:dyDescent="0.25">
      <c r="A4224" t="str">
        <f>"20190312154919716"</f>
        <v>20190312154919716</v>
      </c>
      <c r="B4224" t="str">
        <f>"1552376959710156"</f>
        <v>1552376959710156</v>
      </c>
      <c r="C4224" t="s">
        <v>40</v>
      </c>
      <c r="D4224">
        <v>4.6627710000000002</v>
      </c>
      <c r="E4224">
        <v>0.66370790000000002</v>
      </c>
      <c r="F4224" t="s">
        <v>63</v>
      </c>
      <c r="G4224">
        <v>-206.23009999999999</v>
      </c>
      <c r="H4224" s="1">
        <v>-8.8344229999999992E-6</v>
      </c>
      <c r="I4224">
        <v>146.41370000000001</v>
      </c>
      <c r="J4224">
        <v>-199.62299999999999</v>
      </c>
      <c r="K4224">
        <v>1.1045799999999999</v>
      </c>
      <c r="L4224">
        <v>147.5907</v>
      </c>
      <c r="M4224">
        <v>-0.69165840000000001</v>
      </c>
      <c r="N4224">
        <v>0</v>
      </c>
      <c r="O4224">
        <v>-0.72208109999999903</v>
      </c>
      <c r="P4224">
        <v>-0.82800069999999903</v>
      </c>
      <c r="Q4224">
        <v>1.1315540000000001E-2</v>
      </c>
      <c r="R4224">
        <v>-0.56061329999999998</v>
      </c>
      <c r="S4224">
        <v>-3.2180789999999999</v>
      </c>
      <c r="T4224">
        <v>-0.52527669999999904</v>
      </c>
      <c r="U4224">
        <v>-0.63223269999999998</v>
      </c>
      <c r="V4224">
        <v>0.21047260000000001</v>
      </c>
      <c r="W4224">
        <v>2.259951E-2</v>
      </c>
      <c r="X4224">
        <v>0.9773385</v>
      </c>
      <c r="Y4224">
        <v>0.56110890000000002</v>
      </c>
      <c r="Z4224">
        <v>0.14858389999999999</v>
      </c>
      <c r="AA4224">
        <v>0.81429700000000005</v>
      </c>
      <c r="AB4224">
        <v>20</v>
      </c>
      <c r="AC4224">
        <v>-6.6071</v>
      </c>
      <c r="AD4224">
        <v>-1.1045888344229999</v>
      </c>
      <c r="AE4224">
        <v>-1.1769999999999901</v>
      </c>
      <c r="AF4224">
        <v>3.85281731862427</v>
      </c>
      <c r="AG4224">
        <v>-1.1045888344229999</v>
      </c>
      <c r="AH4224">
        <v>5.2773440663524802</v>
      </c>
      <c r="AI4224">
        <v>99.595117433574501</v>
      </c>
      <c r="AJ4224">
        <v>53.868033464543601</v>
      </c>
      <c r="AK4224">
        <v>6.6268150855813701</v>
      </c>
      <c r="AL4224">
        <v>88.705033208472599</v>
      </c>
      <c r="AM4224">
        <v>77.846799406639605</v>
      </c>
      <c r="AN4224">
        <v>0.99999999839262499</v>
      </c>
    </row>
    <row r="4225" spans="1:40" x14ac:dyDescent="0.25">
      <c r="A4225" t="str">
        <f>"20190312154919739"</f>
        <v>20190312154919739</v>
      </c>
      <c r="B4225" t="str">
        <f>"1552376959730653"</f>
        <v>1552376959730653</v>
      </c>
      <c r="C4225" t="s">
        <v>40</v>
      </c>
      <c r="D4225">
        <v>4.6415490000000004</v>
      </c>
      <c r="E4225">
        <v>0.66260649999999999</v>
      </c>
      <c r="F4225" t="s">
        <v>63</v>
      </c>
      <c r="G4225">
        <v>-206.35120000000001</v>
      </c>
      <c r="H4225" s="1">
        <v>-8.7562600000000001E-6</v>
      </c>
      <c r="I4225">
        <v>146.3211</v>
      </c>
      <c r="J4225">
        <v>-199.77029999999999</v>
      </c>
      <c r="K4225">
        <v>1.1045959999999999</v>
      </c>
      <c r="L4225">
        <v>147.45310000000001</v>
      </c>
      <c r="M4225">
        <v>-0.69852239999999999</v>
      </c>
      <c r="N4225">
        <v>0</v>
      </c>
      <c r="O4225">
        <v>-0.7154431</v>
      </c>
      <c r="P4225">
        <v>-0.83318549999999902</v>
      </c>
      <c r="Q4225">
        <v>1.114385E-2</v>
      </c>
      <c r="R4225">
        <v>-0.55288139999999997</v>
      </c>
      <c r="S4225">
        <v>-3.2191160000000001</v>
      </c>
      <c r="T4225">
        <v>-0.52849169999999901</v>
      </c>
      <c r="U4225">
        <v>-0.60746769999999894</v>
      </c>
      <c r="V4225">
        <v>0.21023530000000001</v>
      </c>
      <c r="W4225">
        <v>2.2434559999999999E-2</v>
      </c>
      <c r="X4225">
        <v>0.97739339999999997</v>
      </c>
      <c r="Y4225">
        <v>0.5592338</v>
      </c>
      <c r="Z4225">
        <v>0.14879049999999999</v>
      </c>
      <c r="AA4225">
        <v>0.81554819999999995</v>
      </c>
      <c r="AB4225">
        <v>20</v>
      </c>
      <c r="AC4225">
        <v>-6.5809000000000104</v>
      </c>
      <c r="AD4225">
        <v>-1.1046047562600001</v>
      </c>
      <c r="AE4225">
        <v>-1.1319999999999999</v>
      </c>
      <c r="AF4225">
        <v>3.8135839870837702</v>
      </c>
      <c r="AG4225">
        <v>-1.1046047562600001</v>
      </c>
      <c r="AH4225">
        <v>5.2633234577218904</v>
      </c>
      <c r="AI4225">
        <v>99.645107554774896</v>
      </c>
      <c r="AJ4225">
        <v>54.074484991075899</v>
      </c>
      <c r="AK4225">
        <v>6.5928861900308497</v>
      </c>
      <c r="AL4225">
        <v>88.714486577836695</v>
      </c>
      <c r="AM4225">
        <v>77.860756708949793</v>
      </c>
      <c r="AN4225">
        <v>1.0000000246060201</v>
      </c>
    </row>
    <row r="4226" spans="1:40" x14ac:dyDescent="0.25">
      <c r="A4226" t="str">
        <f>"20190312154919760"</f>
        <v>20190312154919760</v>
      </c>
      <c r="B4226" t="str">
        <f>"1552376959750175"</f>
        <v>1552376959750175</v>
      </c>
      <c r="C4226" t="s">
        <v>40</v>
      </c>
      <c r="D4226">
        <v>4.6509519999999904</v>
      </c>
      <c r="E4226">
        <v>0.66138509999999995</v>
      </c>
      <c r="F4226" t="s">
        <v>63</v>
      </c>
      <c r="G4226">
        <v>-206.53460000000001</v>
      </c>
      <c r="H4226" s="1">
        <v>-8.6494170000000004E-6</v>
      </c>
      <c r="I4226">
        <v>146.2244</v>
      </c>
      <c r="J4226">
        <v>-199.9196</v>
      </c>
      <c r="K4226">
        <v>1.104616</v>
      </c>
      <c r="L4226">
        <v>147.31630000000001</v>
      </c>
      <c r="M4226">
        <v>-0.70535209999999904</v>
      </c>
      <c r="N4226">
        <v>0</v>
      </c>
      <c r="O4226">
        <v>-0.70871070000000003</v>
      </c>
      <c r="P4226">
        <v>-0.83860290000000004</v>
      </c>
      <c r="Q4226">
        <v>1.120081E-2</v>
      </c>
      <c r="R4226">
        <v>-0.5446278</v>
      </c>
      <c r="S4226">
        <v>-3.2196199999999999</v>
      </c>
      <c r="T4226">
        <v>-0.52576590000000001</v>
      </c>
      <c r="U4226">
        <v>-0.5848236</v>
      </c>
      <c r="V4226">
        <v>0.2105109</v>
      </c>
      <c r="W4226">
        <v>2.2491290000000001E-2</v>
      </c>
      <c r="X4226">
        <v>0.9773328</v>
      </c>
      <c r="Y4226">
        <v>0.55711499999999903</v>
      </c>
      <c r="Z4226">
        <v>0.14730699999999999</v>
      </c>
      <c r="AA4226">
        <v>0.81726589999999999</v>
      </c>
      <c r="AB4226">
        <v>20</v>
      </c>
      <c r="AC4226">
        <v>-6.6150000000000002</v>
      </c>
      <c r="AD4226">
        <v>-1.104624649417</v>
      </c>
      <c r="AE4226">
        <v>-1.0919000000000001</v>
      </c>
      <c r="AF4226">
        <v>3.8147999621733102</v>
      </c>
      <c r="AG4226">
        <v>-1.104624649417</v>
      </c>
      <c r="AH4226">
        <v>5.2965337881428303</v>
      </c>
      <c r="AI4226">
        <v>99.605208030101593</v>
      </c>
      <c r="AJ4226">
        <v>54.236883272895597</v>
      </c>
      <c r="AK4226">
        <v>6.6201332718032004</v>
      </c>
      <c r="AL4226">
        <v>88.711235400141106</v>
      </c>
      <c r="AM4226">
        <v>77.844584844377906</v>
      </c>
      <c r="AN4226">
        <v>1.0000000495502499</v>
      </c>
    </row>
    <row r="4227" spans="1:40" x14ac:dyDescent="0.25">
      <c r="A4227" t="str">
        <f>"20190312154919782"</f>
        <v>20190312154919782</v>
      </c>
      <c r="B4227" t="str">
        <f>"1552376959769693"</f>
        <v>1552376959769693</v>
      </c>
      <c r="C4227" t="s">
        <v>40</v>
      </c>
      <c r="D4227">
        <v>4.6449009999999999</v>
      </c>
      <c r="E4227">
        <v>0.66012360000000003</v>
      </c>
      <c r="F4227" t="s">
        <v>63</v>
      </c>
      <c r="G4227">
        <v>-206.70349999999999</v>
      </c>
      <c r="H4227" s="1">
        <v>-8.5506409999999996E-6</v>
      </c>
      <c r="I4227">
        <v>146.13390000000001</v>
      </c>
      <c r="J4227">
        <v>-200.07060000000001</v>
      </c>
      <c r="K4227">
        <v>1.1046320000000001</v>
      </c>
      <c r="L4227">
        <v>147.18049999999999</v>
      </c>
      <c r="M4227">
        <v>-0.71213609999999905</v>
      </c>
      <c r="N4227">
        <v>0</v>
      </c>
      <c r="O4227">
        <v>-0.70189399999999902</v>
      </c>
      <c r="P4227">
        <v>-0.84392630000000002</v>
      </c>
      <c r="Q4227">
        <v>1.1447870000000001E-2</v>
      </c>
      <c r="R4227">
        <v>-0.53633739999999996</v>
      </c>
      <c r="S4227">
        <v>-3.21991</v>
      </c>
      <c r="T4227">
        <v>-0.52430429999999995</v>
      </c>
      <c r="U4227">
        <v>-0.56118769999999996</v>
      </c>
      <c r="V4227">
        <v>0.21074209999999999</v>
      </c>
      <c r="W4227">
        <v>2.2737750000000001E-2</v>
      </c>
      <c r="X4227">
        <v>0.97727719999999996</v>
      </c>
      <c r="Y4227">
        <v>0.55514839999999999</v>
      </c>
      <c r="Z4227">
        <v>0.1461797</v>
      </c>
      <c r="AA4227">
        <v>0.81880509999999995</v>
      </c>
      <c r="AB4227">
        <v>20</v>
      </c>
      <c r="AC4227">
        <v>-6.63289999999997</v>
      </c>
      <c r="AD4227">
        <v>-1.104640550641</v>
      </c>
      <c r="AE4227">
        <v>-1.04659999999998</v>
      </c>
      <c r="AF4227">
        <v>3.8076348492041898</v>
      </c>
      <c r="AG4227">
        <v>-1.104640550641</v>
      </c>
      <c r="AH4227">
        <v>5.3148656082505701</v>
      </c>
      <c r="AI4227">
        <v>99.589903726647194</v>
      </c>
      <c r="AJ4227">
        <v>54.3817243357149</v>
      </c>
      <c r="AK4227">
        <v>6.6306945582464696</v>
      </c>
      <c r="AL4227">
        <v>88.6971105824462</v>
      </c>
      <c r="AM4227">
        <v>77.830960747097606</v>
      </c>
      <c r="AN4227">
        <v>0.99999998181365601</v>
      </c>
    </row>
    <row r="4228" spans="1:40" x14ac:dyDescent="0.25">
      <c r="A4228" t="str">
        <f>"20190312154919804"</f>
        <v>20190312154919804</v>
      </c>
      <c r="B4228" t="str">
        <f>"1552376959799949"</f>
        <v>1552376959799949</v>
      </c>
      <c r="C4228" t="s">
        <v>40</v>
      </c>
      <c r="D4228">
        <v>4.6145630000000004</v>
      </c>
      <c r="E4228">
        <v>0.6582749</v>
      </c>
      <c r="F4228" t="s">
        <v>63</v>
      </c>
      <c r="G4228">
        <v>-206.84039999999999</v>
      </c>
      <c r="H4228" s="1">
        <v>-8.4674649999999906E-6</v>
      </c>
      <c r="I4228">
        <v>146.04900000000001</v>
      </c>
      <c r="J4228">
        <v>-200.2261</v>
      </c>
      <c r="K4228">
        <v>1.1046480000000001</v>
      </c>
      <c r="L4228">
        <v>147.04349999999999</v>
      </c>
      <c r="M4228">
        <v>-0.71899209999999902</v>
      </c>
      <c r="N4228">
        <v>0</v>
      </c>
      <c r="O4228">
        <v>-0.69486949999999903</v>
      </c>
      <c r="P4228">
        <v>-0.84937719999999906</v>
      </c>
      <c r="Q4228">
        <v>1.148386E-2</v>
      </c>
      <c r="R4228">
        <v>-0.52766159999999995</v>
      </c>
      <c r="S4228">
        <v>-3.21991</v>
      </c>
      <c r="T4228">
        <v>-0.52539939999999996</v>
      </c>
      <c r="U4228">
        <v>-0.53820800000000002</v>
      </c>
      <c r="V4228">
        <v>0.21116190000000001</v>
      </c>
      <c r="W4228">
        <v>2.277065E-2</v>
      </c>
      <c r="X4228">
        <v>0.97718579999999999</v>
      </c>
      <c r="Y4228">
        <v>0.55272519999999903</v>
      </c>
      <c r="Z4228">
        <v>0.14568739999999999</v>
      </c>
      <c r="AA4228">
        <v>0.82053039999999999</v>
      </c>
      <c r="AB4228">
        <v>20</v>
      </c>
      <c r="AC4228">
        <v>-6.6142999999999796</v>
      </c>
      <c r="AD4228">
        <v>-1.1046564674649999</v>
      </c>
      <c r="AE4228">
        <v>-0.99449999999998795</v>
      </c>
      <c r="AF4228">
        <v>3.77838047077329</v>
      </c>
      <c r="AG4228">
        <v>-1.1046564674649999</v>
      </c>
      <c r="AH4228">
        <v>5.30260725911437</v>
      </c>
      <c r="AI4228">
        <v>99.629036664979793</v>
      </c>
      <c r="AJ4228">
        <v>54.528172761740002</v>
      </c>
      <c r="AK4228">
        <v>6.6040948386168399</v>
      </c>
      <c r="AL4228">
        <v>88.695225046516697</v>
      </c>
      <c r="AM4228">
        <v>77.806338153243999</v>
      </c>
      <c r="AN4228">
        <v>0.99999996911733502</v>
      </c>
    </row>
    <row r="4229" spans="1:40" x14ac:dyDescent="0.25">
      <c r="A4229" t="str">
        <f>"20190312154919818"</f>
        <v>20190312154919818</v>
      </c>
      <c r="B4229" t="str">
        <f>"1552376959809709"</f>
        <v>1552376959809709</v>
      </c>
      <c r="C4229" t="s">
        <v>40</v>
      </c>
      <c r="D4229">
        <v>4.6266220000000002</v>
      </c>
      <c r="E4229">
        <v>0.65768859999999996</v>
      </c>
      <c r="F4229" t="s">
        <v>63</v>
      </c>
      <c r="G4229">
        <v>-206.96270000000001</v>
      </c>
      <c r="H4229" s="1">
        <v>-8.3895199999999996E-6</v>
      </c>
      <c r="I4229">
        <v>145.959</v>
      </c>
      <c r="J4229">
        <v>-200.3168</v>
      </c>
      <c r="K4229">
        <v>1.104657</v>
      </c>
      <c r="L4229">
        <v>146.965</v>
      </c>
      <c r="M4229">
        <v>-0.72292829999999997</v>
      </c>
      <c r="N4229">
        <v>0</v>
      </c>
      <c r="O4229">
        <v>-0.69077330000000003</v>
      </c>
      <c r="P4229">
        <v>-0.85235300000000003</v>
      </c>
      <c r="Q4229">
        <v>1.1493359999999999E-2</v>
      </c>
      <c r="R4229">
        <v>-0.52284090000000005</v>
      </c>
      <c r="S4229">
        <v>-3.2173769999999999</v>
      </c>
      <c r="T4229">
        <v>-0.52758090000000002</v>
      </c>
      <c r="U4229">
        <v>-0.51792910000000003</v>
      </c>
      <c r="V4229">
        <v>0.211146</v>
      </c>
      <c r="W4229">
        <v>2.2783040000000001E-2</v>
      </c>
      <c r="X4229">
        <v>0.97718899999999997</v>
      </c>
      <c r="Y4229">
        <v>0.55282929999999997</v>
      </c>
      <c r="Z4229">
        <v>0.1460871</v>
      </c>
      <c r="AA4229">
        <v>0.82038919999999904</v>
      </c>
      <c r="AB4229">
        <v>20</v>
      </c>
      <c r="AC4229">
        <v>-6.6459000000000099</v>
      </c>
      <c r="AD4229">
        <v>-1.10466538952</v>
      </c>
      <c r="AE4229">
        <v>-1.006</v>
      </c>
      <c r="AF4229">
        <v>3.76232599708446</v>
      </c>
      <c r="AG4229">
        <v>-1.10466538952</v>
      </c>
      <c r="AH4229">
        <v>5.3553513273028299</v>
      </c>
      <c r="AI4229">
        <v>99.580331553214194</v>
      </c>
      <c r="AJ4229">
        <v>54.910585656363601</v>
      </c>
      <c r="AK4229">
        <v>6.6374069010408796</v>
      </c>
      <c r="AL4229">
        <v>88.6945150352838</v>
      </c>
      <c r="AM4229">
        <v>77.807267570306806</v>
      </c>
      <c r="AN4229">
        <v>1.0000000209743201</v>
      </c>
    </row>
    <row r="4230" spans="1:40" x14ac:dyDescent="0.25">
      <c r="A4230" t="str">
        <f>"20190312154919838"</f>
        <v>20190312154919838</v>
      </c>
      <c r="B4230" t="str">
        <f>"1552376959830205"</f>
        <v>1552376959830205</v>
      </c>
      <c r="C4230" t="s">
        <v>40</v>
      </c>
      <c r="D4230">
        <v>4.6165949999999896</v>
      </c>
      <c r="E4230">
        <v>0.65715119999999905</v>
      </c>
      <c r="F4230" t="s">
        <v>63</v>
      </c>
      <c r="G4230">
        <v>-207.05459999999999</v>
      </c>
      <c r="H4230" s="1">
        <v>-8.3358969999999994E-6</v>
      </c>
      <c r="I4230">
        <v>145.91030000000001</v>
      </c>
      <c r="J4230">
        <v>-200.45820000000001</v>
      </c>
      <c r="K4230">
        <v>1.1046800000000001</v>
      </c>
      <c r="L4230">
        <v>146.8441</v>
      </c>
      <c r="M4230">
        <v>-0.7289909</v>
      </c>
      <c r="N4230">
        <v>0</v>
      </c>
      <c r="O4230">
        <v>-0.68437219999999999</v>
      </c>
      <c r="P4230">
        <v>-0.85699979999999998</v>
      </c>
      <c r="Q4230">
        <v>1.1351730000000001E-2</v>
      </c>
      <c r="R4230">
        <v>-0.51519190000000004</v>
      </c>
      <c r="S4230">
        <v>-3.2178040000000001</v>
      </c>
      <c r="T4230">
        <v>-0.52755680000000005</v>
      </c>
      <c r="U4230">
        <v>-0.50369259999999905</v>
      </c>
      <c r="V4230">
        <v>0.21127380000000001</v>
      </c>
      <c r="W4230">
        <v>2.2642410000000002E-2</v>
      </c>
      <c r="X4230">
        <v>0.97716460000000005</v>
      </c>
      <c r="Y4230">
        <v>0.54918269999999902</v>
      </c>
      <c r="Z4230">
        <v>0.14515129999999901</v>
      </c>
      <c r="AA4230">
        <v>0.82300030000000002</v>
      </c>
      <c r="AB4230">
        <v>20</v>
      </c>
      <c r="AC4230">
        <v>-6.5963999999999796</v>
      </c>
      <c r="AD4230">
        <v>-1.1046883358970001</v>
      </c>
      <c r="AE4230">
        <v>-0.93379999999998997</v>
      </c>
      <c r="AF4230">
        <v>3.7314625303443099</v>
      </c>
      <c r="AG4230">
        <v>-1.1046883358970001</v>
      </c>
      <c r="AH4230">
        <v>5.3025542002051296</v>
      </c>
      <c r="AI4230">
        <v>99.668881220966</v>
      </c>
      <c r="AJ4230">
        <v>54.865550392795299</v>
      </c>
      <c r="AK4230">
        <v>6.5773269632080398</v>
      </c>
      <c r="AL4230">
        <v>88.702574561854803</v>
      </c>
      <c r="AM4230">
        <v>77.799813169700599</v>
      </c>
      <c r="AN4230">
        <v>0.99999997639510296</v>
      </c>
    </row>
    <row r="4231" spans="1:40" x14ac:dyDescent="0.25">
      <c r="A4231" t="str">
        <f>"20190312154919850"</f>
        <v>20190312154919850</v>
      </c>
      <c r="B4231" t="str">
        <f>"1552376959839965"</f>
        <v>1552376959839965</v>
      </c>
      <c r="C4231" t="s">
        <v>40</v>
      </c>
      <c r="D4231">
        <v>4.5385749999999998</v>
      </c>
      <c r="E4231">
        <v>0.65741490000000002</v>
      </c>
      <c r="F4231" t="s">
        <v>63</v>
      </c>
      <c r="G4231">
        <v>-207.2055</v>
      </c>
      <c r="H4231" s="1">
        <v>-8.2509799999999997E-6</v>
      </c>
      <c r="I4231">
        <v>145.84209999999999</v>
      </c>
      <c r="J4231">
        <v>-200.55</v>
      </c>
      <c r="K4231">
        <v>1.104689</v>
      </c>
      <c r="L4231">
        <v>146.76679999999999</v>
      </c>
      <c r="M4231">
        <v>-0.73287179999999996</v>
      </c>
      <c r="N4231">
        <v>0</v>
      </c>
      <c r="O4231">
        <v>-0.6802146</v>
      </c>
      <c r="P4231">
        <v>-0.85995259999999996</v>
      </c>
      <c r="Q4231">
        <v>1.142292E-2</v>
      </c>
      <c r="R4231">
        <v>-0.51024599999999998</v>
      </c>
      <c r="S4231">
        <v>-3.2201080000000002</v>
      </c>
      <c r="T4231">
        <v>-0.52720710000000004</v>
      </c>
      <c r="U4231">
        <v>-0.47821039999999998</v>
      </c>
      <c r="V4231">
        <v>0.2113447</v>
      </c>
      <c r="W4231">
        <v>2.2714870000000002E-2</v>
      </c>
      <c r="X4231">
        <v>0.97714760000000001</v>
      </c>
      <c r="Y4231">
        <v>0.55094460000000001</v>
      </c>
      <c r="Z4231">
        <v>0.1447881</v>
      </c>
      <c r="AA4231">
        <v>0.82188589999999995</v>
      </c>
      <c r="AB4231">
        <v>20</v>
      </c>
      <c r="AC4231">
        <v>-6.6554999999999804</v>
      </c>
      <c r="AD4231">
        <v>-1.1046972509799999</v>
      </c>
      <c r="AE4231">
        <v>-0.92470000000000097</v>
      </c>
      <c r="AF4231">
        <v>3.7485623135794501</v>
      </c>
      <c r="AG4231">
        <v>-1.1046972509799999</v>
      </c>
      <c r="AH4231">
        <v>5.3622590954810301</v>
      </c>
      <c r="AI4231">
        <v>99.583825001540205</v>
      </c>
      <c r="AJ4231">
        <v>55.043987994669799</v>
      </c>
      <c r="AK4231">
        <v>6.6352014319220203</v>
      </c>
      <c r="AL4231">
        <v>88.698421859050498</v>
      </c>
      <c r="AM4231">
        <v>77.795635727165504</v>
      </c>
      <c r="AN4231">
        <v>0.99999998986148297</v>
      </c>
    </row>
    <row r="4232" spans="1:40" x14ac:dyDescent="0.25">
      <c r="A4232" t="str">
        <f>"20190312154919871"</f>
        <v>20190312154919871</v>
      </c>
      <c r="B4232" t="str">
        <f>"1552376959859485"</f>
        <v>1552376959859485</v>
      </c>
      <c r="C4232" t="s">
        <v>40</v>
      </c>
      <c r="D4232">
        <v>4.5117229999999999</v>
      </c>
      <c r="E4232">
        <v>0.65811969999999997</v>
      </c>
      <c r="F4232" t="s">
        <v>63</v>
      </c>
      <c r="G4232">
        <v>-207.3235</v>
      </c>
      <c r="H4232" s="1">
        <v>-8.1887220000000002E-6</v>
      </c>
      <c r="I4232">
        <v>145.80459999999999</v>
      </c>
      <c r="J4232">
        <v>-200.69399999999999</v>
      </c>
      <c r="K4232">
        <v>1.1047070000000001</v>
      </c>
      <c r="L4232">
        <v>146.6473</v>
      </c>
      <c r="M4232">
        <v>-0.73887569999999902</v>
      </c>
      <c r="N4232">
        <v>0</v>
      </c>
      <c r="O4232">
        <v>-0.67368839999999997</v>
      </c>
      <c r="P4232">
        <v>-0.864502199999999</v>
      </c>
      <c r="Q4232">
        <v>1.112546E-2</v>
      </c>
      <c r="R4232">
        <v>-0.50250600000000001</v>
      </c>
      <c r="S4232">
        <v>-3.2238159999999998</v>
      </c>
      <c r="T4232">
        <v>-0.52577280000000004</v>
      </c>
      <c r="U4232">
        <v>-0.45794679999999999</v>
      </c>
      <c r="V4232">
        <v>0.2114482</v>
      </c>
      <c r="W4232">
        <v>2.2419310000000001E-2</v>
      </c>
      <c r="X4232">
        <v>0.97713209999999995</v>
      </c>
      <c r="Y4232">
        <v>0.54896800000000001</v>
      </c>
      <c r="Z4232">
        <v>0.14346410000000001</v>
      </c>
      <c r="AA4232">
        <v>0.82343920000000004</v>
      </c>
      <c r="AB4232">
        <v>20</v>
      </c>
      <c r="AC4232">
        <v>-6.62949999999997</v>
      </c>
      <c r="AD4232">
        <v>-1.1047151887219999</v>
      </c>
      <c r="AE4232">
        <v>-0.842700000000007</v>
      </c>
      <c r="AF4232">
        <v>3.7417172727759098</v>
      </c>
      <c r="AG4232">
        <v>-1.1047151887219999</v>
      </c>
      <c r="AH4232">
        <v>5.3212494311481997</v>
      </c>
      <c r="AI4232">
        <v>99.638205407251803</v>
      </c>
      <c r="AJ4232">
        <v>54.886448612377201</v>
      </c>
      <c r="AK4232">
        <v>6.5982224353289096</v>
      </c>
      <c r="AL4232">
        <v>88.715360595778805</v>
      </c>
      <c r="AM4232">
        <v>77.789650391281</v>
      </c>
      <c r="AN4232">
        <v>1.00000005379726</v>
      </c>
    </row>
    <row r="4233" spans="1:40" x14ac:dyDescent="0.25">
      <c r="A4233" t="str">
        <f>"20190312154919884"</f>
        <v>20190312154919884</v>
      </c>
      <c r="B4233" t="str">
        <f>"1552376959879981"</f>
        <v>1552376959879981</v>
      </c>
      <c r="C4233" t="s">
        <v>40</v>
      </c>
      <c r="D4233">
        <v>4.4885549999999999</v>
      </c>
      <c r="E4233">
        <v>0.65868130000000003</v>
      </c>
      <c r="F4233" t="s">
        <v>63</v>
      </c>
      <c r="G4233">
        <v>-207.529</v>
      </c>
      <c r="H4233" s="1">
        <v>-8.0831530000000006E-6</v>
      </c>
      <c r="I4233">
        <v>145.7499</v>
      </c>
      <c r="J4233">
        <v>-200.79069999999999</v>
      </c>
      <c r="K4233">
        <v>1.104716</v>
      </c>
      <c r="L4233">
        <v>146.56809999999999</v>
      </c>
      <c r="M4233">
        <v>-0.74285440000000003</v>
      </c>
      <c r="N4233">
        <v>0</v>
      </c>
      <c r="O4233">
        <v>-0.66929879999999997</v>
      </c>
      <c r="P4233">
        <v>-0.86745380000000005</v>
      </c>
      <c r="Q4233">
        <v>1.1024620000000001E-2</v>
      </c>
      <c r="R4233">
        <v>-0.497396</v>
      </c>
      <c r="S4233">
        <v>-3.2303920000000002</v>
      </c>
      <c r="T4233">
        <v>-0.5221152</v>
      </c>
      <c r="U4233">
        <v>-0.42414859999999999</v>
      </c>
      <c r="V4233">
        <v>0.21142359999999999</v>
      </c>
      <c r="W4233">
        <v>2.2321580000000001E-2</v>
      </c>
      <c r="X4233">
        <v>0.9771396</v>
      </c>
      <c r="Y4233">
        <v>0.55294670000000001</v>
      </c>
      <c r="Z4233">
        <v>0.1422061</v>
      </c>
      <c r="AA4233">
        <v>0.82099179999999905</v>
      </c>
      <c r="AB4233">
        <v>20</v>
      </c>
      <c r="AC4233">
        <v>-6.7383000000000299</v>
      </c>
      <c r="AD4233">
        <v>-1.1047240831530001</v>
      </c>
      <c r="AE4233">
        <v>-0.81819999999999005</v>
      </c>
      <c r="AF4233">
        <v>3.80183228239129</v>
      </c>
      <c r="AG4233">
        <v>-1.1047240831530001</v>
      </c>
      <c r="AH4233">
        <v>5.4104568230307297</v>
      </c>
      <c r="AI4233">
        <v>99.4843905130205</v>
      </c>
      <c r="AJ4233">
        <v>54.904965516650002</v>
      </c>
      <c r="AK4233">
        <v>6.7042812468758104</v>
      </c>
      <c r="AL4233">
        <v>88.720961438076898</v>
      </c>
      <c r="AM4233">
        <v>77.791119233862901</v>
      </c>
      <c r="AN4233">
        <v>0.99999999472940804</v>
      </c>
    </row>
    <row r="4234" spans="1:40" x14ac:dyDescent="0.25">
      <c r="A4234" t="str">
        <f>"20190312154919905"</f>
        <v>20190312154919905</v>
      </c>
      <c r="B4234" t="str">
        <f>"1552376959900477"</f>
        <v>1552376959900477</v>
      </c>
      <c r="C4234" t="s">
        <v>40</v>
      </c>
      <c r="D4234">
        <v>4.5563570000000002</v>
      </c>
      <c r="E4234">
        <v>0.65913980000000005</v>
      </c>
      <c r="F4234" t="s">
        <v>63</v>
      </c>
      <c r="G4234">
        <v>-207.69130000000001</v>
      </c>
      <c r="H4234" s="1">
        <v>-8.0012829999999993E-6</v>
      </c>
      <c r="I4234">
        <v>145.7124</v>
      </c>
      <c r="J4234">
        <v>-200.93610000000001</v>
      </c>
      <c r="K4234">
        <v>1.104725</v>
      </c>
      <c r="L4234">
        <v>146.45099999999999</v>
      </c>
      <c r="M4234">
        <v>-0.74874560000000001</v>
      </c>
      <c r="N4234">
        <v>0</v>
      </c>
      <c r="O4234">
        <v>-0.66270189999999995</v>
      </c>
      <c r="P4234">
        <v>-0.87186339999999996</v>
      </c>
      <c r="Q4234">
        <v>1.046012E-2</v>
      </c>
      <c r="R4234">
        <v>-0.48963790000000001</v>
      </c>
      <c r="S4234">
        <v>-3.2349700000000001</v>
      </c>
      <c r="T4234">
        <v>-0.5178895</v>
      </c>
      <c r="U4234">
        <v>-0.4011383</v>
      </c>
      <c r="V4234">
        <v>0.21149370000000001</v>
      </c>
      <c r="W4234">
        <v>2.1759049999999999E-2</v>
      </c>
      <c r="X4234">
        <v>0.97713709999999998</v>
      </c>
      <c r="Y4234">
        <v>0.55184449999999996</v>
      </c>
      <c r="Z4234">
        <v>0.14016319999999999</v>
      </c>
      <c r="AA4234">
        <v>0.82208389999999998</v>
      </c>
      <c r="AB4234">
        <v>20</v>
      </c>
      <c r="AC4234">
        <v>-6.7552000000000003</v>
      </c>
      <c r="AD4234">
        <v>-1.1047330012829999</v>
      </c>
      <c r="AE4234">
        <v>-0.73859999999999004</v>
      </c>
      <c r="AF4234">
        <v>3.8230270605558401</v>
      </c>
      <c r="AG4234">
        <v>-1.1047330012829999</v>
      </c>
      <c r="AH4234">
        <v>5.4051192671441601</v>
      </c>
      <c r="AI4234">
        <v>99.473423955932503</v>
      </c>
      <c r="AJ4234">
        <v>54.728328058849897</v>
      </c>
      <c r="AK4234">
        <v>6.7120254172581202</v>
      </c>
      <c r="AL4234">
        <v>88.753199842429794</v>
      </c>
      <c r="AM4234">
        <v>77.787162410253202</v>
      </c>
      <c r="AN4234">
        <v>0.99999997679650099</v>
      </c>
    </row>
    <row r="4235" spans="1:40" x14ac:dyDescent="0.25">
      <c r="A4235" t="str">
        <f>"20190312154919918"</f>
        <v>20190312154919918</v>
      </c>
      <c r="B4235" t="str">
        <f>"1552376959911213"</f>
        <v>1552376959911213</v>
      </c>
      <c r="C4235" t="s">
        <v>40</v>
      </c>
      <c r="D4235">
        <v>4.5426880000000001</v>
      </c>
      <c r="E4235">
        <v>0.65931490000000004</v>
      </c>
      <c r="F4235" t="s">
        <v>63</v>
      </c>
      <c r="G4235">
        <v>-207.89949999999999</v>
      </c>
      <c r="H4235" s="1">
        <v>-7.8946950000000005E-6</v>
      </c>
      <c r="I4235">
        <v>145.65819999999999</v>
      </c>
      <c r="J4235">
        <v>-201.02869999999999</v>
      </c>
      <c r="K4235">
        <v>1.1047340000000001</v>
      </c>
      <c r="L4235">
        <v>146.37780000000001</v>
      </c>
      <c r="M4235">
        <v>-0.75244369999999905</v>
      </c>
      <c r="N4235">
        <v>0</v>
      </c>
      <c r="O4235">
        <v>-0.65850019999999998</v>
      </c>
      <c r="P4235">
        <v>-0.87457859999999998</v>
      </c>
      <c r="Q4235">
        <v>1.033335E-2</v>
      </c>
      <c r="R4235">
        <v>-0.4847745</v>
      </c>
      <c r="S4235">
        <v>-3.2399140000000002</v>
      </c>
      <c r="T4235">
        <v>-0.51400829999999997</v>
      </c>
      <c r="U4235">
        <v>-0.36888120000000002</v>
      </c>
      <c r="V4235">
        <v>0.21146499999999999</v>
      </c>
      <c r="W4235">
        <v>2.1635100000000001E-2</v>
      </c>
      <c r="X4235">
        <v>0.97714610000000002</v>
      </c>
      <c r="Y4235">
        <v>0.55563909999999905</v>
      </c>
      <c r="Z4235">
        <v>0.1389002</v>
      </c>
      <c r="AA4235">
        <v>0.819739</v>
      </c>
      <c r="AB4235">
        <v>20</v>
      </c>
      <c r="AC4235">
        <v>-6.8708</v>
      </c>
      <c r="AD4235">
        <v>-1.1047418946950001</v>
      </c>
      <c r="AE4235">
        <v>-0.71960000000001401</v>
      </c>
      <c r="AF4235">
        <v>3.8840509483172201</v>
      </c>
      <c r="AG4235">
        <v>-1.1047418946950001</v>
      </c>
      <c r="AH4235">
        <v>5.5035889814636496</v>
      </c>
      <c r="AI4235">
        <v>99.313746676335001</v>
      </c>
      <c r="AJ4235">
        <v>54.788212105219799</v>
      </c>
      <c r="AK4235">
        <v>6.8261114919041797</v>
      </c>
      <c r="AL4235">
        <v>88.760303370667899</v>
      </c>
      <c r="AM4235">
        <v>77.788879071060705</v>
      </c>
      <c r="AN4235">
        <v>1.0000000122611099</v>
      </c>
    </row>
    <row r="4236" spans="1:40" x14ac:dyDescent="0.25">
      <c r="A4236" t="str">
        <f>"20190312154919938"</f>
        <v>20190312154919938</v>
      </c>
      <c r="B4236" t="str">
        <f>"1552376959929757"</f>
        <v>1552376959929757</v>
      </c>
      <c r="C4236" t="s">
        <v>40</v>
      </c>
      <c r="D4236">
        <v>4.8451449999999996</v>
      </c>
      <c r="E4236">
        <v>0.65959440000000003</v>
      </c>
      <c r="F4236" t="s">
        <v>63</v>
      </c>
      <c r="G4236">
        <v>-208.02869999999999</v>
      </c>
      <c r="H4236" s="1">
        <v>-7.8281480000000001E-6</v>
      </c>
      <c r="I4236">
        <v>145.6233</v>
      </c>
      <c r="J4236">
        <v>-201.17609999999999</v>
      </c>
      <c r="K4236">
        <v>1.1047480000000001</v>
      </c>
      <c r="L4236">
        <v>146.26259999999999</v>
      </c>
      <c r="M4236">
        <v>-0.75825419999999999</v>
      </c>
      <c r="N4236">
        <v>0</v>
      </c>
      <c r="O4236">
        <v>-0.65180079999999996</v>
      </c>
      <c r="P4236">
        <v>-0.87866599999999995</v>
      </c>
      <c r="Q4236">
        <v>1.000551E-2</v>
      </c>
      <c r="R4236">
        <v>-0.47733229999999999</v>
      </c>
      <c r="S4236">
        <v>-3.2425540000000002</v>
      </c>
      <c r="T4236">
        <v>-0.5117353</v>
      </c>
      <c r="U4236">
        <v>-0.3494873</v>
      </c>
      <c r="V4236">
        <v>0.21109130000000001</v>
      </c>
      <c r="W4236">
        <v>2.1316649999999999E-2</v>
      </c>
      <c r="X4236">
        <v>0.97723389999999999</v>
      </c>
      <c r="Y4236">
        <v>0.55345049999999996</v>
      </c>
      <c r="Z4236">
        <v>0.1373402</v>
      </c>
      <c r="AA4236">
        <v>0.82148060000000001</v>
      </c>
      <c r="AB4236">
        <v>20</v>
      </c>
      <c r="AC4236">
        <v>-6.85259999999999</v>
      </c>
      <c r="AD4236">
        <v>-1.1047558281479899</v>
      </c>
      <c r="AE4236">
        <v>-0.63929999999999099</v>
      </c>
      <c r="AF4236">
        <v>3.8821587100960002</v>
      </c>
      <c r="AG4236">
        <v>-1.1047558281479899</v>
      </c>
      <c r="AH4236">
        <v>5.4722854172124897</v>
      </c>
      <c r="AI4236">
        <v>99.350199991666003</v>
      </c>
      <c r="AJ4236">
        <v>54.647278608313599</v>
      </c>
      <c r="AK4236">
        <v>6.7998198047917198</v>
      </c>
      <c r="AL4236">
        <v>88.778553425027397</v>
      </c>
      <c r="AM4236">
        <v>77.810875103826902</v>
      </c>
      <c r="AN4236">
        <v>1.00000001590606</v>
      </c>
    </row>
    <row r="4237" spans="1:40" x14ac:dyDescent="0.25">
      <c r="A4237" t="str">
        <f>"20190312154919961"</f>
        <v>20190312154919961</v>
      </c>
      <c r="B4237" t="str">
        <f>"1552376959950253"</f>
        <v>1552376959950253</v>
      </c>
      <c r="C4237" t="s">
        <v>40</v>
      </c>
      <c r="D4237">
        <v>4.5738320000000003</v>
      </c>
      <c r="E4237">
        <v>0.65973689999999996</v>
      </c>
      <c r="F4237" t="s">
        <v>63</v>
      </c>
      <c r="G4237">
        <v>-208.21850000000001</v>
      </c>
      <c r="H4237" s="1">
        <v>-7.7296410000000001E-6</v>
      </c>
      <c r="I4237">
        <v>145.56899999999999</v>
      </c>
      <c r="J4237">
        <v>-201.34610000000001</v>
      </c>
      <c r="K4237">
        <v>1.1047689999999999</v>
      </c>
      <c r="L4237">
        <v>146.13220000000001</v>
      </c>
      <c r="M4237">
        <v>-0.76483900000000005</v>
      </c>
      <c r="N4237">
        <v>0</v>
      </c>
      <c r="O4237">
        <v>-0.64406160000000001</v>
      </c>
      <c r="P4237">
        <v>-0.88340649999999998</v>
      </c>
      <c r="Q4237">
        <v>9.988327E-3</v>
      </c>
      <c r="R4237">
        <v>-0.46850140000000001</v>
      </c>
      <c r="S4237">
        <v>-3.2463839999999999</v>
      </c>
      <c r="T4237">
        <v>-0.50926400000000005</v>
      </c>
      <c r="U4237">
        <v>-0.31974789999999997</v>
      </c>
      <c r="V4237">
        <v>0.21095410000000001</v>
      </c>
      <c r="W4237">
        <v>2.1305210000000002E-2</v>
      </c>
      <c r="X4237">
        <v>0.97726369999999896</v>
      </c>
      <c r="Y4237">
        <v>0.55281459999999905</v>
      </c>
      <c r="Z4237">
        <v>0.13572139999999999</v>
      </c>
      <c r="AA4237">
        <v>0.82217739999999995</v>
      </c>
      <c r="AB4237">
        <v>20</v>
      </c>
      <c r="AC4237">
        <v>-6.8723999999999901</v>
      </c>
      <c r="AD4237">
        <v>-1.104776729641</v>
      </c>
      <c r="AE4237">
        <v>-0.56320000000002302</v>
      </c>
      <c r="AF4237">
        <v>3.8958956412038299</v>
      </c>
      <c r="AG4237">
        <v>-1.104776729641</v>
      </c>
      <c r="AH4237">
        <v>5.4789493505662703</v>
      </c>
      <c r="AI4237">
        <v>99.332081936722702</v>
      </c>
      <c r="AJ4237">
        <v>54.584654139106597</v>
      </c>
      <c r="AK4237">
        <v>6.8130331318420803</v>
      </c>
      <c r="AL4237">
        <v>88.779208947155695</v>
      </c>
      <c r="AM4237">
        <v>77.818921195732798</v>
      </c>
      <c r="AN4237">
        <v>0.99999994180882001</v>
      </c>
    </row>
    <row r="4238" spans="1:40" x14ac:dyDescent="0.25">
      <c r="A4238" t="str">
        <f>"20190312154919984"</f>
        <v>20190312154919984</v>
      </c>
      <c r="B4238" t="str">
        <f>"1552376959980509"</f>
        <v>1552376959980509</v>
      </c>
      <c r="C4238" t="s">
        <v>40</v>
      </c>
      <c r="D4238">
        <v>4.6131840000000004</v>
      </c>
      <c r="E4238">
        <v>0.65969659999999997</v>
      </c>
      <c r="F4238" t="s">
        <v>63</v>
      </c>
      <c r="G4238">
        <v>-208.42660000000001</v>
      </c>
      <c r="H4238" s="1">
        <v>-7.6213710000000003E-6</v>
      </c>
      <c r="I4238">
        <v>145.5085</v>
      </c>
      <c r="J4238">
        <v>-201.51060000000001</v>
      </c>
      <c r="K4238">
        <v>1.104784</v>
      </c>
      <c r="L4238">
        <v>146.0087</v>
      </c>
      <c r="M4238">
        <v>-0.77108559999999904</v>
      </c>
      <c r="N4238">
        <v>0</v>
      </c>
      <c r="O4238">
        <v>-0.63656990000000002</v>
      </c>
      <c r="P4238">
        <v>-0.88780809999999999</v>
      </c>
      <c r="Q4238">
        <v>9.6374770000000002E-3</v>
      </c>
      <c r="R4238">
        <v>-0.46011360000000001</v>
      </c>
      <c r="S4238">
        <v>-3.2498629999999999</v>
      </c>
      <c r="T4238">
        <v>-0.50707829999999998</v>
      </c>
      <c r="U4238">
        <v>-0.28630070000000002</v>
      </c>
      <c r="V4238">
        <v>0.21067359999999999</v>
      </c>
      <c r="W4238">
        <v>2.0962430000000001E-2</v>
      </c>
      <c r="X4238">
        <v>0.97733170000000003</v>
      </c>
      <c r="Y4238">
        <v>0.55340029999999996</v>
      </c>
      <c r="Z4238">
        <v>0.13432089999999999</v>
      </c>
      <c r="AA4238">
        <v>0.82201340000000001</v>
      </c>
      <c r="AB4238">
        <v>20</v>
      </c>
      <c r="AC4238">
        <v>-6.9159999999999897</v>
      </c>
      <c r="AD4238">
        <v>-1.1047916213710001</v>
      </c>
      <c r="AE4238">
        <v>-0.50020000000000597</v>
      </c>
      <c r="AF4238">
        <v>3.91777912254787</v>
      </c>
      <c r="AG4238">
        <v>-1.1047916213710001</v>
      </c>
      <c r="AH4238">
        <v>5.5118996851736899</v>
      </c>
      <c r="AI4238">
        <v>99.2785979795418</v>
      </c>
      <c r="AJ4238">
        <v>54.595331975089799</v>
      </c>
      <c r="AK4238">
        <v>6.8520504901191002</v>
      </c>
      <c r="AL4238">
        <v>88.798853277674894</v>
      </c>
      <c r="AM4238">
        <v>77.835456543882302</v>
      </c>
      <c r="AN4238">
        <v>1.0000000205166699</v>
      </c>
    </row>
    <row r="4239" spans="1:40" x14ac:dyDescent="0.25">
      <c r="A4239" t="str">
        <f>"20190312154920007"</f>
        <v>20190312154920007</v>
      </c>
      <c r="B4239" t="str">
        <f>"1552376960000029"</f>
        <v>1552376960000029</v>
      </c>
      <c r="C4239" t="s">
        <v>40</v>
      </c>
      <c r="D4239">
        <v>4.6190619999999996</v>
      </c>
      <c r="E4239">
        <v>0.65964330000000004</v>
      </c>
      <c r="F4239" t="s">
        <v>63</v>
      </c>
      <c r="G4239">
        <v>-208.59610000000001</v>
      </c>
      <c r="H4239" s="1">
        <v>-7.5309509999999997E-6</v>
      </c>
      <c r="I4239">
        <v>145.45050000000001</v>
      </c>
      <c r="J4239">
        <v>-201.6773</v>
      </c>
      <c r="K4239">
        <v>1.1047979999999999</v>
      </c>
      <c r="L4239">
        <v>145.8862</v>
      </c>
      <c r="M4239">
        <v>-0.77729619999999999</v>
      </c>
      <c r="N4239">
        <v>0</v>
      </c>
      <c r="O4239">
        <v>-0.62897119999999995</v>
      </c>
      <c r="P4239">
        <v>-0.89230119999999902</v>
      </c>
      <c r="Q4239">
        <v>8.7926629999999992E-3</v>
      </c>
      <c r="R4239">
        <v>-0.45135550000000002</v>
      </c>
      <c r="S4239">
        <v>-3.251862</v>
      </c>
      <c r="T4239">
        <v>-0.50704170000000004</v>
      </c>
      <c r="U4239">
        <v>-0.25616460000000002</v>
      </c>
      <c r="V4239">
        <v>0.21069180000000001</v>
      </c>
      <c r="W4239">
        <v>2.0121469999999999E-2</v>
      </c>
      <c r="X4239">
        <v>0.97734549999999998</v>
      </c>
      <c r="Y4239">
        <v>0.55297010000000002</v>
      </c>
      <c r="Z4239">
        <v>0.13342290000000001</v>
      </c>
      <c r="AA4239">
        <v>0.82244910000000004</v>
      </c>
      <c r="AB4239">
        <v>20</v>
      </c>
      <c r="AC4239">
        <v>-6.9188000000000001</v>
      </c>
      <c r="AD4239">
        <v>-1.1048055309510001</v>
      </c>
      <c r="AE4239">
        <v>-0.43569999999999698</v>
      </c>
      <c r="AF4239">
        <v>3.9140635860075901</v>
      </c>
      <c r="AG4239">
        <v>-1.1048055309510001</v>
      </c>
      <c r="AH4239">
        <v>5.5125757720047597</v>
      </c>
      <c r="AI4239">
        <v>99.280871333922903</v>
      </c>
      <c r="AJ4239">
        <v>54.624316754067003</v>
      </c>
      <c r="AK4239">
        <v>6.8504730244432297</v>
      </c>
      <c r="AL4239">
        <v>88.847046959990095</v>
      </c>
      <c r="AM4239">
        <v>77.834603614601406</v>
      </c>
      <c r="AN4239">
        <v>1.0000000672562199</v>
      </c>
    </row>
    <row r="4240" spans="1:40" x14ac:dyDescent="0.25">
      <c r="A4240" t="str">
        <f>"20190312154920028"</f>
        <v>20190312154920028</v>
      </c>
      <c r="B4240" t="str">
        <f>"1552376960020526"</f>
        <v>1552376960020526</v>
      </c>
      <c r="C4240" t="s">
        <v>40</v>
      </c>
      <c r="D4240">
        <v>4.7172539999999996</v>
      </c>
      <c r="E4240">
        <v>0.65942809999999996</v>
      </c>
      <c r="F4240" t="s">
        <v>63</v>
      </c>
      <c r="G4240">
        <v>-208.7551</v>
      </c>
      <c r="H4240" s="1">
        <v>-7.4465380000000004E-6</v>
      </c>
      <c r="I4240">
        <v>145.398</v>
      </c>
      <c r="J4240">
        <v>-201.83170000000001</v>
      </c>
      <c r="K4240">
        <v>1.104814</v>
      </c>
      <c r="L4240">
        <v>145.7749</v>
      </c>
      <c r="M4240">
        <v>-0.78294219999999903</v>
      </c>
      <c r="N4240">
        <v>0</v>
      </c>
      <c r="O4240">
        <v>-0.62192899999999995</v>
      </c>
      <c r="P4240">
        <v>-0.896482</v>
      </c>
      <c r="Q4240">
        <v>8.0556289999999999E-3</v>
      </c>
      <c r="R4240">
        <v>-0.44300699999999998</v>
      </c>
      <c r="S4240">
        <v>-3.253571</v>
      </c>
      <c r="T4240">
        <v>-0.50786350000000002</v>
      </c>
      <c r="U4240">
        <v>-0.2244263</v>
      </c>
      <c r="V4240">
        <v>0.21098610000000001</v>
      </c>
      <c r="W4240">
        <v>1.9382989999999999E-2</v>
      </c>
      <c r="X4240">
        <v>0.97729690000000002</v>
      </c>
      <c r="Y4240">
        <v>0.55353079999999999</v>
      </c>
      <c r="Z4240">
        <v>0.1328896</v>
      </c>
      <c r="AA4240">
        <v>0.82215819999999995</v>
      </c>
      <c r="AB4240">
        <v>20</v>
      </c>
      <c r="AC4240">
        <v>-6.9233999999999796</v>
      </c>
      <c r="AD4240">
        <v>-1.104821446538</v>
      </c>
      <c r="AE4240">
        <v>-0.37690000000000601</v>
      </c>
      <c r="AF4240">
        <v>3.9118635159141202</v>
      </c>
      <c r="AG4240">
        <v>-1.104821446538</v>
      </c>
      <c r="AH4240">
        <v>5.5155696417865503</v>
      </c>
      <c r="AI4240">
        <v>99.2794270148176</v>
      </c>
      <c r="AJ4240">
        <v>54.654203030956303</v>
      </c>
      <c r="AK4240">
        <v>6.8516286435611597</v>
      </c>
      <c r="AL4240">
        <v>88.8893669634015</v>
      </c>
      <c r="AM4240">
        <v>77.817530121017199</v>
      </c>
      <c r="AN4240">
        <v>1.0000000327220699</v>
      </c>
    </row>
    <row r="4241" spans="1:40" x14ac:dyDescent="0.25">
      <c r="A4241" t="str">
        <f>"20190312154920041"</f>
        <v>20190312154920041</v>
      </c>
      <c r="B4241" t="str">
        <f>"1552376960030285"</f>
        <v>1552376960030285</v>
      </c>
      <c r="C4241" t="s">
        <v>40</v>
      </c>
      <c r="D4241">
        <v>4.629086</v>
      </c>
      <c r="E4241">
        <v>0.6592382</v>
      </c>
      <c r="F4241" t="s">
        <v>63</v>
      </c>
      <c r="G4241">
        <v>-208.9194</v>
      </c>
      <c r="H4241" s="1">
        <v>-7.360779E-6</v>
      </c>
      <c r="I4241">
        <v>145.3492</v>
      </c>
      <c r="J4241">
        <v>-201.93119999999999</v>
      </c>
      <c r="K4241">
        <v>1.1048230000000001</v>
      </c>
      <c r="L4241">
        <v>145.70439999999999</v>
      </c>
      <c r="M4241">
        <v>-0.78652869999999997</v>
      </c>
      <c r="N4241">
        <v>0</v>
      </c>
      <c r="O4241">
        <v>-0.61738749999999998</v>
      </c>
      <c r="P4241">
        <v>-0.89906529999999996</v>
      </c>
      <c r="Q4241">
        <v>8.2249679999999992E-3</v>
      </c>
      <c r="R4241">
        <v>-0.43773800000000002</v>
      </c>
      <c r="S4241">
        <v>-3.2543639999999998</v>
      </c>
      <c r="T4241">
        <v>-0.50728079999999998</v>
      </c>
      <c r="U4241">
        <v>-0.19549559999999999</v>
      </c>
      <c r="V4241">
        <v>0.21106639999999999</v>
      </c>
      <c r="W4241">
        <v>1.95532E-2</v>
      </c>
      <c r="X4241">
        <v>0.97727609999999998</v>
      </c>
      <c r="Y4241">
        <v>0.55607010000000001</v>
      </c>
      <c r="Z4241">
        <v>0.13245850000000001</v>
      </c>
      <c r="AA4241">
        <v>0.82051249999999998</v>
      </c>
      <c r="AB4241">
        <v>20</v>
      </c>
      <c r="AC4241">
        <v>-6.9882</v>
      </c>
      <c r="AD4241">
        <v>-1.104830360779</v>
      </c>
      <c r="AE4241">
        <v>-0.35519999999999602</v>
      </c>
      <c r="AF4241">
        <v>3.9373055254105198</v>
      </c>
      <c r="AG4241">
        <v>-1.104830360779</v>
      </c>
      <c r="AH4241">
        <v>5.5772559910867097</v>
      </c>
      <c r="AI4241">
        <v>99.192598034070798</v>
      </c>
      <c r="AJ4241">
        <v>54.779534584617601</v>
      </c>
      <c r="AK4241">
        <v>6.91583757159174</v>
      </c>
      <c r="AL4241">
        <v>88.879612723714501</v>
      </c>
      <c r="AM4241">
        <v>77.812780480152895</v>
      </c>
      <c r="AN4241">
        <v>0.99999996423520399</v>
      </c>
    </row>
    <row r="4242" spans="1:40" x14ac:dyDescent="0.25">
      <c r="A4242" t="str">
        <f>"20190312154920061"</f>
        <v>20190312154920061</v>
      </c>
      <c r="B4242" t="str">
        <f>"1552376960049805"</f>
        <v>1552376960049805</v>
      </c>
      <c r="C4242" t="s">
        <v>40</v>
      </c>
      <c r="D4242">
        <v>4.6216920000000004</v>
      </c>
      <c r="E4242">
        <v>0.65885530000000003</v>
      </c>
      <c r="F4242" t="s">
        <v>63</v>
      </c>
      <c r="G4242">
        <v>-209.0265</v>
      </c>
      <c r="H4242" s="1">
        <v>-7.3046840000000001E-6</v>
      </c>
      <c r="I4242">
        <v>145.31649999999999</v>
      </c>
      <c r="J4242">
        <v>-202.08529999999999</v>
      </c>
      <c r="K4242">
        <v>1.1048340000000001</v>
      </c>
      <c r="L4242">
        <v>145.5967</v>
      </c>
      <c r="M4242">
        <v>-0.7920045</v>
      </c>
      <c r="N4242">
        <v>0</v>
      </c>
      <c r="O4242">
        <v>-0.61034690000000003</v>
      </c>
      <c r="P4242">
        <v>-0.90288270000000004</v>
      </c>
      <c r="Q4242">
        <v>8.0153229999999995E-3</v>
      </c>
      <c r="R4242">
        <v>-0.42981239999999998</v>
      </c>
      <c r="S4242">
        <v>-3.254791</v>
      </c>
      <c r="T4242">
        <v>-0.50681509999999996</v>
      </c>
      <c r="U4242">
        <v>-0.1779327</v>
      </c>
      <c r="V4242">
        <v>0.2109433</v>
      </c>
      <c r="W4242">
        <v>1.9349149999999999E-2</v>
      </c>
      <c r="X4242">
        <v>0.97730680000000003</v>
      </c>
      <c r="Y4242">
        <v>0.55324960000000001</v>
      </c>
      <c r="Z4242">
        <v>0.13130820000000001</v>
      </c>
      <c r="AA4242">
        <v>0.82260140000000004</v>
      </c>
      <c r="AB4242">
        <v>20</v>
      </c>
      <c r="AC4242">
        <v>-6.9412000000000003</v>
      </c>
      <c r="AD4242">
        <v>-1.104841304684</v>
      </c>
      <c r="AE4242">
        <v>-0.280200000000007</v>
      </c>
      <c r="AF4242">
        <v>3.9159806804824102</v>
      </c>
      <c r="AG4242">
        <v>-1.104841304684</v>
      </c>
      <c r="AH4242">
        <v>5.5292057803417496</v>
      </c>
      <c r="AI4242">
        <v>99.261414116328694</v>
      </c>
      <c r="AJ4242">
        <v>54.692513435443402</v>
      </c>
      <c r="AK4242">
        <v>6.86496143906228</v>
      </c>
      <c r="AL4242">
        <v>88.891306205838006</v>
      </c>
      <c r="AM4242">
        <v>77.820047327685401</v>
      </c>
      <c r="AN4242">
        <v>1.0000000233734201</v>
      </c>
    </row>
    <row r="4243" spans="1:40" x14ac:dyDescent="0.25">
      <c r="A4243" t="str">
        <f>"20190312154920085"</f>
        <v>20190312154920085</v>
      </c>
      <c r="B4243" t="str">
        <f>"1552376960080061"</f>
        <v>1552376960080061</v>
      </c>
      <c r="C4243" t="s">
        <v>40</v>
      </c>
      <c r="D4243">
        <v>4.6591699999999996</v>
      </c>
      <c r="E4243">
        <v>0.65821649999999998</v>
      </c>
      <c r="F4243" t="s">
        <v>63</v>
      </c>
      <c r="G4243">
        <v>-209.17410000000001</v>
      </c>
      <c r="H4243" s="1">
        <v>-7.2257119999999996E-6</v>
      </c>
      <c r="I4243">
        <v>145.26519999999999</v>
      </c>
      <c r="J4243">
        <v>-202.262</v>
      </c>
      <c r="K4243">
        <v>1.104851</v>
      </c>
      <c r="L4243">
        <v>145.47569999999999</v>
      </c>
      <c r="M4243">
        <v>-0.79816719999999997</v>
      </c>
      <c r="N4243">
        <v>0</v>
      </c>
      <c r="O4243">
        <v>-0.60226579999999996</v>
      </c>
      <c r="P4243">
        <v>-0.9074006</v>
      </c>
      <c r="Q4243">
        <v>8.3554370000000003E-3</v>
      </c>
      <c r="R4243">
        <v>-0.42018450000000002</v>
      </c>
      <c r="S4243">
        <v>-3.2547450000000002</v>
      </c>
      <c r="T4243">
        <v>-0.50728109999999904</v>
      </c>
      <c r="U4243">
        <v>-0.15220639999999999</v>
      </c>
      <c r="V4243">
        <v>0.21140709999999999</v>
      </c>
      <c r="W4243">
        <v>1.9685729999999999E-2</v>
      </c>
      <c r="X4243">
        <v>0.97719990000000001</v>
      </c>
      <c r="Y4243">
        <v>0.55139609999999994</v>
      </c>
      <c r="Z4243">
        <v>0.1303754</v>
      </c>
      <c r="AA4243">
        <v>0.82399299999999998</v>
      </c>
      <c r="AB4243">
        <v>20</v>
      </c>
      <c r="AC4243">
        <v>-6.9120999999999997</v>
      </c>
      <c r="AD4243">
        <v>-1.1048582257119901</v>
      </c>
      <c r="AE4243">
        <v>-0.210499999999996</v>
      </c>
      <c r="AF4243">
        <v>3.8958691121375599</v>
      </c>
      <c r="AG4243">
        <v>-1.1048582257119901</v>
      </c>
      <c r="AH4243">
        <v>5.5038727533165002</v>
      </c>
      <c r="AI4243">
        <v>99.3051382006594</v>
      </c>
      <c r="AJ4243">
        <v>54.7075588503143</v>
      </c>
      <c r="AK4243">
        <v>6.83309030545702</v>
      </c>
      <c r="AL4243">
        <v>88.872017968104799</v>
      </c>
      <c r="AM4243">
        <v>77.792774190218495</v>
      </c>
      <c r="AN4243">
        <v>1.00000006722802</v>
      </c>
    </row>
    <row r="4244" spans="1:40" x14ac:dyDescent="0.25">
      <c r="A4244" t="str">
        <f>"20190312154920106"</f>
        <v>20190312154920106</v>
      </c>
      <c r="B4244" t="str">
        <f>"1552376960100559"</f>
        <v>1552376960100559</v>
      </c>
      <c r="C4244" t="s">
        <v>40</v>
      </c>
      <c r="D4244">
        <v>4.6100089999999998</v>
      </c>
      <c r="E4244">
        <v>0.6576533</v>
      </c>
      <c r="F4244" t="s">
        <v>63</v>
      </c>
      <c r="G4244">
        <v>-209.36789999999999</v>
      </c>
      <c r="H4244" s="1">
        <v>-7.1246359999999997E-6</v>
      </c>
      <c r="I4244">
        <v>145.208</v>
      </c>
      <c r="J4244">
        <v>-202.41970000000001</v>
      </c>
      <c r="K4244">
        <v>1.104865</v>
      </c>
      <c r="L4244">
        <v>145.37</v>
      </c>
      <c r="M4244">
        <v>-0.80356229999999995</v>
      </c>
      <c r="N4244">
        <v>0</v>
      </c>
      <c r="O4244">
        <v>-0.59504809999999997</v>
      </c>
      <c r="P4244">
        <v>-0.91149930000000001</v>
      </c>
      <c r="Q4244">
        <v>8.42726699999999E-3</v>
      </c>
      <c r="R4244">
        <v>-0.41121540000000001</v>
      </c>
      <c r="S4244">
        <v>-3.2540589999999998</v>
      </c>
      <c r="T4244">
        <v>-0.50595659999999998</v>
      </c>
      <c r="U4244">
        <v>-0.1226044</v>
      </c>
      <c r="V4244">
        <v>0.21223739999999999</v>
      </c>
      <c r="W4244">
        <v>1.9748180000000001E-2</v>
      </c>
      <c r="X4244">
        <v>0.97701859999999996</v>
      </c>
      <c r="Y4244">
        <v>0.55152849999999998</v>
      </c>
      <c r="Z4244">
        <v>0.12926960000000001</v>
      </c>
      <c r="AA4244">
        <v>0.82407870000000005</v>
      </c>
      <c r="AB4244">
        <v>20</v>
      </c>
      <c r="AC4244">
        <v>-6.9481999999999804</v>
      </c>
      <c r="AD4244">
        <v>-1.104872124636</v>
      </c>
      <c r="AE4244">
        <v>-0.162000000000006</v>
      </c>
      <c r="AF4244">
        <v>3.9060332705357301</v>
      </c>
      <c r="AG4244">
        <v>-1.104872124636</v>
      </c>
      <c r="AH4244">
        <v>5.5402776153706501</v>
      </c>
      <c r="AI4244">
        <v>99.257235208291405</v>
      </c>
      <c r="AJ4244">
        <v>54.815213161450004</v>
      </c>
      <c r="AK4244">
        <v>6.8682249801318296</v>
      </c>
      <c r="AL4244">
        <v>88.868439103023604</v>
      </c>
      <c r="AM4244">
        <v>77.744071192569294</v>
      </c>
      <c r="AN4244">
        <v>1.0000000246590099</v>
      </c>
    </row>
    <row r="4245" spans="1:40" x14ac:dyDescent="0.25">
      <c r="A4245" t="str">
        <f>"20190312154920128"</f>
        <v>20190312154920128</v>
      </c>
      <c r="B4245" t="str">
        <f>"1552376960120077"</f>
        <v>1552376960120077</v>
      </c>
      <c r="C4245" t="s">
        <v>40</v>
      </c>
      <c r="D4245">
        <v>4.6385319999999997</v>
      </c>
      <c r="E4245">
        <v>0.65736779999999995</v>
      </c>
      <c r="F4245" t="s">
        <v>63</v>
      </c>
      <c r="G4245">
        <v>-209.5127</v>
      </c>
      <c r="H4245" s="1">
        <v>-7.0484820000000003E-6</v>
      </c>
      <c r="I4245">
        <v>145.1627</v>
      </c>
      <c r="J4245">
        <v>-202.58869999999999</v>
      </c>
      <c r="K4245">
        <v>1.104878</v>
      </c>
      <c r="L4245">
        <v>145.25909999999999</v>
      </c>
      <c r="M4245">
        <v>-0.80923559999999894</v>
      </c>
      <c r="N4245">
        <v>0</v>
      </c>
      <c r="O4245">
        <v>-0.58730979999999999</v>
      </c>
      <c r="P4245">
        <v>-0.91566740000000002</v>
      </c>
      <c r="Q4245">
        <v>7.8431649999999992E-3</v>
      </c>
      <c r="R4245">
        <v>-0.40186040000000001</v>
      </c>
      <c r="S4245">
        <v>-3.2530519999999998</v>
      </c>
      <c r="T4245">
        <v>-0.50672980000000001</v>
      </c>
      <c r="U4245">
        <v>-9.5077510000000004E-2</v>
      </c>
      <c r="V4245">
        <v>0.21286089999999999</v>
      </c>
      <c r="W4245">
        <v>1.9157489999999999E-2</v>
      </c>
      <c r="X4245">
        <v>0.9768947</v>
      </c>
      <c r="Y4245">
        <v>0.55057159999999905</v>
      </c>
      <c r="Z4245">
        <v>0.1285355</v>
      </c>
      <c r="AA4245">
        <v>0.82483300000000004</v>
      </c>
      <c r="AB4245">
        <v>20</v>
      </c>
      <c r="AC4245">
        <v>-6.9240000000000004</v>
      </c>
      <c r="AD4245">
        <v>-1.1048850484819901</v>
      </c>
      <c r="AE4245">
        <v>-9.6399999999988495E-2</v>
      </c>
      <c r="AF4245">
        <v>3.8898997969146301</v>
      </c>
      <c r="AG4245">
        <v>-1.1048850484819901</v>
      </c>
      <c r="AH4245">
        <v>5.5198167571733503</v>
      </c>
      <c r="AI4245">
        <v>99.292389755204397</v>
      </c>
      <c r="AJ4245">
        <v>54.827057895800003</v>
      </c>
      <c r="AK4245">
        <v>6.8425483873457003</v>
      </c>
      <c r="AL4245">
        <v>88.902289539791596</v>
      </c>
      <c r="AM4245">
        <v>77.707647810318093</v>
      </c>
      <c r="AN4245">
        <v>1.00000001353</v>
      </c>
    </row>
    <row r="4246" spans="1:40" x14ac:dyDescent="0.25">
      <c r="A4246" t="str">
        <f>"20190312154920142"</f>
        <v>20190312154920142</v>
      </c>
      <c r="B4246" t="str">
        <f>"1552376960129844"</f>
        <v>1552376960129844</v>
      </c>
      <c r="C4246" t="s">
        <v>40</v>
      </c>
      <c r="D4246">
        <v>4.6590069999999999</v>
      </c>
      <c r="E4246">
        <v>0.63636289999999995</v>
      </c>
      <c r="F4246" t="s">
        <v>63</v>
      </c>
      <c r="G4246">
        <v>-209.67910000000001</v>
      </c>
      <c r="H4246" s="1">
        <v>-6.9637360000000001E-6</v>
      </c>
      <c r="I4246">
        <v>145.12119999999999</v>
      </c>
      <c r="J4246">
        <v>-202.69560000000001</v>
      </c>
      <c r="K4246">
        <v>1.1048849999999999</v>
      </c>
      <c r="L4246">
        <v>145.19</v>
      </c>
      <c r="M4246">
        <v>-0.81277029999999995</v>
      </c>
      <c r="N4246">
        <v>0</v>
      </c>
      <c r="O4246">
        <v>-0.58240800000000004</v>
      </c>
      <c r="P4246">
        <v>-0.91811849999999995</v>
      </c>
      <c r="Q4246">
        <v>7.5312440000000003E-3</v>
      </c>
      <c r="R4246">
        <v>-0.39623439999999999</v>
      </c>
      <c r="S4246">
        <v>-3.2528839999999999</v>
      </c>
      <c r="T4246">
        <v>-0.50689280000000003</v>
      </c>
      <c r="U4246">
        <v>-6.3247680000000001E-2</v>
      </c>
      <c r="V4246">
        <v>0.2129479</v>
      </c>
      <c r="W4246">
        <v>1.884665E-2</v>
      </c>
      <c r="X4246">
        <v>0.97688169999999996</v>
      </c>
      <c r="Y4246">
        <v>0.55361800000000005</v>
      </c>
      <c r="Z4246">
        <v>0.12827810000000001</v>
      </c>
      <c r="AA4246">
        <v>0.822831599999999</v>
      </c>
      <c r="AB4246">
        <v>20</v>
      </c>
      <c r="AC4246">
        <v>-6.9834999999999896</v>
      </c>
      <c r="AD4246">
        <v>-1.104891963736</v>
      </c>
      <c r="AE4246">
        <v>-6.8800000000010103E-2</v>
      </c>
      <c r="AF4246">
        <v>3.9137798848343199</v>
      </c>
      <c r="AG4246">
        <v>-1.104891963736</v>
      </c>
      <c r="AH4246">
        <v>5.57704767446495</v>
      </c>
      <c r="AI4246">
        <v>99.211285383454197</v>
      </c>
      <c r="AJ4246">
        <v>54.940144747621801</v>
      </c>
      <c r="AK4246">
        <v>6.9023126560390704</v>
      </c>
      <c r="AL4246">
        <v>88.920102485823406</v>
      </c>
      <c r="AM4246">
        <v>77.702617886232105</v>
      </c>
      <c r="AN4246">
        <v>0.999999930062758</v>
      </c>
    </row>
    <row r="4247" spans="1:40" x14ac:dyDescent="0.25">
      <c r="A4247" t="str">
        <f>"20190312154920163"</f>
        <v>20190312154920163</v>
      </c>
      <c r="B4247" t="str">
        <f>"1552376960160093"</f>
        <v>1552376960160093</v>
      </c>
      <c r="C4247" t="s">
        <v>40</v>
      </c>
      <c r="D4247">
        <v>4.6344110000000001</v>
      </c>
      <c r="E4247">
        <v>0.63373930000000001</v>
      </c>
      <c r="F4247" t="s">
        <v>42</v>
      </c>
      <c r="G4247">
        <v>-210.24189999999999</v>
      </c>
      <c r="H4247" s="1">
        <v>-5.5246280000000004E-6</v>
      </c>
      <c r="I4247">
        <v>144.7253</v>
      </c>
      <c r="J4247">
        <v>-202.852</v>
      </c>
      <c r="K4247">
        <v>1.1049</v>
      </c>
      <c r="L4247">
        <v>145.0907</v>
      </c>
      <c r="M4247">
        <v>-0.81786539999999996</v>
      </c>
      <c r="N4247">
        <v>0</v>
      </c>
      <c r="O4247">
        <v>-0.57523139999999995</v>
      </c>
      <c r="P4247">
        <v>-0.92153870000000004</v>
      </c>
      <c r="Q4247">
        <v>7.0187160000000004E-3</v>
      </c>
      <c r="R4247">
        <v>-0.3882234</v>
      </c>
      <c r="S4247">
        <v>-3.1866910000000002</v>
      </c>
      <c r="T4247">
        <v>-0.46657759999999998</v>
      </c>
      <c r="U4247">
        <v>-0.19624330000000001</v>
      </c>
      <c r="V4247">
        <v>0.21285229999999999</v>
      </c>
      <c r="W4247">
        <v>1.8337949999999999E-2</v>
      </c>
      <c r="X4247">
        <v>0.97691229999999996</v>
      </c>
      <c r="Y4247">
        <v>0.51308100000000001</v>
      </c>
      <c r="Z4247">
        <v>0.1164617</v>
      </c>
      <c r="AA4247">
        <v>0.85040249999999995</v>
      </c>
      <c r="AB4247">
        <v>20</v>
      </c>
      <c r="AC4247">
        <v>-7.3898999999999804</v>
      </c>
      <c r="AD4247">
        <v>-1.104905524628</v>
      </c>
      <c r="AE4247">
        <v>-0.36539999999999401</v>
      </c>
      <c r="AF4247">
        <v>3.8662409793429</v>
      </c>
      <c r="AG4247">
        <v>-1.104905524628</v>
      </c>
      <c r="AH4247">
        <v>6.1183330195216596</v>
      </c>
      <c r="AI4247">
        <v>98.679949203822801</v>
      </c>
      <c r="AJ4247">
        <v>57.710763928436798</v>
      </c>
      <c r="AK4247">
        <v>7.3213820052277603</v>
      </c>
      <c r="AL4247">
        <v>88.949253976147901</v>
      </c>
      <c r="AM4247">
        <v>77.708344063996293</v>
      </c>
      <c r="AN4247">
        <v>1.0000000119583901</v>
      </c>
    </row>
    <row r="4248" spans="1:40" x14ac:dyDescent="0.25">
      <c r="A4248" t="str">
        <f>"20190312154920185"</f>
        <v>20190312154920185</v>
      </c>
      <c r="B4248" t="str">
        <f>"1552376960180589"</f>
        <v>1552376960180589</v>
      </c>
      <c r="C4248" t="s">
        <v>40</v>
      </c>
      <c r="D4248">
        <v>4.661918</v>
      </c>
      <c r="E4248">
        <v>0.63228989999999996</v>
      </c>
      <c r="F4248" t="s">
        <v>42</v>
      </c>
      <c r="G4248">
        <v>-210.44890000000001</v>
      </c>
      <c r="H4248" s="1">
        <v>-5.4306049999999997E-6</v>
      </c>
      <c r="I4248">
        <v>144.64330000000001</v>
      </c>
      <c r="J4248">
        <v>-203.0197</v>
      </c>
      <c r="K4248">
        <v>1.1049059999999999</v>
      </c>
      <c r="L4248">
        <v>144.9862</v>
      </c>
      <c r="M4248">
        <v>-0.82324030000000004</v>
      </c>
      <c r="N4248">
        <v>0</v>
      </c>
      <c r="O4248">
        <v>-0.56751280000000004</v>
      </c>
      <c r="P4248">
        <v>-0.92508509999999999</v>
      </c>
      <c r="Q4248">
        <v>7.6002639999999998E-3</v>
      </c>
      <c r="R4248">
        <v>-0.37968429999999997</v>
      </c>
      <c r="S4248">
        <v>-3.1800540000000002</v>
      </c>
      <c r="T4248">
        <v>-0.46251229999999899</v>
      </c>
      <c r="U4248">
        <v>-0.1872711</v>
      </c>
      <c r="V4248">
        <v>0.2127019</v>
      </c>
      <c r="W4248">
        <v>1.8922459999999999E-2</v>
      </c>
      <c r="X4248">
        <v>0.97693390000000002</v>
      </c>
      <c r="Y4248">
        <v>0.50758619999999999</v>
      </c>
      <c r="Z4248">
        <v>0.11440640000000001</v>
      </c>
      <c r="AA4248">
        <v>0.85397149999999999</v>
      </c>
      <c r="AB4248">
        <v>20</v>
      </c>
      <c r="AC4248">
        <v>-7.4291999999999998</v>
      </c>
      <c r="AD4248">
        <v>-1.1049114306050001</v>
      </c>
      <c r="AE4248">
        <v>-0.34289999999998599</v>
      </c>
      <c r="AF4248">
        <v>3.84931647409703</v>
      </c>
      <c r="AG4248">
        <v>-1.1049114306050001</v>
      </c>
      <c r="AH4248">
        <v>6.1749673206674496</v>
      </c>
      <c r="AI4248">
        <v>98.634208443891197</v>
      </c>
      <c r="AJ4248">
        <v>58.061643320914897</v>
      </c>
      <c r="AK4248">
        <v>7.3599108689268302</v>
      </c>
      <c r="AL4248">
        <v>88.915758195061898</v>
      </c>
      <c r="AM4248">
        <v>77.717028834578599</v>
      </c>
      <c r="AN4248">
        <v>1.00000000136263</v>
      </c>
    </row>
    <row r="4249" spans="1:40" x14ac:dyDescent="0.25">
      <c r="A4249" t="str">
        <f>"20190312154920206"</f>
        <v>20190312154920206</v>
      </c>
      <c r="B4249" t="str">
        <f>"1552376960200109"</f>
        <v>1552376960200109</v>
      </c>
      <c r="C4249" t="s">
        <v>40</v>
      </c>
      <c r="D4249">
        <v>4.62317</v>
      </c>
      <c r="E4249">
        <v>0.63044239999999996</v>
      </c>
      <c r="F4249" t="s">
        <v>42</v>
      </c>
      <c r="G4249">
        <v>-210.7353</v>
      </c>
      <c r="H4249" s="1">
        <v>-5.3086019999999999E-6</v>
      </c>
      <c r="I4249">
        <v>144.57550000000001</v>
      </c>
      <c r="J4249">
        <v>-203.18719999999999</v>
      </c>
      <c r="K4249">
        <v>1.1049040000000001</v>
      </c>
      <c r="L4249">
        <v>144.8843</v>
      </c>
      <c r="M4249">
        <v>-0.82852320000000002</v>
      </c>
      <c r="N4249">
        <v>0</v>
      </c>
      <c r="O4249">
        <v>-0.55977180000000004</v>
      </c>
      <c r="P4249">
        <v>-0.92838089999999995</v>
      </c>
      <c r="Q4249">
        <v>7.5851629999999998E-3</v>
      </c>
      <c r="R4249">
        <v>-0.37155270000000001</v>
      </c>
      <c r="S4249">
        <v>-3.1772770000000001</v>
      </c>
      <c r="T4249">
        <v>-0.45500210000000002</v>
      </c>
      <c r="U4249">
        <v>-0.16911319999999999</v>
      </c>
      <c r="V4249">
        <v>0.21211730000000001</v>
      </c>
      <c r="W4249">
        <v>1.891149E-2</v>
      </c>
      <c r="X4249">
        <v>0.97706119999999996</v>
      </c>
      <c r="Y4249">
        <v>0.50478159999999905</v>
      </c>
      <c r="Z4249">
        <v>0.1116007</v>
      </c>
      <c r="AA4249">
        <v>0.85600279999999995</v>
      </c>
      <c r="AB4249">
        <v>20</v>
      </c>
      <c r="AC4249">
        <v>-7.5480999999999998</v>
      </c>
      <c r="AD4249">
        <v>-1.1049093086020001</v>
      </c>
      <c r="AE4249">
        <v>-0.30879999999999003</v>
      </c>
      <c r="AF4249">
        <v>3.8866293282428002</v>
      </c>
      <c r="AG4249">
        <v>-1.1049093086020001</v>
      </c>
      <c r="AH4249">
        <v>6.2926787317395103</v>
      </c>
      <c r="AI4249">
        <v>98.496519160962194</v>
      </c>
      <c r="AJ4249">
        <v>58.298736304569204</v>
      </c>
      <c r="AK4249">
        <v>7.4782697020286202</v>
      </c>
      <c r="AL4249">
        <v>88.916386831000906</v>
      </c>
      <c r="AM4249">
        <v>77.751315012411496</v>
      </c>
      <c r="AN4249">
        <v>0.99999999097937498</v>
      </c>
    </row>
    <row r="4250" spans="1:40" x14ac:dyDescent="0.25">
      <c r="A4250" t="str">
        <f>"20190312154920229"</f>
        <v>20190312154920229</v>
      </c>
      <c r="B4250" t="str">
        <f>"1552376960220608"</f>
        <v>1552376960220608</v>
      </c>
      <c r="C4250" t="s">
        <v>40</v>
      </c>
      <c r="D4250">
        <v>4.6133569999999997</v>
      </c>
      <c r="E4250">
        <v>0.62869129999999995</v>
      </c>
      <c r="F4250" t="s">
        <v>42</v>
      </c>
      <c r="G4250">
        <v>-210.9425</v>
      </c>
      <c r="H4250" s="1">
        <v>-5.2166210000000001E-6</v>
      </c>
      <c r="I4250">
        <v>144.50559999999999</v>
      </c>
      <c r="J4250">
        <v>-203.3622</v>
      </c>
      <c r="K4250">
        <v>1.104897</v>
      </c>
      <c r="L4250">
        <v>144.7801</v>
      </c>
      <c r="M4250">
        <v>-0.83395989999999998</v>
      </c>
      <c r="N4250">
        <v>0</v>
      </c>
      <c r="O4250">
        <v>-0.55163969999999996</v>
      </c>
      <c r="P4250">
        <v>-0.93162330000000004</v>
      </c>
      <c r="Q4250">
        <v>7.4067050000000004E-3</v>
      </c>
      <c r="R4250">
        <v>-0.36335030000000001</v>
      </c>
      <c r="S4250">
        <v>-3.1731259999999999</v>
      </c>
      <c r="T4250">
        <v>-0.45207609999999898</v>
      </c>
      <c r="U4250">
        <v>-0.15493770000000001</v>
      </c>
      <c r="V4250">
        <v>0.2111751</v>
      </c>
      <c r="W4250">
        <v>1.8740340000000001E-2</v>
      </c>
      <c r="X4250">
        <v>0.97726860000000004</v>
      </c>
      <c r="Y4250">
        <v>0.50034029999999996</v>
      </c>
      <c r="Z4250">
        <v>0.109791899999999</v>
      </c>
      <c r="AA4250">
        <v>0.85883960000000004</v>
      </c>
      <c r="AB4250">
        <v>20</v>
      </c>
      <c r="AC4250">
        <v>-7.5802999999999896</v>
      </c>
      <c r="AD4250">
        <v>-1.1049022166210001</v>
      </c>
      <c r="AE4250">
        <v>-0.27450000000001701</v>
      </c>
      <c r="AF4250">
        <v>3.8709427856711001</v>
      </c>
      <c r="AG4250">
        <v>-1.1049022166210001</v>
      </c>
      <c r="AH4250">
        <v>6.3392468383865097</v>
      </c>
      <c r="AI4250">
        <v>98.460985540859198</v>
      </c>
      <c r="AJ4250">
        <v>58.590453057062298</v>
      </c>
      <c r="AK4250">
        <v>7.5093979409954397</v>
      </c>
      <c r="AL4250">
        <v>88.926194772986307</v>
      </c>
      <c r="AM4250">
        <v>77.806600988903099</v>
      </c>
      <c r="AN4250">
        <v>1.0000000198746399</v>
      </c>
    </row>
    <row r="4251" spans="1:40" x14ac:dyDescent="0.25">
      <c r="A4251" t="str">
        <f>"20190312154920250"</f>
        <v>20190312154920250</v>
      </c>
      <c r="B4251" t="str">
        <f>"1552376960240125"</f>
        <v>1552376960240125</v>
      </c>
      <c r="C4251" t="s">
        <v>40</v>
      </c>
      <c r="D4251">
        <v>4.6788949999999998</v>
      </c>
      <c r="E4251">
        <v>0.62728450000000002</v>
      </c>
      <c r="F4251" t="s">
        <v>42</v>
      </c>
      <c r="G4251">
        <v>-211.1499</v>
      </c>
      <c r="H4251" s="1">
        <v>-5.124989E-6</v>
      </c>
      <c r="I4251">
        <v>144.43790000000001</v>
      </c>
      <c r="J4251">
        <v>-203.52780000000001</v>
      </c>
      <c r="K4251">
        <v>1.1048789999999999</v>
      </c>
      <c r="L4251">
        <v>144.68369999999999</v>
      </c>
      <c r="M4251">
        <v>-0.83903309999999998</v>
      </c>
      <c r="N4251">
        <v>0</v>
      </c>
      <c r="O4251">
        <v>-0.54389200000000004</v>
      </c>
      <c r="P4251">
        <v>-0.93458680000000005</v>
      </c>
      <c r="Q4251">
        <v>8.0667940000000004E-3</v>
      </c>
      <c r="R4251">
        <v>-0.35564370000000001</v>
      </c>
      <c r="S4251">
        <v>-3.1694179999999998</v>
      </c>
      <c r="T4251">
        <v>-0.44967220000000002</v>
      </c>
      <c r="U4251">
        <v>-0.13928219999999999</v>
      </c>
      <c r="V4251">
        <v>0.21020130000000001</v>
      </c>
      <c r="W4251">
        <v>1.940445E-2</v>
      </c>
      <c r="X4251">
        <v>0.97746560000000005</v>
      </c>
      <c r="Y4251">
        <v>0.4967203</v>
      </c>
      <c r="Z4251">
        <v>0.1082013</v>
      </c>
      <c r="AA4251">
        <v>0.86113969999999995</v>
      </c>
      <c r="AB4251">
        <v>20</v>
      </c>
      <c r="AC4251">
        <v>-7.6220999999999801</v>
      </c>
      <c r="AD4251">
        <v>-1.104884124989</v>
      </c>
      <c r="AE4251">
        <v>-0.24579999999997401</v>
      </c>
      <c r="AF4251">
        <v>3.8587692656861798</v>
      </c>
      <c r="AG4251">
        <v>-1.104884124989</v>
      </c>
      <c r="AH4251">
        <v>6.3953081898204296</v>
      </c>
      <c r="AI4251">
        <v>98.414394999879704</v>
      </c>
      <c r="AJ4251">
        <v>58.894267711375903</v>
      </c>
      <c r="AK4251">
        <v>7.5505520340066097</v>
      </c>
      <c r="AL4251">
        <v>88.888137194152904</v>
      </c>
      <c r="AM4251">
        <v>77.863531639030995</v>
      </c>
      <c r="AN4251">
        <v>1.0000000591924201</v>
      </c>
    </row>
    <row r="4252" spans="1:40" x14ac:dyDescent="0.25">
      <c r="A4252" t="str">
        <f>"20190312154920275"</f>
        <v>20190312154920275</v>
      </c>
      <c r="B4252" t="str">
        <f>"1552376960270384"</f>
        <v>1552376960270384</v>
      </c>
      <c r="C4252" t="s">
        <v>40</v>
      </c>
      <c r="D4252">
        <v>4.6851269999999996</v>
      </c>
      <c r="E4252">
        <v>0.62506649999999997</v>
      </c>
      <c r="F4252" t="s">
        <v>42</v>
      </c>
      <c r="G4252">
        <v>-211.32589999999999</v>
      </c>
      <c r="H4252" s="1">
        <v>-5.0471359999999996E-6</v>
      </c>
      <c r="I4252">
        <v>144.3801</v>
      </c>
      <c r="J4252">
        <v>-203.71420000000001</v>
      </c>
      <c r="K4252">
        <v>1.104841</v>
      </c>
      <c r="L4252">
        <v>144.57769999999999</v>
      </c>
      <c r="M4252">
        <v>-0.84468619999999905</v>
      </c>
      <c r="N4252">
        <v>0</v>
      </c>
      <c r="O4252">
        <v>-0.53507039999999995</v>
      </c>
      <c r="P4252">
        <v>-0.93795700000000004</v>
      </c>
      <c r="Q4252">
        <v>8.9644689999999992E-3</v>
      </c>
      <c r="R4252">
        <v>-0.34663640000000001</v>
      </c>
      <c r="S4252">
        <v>-3.1669010000000002</v>
      </c>
      <c r="T4252">
        <v>-0.44870260000000001</v>
      </c>
      <c r="U4252">
        <v>-0.1232758</v>
      </c>
      <c r="V4252">
        <v>0.2093719</v>
      </c>
      <c r="W4252">
        <v>2.0295009999999999E-2</v>
      </c>
      <c r="X4252">
        <v>0.97762539999999998</v>
      </c>
      <c r="Y4252">
        <v>0.49212099999999998</v>
      </c>
      <c r="Z4252">
        <v>0.1067115</v>
      </c>
      <c r="AA4252">
        <v>0.8639616</v>
      </c>
      <c r="AB4252">
        <v>20</v>
      </c>
      <c r="AC4252">
        <v>-7.6116999999999804</v>
      </c>
      <c r="AD4252">
        <v>-1.104846047136</v>
      </c>
      <c r="AE4252">
        <v>-0.197599999999994</v>
      </c>
      <c r="AF4252">
        <v>3.8257361114877302</v>
      </c>
      <c r="AG4252">
        <v>-1.104846047136</v>
      </c>
      <c r="AH4252">
        <v>6.4011241619236703</v>
      </c>
      <c r="AI4252">
        <v>98.427477074433696</v>
      </c>
      <c r="AJ4252">
        <v>59.134662272137398</v>
      </c>
      <c r="AK4252">
        <v>7.5386558562502604</v>
      </c>
      <c r="AL4252">
        <v>88.837101685373796</v>
      </c>
      <c r="AM4252">
        <v>77.911925556106695</v>
      </c>
      <c r="AN4252">
        <v>0.99999995133283304</v>
      </c>
    </row>
    <row r="4253" spans="1:40" x14ac:dyDescent="0.25">
      <c r="A4253" t="str">
        <f>"20190312154920296"</f>
        <v>20190312154920296</v>
      </c>
      <c r="B4253" t="str">
        <f>"1552376960289905"</f>
        <v>1552376960289905</v>
      </c>
      <c r="C4253" t="s">
        <v>40</v>
      </c>
      <c r="D4253">
        <v>4.7370289999999997</v>
      </c>
      <c r="E4253">
        <v>0.60917169999999998</v>
      </c>
      <c r="F4253" t="s">
        <v>42</v>
      </c>
      <c r="G4253">
        <v>-211.5437</v>
      </c>
      <c r="H4253" s="1">
        <v>-4.9504120000000004E-6</v>
      </c>
      <c r="I4253">
        <v>144.3064</v>
      </c>
      <c r="J4253">
        <v>-203.88499999999999</v>
      </c>
      <c r="K4253">
        <v>1.1047800000000001</v>
      </c>
      <c r="L4253">
        <v>144.483</v>
      </c>
      <c r="M4253">
        <v>-0.8498213</v>
      </c>
      <c r="N4253">
        <v>0</v>
      </c>
      <c r="O4253">
        <v>-0.52687620000000002</v>
      </c>
      <c r="P4253">
        <v>-0.94087410000000005</v>
      </c>
      <c r="Q4253">
        <v>1.038911E-2</v>
      </c>
      <c r="R4253">
        <v>-0.3385975</v>
      </c>
      <c r="S4253">
        <v>-3.1622469999999998</v>
      </c>
      <c r="T4253">
        <v>-0.44623360000000001</v>
      </c>
      <c r="U4253">
        <v>-0.1095428</v>
      </c>
      <c r="V4253">
        <v>0.20829629999999999</v>
      </c>
      <c r="W4253">
        <v>2.1712809999999999E-2</v>
      </c>
      <c r="X4253">
        <v>0.97782469999999999</v>
      </c>
      <c r="Y4253">
        <v>0.48762129999999998</v>
      </c>
      <c r="Z4253">
        <v>0.1050133</v>
      </c>
      <c r="AA4253">
        <v>0.86671659999999995</v>
      </c>
      <c r="AB4253">
        <v>20</v>
      </c>
      <c r="AC4253">
        <v>-7.6586999999999996</v>
      </c>
      <c r="AD4253">
        <v>-1.104784950412</v>
      </c>
      <c r="AE4253">
        <v>-0.176600000000007</v>
      </c>
      <c r="AF4253">
        <v>3.8063439814019699</v>
      </c>
      <c r="AG4253">
        <v>-1.104784950412</v>
      </c>
      <c r="AH4253">
        <v>6.4677364449803996</v>
      </c>
      <c r="AI4253">
        <v>98.374547189446801</v>
      </c>
      <c r="AJ4253">
        <v>59.522655187891203</v>
      </c>
      <c r="AK4253">
        <v>7.58554012665806</v>
      </c>
      <c r="AL4253">
        <v>88.755849816101005</v>
      </c>
      <c r="AM4253">
        <v>77.974592532825497</v>
      </c>
      <c r="AN4253">
        <v>0.99999996932093704</v>
      </c>
    </row>
    <row r="4254" spans="1:40" x14ac:dyDescent="0.25">
      <c r="A4254" t="str">
        <f>"20190312154920319"</f>
        <v>20190312154920319</v>
      </c>
      <c r="B4254" t="str">
        <f>"1552376960310401"</f>
        <v>1552376960310401</v>
      </c>
      <c r="C4254" t="s">
        <v>40</v>
      </c>
      <c r="D4254">
        <v>4.6268129999999896</v>
      </c>
      <c r="E4254">
        <v>0.58650769999999997</v>
      </c>
      <c r="F4254" t="s">
        <v>42</v>
      </c>
      <c r="G4254">
        <v>-211.8629</v>
      </c>
      <c r="H4254" s="1">
        <v>-4.7675230000000001E-6</v>
      </c>
      <c r="I4254">
        <v>143.96639999999999</v>
      </c>
      <c r="J4254">
        <v>-204.05590000000001</v>
      </c>
      <c r="K4254">
        <v>1.1047119999999999</v>
      </c>
      <c r="L4254">
        <v>144.3905</v>
      </c>
      <c r="M4254">
        <v>-0.8549329</v>
      </c>
      <c r="N4254">
        <v>0</v>
      </c>
      <c r="O4254">
        <v>-0.51854020000000001</v>
      </c>
      <c r="P4254">
        <v>-0.94350060000000002</v>
      </c>
      <c r="Q4254">
        <v>1.3541930000000001E-2</v>
      </c>
      <c r="R4254">
        <v>-0.3310939</v>
      </c>
      <c r="S4254">
        <v>-3.1205750000000001</v>
      </c>
      <c r="T4254">
        <v>-0.43213610000000002</v>
      </c>
      <c r="U4254">
        <v>-0.20204159999999999</v>
      </c>
      <c r="V4254">
        <v>0.2065457</v>
      </c>
      <c r="W4254">
        <v>2.4863369999999999E-2</v>
      </c>
      <c r="X4254">
        <v>0.97812100000000002</v>
      </c>
      <c r="Y4254">
        <v>0.45349230000000001</v>
      </c>
      <c r="Z4254">
        <v>9.9522840000000001E-2</v>
      </c>
      <c r="AA4254">
        <v>0.88568619999999898</v>
      </c>
      <c r="AB4254">
        <v>20</v>
      </c>
      <c r="AC4254">
        <v>-7.80699999999998</v>
      </c>
      <c r="AD4254">
        <v>-1.1047167675229901</v>
      </c>
      <c r="AE4254">
        <v>-0.42410000000000903</v>
      </c>
      <c r="AF4254">
        <v>3.61389673329594</v>
      </c>
      <c r="AG4254">
        <v>-1.1047167675229901</v>
      </c>
      <c r="AH4254">
        <v>6.7601225494309496</v>
      </c>
      <c r="AI4254">
        <v>98.200768494392094</v>
      </c>
      <c r="AJ4254">
        <v>61.871467047152201</v>
      </c>
      <c r="AK4254">
        <v>7.7446694970604399</v>
      </c>
      <c r="AL4254">
        <v>88.575287021776504</v>
      </c>
      <c r="AM4254">
        <v>78.076261937403004</v>
      </c>
      <c r="AN4254">
        <v>1.0000000019986199</v>
      </c>
    </row>
    <row r="4255" spans="1:40" x14ac:dyDescent="0.25">
      <c r="A4255" t="str">
        <f>"20190312154920342"</f>
        <v>20190312154920342</v>
      </c>
      <c r="B4255" t="str">
        <f>"1552376960329921"</f>
        <v>1552376960329921</v>
      </c>
      <c r="C4255" t="s">
        <v>40</v>
      </c>
      <c r="D4255">
        <v>4.6434499999999996</v>
      </c>
      <c r="E4255">
        <v>0.580959</v>
      </c>
      <c r="F4255" t="s">
        <v>42</v>
      </c>
      <c r="G4255">
        <v>-221.929</v>
      </c>
      <c r="H4255" s="1">
        <v>-4.1090550000000004E-6</v>
      </c>
      <c r="I4255">
        <v>142.37569999999999</v>
      </c>
      <c r="J4255">
        <v>-204.2405</v>
      </c>
      <c r="K4255">
        <v>1.104609</v>
      </c>
      <c r="L4255">
        <v>144.29320000000001</v>
      </c>
      <c r="M4255">
        <v>-0.86042879999999999</v>
      </c>
      <c r="N4255">
        <v>0</v>
      </c>
      <c r="O4255">
        <v>-0.50936819999999905</v>
      </c>
      <c r="P4255">
        <v>-0.94686320000000002</v>
      </c>
      <c r="Q4255">
        <v>1.383011E-2</v>
      </c>
      <c r="R4255">
        <v>-0.32133919999999999</v>
      </c>
      <c r="S4255">
        <v>-3.0612789999999999</v>
      </c>
      <c r="T4255">
        <v>-0.1892141</v>
      </c>
      <c r="U4255">
        <v>-0.34507749999999998</v>
      </c>
      <c r="V4255">
        <v>0.20618939999999999</v>
      </c>
      <c r="W4255">
        <v>2.5121729999999998E-2</v>
      </c>
      <c r="X4255">
        <v>0.97818959999999999</v>
      </c>
      <c r="Y4255">
        <v>0.40819169999999999</v>
      </c>
      <c r="Z4255">
        <v>4.2524960000000001E-2</v>
      </c>
      <c r="AA4255">
        <v>0.91190519999999997</v>
      </c>
      <c r="AB4255">
        <v>20</v>
      </c>
      <c r="AC4255">
        <v>-17.688500000000001</v>
      </c>
      <c r="AD4255">
        <v>-1.104613109055</v>
      </c>
      <c r="AE4255">
        <v>-1.91750000000001</v>
      </c>
      <c r="AF4255">
        <v>7.33258333859425</v>
      </c>
      <c r="AG4255">
        <v>-1.104613109055</v>
      </c>
      <c r="AH4255">
        <v>16.135884140670299</v>
      </c>
      <c r="AI4255">
        <v>93.566270795546998</v>
      </c>
      <c r="AJ4255">
        <v>65.5616646283639</v>
      </c>
      <c r="AK4255">
        <v>17.758201078354201</v>
      </c>
      <c r="AL4255">
        <v>88.560479501706197</v>
      </c>
      <c r="AM4255">
        <v>78.097054588769893</v>
      </c>
      <c r="AN4255">
        <v>1.00000003176935</v>
      </c>
    </row>
    <row r="4256" spans="1:40" x14ac:dyDescent="0.25">
      <c r="A4256" t="str">
        <f>"20190312154920365"</f>
        <v>20190312154920365</v>
      </c>
      <c r="B4256" t="str">
        <f>"1552376960350417"</f>
        <v>1552376960350417</v>
      </c>
      <c r="C4256" t="s">
        <v>40</v>
      </c>
      <c r="D4256">
        <v>4.6654819999999999</v>
      </c>
      <c r="E4256">
        <v>0.57896250000000005</v>
      </c>
      <c r="F4256" t="s">
        <v>42</v>
      </c>
      <c r="G4256">
        <v>-219.42230000000001</v>
      </c>
      <c r="H4256" s="1">
        <v>-1.026498E-6</v>
      </c>
      <c r="I4256">
        <v>142.5213</v>
      </c>
      <c r="J4256">
        <v>-204.41990000000001</v>
      </c>
      <c r="K4256">
        <v>1.104492</v>
      </c>
      <c r="L4256">
        <v>144.20140000000001</v>
      </c>
      <c r="M4256">
        <v>-0.86574850000000003</v>
      </c>
      <c r="N4256">
        <v>0</v>
      </c>
      <c r="O4256">
        <v>-0.50027290000000002</v>
      </c>
      <c r="P4256">
        <v>-0.95029969999999997</v>
      </c>
      <c r="Q4256">
        <v>1.3300029999999999E-2</v>
      </c>
      <c r="R4256">
        <v>-0.31105310000000003</v>
      </c>
      <c r="S4256">
        <v>-3.0507810000000002</v>
      </c>
      <c r="T4256">
        <v>-0.2219709</v>
      </c>
      <c r="U4256">
        <v>-0.35607909999999998</v>
      </c>
      <c r="V4256">
        <v>0.20649229999999999</v>
      </c>
      <c r="W4256">
        <v>2.4552089999999999E-2</v>
      </c>
      <c r="X4256">
        <v>0.97814009999999996</v>
      </c>
      <c r="Y4256">
        <v>0.39436769999999999</v>
      </c>
      <c r="Z4256">
        <v>4.8950050000000002E-2</v>
      </c>
      <c r="AA4256">
        <v>0.91764809999999997</v>
      </c>
      <c r="AB4256">
        <v>20</v>
      </c>
      <c r="AC4256">
        <v>-15.0023999999999</v>
      </c>
      <c r="AD4256">
        <v>-1.104493026498</v>
      </c>
      <c r="AE4256">
        <v>-1.6801000000000099</v>
      </c>
      <c r="AF4256">
        <v>6.0191549973921799</v>
      </c>
      <c r="AG4256">
        <v>-1.104493026498</v>
      </c>
      <c r="AH4256">
        <v>13.756604105137299</v>
      </c>
      <c r="AI4256">
        <v>94.206836199865094</v>
      </c>
      <c r="AJ4256">
        <v>66.3683825182314</v>
      </c>
      <c r="AK4256">
        <v>15.056370353896501</v>
      </c>
      <c r="AL4256">
        <v>88.593127446601997</v>
      </c>
      <c r="AM4256">
        <v>78.079482590622703</v>
      </c>
      <c r="AN4256">
        <v>0.99999996515533296</v>
      </c>
    </row>
    <row r="4257" spans="1:40" x14ac:dyDescent="0.25">
      <c r="A4257" t="str">
        <f>"20190312154920387"</f>
        <v>20190312154920387</v>
      </c>
      <c r="B4257" t="str">
        <f>"1552376960380673"</f>
        <v>1552376960380673</v>
      </c>
      <c r="C4257" t="s">
        <v>40</v>
      </c>
      <c r="D4257">
        <v>4.6501460000000003</v>
      </c>
      <c r="E4257">
        <v>0.57670120000000002</v>
      </c>
      <c r="F4257" t="s">
        <v>42</v>
      </c>
      <c r="G4257">
        <v>-218.57159999999999</v>
      </c>
      <c r="H4257" s="1">
        <v>-1.457199E-6</v>
      </c>
      <c r="I4257">
        <v>142.62870000000001</v>
      </c>
      <c r="J4257">
        <v>-204.5975</v>
      </c>
      <c r="K4257">
        <v>1.104374</v>
      </c>
      <c r="L4257">
        <v>144.11320000000001</v>
      </c>
      <c r="M4257">
        <v>-0.87099380000000004</v>
      </c>
      <c r="N4257">
        <v>0</v>
      </c>
      <c r="O4257">
        <v>-0.49108239999999997</v>
      </c>
      <c r="P4257">
        <v>-0.95373370000000002</v>
      </c>
      <c r="Q4257">
        <v>1.210644E-2</v>
      </c>
      <c r="R4257">
        <v>-0.30040850000000002</v>
      </c>
      <c r="S4257">
        <v>-3.0493160000000001</v>
      </c>
      <c r="T4257">
        <v>-0.23798839999999999</v>
      </c>
      <c r="U4257">
        <v>-0.33886719999999998</v>
      </c>
      <c r="V4257">
        <v>0.20707500000000001</v>
      </c>
      <c r="W4257">
        <v>2.331743E-2</v>
      </c>
      <c r="X4257">
        <v>0.97804709999999995</v>
      </c>
      <c r="Y4257">
        <v>0.38940979999999997</v>
      </c>
      <c r="Z4257">
        <v>5.1712300000000003E-2</v>
      </c>
      <c r="AA4257">
        <v>0.91961179999999998</v>
      </c>
      <c r="AB4257">
        <v>19</v>
      </c>
      <c r="AC4257">
        <v>-13.9740999999999</v>
      </c>
      <c r="AD4257">
        <v>-1.1043754571990001</v>
      </c>
      <c r="AE4257">
        <v>-1.4844999999999899</v>
      </c>
      <c r="AF4257">
        <v>5.5358335513988104</v>
      </c>
      <c r="AG4257">
        <v>-1.1043754571990001</v>
      </c>
      <c r="AH4257">
        <v>12.822514606147999</v>
      </c>
      <c r="AI4257">
        <v>94.521160854141897</v>
      </c>
      <c r="AJ4257">
        <v>66.648809223470295</v>
      </c>
      <c r="AK4257">
        <v>14.0100670620856</v>
      </c>
      <c r="AL4257">
        <v>88.663888503876606</v>
      </c>
      <c r="AM4257">
        <v>78.045706496920701</v>
      </c>
      <c r="AN4257">
        <v>0.99999994399260494</v>
      </c>
    </row>
    <row r="4258" spans="1:40" x14ac:dyDescent="0.25">
      <c r="A4258" t="str">
        <f>"20190312154920408"</f>
        <v>20190312154920408</v>
      </c>
      <c r="B4258" t="str">
        <f>"1552376960400193"</f>
        <v>1552376960400193</v>
      </c>
      <c r="C4258" t="s">
        <v>40</v>
      </c>
      <c r="D4258">
        <v>4.6856280000000003</v>
      </c>
      <c r="E4258">
        <v>0.5755844</v>
      </c>
      <c r="F4258" t="s">
        <v>42</v>
      </c>
      <c r="G4258">
        <v>-217.89510000000001</v>
      </c>
      <c r="H4258" s="1">
        <v>-1.797694E-6</v>
      </c>
      <c r="I4258">
        <v>142.70650000000001</v>
      </c>
      <c r="J4258">
        <v>-204.7663</v>
      </c>
      <c r="K4258">
        <v>1.1042749999999999</v>
      </c>
      <c r="L4258">
        <v>144.0317</v>
      </c>
      <c r="M4258">
        <v>-0.87594939999999999</v>
      </c>
      <c r="N4258">
        <v>0</v>
      </c>
      <c r="O4258">
        <v>-0.48218709999999998</v>
      </c>
      <c r="P4258">
        <v>-0.95680609999999999</v>
      </c>
      <c r="Q4258">
        <v>1.0383089999999999E-2</v>
      </c>
      <c r="R4258">
        <v>-0.29054229999999998</v>
      </c>
      <c r="S4258">
        <v>-3.0472109999999999</v>
      </c>
      <c r="T4258">
        <v>-0.25307289999999999</v>
      </c>
      <c r="U4258">
        <v>-0.32235720000000001</v>
      </c>
      <c r="V4258">
        <v>0.20720759999999999</v>
      </c>
      <c r="W4258">
        <v>2.1569310000000001E-2</v>
      </c>
      <c r="X4258">
        <v>0.97805920000000002</v>
      </c>
      <c r="Y4258">
        <v>0.38459529999999997</v>
      </c>
      <c r="Z4258">
        <v>5.4201630000000001E-2</v>
      </c>
      <c r="AA4258">
        <v>0.9214926</v>
      </c>
      <c r="AB4258">
        <v>19</v>
      </c>
      <c r="AC4258">
        <v>-13.1288</v>
      </c>
      <c r="AD4258">
        <v>-1.104276797694</v>
      </c>
      <c r="AE4258">
        <v>-1.3251999999999899</v>
      </c>
      <c r="AF4258">
        <v>5.1343110591246903</v>
      </c>
      <c r="AG4258">
        <v>-1.104276797694</v>
      </c>
      <c r="AH4258">
        <v>12.055991160509301</v>
      </c>
      <c r="AI4258">
        <v>94.817040408816595</v>
      </c>
      <c r="AJ4258">
        <v>66.932195071098903</v>
      </c>
      <c r="AK4258">
        <v>13.1501901187798</v>
      </c>
      <c r="AL4258">
        <v>88.764073739057395</v>
      </c>
      <c r="AM4258">
        <v>78.038415744395607</v>
      </c>
      <c r="AN4258">
        <v>1.00000001166813</v>
      </c>
    </row>
    <row r="4259" spans="1:40" x14ac:dyDescent="0.25">
      <c r="A4259" t="str">
        <f>"20190312154920431"</f>
        <v>20190312154920431</v>
      </c>
      <c r="B4259" t="str">
        <f>"1552376960419713"</f>
        <v>1552376960419713</v>
      </c>
      <c r="C4259" t="s">
        <v>40</v>
      </c>
      <c r="D4259">
        <v>4.70059</v>
      </c>
      <c r="E4259">
        <v>0.57430139999999996</v>
      </c>
      <c r="F4259" t="s">
        <v>42</v>
      </c>
      <c r="G4259">
        <v>-217.52619999999999</v>
      </c>
      <c r="H4259" s="1">
        <v>-1.9919220000000001E-6</v>
      </c>
      <c r="I4259">
        <v>142.78110000000001</v>
      </c>
      <c r="J4259">
        <v>-204.95150000000001</v>
      </c>
      <c r="K4259">
        <v>1.1042019999999999</v>
      </c>
      <c r="L4259">
        <v>143.9451</v>
      </c>
      <c r="M4259">
        <v>-0.88133039999999996</v>
      </c>
      <c r="N4259">
        <v>0</v>
      </c>
      <c r="O4259">
        <v>-0.472279</v>
      </c>
      <c r="P4259">
        <v>-0.96018559999999997</v>
      </c>
      <c r="Q4259">
        <v>8.8255299999999998E-3</v>
      </c>
      <c r="R4259">
        <v>-0.2792231</v>
      </c>
      <c r="S4259">
        <v>-3.0475919999999999</v>
      </c>
      <c r="T4259">
        <v>-0.2637466</v>
      </c>
      <c r="U4259">
        <v>-0.29870609999999997</v>
      </c>
      <c r="V4259">
        <v>0.20771819999999999</v>
      </c>
      <c r="W4259">
        <v>1.998989E-2</v>
      </c>
      <c r="X4259">
        <v>0.97798439999999998</v>
      </c>
      <c r="Y4259">
        <v>0.3810827</v>
      </c>
      <c r="Z4259">
        <v>5.5607770000000001E-2</v>
      </c>
      <c r="AA4259">
        <v>0.92286710000000005</v>
      </c>
      <c r="AB4259">
        <v>19</v>
      </c>
      <c r="AC4259">
        <v>-12.574699999999901</v>
      </c>
      <c r="AD4259">
        <v>-1.1042039919219999</v>
      </c>
      <c r="AE4259">
        <v>-1.1639999999999799</v>
      </c>
      <c r="AF4259">
        <v>4.8761325169423904</v>
      </c>
      <c r="AG4259">
        <v>-1.1042039919219999</v>
      </c>
      <c r="AH4259">
        <v>11.5451486640222</v>
      </c>
      <c r="AI4259">
        <v>95.035113812844997</v>
      </c>
      <c r="AJ4259">
        <v>67.103071022946295</v>
      </c>
      <c r="AK4259">
        <v>12.5811920124022</v>
      </c>
      <c r="AL4259">
        <v>88.854587339369303</v>
      </c>
      <c r="AM4259">
        <v>78.008901603434197</v>
      </c>
      <c r="AN4259">
        <v>0.99999996647840494</v>
      </c>
    </row>
    <row r="4260" spans="1:40" x14ac:dyDescent="0.25">
      <c r="A4260" t="str">
        <f>"20190312154920452"</f>
        <v>20190312154920452</v>
      </c>
      <c r="B4260" t="str">
        <f>"1552376960440213"</f>
        <v>1552376960440213</v>
      </c>
      <c r="C4260" t="s">
        <v>40</v>
      </c>
      <c r="D4260">
        <v>4.5493189999999997</v>
      </c>
      <c r="E4260">
        <v>0.5736464</v>
      </c>
      <c r="F4260" t="s">
        <v>42</v>
      </c>
      <c r="G4260">
        <v>-217.34700000000001</v>
      </c>
      <c r="H4260" s="1">
        <v>-2.0916149999999998E-6</v>
      </c>
      <c r="I4260">
        <v>142.8373</v>
      </c>
      <c r="J4260">
        <v>-205.12860000000001</v>
      </c>
      <c r="K4260">
        <v>1.104158</v>
      </c>
      <c r="L4260">
        <v>143.8647</v>
      </c>
      <c r="M4260">
        <v>-0.88640609999999997</v>
      </c>
      <c r="N4260">
        <v>0</v>
      </c>
      <c r="O4260">
        <v>-0.46268179999999998</v>
      </c>
      <c r="P4260">
        <v>-0.96331369999999905</v>
      </c>
      <c r="Q4260">
        <v>8.9501730000000005E-3</v>
      </c>
      <c r="R4260">
        <v>-0.26822980000000002</v>
      </c>
      <c r="S4260">
        <v>-3.0476990000000002</v>
      </c>
      <c r="T4260">
        <v>-0.27149279999999998</v>
      </c>
      <c r="U4260">
        <v>-0.27236939999999998</v>
      </c>
      <c r="V4260">
        <v>0.20828240000000001</v>
      </c>
      <c r="W4260">
        <v>2.0100969999999999E-2</v>
      </c>
      <c r="X4260">
        <v>0.97786209999999996</v>
      </c>
      <c r="Y4260">
        <v>0.37881949999999998</v>
      </c>
      <c r="Z4260">
        <v>5.6418349999999999E-2</v>
      </c>
      <c r="AA4260">
        <v>0.9237493</v>
      </c>
      <c r="AB4260">
        <v>19</v>
      </c>
      <c r="AC4260">
        <v>-12.218400000000001</v>
      </c>
      <c r="AD4260">
        <v>-1.1041600916150001</v>
      </c>
      <c r="AE4260">
        <v>-1.0274000000000001</v>
      </c>
      <c r="AF4260">
        <v>4.7048825793908797</v>
      </c>
      <c r="AG4260">
        <v>-1.1041600916150001</v>
      </c>
      <c r="AH4260">
        <v>11.2160568853014</v>
      </c>
      <c r="AI4260">
        <v>95.187154245346406</v>
      </c>
      <c r="AJ4260">
        <v>67.2430510391155</v>
      </c>
      <c r="AK4260">
        <v>12.212903899076901</v>
      </c>
      <c r="AL4260">
        <v>88.848221622330996</v>
      </c>
      <c r="AM4260">
        <v>77.9758181703818</v>
      </c>
      <c r="AN4260">
        <v>0.99999994688055405</v>
      </c>
    </row>
    <row r="4261" spans="1:40" x14ac:dyDescent="0.25">
      <c r="A4261" t="str">
        <f>"20190312154920475"</f>
        <v>20190312154920475</v>
      </c>
      <c r="B4261" t="str">
        <f>"1552376960459729"</f>
        <v>1552376960459729</v>
      </c>
      <c r="C4261" t="s">
        <v>40</v>
      </c>
      <c r="D4261">
        <v>4.7683160000000004</v>
      </c>
      <c r="E4261">
        <v>0.56157709999999905</v>
      </c>
      <c r="F4261" t="s">
        <v>42</v>
      </c>
      <c r="G4261">
        <v>-217.4418</v>
      </c>
      <c r="H4261" s="1">
        <v>-2.058821E-6</v>
      </c>
      <c r="I4261">
        <v>142.88249999999999</v>
      </c>
      <c r="J4261">
        <v>-205.3107</v>
      </c>
      <c r="K4261">
        <v>1.104125</v>
      </c>
      <c r="L4261">
        <v>143.78460000000001</v>
      </c>
      <c r="M4261">
        <v>-0.89154800000000001</v>
      </c>
      <c r="N4261">
        <v>0</v>
      </c>
      <c r="O4261">
        <v>-0.45269409999999999</v>
      </c>
      <c r="P4261">
        <v>-0.96642839999999997</v>
      </c>
      <c r="Q4261">
        <v>9.0034260000000001E-3</v>
      </c>
      <c r="R4261">
        <v>-0.25677919999999999</v>
      </c>
      <c r="S4261">
        <v>-3.0490569999999999</v>
      </c>
      <c r="T4261">
        <v>-0.27341700000000002</v>
      </c>
      <c r="U4261">
        <v>-0.2432098</v>
      </c>
      <c r="V4261">
        <v>0.20890339999999999</v>
      </c>
      <c r="W4261">
        <v>2.014436E-2</v>
      </c>
      <c r="X4261">
        <v>0.97772879999999995</v>
      </c>
      <c r="Y4261">
        <v>0.37723459999999998</v>
      </c>
      <c r="Z4261">
        <v>5.5966330000000002E-2</v>
      </c>
      <c r="AA4261">
        <v>0.9244251</v>
      </c>
      <c r="AB4261">
        <v>19</v>
      </c>
      <c r="AC4261">
        <v>-12.1311</v>
      </c>
      <c r="AD4261">
        <v>-1.1041270588209999</v>
      </c>
      <c r="AE4261">
        <v>-0.902100000000018</v>
      </c>
      <c r="AF4261">
        <v>4.6495994534337104</v>
      </c>
      <c r="AG4261">
        <v>-1.1041270588209999</v>
      </c>
      <c r="AH4261">
        <v>11.1332926862303</v>
      </c>
      <c r="AI4261">
        <v>95.2287668819543</v>
      </c>
      <c r="AJ4261">
        <v>67.333110495178005</v>
      </c>
      <c r="AK4261">
        <v>12.115612971561101</v>
      </c>
      <c r="AL4261">
        <v>88.845735134704896</v>
      </c>
      <c r="AM4261">
        <v>77.939419667925904</v>
      </c>
      <c r="AN4261">
        <v>1.0000000160603999</v>
      </c>
    </row>
    <row r="4262" spans="1:40" x14ac:dyDescent="0.25">
      <c r="A4262" t="str">
        <f>"20190312154920497"</f>
        <v>20190312154920497</v>
      </c>
      <c r="B4262" t="str">
        <f>"1552376960489985"</f>
        <v>1552376960489985</v>
      </c>
      <c r="C4262" t="s">
        <v>40</v>
      </c>
      <c r="D4262">
        <v>4.7707680000000003</v>
      </c>
      <c r="E4262">
        <v>0.55986119999999995</v>
      </c>
      <c r="F4262" t="s">
        <v>42</v>
      </c>
      <c r="G4262">
        <v>-215.5386</v>
      </c>
      <c r="H4262" s="1">
        <v>-2.9278819999999999E-6</v>
      </c>
      <c r="I4262">
        <v>142.76750000000001</v>
      </c>
      <c r="J4262">
        <v>-205.4923</v>
      </c>
      <c r="K4262">
        <v>1.1040939999999999</v>
      </c>
      <c r="L4262">
        <v>143.7072</v>
      </c>
      <c r="M4262">
        <v>-0.89658729999999998</v>
      </c>
      <c r="N4262">
        <v>0</v>
      </c>
      <c r="O4262">
        <v>-0.4426291</v>
      </c>
      <c r="P4262">
        <v>-0.96928110000000001</v>
      </c>
      <c r="Q4262">
        <v>8.9305959999999903E-3</v>
      </c>
      <c r="R4262">
        <v>-0.2457945</v>
      </c>
      <c r="S4262">
        <v>-3.0272830000000002</v>
      </c>
      <c r="T4262">
        <v>-0.3268026</v>
      </c>
      <c r="U4262">
        <v>-0.30104059999999999</v>
      </c>
      <c r="V4262">
        <v>0.2089945</v>
      </c>
      <c r="W4262">
        <v>2.0074749999999999E-2</v>
      </c>
      <c r="X4262">
        <v>0.97771070000000004</v>
      </c>
      <c r="Y4262">
        <v>0.34741480000000002</v>
      </c>
      <c r="Z4262">
        <v>6.4631030000000006E-2</v>
      </c>
      <c r="AA4262">
        <v>0.93548160000000002</v>
      </c>
      <c r="AB4262">
        <v>19</v>
      </c>
      <c r="AC4262">
        <v>-10.0463</v>
      </c>
      <c r="AD4262">
        <v>-1.1040969278820001</v>
      </c>
      <c r="AE4262">
        <v>-0.93969999999998699</v>
      </c>
      <c r="AF4262">
        <v>3.5619921006625601</v>
      </c>
      <c r="AG4262">
        <v>-1.1040969278820001</v>
      </c>
      <c r="AH4262">
        <v>9.3128100597025405</v>
      </c>
      <c r="AI4262">
        <v>96.318812742807296</v>
      </c>
      <c r="AJ4262">
        <v>69.068994111749902</v>
      </c>
      <c r="AK4262">
        <v>10.0317121649017</v>
      </c>
      <c r="AL4262">
        <v>88.849724230006601</v>
      </c>
      <c r="AM4262">
        <v>77.934097473722503</v>
      </c>
      <c r="AN4262">
        <v>0.99999995475615</v>
      </c>
    </row>
    <row r="4263" spans="1:40" x14ac:dyDescent="0.25">
      <c r="A4263" t="str">
        <f>"20190312154920520"</f>
        <v>20190312154920520</v>
      </c>
      <c r="B4263" t="str">
        <f>"1552376960510481"</f>
        <v>1552376960510481</v>
      </c>
      <c r="C4263" t="s">
        <v>40</v>
      </c>
      <c r="D4263">
        <v>4.8097139999999996</v>
      </c>
      <c r="E4263">
        <v>0.55786369999999996</v>
      </c>
      <c r="F4263" t="s">
        <v>42</v>
      </c>
      <c r="G4263">
        <v>-216.0497</v>
      </c>
      <c r="H4263" s="1">
        <v>-2.6766060000000001E-6</v>
      </c>
      <c r="I4263">
        <v>142.7313</v>
      </c>
      <c r="J4263">
        <v>-205.67850000000001</v>
      </c>
      <c r="K4263">
        <v>1.104061</v>
      </c>
      <c r="L4263">
        <v>143.63050000000001</v>
      </c>
      <c r="M4263">
        <v>-0.90165010000000001</v>
      </c>
      <c r="N4263">
        <v>0</v>
      </c>
      <c r="O4263">
        <v>-0.432222</v>
      </c>
      <c r="P4263">
        <v>-0.97194159999999996</v>
      </c>
      <c r="Q4263">
        <v>7.6007169999999999E-3</v>
      </c>
      <c r="R4263">
        <v>-0.23509959999999999</v>
      </c>
      <c r="S4263">
        <v>-3.0270389999999998</v>
      </c>
      <c r="T4263">
        <v>-0.3165675</v>
      </c>
      <c r="U4263">
        <v>-0.2798157</v>
      </c>
      <c r="V4263">
        <v>0.2084376</v>
      </c>
      <c r="W4263">
        <v>1.875988E-2</v>
      </c>
      <c r="X4263">
        <v>0.97785569999999999</v>
      </c>
      <c r="Y4263">
        <v>0.34339789999999998</v>
      </c>
      <c r="Z4263">
        <v>6.147234E-2</v>
      </c>
      <c r="AA4263">
        <v>0.93717609999999996</v>
      </c>
      <c r="AB4263">
        <v>19</v>
      </c>
      <c r="AC4263">
        <v>-10.3711999999999</v>
      </c>
      <c r="AD4263">
        <v>-1.1040636766059999</v>
      </c>
      <c r="AE4263">
        <v>-0.89920000000000699</v>
      </c>
      <c r="AF4263">
        <v>3.63143827441918</v>
      </c>
      <c r="AG4263">
        <v>-1.1040636766059999</v>
      </c>
      <c r="AH4263">
        <v>9.6325291234002108</v>
      </c>
      <c r="AI4263">
        <v>96.121562671459699</v>
      </c>
      <c r="AJ4263">
        <v>69.343688332734303</v>
      </c>
      <c r="AK4263">
        <v>10.353352976503301</v>
      </c>
      <c r="AL4263">
        <v>88.925074960972097</v>
      </c>
      <c r="AM4263">
        <v>77.9670430289558</v>
      </c>
      <c r="AN4263">
        <v>0.99999996810693104</v>
      </c>
    </row>
    <row r="4264" spans="1:40" x14ac:dyDescent="0.25">
      <c r="A4264" t="str">
        <f>"20190312154920543"</f>
        <v>20190312154920543</v>
      </c>
      <c r="B4264" t="str">
        <f>"1552376960530001"</f>
        <v>1552376960530001</v>
      </c>
      <c r="C4264" t="s">
        <v>40</v>
      </c>
      <c r="D4264">
        <v>4.7033940000000003</v>
      </c>
      <c r="E4264">
        <v>0.5575774</v>
      </c>
      <c r="F4264" t="s">
        <v>42</v>
      </c>
      <c r="G4264">
        <v>-217.01609999999999</v>
      </c>
      <c r="H4264" s="1">
        <v>-2.198913E-6</v>
      </c>
      <c r="I4264">
        <v>142.65270000000001</v>
      </c>
      <c r="J4264">
        <v>-205.86019999999999</v>
      </c>
      <c r="K4264">
        <v>1.104031</v>
      </c>
      <c r="L4264">
        <v>143.5582</v>
      </c>
      <c r="M4264">
        <v>-0.90648669999999998</v>
      </c>
      <c r="N4264">
        <v>0</v>
      </c>
      <c r="O4264">
        <v>-0.42198350000000001</v>
      </c>
      <c r="P4264">
        <v>-0.97438550000000002</v>
      </c>
      <c r="Q4264">
        <v>6.5883469999999996E-3</v>
      </c>
      <c r="R4264">
        <v>-0.2247885</v>
      </c>
      <c r="S4264">
        <v>-3.0257869999999998</v>
      </c>
      <c r="T4264">
        <v>-0.2946532</v>
      </c>
      <c r="U4264">
        <v>-0.26095580000000002</v>
      </c>
      <c r="V4264">
        <v>0.20771400000000001</v>
      </c>
      <c r="W4264">
        <v>1.7764889999999998E-2</v>
      </c>
      <c r="X4264">
        <v>0.97802820000000001</v>
      </c>
      <c r="Y4264">
        <v>0.3391245</v>
      </c>
      <c r="Z4264">
        <v>5.6179800000000002E-2</v>
      </c>
      <c r="AA4264">
        <v>0.93906250000000002</v>
      </c>
      <c r="AB4264">
        <v>19</v>
      </c>
      <c r="AC4264">
        <v>-11.155900000000001</v>
      </c>
      <c r="AD4264">
        <v>-1.1040331989129999</v>
      </c>
      <c r="AE4264">
        <v>-0.90549999999998898</v>
      </c>
      <c r="AF4264">
        <v>3.84973656861813</v>
      </c>
      <c r="AG4264">
        <v>-1.1040331989129999</v>
      </c>
      <c r="AH4264">
        <v>10.394753839261201</v>
      </c>
      <c r="AI4264">
        <v>95.687867382958402</v>
      </c>
      <c r="AJ4264">
        <v>69.677698138791996</v>
      </c>
      <c r="AK4264">
        <v>11.1395811559902</v>
      </c>
      <c r="AL4264">
        <v>88.982093161541798</v>
      </c>
      <c r="AM4264">
        <v>78.009658498842199</v>
      </c>
      <c r="AN4264">
        <v>0.99999992855397302</v>
      </c>
    </row>
    <row r="4265" spans="1:40" x14ac:dyDescent="0.25">
      <c r="A4265" t="str">
        <f>"20190312154920568"</f>
        <v>20190312154920568</v>
      </c>
      <c r="B4265" t="str">
        <f>"1552376960560258"</f>
        <v>1552376960560258</v>
      </c>
      <c r="C4265" t="s">
        <v>40</v>
      </c>
      <c r="D4265">
        <v>4.9098129999999998</v>
      </c>
      <c r="E4265">
        <v>0.55760200000000004</v>
      </c>
      <c r="F4265" t="s">
        <v>42</v>
      </c>
      <c r="G4265">
        <v>-218.08840000000001</v>
      </c>
      <c r="H4265" s="1">
        <v>-1.6850989999999999E-6</v>
      </c>
      <c r="I4265">
        <v>142.6267</v>
      </c>
      <c r="J4265">
        <v>-206.05760000000001</v>
      </c>
      <c r="K4265">
        <v>1.104009</v>
      </c>
      <c r="L4265">
        <v>143.48249999999999</v>
      </c>
      <c r="M4265">
        <v>-0.9116185</v>
      </c>
      <c r="N4265">
        <v>0</v>
      </c>
      <c r="O4265">
        <v>-0.4107787</v>
      </c>
      <c r="P4265">
        <v>-0.97692259999999997</v>
      </c>
      <c r="Q4265">
        <v>7.3425019999999999E-3</v>
      </c>
      <c r="R4265">
        <v>-0.21346809999999999</v>
      </c>
      <c r="S4265">
        <v>-3.0274960000000002</v>
      </c>
      <c r="T4265">
        <v>-0.27333930000000001</v>
      </c>
      <c r="U4265">
        <v>-0.23060610000000001</v>
      </c>
      <c r="V4265">
        <v>0.20701749999999999</v>
      </c>
      <c r="W4265">
        <v>1.8536279999999999E-2</v>
      </c>
      <c r="X4265">
        <v>0.97816159999999996</v>
      </c>
      <c r="Y4265">
        <v>0.337464599999999</v>
      </c>
      <c r="Z4265">
        <v>5.1146459999999998E-2</v>
      </c>
      <c r="AA4265">
        <v>0.93994770000000005</v>
      </c>
      <c r="AB4265">
        <v>19</v>
      </c>
      <c r="AC4265">
        <v>-12.030799999999999</v>
      </c>
      <c r="AD4265">
        <v>-1.1040106850989999</v>
      </c>
      <c r="AE4265">
        <v>-0.85579999999998702</v>
      </c>
      <c r="AF4265">
        <v>4.1276918760963497</v>
      </c>
      <c r="AG4265">
        <v>-1.1040106850989999</v>
      </c>
      <c r="AH4265">
        <v>11.2261890356175</v>
      </c>
      <c r="AI4265">
        <v>95.273514877521905</v>
      </c>
      <c r="AJ4265">
        <v>69.812324427364501</v>
      </c>
      <c r="AK4265">
        <v>12.011827507928301</v>
      </c>
      <c r="AL4265">
        <v>88.937888535681495</v>
      </c>
      <c r="AM4265">
        <v>78.050289201695193</v>
      </c>
      <c r="AN4265">
        <v>0.99999997734852297</v>
      </c>
    </row>
    <row r="4266" spans="1:40" x14ac:dyDescent="0.25">
      <c r="A4266" t="str">
        <f>"20190312154920589"</f>
        <v>20190312154920589</v>
      </c>
      <c r="B4266" t="str">
        <f>"1552376960579777"</f>
        <v>1552376960579777</v>
      </c>
      <c r="C4266" t="s">
        <v>40</v>
      </c>
      <c r="D4266">
        <v>4.7499690000000001</v>
      </c>
      <c r="E4266">
        <v>0.55674009999999996</v>
      </c>
      <c r="F4266" t="s">
        <v>42</v>
      </c>
      <c r="G4266">
        <v>-219.39</v>
      </c>
      <c r="H4266" s="1">
        <v>-1.069082E-6</v>
      </c>
      <c r="I4266">
        <v>142.62389999999999</v>
      </c>
      <c r="J4266">
        <v>-206.2379</v>
      </c>
      <c r="K4266">
        <v>1.103999</v>
      </c>
      <c r="L4266">
        <v>143.41589999999999</v>
      </c>
      <c r="M4266">
        <v>-0.91619150000000005</v>
      </c>
      <c r="N4266">
        <v>0</v>
      </c>
      <c r="O4266">
        <v>-0.40047519999999998</v>
      </c>
      <c r="P4266">
        <v>-0.97902860000000003</v>
      </c>
      <c r="Q4266">
        <v>8.2365700000000003E-3</v>
      </c>
      <c r="R4266">
        <v>-0.20355699999999999</v>
      </c>
      <c r="S4266">
        <v>-3.0301209999999998</v>
      </c>
      <c r="T4266">
        <v>-0.25091360000000001</v>
      </c>
      <c r="U4266">
        <v>-0.19512940000000001</v>
      </c>
      <c r="V4266">
        <v>0.2059134</v>
      </c>
      <c r="W4266">
        <v>1.9455940000000001E-2</v>
      </c>
      <c r="X4266">
        <v>0.97837680000000005</v>
      </c>
      <c r="Y4266">
        <v>0.33836329999999998</v>
      </c>
      <c r="Z4266">
        <v>4.6216729999999998E-2</v>
      </c>
      <c r="AA4266">
        <v>0.93988000000000005</v>
      </c>
      <c r="AB4266">
        <v>19</v>
      </c>
      <c r="AC4266">
        <v>-13.1520999999999</v>
      </c>
      <c r="AD4266">
        <v>-1.104000069082</v>
      </c>
      <c r="AE4266">
        <v>-0.79200000000000104</v>
      </c>
      <c r="AF4266">
        <v>4.5102843547177196</v>
      </c>
      <c r="AG4266">
        <v>-1.104000069082</v>
      </c>
      <c r="AH4266">
        <v>12.2821062323597</v>
      </c>
      <c r="AI4266">
        <v>94.823046981426401</v>
      </c>
      <c r="AJ4266">
        <v>69.835552476019799</v>
      </c>
      <c r="AK4266">
        <v>13.1305603313763</v>
      </c>
      <c r="AL4266">
        <v>88.885186425353098</v>
      </c>
      <c r="AM4266">
        <v>78.114743791733005</v>
      </c>
      <c r="AN4266">
        <v>1.0000000123395401</v>
      </c>
    </row>
    <row r="4267" spans="1:40" x14ac:dyDescent="0.25">
      <c r="A4267" t="str">
        <f>"20190312154920610"</f>
        <v>20190312154920610</v>
      </c>
      <c r="B4267" t="str">
        <f>"1552376960600277"</f>
        <v>1552376960600277</v>
      </c>
      <c r="C4267" t="s">
        <v>40</v>
      </c>
      <c r="D4267">
        <v>4.6928559999999999</v>
      </c>
      <c r="E4267">
        <v>0.55576999999999999</v>
      </c>
      <c r="F4267" t="s">
        <v>42</v>
      </c>
      <c r="G4267">
        <v>-220.44450000000001</v>
      </c>
      <c r="H4267" s="1">
        <v>-4.656322E-6</v>
      </c>
      <c r="I4267">
        <v>142.6131</v>
      </c>
      <c r="J4267">
        <v>-206.40880000000001</v>
      </c>
      <c r="K4267">
        <v>1.1040000000000001</v>
      </c>
      <c r="L4267">
        <v>143.35499999999999</v>
      </c>
      <c r="M4267">
        <v>-0.92042020000000002</v>
      </c>
      <c r="N4267">
        <v>0</v>
      </c>
      <c r="O4267">
        <v>-0.3906578</v>
      </c>
      <c r="P4267">
        <v>-0.98081890000000005</v>
      </c>
      <c r="Q4267">
        <v>6.8499569999999899E-3</v>
      </c>
      <c r="R4267">
        <v>-0.19480169999999999</v>
      </c>
      <c r="S4267">
        <v>-3.03064</v>
      </c>
      <c r="T4267">
        <v>-0.23551230000000001</v>
      </c>
      <c r="U4267">
        <v>-0.1712494</v>
      </c>
      <c r="V4267">
        <v>0.20417879999999999</v>
      </c>
      <c r="W4267">
        <v>1.8110060000000001E-2</v>
      </c>
      <c r="X4267">
        <v>0.97876609999999997</v>
      </c>
      <c r="Y4267">
        <v>0.33602179999999998</v>
      </c>
      <c r="Z4267">
        <v>4.2607369999999999E-2</v>
      </c>
      <c r="AA4267">
        <v>0.94089</v>
      </c>
      <c r="AB4267">
        <v>19</v>
      </c>
      <c r="AC4267">
        <v>-14.035699999999901</v>
      </c>
      <c r="AD4267">
        <v>-1.1040046563220001</v>
      </c>
      <c r="AE4267">
        <v>-0.74189999999998602</v>
      </c>
      <c r="AF4267">
        <v>4.7713698058938201</v>
      </c>
      <c r="AG4267">
        <v>-1.1040046563220001</v>
      </c>
      <c r="AH4267">
        <v>13.1289772192707</v>
      </c>
      <c r="AI4267">
        <v>94.518799334862706</v>
      </c>
      <c r="AJ4267">
        <v>70.027700903887606</v>
      </c>
      <c r="AK4267">
        <v>14.0126670883849</v>
      </c>
      <c r="AL4267">
        <v>88.962313285814403</v>
      </c>
      <c r="AM4267">
        <v>78.216609007699802</v>
      </c>
      <c r="AN4267">
        <v>1.0000000175759201</v>
      </c>
    </row>
    <row r="4268" spans="1:40" x14ac:dyDescent="0.25">
      <c r="A4268" t="str">
        <f>"20190312154920632"</f>
        <v>20190312154920632</v>
      </c>
      <c r="B4268" t="str">
        <f>"1552376960630529"</f>
        <v>1552376960630529</v>
      </c>
      <c r="C4268" t="s">
        <v>40</v>
      </c>
      <c r="D4268">
        <v>4.7266269999999997</v>
      </c>
      <c r="E4268">
        <v>0.55442910000000001</v>
      </c>
      <c r="F4268" t="s">
        <v>42</v>
      </c>
      <c r="G4268">
        <v>-220.57490000000001</v>
      </c>
      <c r="H4268" s="1">
        <v>-4.617651E-6</v>
      </c>
      <c r="I4268">
        <v>142.64510000000001</v>
      </c>
      <c r="J4268">
        <v>-206.59889999999999</v>
      </c>
      <c r="K4268">
        <v>1.1040019999999999</v>
      </c>
      <c r="L4268">
        <v>143.28970000000001</v>
      </c>
      <c r="M4268">
        <v>-0.92499799999999999</v>
      </c>
      <c r="N4268">
        <v>0</v>
      </c>
      <c r="O4268">
        <v>-0.3796911</v>
      </c>
      <c r="P4268">
        <v>-0.98279749999999999</v>
      </c>
      <c r="Q4268">
        <v>5.2532610000000004E-3</v>
      </c>
      <c r="R4268">
        <v>-0.1846119</v>
      </c>
      <c r="S4268">
        <v>-3.0301819999999999</v>
      </c>
      <c r="T4268">
        <v>-0.23615220000000001</v>
      </c>
      <c r="U4268">
        <v>-0.15184020000000001</v>
      </c>
      <c r="V4268">
        <v>0.20268359999999999</v>
      </c>
      <c r="W4268">
        <v>1.65539E-2</v>
      </c>
      <c r="X4268">
        <v>0.97910430000000004</v>
      </c>
      <c r="Y4268">
        <v>0.33086349999999998</v>
      </c>
      <c r="Z4268">
        <v>4.175065E-2</v>
      </c>
      <c r="AA4268">
        <v>0.9427546</v>
      </c>
      <c r="AB4268">
        <v>19</v>
      </c>
      <c r="AC4268">
        <v>-13.976000000000001</v>
      </c>
      <c r="AD4268">
        <v>-1.1040066176509999</v>
      </c>
      <c r="AE4268">
        <v>-0.64459999999999695</v>
      </c>
      <c r="AF4268">
        <v>4.6816606202670297</v>
      </c>
      <c r="AG4268">
        <v>-1.1040066176509999</v>
      </c>
      <c r="AH4268">
        <v>13.092404588889501</v>
      </c>
      <c r="AI4268">
        <v>94.539788549640903</v>
      </c>
      <c r="AJ4268">
        <v>70.323660956388395</v>
      </c>
      <c r="AK4268">
        <v>13.948040532431399</v>
      </c>
      <c r="AL4268">
        <v>89.051488026054102</v>
      </c>
      <c r="AM4268">
        <v>78.304441513587193</v>
      </c>
      <c r="AN4268">
        <v>0.99999995179632895</v>
      </c>
    </row>
    <row r="4269" spans="1:40" x14ac:dyDescent="0.25">
      <c r="A4269" t="str">
        <f>"20190312154920654"</f>
        <v>20190312154920654</v>
      </c>
      <c r="B4269" t="str">
        <f>"1552376960650049"</f>
        <v>1552376960650049</v>
      </c>
      <c r="C4269" t="s">
        <v>40</v>
      </c>
      <c r="D4269">
        <v>4.7395769999999997</v>
      </c>
      <c r="E4269">
        <v>0.55365180000000003</v>
      </c>
      <c r="F4269" t="s">
        <v>42</v>
      </c>
      <c r="G4269">
        <v>-221.0359</v>
      </c>
      <c r="H4269" s="1">
        <v>-4.4645610000000004E-6</v>
      </c>
      <c r="I4269">
        <v>142.66659999999999</v>
      </c>
      <c r="J4269">
        <v>-206.78120000000001</v>
      </c>
      <c r="K4269">
        <v>1.1040209999999999</v>
      </c>
      <c r="L4269">
        <v>143.2295</v>
      </c>
      <c r="M4269">
        <v>-0.92926249999999999</v>
      </c>
      <c r="N4269">
        <v>0</v>
      </c>
      <c r="O4269">
        <v>-0.36913079999999998</v>
      </c>
      <c r="P4269">
        <v>-0.98460009999999998</v>
      </c>
      <c r="Q4269">
        <v>4.7575380000000004E-3</v>
      </c>
      <c r="R4269">
        <v>-0.17475660000000001</v>
      </c>
      <c r="S4269">
        <v>-3.0292050000000001</v>
      </c>
      <c r="T4269">
        <v>-0.2316453</v>
      </c>
      <c r="U4269">
        <v>-0.1307373</v>
      </c>
      <c r="V4269">
        <v>0.20133329999999999</v>
      </c>
      <c r="W4269">
        <v>1.6098109999999999E-2</v>
      </c>
      <c r="X4269">
        <v>0.97939050000000005</v>
      </c>
      <c r="Y4269">
        <v>0.32677329999999999</v>
      </c>
      <c r="Z4269">
        <v>4.0074560000000002E-2</v>
      </c>
      <c r="AA4269">
        <v>0.94425269999999994</v>
      </c>
      <c r="AB4269">
        <v>19</v>
      </c>
      <c r="AC4269">
        <v>-14.2546999999999</v>
      </c>
      <c r="AD4269">
        <v>-1.1040254645609999</v>
      </c>
      <c r="AE4269">
        <v>-0.56290000000001295</v>
      </c>
      <c r="AF4269">
        <v>4.7110580318747504</v>
      </c>
      <c r="AG4269">
        <v>-1.1040254645609999</v>
      </c>
      <c r="AH4269">
        <v>13.375471682017301</v>
      </c>
      <c r="AI4269">
        <v>94.451675022784897</v>
      </c>
      <c r="AJ4269">
        <v>70.596909673263895</v>
      </c>
      <c r="AK4269">
        <v>14.223789323613399</v>
      </c>
      <c r="AL4269">
        <v>89.077606395578599</v>
      </c>
      <c r="AM4269">
        <v>78.383536108761703</v>
      </c>
      <c r="AN4269">
        <v>0.99999999916235605</v>
      </c>
    </row>
    <row r="4270" spans="1:40" x14ac:dyDescent="0.25">
      <c r="A4270" t="str">
        <f>"20190312154920678"</f>
        <v>20190312154920678</v>
      </c>
      <c r="B4270" t="str">
        <f>"1552376960670545"</f>
        <v>1552376960670545</v>
      </c>
      <c r="C4270" t="s">
        <v>40</v>
      </c>
      <c r="D4270">
        <v>4.7223449999999998</v>
      </c>
      <c r="E4270">
        <v>0.55258009999999902</v>
      </c>
      <c r="F4270" t="s">
        <v>42</v>
      </c>
      <c r="G4270">
        <v>-221.5018</v>
      </c>
      <c r="H4270" s="1">
        <v>-4.314033E-6</v>
      </c>
      <c r="I4270">
        <v>142.71170000000001</v>
      </c>
      <c r="J4270">
        <v>-206.97810000000001</v>
      </c>
      <c r="K4270">
        <v>1.104052</v>
      </c>
      <c r="L4270">
        <v>143.1671</v>
      </c>
      <c r="M4270">
        <v>-0.93372379999999999</v>
      </c>
      <c r="N4270">
        <v>0</v>
      </c>
      <c r="O4270">
        <v>-0.357695599999999</v>
      </c>
      <c r="P4270">
        <v>-0.98637719999999995</v>
      </c>
      <c r="Q4270">
        <v>5.1869719999999998E-3</v>
      </c>
      <c r="R4270">
        <v>-0.1644187</v>
      </c>
      <c r="S4270">
        <v>-3.0291139999999999</v>
      </c>
      <c r="T4270">
        <v>-0.22718099999999999</v>
      </c>
      <c r="U4270">
        <v>-0.1065521</v>
      </c>
      <c r="V4270">
        <v>0.1995884</v>
      </c>
      <c r="W4270">
        <v>1.6576790000000001E-2</v>
      </c>
      <c r="X4270">
        <v>0.97973960000000004</v>
      </c>
      <c r="Y4270">
        <v>0.3228162</v>
      </c>
      <c r="Z4270">
        <v>3.8367869999999998E-2</v>
      </c>
      <c r="AA4270">
        <v>0.94568370000000002</v>
      </c>
      <c r="AB4270">
        <v>19</v>
      </c>
      <c r="AC4270">
        <v>-14.5236999999999</v>
      </c>
      <c r="AD4270">
        <v>-1.104056314033</v>
      </c>
      <c r="AE4270">
        <v>-0.45539999999999697</v>
      </c>
      <c r="AF4270">
        <v>4.7429743974236498</v>
      </c>
      <c r="AG4270">
        <v>-1.104056314033</v>
      </c>
      <c r="AH4270">
        <v>13.6467033931751</v>
      </c>
      <c r="AI4270">
        <v>94.3699845130093</v>
      </c>
      <c r="AJ4270">
        <v>70.834869938619605</v>
      </c>
      <c r="AK4270">
        <v>14.489556928369799</v>
      </c>
      <c r="AL4270">
        <v>89.050176392919894</v>
      </c>
      <c r="AM4270">
        <v>78.485505407683704</v>
      </c>
      <c r="AN4270">
        <v>1.0000000015947099</v>
      </c>
    </row>
    <row r="4271" spans="1:40" x14ac:dyDescent="0.25">
      <c r="A4271" t="str">
        <f>"20190312154920700"</f>
        <v>20190312154920700</v>
      </c>
      <c r="B4271" t="str">
        <f>"1552376960690065"</f>
        <v>1552376960690065</v>
      </c>
      <c r="C4271" t="s">
        <v>40</v>
      </c>
      <c r="D4271">
        <v>4.7137789999999997</v>
      </c>
      <c r="E4271">
        <v>0.55142400000000003</v>
      </c>
      <c r="F4271" t="s">
        <v>42</v>
      </c>
      <c r="G4271">
        <v>-222.1096</v>
      </c>
      <c r="H4271" s="1">
        <v>-4.1142429999999996E-6</v>
      </c>
      <c r="I4271">
        <v>142.75139999999999</v>
      </c>
      <c r="J4271">
        <v>-207.16569999999999</v>
      </c>
      <c r="K4271">
        <v>1.104077</v>
      </c>
      <c r="L4271">
        <v>143.11009999999999</v>
      </c>
      <c r="M4271">
        <v>-0.93782969999999999</v>
      </c>
      <c r="N4271">
        <v>0</v>
      </c>
      <c r="O4271">
        <v>-0.34678809999999999</v>
      </c>
      <c r="P4271">
        <v>-0.98797829999999998</v>
      </c>
      <c r="Q4271">
        <v>4.2202139999999999E-3</v>
      </c>
      <c r="R4271">
        <v>-0.15453639999999999</v>
      </c>
      <c r="S4271">
        <v>-3.0287169999999999</v>
      </c>
      <c r="T4271">
        <v>-0.22098899999999999</v>
      </c>
      <c r="U4271">
        <v>-8.3190920000000002E-2</v>
      </c>
      <c r="V4271">
        <v>0.1979622</v>
      </c>
      <c r="W4271">
        <v>1.5656610000000001E-2</v>
      </c>
      <c r="X4271">
        <v>0.98008459999999997</v>
      </c>
      <c r="Y4271">
        <v>0.31920609999999999</v>
      </c>
      <c r="Z4271">
        <v>3.6460220000000002E-2</v>
      </c>
      <c r="AA4271">
        <v>0.94698369999999998</v>
      </c>
      <c r="AB4271">
        <v>19</v>
      </c>
      <c r="AC4271">
        <v>-14.943899999999999</v>
      </c>
      <c r="AD4271">
        <v>-1.104081114243</v>
      </c>
      <c r="AE4271">
        <v>-0.35869999999999802</v>
      </c>
      <c r="AF4271">
        <v>4.8201885912262998</v>
      </c>
      <c r="AG4271">
        <v>-1.104081114243</v>
      </c>
      <c r="AH4271">
        <v>14.064011187941</v>
      </c>
      <c r="AI4271">
        <v>94.247182278910103</v>
      </c>
      <c r="AJ4271">
        <v>71.081764826955506</v>
      </c>
      <c r="AK4271">
        <v>14.9080389004169</v>
      </c>
      <c r="AL4271">
        <v>89.102905665638403</v>
      </c>
      <c r="AM4271">
        <v>78.580762133796696</v>
      </c>
      <c r="AN4271">
        <v>0.99999999261134598</v>
      </c>
    </row>
    <row r="4272" spans="1:40" x14ac:dyDescent="0.25">
      <c r="A4272" t="str">
        <f>"20190312154920722"</f>
        <v>20190312154920722</v>
      </c>
      <c r="B4272" t="str">
        <f>"1552376960710562"</f>
        <v>1552376960710562</v>
      </c>
      <c r="C4272" t="s">
        <v>40</v>
      </c>
      <c r="D4272">
        <v>4.6516630000000001</v>
      </c>
      <c r="E4272">
        <v>0.55091579999999996</v>
      </c>
      <c r="F4272" t="s">
        <v>42</v>
      </c>
      <c r="G4272">
        <v>-222.32669999999999</v>
      </c>
      <c r="H4272" s="1">
        <v>-4.0493170000000002E-6</v>
      </c>
      <c r="I4272">
        <v>142.80199999999999</v>
      </c>
      <c r="J4272">
        <v>-207.345</v>
      </c>
      <c r="K4272">
        <v>1.104109</v>
      </c>
      <c r="L4272">
        <v>143.05779999999999</v>
      </c>
      <c r="M4272">
        <v>-0.94162389999999996</v>
      </c>
      <c r="N4272">
        <v>0</v>
      </c>
      <c r="O4272">
        <v>-0.3363488</v>
      </c>
      <c r="P4272">
        <v>-0.98932690000000001</v>
      </c>
      <c r="Q4272">
        <v>2.5446449999999999E-3</v>
      </c>
      <c r="R4272">
        <v>-0.1456916</v>
      </c>
      <c r="S4272">
        <v>-3.0278320000000001</v>
      </c>
      <c r="T4272">
        <v>-0.22049779999999999</v>
      </c>
      <c r="U4272">
        <v>-6.1508180000000003E-2</v>
      </c>
      <c r="V4272">
        <v>0.19581860000000001</v>
      </c>
      <c r="W4272">
        <v>1.403459E-2</v>
      </c>
      <c r="X4272">
        <v>0.98053970000000001</v>
      </c>
      <c r="Y4272">
        <v>0.31549310000000003</v>
      </c>
      <c r="Z4272">
        <v>3.5544840000000001E-2</v>
      </c>
      <c r="AA4272">
        <v>0.94826189999999999</v>
      </c>
      <c r="AB4272">
        <v>19</v>
      </c>
      <c r="AC4272">
        <v>-14.981699999999901</v>
      </c>
      <c r="AD4272">
        <v>-1.1041130493169999</v>
      </c>
      <c r="AE4272">
        <v>-0.255799999999965</v>
      </c>
      <c r="AF4272">
        <v>4.7728076508558797</v>
      </c>
      <c r="AG4272">
        <v>-1.1041130493169999</v>
      </c>
      <c r="AH4272">
        <v>14.1180260379726</v>
      </c>
      <c r="AI4272">
        <v>94.237120328474006</v>
      </c>
      <c r="AJ4272">
        <v>71.321414704112698</v>
      </c>
      <c r="AK4272">
        <v>14.9438086747192</v>
      </c>
      <c r="AL4272">
        <v>89.195850824324197</v>
      </c>
      <c r="AM4272">
        <v>78.706325155477003</v>
      </c>
      <c r="AN4272">
        <v>0.99999999854925903</v>
      </c>
    </row>
    <row r="4273" spans="1:40" x14ac:dyDescent="0.25">
      <c r="A4273" t="str">
        <f>"20190312154920744"</f>
        <v>20190312154920744</v>
      </c>
      <c r="B4273" t="str">
        <f>"1552376960739841"</f>
        <v>1552376960739841</v>
      </c>
      <c r="C4273" t="s">
        <v>40</v>
      </c>
      <c r="D4273">
        <v>4.6207209999999996</v>
      </c>
      <c r="E4273">
        <v>0.53536219999999901</v>
      </c>
      <c r="F4273" t="s">
        <v>42</v>
      </c>
      <c r="G4273">
        <v>-222.19159999999999</v>
      </c>
      <c r="H4273" s="1">
        <v>-4.1075409999999997E-6</v>
      </c>
      <c r="I4273">
        <v>142.87090000000001</v>
      </c>
      <c r="J4273">
        <v>-207.53120000000001</v>
      </c>
      <c r="K4273">
        <v>1.1041379999999901</v>
      </c>
      <c r="L4273">
        <v>143.00569999999999</v>
      </c>
      <c r="M4273">
        <v>-0.94542550000000003</v>
      </c>
      <c r="N4273">
        <v>0</v>
      </c>
      <c r="O4273">
        <v>-0.32551000000000002</v>
      </c>
      <c r="P4273">
        <v>-0.99063210000000002</v>
      </c>
      <c r="Q4273">
        <v>1.53954E-3</v>
      </c>
      <c r="R4273">
        <v>-0.13654839999999999</v>
      </c>
      <c r="S4273">
        <v>-3.0273279999999998</v>
      </c>
      <c r="T4273">
        <v>-0.2251379</v>
      </c>
      <c r="U4273">
        <v>-3.8085939999999999E-2</v>
      </c>
      <c r="V4273">
        <v>0.19359499999999999</v>
      </c>
      <c r="W4273">
        <v>1.308196E-2</v>
      </c>
      <c r="X4273">
        <v>0.98099429999999999</v>
      </c>
      <c r="Y4273">
        <v>0.31189159999999999</v>
      </c>
      <c r="Z4273">
        <v>3.5405720000000002E-2</v>
      </c>
      <c r="AA4273">
        <v>0.94945780000000002</v>
      </c>
      <c r="AB4273">
        <v>19</v>
      </c>
      <c r="AC4273">
        <v>-14.6603999999999</v>
      </c>
      <c r="AD4273">
        <v>-1.1041421075409901</v>
      </c>
      <c r="AE4273">
        <v>-0.13479999999998399</v>
      </c>
      <c r="AF4273">
        <v>4.6189623175364698</v>
      </c>
      <c r="AG4273">
        <v>-1.1041421075409901</v>
      </c>
      <c r="AH4273">
        <v>13.8272562341705</v>
      </c>
      <c r="AI4273">
        <v>94.331230944099204</v>
      </c>
      <c r="AJ4273">
        <v>71.528224974127596</v>
      </c>
      <c r="AK4273">
        <v>14.6200874706643</v>
      </c>
      <c r="AL4273">
        <v>89.250437515353894</v>
      </c>
      <c r="AM4273">
        <v>78.836373222081505</v>
      </c>
      <c r="AN4273">
        <v>0.99999998916746502</v>
      </c>
    </row>
    <row r="4274" spans="1:40" x14ac:dyDescent="0.25">
      <c r="A4274" t="str">
        <f>"20190312154920768"</f>
        <v>20190312154920768</v>
      </c>
      <c r="B4274" t="str">
        <f>"1552376960760337"</f>
        <v>1552376960760337</v>
      </c>
      <c r="C4274" t="s">
        <v>40</v>
      </c>
      <c r="D4274">
        <v>5.7138159999999996</v>
      </c>
      <c r="E4274">
        <v>0.53536219999999901</v>
      </c>
      <c r="F4274" t="s">
        <v>42</v>
      </c>
      <c r="G4274">
        <v>-226.1191</v>
      </c>
      <c r="H4274" s="1">
        <v>-2.331873E-6</v>
      </c>
      <c r="I4274">
        <v>142.18950000000001</v>
      </c>
      <c r="J4274">
        <v>-207.72630000000001</v>
      </c>
      <c r="K4274">
        <v>1.1041829999999999</v>
      </c>
      <c r="L4274">
        <v>142.9538</v>
      </c>
      <c r="M4274">
        <v>-0.94925760000000003</v>
      </c>
      <c r="N4274">
        <v>0</v>
      </c>
      <c r="O4274">
        <v>-0.31415959999999898</v>
      </c>
      <c r="P4274">
        <v>-0.9918804</v>
      </c>
      <c r="Q4274">
        <v>2.1264410000000002E-3</v>
      </c>
      <c r="R4274">
        <v>-0.1271572</v>
      </c>
      <c r="S4274">
        <v>-3.0104519999999999</v>
      </c>
      <c r="T4274">
        <v>-0.1788245</v>
      </c>
      <c r="U4274">
        <v>-0.1321869</v>
      </c>
      <c r="V4274">
        <v>0.19114200000000001</v>
      </c>
      <c r="W4274">
        <v>1.372515E-2</v>
      </c>
      <c r="X4274">
        <v>0.98146639999999996</v>
      </c>
      <c r="Y4274">
        <v>0.27123309999999901</v>
      </c>
      <c r="Z4274">
        <v>2.6408640000000001E-2</v>
      </c>
      <c r="AA4274">
        <v>0.96215130000000004</v>
      </c>
      <c r="AB4274">
        <v>19</v>
      </c>
      <c r="AC4274">
        <v>-18.392799999999902</v>
      </c>
      <c r="AD4274">
        <v>-1.1041853318729999</v>
      </c>
      <c r="AE4274">
        <v>-0.76429999999999099</v>
      </c>
      <c r="AF4274">
        <v>5.0351815608900798</v>
      </c>
      <c r="AG4274">
        <v>-1.1041853318729999</v>
      </c>
      <c r="AH4274">
        <v>17.6380508924432</v>
      </c>
      <c r="AI4274">
        <v>93.444911406867504</v>
      </c>
      <c r="AJ4274">
        <v>74.067403442058406</v>
      </c>
      <c r="AK4274">
        <v>18.375884138801801</v>
      </c>
      <c r="AL4274">
        <v>89.213582115344394</v>
      </c>
      <c r="AM4274">
        <v>78.979511085328497</v>
      </c>
      <c r="AN4274">
        <v>0.99999996911774003</v>
      </c>
    </row>
    <row r="4275" spans="1:40" x14ac:dyDescent="0.25">
      <c r="A4275" t="str">
        <f>"20190312154920877"</f>
        <v>20190312154920877</v>
      </c>
      <c r="B4275" t="str">
        <f>"1552376960869917"</f>
        <v>1552376960869917</v>
      </c>
      <c r="C4275" t="s">
        <v>40</v>
      </c>
      <c r="D4275">
        <v>2.8082929999999999</v>
      </c>
      <c r="E4275">
        <v>0.53536219999999901</v>
      </c>
      <c r="F4275" t="s">
        <v>42</v>
      </c>
      <c r="G4275">
        <v>-226.53190000000001</v>
      </c>
      <c r="H4275" s="1">
        <v>-2.1861379999999999E-6</v>
      </c>
      <c r="I4275">
        <v>142.3073</v>
      </c>
      <c r="J4275">
        <v>-208.65280000000001</v>
      </c>
      <c r="K4275">
        <v>1.104414</v>
      </c>
      <c r="L4275">
        <v>142.74010000000001</v>
      </c>
      <c r="M4275">
        <v>-0.96535959999999998</v>
      </c>
      <c r="N4275">
        <v>0</v>
      </c>
      <c r="O4275">
        <v>-0.2605151</v>
      </c>
      <c r="P4275">
        <v>-0.99619800000000003</v>
      </c>
      <c r="Q4275">
        <v>1.3978230000000001E-3</v>
      </c>
      <c r="R4275">
        <v>-8.7107909999999997E-2</v>
      </c>
      <c r="S4275">
        <v>-3.0116879999999999</v>
      </c>
      <c r="T4275">
        <v>-0.1768335</v>
      </c>
      <c r="U4275">
        <v>-0.1035156</v>
      </c>
      <c r="V4275">
        <v>0.17565410000000001</v>
      </c>
      <c r="W4275">
        <v>1.3321309999999999E-2</v>
      </c>
      <c r="X4275">
        <v>0.98436179999999995</v>
      </c>
      <c r="Y4275">
        <v>0.2263966</v>
      </c>
      <c r="Z4275">
        <v>2.1767740000000001E-2</v>
      </c>
      <c r="AA4275">
        <v>0.97379199999999999</v>
      </c>
      <c r="AB4275">
        <v>19</v>
      </c>
      <c r="AC4275">
        <v>-17.879099999999902</v>
      </c>
      <c r="AD4275">
        <v>-1.104416186138</v>
      </c>
      <c r="AE4275">
        <v>-0.43280000000001401</v>
      </c>
      <c r="AF4275">
        <v>4.2243096772292601</v>
      </c>
      <c r="AG4275">
        <v>-1.104416186138</v>
      </c>
      <c r="AH4275">
        <v>17.3083550291135</v>
      </c>
      <c r="AI4275">
        <v>93.547155293215894</v>
      </c>
      <c r="AJ4275">
        <v>76.284416919644499</v>
      </c>
      <c r="AK4275">
        <v>17.850593300368899</v>
      </c>
      <c r="AL4275">
        <v>89.236722573286599</v>
      </c>
      <c r="AM4275">
        <v>79.882367728908704</v>
      </c>
      <c r="AN4275">
        <v>0.99999998672308299</v>
      </c>
    </row>
    <row r="4276" spans="1:40" x14ac:dyDescent="0.25">
      <c r="A4276" t="str">
        <f>"20190312154920900"</f>
        <v>20190312154920900</v>
      </c>
      <c r="B4276" t="str">
        <f>"1552376960890417"</f>
        <v>1552376960890417</v>
      </c>
      <c r="C4276" t="s">
        <v>40</v>
      </c>
      <c r="D4276">
        <v>4.3769720000000003</v>
      </c>
      <c r="E4276">
        <v>0.54246619999999901</v>
      </c>
      <c r="F4276" t="s">
        <v>42</v>
      </c>
      <c r="G4276">
        <v>-227.35579999999999</v>
      </c>
      <c r="H4276" s="1">
        <v>-1.9785179999999998E-6</v>
      </c>
      <c r="I4276">
        <v>142.8554</v>
      </c>
      <c r="J4276">
        <v>-208.8357</v>
      </c>
      <c r="K4276">
        <v>1.1045069999999999</v>
      </c>
      <c r="L4276">
        <v>142.70410000000001</v>
      </c>
      <c r="M4276">
        <v>-0.96811290000000005</v>
      </c>
      <c r="N4276">
        <v>0</v>
      </c>
      <c r="O4276">
        <v>-0.2500909</v>
      </c>
      <c r="P4276">
        <v>-0.99676520000000002</v>
      </c>
      <c r="Q4276">
        <v>1.66976E-3</v>
      </c>
      <c r="R4276">
        <v>-8.0352660000000006E-2</v>
      </c>
      <c r="S4276">
        <v>-3.013306</v>
      </c>
      <c r="T4276">
        <v>-0.1779366</v>
      </c>
      <c r="U4276">
        <v>1.8585210000000001E-2</v>
      </c>
      <c r="V4276">
        <v>0.171711999999999</v>
      </c>
      <c r="W4276">
        <v>1.3677E-2</v>
      </c>
      <c r="X4276">
        <v>0.98505220000000004</v>
      </c>
      <c r="Y4276">
        <v>0.25521070000000001</v>
      </c>
      <c r="Z4276">
        <v>2.21686E-2</v>
      </c>
      <c r="AA4276">
        <v>0.96663129999999997</v>
      </c>
      <c r="AB4276">
        <v>19</v>
      </c>
      <c r="AC4276">
        <v>-18.5200999999999</v>
      </c>
      <c r="AD4276">
        <v>-1.104508978518</v>
      </c>
      <c r="AE4276">
        <v>0.151299999999992</v>
      </c>
      <c r="AF4276">
        <v>4.7617552339728899</v>
      </c>
      <c r="AG4276">
        <v>-1.104508978518</v>
      </c>
      <c r="AH4276">
        <v>17.8301922964197</v>
      </c>
      <c r="AI4276">
        <v>93.424981027907194</v>
      </c>
      <c r="AJ4276">
        <v>75.047472506077796</v>
      </c>
      <c r="AK4276">
        <v>18.488104562642398</v>
      </c>
      <c r="AL4276">
        <v>89.216341154340597</v>
      </c>
      <c r="AM4276">
        <v>80.111692060925293</v>
      </c>
      <c r="AN4276">
        <v>0.99999995399891894</v>
      </c>
    </row>
    <row r="4277" spans="1:40" x14ac:dyDescent="0.25">
      <c r="A4277" t="str">
        <f>"20190312154920922"</f>
        <v>20190312154920922</v>
      </c>
      <c r="B4277" t="str">
        <f>"1552376960919694"</f>
        <v>1552376960919694</v>
      </c>
      <c r="C4277" t="s">
        <v>40</v>
      </c>
      <c r="D4277">
        <v>4.8453689999999998</v>
      </c>
      <c r="E4277">
        <v>0.53941640000000002</v>
      </c>
      <c r="F4277" t="s">
        <v>41</v>
      </c>
      <c r="G4277">
        <v>-209.55779999999999</v>
      </c>
      <c r="H4277">
        <v>0.85792230000000003</v>
      </c>
      <c r="I4277">
        <v>142.7253</v>
      </c>
      <c r="J4277">
        <v>-209.02549999999999</v>
      </c>
      <c r="K4277">
        <v>1.1046229999999999</v>
      </c>
      <c r="L4277">
        <v>142.6687</v>
      </c>
      <c r="M4277">
        <v>-0.97081039999999996</v>
      </c>
      <c r="N4277">
        <v>0</v>
      </c>
      <c r="O4277">
        <v>-0.2394076</v>
      </c>
      <c r="P4277">
        <v>-0.99733380000000005</v>
      </c>
      <c r="Q4277">
        <v>2.1119789999999999E-3</v>
      </c>
      <c r="R4277">
        <v>-7.2945380000000004E-2</v>
      </c>
      <c r="S4277">
        <v>-3.0186000000000002</v>
      </c>
      <c r="T4277">
        <v>-1.0304469999999999</v>
      </c>
      <c r="U4277">
        <v>8.8378910000000005E-2</v>
      </c>
      <c r="V4277">
        <v>0.1681754</v>
      </c>
      <c r="W4277">
        <v>1.4201470000000001E-2</v>
      </c>
      <c r="X4277">
        <v>0.98565480000000005</v>
      </c>
      <c r="Y4277">
        <v>0.2407183</v>
      </c>
      <c r="Z4277">
        <v>0.118879</v>
      </c>
      <c r="AA4277">
        <v>0.96328740000000002</v>
      </c>
      <c r="AB4277">
        <v>19</v>
      </c>
      <c r="AC4277">
        <v>-0.532299999999992</v>
      </c>
      <c r="AD4277">
        <v>-0.246700699999999</v>
      </c>
      <c r="AE4277">
        <v>5.6600000000003002E-2</v>
      </c>
      <c r="AF4277">
        <v>0.15044909667725501</v>
      </c>
      <c r="AG4277">
        <v>-0.246700699999999</v>
      </c>
      <c r="AH4277">
        <v>0.41509976174305802</v>
      </c>
      <c r="AI4277">
        <v>119.19423677570499</v>
      </c>
      <c r="AJ4277">
        <v>70.077416510132196</v>
      </c>
      <c r="AK4277">
        <v>0.50577067755123495</v>
      </c>
      <c r="AL4277">
        <v>89.186288365646405</v>
      </c>
      <c r="AM4277">
        <v>80.317264416344301</v>
      </c>
      <c r="AN4277">
        <v>1.00000001583918</v>
      </c>
    </row>
    <row r="4278" spans="1:40" x14ac:dyDescent="0.25">
      <c r="A4278" t="str">
        <f>"20190312154920946"</f>
        <v>20190312154920946</v>
      </c>
      <c r="B4278" t="str">
        <f>"1552376960940190"</f>
        <v>1552376960940190</v>
      </c>
      <c r="C4278" t="s">
        <v>40</v>
      </c>
      <c r="D4278">
        <v>5.3165620000000002</v>
      </c>
      <c r="E4278">
        <v>0.53941640000000002</v>
      </c>
      <c r="F4278" t="s">
        <v>41</v>
      </c>
      <c r="G4278">
        <v>-209.74959999999999</v>
      </c>
      <c r="H4278">
        <v>0.91836549999999995</v>
      </c>
      <c r="I4278">
        <v>142.68960000000001</v>
      </c>
      <c r="J4278">
        <v>-209.22049999999999</v>
      </c>
      <c r="K4278">
        <v>1.104773</v>
      </c>
      <c r="L4278">
        <v>142.6343</v>
      </c>
      <c r="M4278">
        <v>-0.97340740000000003</v>
      </c>
      <c r="N4278">
        <v>0</v>
      </c>
      <c r="O4278">
        <v>-0.22862109999999999</v>
      </c>
      <c r="P4278">
        <v>-0.99787899999999996</v>
      </c>
      <c r="Q4278">
        <v>1.9360810000000001E-3</v>
      </c>
      <c r="R4278">
        <v>-6.5069890000000005E-2</v>
      </c>
      <c r="S4278">
        <v>-3.0159910000000001</v>
      </c>
      <c r="T4278">
        <v>-0.77506549999999996</v>
      </c>
      <c r="U4278">
        <v>8.6624149999999997E-2</v>
      </c>
      <c r="V4278">
        <v>0.16501099999999999</v>
      </c>
      <c r="W4278">
        <v>1.4107059999999999E-2</v>
      </c>
      <c r="X4278">
        <v>0.98619089999999998</v>
      </c>
      <c r="Y4278">
        <v>0.2413178</v>
      </c>
      <c r="Z4278">
        <v>8.7966249999999996E-2</v>
      </c>
      <c r="AA4278">
        <v>0.96645099999999995</v>
      </c>
      <c r="AB4278">
        <v>19</v>
      </c>
      <c r="AC4278">
        <v>-0.52909999999999902</v>
      </c>
      <c r="AD4278">
        <v>-0.186407499999999</v>
      </c>
      <c r="AE4278">
        <v>5.5300000000016697E-2</v>
      </c>
      <c r="AF4278">
        <v>0.155694809878685</v>
      </c>
      <c r="AG4278">
        <v>-0.186407499999999</v>
      </c>
      <c r="AH4278">
        <v>0.44749578658136002</v>
      </c>
      <c r="AI4278">
        <v>111.47590246145499</v>
      </c>
      <c r="AJ4278">
        <v>70.815954941544106</v>
      </c>
      <c r="AK4278">
        <v>0.50915725359409403</v>
      </c>
      <c r="AL4278">
        <v>89.191698241989499</v>
      </c>
      <c r="AM4278">
        <v>80.501173165893206</v>
      </c>
      <c r="AN4278">
        <v>1.00000006525282</v>
      </c>
    </row>
    <row r="4279" spans="1:40" x14ac:dyDescent="0.25">
      <c r="A4279" t="str">
        <f>"20190312154920970"</f>
        <v>20190312154920970</v>
      </c>
      <c r="B4279" t="str">
        <f>"1552376960959710"</f>
        <v>1552376960959710</v>
      </c>
      <c r="C4279" t="s">
        <v>40</v>
      </c>
      <c r="D4279">
        <v>4.9010790000000002</v>
      </c>
      <c r="E4279">
        <v>0.5314451</v>
      </c>
      <c r="F4279" t="s">
        <v>41</v>
      </c>
      <c r="G4279">
        <v>-210.0754</v>
      </c>
      <c r="H4279">
        <v>0.88449730000000004</v>
      </c>
      <c r="I4279">
        <v>142.6651</v>
      </c>
      <c r="J4279">
        <v>-209.4264</v>
      </c>
      <c r="K4279">
        <v>1.1049659999999999</v>
      </c>
      <c r="L4279">
        <v>142.6003</v>
      </c>
      <c r="M4279">
        <v>-0.97594769999999997</v>
      </c>
      <c r="N4279">
        <v>0</v>
      </c>
      <c r="O4279">
        <v>-0.21752479999999999</v>
      </c>
      <c r="P4279">
        <v>-0.99840059999999997</v>
      </c>
      <c r="Q4279">
        <v>4.8721579999999999E-4</v>
      </c>
      <c r="R4279">
        <v>-5.6537280000000002E-2</v>
      </c>
      <c r="S4279">
        <v>-3.0149379999999999</v>
      </c>
      <c r="T4279">
        <v>-0.77648589999999995</v>
      </c>
      <c r="U4279">
        <v>0.1082916</v>
      </c>
      <c r="V4279">
        <v>0.1621882</v>
      </c>
      <c r="W4279">
        <v>1.273819E-2</v>
      </c>
      <c r="X4279">
        <v>0.98667760000000004</v>
      </c>
      <c r="Y4279">
        <v>0.23766470000000001</v>
      </c>
      <c r="Z4279">
        <v>8.4930060000000002E-2</v>
      </c>
      <c r="AA4279">
        <v>0.96762720000000002</v>
      </c>
      <c r="AB4279">
        <v>19</v>
      </c>
      <c r="AC4279">
        <v>-0.64900000000000002</v>
      </c>
      <c r="AD4279">
        <v>-0.22046869999999899</v>
      </c>
      <c r="AE4279">
        <v>6.4799999999991004E-2</v>
      </c>
      <c r="AF4279">
        <v>0.183472683829289</v>
      </c>
      <c r="AG4279">
        <v>-0.22046869999999899</v>
      </c>
      <c r="AH4279">
        <v>0.55584771883555395</v>
      </c>
      <c r="AI4279">
        <v>110.638750845846</v>
      </c>
      <c r="AJ4279">
        <v>71.733118961333801</v>
      </c>
      <c r="AK4279">
        <v>0.62548809734950295</v>
      </c>
      <c r="AL4279">
        <v>89.270135720732</v>
      </c>
      <c r="AM4279">
        <v>80.665305622178295</v>
      </c>
      <c r="AN4279">
        <v>0.99999998002273705</v>
      </c>
    </row>
    <row r="4280" spans="1:40" x14ac:dyDescent="0.25">
      <c r="A4280" t="str">
        <f>"20190312154920993"</f>
        <v>20190312154920993</v>
      </c>
      <c r="B4280" t="str">
        <f>"1552376960990474"</f>
        <v>1552376960990474</v>
      </c>
      <c r="C4280" t="s">
        <v>40</v>
      </c>
      <c r="D4280">
        <v>4.737374</v>
      </c>
      <c r="E4280">
        <v>0.5276518</v>
      </c>
      <c r="F4280" t="s">
        <v>42</v>
      </c>
      <c r="G4280">
        <v>-261.54149999999998</v>
      </c>
      <c r="H4280" s="1">
        <v>-4.525719E-6</v>
      </c>
      <c r="I4280">
        <v>143.9812</v>
      </c>
      <c r="J4280">
        <v>-209.62270000000001</v>
      </c>
      <c r="K4280">
        <v>1.105135</v>
      </c>
      <c r="L4280">
        <v>142.56970000000001</v>
      </c>
      <c r="M4280">
        <v>-0.9781957</v>
      </c>
      <c r="N4280">
        <v>0</v>
      </c>
      <c r="O4280">
        <v>-0.20718449999999999</v>
      </c>
      <c r="P4280">
        <v>-0.99881169999999997</v>
      </c>
      <c r="Q4280">
        <v>-1.8423129999999999E-3</v>
      </c>
      <c r="R4280">
        <v>-4.8701700000000001E-2</v>
      </c>
      <c r="S4280">
        <v>-3.0093380000000001</v>
      </c>
      <c r="T4280">
        <v>-6.3805459999999994E-2</v>
      </c>
      <c r="U4280">
        <v>7.9742430000000003E-2</v>
      </c>
      <c r="V4280">
        <v>0.1594526</v>
      </c>
      <c r="W4280">
        <v>1.048052E-2</v>
      </c>
      <c r="X4280">
        <v>0.98714999999999997</v>
      </c>
      <c r="Y4280">
        <v>0.23294899999999999</v>
      </c>
      <c r="Z4280">
        <v>6.8397809999999996E-3</v>
      </c>
      <c r="AA4280">
        <v>0.97246489999999997</v>
      </c>
      <c r="AB4280">
        <v>19</v>
      </c>
      <c r="AC4280">
        <v>-51.918799999999898</v>
      </c>
      <c r="AD4280">
        <v>-1.105139525719</v>
      </c>
      <c r="AE4280">
        <v>1.41149999999998</v>
      </c>
      <c r="AF4280">
        <v>12.1332614560317</v>
      </c>
      <c r="AG4280">
        <v>-1.105139525719</v>
      </c>
      <c r="AH4280">
        <v>50.476698419008301</v>
      </c>
      <c r="AI4280">
        <v>91.219510814183096</v>
      </c>
      <c r="AJ4280">
        <v>76.484033120405698</v>
      </c>
      <c r="AK4280">
        <v>51.926240478348198</v>
      </c>
      <c r="AL4280">
        <v>89.399499471920606</v>
      </c>
      <c r="AM4280">
        <v>80.824367537523599</v>
      </c>
      <c r="AN4280">
        <v>1.0000000477231099</v>
      </c>
    </row>
    <row r="4281" spans="1:40" x14ac:dyDescent="0.25">
      <c r="A4281" t="str">
        <f>"20190312154921011"</f>
        <v>20190312154921011</v>
      </c>
      <c r="B4281" t="str">
        <f>"1552376961000233"</f>
        <v>1552376961000233</v>
      </c>
      <c r="C4281" t="s">
        <v>40</v>
      </c>
      <c r="D4281">
        <v>4.8199259999999997</v>
      </c>
      <c r="E4281">
        <v>0.52593009999999996</v>
      </c>
      <c r="F4281" t="s">
        <v>63</v>
      </c>
      <c r="G4281">
        <v>-427.24189999999999</v>
      </c>
      <c r="H4281" s="1">
        <v>-1.401081E-5</v>
      </c>
      <c r="I4281">
        <v>147.93180000000001</v>
      </c>
      <c r="J4281">
        <v>-209.77950000000001</v>
      </c>
      <c r="K4281">
        <v>1.1052729999999999</v>
      </c>
      <c r="L4281">
        <v>142.54640000000001</v>
      </c>
      <c r="M4281">
        <v>-0.97986870000000004</v>
      </c>
      <c r="N4281">
        <v>0</v>
      </c>
      <c r="O4281">
        <v>-0.19912369999999999</v>
      </c>
      <c r="P4281">
        <v>-0.99904420000000005</v>
      </c>
      <c r="Q4281">
        <v>-3.7635680000000001E-3</v>
      </c>
      <c r="R4281">
        <v>-4.3552540000000001E-2</v>
      </c>
      <c r="S4281">
        <v>-3.0071560000000002</v>
      </c>
      <c r="T4281">
        <v>-1.5271430000000001E-2</v>
      </c>
      <c r="U4281">
        <v>7.4096679999999998E-2</v>
      </c>
      <c r="V4281">
        <v>0.1563851</v>
      </c>
      <c r="W4281">
        <v>8.6257030000000002E-3</v>
      </c>
      <c r="X4281">
        <v>0.98765849999999999</v>
      </c>
      <c r="Y4281">
        <v>0.22321779999999999</v>
      </c>
      <c r="Z4281">
        <v>1.573374E-3</v>
      </c>
      <c r="AA4281">
        <v>0.9747673</v>
      </c>
      <c r="AB4281">
        <v>19</v>
      </c>
      <c r="AC4281">
        <v>-217.4624</v>
      </c>
      <c r="AD4281">
        <v>-1.1052870108099999</v>
      </c>
      <c r="AE4281">
        <v>5.3853999999999997</v>
      </c>
      <c r="AF4281">
        <v>48.582679019069303</v>
      </c>
      <c r="AG4281">
        <v>-1.1052870108099999</v>
      </c>
      <c r="AH4281">
        <v>212.02871980492401</v>
      </c>
      <c r="AI4281">
        <v>90.291130604840404</v>
      </c>
      <c r="AJ4281">
        <v>77.094449118775501</v>
      </c>
      <c r="AK4281">
        <v>217.52626595922001</v>
      </c>
      <c r="AL4281">
        <v>89.505777497727905</v>
      </c>
      <c r="AM4281">
        <v>81.002526217734399</v>
      </c>
      <c r="AN4281">
        <v>1.00000000743825</v>
      </c>
    </row>
    <row r="4282" spans="1:40" x14ac:dyDescent="0.25">
      <c r="A4282" t="str">
        <f>"20190312154921035"</f>
        <v>20190312154921035</v>
      </c>
      <c r="B4282" t="str">
        <f>"1552376961030489"</f>
        <v>1552376961030489</v>
      </c>
      <c r="C4282" t="s">
        <v>40</v>
      </c>
      <c r="D4282">
        <v>4.780735</v>
      </c>
      <c r="E4282">
        <v>0.52563760000000004</v>
      </c>
      <c r="F4282" t="s">
        <v>64</v>
      </c>
      <c r="G4282">
        <v>-511.0591</v>
      </c>
      <c r="H4282">
        <v>1.2226699999999999</v>
      </c>
      <c r="I4282">
        <v>150.17580000000001</v>
      </c>
      <c r="J4282">
        <v>-209.97399999999999</v>
      </c>
      <c r="K4282">
        <v>1.1054660000000001</v>
      </c>
      <c r="L4282">
        <v>142.51910000000001</v>
      </c>
      <c r="M4282">
        <v>-0.98178699999999997</v>
      </c>
      <c r="N4282">
        <v>0</v>
      </c>
      <c r="O4282">
        <v>-0.1894429</v>
      </c>
      <c r="P4282">
        <v>-0.99930359999999996</v>
      </c>
      <c r="Q4282">
        <v>-5.2742010000000001E-3</v>
      </c>
      <c r="R4282">
        <v>-3.6940750000000001E-2</v>
      </c>
      <c r="S4282">
        <v>-3.006195</v>
      </c>
      <c r="T4282">
        <v>1.1718270000000001E-3</v>
      </c>
      <c r="U4282">
        <v>7.6126100000000002E-2</v>
      </c>
      <c r="V4282">
        <v>0.1531487</v>
      </c>
      <c r="W4282">
        <v>7.1890359999999898E-3</v>
      </c>
      <c r="X4282">
        <v>0.98817699999999997</v>
      </c>
      <c r="Y4282">
        <v>0.21425810000000001</v>
      </c>
      <c r="Z4282">
        <v>-1.1530090000000001E-4</v>
      </c>
      <c r="AA4282">
        <v>0.97677709999999995</v>
      </c>
      <c r="AB4282">
        <v>19</v>
      </c>
      <c r="AC4282">
        <v>-301.08510000000001</v>
      </c>
      <c r="AD4282">
        <v>0.117204</v>
      </c>
      <c r="AE4282">
        <v>7.6566999999999998</v>
      </c>
      <c r="AF4282">
        <v>64.562312982456007</v>
      </c>
      <c r="AG4282">
        <v>0.117204</v>
      </c>
      <c r="AH4282">
        <v>294.18113937794499</v>
      </c>
      <c r="AI4282">
        <v>89.977703563302995</v>
      </c>
      <c r="AJ4282">
        <v>77.621850885426895</v>
      </c>
      <c r="AK4282">
        <v>301.18241774733201</v>
      </c>
      <c r="AL4282">
        <v>89.588095028267503</v>
      </c>
      <c r="AM4282">
        <v>81.190327810996607</v>
      </c>
      <c r="AN4282">
        <v>0.99999999493964897</v>
      </c>
    </row>
    <row r="4283" spans="1:40" x14ac:dyDescent="0.25">
      <c r="A4283" t="str">
        <f>"20190312154921057"</f>
        <v>20190312154921057</v>
      </c>
      <c r="B4283" t="str">
        <f>"1552376961050009"</f>
        <v>1552376961050009</v>
      </c>
      <c r="C4283" t="s">
        <v>40</v>
      </c>
      <c r="D4283">
        <v>4.7910469999999998</v>
      </c>
      <c r="E4283">
        <v>0.52404259999999903</v>
      </c>
      <c r="F4283" t="s">
        <v>63</v>
      </c>
      <c r="G4283">
        <v>-288.73169999999999</v>
      </c>
      <c r="H4283" s="1">
        <v>-9.7494759999999998E-6</v>
      </c>
      <c r="I4283">
        <v>144.9556</v>
      </c>
      <c r="J4283">
        <v>-210.16370000000001</v>
      </c>
      <c r="K4283">
        <v>1.105672</v>
      </c>
      <c r="L4283">
        <v>142.494</v>
      </c>
      <c r="M4283">
        <v>-0.98349690000000001</v>
      </c>
      <c r="N4283">
        <v>0</v>
      </c>
      <c r="O4283">
        <v>-0.1803602</v>
      </c>
      <c r="P4283">
        <v>-0.99949460000000001</v>
      </c>
      <c r="Q4283">
        <v>-6.1994160000000001E-3</v>
      </c>
      <c r="R4283">
        <v>-3.117909E-2</v>
      </c>
      <c r="S4283">
        <v>-3.0053100000000001</v>
      </c>
      <c r="T4283">
        <v>-4.2183760000000001E-2</v>
      </c>
      <c r="U4283">
        <v>9.2971799999999993E-2</v>
      </c>
      <c r="V4283">
        <v>0.14969560000000001</v>
      </c>
      <c r="W4283">
        <v>6.3383789999999999E-3</v>
      </c>
      <c r="X4283">
        <v>0.98871180000000003</v>
      </c>
      <c r="Y4283">
        <v>0.21066779999999999</v>
      </c>
      <c r="Z4283">
        <v>4.0005229999999998E-3</v>
      </c>
      <c r="AA4283">
        <v>0.97754949999999996</v>
      </c>
      <c r="AB4283">
        <v>19</v>
      </c>
      <c r="AC4283">
        <v>-78.567999999999898</v>
      </c>
      <c r="AD4283">
        <v>-1.1056817494760001</v>
      </c>
      <c r="AE4283">
        <v>2.4615999999999998</v>
      </c>
      <c r="AF4283">
        <v>16.589926769672701</v>
      </c>
      <c r="AG4283">
        <v>-1.1056817494760001</v>
      </c>
      <c r="AH4283">
        <v>76.820050048984299</v>
      </c>
      <c r="AI4283">
        <v>90.806030156900903</v>
      </c>
      <c r="AJ4283">
        <v>77.813650008129201</v>
      </c>
      <c r="AK4283">
        <v>78.598780473253399</v>
      </c>
      <c r="AL4283">
        <v>89.636835197388393</v>
      </c>
      <c r="AM4283">
        <v>81.390539065638805</v>
      </c>
      <c r="AN4283">
        <v>0.99999998558347303</v>
      </c>
    </row>
    <row r="4284" spans="1:40" x14ac:dyDescent="0.25">
      <c r="A4284" t="str">
        <f>"20190312154921080"</f>
        <v>20190312154921080</v>
      </c>
      <c r="B4284" t="str">
        <f>"1552376961070506"</f>
        <v>1552376961070506</v>
      </c>
      <c r="C4284" t="s">
        <v>40</v>
      </c>
      <c r="D4284">
        <v>4.7893530000000002</v>
      </c>
      <c r="E4284">
        <v>0.522401</v>
      </c>
      <c r="F4284" t="s">
        <v>42</v>
      </c>
      <c r="G4284">
        <v>-263.34800000000001</v>
      </c>
      <c r="H4284" s="1">
        <v>-3.9524800000000001E-6</v>
      </c>
      <c r="I4284">
        <v>144.21530000000001</v>
      </c>
      <c r="J4284">
        <v>-210.3486</v>
      </c>
      <c r="K4284">
        <v>1.1058950000000001</v>
      </c>
      <c r="L4284">
        <v>142.4708</v>
      </c>
      <c r="M4284">
        <v>-0.98501930000000004</v>
      </c>
      <c r="N4284">
        <v>0</v>
      </c>
      <c r="O4284">
        <v>-0.17185639999999999</v>
      </c>
      <c r="P4284">
        <v>-0.99963469999999999</v>
      </c>
      <c r="Q4284">
        <v>-6.6408709999999996E-3</v>
      </c>
      <c r="R4284">
        <v>-2.619923E-2</v>
      </c>
      <c r="S4284">
        <v>-3.0041500000000001</v>
      </c>
      <c r="T4284">
        <v>-6.2454820000000001E-2</v>
      </c>
      <c r="U4284">
        <v>9.7228999999999996E-2</v>
      </c>
      <c r="V4284">
        <v>0.146069</v>
      </c>
      <c r="W4284">
        <v>5.9707440000000001E-3</v>
      </c>
      <c r="X4284">
        <v>0.98925640000000004</v>
      </c>
      <c r="Y4284">
        <v>0.20356949999999999</v>
      </c>
      <c r="Z4284">
        <v>5.6762210000000004E-3</v>
      </c>
      <c r="AA4284">
        <v>0.97904400000000003</v>
      </c>
      <c r="AB4284">
        <v>19</v>
      </c>
      <c r="AC4284">
        <v>-52.999400000000001</v>
      </c>
      <c r="AD4284">
        <v>-1.10589895248</v>
      </c>
      <c r="AE4284">
        <v>1.7445000000000099</v>
      </c>
      <c r="AF4284">
        <v>10.823040584509499</v>
      </c>
      <c r="AG4284">
        <v>-1.10589895248</v>
      </c>
      <c r="AH4284">
        <v>51.888313163727403</v>
      </c>
      <c r="AI4284">
        <v>91.195247464284407</v>
      </c>
      <c r="AJ4284">
        <v>78.217980192918901</v>
      </c>
      <c r="AK4284">
        <v>53.016584791592201</v>
      </c>
      <c r="AL4284">
        <v>89.6578995402933</v>
      </c>
      <c r="AM4284">
        <v>81.600661808589905</v>
      </c>
      <c r="AN4284">
        <v>1.0000000137429299</v>
      </c>
    </row>
    <row r="4285" spans="1:40" x14ac:dyDescent="0.25">
      <c r="A4285" t="str">
        <f>"20190312154921103"</f>
        <v>20190312154921103</v>
      </c>
      <c r="B4285" t="str">
        <f>"1552376961090025"</f>
        <v>1552376961090025</v>
      </c>
      <c r="C4285" t="s">
        <v>40</v>
      </c>
      <c r="D4285">
        <v>4.8545870000000004</v>
      </c>
      <c r="E4285">
        <v>0.52100340000000001</v>
      </c>
      <c r="F4285" t="s">
        <v>42</v>
      </c>
      <c r="G4285">
        <v>-250.8783</v>
      </c>
      <c r="H4285" s="1">
        <v>-4.719626E-6</v>
      </c>
      <c r="I4285">
        <v>143.8021</v>
      </c>
      <c r="J4285">
        <v>-210.54159999999999</v>
      </c>
      <c r="K4285">
        <v>1.1061510000000001</v>
      </c>
      <c r="L4285">
        <v>142.4478</v>
      </c>
      <c r="M4285">
        <v>-0.98646639999999997</v>
      </c>
      <c r="N4285">
        <v>0</v>
      </c>
      <c r="O4285">
        <v>-0.163351</v>
      </c>
      <c r="P4285">
        <v>-0.99975559999999997</v>
      </c>
      <c r="Q4285">
        <v>-5.922681E-3</v>
      </c>
      <c r="R4285">
        <v>-2.1310579999999999E-2</v>
      </c>
      <c r="S4285">
        <v>-3.0031279999999998</v>
      </c>
      <c r="T4285">
        <v>-8.1943749999999996E-2</v>
      </c>
      <c r="U4285">
        <v>9.8648070000000004E-2</v>
      </c>
      <c r="V4285">
        <v>0.14237330000000001</v>
      </c>
      <c r="W4285">
        <v>6.7646619999999899E-3</v>
      </c>
      <c r="X4285">
        <v>0.9897899</v>
      </c>
      <c r="Y4285">
        <v>0.19553570000000001</v>
      </c>
      <c r="Z4285">
        <v>7.1100479999999999E-3</v>
      </c>
      <c r="AA4285">
        <v>0.98067079999999995</v>
      </c>
      <c r="AB4285">
        <v>18</v>
      </c>
      <c r="AC4285">
        <v>-40.3367</v>
      </c>
      <c r="AD4285">
        <v>-1.1061557196259999</v>
      </c>
      <c r="AE4285">
        <v>1.3542999999999901</v>
      </c>
      <c r="AF4285">
        <v>7.9198570816039702</v>
      </c>
      <c r="AG4285">
        <v>-1.1061557196259999</v>
      </c>
      <c r="AH4285">
        <v>39.543835838898403</v>
      </c>
      <c r="AI4285">
        <v>91.5711264064022</v>
      </c>
      <c r="AJ4285">
        <v>78.674617997198595</v>
      </c>
      <c r="AK4285">
        <v>40.3443015743592</v>
      </c>
      <c r="AL4285">
        <v>89.612410454367506</v>
      </c>
      <c r="AM4285">
        <v>81.814609026618697</v>
      </c>
      <c r="AN4285">
        <v>0.99999998167343696</v>
      </c>
    </row>
    <row r="4286" spans="1:40" x14ac:dyDescent="0.25">
      <c r="A4286" t="str">
        <f>"20190312154921124"</f>
        <v>20190312154921124</v>
      </c>
      <c r="B4286" t="str">
        <f>"1552376961120282"</f>
        <v>1552376961120282</v>
      </c>
      <c r="C4286" t="s">
        <v>40</v>
      </c>
      <c r="D4286">
        <v>4.8021250000000002</v>
      </c>
      <c r="E4286">
        <v>0.51914150000000003</v>
      </c>
      <c r="F4286" t="s">
        <v>42</v>
      </c>
      <c r="G4286">
        <v>-246.5531</v>
      </c>
      <c r="H4286" s="1">
        <v>-2.5389770000000002E-6</v>
      </c>
      <c r="I4286">
        <v>143.66749999999999</v>
      </c>
      <c r="J4286">
        <v>-210.7149</v>
      </c>
      <c r="K4286">
        <v>1.10639</v>
      </c>
      <c r="L4286">
        <v>142.4281</v>
      </c>
      <c r="M4286">
        <v>-0.98764549999999995</v>
      </c>
      <c r="N4286">
        <v>0</v>
      </c>
      <c r="O4286">
        <v>-0.15606719999999999</v>
      </c>
      <c r="P4286">
        <v>-0.99983180000000005</v>
      </c>
      <c r="Q4286">
        <v>-3.8154E-3</v>
      </c>
      <c r="R4286">
        <v>-1.7938429999999998E-2</v>
      </c>
      <c r="S4286">
        <v>-3.0023499999999999</v>
      </c>
      <c r="T4286">
        <v>-9.2222330000000005E-2</v>
      </c>
      <c r="U4286">
        <v>0.10169980000000001</v>
      </c>
      <c r="V4286">
        <v>0.13842289999999999</v>
      </c>
      <c r="W4286">
        <v>8.9423119999999991E-3</v>
      </c>
      <c r="X4286">
        <v>0.99033280000000001</v>
      </c>
      <c r="Y4286">
        <v>0.18926989999999999</v>
      </c>
      <c r="Z4286">
        <v>7.6855969999999997E-3</v>
      </c>
      <c r="AA4286">
        <v>0.98189499999999996</v>
      </c>
      <c r="AB4286">
        <v>18</v>
      </c>
      <c r="AC4286">
        <v>-35.838200000000001</v>
      </c>
      <c r="AD4286">
        <v>-1.106392538977</v>
      </c>
      <c r="AE4286">
        <v>1.2393999999999801</v>
      </c>
      <c r="AF4286">
        <v>6.8114510719399703</v>
      </c>
      <c r="AG4286">
        <v>-1.106392538977</v>
      </c>
      <c r="AH4286">
        <v>35.172035885961897</v>
      </c>
      <c r="AI4286">
        <v>91.768892092826604</v>
      </c>
      <c r="AJ4286">
        <v>79.039719117550206</v>
      </c>
      <c r="AK4286">
        <v>35.842601447427398</v>
      </c>
      <c r="AL4286">
        <v>89.487636413869794</v>
      </c>
      <c r="AM4286">
        <v>82.043082935286407</v>
      </c>
      <c r="AN4286">
        <v>0.99999995947207598</v>
      </c>
    </row>
    <row r="4287" spans="1:40" x14ac:dyDescent="0.25">
      <c r="A4287" t="str">
        <f>"20190312154921147"</f>
        <v>20190312154921147</v>
      </c>
      <c r="B4287" t="str">
        <f>"1552376961139801"</f>
        <v>1552376961139801</v>
      </c>
      <c r="C4287" t="s">
        <v>40</v>
      </c>
      <c r="D4287">
        <v>4.8526610000000003</v>
      </c>
      <c r="E4287">
        <v>0.51819440000000005</v>
      </c>
      <c r="F4287" t="s">
        <v>42</v>
      </c>
      <c r="G4287">
        <v>-244.45490000000001</v>
      </c>
      <c r="H4287" s="1">
        <v>-3.3976860000000001E-6</v>
      </c>
      <c r="I4287">
        <v>143.512</v>
      </c>
      <c r="J4287">
        <v>-210.9076</v>
      </c>
      <c r="K4287">
        <v>1.106636</v>
      </c>
      <c r="L4287">
        <v>142.4074</v>
      </c>
      <c r="M4287">
        <v>-0.98883430000000005</v>
      </c>
      <c r="N4287">
        <v>0</v>
      </c>
      <c r="O4287">
        <v>-0.14835429999999999</v>
      </c>
      <c r="P4287">
        <v>-0.99989660000000002</v>
      </c>
      <c r="Q4287">
        <v>-1.9020700000000001E-3</v>
      </c>
      <c r="R4287">
        <v>-1.4259799999999901E-2</v>
      </c>
      <c r="S4287">
        <v>-3.001862</v>
      </c>
      <c r="T4287">
        <v>-9.8436239999999994E-2</v>
      </c>
      <c r="U4287">
        <v>9.6435549999999995E-2</v>
      </c>
      <c r="V4287">
        <v>0.13434699999999999</v>
      </c>
      <c r="W4287">
        <v>1.0920610000000001E-2</v>
      </c>
      <c r="X4287">
        <v>0.99087420000000004</v>
      </c>
      <c r="Y4287">
        <v>0.17986969999999999</v>
      </c>
      <c r="Z4287">
        <v>7.7996469999999998E-3</v>
      </c>
      <c r="AA4287">
        <v>0.98365950000000002</v>
      </c>
      <c r="AB4287">
        <v>18</v>
      </c>
      <c r="AC4287">
        <v>-33.5473</v>
      </c>
      <c r="AD4287">
        <v>-1.1066393976860001</v>
      </c>
      <c r="AE4287">
        <v>1.1046</v>
      </c>
      <c r="AF4287">
        <v>6.0631620770701202</v>
      </c>
      <c r="AG4287">
        <v>-1.1066393976860001</v>
      </c>
      <c r="AH4287">
        <v>32.976267683628997</v>
      </c>
      <c r="AI4287">
        <v>91.8903842233982</v>
      </c>
      <c r="AJ4287">
        <v>79.581705858258204</v>
      </c>
      <c r="AK4287">
        <v>33.547292222647201</v>
      </c>
      <c r="AL4287">
        <v>89.374282717358597</v>
      </c>
      <c r="AM4287">
        <v>82.278675207755896</v>
      </c>
      <c r="AN4287">
        <v>1.0000000281787</v>
      </c>
    </row>
    <row r="4288" spans="1:40" x14ac:dyDescent="0.25">
      <c r="A4288" t="str">
        <f>"20190312154921171"</f>
        <v>20190312154921171</v>
      </c>
      <c r="B4288" t="str">
        <f>"1552376961160297"</f>
        <v>1552376961160297</v>
      </c>
      <c r="C4288" t="s">
        <v>40</v>
      </c>
      <c r="D4288">
        <v>4.8480879999999997</v>
      </c>
      <c r="E4288">
        <v>0.51715449999999996</v>
      </c>
      <c r="F4288" t="s">
        <v>42</v>
      </c>
      <c r="G4288">
        <v>-244.4871</v>
      </c>
      <c r="H4288" s="1">
        <v>-3.3867990000000001E-6</v>
      </c>
      <c r="I4288">
        <v>143.52289999999999</v>
      </c>
      <c r="J4288">
        <v>-211.10249999999999</v>
      </c>
      <c r="K4288">
        <v>1.1068439999999999</v>
      </c>
      <c r="L4288">
        <v>142.38749999999999</v>
      </c>
      <c r="M4288">
        <v>-0.98991879999999999</v>
      </c>
      <c r="N4288">
        <v>0</v>
      </c>
      <c r="O4288">
        <v>-0.14094179999999901</v>
      </c>
      <c r="P4288">
        <v>-0.99993430000000005</v>
      </c>
      <c r="Q4288">
        <v>-6.1202139999999995E-4</v>
      </c>
      <c r="R4288">
        <v>-1.146027E-2</v>
      </c>
      <c r="S4288">
        <v>-3.0015260000000001</v>
      </c>
      <c r="T4288">
        <v>-9.8917720000000001E-2</v>
      </c>
      <c r="U4288">
        <v>9.9716189999999996E-2</v>
      </c>
      <c r="V4288">
        <v>0.12970009999999901</v>
      </c>
      <c r="W4288">
        <v>1.2268060000000001E-2</v>
      </c>
      <c r="X4288">
        <v>0.99147739999999995</v>
      </c>
      <c r="Y4288">
        <v>0.1735795</v>
      </c>
      <c r="Z4288">
        <v>7.4924989999999997E-3</v>
      </c>
      <c r="AA4288">
        <v>0.98479130000000004</v>
      </c>
      <c r="AB4288">
        <v>18</v>
      </c>
      <c r="AC4288">
        <v>-33.384599999999999</v>
      </c>
      <c r="AD4288">
        <v>-1.1068473867990001</v>
      </c>
      <c r="AE4288">
        <v>1.1354</v>
      </c>
      <c r="AF4288">
        <v>5.8234174918298001</v>
      </c>
      <c r="AG4288">
        <v>-1.1068473867990001</v>
      </c>
      <c r="AH4288">
        <v>32.855171072144302</v>
      </c>
      <c r="AI4288">
        <v>91.899899079373398</v>
      </c>
      <c r="AJ4288">
        <v>79.948990875702805</v>
      </c>
      <c r="AK4288">
        <v>33.385619188531997</v>
      </c>
      <c r="AL4288">
        <v>89.297074325758999</v>
      </c>
      <c r="AM4288">
        <v>82.5471735667643</v>
      </c>
      <c r="AN4288">
        <v>1.00000002797346</v>
      </c>
    </row>
    <row r="4289" spans="1:40" x14ac:dyDescent="0.25">
      <c r="A4289" t="str">
        <f>"20190312154921193"</f>
        <v>20190312154921193</v>
      </c>
      <c r="B4289" t="str">
        <f>"1552376961179817"</f>
        <v>1552376961179817</v>
      </c>
      <c r="C4289" t="s">
        <v>40</v>
      </c>
      <c r="D4289">
        <v>4.906415</v>
      </c>
      <c r="E4289">
        <v>0.51662140000000001</v>
      </c>
      <c r="F4289" t="s">
        <v>42</v>
      </c>
      <c r="G4289">
        <v>-244.08090000000001</v>
      </c>
      <c r="H4289" s="1">
        <v>-3.5504770000000001E-6</v>
      </c>
      <c r="I4289">
        <v>143.48310000000001</v>
      </c>
      <c r="J4289">
        <v>-211.2893</v>
      </c>
      <c r="K4289">
        <v>1.106994</v>
      </c>
      <c r="L4289">
        <v>142.36940000000001</v>
      </c>
      <c r="M4289">
        <v>-0.99086839999999998</v>
      </c>
      <c r="N4289">
        <v>0</v>
      </c>
      <c r="O4289">
        <v>-0.1341078</v>
      </c>
      <c r="P4289">
        <v>-0.99995509999999999</v>
      </c>
      <c r="Q4289">
        <v>2.175663E-4</v>
      </c>
      <c r="R4289">
        <v>-9.4888490000000006E-3</v>
      </c>
      <c r="S4289">
        <v>-3.0012819999999998</v>
      </c>
      <c r="T4289">
        <v>-0.1007315</v>
      </c>
      <c r="U4289">
        <v>9.9716189999999996E-2</v>
      </c>
      <c r="V4289">
        <v>0.1248131</v>
      </c>
      <c r="W4289">
        <v>1.314013E-2</v>
      </c>
      <c r="X4289">
        <v>0.99209329999999996</v>
      </c>
      <c r="Y4289">
        <v>0.16678399999999999</v>
      </c>
      <c r="Z4289">
        <v>7.2885780000000004E-3</v>
      </c>
      <c r="AA4289">
        <v>0.98596649999999997</v>
      </c>
      <c r="AB4289">
        <v>18</v>
      </c>
      <c r="AC4289">
        <v>-32.791600000000003</v>
      </c>
      <c r="AD4289">
        <v>-1.106997550477</v>
      </c>
      <c r="AE4289">
        <v>1.1136999999999899</v>
      </c>
      <c r="AF4289">
        <v>5.4954200777292304</v>
      </c>
      <c r="AG4289">
        <v>-1.106997550477</v>
      </c>
      <c r="AH4289">
        <v>32.309178383139802</v>
      </c>
      <c r="AI4289">
        <v>91.934574050534806</v>
      </c>
      <c r="AJ4289">
        <v>80.347025833219504</v>
      </c>
      <c r="AK4289">
        <v>32.7918906621899</v>
      </c>
      <c r="AL4289">
        <v>89.247104374931197</v>
      </c>
      <c r="AM4289">
        <v>82.829415319946506</v>
      </c>
      <c r="AN4289">
        <v>1.0000000444264501</v>
      </c>
    </row>
    <row r="4290" spans="1:40" x14ac:dyDescent="0.25">
      <c r="A4290" t="str">
        <f>"20190312154921213"</f>
        <v>20190312154921213</v>
      </c>
      <c r="B4290" t="str">
        <f>"1552376961200313"</f>
        <v>1552376961200313</v>
      </c>
      <c r="C4290" t="s">
        <v>40</v>
      </c>
      <c r="D4290">
        <v>4.9271149999999997</v>
      </c>
      <c r="E4290">
        <v>0.50229899999999905</v>
      </c>
      <c r="F4290" t="s">
        <v>42</v>
      </c>
      <c r="G4290">
        <v>-244.4907</v>
      </c>
      <c r="H4290" s="1">
        <v>-3.376793E-6</v>
      </c>
      <c r="I4290">
        <v>143.49109999999999</v>
      </c>
      <c r="J4290">
        <v>-211.4605</v>
      </c>
      <c r="K4290">
        <v>1.1071009999999999</v>
      </c>
      <c r="L4290">
        <v>142.3537</v>
      </c>
      <c r="M4290">
        <v>-0.99166929999999998</v>
      </c>
      <c r="N4290">
        <v>0</v>
      </c>
      <c r="O4290">
        <v>-0.12805659999999999</v>
      </c>
      <c r="P4290">
        <v>-0.99996609999999997</v>
      </c>
      <c r="Q4290">
        <v>5.695149E-4</v>
      </c>
      <c r="R4290">
        <v>-8.2312459999999994E-3</v>
      </c>
      <c r="S4290">
        <v>-3.0011139999999998</v>
      </c>
      <c r="T4290">
        <v>-0.10006279999999999</v>
      </c>
      <c r="U4290">
        <v>0.1013947</v>
      </c>
      <c r="V4290">
        <v>0.1200015</v>
      </c>
      <c r="W4290">
        <v>1.352633E-2</v>
      </c>
      <c r="X4290">
        <v>0.99268160000000005</v>
      </c>
      <c r="Y4290">
        <v>0.16132379999999999</v>
      </c>
      <c r="Z4290">
        <v>6.9490519999999998E-3</v>
      </c>
      <c r="AA4290">
        <v>0.98687709999999995</v>
      </c>
      <c r="AB4290">
        <v>18</v>
      </c>
      <c r="AC4290">
        <v>-33.030200000000001</v>
      </c>
      <c r="AD4290">
        <v>-1.107104376793</v>
      </c>
      <c r="AE4290">
        <v>1.13739999999998</v>
      </c>
      <c r="AF4290">
        <v>5.3521724275990596</v>
      </c>
      <c r="AG4290">
        <v>-1.107104376793</v>
      </c>
      <c r="AH4290">
        <v>32.575985032320801</v>
      </c>
      <c r="AI4290">
        <v>91.920732961582402</v>
      </c>
      <c r="AJ4290">
        <v>80.669769391709195</v>
      </c>
      <c r="AK4290">
        <v>33.0312916886678</v>
      </c>
      <c r="AL4290">
        <v>89.224974775392198</v>
      </c>
      <c r="AM4290">
        <v>83.1071774813432</v>
      </c>
      <c r="AN4290">
        <v>1.0000000402920299</v>
      </c>
    </row>
    <row r="4291" spans="1:40" x14ac:dyDescent="0.25">
      <c r="A4291" t="str">
        <f>"20190312154921236"</f>
        <v>20190312154921236</v>
      </c>
      <c r="B4291" t="str">
        <f>"1552376961229593"</f>
        <v>1552376961229593</v>
      </c>
      <c r="C4291" t="s">
        <v>40</v>
      </c>
      <c r="D4291">
        <v>4.9569999999999999</v>
      </c>
      <c r="E4291">
        <v>0.50121709999999997</v>
      </c>
      <c r="F4291" t="s">
        <v>42</v>
      </c>
      <c r="G4291">
        <v>-232.8391</v>
      </c>
      <c r="H4291" s="1">
        <v>-3.7626810000000001E-6</v>
      </c>
      <c r="I4291">
        <v>142.27850000000001</v>
      </c>
      <c r="J4291">
        <v>-211.64869999999999</v>
      </c>
      <c r="K4291">
        <v>1.1072059999999999</v>
      </c>
      <c r="L4291">
        <v>142.3374</v>
      </c>
      <c r="M4291">
        <v>-0.9924769</v>
      </c>
      <c r="N4291">
        <v>0</v>
      </c>
      <c r="O4291">
        <v>-0.1216426</v>
      </c>
      <c r="P4291">
        <v>-0.99997559999999996</v>
      </c>
      <c r="Q4291">
        <v>1.0760850000000001E-3</v>
      </c>
      <c r="R4291">
        <v>-6.9101509999999998E-3</v>
      </c>
      <c r="S4291">
        <v>-3.0001069999999999</v>
      </c>
      <c r="T4291">
        <v>-0.15536269999999999</v>
      </c>
      <c r="U4291">
        <v>-1.0543820000000001E-2</v>
      </c>
      <c r="V4291">
        <v>0.114893</v>
      </c>
      <c r="W4291">
        <v>1.4065100000000001E-2</v>
      </c>
      <c r="X4291">
        <v>0.99327829999999995</v>
      </c>
      <c r="Y4291">
        <v>0.1178449</v>
      </c>
      <c r="Z4291">
        <v>9.3329329999999999E-3</v>
      </c>
      <c r="AA4291">
        <v>0.99298819999999999</v>
      </c>
      <c r="AB4291">
        <v>18</v>
      </c>
      <c r="AC4291">
        <v>-21.1904</v>
      </c>
      <c r="AD4291">
        <v>-1.107209762681</v>
      </c>
      <c r="AE4291">
        <v>-5.8899999999994103E-2</v>
      </c>
      <c r="AF4291">
        <v>2.5125816047226701</v>
      </c>
      <c r="AG4291">
        <v>-1.107209762681</v>
      </c>
      <c r="AH4291">
        <v>20.982889036005499</v>
      </c>
      <c r="AI4291">
        <v>92.999154550050903</v>
      </c>
      <c r="AJ4291">
        <v>83.1716689220425</v>
      </c>
      <c r="AK4291">
        <v>21.1617724228451</v>
      </c>
      <c r="AL4291">
        <v>89.194102562621197</v>
      </c>
      <c r="AM4291">
        <v>83.401890964397595</v>
      </c>
      <c r="AN4291">
        <v>1.0000000048689499</v>
      </c>
    </row>
    <row r="4292" spans="1:40" x14ac:dyDescent="0.25">
      <c r="A4292" t="str">
        <f>"20190312154921258"</f>
        <v>20190312154921258</v>
      </c>
      <c r="B4292" t="str">
        <f>"1552376961250090"</f>
        <v>1552376961250090</v>
      </c>
      <c r="C4292" t="s">
        <v>40</v>
      </c>
      <c r="D4292">
        <v>5.0023770000000001</v>
      </c>
      <c r="E4292">
        <v>0.50076949999999998</v>
      </c>
      <c r="F4292" t="s">
        <v>42</v>
      </c>
      <c r="G4292">
        <v>-232.7527</v>
      </c>
      <c r="H4292" s="1">
        <v>-3.7871550000000002E-6</v>
      </c>
      <c r="I4292">
        <v>142.2313</v>
      </c>
      <c r="J4292">
        <v>-211.8339</v>
      </c>
      <c r="K4292">
        <v>1.1073200000000001</v>
      </c>
      <c r="L4292">
        <v>142.32230000000001</v>
      </c>
      <c r="M4292">
        <v>-0.99320359999999996</v>
      </c>
      <c r="N4292">
        <v>0</v>
      </c>
      <c r="O4292">
        <v>-0.11556429999999999</v>
      </c>
      <c r="P4292">
        <v>-0.99998169999999997</v>
      </c>
      <c r="Q4292">
        <v>1.3379279999999999E-3</v>
      </c>
      <c r="R4292">
        <v>-5.9294129999999997E-3</v>
      </c>
      <c r="S4292">
        <v>-3.0001370000000001</v>
      </c>
      <c r="T4292">
        <v>-0.15739979999999901</v>
      </c>
      <c r="U4292">
        <v>-1.5075679999999999E-2</v>
      </c>
      <c r="V4292">
        <v>0.10978209999999999</v>
      </c>
      <c r="W4292">
        <v>1.436167E-2</v>
      </c>
      <c r="X4292">
        <v>0.99385190000000001</v>
      </c>
      <c r="Y4292">
        <v>0.1102726</v>
      </c>
      <c r="Z4292">
        <v>8.9394079999999994E-3</v>
      </c>
      <c r="AA4292">
        <v>0.9938612</v>
      </c>
      <c r="AB4292">
        <v>18</v>
      </c>
      <c r="AC4292">
        <v>-20.918800000000001</v>
      </c>
      <c r="AD4292">
        <v>-1.1073237871549999</v>
      </c>
      <c r="AE4292">
        <v>-9.1000000000008199E-2</v>
      </c>
      <c r="AF4292">
        <v>2.3208049173886698</v>
      </c>
      <c r="AG4292">
        <v>-1.1073237871549999</v>
      </c>
      <c r="AH4292">
        <v>20.731046181983199</v>
      </c>
      <c r="AI4292">
        <v>93.038534452178197</v>
      </c>
      <c r="AJ4292">
        <v>83.612431451819603</v>
      </c>
      <c r="AK4292">
        <v>20.889915682780899</v>
      </c>
      <c r="AL4292">
        <v>89.177108618742295</v>
      </c>
      <c r="AM4292">
        <v>83.696592415466796</v>
      </c>
      <c r="AN4292">
        <v>0.99999998308960403</v>
      </c>
    </row>
    <row r="4293" spans="1:40" x14ac:dyDescent="0.25">
      <c r="A4293" t="str">
        <f>"20190312154921281"</f>
        <v>20190312154921281</v>
      </c>
      <c r="B4293" t="str">
        <f>"1552376961269610"</f>
        <v>1552376961269610</v>
      </c>
      <c r="C4293" t="s">
        <v>40</v>
      </c>
      <c r="D4293">
        <v>5.0305410000000004</v>
      </c>
      <c r="E4293">
        <v>0.50007919999999995</v>
      </c>
      <c r="F4293" t="s">
        <v>42</v>
      </c>
      <c r="G4293">
        <v>-232.74029999999999</v>
      </c>
      <c r="H4293" s="1">
        <v>-3.788338E-6</v>
      </c>
      <c r="I4293">
        <v>142.2157</v>
      </c>
      <c r="J4293">
        <v>-212.024</v>
      </c>
      <c r="K4293">
        <v>1.1074520000000001</v>
      </c>
      <c r="L4293">
        <v>142.30760000000001</v>
      </c>
      <c r="M4293">
        <v>-0.99388359999999998</v>
      </c>
      <c r="N4293">
        <v>0</v>
      </c>
      <c r="O4293">
        <v>-0.1095667</v>
      </c>
      <c r="P4293">
        <v>-0.99998770000000003</v>
      </c>
      <c r="Q4293">
        <v>1.1205169999999999E-3</v>
      </c>
      <c r="R4293">
        <v>-4.8580309999999996E-3</v>
      </c>
      <c r="S4293">
        <v>-3.0002140000000002</v>
      </c>
      <c r="T4293">
        <v>-0.15890839999999901</v>
      </c>
      <c r="U4293">
        <v>-1.528931E-2</v>
      </c>
      <c r="V4293">
        <v>0.1048391</v>
      </c>
      <c r="W4293">
        <v>1.418049E-2</v>
      </c>
      <c r="X4293">
        <v>0.9943881</v>
      </c>
      <c r="Y4293">
        <v>0.10421130000000001</v>
      </c>
      <c r="Z4293">
        <v>8.5484189999999998E-3</v>
      </c>
      <c r="AA4293">
        <v>0.99451849999999997</v>
      </c>
      <c r="AB4293">
        <v>18</v>
      </c>
      <c r="AC4293">
        <v>-20.716299999999901</v>
      </c>
      <c r="AD4293">
        <v>-1.1074557883380001</v>
      </c>
      <c r="AE4293">
        <v>-9.1900000000009599E-2</v>
      </c>
      <c r="AF4293">
        <v>2.17247794810898</v>
      </c>
      <c r="AG4293">
        <v>-1.1074557883380001</v>
      </c>
      <c r="AH4293">
        <v>20.542916757987001</v>
      </c>
      <c r="AI4293">
        <v>93.068713469092401</v>
      </c>
      <c r="AJ4293">
        <v>83.963229224096295</v>
      </c>
      <c r="AK4293">
        <v>20.687134835054501</v>
      </c>
      <c r="AL4293">
        <v>89.187490546014899</v>
      </c>
      <c r="AM4293">
        <v>83.981496160053297</v>
      </c>
      <c r="AN4293">
        <v>1.0000000083035301</v>
      </c>
    </row>
    <row r="4294" spans="1:40" x14ac:dyDescent="0.25">
      <c r="A4294" t="str">
        <f>"20190312154921301"</f>
        <v>20190312154921301</v>
      </c>
      <c r="B4294" t="str">
        <f>"1552376961290105"</f>
        <v>1552376961290105</v>
      </c>
      <c r="C4294" t="s">
        <v>40</v>
      </c>
      <c r="D4294">
        <v>5.0381210000000003</v>
      </c>
      <c r="E4294">
        <v>0.49966559999999999</v>
      </c>
      <c r="F4294" t="s">
        <v>42</v>
      </c>
      <c r="G4294">
        <v>-231.9616</v>
      </c>
      <c r="H4294" s="1">
        <v>-4.0651770000000001E-6</v>
      </c>
      <c r="I4294">
        <v>142.191</v>
      </c>
      <c r="J4294">
        <v>-212.19</v>
      </c>
      <c r="K4294">
        <v>1.107591</v>
      </c>
      <c r="L4294">
        <v>142.2955</v>
      </c>
      <c r="M4294">
        <v>-0.99442339999999996</v>
      </c>
      <c r="N4294">
        <v>0</v>
      </c>
      <c r="O4294">
        <v>-0.1045592</v>
      </c>
      <c r="P4294">
        <v>-0.99999320000000003</v>
      </c>
      <c r="Q4294">
        <v>9.7948499999999999E-4</v>
      </c>
      <c r="R4294">
        <v>-3.5632519999999998E-3</v>
      </c>
      <c r="S4294">
        <v>-3.0001530000000001</v>
      </c>
      <c r="T4294">
        <v>-0.16664619999999999</v>
      </c>
      <c r="U4294">
        <v>-1.7547610000000002E-2</v>
      </c>
      <c r="V4294">
        <v>0.1011108</v>
      </c>
      <c r="W4294">
        <v>1.4070829999999999E-2</v>
      </c>
      <c r="X4294">
        <v>0.99477570000000004</v>
      </c>
      <c r="Y4294">
        <v>9.8438139999999993E-2</v>
      </c>
      <c r="Z4294">
        <v>8.5272290000000008E-3</v>
      </c>
      <c r="AA4294">
        <v>0.99510659999999895</v>
      </c>
      <c r="AB4294">
        <v>18</v>
      </c>
      <c r="AC4294">
        <v>-19.771599999999999</v>
      </c>
      <c r="AD4294">
        <v>-1.1075950651769999</v>
      </c>
      <c r="AE4294">
        <v>-0.10450000000000099</v>
      </c>
      <c r="AF4294">
        <v>1.9574288661073</v>
      </c>
      <c r="AG4294">
        <v>-1.1075950651769999</v>
      </c>
      <c r="AH4294">
        <v>19.6125859179832</v>
      </c>
      <c r="AI4294">
        <v>93.216325319693595</v>
      </c>
      <c r="AJ4294">
        <v>84.300484380357503</v>
      </c>
      <c r="AK4294">
        <v>19.741120053951999</v>
      </c>
      <c r="AL4294">
        <v>89.193774251803006</v>
      </c>
      <c r="AM4294">
        <v>84.196284825828997</v>
      </c>
      <c r="AN4294">
        <v>1.000000037722</v>
      </c>
    </row>
    <row r="4295" spans="1:40" x14ac:dyDescent="0.25">
      <c r="A4295" t="str">
        <f>"20190312154921327"</f>
        <v>20190312154921327</v>
      </c>
      <c r="B4295" t="str">
        <f>"1552376961320362"</f>
        <v>1552376961320362</v>
      </c>
      <c r="C4295" t="s">
        <v>40</v>
      </c>
      <c r="D4295">
        <v>5.0250110000000001</v>
      </c>
      <c r="E4295">
        <v>0.49930229999999998</v>
      </c>
      <c r="F4295" t="s">
        <v>42</v>
      </c>
      <c r="G4295">
        <v>-231.5273</v>
      </c>
      <c r="H4295" s="1">
        <v>-4.2119189999999997E-6</v>
      </c>
      <c r="I4295">
        <v>142.185</v>
      </c>
      <c r="J4295">
        <v>-212.38929999999999</v>
      </c>
      <c r="K4295">
        <v>1.1077729999999999</v>
      </c>
      <c r="L4295">
        <v>142.2816</v>
      </c>
      <c r="M4295">
        <v>-0.995008</v>
      </c>
      <c r="N4295">
        <v>0</v>
      </c>
      <c r="O4295">
        <v>-9.885091E-2</v>
      </c>
      <c r="P4295">
        <v>-0.99999899999999997</v>
      </c>
      <c r="Q4295" s="1">
        <v>-8.0631110000000002E-5</v>
      </c>
      <c r="R4295">
        <v>-1.4635780000000001E-3</v>
      </c>
      <c r="S4295">
        <v>-3.0001220000000002</v>
      </c>
      <c r="T4295">
        <v>-0.17183979999999999</v>
      </c>
      <c r="U4295">
        <v>-1.7135620000000001E-2</v>
      </c>
      <c r="V4295">
        <v>9.7476960000000001E-2</v>
      </c>
      <c r="W4295">
        <v>1.301568E-2</v>
      </c>
      <c r="X4295">
        <v>0.9951527</v>
      </c>
      <c r="Y4295">
        <v>9.2861230000000003E-2</v>
      </c>
      <c r="Z4295">
        <v>8.3076780000000006E-3</v>
      </c>
      <c r="AA4295">
        <v>0.99564439999999998</v>
      </c>
      <c r="AB4295">
        <v>18</v>
      </c>
      <c r="AC4295">
        <v>-19.138000000000002</v>
      </c>
      <c r="AD4295">
        <v>-1.1077772119189999</v>
      </c>
      <c r="AE4295">
        <v>-9.6599999999995106E-2</v>
      </c>
      <c r="AF4295">
        <v>1.78986257092252</v>
      </c>
      <c r="AG4295">
        <v>-1.1077772119189999</v>
      </c>
      <c r="AH4295">
        <v>18.990173948960098</v>
      </c>
      <c r="AI4295">
        <v>93.323824238526399</v>
      </c>
      <c r="AJ4295">
        <v>84.6156623199536</v>
      </c>
      <c r="AK4295">
        <v>19.1064775661502</v>
      </c>
      <c r="AL4295">
        <v>89.254235434201306</v>
      </c>
      <c r="AM4295">
        <v>84.405623753885905</v>
      </c>
      <c r="AN4295">
        <v>1.0000000309869901</v>
      </c>
    </row>
    <row r="4296" spans="1:40" x14ac:dyDescent="0.25">
      <c r="A4296" t="str">
        <f>"20190312154921348"</f>
        <v>20190312154921348</v>
      </c>
      <c r="B4296" t="str">
        <f>"1552376961339881"</f>
        <v>1552376961339881</v>
      </c>
      <c r="C4296" t="s">
        <v>40</v>
      </c>
      <c r="D4296">
        <v>5.0566719999999998</v>
      </c>
      <c r="E4296">
        <v>0.499054</v>
      </c>
      <c r="F4296" t="s">
        <v>41</v>
      </c>
      <c r="G4296">
        <v>-213.2929</v>
      </c>
      <c r="H4296">
        <v>1.0535460000000001</v>
      </c>
      <c r="I4296">
        <v>142.2774</v>
      </c>
      <c r="J4296">
        <v>-212.5703</v>
      </c>
      <c r="K4296">
        <v>1.107912</v>
      </c>
      <c r="L4296">
        <v>142.2696</v>
      </c>
      <c r="M4296">
        <v>-0.99547890000000006</v>
      </c>
      <c r="N4296">
        <v>0</v>
      </c>
      <c r="O4296">
        <v>-9.4011159999999996E-2</v>
      </c>
      <c r="P4296">
        <v>-0.99999649999999995</v>
      </c>
      <c r="Q4296">
        <v>-1.408002E-3</v>
      </c>
      <c r="R4296">
        <v>-2.262436E-3</v>
      </c>
      <c r="S4296">
        <v>-2.9999850000000001</v>
      </c>
      <c r="T4296">
        <v>-0.1800879</v>
      </c>
      <c r="U4296">
        <v>-1.383972E-2</v>
      </c>
      <c r="V4296">
        <v>9.1827179999999994E-2</v>
      </c>
      <c r="W4296">
        <v>1.161532E-2</v>
      </c>
      <c r="X4296">
        <v>0.99570720000000001</v>
      </c>
      <c r="Y4296">
        <v>8.9096800000000004E-2</v>
      </c>
      <c r="Z4296">
        <v>8.3041E-3</v>
      </c>
      <c r="AA4296">
        <v>0.9959884</v>
      </c>
      <c r="AB4296">
        <v>18</v>
      </c>
      <c r="AC4296">
        <v>-0.72259999999999902</v>
      </c>
      <c r="AD4296">
        <v>-5.4366000000000102E-2</v>
      </c>
      <c r="AE4296">
        <v>7.80000000000313E-3</v>
      </c>
      <c r="AF4296">
        <v>7.5278085985016993E-2</v>
      </c>
      <c r="AG4296">
        <v>-5.4366000000000102E-2</v>
      </c>
      <c r="AH4296">
        <v>0.71462108559902504</v>
      </c>
      <c r="AI4296">
        <v>94.326645169066694</v>
      </c>
      <c r="AJ4296">
        <v>83.986647462100905</v>
      </c>
      <c r="AK4296">
        <v>0.72062871727977695</v>
      </c>
      <c r="AL4296">
        <v>89.334476212410607</v>
      </c>
      <c r="AM4296">
        <v>84.730911320915794</v>
      </c>
      <c r="AN4296">
        <v>0.99999998738864704</v>
      </c>
    </row>
    <row r="4297" spans="1:40" x14ac:dyDescent="0.25">
      <c r="A4297" t="str">
        <f>"20190312154921383"</f>
        <v>20190312154921383</v>
      </c>
      <c r="B4297" t="str">
        <f>"1552376961370138"</f>
        <v>1552376961370138</v>
      </c>
      <c r="C4297" t="s">
        <v>40</v>
      </c>
      <c r="D4297">
        <v>5.0358159999999996</v>
      </c>
      <c r="E4297">
        <v>0.49879259999999997</v>
      </c>
      <c r="F4297" t="s">
        <v>41</v>
      </c>
      <c r="G4297">
        <v>-213.4522</v>
      </c>
      <c r="H4297">
        <v>1.0531109999999999</v>
      </c>
      <c r="I4297">
        <v>142.26419999999999</v>
      </c>
      <c r="J4297">
        <v>-212.8638</v>
      </c>
      <c r="K4297">
        <v>1.108077</v>
      </c>
      <c r="L4297">
        <v>142.25110000000001</v>
      </c>
      <c r="M4297">
        <v>-0.99614259999999999</v>
      </c>
      <c r="N4297">
        <v>0</v>
      </c>
      <c r="O4297">
        <v>-8.6753520000000001E-2</v>
      </c>
      <c r="P4297">
        <v>-0.99999649999999995</v>
      </c>
      <c r="Q4297">
        <v>-2.4440880000000001E-3</v>
      </c>
      <c r="R4297">
        <v>-9.0083380000000003E-4</v>
      </c>
      <c r="S4297">
        <v>-2.9997250000000002</v>
      </c>
      <c r="T4297">
        <v>-0.18625839999999999</v>
      </c>
      <c r="U4297">
        <v>-1.8310549999999998E-2</v>
      </c>
      <c r="V4297">
        <v>8.5910520000000004E-2</v>
      </c>
      <c r="W4297">
        <v>1.030409E-2</v>
      </c>
      <c r="X4297">
        <v>0.99624959999999996</v>
      </c>
      <c r="Y4297">
        <v>8.0357020000000001E-2</v>
      </c>
      <c r="Z4297">
        <v>7.8688109999999999E-3</v>
      </c>
      <c r="AA4297">
        <v>0.99673509999999998</v>
      </c>
      <c r="AB4297">
        <v>18</v>
      </c>
      <c r="AC4297">
        <v>-0.58840000000000703</v>
      </c>
      <c r="AD4297">
        <v>-5.49659999999998E-2</v>
      </c>
      <c r="AE4297">
        <v>1.30999999999801E-2</v>
      </c>
      <c r="AF4297">
        <v>6.3546540357429196E-2</v>
      </c>
      <c r="AG4297">
        <v>-5.49659999999998E-2</v>
      </c>
      <c r="AH4297">
        <v>0.57998588936012896</v>
      </c>
      <c r="AI4297">
        <v>95.381808081746499</v>
      </c>
      <c r="AJ4297">
        <v>83.747290648427693</v>
      </c>
      <c r="AK4297">
        <v>0.58604014862828102</v>
      </c>
      <c r="AL4297">
        <v>89.409608700459103</v>
      </c>
      <c r="AM4297">
        <v>85.071352480549606</v>
      </c>
      <c r="AN4297">
        <v>1.00000002860877</v>
      </c>
    </row>
    <row r="4298" spans="1:40" x14ac:dyDescent="0.25">
      <c r="A4298" t="str">
        <f>"20190312154921403"</f>
        <v>20190312154921403</v>
      </c>
      <c r="B4298" t="str">
        <f>"1552376961389657"</f>
        <v>1552376961389657</v>
      </c>
      <c r="C4298" t="s">
        <v>40</v>
      </c>
      <c r="D4298">
        <v>5.0052640000000004</v>
      </c>
      <c r="E4298">
        <v>0.49865619999999999</v>
      </c>
      <c r="F4298" t="s">
        <v>42</v>
      </c>
      <c r="G4298">
        <v>-230.20650000000001</v>
      </c>
      <c r="H4298" s="1">
        <v>-4.6564430000000001E-6</v>
      </c>
      <c r="I4298">
        <v>142.15700000000001</v>
      </c>
      <c r="J4298">
        <v>-213.0205</v>
      </c>
      <c r="K4298">
        <v>1.1081479999999999</v>
      </c>
      <c r="L4298">
        <v>142.24180000000001</v>
      </c>
      <c r="M4298">
        <v>-0.99644670000000002</v>
      </c>
      <c r="N4298">
        <v>0</v>
      </c>
      <c r="O4298">
        <v>-8.3226259999999996E-2</v>
      </c>
      <c r="P4298">
        <v>-0.99999760000000004</v>
      </c>
      <c r="Q4298">
        <v>-2.2494360000000001E-3</v>
      </c>
      <c r="R4298">
        <v>1.41094E-4</v>
      </c>
      <c r="S4298">
        <v>-2.9995120000000002</v>
      </c>
      <c r="T4298">
        <v>-0.19164909999999999</v>
      </c>
      <c r="U4298">
        <v>-1.6265870000000002E-2</v>
      </c>
      <c r="V4298">
        <v>8.3417930000000001E-2</v>
      </c>
      <c r="W4298">
        <v>1.0294559999999999E-2</v>
      </c>
      <c r="X4298">
        <v>0.9964615</v>
      </c>
      <c r="Y4298">
        <v>7.7500650000000004E-2</v>
      </c>
      <c r="Z4298">
        <v>7.7810309999999999E-3</v>
      </c>
      <c r="AA4298">
        <v>0.99696200000000001</v>
      </c>
      <c r="AB4298">
        <v>18</v>
      </c>
      <c r="AC4298">
        <v>-17.186</v>
      </c>
      <c r="AD4298">
        <v>-1.108152656443</v>
      </c>
      <c r="AE4298">
        <v>-8.4800000000001305E-2</v>
      </c>
      <c r="AF4298">
        <v>1.34036779414975</v>
      </c>
      <c r="AG4298">
        <v>-1.108152656443</v>
      </c>
      <c r="AH4298">
        <v>17.062486003691301</v>
      </c>
      <c r="AI4298">
        <v>93.704573449230196</v>
      </c>
      <c r="AJ4298">
        <v>85.508273248146295</v>
      </c>
      <c r="AK4298">
        <v>17.1508896783734</v>
      </c>
      <c r="AL4298">
        <v>89.410154756054197</v>
      </c>
      <c r="AM4298">
        <v>85.214690138705294</v>
      </c>
      <c r="AN4298">
        <v>1.0000000249966601</v>
      </c>
    </row>
    <row r="4299" spans="1:40" x14ac:dyDescent="0.25">
      <c r="A4299" t="str">
        <f>"20190312154921425"</f>
        <v>20190312154921425</v>
      </c>
      <c r="B4299" t="str">
        <f>"1552376961419913"</f>
        <v>1552376961419913</v>
      </c>
      <c r="C4299" t="s">
        <v>40</v>
      </c>
      <c r="D4299">
        <v>5.0425719999999998</v>
      </c>
      <c r="E4299">
        <v>0.49836839999999999</v>
      </c>
      <c r="F4299" t="s">
        <v>42</v>
      </c>
      <c r="G4299">
        <v>-230.2997</v>
      </c>
      <c r="H4299" s="1">
        <v>-4.6247650000000003E-6</v>
      </c>
      <c r="I4299">
        <v>142.15719999999999</v>
      </c>
      <c r="J4299">
        <v>-213.20849999999999</v>
      </c>
      <c r="K4299">
        <v>1.108258</v>
      </c>
      <c r="L4299">
        <v>142.23089999999999</v>
      </c>
      <c r="M4299">
        <v>-0.99676810000000005</v>
      </c>
      <c r="N4299">
        <v>0</v>
      </c>
      <c r="O4299">
        <v>-7.9340439999999998E-2</v>
      </c>
      <c r="P4299">
        <v>-0.99999769999999999</v>
      </c>
      <c r="Q4299">
        <v>-1.482969E-3</v>
      </c>
      <c r="R4299">
        <v>1.6697929999999999E-3</v>
      </c>
      <c r="S4299">
        <v>-2.9995729999999998</v>
      </c>
      <c r="T4299">
        <v>-0.19236909999999999</v>
      </c>
      <c r="U4299">
        <v>-1.46637E-2</v>
      </c>
      <c r="V4299">
        <v>8.1052769999999996E-2</v>
      </c>
      <c r="W4299">
        <v>1.076422E-2</v>
      </c>
      <c r="X4299">
        <v>0.99665170000000003</v>
      </c>
      <c r="Y4299">
        <v>7.4157600000000004E-2</v>
      </c>
      <c r="Z4299">
        <v>7.4546519999999896E-3</v>
      </c>
      <c r="AA4299">
        <v>0.99721870000000001</v>
      </c>
      <c r="AB4299">
        <v>18</v>
      </c>
      <c r="AC4299">
        <v>-17.091200000000001</v>
      </c>
      <c r="AD4299">
        <v>-1.108262624765</v>
      </c>
      <c r="AE4299">
        <v>-7.3700000000002305E-2</v>
      </c>
      <c r="AF4299">
        <v>1.2772925448024901</v>
      </c>
      <c r="AG4299">
        <v>-1.108262624765</v>
      </c>
      <c r="AH4299">
        <v>16.971799772206399</v>
      </c>
      <c r="AI4299">
        <v>93.725617545606397</v>
      </c>
      <c r="AJ4299">
        <v>85.696050523094002</v>
      </c>
      <c r="AK4299">
        <v>17.0558409290871</v>
      </c>
      <c r="AL4299">
        <v>89.383243723009599</v>
      </c>
      <c r="AM4299">
        <v>85.350648572424504</v>
      </c>
      <c r="AN4299">
        <v>1.00000001553488</v>
      </c>
    </row>
    <row r="4300" spans="1:40" x14ac:dyDescent="0.25">
      <c r="A4300" t="str">
        <f>"20190312154921448"</f>
        <v>20190312154921448</v>
      </c>
      <c r="B4300" t="str">
        <f>"1552376961440411"</f>
        <v>1552376961440411</v>
      </c>
      <c r="C4300" t="s">
        <v>40</v>
      </c>
      <c r="D4300">
        <v>5.0315459999999996</v>
      </c>
      <c r="E4300">
        <v>0.498172</v>
      </c>
      <c r="F4300" t="s">
        <v>41</v>
      </c>
      <c r="G4300">
        <v>-214.10929999999999</v>
      </c>
      <c r="H4300">
        <v>1.0506599999999999</v>
      </c>
      <c r="I4300">
        <v>142.22730000000001</v>
      </c>
      <c r="J4300">
        <v>-213.39590000000001</v>
      </c>
      <c r="K4300">
        <v>1.1083940000000001</v>
      </c>
      <c r="L4300">
        <v>142.22040000000001</v>
      </c>
      <c r="M4300">
        <v>-0.99704029999999999</v>
      </c>
      <c r="N4300">
        <v>0</v>
      </c>
      <c r="O4300">
        <v>-7.5906269999999998E-2</v>
      </c>
      <c r="P4300">
        <v>-0.99999280000000002</v>
      </c>
      <c r="Q4300">
        <v>-1.6413269999999999E-3</v>
      </c>
      <c r="R4300">
        <v>3.4614210000000001E-3</v>
      </c>
      <c r="S4300">
        <v>-2.9997560000000001</v>
      </c>
      <c r="T4300">
        <v>-0.19169449999999999</v>
      </c>
      <c r="U4300">
        <v>-1.3092039999999999E-2</v>
      </c>
      <c r="V4300">
        <v>7.9397200000000001E-2</v>
      </c>
      <c r="W4300">
        <v>1.0275009999999999E-2</v>
      </c>
      <c r="X4300">
        <v>0.99679010000000001</v>
      </c>
      <c r="Y4300">
        <v>7.1259539999999996E-2</v>
      </c>
      <c r="Z4300">
        <v>7.1168899999999998E-3</v>
      </c>
      <c r="AA4300">
        <v>0.9974324</v>
      </c>
      <c r="AB4300">
        <v>18</v>
      </c>
      <c r="AC4300">
        <v>-0.71339999999997805</v>
      </c>
      <c r="AD4300">
        <v>-5.7734000000000098E-2</v>
      </c>
      <c r="AE4300">
        <v>6.90000000000168E-3</v>
      </c>
      <c r="AF4300">
        <v>6.0638549781916198E-2</v>
      </c>
      <c r="AG4300">
        <v>-5.7734000000000098E-2</v>
      </c>
      <c r="AH4300">
        <v>0.70619305044662495</v>
      </c>
      <c r="AI4300">
        <v>94.656696485029201</v>
      </c>
      <c r="AJ4300">
        <v>85.092231971105704</v>
      </c>
      <c r="AK4300">
        <v>0.711139137563644</v>
      </c>
      <c r="AL4300">
        <v>89.411274931472704</v>
      </c>
      <c r="AM4300">
        <v>85.445841445421095</v>
      </c>
      <c r="AN4300">
        <v>0.99999999732817502</v>
      </c>
    </row>
    <row r="4301" spans="1:40" x14ac:dyDescent="0.25">
      <c r="A4301" t="str">
        <f>"20190312154921470"</f>
        <v>20190312154921470</v>
      </c>
      <c r="B4301" t="str">
        <f>"1552376961459929"</f>
        <v>1552376961459929</v>
      </c>
      <c r="C4301" t="s">
        <v>40</v>
      </c>
      <c r="D4301">
        <v>5.0319059999999904</v>
      </c>
      <c r="E4301">
        <v>0.49797249999999998</v>
      </c>
      <c r="F4301" t="s">
        <v>41</v>
      </c>
      <c r="G4301">
        <v>-214.27600000000001</v>
      </c>
      <c r="H4301">
        <v>1.0516350000000001</v>
      </c>
      <c r="I4301">
        <v>142.2176</v>
      </c>
      <c r="J4301">
        <v>-213.5839</v>
      </c>
      <c r="K4301">
        <v>1.1085389999999999</v>
      </c>
      <c r="L4301">
        <v>142.21</v>
      </c>
      <c r="M4301">
        <v>-0.99727759999999999</v>
      </c>
      <c r="N4301">
        <v>0</v>
      </c>
      <c r="O4301">
        <v>-7.2782490000000005E-2</v>
      </c>
      <c r="P4301">
        <v>-0.99998350000000003</v>
      </c>
      <c r="Q4301">
        <v>-2.821755E-3</v>
      </c>
      <c r="R4301">
        <v>4.994956E-3</v>
      </c>
      <c r="S4301">
        <v>-2.9997410000000002</v>
      </c>
      <c r="T4301">
        <v>-0.1934352</v>
      </c>
      <c r="U4301">
        <v>-9.6130369999999996E-3</v>
      </c>
      <c r="V4301">
        <v>7.7793210000000002E-2</v>
      </c>
      <c r="W4301">
        <v>8.7711330000000004E-3</v>
      </c>
      <c r="X4301">
        <v>0.99693100000000001</v>
      </c>
      <c r="Y4301">
        <v>6.9296259999999998E-2</v>
      </c>
      <c r="Z4301">
        <v>6.917426E-3</v>
      </c>
      <c r="AA4301">
        <v>0.99757209999999996</v>
      </c>
      <c r="AB4301">
        <v>18</v>
      </c>
      <c r="AC4301">
        <v>-0.69209999999998195</v>
      </c>
      <c r="AD4301">
        <v>-5.6903999999999802E-2</v>
      </c>
      <c r="AE4301">
        <v>7.5999999999964898E-3</v>
      </c>
      <c r="AF4301">
        <v>5.75670237581003E-2</v>
      </c>
      <c r="AG4301">
        <v>-5.6903999999999802E-2</v>
      </c>
      <c r="AH4301">
        <v>0.68508039731207604</v>
      </c>
      <c r="AI4301">
        <v>94.731590695837994</v>
      </c>
      <c r="AJ4301">
        <v>85.196743246060393</v>
      </c>
      <c r="AK4301">
        <v>0.68984576408182596</v>
      </c>
      <c r="AL4301">
        <v>89.497444687519803</v>
      </c>
      <c r="AM4301">
        <v>85.538097731337899</v>
      </c>
      <c r="AN4301">
        <v>1.0000000675286</v>
      </c>
    </row>
    <row r="4302" spans="1:40" x14ac:dyDescent="0.25">
      <c r="A4302" t="str">
        <f>"20190312154921493"</f>
        <v>20190312154921493</v>
      </c>
      <c r="B4302" t="str">
        <f>"1552376961480429"</f>
        <v>1552376961480429</v>
      </c>
      <c r="C4302" t="s">
        <v>40</v>
      </c>
      <c r="D4302">
        <v>5.0091749999999999</v>
      </c>
      <c r="E4302">
        <v>0.4976025</v>
      </c>
      <c r="F4302" t="s">
        <v>41</v>
      </c>
      <c r="G4302">
        <v>-214.44229999999999</v>
      </c>
      <c r="H4302">
        <v>1.051733</v>
      </c>
      <c r="I4302">
        <v>142.20830000000001</v>
      </c>
      <c r="J4302">
        <v>-213.76480000000001</v>
      </c>
      <c r="K4302">
        <v>1.1086609999999999</v>
      </c>
      <c r="L4302">
        <v>142.20009999999999</v>
      </c>
      <c r="M4302">
        <v>-0.99747589999999997</v>
      </c>
      <c r="N4302">
        <v>0</v>
      </c>
      <c r="O4302">
        <v>-7.0066680000000006E-2</v>
      </c>
      <c r="P4302">
        <v>-0.99997139999999995</v>
      </c>
      <c r="Q4302">
        <v>-2.8482109999999998E-3</v>
      </c>
      <c r="R4302">
        <v>6.9976709999999996E-3</v>
      </c>
      <c r="S4302">
        <v>-2.9995270000000001</v>
      </c>
      <c r="T4302">
        <v>-0.1983856</v>
      </c>
      <c r="U4302">
        <v>-6.9122309999999996E-3</v>
      </c>
      <c r="V4302">
        <v>7.7070360000000004E-2</v>
      </c>
      <c r="W4302">
        <v>8.4368819999999997E-3</v>
      </c>
      <c r="X4302">
        <v>0.99699000000000004</v>
      </c>
      <c r="Y4302">
        <v>6.7472069999999995E-2</v>
      </c>
      <c r="Z4302">
        <v>6.8552659999999996E-3</v>
      </c>
      <c r="AA4302">
        <v>0.99769759999999996</v>
      </c>
      <c r="AB4302">
        <v>18</v>
      </c>
      <c r="AC4302">
        <v>-0.67749999999998001</v>
      </c>
      <c r="AD4302">
        <v>-5.6927999999999999E-2</v>
      </c>
      <c r="AE4302">
        <v>8.2000000000164094E-3</v>
      </c>
      <c r="AF4302">
        <v>5.5263039365840198E-2</v>
      </c>
      <c r="AG4302">
        <v>-5.6927999999999999E-2</v>
      </c>
      <c r="AH4302">
        <v>0.67052657388065495</v>
      </c>
      <c r="AI4302">
        <v>94.836479113484899</v>
      </c>
      <c r="AJ4302">
        <v>85.288480919075795</v>
      </c>
      <c r="AK4302">
        <v>0.67520418169919605</v>
      </c>
      <c r="AL4302">
        <v>89.516596553870698</v>
      </c>
      <c r="AM4302">
        <v>85.579652931801107</v>
      </c>
      <c r="AN4302">
        <v>1.0000000407342</v>
      </c>
    </row>
    <row r="4303" spans="1:40" x14ac:dyDescent="0.25">
      <c r="A4303" t="str">
        <f>"20190312154921515"</f>
        <v>20190312154921515</v>
      </c>
      <c r="B4303" t="str">
        <f>"1552376961509706"</f>
        <v>1552376961509706</v>
      </c>
      <c r="C4303" t="s">
        <v>40</v>
      </c>
      <c r="D4303">
        <v>5.0199569999999998</v>
      </c>
      <c r="E4303">
        <v>0.4971216</v>
      </c>
      <c r="F4303" t="s">
        <v>41</v>
      </c>
      <c r="G4303">
        <v>-214.6087</v>
      </c>
      <c r="H4303">
        <v>1.0515540000000001</v>
      </c>
      <c r="I4303">
        <v>142.19890000000001</v>
      </c>
      <c r="J4303">
        <v>-213.96029999999999</v>
      </c>
      <c r="K4303">
        <v>1.1087750000000001</v>
      </c>
      <c r="L4303">
        <v>142.18960000000001</v>
      </c>
      <c r="M4303">
        <v>-0.99765870000000001</v>
      </c>
      <c r="N4303">
        <v>0</v>
      </c>
      <c r="O4303">
        <v>-6.7480449999999997E-2</v>
      </c>
      <c r="P4303">
        <v>-0.99995959999999995</v>
      </c>
      <c r="Q4303">
        <v>-3.767628E-4</v>
      </c>
      <c r="R4303">
        <v>8.9902430000000002E-3</v>
      </c>
      <c r="S4303">
        <v>-2.9995569999999998</v>
      </c>
      <c r="T4303">
        <v>-0.2028894</v>
      </c>
      <c r="U4303">
        <v>-4.4250490000000003E-3</v>
      </c>
      <c r="V4303">
        <v>7.6473360000000004E-2</v>
      </c>
      <c r="W4303">
        <v>1.054918E-2</v>
      </c>
      <c r="X4303">
        <v>0.99701580000000001</v>
      </c>
      <c r="Y4303">
        <v>6.5708520000000006E-2</v>
      </c>
      <c r="Z4303">
        <v>6.7764909999999999E-3</v>
      </c>
      <c r="AA4303">
        <v>0.99781580000000003</v>
      </c>
      <c r="AB4303">
        <v>19</v>
      </c>
      <c r="AC4303">
        <v>-0.64840000000000897</v>
      </c>
      <c r="AD4303">
        <v>-5.7220999999999897E-2</v>
      </c>
      <c r="AE4303">
        <v>9.2999999999960892E-3</v>
      </c>
      <c r="AF4303">
        <v>5.2626058506370199E-2</v>
      </c>
      <c r="AG4303">
        <v>-5.7220999999999897E-2</v>
      </c>
      <c r="AH4303">
        <v>0.64130083376592995</v>
      </c>
      <c r="AI4303">
        <v>95.081804752277904</v>
      </c>
      <c r="AJ4303">
        <v>85.308738439691496</v>
      </c>
      <c r="AK4303">
        <v>0.64599574632020096</v>
      </c>
      <c r="AL4303">
        <v>89.395565287104404</v>
      </c>
      <c r="AM4303">
        <v>85.613872604382394</v>
      </c>
      <c r="AN4303">
        <v>0.99999998271900004</v>
      </c>
    </row>
    <row r="4304" spans="1:40" x14ac:dyDescent="0.25">
      <c r="A4304" t="str">
        <f>"20190312154921538"</f>
        <v>20190312154921538</v>
      </c>
      <c r="B4304" t="str">
        <f>"1552376961530202"</f>
        <v>1552376961530202</v>
      </c>
      <c r="C4304" t="s">
        <v>40</v>
      </c>
      <c r="D4304">
        <v>4.9819269999999998</v>
      </c>
      <c r="E4304">
        <v>0.49682680000000001</v>
      </c>
      <c r="F4304" t="s">
        <v>41</v>
      </c>
      <c r="G4304">
        <v>-214.7816</v>
      </c>
      <c r="H4304">
        <v>1.0543119999999999</v>
      </c>
      <c r="I4304">
        <v>142.18889999999999</v>
      </c>
      <c r="J4304">
        <v>-214.14089999999999</v>
      </c>
      <c r="K4304">
        <v>1.108854</v>
      </c>
      <c r="L4304">
        <v>142.1799</v>
      </c>
      <c r="M4304">
        <v>-0.99780040000000003</v>
      </c>
      <c r="N4304">
        <v>0</v>
      </c>
      <c r="O4304">
        <v>-6.5418740000000003E-2</v>
      </c>
      <c r="P4304">
        <v>-0.99994369999999999</v>
      </c>
      <c r="Q4304">
        <v>1.4834570000000001E-3</v>
      </c>
      <c r="R4304">
        <v>1.0530049999999999E-2</v>
      </c>
      <c r="S4304">
        <v>-3.000076</v>
      </c>
      <c r="T4304">
        <v>-0.1989274</v>
      </c>
      <c r="U4304">
        <v>-3.067017E-3</v>
      </c>
      <c r="V4304">
        <v>7.5947269999999997E-2</v>
      </c>
      <c r="W4304">
        <v>1.203824E-2</v>
      </c>
      <c r="X4304">
        <v>0.99703909999999996</v>
      </c>
      <c r="Y4304">
        <v>6.4118040000000001E-2</v>
      </c>
      <c r="Z4304">
        <v>6.4542990000000001E-3</v>
      </c>
      <c r="AA4304">
        <v>0.99792150000000002</v>
      </c>
      <c r="AB4304">
        <v>19</v>
      </c>
      <c r="AC4304">
        <v>-0.64070000000000904</v>
      </c>
      <c r="AD4304">
        <v>-5.4541999999999799E-2</v>
      </c>
      <c r="AE4304">
        <v>8.9999999999861302E-3</v>
      </c>
      <c r="AF4304">
        <v>5.05307909335952E-2</v>
      </c>
      <c r="AG4304">
        <v>-5.4541999999999799E-2</v>
      </c>
      <c r="AH4304">
        <v>0.63414392116667295</v>
      </c>
      <c r="AI4304">
        <v>94.900390388962407</v>
      </c>
      <c r="AJ4304">
        <v>85.444099442023202</v>
      </c>
      <c r="AK4304">
        <v>0.63848782552920902</v>
      </c>
      <c r="AL4304">
        <v>89.310242951242202</v>
      </c>
      <c r="AM4304">
        <v>85.644031347589802</v>
      </c>
      <c r="AN4304">
        <v>0.99999993698577805</v>
      </c>
    </row>
    <row r="4305" spans="1:40" x14ac:dyDescent="0.25">
      <c r="A4305" t="str">
        <f>"20190312154921561"</f>
        <v>20190312154921561</v>
      </c>
      <c r="B4305" t="str">
        <f>"1552376961549722"</f>
        <v>1552376961549722</v>
      </c>
      <c r="C4305" t="s">
        <v>40</v>
      </c>
      <c r="D4305">
        <v>4.9632120000000004</v>
      </c>
      <c r="E4305">
        <v>0.49655490000000002</v>
      </c>
      <c r="F4305" t="s">
        <v>42</v>
      </c>
      <c r="G4305">
        <v>-231.3065</v>
      </c>
      <c r="H4305" s="1">
        <v>-4.2851010000000001E-6</v>
      </c>
      <c r="I4305">
        <v>142.17400000000001</v>
      </c>
      <c r="J4305">
        <v>-214.3398</v>
      </c>
      <c r="K4305">
        <v>1.1089089999999999</v>
      </c>
      <c r="L4305">
        <v>142.1694</v>
      </c>
      <c r="M4305">
        <v>-0.99793069999999895</v>
      </c>
      <c r="N4305">
        <v>0</v>
      </c>
      <c r="O4305">
        <v>-6.347999E-2</v>
      </c>
      <c r="P4305">
        <v>-0.99993129999999997</v>
      </c>
      <c r="Q4305">
        <v>2.411257E-3</v>
      </c>
      <c r="R4305">
        <v>1.148625E-2</v>
      </c>
      <c r="S4305">
        <v>-3.0004879999999998</v>
      </c>
      <c r="T4305">
        <v>-0.19382460000000001</v>
      </c>
      <c r="U4305">
        <v>-1.0223389999999999E-3</v>
      </c>
      <c r="V4305">
        <v>7.4959940000000003E-2</v>
      </c>
      <c r="W4305">
        <v>1.251409E-2</v>
      </c>
      <c r="X4305">
        <v>0.99710799999999999</v>
      </c>
      <c r="Y4305">
        <v>6.2880039999999998E-2</v>
      </c>
      <c r="Z4305">
        <v>6.1233640000000001E-3</v>
      </c>
      <c r="AA4305">
        <v>0.99800230000000001</v>
      </c>
      <c r="AB4305">
        <v>19</v>
      </c>
      <c r="AC4305">
        <v>-16.966699999999999</v>
      </c>
      <c r="AD4305">
        <v>-1.108913285101</v>
      </c>
      <c r="AE4305">
        <v>4.6000000000105904E-3</v>
      </c>
      <c r="AF4305">
        <v>1.0770919963629699</v>
      </c>
      <c r="AG4305">
        <v>-1.108913285101</v>
      </c>
      <c r="AH4305">
        <v>16.860162953722099</v>
      </c>
      <c r="AI4305">
        <v>93.755359520108399</v>
      </c>
      <c r="AJ4305">
        <v>86.3446926532216</v>
      </c>
      <c r="AK4305">
        <v>16.9308862930611</v>
      </c>
      <c r="AL4305">
        <v>89.282976728321898</v>
      </c>
      <c r="AM4305">
        <v>85.700742071149506</v>
      </c>
      <c r="AN4305">
        <v>0.99999997935866503</v>
      </c>
    </row>
    <row r="4306" spans="1:40" x14ac:dyDescent="0.25">
      <c r="A4306" t="str">
        <f>"20190312154921584"</f>
        <v>20190312154921584</v>
      </c>
      <c r="B4306" t="str">
        <f>"1552376961570218"</f>
        <v>1552376961570218</v>
      </c>
      <c r="C4306" t="s">
        <v>40</v>
      </c>
      <c r="D4306">
        <v>4.95953</v>
      </c>
      <c r="E4306">
        <v>0.49628230000000001</v>
      </c>
      <c r="F4306" t="s">
        <v>42</v>
      </c>
      <c r="G4306">
        <v>-231.7713</v>
      </c>
      <c r="H4306" s="1">
        <v>-4.1256370000000003E-6</v>
      </c>
      <c r="I4306">
        <v>142.16669999999999</v>
      </c>
      <c r="J4306">
        <v>-214.53819999999999</v>
      </c>
      <c r="K4306">
        <v>1.1089580000000001</v>
      </c>
      <c r="L4306">
        <v>142.15889999999999</v>
      </c>
      <c r="M4306">
        <v>-0.9980386</v>
      </c>
      <c r="N4306">
        <v>0</v>
      </c>
      <c r="O4306">
        <v>-6.1844040000000003E-2</v>
      </c>
      <c r="P4306">
        <v>-0.9999152</v>
      </c>
      <c r="Q4306">
        <v>3.3514030000000002E-3</v>
      </c>
      <c r="R4306">
        <v>1.259882E-2</v>
      </c>
      <c r="S4306">
        <v>-3.0006560000000002</v>
      </c>
      <c r="T4306">
        <v>-0.19088720000000001</v>
      </c>
      <c r="U4306">
        <v>-4.4250490000000001E-4</v>
      </c>
      <c r="V4306">
        <v>7.4430880000000005E-2</v>
      </c>
      <c r="W4306">
        <v>1.295751E-2</v>
      </c>
      <c r="X4306">
        <v>0.99714199999999997</v>
      </c>
      <c r="Y4306">
        <v>6.1450650000000002E-2</v>
      </c>
      <c r="Z4306">
        <v>5.8811649999999998E-3</v>
      </c>
      <c r="AA4306">
        <v>0.9980928</v>
      </c>
      <c r="AB4306">
        <v>19</v>
      </c>
      <c r="AC4306">
        <v>-17.2331</v>
      </c>
      <c r="AD4306">
        <v>-1.1089621256369999</v>
      </c>
      <c r="AE4306">
        <v>7.80000000000313E-3</v>
      </c>
      <c r="AF4306">
        <v>1.06917237487325</v>
      </c>
      <c r="AG4306">
        <v>-1.1089621256369999</v>
      </c>
      <c r="AH4306">
        <v>17.1286971712526</v>
      </c>
      <c r="AI4306">
        <v>93.697151454913794</v>
      </c>
      <c r="AJ4306">
        <v>86.428234482180997</v>
      </c>
      <c r="AK4306">
        <v>17.197825250529998</v>
      </c>
      <c r="AL4306">
        <v>89.257568595513504</v>
      </c>
      <c r="AM4306">
        <v>85.731118267795594</v>
      </c>
      <c r="AN4306">
        <v>1.0000000105634801</v>
      </c>
    </row>
    <row r="4307" spans="1:40" x14ac:dyDescent="0.25">
      <c r="A4307" t="str">
        <f>"20190312154921604"</f>
        <v>20190312154921604</v>
      </c>
      <c r="B4307" t="str">
        <f>"1552376961600474"</f>
        <v>1552376961600474</v>
      </c>
      <c r="C4307" t="s">
        <v>40</v>
      </c>
      <c r="D4307">
        <v>4.9132179999999996</v>
      </c>
      <c r="E4307">
        <v>0.4958477</v>
      </c>
      <c r="F4307" t="s">
        <v>42</v>
      </c>
      <c r="G4307">
        <v>-232.1943</v>
      </c>
      <c r="H4307" s="1">
        <v>-3.9812309999999999E-6</v>
      </c>
      <c r="I4307">
        <v>142.16399999999999</v>
      </c>
      <c r="J4307">
        <v>-214.71100000000001</v>
      </c>
      <c r="K4307">
        <v>1.1089869999999999</v>
      </c>
      <c r="L4307">
        <v>142.1497</v>
      </c>
      <c r="M4307">
        <v>-0.99811700000000003</v>
      </c>
      <c r="N4307">
        <v>0</v>
      </c>
      <c r="O4307">
        <v>-6.0645919999999999E-2</v>
      </c>
      <c r="P4307">
        <v>-0.99990049999999997</v>
      </c>
      <c r="Q4307">
        <v>3.9385449999999999E-3</v>
      </c>
      <c r="R4307">
        <v>1.356247E-2</v>
      </c>
      <c r="S4307">
        <v>-3.0008699999999999</v>
      </c>
      <c r="T4307">
        <v>-0.18848200000000001</v>
      </c>
      <c r="U4307">
        <v>8.8500979999999905E-4</v>
      </c>
      <c r="V4307">
        <v>7.4191140000000003E-2</v>
      </c>
      <c r="W4307">
        <v>1.306479E-2</v>
      </c>
      <c r="X4307">
        <v>0.99715849999999995</v>
      </c>
      <c r="Y4307">
        <v>6.070383E-2</v>
      </c>
      <c r="Z4307">
        <v>5.7082840000000001E-3</v>
      </c>
      <c r="AA4307">
        <v>0.99813949999999996</v>
      </c>
      <c r="AB4307">
        <v>19</v>
      </c>
      <c r="AC4307">
        <v>-17.4833</v>
      </c>
      <c r="AD4307">
        <v>-1.1089909812309999</v>
      </c>
      <c r="AE4307">
        <v>1.42999999999915E-2</v>
      </c>
      <c r="AF4307">
        <v>1.0703028913858901</v>
      </c>
      <c r="AG4307">
        <v>-1.1089909812309999</v>
      </c>
      <c r="AH4307">
        <v>17.3803187275441</v>
      </c>
      <c r="AI4307">
        <v>93.644054421547295</v>
      </c>
      <c r="AJ4307">
        <v>86.476100540566904</v>
      </c>
      <c r="AK4307">
        <v>17.4485210933987</v>
      </c>
      <c r="AL4307">
        <v>89.251421409070701</v>
      </c>
      <c r="AM4307">
        <v>85.744887796186504</v>
      </c>
      <c r="AN4307">
        <v>1.0000000440572401</v>
      </c>
    </row>
    <row r="4308" spans="1:40" x14ac:dyDescent="0.25">
      <c r="A4308" t="str">
        <f>"20190312154921627"</f>
        <v>20190312154921627</v>
      </c>
      <c r="B4308" t="str">
        <f>"1552376961619993"</f>
        <v>1552376961619993</v>
      </c>
      <c r="C4308" t="s">
        <v>40</v>
      </c>
      <c r="D4308">
        <v>4.9097720000000002</v>
      </c>
      <c r="E4308">
        <v>0.49551420000000002</v>
      </c>
      <c r="F4308" t="s">
        <v>42</v>
      </c>
      <c r="G4308">
        <v>-232.50890000000001</v>
      </c>
      <c r="H4308" s="1">
        <v>-3.870505E-6</v>
      </c>
      <c r="I4308">
        <v>142.15129999999999</v>
      </c>
      <c r="J4308">
        <v>-214.9049</v>
      </c>
      <c r="K4308">
        <v>1.108994</v>
      </c>
      <c r="L4308">
        <v>142.13939999999999</v>
      </c>
      <c r="M4308">
        <v>-0.99818969999999996</v>
      </c>
      <c r="N4308">
        <v>0</v>
      </c>
      <c r="O4308">
        <v>-5.9526059999999999E-2</v>
      </c>
      <c r="P4308">
        <v>-0.9998977</v>
      </c>
      <c r="Q4308">
        <v>3.8331469999999999E-3</v>
      </c>
      <c r="R4308">
        <v>1.378561E-2</v>
      </c>
      <c r="S4308">
        <v>-3.0010379999999999</v>
      </c>
      <c r="T4308">
        <v>-0.186996</v>
      </c>
      <c r="U4308">
        <v>2.89917E-4</v>
      </c>
      <c r="V4308">
        <v>7.3291010000000004E-2</v>
      </c>
      <c r="W4308">
        <v>1.2366759999999999E-2</v>
      </c>
      <c r="X4308">
        <v>0.99723390000000001</v>
      </c>
      <c r="Y4308">
        <v>5.9394160000000001E-2</v>
      </c>
      <c r="Z4308">
        <v>5.5526409999999997E-3</v>
      </c>
      <c r="AA4308">
        <v>0.99821919999999997</v>
      </c>
      <c r="AB4308">
        <v>19</v>
      </c>
      <c r="AC4308">
        <v>-17.603999999999999</v>
      </c>
      <c r="AD4308">
        <v>-1.1089978705050001</v>
      </c>
      <c r="AE4308">
        <v>1.18999999999971E-2</v>
      </c>
      <c r="AF4308">
        <v>1.05562505121504</v>
      </c>
      <c r="AG4308">
        <v>-1.1089978705050001</v>
      </c>
      <c r="AH4308">
        <v>17.5026119881962</v>
      </c>
      <c r="AI4308">
        <v>93.618961285829698</v>
      </c>
      <c r="AJ4308">
        <v>86.548533292852298</v>
      </c>
      <c r="AK4308">
        <v>17.5694520954663</v>
      </c>
      <c r="AL4308">
        <v>89.291418769516</v>
      </c>
      <c r="AM4308">
        <v>85.796643793517703</v>
      </c>
      <c r="AN4308">
        <v>0.999999980104463</v>
      </c>
    </row>
    <row r="4309" spans="1:40" x14ac:dyDescent="0.25">
      <c r="A4309" t="str">
        <f>"20190312154921649"</f>
        <v>20190312154921649</v>
      </c>
      <c r="B4309" t="str">
        <f>"1552376961640489"</f>
        <v>1552376961640489</v>
      </c>
      <c r="C4309" t="s">
        <v>40</v>
      </c>
      <c r="D4309">
        <v>4.8965969999999999</v>
      </c>
      <c r="E4309">
        <v>0.4951489</v>
      </c>
      <c r="F4309" t="s">
        <v>41</v>
      </c>
      <c r="G4309">
        <v>-215.79939999999999</v>
      </c>
      <c r="H4309">
        <v>1.052959</v>
      </c>
      <c r="I4309">
        <v>142.13910000000001</v>
      </c>
      <c r="J4309">
        <v>-215.0959</v>
      </c>
      <c r="K4309">
        <v>1.1089709999999999</v>
      </c>
      <c r="L4309">
        <v>142.12909999999999</v>
      </c>
      <c r="M4309">
        <v>-0.99824849999999998</v>
      </c>
      <c r="N4309">
        <v>0</v>
      </c>
      <c r="O4309">
        <v>-5.8622830000000001E-2</v>
      </c>
      <c r="P4309">
        <v>-0.99990809999999997</v>
      </c>
      <c r="Q4309">
        <v>2.1908790000000002E-3</v>
      </c>
      <c r="R4309">
        <v>1.3396709999999999E-2</v>
      </c>
      <c r="S4309">
        <v>-3.0010379999999999</v>
      </c>
      <c r="T4309">
        <v>-0.1880443</v>
      </c>
      <c r="U4309">
        <v>-1.556396E-3</v>
      </c>
      <c r="V4309">
        <v>7.1997370000000005E-2</v>
      </c>
      <c r="W4309">
        <v>1.0106220000000001E-2</v>
      </c>
      <c r="X4309">
        <v>0.99735359999999995</v>
      </c>
      <c r="Y4309">
        <v>5.7878569999999997E-2</v>
      </c>
      <c r="Z4309">
        <v>5.4797680000000003E-3</v>
      </c>
      <c r="AA4309">
        <v>0.99830859999999999</v>
      </c>
      <c r="AB4309">
        <v>19</v>
      </c>
      <c r="AC4309">
        <v>-0.70349999999999102</v>
      </c>
      <c r="AD4309">
        <v>-5.6011999999999902E-2</v>
      </c>
      <c r="AE4309">
        <v>1.0000000000019301E-2</v>
      </c>
      <c r="AF4309">
        <v>5.0902650582621001E-2</v>
      </c>
      <c r="AG4309">
        <v>-5.6011999999999902E-2</v>
      </c>
      <c r="AH4309">
        <v>0.69728447162986396</v>
      </c>
      <c r="AI4309">
        <v>94.580500913676204</v>
      </c>
      <c r="AJ4309">
        <v>85.824741841679298</v>
      </c>
      <c r="AK4309">
        <v>0.70138010975253295</v>
      </c>
      <c r="AL4309">
        <v>89.420946378413106</v>
      </c>
      <c r="AM4309">
        <v>85.871071050248801</v>
      </c>
      <c r="AN4309">
        <v>0.999999980201282</v>
      </c>
    </row>
    <row r="4310" spans="1:40" x14ac:dyDescent="0.25">
      <c r="A4310" t="str">
        <f>"20190312154921673"</f>
        <v>20190312154921673</v>
      </c>
      <c r="B4310" t="str">
        <f>"1552376961660010"</f>
        <v>1552376961660010</v>
      </c>
      <c r="C4310" t="s">
        <v>40</v>
      </c>
      <c r="D4310">
        <v>4.8345370000000001</v>
      </c>
      <c r="E4310">
        <v>0.4947841</v>
      </c>
      <c r="F4310" t="s">
        <v>41</v>
      </c>
      <c r="G4310">
        <v>-215.9736</v>
      </c>
      <c r="H4310">
        <v>1.0523009999999999</v>
      </c>
      <c r="I4310">
        <v>142.1276</v>
      </c>
      <c r="J4310">
        <v>-215.30690000000001</v>
      </c>
      <c r="K4310">
        <v>1.1089230000000001</v>
      </c>
      <c r="L4310">
        <v>142.11779999999999</v>
      </c>
      <c r="M4310">
        <v>-0.99830209999999997</v>
      </c>
      <c r="N4310">
        <v>0</v>
      </c>
      <c r="O4310">
        <v>-5.7795810000000003E-2</v>
      </c>
      <c r="P4310">
        <v>-0.99991549999999996</v>
      </c>
      <c r="Q4310">
        <v>9.4058089999999998E-4</v>
      </c>
      <c r="R4310">
        <v>1.2977310000000001E-2</v>
      </c>
      <c r="S4310">
        <v>-3.0007480000000002</v>
      </c>
      <c r="T4310">
        <v>-0.19372919999999999</v>
      </c>
      <c r="U4310">
        <v>-5.1269530000000001E-3</v>
      </c>
      <c r="V4310">
        <v>7.075033E-2</v>
      </c>
      <c r="W4310">
        <v>8.1751069999999992E-3</v>
      </c>
      <c r="X4310">
        <v>0.99746049999999997</v>
      </c>
      <c r="Y4310">
        <v>5.5855040000000002E-2</v>
      </c>
      <c r="Z4310">
        <v>5.5270559999999998E-3</v>
      </c>
      <c r="AA4310">
        <v>0.99842359999999997</v>
      </c>
      <c r="AB4310">
        <v>19</v>
      </c>
      <c r="AC4310">
        <v>-0.66669999999999097</v>
      </c>
      <c r="AD4310">
        <v>-5.6621999999999902E-2</v>
      </c>
      <c r="AE4310">
        <v>9.8000000000126805E-3</v>
      </c>
      <c r="AF4310">
        <v>4.7971160819875902E-2</v>
      </c>
      <c r="AG4310">
        <v>-5.6621999999999902E-2</v>
      </c>
      <c r="AH4310">
        <v>0.66025774871728204</v>
      </c>
      <c r="AI4310">
        <v>94.888722181384793</v>
      </c>
      <c r="AJ4310">
        <v>85.844465288230694</v>
      </c>
      <c r="AK4310">
        <v>0.66441521497902201</v>
      </c>
      <c r="AL4310">
        <v>89.531595628688905</v>
      </c>
      <c r="AM4310">
        <v>85.942779153819203</v>
      </c>
      <c r="AN4310">
        <v>0.99999994531490799</v>
      </c>
    </row>
    <row r="4311" spans="1:40" x14ac:dyDescent="0.25">
      <c r="A4311" t="str">
        <f>"20190312154921695"</f>
        <v>20190312154921695</v>
      </c>
      <c r="B4311" t="str">
        <f>"1552376961690266"</f>
        <v>1552376961690266</v>
      </c>
      <c r="C4311" t="s">
        <v>40</v>
      </c>
      <c r="D4311">
        <v>4.8672469999999999</v>
      </c>
      <c r="E4311">
        <v>0.49413790000000002</v>
      </c>
      <c r="F4311" t="s">
        <v>41</v>
      </c>
      <c r="G4311">
        <v>-216.1507</v>
      </c>
      <c r="H4311">
        <v>1.053226</v>
      </c>
      <c r="I4311">
        <v>142.11539999999999</v>
      </c>
      <c r="J4311">
        <v>-215.50069999999999</v>
      </c>
      <c r="K4311">
        <v>1.108876</v>
      </c>
      <c r="L4311">
        <v>142.10730000000001</v>
      </c>
      <c r="M4311">
        <v>-0.99834279999999997</v>
      </c>
      <c r="N4311">
        <v>0</v>
      </c>
      <c r="O4311">
        <v>-5.7162440000000002E-2</v>
      </c>
      <c r="P4311">
        <v>-0.99991830000000004</v>
      </c>
      <c r="Q4311">
        <v>4.8472830000000002E-4</v>
      </c>
      <c r="R4311">
        <v>1.279458E-2</v>
      </c>
      <c r="S4311">
        <v>-3.0005489999999999</v>
      </c>
      <c r="T4311">
        <v>-0.19809160000000001</v>
      </c>
      <c r="U4311">
        <v>-8.9569090000000007E-3</v>
      </c>
      <c r="V4311">
        <v>6.993415E-2</v>
      </c>
      <c r="W4311">
        <v>7.1117919999999996E-3</v>
      </c>
      <c r="X4311">
        <v>0.99752629999999998</v>
      </c>
      <c r="Y4311">
        <v>5.3941509999999998E-2</v>
      </c>
      <c r="Z4311">
        <v>5.5467509999999999E-3</v>
      </c>
      <c r="AA4311">
        <v>0.99852870000000005</v>
      </c>
      <c r="AB4311">
        <v>20</v>
      </c>
      <c r="AC4311">
        <v>-0.65000000000000502</v>
      </c>
      <c r="AD4311">
        <v>-5.5649999999999901E-2</v>
      </c>
      <c r="AE4311">
        <v>8.0999999999846698E-3</v>
      </c>
      <c r="AF4311">
        <v>4.4913992327977402E-2</v>
      </c>
      <c r="AG4311">
        <v>-5.5649999999999901E-2</v>
      </c>
      <c r="AH4311">
        <v>0.64375611038909197</v>
      </c>
      <c r="AI4311">
        <v>94.928773786166303</v>
      </c>
      <c r="AJ4311">
        <v>86.009018230200496</v>
      </c>
      <c r="AK4311">
        <v>0.64771607890350502</v>
      </c>
      <c r="AL4311">
        <v>89.592520915421005</v>
      </c>
      <c r="AM4311">
        <v>85.989693559947398</v>
      </c>
      <c r="AN4311">
        <v>1.0000000410566801</v>
      </c>
    </row>
    <row r="4312" spans="1:40" x14ac:dyDescent="0.25">
      <c r="A4312" t="str">
        <f>"20190312154921718"</f>
        <v>20190312154921718</v>
      </c>
      <c r="B4312" t="str">
        <f>"1552376961709786"</f>
        <v>1552376961709786</v>
      </c>
      <c r="C4312" t="s">
        <v>40</v>
      </c>
      <c r="D4312">
        <v>4.848376</v>
      </c>
      <c r="E4312">
        <v>0.49379499999999998</v>
      </c>
      <c r="F4312" t="s">
        <v>41</v>
      </c>
      <c r="G4312">
        <v>-216.32830000000001</v>
      </c>
      <c r="H4312">
        <v>1.0529090000000001</v>
      </c>
      <c r="I4312">
        <v>142.10339999999999</v>
      </c>
      <c r="J4312">
        <v>-215.71039999999999</v>
      </c>
      <c r="K4312">
        <v>1.1088209999999901</v>
      </c>
      <c r="L4312">
        <v>142.096</v>
      </c>
      <c r="M4312">
        <v>-0.99837900000000002</v>
      </c>
      <c r="N4312">
        <v>0</v>
      </c>
      <c r="O4312">
        <v>-5.659699E-2</v>
      </c>
      <c r="P4312">
        <v>-0.99990579999999996</v>
      </c>
      <c r="Q4312">
        <v>2.3203809999999998E-3</v>
      </c>
      <c r="R4312">
        <v>1.3539030000000001E-2</v>
      </c>
      <c r="S4312">
        <v>-3.0005489999999999</v>
      </c>
      <c r="T4312">
        <v>-0.20294390000000001</v>
      </c>
      <c r="U4312">
        <v>-1.4633180000000001E-2</v>
      </c>
      <c r="V4312">
        <v>7.0111300000000001E-2</v>
      </c>
      <c r="W4312">
        <v>8.3081409999999998E-3</v>
      </c>
      <c r="X4312">
        <v>0.99750459999999996</v>
      </c>
      <c r="Y4312">
        <v>5.1481579999999999E-2</v>
      </c>
      <c r="Z4312">
        <v>5.5609789999999997E-3</v>
      </c>
      <c r="AA4312">
        <v>0.9986585</v>
      </c>
      <c r="AB4312">
        <v>20</v>
      </c>
      <c r="AC4312">
        <v>-0.61790000000001999</v>
      </c>
      <c r="AD4312">
        <v>-5.5911999999999698E-2</v>
      </c>
      <c r="AE4312">
        <v>7.3999999999898496E-3</v>
      </c>
      <c r="AF4312">
        <v>4.20160754629266E-2</v>
      </c>
      <c r="AG4312">
        <v>-5.5911999999999698E-2</v>
      </c>
      <c r="AH4312">
        <v>0.61148464032697503</v>
      </c>
      <c r="AI4312">
        <v>95.212175024585505</v>
      </c>
      <c r="AJ4312">
        <v>86.069294711535903</v>
      </c>
      <c r="AK4312">
        <v>0.61547133783557895</v>
      </c>
      <c r="AL4312">
        <v>89.523973119779598</v>
      </c>
      <c r="AM4312">
        <v>85.979481160001797</v>
      </c>
      <c r="AN4312">
        <v>1.0000000233078601</v>
      </c>
    </row>
    <row r="4313" spans="1:40" x14ac:dyDescent="0.25">
      <c r="A4313" t="str">
        <f>"20190312154921739"</f>
        <v>20190312154921739</v>
      </c>
      <c r="B4313" t="str">
        <f>"1552376961730282"</f>
        <v>1552376961730282</v>
      </c>
      <c r="C4313" t="s">
        <v>40</v>
      </c>
      <c r="D4313">
        <v>4.7667359999999999</v>
      </c>
      <c r="E4313">
        <v>0.49345679999999997</v>
      </c>
      <c r="F4313" t="s">
        <v>41</v>
      </c>
      <c r="G4313">
        <v>-216.51070000000001</v>
      </c>
      <c r="H4313">
        <v>1.0560719999999999</v>
      </c>
      <c r="I4313">
        <v>142.09209999999999</v>
      </c>
      <c r="J4313">
        <v>-215.89590000000001</v>
      </c>
      <c r="K4313">
        <v>1.108779</v>
      </c>
      <c r="L4313">
        <v>142.08600000000001</v>
      </c>
      <c r="M4313">
        <v>-0.99840549999999995</v>
      </c>
      <c r="N4313">
        <v>0</v>
      </c>
      <c r="O4313">
        <v>-5.6185069999999997E-2</v>
      </c>
      <c r="P4313">
        <v>-0.99989189999999994</v>
      </c>
      <c r="Q4313">
        <v>4.3650989999999999E-3</v>
      </c>
      <c r="R4313">
        <v>1.405141E-2</v>
      </c>
      <c r="S4313">
        <v>-3.0009459999999999</v>
      </c>
      <c r="T4313">
        <v>-0.19784160000000001</v>
      </c>
      <c r="U4313">
        <v>-1.512146E-2</v>
      </c>
      <c r="V4313">
        <v>7.0210289999999995E-2</v>
      </c>
      <c r="W4313">
        <v>9.803918E-3</v>
      </c>
      <c r="X4313">
        <v>0.99748400000000004</v>
      </c>
      <c r="Y4313">
        <v>5.0921920000000002E-2</v>
      </c>
      <c r="Z4313">
        <v>5.37522E-3</v>
      </c>
      <c r="AA4313">
        <v>0.99868820000000003</v>
      </c>
      <c r="AB4313">
        <v>20</v>
      </c>
      <c r="AC4313">
        <v>-0.61480000000000201</v>
      </c>
      <c r="AD4313">
        <v>-5.2707000000000198E-2</v>
      </c>
      <c r="AE4313">
        <v>6.0999999999751201E-3</v>
      </c>
      <c r="AF4313">
        <v>4.0337022574802497E-2</v>
      </c>
      <c r="AG4313">
        <v>-5.2707000000000198E-2</v>
      </c>
      <c r="AH4313">
        <v>0.60901048523197299</v>
      </c>
      <c r="AI4313">
        <v>94.935595351026194</v>
      </c>
      <c r="AJ4313">
        <v>86.210622820858603</v>
      </c>
      <c r="AK4313">
        <v>0.61261641698674996</v>
      </c>
      <c r="AL4313">
        <v>89.4382678578812</v>
      </c>
      <c r="AM4313">
        <v>85.973740377996407</v>
      </c>
      <c r="AN4313">
        <v>0.99999996594301599</v>
      </c>
    </row>
    <row r="4314" spans="1:40" x14ac:dyDescent="0.25">
      <c r="A4314" t="str">
        <f>"20190312154921763"</f>
        <v>20190312154921763</v>
      </c>
      <c r="B4314" t="str">
        <f>"1552376961749802"</f>
        <v>1552376961749802</v>
      </c>
      <c r="C4314" t="s">
        <v>40</v>
      </c>
      <c r="D4314">
        <v>4.8138930000000002</v>
      </c>
      <c r="E4314">
        <v>0.49315249999999999</v>
      </c>
      <c r="F4314" t="s">
        <v>41</v>
      </c>
      <c r="G4314">
        <v>-216.70359999999999</v>
      </c>
      <c r="H4314">
        <v>1.0573889999999999</v>
      </c>
      <c r="I4314">
        <v>142.08179999999999</v>
      </c>
      <c r="J4314">
        <v>-216.1011</v>
      </c>
      <c r="K4314">
        <v>1.10873</v>
      </c>
      <c r="L4314">
        <v>142.07490000000001</v>
      </c>
      <c r="M4314">
        <v>-0.99843000000000004</v>
      </c>
      <c r="N4314">
        <v>0</v>
      </c>
      <c r="O4314">
        <v>-5.5804050000000001E-2</v>
      </c>
      <c r="P4314">
        <v>-0.99988200000000005</v>
      </c>
      <c r="Q4314">
        <v>6.2516759999999899E-3</v>
      </c>
      <c r="R4314">
        <v>1.4039050000000001E-2</v>
      </c>
      <c r="S4314">
        <v>-3.001404</v>
      </c>
      <c r="T4314">
        <v>-0.1910057</v>
      </c>
      <c r="U4314">
        <v>-1.5991209999999999E-2</v>
      </c>
      <c r="V4314">
        <v>6.9816130000000004E-2</v>
      </c>
      <c r="W4314">
        <v>1.1106090000000001E-2</v>
      </c>
      <c r="X4314">
        <v>0.997498</v>
      </c>
      <c r="Y4314">
        <v>5.0269920000000003E-2</v>
      </c>
      <c r="Z4314">
        <v>5.1441459999999996E-3</v>
      </c>
      <c r="AA4314">
        <v>0.99872240000000001</v>
      </c>
      <c r="AB4314">
        <v>20</v>
      </c>
      <c r="AC4314">
        <v>-0.60249999999999204</v>
      </c>
      <c r="AD4314">
        <v>-5.1340999999999998E-2</v>
      </c>
      <c r="AE4314">
        <v>6.89999999997326E-3</v>
      </c>
      <c r="AF4314">
        <v>4.0219573782959803E-2</v>
      </c>
      <c r="AG4314">
        <v>-5.1340999999999998E-2</v>
      </c>
      <c r="AH4314">
        <v>0.596842785981615</v>
      </c>
      <c r="AI4314">
        <v>94.905465134085105</v>
      </c>
      <c r="AJ4314">
        <v>86.144825372688402</v>
      </c>
      <c r="AK4314">
        <v>0.60039555592507399</v>
      </c>
      <c r="AL4314">
        <v>89.363654801265199</v>
      </c>
      <c r="AM4314">
        <v>85.996326061261598</v>
      </c>
      <c r="AN4314">
        <v>0.99999994862363095</v>
      </c>
    </row>
    <row r="4315" spans="1:40" x14ac:dyDescent="0.25">
      <c r="A4315" t="str">
        <f>"20190312154921784"</f>
        <v>20190312154921784</v>
      </c>
      <c r="B4315" t="str">
        <f>"1552376961780058"</f>
        <v>1552376961780058</v>
      </c>
      <c r="C4315" t="s">
        <v>40</v>
      </c>
      <c r="D4315">
        <v>4.8215500000000002</v>
      </c>
      <c r="E4315">
        <v>0.4927453</v>
      </c>
      <c r="F4315" t="s">
        <v>42</v>
      </c>
      <c r="G4315">
        <v>-234.01929999999999</v>
      </c>
      <c r="H4315" s="1">
        <v>-3.1729020000000002E-6</v>
      </c>
      <c r="I4315">
        <v>141.9649</v>
      </c>
      <c r="J4315">
        <v>-216.31659999999999</v>
      </c>
      <c r="K4315">
        <v>1.1086780000000001</v>
      </c>
      <c r="L4315">
        <v>142.0633</v>
      </c>
      <c r="M4315">
        <v>-0.99845150000000005</v>
      </c>
      <c r="N4315">
        <v>0</v>
      </c>
      <c r="O4315">
        <v>-5.5464649999999997E-2</v>
      </c>
      <c r="P4315">
        <v>-0.99986799999999998</v>
      </c>
      <c r="Q4315">
        <v>7.3154439999999999E-3</v>
      </c>
      <c r="R4315">
        <v>1.4516940000000001E-2</v>
      </c>
      <c r="S4315">
        <v>-3.00177</v>
      </c>
      <c r="T4315">
        <v>-0.18574180000000001</v>
      </c>
      <c r="U4315">
        <v>-1.843262E-2</v>
      </c>
      <c r="V4315">
        <v>6.9953399999999999E-2</v>
      </c>
      <c r="W4315">
        <v>1.158766E-2</v>
      </c>
      <c r="X4315">
        <v>0.99748300000000001</v>
      </c>
      <c r="Y4315">
        <v>4.9133160000000002E-2</v>
      </c>
      <c r="Z4315">
        <v>4.9459120000000002E-3</v>
      </c>
      <c r="AA4315">
        <v>0.99878</v>
      </c>
      <c r="AB4315">
        <v>20</v>
      </c>
      <c r="AC4315">
        <v>-17.702699999999901</v>
      </c>
      <c r="AD4315">
        <v>-1.1086811729019901</v>
      </c>
      <c r="AE4315">
        <v>-9.8399999999998003E-2</v>
      </c>
      <c r="AF4315">
        <v>0.88018232514444905</v>
      </c>
      <c r="AG4315">
        <v>-1.1086811729019901</v>
      </c>
      <c r="AH4315">
        <v>17.611830929172399</v>
      </c>
      <c r="AI4315">
        <v>93.597591430943794</v>
      </c>
      <c r="AJ4315">
        <v>87.138922756817607</v>
      </c>
      <c r="AK4315">
        <v>17.668629928390001</v>
      </c>
      <c r="AL4315">
        <v>89.336061157719598</v>
      </c>
      <c r="AM4315">
        <v>85.988419726775504</v>
      </c>
      <c r="AN4315">
        <v>1.0000000436624099</v>
      </c>
    </row>
    <row r="4316" spans="1:40" x14ac:dyDescent="0.25">
      <c r="A4316" t="str">
        <f>"20190312154921808"</f>
        <v>20190312154921808</v>
      </c>
      <c r="B4316" t="str">
        <f>"1552376961800554"</f>
        <v>1552376961800554</v>
      </c>
      <c r="C4316" t="s">
        <v>40</v>
      </c>
      <c r="D4316">
        <v>4.8379159999999999</v>
      </c>
      <c r="E4316">
        <v>0.49250240000000001</v>
      </c>
      <c r="F4316" t="s">
        <v>42</v>
      </c>
      <c r="G4316">
        <v>-234.49350000000001</v>
      </c>
      <c r="H4316" s="1">
        <v>-2.9631230000000001E-6</v>
      </c>
      <c r="I4316">
        <v>141.9409</v>
      </c>
      <c r="J4316">
        <v>-216.52760000000001</v>
      </c>
      <c r="K4316">
        <v>1.1086240000000001</v>
      </c>
      <c r="L4316">
        <v>142.05189999999999</v>
      </c>
      <c r="M4316">
        <v>-0.99846979999999996</v>
      </c>
      <c r="N4316">
        <v>0</v>
      </c>
      <c r="O4316">
        <v>-5.5173600000000003E-2</v>
      </c>
      <c r="P4316">
        <v>-0.99986390000000003</v>
      </c>
      <c r="Q4316">
        <v>8.1869260000000006E-3</v>
      </c>
      <c r="R4316">
        <v>1.433939E-2</v>
      </c>
      <c r="S4316">
        <v>-3.002014</v>
      </c>
      <c r="T4316">
        <v>-0.1831052</v>
      </c>
      <c r="U4316">
        <v>-2.0202640000000001E-2</v>
      </c>
      <c r="V4316">
        <v>6.9484969999999993E-2</v>
      </c>
      <c r="W4316">
        <v>1.192524E-2</v>
      </c>
      <c r="X4316">
        <v>0.9975117</v>
      </c>
      <c r="Y4316">
        <v>4.8261320000000003E-2</v>
      </c>
      <c r="Z4316">
        <v>4.8311339999999999E-3</v>
      </c>
      <c r="AA4316">
        <v>0.99882300000000002</v>
      </c>
      <c r="AB4316">
        <v>21</v>
      </c>
      <c r="AC4316">
        <v>-17.965900000000001</v>
      </c>
      <c r="AD4316">
        <v>-1.1086269631229999</v>
      </c>
      <c r="AE4316">
        <v>-0.11099999999999</v>
      </c>
      <c r="AF4316">
        <v>0.87707975811263095</v>
      </c>
      <c r="AG4316">
        <v>-1.1086269631229999</v>
      </c>
      <c r="AH4316">
        <v>17.876590163683002</v>
      </c>
      <c r="AI4316">
        <v>93.544433263995003</v>
      </c>
      <c r="AJ4316">
        <v>87.191147559712803</v>
      </c>
      <c r="AK4316">
        <v>17.9323952255615</v>
      </c>
      <c r="AL4316">
        <v>89.316717870302796</v>
      </c>
      <c r="AM4316">
        <v>86.015309983121995</v>
      </c>
      <c r="AN4316">
        <v>0.99999998202092399</v>
      </c>
    </row>
    <row r="4317" spans="1:40" x14ac:dyDescent="0.25">
      <c r="A4317" t="str">
        <f>"20190312154921828"</f>
        <v>20190312154921828</v>
      </c>
      <c r="B4317" t="str">
        <f>"1552376961820074"</f>
        <v>1552376961820074</v>
      </c>
      <c r="C4317" t="s">
        <v>40</v>
      </c>
      <c r="D4317">
        <v>4.8003200000000001</v>
      </c>
      <c r="E4317">
        <v>0.49221549999999997</v>
      </c>
      <c r="F4317" t="s">
        <v>41</v>
      </c>
      <c r="G4317">
        <v>-217.4331</v>
      </c>
      <c r="H4317">
        <v>1.054055</v>
      </c>
      <c r="I4317">
        <v>142.04509999999999</v>
      </c>
      <c r="J4317">
        <v>-216.72909999999999</v>
      </c>
      <c r="K4317">
        <v>1.108565</v>
      </c>
      <c r="L4317">
        <v>142.041</v>
      </c>
      <c r="M4317">
        <v>-0.99848570000000003</v>
      </c>
      <c r="N4317">
        <v>0</v>
      </c>
      <c r="O4317">
        <v>-5.4913389999999999E-2</v>
      </c>
      <c r="P4317">
        <v>-0.99986580000000003</v>
      </c>
      <c r="Q4317">
        <v>9.5430789999999995E-3</v>
      </c>
      <c r="R4317">
        <v>1.332413E-2</v>
      </c>
      <c r="S4317">
        <v>-3.0022129999999998</v>
      </c>
      <c r="T4317">
        <v>-0.1809694</v>
      </c>
      <c r="U4317">
        <v>-2.2628780000000001E-2</v>
      </c>
      <c r="V4317">
        <v>6.8211679999999997E-2</v>
      </c>
      <c r="W4317">
        <v>1.2806369999999999E-2</v>
      </c>
      <c r="X4317">
        <v>0.99758869999999999</v>
      </c>
      <c r="Y4317">
        <v>4.7201100000000003E-2</v>
      </c>
      <c r="Z4317">
        <v>4.726956E-3</v>
      </c>
      <c r="AA4317">
        <v>0.99887420000000005</v>
      </c>
      <c r="AB4317">
        <v>21</v>
      </c>
      <c r="AC4317">
        <v>-0.70400000000000695</v>
      </c>
      <c r="AD4317">
        <v>-5.4510000000000003E-2</v>
      </c>
      <c r="AE4317">
        <v>4.0999999999939904E-3</v>
      </c>
      <c r="AF4317">
        <v>4.2498270397110599E-2</v>
      </c>
      <c r="AG4317">
        <v>-5.4510000000000003E-2</v>
      </c>
      <c r="AH4317">
        <v>0.69852490489734498</v>
      </c>
      <c r="AI4317">
        <v>94.453881144626607</v>
      </c>
      <c r="AJ4317">
        <v>86.518415002277493</v>
      </c>
      <c r="AK4317">
        <v>0.70193624058641602</v>
      </c>
      <c r="AL4317">
        <v>89.266229009024002</v>
      </c>
      <c r="AM4317">
        <v>86.0884003564274</v>
      </c>
      <c r="AN4317">
        <v>1.00000002538434</v>
      </c>
    </row>
    <row r="4318" spans="1:40" x14ac:dyDescent="0.25">
      <c r="A4318" t="str">
        <f>"20190312154921850"</f>
        <v>20190312154921850</v>
      </c>
      <c r="B4318" t="str">
        <f>"1552376961840571"</f>
        <v>1552376961840571</v>
      </c>
      <c r="C4318" t="s">
        <v>40</v>
      </c>
      <c r="D4318">
        <v>4.8189679999999999</v>
      </c>
      <c r="E4318">
        <v>0.49197960000000002</v>
      </c>
      <c r="F4318" t="s">
        <v>41</v>
      </c>
      <c r="G4318">
        <v>-217.62469999999999</v>
      </c>
      <c r="H4318">
        <v>1.0554829999999999</v>
      </c>
      <c r="I4318">
        <v>142.03280000000001</v>
      </c>
      <c r="J4318">
        <v>-216.92959999999999</v>
      </c>
      <c r="K4318">
        <v>1.1085020000000001</v>
      </c>
      <c r="L4318">
        <v>142.03030000000001</v>
      </c>
      <c r="M4318">
        <v>-0.99850090000000002</v>
      </c>
      <c r="N4318">
        <v>0</v>
      </c>
      <c r="O4318">
        <v>-5.4662019999999999E-2</v>
      </c>
      <c r="P4318">
        <v>-0.99986839999999999</v>
      </c>
      <c r="Q4318">
        <v>9.8716659999999994E-3</v>
      </c>
      <c r="R4318">
        <v>1.288007E-2</v>
      </c>
      <c r="S4318">
        <v>-3.0024570000000002</v>
      </c>
      <c r="T4318">
        <v>-0.17805550000000001</v>
      </c>
      <c r="U4318">
        <v>-2.8091430000000001E-2</v>
      </c>
      <c r="V4318">
        <v>6.7517789999999994E-2</v>
      </c>
      <c r="W4318">
        <v>1.269909E-2</v>
      </c>
      <c r="X4318">
        <v>0.99763729999999995</v>
      </c>
      <c r="Y4318">
        <v>4.514286E-2</v>
      </c>
      <c r="Z4318">
        <v>4.5746709999999998E-3</v>
      </c>
      <c r="AA4318">
        <v>0.99897009999999997</v>
      </c>
      <c r="AB4318">
        <v>21</v>
      </c>
      <c r="AC4318">
        <v>-0.69509999999999605</v>
      </c>
      <c r="AD4318">
        <v>-5.3019000000000101E-2</v>
      </c>
      <c r="AE4318">
        <v>2.4999999999977202E-3</v>
      </c>
      <c r="AF4318">
        <v>4.0257770789226599E-2</v>
      </c>
      <c r="AG4318">
        <v>-5.3019000000000101E-2</v>
      </c>
      <c r="AH4318">
        <v>0.68991030399199804</v>
      </c>
      <c r="AI4318">
        <v>94.387059495085396</v>
      </c>
      <c r="AJ4318">
        <v>86.6604532396736</v>
      </c>
      <c r="AK4318">
        <v>0.69311465864188004</v>
      </c>
      <c r="AL4318">
        <v>89.272376218332894</v>
      </c>
      <c r="AM4318">
        <v>86.128257881840796</v>
      </c>
      <c r="AN4318">
        <v>1.0000000506022899</v>
      </c>
    </row>
    <row r="4319" spans="1:40" x14ac:dyDescent="0.25">
      <c r="A4319" t="str">
        <f>"20190312154921871"</f>
        <v>20190312154921871</v>
      </c>
      <c r="B4319" t="str">
        <f>"1552376961860090"</f>
        <v>1552376961860090</v>
      </c>
      <c r="C4319" t="s">
        <v>40</v>
      </c>
      <c r="D4319">
        <v>4.8496509999999997</v>
      </c>
      <c r="E4319">
        <v>0.49177080000000001</v>
      </c>
      <c r="F4319" t="s">
        <v>41</v>
      </c>
      <c r="G4319">
        <v>-217.8176</v>
      </c>
      <c r="H4319">
        <v>1.0562400000000001</v>
      </c>
      <c r="I4319">
        <v>142.02109999999999</v>
      </c>
      <c r="J4319">
        <v>-217.1439</v>
      </c>
      <c r="K4319">
        <v>1.1084350000000001</v>
      </c>
      <c r="L4319">
        <v>142.0188</v>
      </c>
      <c r="M4319">
        <v>-0.99851670000000003</v>
      </c>
      <c r="N4319">
        <v>0</v>
      </c>
      <c r="O4319">
        <v>-5.4392410000000002E-2</v>
      </c>
      <c r="P4319">
        <v>-0.99986189999999997</v>
      </c>
      <c r="Q4319">
        <v>9.6780200000000007E-3</v>
      </c>
      <c r="R4319">
        <v>1.352195E-2</v>
      </c>
      <c r="S4319">
        <v>-3.002548</v>
      </c>
      <c r="T4319">
        <v>-0.17669949999999901</v>
      </c>
      <c r="U4319">
        <v>-3.1311039999999998E-2</v>
      </c>
      <c r="V4319">
        <v>6.7889749999999999E-2</v>
      </c>
      <c r="W4319">
        <v>1.208449E-2</v>
      </c>
      <c r="X4319">
        <v>0.99761960000000005</v>
      </c>
      <c r="Y4319">
        <v>4.3807690000000003E-2</v>
      </c>
      <c r="Z4319">
        <v>4.4846189999999996E-3</v>
      </c>
      <c r="AA4319">
        <v>0.99902990000000003</v>
      </c>
      <c r="AB4319">
        <v>21</v>
      </c>
      <c r="AC4319">
        <v>-0.67369999999999597</v>
      </c>
      <c r="AD4319">
        <v>-5.2194999999999901E-2</v>
      </c>
      <c r="AE4319">
        <v>2.29999999999108E-3</v>
      </c>
      <c r="AF4319">
        <v>3.8708527991658498E-2</v>
      </c>
      <c r="AG4319">
        <v>-5.2194999999999901E-2</v>
      </c>
      <c r="AH4319">
        <v>0.66856462729613697</v>
      </c>
      <c r="AI4319">
        <v>94.456607217892099</v>
      </c>
      <c r="AJ4319">
        <v>86.686390548681899</v>
      </c>
      <c r="AK4319">
        <v>0.67171521423584302</v>
      </c>
      <c r="AL4319">
        <v>89.307592844213801</v>
      </c>
      <c r="AM4319">
        <v>86.106924746633496</v>
      </c>
      <c r="AN4319">
        <v>0.99999995967888999</v>
      </c>
    </row>
    <row r="4320" spans="1:40" x14ac:dyDescent="0.25">
      <c r="A4320" t="str">
        <f>"20190312154921894"</f>
        <v>20190312154921894</v>
      </c>
      <c r="B4320" t="str">
        <f>"1552376961890346"</f>
        <v>1552376961890346</v>
      </c>
      <c r="C4320" t="s">
        <v>40</v>
      </c>
      <c r="D4320">
        <v>4.8624260000000001</v>
      </c>
      <c r="E4320">
        <v>0.49148399999999998</v>
      </c>
      <c r="F4320" t="s">
        <v>41</v>
      </c>
      <c r="G4320">
        <v>-218.0127</v>
      </c>
      <c r="H4320">
        <v>1.057274</v>
      </c>
      <c r="I4320">
        <v>142.01</v>
      </c>
      <c r="J4320">
        <v>-217.36590000000001</v>
      </c>
      <c r="K4320">
        <v>1.1083670000000001</v>
      </c>
      <c r="L4320">
        <v>142.00700000000001</v>
      </c>
      <c r="M4320">
        <v>-0.99853309999999995</v>
      </c>
      <c r="N4320">
        <v>0</v>
      </c>
      <c r="O4320">
        <v>-5.4106010000000003E-2</v>
      </c>
      <c r="P4320">
        <v>-0.99983829999999996</v>
      </c>
      <c r="Q4320">
        <v>9.5081000000000002E-3</v>
      </c>
      <c r="R4320">
        <v>1.526013E-2</v>
      </c>
      <c r="S4320">
        <v>-3.0025629999999999</v>
      </c>
      <c r="T4320">
        <v>-0.1769075</v>
      </c>
      <c r="U4320">
        <v>-3.1204220000000001E-2</v>
      </c>
      <c r="V4320">
        <v>6.9338350000000007E-2</v>
      </c>
      <c r="W4320">
        <v>1.152711E-2</v>
      </c>
      <c r="X4320">
        <v>0.99752660000000004</v>
      </c>
      <c r="Y4320">
        <v>4.3557199999999997E-2</v>
      </c>
      <c r="Z4320">
        <v>4.4656540000000003E-3</v>
      </c>
      <c r="AA4320">
        <v>0.99904099999999996</v>
      </c>
      <c r="AB4320">
        <v>22</v>
      </c>
      <c r="AC4320">
        <v>-0.64679999999998405</v>
      </c>
      <c r="AD4320">
        <v>-5.1093E-2</v>
      </c>
      <c r="AE4320">
        <v>2.9999999999858998E-3</v>
      </c>
      <c r="AF4320">
        <v>3.7755855628231402E-2</v>
      </c>
      <c r="AG4320">
        <v>-5.1093E-2</v>
      </c>
      <c r="AH4320">
        <v>0.64168622383222296</v>
      </c>
      <c r="AI4320">
        <v>94.544632171130402</v>
      </c>
      <c r="AJ4320">
        <v>86.632684477067599</v>
      </c>
      <c r="AK4320">
        <v>0.64482339375931197</v>
      </c>
      <c r="AL4320">
        <v>89.339530619490603</v>
      </c>
      <c r="AM4320">
        <v>86.023750267735807</v>
      </c>
      <c r="AN4320">
        <v>0.99999999937661699</v>
      </c>
    </row>
    <row r="4321" spans="1:40" x14ac:dyDescent="0.25">
      <c r="A4321" t="str">
        <f>"20190312154921917"</f>
        <v>20190312154921917</v>
      </c>
      <c r="B4321" t="str">
        <f>"1552376961909866"</f>
        <v>1552376961909866</v>
      </c>
      <c r="C4321" t="s">
        <v>40</v>
      </c>
      <c r="D4321">
        <v>5.0079200000000004</v>
      </c>
      <c r="E4321">
        <v>0.49150709999999997</v>
      </c>
      <c r="F4321" t="s">
        <v>41</v>
      </c>
      <c r="G4321">
        <v>-218.21</v>
      </c>
      <c r="H4321">
        <v>1.058595</v>
      </c>
      <c r="I4321">
        <v>141.9991</v>
      </c>
      <c r="J4321">
        <v>-217.59540000000001</v>
      </c>
      <c r="K4321">
        <v>1.1083080000000001</v>
      </c>
      <c r="L4321">
        <v>141.9949</v>
      </c>
      <c r="M4321">
        <v>-0.99855039999999995</v>
      </c>
      <c r="N4321">
        <v>0</v>
      </c>
      <c r="O4321">
        <v>-5.3799939999999997E-2</v>
      </c>
      <c r="P4321">
        <v>-0.99980040000000003</v>
      </c>
      <c r="Q4321">
        <v>9.3426540000000006E-3</v>
      </c>
      <c r="R4321">
        <v>1.765897E-2</v>
      </c>
      <c r="S4321">
        <v>-3.0025940000000002</v>
      </c>
      <c r="T4321">
        <v>-0.17712700000000001</v>
      </c>
      <c r="U4321">
        <v>-2.8503420000000002E-2</v>
      </c>
      <c r="V4321">
        <v>7.1426240000000002E-2</v>
      </c>
      <c r="W4321">
        <v>1.1008820000000001E-2</v>
      </c>
      <c r="X4321">
        <v>0.99738510000000002</v>
      </c>
      <c r="Y4321">
        <v>4.4148659999999999E-2</v>
      </c>
      <c r="Z4321">
        <v>4.4705889999999996E-3</v>
      </c>
      <c r="AA4321">
        <v>0.99901499999999999</v>
      </c>
      <c r="AB4321">
        <v>22</v>
      </c>
      <c r="AC4321">
        <v>-0.61459999999999504</v>
      </c>
      <c r="AD4321">
        <v>-4.9712999999999799E-2</v>
      </c>
      <c r="AE4321">
        <v>4.1999999999973101E-3</v>
      </c>
      <c r="AF4321">
        <v>3.7017224383013199E-2</v>
      </c>
      <c r="AG4321">
        <v>-4.9712999999999799E-2</v>
      </c>
      <c r="AH4321">
        <v>0.60949638776706105</v>
      </c>
      <c r="AI4321">
        <v>94.654415749169601</v>
      </c>
      <c r="AJ4321">
        <v>86.524460608768507</v>
      </c>
      <c r="AK4321">
        <v>0.61263978320960999</v>
      </c>
      <c r="AL4321">
        <v>89.369228316117699</v>
      </c>
      <c r="AM4321">
        <v>85.903841394564196</v>
      </c>
      <c r="AN4321">
        <v>0.99999996979016903</v>
      </c>
    </row>
    <row r="4322" spans="1:40" x14ac:dyDescent="0.25">
      <c r="A4322" t="str">
        <f>"20190312154921945"</f>
        <v>20190312154921945</v>
      </c>
      <c r="B4322" t="str">
        <f>"1552376961940123"</f>
        <v>1552376961940123</v>
      </c>
      <c r="C4322" t="s">
        <v>40</v>
      </c>
      <c r="D4322">
        <v>4.8595160000000002</v>
      </c>
      <c r="E4322">
        <v>0.52763719999999903</v>
      </c>
      <c r="F4322" t="s">
        <v>41</v>
      </c>
      <c r="G4322">
        <v>-218.41720000000001</v>
      </c>
      <c r="H4322">
        <v>1.0593840000000001</v>
      </c>
      <c r="I4322">
        <v>141.98929999999999</v>
      </c>
      <c r="J4322">
        <v>-217.87610000000001</v>
      </c>
      <c r="K4322">
        <v>1.1082419999999999</v>
      </c>
      <c r="L4322">
        <v>141.9802</v>
      </c>
      <c r="M4322">
        <v>-0.99857180000000001</v>
      </c>
      <c r="N4322">
        <v>0</v>
      </c>
      <c r="O4322">
        <v>-5.3412279999999999E-2</v>
      </c>
      <c r="P4322">
        <v>-0.9997627</v>
      </c>
      <c r="Q4322">
        <v>9.1029539999999999E-3</v>
      </c>
      <c r="R4322">
        <v>1.9795859999999998E-2</v>
      </c>
      <c r="S4322">
        <v>-3.0026250000000001</v>
      </c>
      <c r="T4322">
        <v>-0.1788082</v>
      </c>
      <c r="U4322">
        <v>-2.1286010000000001E-2</v>
      </c>
      <c r="V4322">
        <v>7.3171260000000002E-2</v>
      </c>
      <c r="W4322">
        <v>1.039755E-2</v>
      </c>
      <c r="X4322">
        <v>0.99726519999999996</v>
      </c>
      <c r="Y4322">
        <v>4.6155839999999997E-2</v>
      </c>
      <c r="Z4322">
        <v>4.5496690000000001E-3</v>
      </c>
      <c r="AA4322">
        <v>0.99892389999999998</v>
      </c>
      <c r="AB4322">
        <v>22</v>
      </c>
      <c r="AC4322">
        <v>-0.54110000000000003</v>
      </c>
      <c r="AD4322">
        <v>-4.8857999999999797E-2</v>
      </c>
      <c r="AE4322">
        <v>9.0999999999894499E-3</v>
      </c>
      <c r="AF4322">
        <v>3.7681288489267301E-2</v>
      </c>
      <c r="AG4322">
        <v>-4.8857999999999797E-2</v>
      </c>
      <c r="AH4322">
        <v>0.53547705250015598</v>
      </c>
      <c r="AI4322">
        <v>95.200556995554294</v>
      </c>
      <c r="AJ4322">
        <v>85.974756205374703</v>
      </c>
      <c r="AK4322">
        <v>0.53902008999708495</v>
      </c>
      <c r="AL4322">
        <v>89.404253539525897</v>
      </c>
      <c r="AM4322">
        <v>85.803618331864698</v>
      </c>
      <c r="AN4322">
        <v>1.0000000107335101</v>
      </c>
    </row>
    <row r="4323" spans="1:40" x14ac:dyDescent="0.25">
      <c r="A4323" t="str">
        <f>"20190312154921963"</f>
        <v>20190312154921963</v>
      </c>
      <c r="B4323" t="str">
        <f>"1552376961949882"</f>
        <v>1552376961949882</v>
      </c>
      <c r="C4323" t="s">
        <v>40</v>
      </c>
      <c r="D4323">
        <v>4.9063140000000001</v>
      </c>
      <c r="E4323">
        <v>0.52914490000000003</v>
      </c>
      <c r="F4323" t="s">
        <v>41</v>
      </c>
      <c r="G4323">
        <v>-218.74520000000001</v>
      </c>
      <c r="H4323">
        <v>0.91770600000000002</v>
      </c>
      <c r="I4323">
        <v>142.05529999999999</v>
      </c>
      <c r="J4323">
        <v>-218.05840000000001</v>
      </c>
      <c r="K4323">
        <v>1.1082019999999999</v>
      </c>
      <c r="L4323">
        <v>141.97069999999999</v>
      </c>
      <c r="M4323">
        <v>-0.99858590000000003</v>
      </c>
      <c r="N4323">
        <v>0</v>
      </c>
      <c r="O4323">
        <v>-5.3154460000000001E-2</v>
      </c>
      <c r="P4323">
        <v>-0.9997355</v>
      </c>
      <c r="Q4323">
        <v>8.4281709999999999E-3</v>
      </c>
      <c r="R4323">
        <v>2.1413430000000001E-2</v>
      </c>
      <c r="S4323">
        <v>-3.0015719999999999</v>
      </c>
      <c r="T4323">
        <v>-0.65810639999999998</v>
      </c>
      <c r="U4323">
        <v>0.25857540000000001</v>
      </c>
      <c r="V4323">
        <v>7.4527860000000001E-2</v>
      </c>
      <c r="W4323">
        <v>9.5168749999999993E-3</v>
      </c>
      <c r="X4323">
        <v>0.99717350000000005</v>
      </c>
      <c r="Y4323">
        <v>0.13424259999999999</v>
      </c>
      <c r="Z4323">
        <v>2.601728E-2</v>
      </c>
      <c r="AA4323">
        <v>0.99060689999999996</v>
      </c>
      <c r="AB4323">
        <v>22</v>
      </c>
      <c r="AC4323">
        <v>-0.68680000000000496</v>
      </c>
      <c r="AD4323">
        <v>-0.190496</v>
      </c>
      <c r="AE4323">
        <v>8.4599999999994596E-2</v>
      </c>
      <c r="AF4323">
        <v>0.112464051988445</v>
      </c>
      <c r="AG4323">
        <v>-0.190496</v>
      </c>
      <c r="AH4323">
        <v>0.63333617903656803</v>
      </c>
      <c r="AI4323">
        <v>106.496596552558</v>
      </c>
      <c r="AJ4323">
        <v>79.930719145466597</v>
      </c>
      <c r="AK4323">
        <v>0.670858856006462</v>
      </c>
      <c r="AL4323">
        <v>89.454714986594993</v>
      </c>
      <c r="AM4323">
        <v>85.725711238995004</v>
      </c>
      <c r="AN4323">
        <v>0.99999998096409703</v>
      </c>
    </row>
    <row r="4324" spans="1:40" x14ac:dyDescent="0.25">
      <c r="A4324" t="str">
        <f>"20190312154921986"</f>
        <v>20190312154921986</v>
      </c>
      <c r="B4324" t="str">
        <f>"1552376961970378"</f>
        <v>1552376961970378</v>
      </c>
      <c r="C4324" t="s">
        <v>40</v>
      </c>
      <c r="D4324">
        <v>4.8480559999999997</v>
      </c>
      <c r="E4324">
        <v>0.52887200000000001</v>
      </c>
      <c r="F4324" t="s">
        <v>41</v>
      </c>
      <c r="G4324">
        <v>-218.75550000000001</v>
      </c>
      <c r="H4324">
        <v>0.94474860000000005</v>
      </c>
      <c r="I4324">
        <v>142.03460000000001</v>
      </c>
      <c r="J4324">
        <v>-218.27850000000001</v>
      </c>
      <c r="K4324">
        <v>1.1081639999999999</v>
      </c>
      <c r="L4324">
        <v>141.95930000000001</v>
      </c>
      <c r="M4324">
        <v>-0.99860269999999995</v>
      </c>
      <c r="N4324">
        <v>0</v>
      </c>
      <c r="O4324">
        <v>-5.2839200000000003E-2</v>
      </c>
      <c r="P4324">
        <v>-0.99972280000000002</v>
      </c>
      <c r="Q4324">
        <v>7.1398080000000001E-3</v>
      </c>
      <c r="R4324">
        <v>2.243707E-2</v>
      </c>
      <c r="S4324">
        <v>-3.0008699999999999</v>
      </c>
      <c r="T4324">
        <v>-0.70366119999999899</v>
      </c>
      <c r="U4324">
        <v>0.27427669999999998</v>
      </c>
      <c r="V4324">
        <v>7.5233939999999999E-2</v>
      </c>
      <c r="W4324">
        <v>8.0091729999999996E-3</v>
      </c>
      <c r="X4324">
        <v>0.99713370000000001</v>
      </c>
      <c r="Y4324">
        <v>0.13836329999999999</v>
      </c>
      <c r="Z4324">
        <v>2.8175849999999999E-2</v>
      </c>
      <c r="AA4324">
        <v>0.98998059999999999</v>
      </c>
      <c r="AB4324">
        <v>22</v>
      </c>
      <c r="AC4324">
        <v>-0.47700000000000298</v>
      </c>
      <c r="AD4324">
        <v>-0.16341539999999999</v>
      </c>
      <c r="AE4324">
        <v>7.5299999999998493E-2</v>
      </c>
      <c r="AF4324">
        <v>9.00833032743064E-2</v>
      </c>
      <c r="AG4324">
        <v>-0.16341539999999999</v>
      </c>
      <c r="AH4324">
        <v>0.42382132008270201</v>
      </c>
      <c r="AI4324">
        <v>110.664012117154</v>
      </c>
      <c r="AJ4324">
        <v>78.000349138636807</v>
      </c>
      <c r="AK4324">
        <v>0.46308110071845399</v>
      </c>
      <c r="AL4324">
        <v>89.541103262439705</v>
      </c>
      <c r="AM4324">
        <v>85.685197090810604</v>
      </c>
      <c r="AN4324">
        <v>0.99999995412787701</v>
      </c>
    </row>
    <row r="4325" spans="1:40" x14ac:dyDescent="0.25">
      <c r="A4325" t="str">
        <f>"20190312154922009"</f>
        <v>20190312154922009</v>
      </c>
      <c r="B4325" t="str">
        <f>"1552376961999658"</f>
        <v>1552376961999658</v>
      </c>
      <c r="C4325" t="s">
        <v>40</v>
      </c>
      <c r="D4325">
        <v>4.9239959999999998</v>
      </c>
      <c r="E4325">
        <v>0.52931879999999998</v>
      </c>
      <c r="F4325" t="s">
        <v>41</v>
      </c>
      <c r="G4325">
        <v>-219.14510000000001</v>
      </c>
      <c r="H4325">
        <v>0.89406180000000002</v>
      </c>
      <c r="I4325">
        <v>142.03880000000001</v>
      </c>
      <c r="J4325">
        <v>-218.51759999999999</v>
      </c>
      <c r="K4325">
        <v>1.1081209999999999</v>
      </c>
      <c r="L4325">
        <v>141.947</v>
      </c>
      <c r="M4325">
        <v>-0.99862099999999998</v>
      </c>
      <c r="N4325">
        <v>0</v>
      </c>
      <c r="O4325">
        <v>-5.2495010000000002E-2</v>
      </c>
      <c r="P4325">
        <v>-0.9997277</v>
      </c>
      <c r="Q4325">
        <v>6.4581869999999998E-3</v>
      </c>
      <c r="R4325">
        <v>2.2436399999999999E-2</v>
      </c>
      <c r="S4325">
        <v>-2.9999539999999998</v>
      </c>
      <c r="T4325">
        <v>-0.74121729999999997</v>
      </c>
      <c r="U4325">
        <v>0.27447510000000003</v>
      </c>
      <c r="V4325">
        <v>7.4889739999999996E-2</v>
      </c>
      <c r="W4325">
        <v>7.1256210000000004E-3</v>
      </c>
      <c r="X4325">
        <v>0.99716629999999995</v>
      </c>
      <c r="Y4325">
        <v>0.1375885</v>
      </c>
      <c r="Z4325">
        <v>2.9467989999999999E-2</v>
      </c>
      <c r="AA4325">
        <v>0.99005100000000001</v>
      </c>
      <c r="AB4325">
        <v>23</v>
      </c>
      <c r="AC4325">
        <v>-0.62750000000002604</v>
      </c>
      <c r="AD4325">
        <v>-0.21405919999999901</v>
      </c>
      <c r="AE4325">
        <v>9.1800000000006293E-2</v>
      </c>
      <c r="AF4325">
        <v>0.111868689711068</v>
      </c>
      <c r="AG4325">
        <v>-0.21405919999999901</v>
      </c>
      <c r="AH4325">
        <v>0.55821725937525801</v>
      </c>
      <c r="AI4325">
        <v>110.60592999704799</v>
      </c>
      <c r="AJ4325">
        <v>78.6678398703623</v>
      </c>
      <c r="AK4325">
        <v>0.60822894826433205</v>
      </c>
      <c r="AL4325">
        <v>89.591728510269306</v>
      </c>
      <c r="AM4325">
        <v>85.705003436968894</v>
      </c>
      <c r="AN4325">
        <v>0.999999938743794</v>
      </c>
    </row>
    <row r="4326" spans="1:40" x14ac:dyDescent="0.25">
      <c r="A4326" t="str">
        <f>"20190312154922030"</f>
        <v>20190312154922030</v>
      </c>
      <c r="B4326" t="str">
        <f>"1552376962020154"</f>
        <v>1552376962020154</v>
      </c>
      <c r="C4326" t="s">
        <v>40</v>
      </c>
      <c r="D4326">
        <v>4.9037189999999997</v>
      </c>
      <c r="E4326">
        <v>0.52938580000000002</v>
      </c>
      <c r="F4326" t="s">
        <v>41</v>
      </c>
      <c r="G4326">
        <v>-219.35220000000001</v>
      </c>
      <c r="H4326">
        <v>0.89424939999999997</v>
      </c>
      <c r="I4326">
        <v>142.02430000000001</v>
      </c>
      <c r="J4326">
        <v>-218.7338</v>
      </c>
      <c r="K4326">
        <v>1.1080909999999999</v>
      </c>
      <c r="L4326">
        <v>141.93600000000001</v>
      </c>
      <c r="M4326">
        <v>-0.99863749999999996</v>
      </c>
      <c r="N4326">
        <v>0</v>
      </c>
      <c r="O4326">
        <v>-5.2183630000000002E-2</v>
      </c>
      <c r="P4326">
        <v>-0.99973460000000003</v>
      </c>
      <c r="Q4326">
        <v>6.4481119999999998E-3</v>
      </c>
      <c r="R4326">
        <v>2.21225E-2</v>
      </c>
      <c r="S4326">
        <v>-2.9995569999999998</v>
      </c>
      <c r="T4326">
        <v>-0.76868689999999995</v>
      </c>
      <c r="U4326">
        <v>0.27754210000000001</v>
      </c>
      <c r="V4326">
        <v>7.4265739999999997E-2</v>
      </c>
      <c r="W4326">
        <v>6.9572999999999996E-3</v>
      </c>
      <c r="X4326">
        <v>0.99721420000000005</v>
      </c>
      <c r="Y4326">
        <v>0.13787369999999999</v>
      </c>
      <c r="Z4326">
        <v>3.0486800000000001E-2</v>
      </c>
      <c r="AA4326">
        <v>0.98998050000000004</v>
      </c>
      <c r="AB4326">
        <v>23</v>
      </c>
      <c r="AC4326">
        <v>-0.61840000000000805</v>
      </c>
      <c r="AD4326">
        <v>-0.21384159999999899</v>
      </c>
      <c r="AE4326">
        <v>8.8300000000003806E-2</v>
      </c>
      <c r="AF4326">
        <v>0.10781546368869099</v>
      </c>
      <c r="AG4326">
        <v>-0.21384159999999899</v>
      </c>
      <c r="AH4326">
        <v>0.54865438481822804</v>
      </c>
      <c r="AI4326">
        <v>110.92896709266201</v>
      </c>
      <c r="AJ4326">
        <v>78.882528627631103</v>
      </c>
      <c r="AK4326">
        <v>0.59864349832035701</v>
      </c>
      <c r="AL4326">
        <v>89.601372850282502</v>
      </c>
      <c r="AM4326">
        <v>85.7408620071878</v>
      </c>
      <c r="AN4326">
        <v>0.99999998242133803</v>
      </c>
    </row>
    <row r="4327" spans="1:40" x14ac:dyDescent="0.25">
      <c r="A4327" t="str">
        <f>"20190312154922052"</f>
        <v>20190312154922052</v>
      </c>
      <c r="B4327" t="str">
        <f>"1552376962039674"</f>
        <v>1552376962039674</v>
      </c>
      <c r="C4327" t="s">
        <v>40</v>
      </c>
      <c r="D4327">
        <v>4.9394119999999999</v>
      </c>
      <c r="E4327">
        <v>0.52951490000000001</v>
      </c>
      <c r="F4327" t="s">
        <v>41</v>
      </c>
      <c r="G4327">
        <v>-219.56110000000001</v>
      </c>
      <c r="H4327">
        <v>0.89352310000000001</v>
      </c>
      <c r="I4327">
        <v>142.01259999999999</v>
      </c>
      <c r="J4327">
        <v>-218.96889999999999</v>
      </c>
      <c r="K4327">
        <v>1.1080639999999999</v>
      </c>
      <c r="L4327">
        <v>141.92400000000001</v>
      </c>
      <c r="M4327">
        <v>-0.99865510000000002</v>
      </c>
      <c r="N4327">
        <v>0</v>
      </c>
      <c r="O4327">
        <v>-5.184544E-2</v>
      </c>
      <c r="P4327">
        <v>-0.99973979999999996</v>
      </c>
      <c r="Q4327">
        <v>6.3553519999999999E-3</v>
      </c>
      <c r="R4327">
        <v>2.1911090000000001E-2</v>
      </c>
      <c r="S4327">
        <v>-2.9996800000000001</v>
      </c>
      <c r="T4327">
        <v>-0.77794659999999904</v>
      </c>
      <c r="U4327">
        <v>0.2774353</v>
      </c>
      <c r="V4327">
        <v>7.3717240000000003E-2</v>
      </c>
      <c r="W4327">
        <v>6.7165039999999999E-3</v>
      </c>
      <c r="X4327">
        <v>0.99725660000000005</v>
      </c>
      <c r="Y4327">
        <v>0.13738229999999901</v>
      </c>
      <c r="Z4327">
        <v>3.0692569999999999E-2</v>
      </c>
      <c r="AA4327">
        <v>0.99004239999999999</v>
      </c>
      <c r="AB4327">
        <v>23</v>
      </c>
      <c r="AC4327">
        <v>-0.59220000000001904</v>
      </c>
      <c r="AD4327">
        <v>-0.21454089999999901</v>
      </c>
      <c r="AE4327">
        <v>8.8599999999985302E-2</v>
      </c>
      <c r="AF4327">
        <v>0.10562450956000199</v>
      </c>
      <c r="AG4327">
        <v>-0.21454089999999901</v>
      </c>
      <c r="AH4327">
        <v>0.52005028526707198</v>
      </c>
      <c r="AI4327">
        <v>112.012714226405</v>
      </c>
      <c r="AJ4327">
        <v>78.519141285025398</v>
      </c>
      <c r="AK4327">
        <v>0.57239552234356605</v>
      </c>
      <c r="AL4327">
        <v>89.615169787611194</v>
      </c>
      <c r="AM4327">
        <v>85.772383085371303</v>
      </c>
      <c r="AN4327">
        <v>1.00000003457137</v>
      </c>
    </row>
    <row r="4328" spans="1:40" x14ac:dyDescent="0.25">
      <c r="A4328" t="str">
        <f>"20190312154922073"</f>
        <v>20190312154922073</v>
      </c>
      <c r="B4328" t="str">
        <f>"1552376962060170"</f>
        <v>1552376962060170</v>
      </c>
      <c r="C4328" t="s">
        <v>40</v>
      </c>
      <c r="D4328">
        <v>4.9484839999999997</v>
      </c>
      <c r="E4328">
        <v>0.52963419999999894</v>
      </c>
      <c r="F4328" t="s">
        <v>41</v>
      </c>
      <c r="G4328">
        <v>-219.77369999999999</v>
      </c>
      <c r="H4328">
        <v>0.89776540000000005</v>
      </c>
      <c r="I4328">
        <v>141.9984</v>
      </c>
      <c r="J4328">
        <v>-219.19909999999999</v>
      </c>
      <c r="K4328">
        <v>1.1080350000000001</v>
      </c>
      <c r="L4328">
        <v>141.91239999999999</v>
      </c>
      <c r="M4328">
        <v>-0.99867240000000002</v>
      </c>
      <c r="N4328">
        <v>0</v>
      </c>
      <c r="O4328">
        <v>-5.1514409999999997E-2</v>
      </c>
      <c r="P4328">
        <v>-0.99974569999999996</v>
      </c>
      <c r="Q4328">
        <v>5.796669E-3</v>
      </c>
      <c r="R4328">
        <v>2.1802189999999999E-2</v>
      </c>
      <c r="S4328">
        <v>-2.9996489999999998</v>
      </c>
      <c r="T4328">
        <v>-0.78375969999999995</v>
      </c>
      <c r="U4328">
        <v>0.2775879</v>
      </c>
      <c r="V4328">
        <v>7.3277839999999997E-2</v>
      </c>
      <c r="W4328">
        <v>6.0336859999999999E-3</v>
      </c>
      <c r="X4328">
        <v>0.99729330000000005</v>
      </c>
      <c r="Y4328">
        <v>0.13703589999999999</v>
      </c>
      <c r="Z4328">
        <v>3.0785449999999999E-2</v>
      </c>
      <c r="AA4328">
        <v>0.99008759999999996</v>
      </c>
      <c r="AB4328">
        <v>23</v>
      </c>
      <c r="AC4328">
        <v>-0.574600000000003</v>
      </c>
      <c r="AD4328">
        <v>-0.2102696</v>
      </c>
      <c r="AE4328">
        <v>8.6000000000012705E-2</v>
      </c>
      <c r="AF4328">
        <v>0.102111555636415</v>
      </c>
      <c r="AG4328">
        <v>-0.2102696</v>
      </c>
      <c r="AH4328">
        <v>0.50346382555437297</v>
      </c>
      <c r="AI4328">
        <v>112.25988275980001</v>
      </c>
      <c r="AJ4328">
        <v>78.534899246659094</v>
      </c>
      <c r="AK4328">
        <v>0.55508188415808801</v>
      </c>
      <c r="AL4328">
        <v>89.654293155080396</v>
      </c>
      <c r="AM4328">
        <v>85.797645822946905</v>
      </c>
      <c r="AN4328">
        <v>0.999999986713351</v>
      </c>
    </row>
    <row r="4329" spans="1:40" x14ac:dyDescent="0.25">
      <c r="A4329" t="str">
        <f>"20190312154922098"</f>
        <v>20190312154922098</v>
      </c>
      <c r="B4329" t="str">
        <f>"1552376962090426"</f>
        <v>1552376962090426</v>
      </c>
      <c r="C4329" t="s">
        <v>40</v>
      </c>
      <c r="D4329">
        <v>4.9483879999999996</v>
      </c>
      <c r="E4329">
        <v>0.529574199999999</v>
      </c>
      <c r="F4329" t="s">
        <v>41</v>
      </c>
      <c r="G4329">
        <v>-219.98769999999999</v>
      </c>
      <c r="H4329">
        <v>0.90048600000000001</v>
      </c>
      <c r="I4329">
        <v>141.98589999999999</v>
      </c>
      <c r="J4329">
        <v>-219.4547</v>
      </c>
      <c r="K4329">
        <v>1.108009</v>
      </c>
      <c r="L4329">
        <v>141.89959999999999</v>
      </c>
      <c r="M4329">
        <v>-0.99869110000000005</v>
      </c>
      <c r="N4329">
        <v>0</v>
      </c>
      <c r="O4329">
        <v>-5.1147739999999997E-2</v>
      </c>
      <c r="P4329">
        <v>-0.99973319999999999</v>
      </c>
      <c r="Q4329">
        <v>5.6466939999999998E-3</v>
      </c>
      <c r="R4329">
        <v>2.2403380000000001E-2</v>
      </c>
      <c r="S4329">
        <v>-2.9992830000000001</v>
      </c>
      <c r="T4329">
        <v>-0.78940929999999998</v>
      </c>
      <c r="U4329">
        <v>0.2786865</v>
      </c>
      <c r="V4329">
        <v>7.351162E-2</v>
      </c>
      <c r="W4329">
        <v>5.7666619999999997E-3</v>
      </c>
      <c r="X4329">
        <v>0.99727770000000004</v>
      </c>
      <c r="Y4329">
        <v>0.13696720000000001</v>
      </c>
      <c r="Z4329">
        <v>3.089973E-2</v>
      </c>
      <c r="AA4329">
        <v>0.99009349999999996</v>
      </c>
      <c r="AB4329">
        <v>24</v>
      </c>
      <c r="AC4329">
        <v>-0.53299999999998704</v>
      </c>
      <c r="AD4329">
        <v>-0.20752300000000001</v>
      </c>
      <c r="AE4329">
        <v>8.6299999999994201E-2</v>
      </c>
      <c r="AF4329">
        <v>9.8847095595801807E-2</v>
      </c>
      <c r="AG4329">
        <v>-0.20752300000000001</v>
      </c>
      <c r="AH4329">
        <v>0.459945206108894</v>
      </c>
      <c r="AI4329">
        <v>113.803177746185</v>
      </c>
      <c r="AJ4329">
        <v>77.871016397356897</v>
      </c>
      <c r="AK4329">
        <v>0.51418492437962304</v>
      </c>
      <c r="AL4329">
        <v>89.669592778151795</v>
      </c>
      <c r="AM4329">
        <v>85.784221506314793</v>
      </c>
      <c r="AN4329">
        <v>1.00000001179146</v>
      </c>
    </row>
    <row r="4330" spans="1:40" x14ac:dyDescent="0.25">
      <c r="A4330" t="str">
        <f>"20190312154922118"</f>
        <v>20190312154922118</v>
      </c>
      <c r="B4330" t="str">
        <f>"1552376962109946"</f>
        <v>1552376962109946</v>
      </c>
      <c r="C4330" t="s">
        <v>40</v>
      </c>
      <c r="D4330">
        <v>4.976985</v>
      </c>
      <c r="E4330">
        <v>0.52941090000000002</v>
      </c>
      <c r="F4330" t="s">
        <v>41</v>
      </c>
      <c r="G4330">
        <v>-220.20570000000001</v>
      </c>
      <c r="H4330">
        <v>0.90929879999999996</v>
      </c>
      <c r="I4330">
        <v>141.96960000000001</v>
      </c>
      <c r="J4330">
        <v>-219.67920000000001</v>
      </c>
      <c r="K4330">
        <v>1.107988</v>
      </c>
      <c r="L4330">
        <v>141.88839999999999</v>
      </c>
      <c r="M4330">
        <v>-0.99870749999999997</v>
      </c>
      <c r="N4330">
        <v>0</v>
      </c>
      <c r="O4330">
        <v>-5.0827690000000002E-2</v>
      </c>
      <c r="P4330">
        <v>-0.9997064</v>
      </c>
      <c r="Q4330">
        <v>5.4519399999999997E-3</v>
      </c>
      <c r="R4330">
        <v>2.3609169999999999E-2</v>
      </c>
      <c r="S4330">
        <v>-2.9990230000000002</v>
      </c>
      <c r="T4330">
        <v>-0.7934523</v>
      </c>
      <c r="U4330">
        <v>0.27958680000000002</v>
      </c>
      <c r="V4330">
        <v>7.4394409999999994E-2</v>
      </c>
      <c r="W4330">
        <v>5.4858099999999998E-3</v>
      </c>
      <c r="X4330">
        <v>0.99721380000000004</v>
      </c>
      <c r="Y4330">
        <v>0.13690079999999999</v>
      </c>
      <c r="Z4330">
        <v>3.0963250000000001E-2</v>
      </c>
      <c r="AA4330">
        <v>0.99010069999999994</v>
      </c>
      <c r="AB4330">
        <v>24</v>
      </c>
      <c r="AC4330">
        <v>-0.52649999999999797</v>
      </c>
      <c r="AD4330">
        <v>-0.19868919999999901</v>
      </c>
      <c r="AE4330">
        <v>8.1200000000023906E-2</v>
      </c>
      <c r="AF4330">
        <v>9.4684705523023605E-2</v>
      </c>
      <c r="AG4330">
        <v>-0.19868919999999901</v>
      </c>
      <c r="AH4330">
        <v>0.45798434722716902</v>
      </c>
      <c r="AI4330">
        <v>113.018188238159</v>
      </c>
      <c r="AJ4330">
        <v>78.319110080090198</v>
      </c>
      <c r="AK4330">
        <v>0.50812621853405404</v>
      </c>
      <c r="AL4330">
        <v>89.685684660952703</v>
      </c>
      <c r="AM4330">
        <v>85.733508305970901</v>
      </c>
      <c r="AN4330">
        <v>0.99999999263052197</v>
      </c>
    </row>
    <row r="4331" spans="1:40" x14ac:dyDescent="0.25">
      <c r="A4331" t="str">
        <f>"20190312154922141"</f>
        <v>20190312154922141</v>
      </c>
      <c r="B4331" t="str">
        <f>"1552376962130445"</f>
        <v>1552376962130445</v>
      </c>
      <c r="C4331" t="s">
        <v>40</v>
      </c>
      <c r="D4331">
        <v>4.9348970000000003</v>
      </c>
      <c r="E4331">
        <v>0.52968300000000001</v>
      </c>
      <c r="F4331" t="s">
        <v>41</v>
      </c>
      <c r="G4331">
        <v>-220.423</v>
      </c>
      <c r="H4331">
        <v>0.91062929999999997</v>
      </c>
      <c r="I4331">
        <v>141.95830000000001</v>
      </c>
      <c r="J4331">
        <v>-219.92449999999999</v>
      </c>
      <c r="K4331">
        <v>1.1079650000000001</v>
      </c>
      <c r="L4331">
        <v>141.87629999999999</v>
      </c>
      <c r="M4331">
        <v>-0.99872499999999997</v>
      </c>
      <c r="N4331">
        <v>0</v>
      </c>
      <c r="O4331">
        <v>-5.0483550000000002E-2</v>
      </c>
      <c r="P4331">
        <v>-0.99968259999999998</v>
      </c>
      <c r="Q4331">
        <v>4.7827529999999998E-3</v>
      </c>
      <c r="R4331">
        <v>2.473699E-2</v>
      </c>
      <c r="S4331">
        <v>-2.9985810000000002</v>
      </c>
      <c r="T4331">
        <v>-0.79558180000000001</v>
      </c>
      <c r="U4331">
        <v>0.28125</v>
      </c>
      <c r="V4331">
        <v>7.5175580000000006E-2</v>
      </c>
      <c r="W4331">
        <v>4.7367080000000001E-3</v>
      </c>
      <c r="X4331">
        <v>0.99715909999999996</v>
      </c>
      <c r="Y4331">
        <v>0.13708770000000001</v>
      </c>
      <c r="Z4331">
        <v>3.0982019999999999E-2</v>
      </c>
      <c r="AA4331">
        <v>0.99007429999999996</v>
      </c>
      <c r="AB4331">
        <v>24</v>
      </c>
      <c r="AC4331">
        <v>-0.49850000000000699</v>
      </c>
      <c r="AD4331">
        <v>-0.197335699999999</v>
      </c>
      <c r="AE4331">
        <v>8.2000000000022E-2</v>
      </c>
      <c r="AF4331">
        <v>9.2888882068448697E-2</v>
      </c>
      <c r="AG4331">
        <v>-0.197335699999999</v>
      </c>
      <c r="AH4331">
        <v>0.42836632473080999</v>
      </c>
      <c r="AI4331">
        <v>114.237621719175</v>
      </c>
      <c r="AJ4331">
        <v>77.765145384759606</v>
      </c>
      <c r="AK4331">
        <v>0.48069473792605399</v>
      </c>
      <c r="AL4331">
        <v>89.728605618125101</v>
      </c>
      <c r="AM4331">
        <v>85.688640926258302</v>
      </c>
      <c r="AN4331">
        <v>1.00000003747191</v>
      </c>
    </row>
    <row r="4332" spans="1:40" x14ac:dyDescent="0.25">
      <c r="A4332" t="str">
        <f>"20190312154922163"</f>
        <v>20190312154922163</v>
      </c>
      <c r="B4332" t="str">
        <f>"1552376962159722"</f>
        <v>1552376962159722</v>
      </c>
      <c r="C4332" t="s">
        <v>40</v>
      </c>
      <c r="D4332">
        <v>4.9440980000000003</v>
      </c>
      <c r="E4332">
        <v>0.52993939999999995</v>
      </c>
      <c r="F4332" t="s">
        <v>41</v>
      </c>
      <c r="G4332">
        <v>-220.64359999999999</v>
      </c>
      <c r="H4332">
        <v>0.91585249999999996</v>
      </c>
      <c r="I4332">
        <v>141.9451</v>
      </c>
      <c r="J4332">
        <v>-220.173</v>
      </c>
      <c r="K4332">
        <v>1.107945</v>
      </c>
      <c r="L4332">
        <v>141.86410000000001</v>
      </c>
      <c r="M4332">
        <v>-0.99874189999999996</v>
      </c>
      <c r="N4332">
        <v>0</v>
      </c>
      <c r="O4332">
        <v>-5.0146799999999998E-2</v>
      </c>
      <c r="P4332">
        <v>-0.99966440000000001</v>
      </c>
      <c r="Q4332">
        <v>4.2492880000000004E-3</v>
      </c>
      <c r="R4332">
        <v>2.5557549999999998E-2</v>
      </c>
      <c r="S4332">
        <v>-2.997681</v>
      </c>
      <c r="T4332">
        <v>-0.80084509999999998</v>
      </c>
      <c r="U4332">
        <v>0.28633120000000001</v>
      </c>
      <c r="V4332">
        <v>7.5657760000000004E-2</v>
      </c>
      <c r="W4332">
        <v>4.1368519999999999E-3</v>
      </c>
      <c r="X4332">
        <v>0.99712529999999999</v>
      </c>
      <c r="Y4332">
        <v>0.1383267</v>
      </c>
      <c r="Z4332">
        <v>3.1260969999999999E-2</v>
      </c>
      <c r="AA4332">
        <v>0.98989309999999997</v>
      </c>
      <c r="AB4332">
        <v>24</v>
      </c>
      <c r="AC4332">
        <v>-0.47059999999999003</v>
      </c>
      <c r="AD4332">
        <v>-0.1920925</v>
      </c>
      <c r="AE4332">
        <v>8.0999999999988803E-2</v>
      </c>
      <c r="AF4332">
        <v>8.9942495597866504E-2</v>
      </c>
      <c r="AG4332">
        <v>-0.1920925</v>
      </c>
      <c r="AH4332">
        <v>0.40104767537115699</v>
      </c>
      <c r="AI4332">
        <v>115.04985515854899</v>
      </c>
      <c r="AJ4332">
        <v>77.359496701317397</v>
      </c>
      <c r="AK4332">
        <v>0.45368317027550298</v>
      </c>
      <c r="AL4332">
        <v>89.762975172651494</v>
      </c>
      <c r="AM4332">
        <v>85.660946400991094</v>
      </c>
      <c r="AN4332">
        <v>1.00000003704638</v>
      </c>
    </row>
    <row r="4333" spans="1:40" x14ac:dyDescent="0.25">
      <c r="A4333" t="str">
        <f>"20190312154922188"</f>
        <v>20190312154922188</v>
      </c>
      <c r="B4333" t="str">
        <f>"1552376962180219"</f>
        <v>1552376962180219</v>
      </c>
      <c r="C4333" t="s">
        <v>40</v>
      </c>
      <c r="D4333">
        <v>5.0020730000000002</v>
      </c>
      <c r="E4333">
        <v>0.53005760000000002</v>
      </c>
      <c r="F4333" t="s">
        <v>41</v>
      </c>
      <c r="G4333">
        <v>-220.86600000000001</v>
      </c>
      <c r="H4333">
        <v>0.92089589999999999</v>
      </c>
      <c r="I4333">
        <v>141.9314</v>
      </c>
      <c r="J4333">
        <v>-220.43709999999999</v>
      </c>
      <c r="K4333">
        <v>1.107934</v>
      </c>
      <c r="L4333">
        <v>141.85130000000001</v>
      </c>
      <c r="M4333">
        <v>-0.99875860000000005</v>
      </c>
      <c r="N4333">
        <v>0</v>
      </c>
      <c r="O4333">
        <v>-4.9814099999999903E-2</v>
      </c>
      <c r="P4333">
        <v>-0.99966489999999997</v>
      </c>
      <c r="Q4333">
        <v>3.4799420000000002E-3</v>
      </c>
      <c r="R4333">
        <v>2.565251E-2</v>
      </c>
      <c r="S4333">
        <v>-2.9970089999999998</v>
      </c>
      <c r="T4333">
        <v>-0.80888389999999999</v>
      </c>
      <c r="U4333">
        <v>0.29069519999999999</v>
      </c>
      <c r="V4333">
        <v>7.5419769999999997E-2</v>
      </c>
      <c r="W4333">
        <v>3.3124069999999999E-3</v>
      </c>
      <c r="X4333">
        <v>0.99714639999999999</v>
      </c>
      <c r="Y4333">
        <v>0.13929179999999999</v>
      </c>
      <c r="Z4333">
        <v>3.1608499999999998E-2</v>
      </c>
      <c r="AA4333">
        <v>0.98974680000000004</v>
      </c>
      <c r="AB4333">
        <v>24</v>
      </c>
      <c r="AC4333">
        <v>-0.42889999999999801</v>
      </c>
      <c r="AD4333">
        <v>-0.18703809999999901</v>
      </c>
      <c r="AE4333">
        <v>8.0099999999987403E-2</v>
      </c>
      <c r="AF4333">
        <v>8.5630141334216994E-2</v>
      </c>
      <c r="AG4333">
        <v>-0.18703809999999901</v>
      </c>
      <c r="AH4333">
        <v>0.35849852847097002</v>
      </c>
      <c r="AI4333">
        <v>116.90557207450399</v>
      </c>
      <c r="AJ4333">
        <v>76.5661660526671</v>
      </c>
      <c r="AK4333">
        <v>0.41332428778427599</v>
      </c>
      <c r="AL4333">
        <v>89.810212717198397</v>
      </c>
      <c r="AM4333">
        <v>85.674634681878601</v>
      </c>
      <c r="AN4333">
        <v>1.0000000283899699</v>
      </c>
    </row>
    <row r="4334" spans="1:40" x14ac:dyDescent="0.25">
      <c r="A4334" t="str">
        <f>"20190312154922341"</f>
        <v>20190312154922341</v>
      </c>
      <c r="B4334" t="str">
        <f>"1552376962330524"</f>
        <v>1552376962330524</v>
      </c>
      <c r="C4334" t="s">
        <v>40</v>
      </c>
      <c r="D4334">
        <v>4.9068829999999997</v>
      </c>
      <c r="E4334">
        <v>0.49825469999999999</v>
      </c>
      <c r="F4334" t="s">
        <v>41</v>
      </c>
      <c r="G4334">
        <v>-222.67179999999999</v>
      </c>
      <c r="H4334">
        <v>0.86886810000000003</v>
      </c>
      <c r="I4334">
        <v>141.7946</v>
      </c>
      <c r="J4334">
        <v>-222.2174</v>
      </c>
      <c r="K4334">
        <v>1.1079859999999999</v>
      </c>
      <c r="L4334">
        <v>141.76509999999999</v>
      </c>
      <c r="M4334">
        <v>-0.99881600000000004</v>
      </c>
      <c r="N4334">
        <v>0</v>
      </c>
      <c r="O4334">
        <v>-4.8648869999999997E-2</v>
      </c>
      <c r="P4334">
        <v>-0.99962430000000002</v>
      </c>
      <c r="Q4334">
        <v>-3.5132060000000001E-3</v>
      </c>
      <c r="R4334">
        <v>2.7186289999999998E-2</v>
      </c>
      <c r="S4334">
        <v>-2.9969790000000001</v>
      </c>
      <c r="T4334">
        <v>-0.98513819999999996</v>
      </c>
      <c r="U4334">
        <v>6.6452029999999995E-2</v>
      </c>
      <c r="V4334">
        <v>7.5784470000000007E-2</v>
      </c>
      <c r="W4334">
        <v>-3.807118E-3</v>
      </c>
      <c r="X4334">
        <v>0.99711700000000003</v>
      </c>
      <c r="Y4334">
        <v>6.4808610000000003E-2</v>
      </c>
      <c r="Z4334">
        <v>2.5954129999999999E-2</v>
      </c>
      <c r="AA4334">
        <v>0.99756009999999995</v>
      </c>
      <c r="AB4334">
        <v>26</v>
      </c>
      <c r="AC4334">
        <v>-0.45439999999999198</v>
      </c>
      <c r="AD4334">
        <v>-0.23911789999999999</v>
      </c>
      <c r="AE4334">
        <v>2.9500000000012901E-2</v>
      </c>
      <c r="AF4334">
        <v>4.04240455861627E-2</v>
      </c>
      <c r="AG4334">
        <v>-0.23911789999999999</v>
      </c>
      <c r="AH4334">
        <v>0.35463499880719102</v>
      </c>
      <c r="AI4334">
        <v>123.81918289949201</v>
      </c>
      <c r="AJ4334">
        <v>83.497050802612307</v>
      </c>
      <c r="AK4334">
        <v>0.42962478506359297</v>
      </c>
      <c r="AL4334">
        <v>90.218132310446094</v>
      </c>
      <c r="AM4334">
        <v>85.653671229126303</v>
      </c>
      <c r="AN4334">
        <v>1.0000000458648199</v>
      </c>
    </row>
    <row r="4335" spans="1:40" x14ac:dyDescent="0.25">
      <c r="A4335" t="str">
        <f>"20190312154922363"</f>
        <v>20190312154922363</v>
      </c>
      <c r="B4335" t="str">
        <f>"1552376962360779"</f>
        <v>1552376962360779</v>
      </c>
      <c r="C4335" t="s">
        <v>40</v>
      </c>
      <c r="D4335">
        <v>5.1191420000000001</v>
      </c>
      <c r="E4335">
        <v>0.49467179999999999</v>
      </c>
      <c r="F4335" t="s">
        <v>41</v>
      </c>
      <c r="G4335">
        <v>-222.92859999999999</v>
      </c>
      <c r="H4335">
        <v>0.91768859999999997</v>
      </c>
      <c r="I4335">
        <v>141.77520000000001</v>
      </c>
      <c r="J4335">
        <v>-222.48480000000001</v>
      </c>
      <c r="K4335">
        <v>1.1080110000000001</v>
      </c>
      <c r="L4335">
        <v>141.75210000000001</v>
      </c>
      <c r="M4335">
        <v>-0.99881600000000004</v>
      </c>
      <c r="N4335">
        <v>0</v>
      </c>
      <c r="O4335">
        <v>-4.8650649999999997E-2</v>
      </c>
      <c r="P4335">
        <v>-0.99960590000000005</v>
      </c>
      <c r="Q4335">
        <v>-4.5175149999999997E-3</v>
      </c>
      <c r="R4335">
        <v>2.7709879999999999E-2</v>
      </c>
      <c r="S4335">
        <v>-2.9971770000000002</v>
      </c>
      <c r="T4335">
        <v>-0.80197759999999996</v>
      </c>
      <c r="U4335">
        <v>4.2358399999999997E-2</v>
      </c>
      <c r="V4335">
        <v>7.630837E-2</v>
      </c>
      <c r="W4335">
        <v>-4.8084820000000002E-3</v>
      </c>
      <c r="X4335">
        <v>0.99707270000000003</v>
      </c>
      <c r="Y4335">
        <v>5.8975229999999997E-2</v>
      </c>
      <c r="Z4335">
        <v>2.0542890000000001E-2</v>
      </c>
      <c r="AA4335">
        <v>0.99804809999999999</v>
      </c>
      <c r="AB4335">
        <v>26</v>
      </c>
      <c r="AC4335">
        <v>-0.44379999999998099</v>
      </c>
      <c r="AD4335">
        <v>-0.1903224</v>
      </c>
      <c r="AE4335">
        <v>2.3099999999999399E-2</v>
      </c>
      <c r="AF4335">
        <v>3.7741515760586E-2</v>
      </c>
      <c r="AG4335">
        <v>-0.1903224</v>
      </c>
      <c r="AH4335">
        <v>0.37362326995254402</v>
      </c>
      <c r="AI4335">
        <v>116.87668105167</v>
      </c>
      <c r="AJ4335">
        <v>84.231839143851403</v>
      </c>
      <c r="AK4335">
        <v>0.42100045819891702</v>
      </c>
      <c r="AL4335">
        <v>90.275506778181594</v>
      </c>
      <c r="AM4335">
        <v>85.623547587931</v>
      </c>
      <c r="AN4335">
        <v>1.00000002895824</v>
      </c>
    </row>
    <row r="4336" spans="1:40" x14ac:dyDescent="0.25">
      <c r="A4336" t="str">
        <f>"20190312154922389"</f>
        <v>20190312154922389</v>
      </c>
      <c r="B4336" t="str">
        <f>"1552376962380298"</f>
        <v>1552376962380298</v>
      </c>
      <c r="C4336" t="s">
        <v>40</v>
      </c>
      <c r="D4336">
        <v>4.8509679999999999</v>
      </c>
      <c r="E4336">
        <v>0.49262349999999999</v>
      </c>
      <c r="F4336" t="s">
        <v>41</v>
      </c>
      <c r="G4336">
        <v>-223.19370000000001</v>
      </c>
      <c r="H4336">
        <v>0.97551140000000003</v>
      </c>
      <c r="I4336">
        <v>141.7578</v>
      </c>
      <c r="J4336">
        <v>-222.77590000000001</v>
      </c>
      <c r="K4336">
        <v>1.1080410000000001</v>
      </c>
      <c r="L4336">
        <v>141.7379</v>
      </c>
      <c r="M4336">
        <v>-0.99881319999999996</v>
      </c>
      <c r="N4336">
        <v>0</v>
      </c>
      <c r="O4336">
        <v>-4.8709170000000003E-2</v>
      </c>
      <c r="P4336">
        <v>-0.99960519999999997</v>
      </c>
      <c r="Q4336">
        <v>-4.6009980000000002E-3</v>
      </c>
      <c r="R4336">
        <v>2.7726199999999999E-2</v>
      </c>
      <c r="S4336">
        <v>-2.9980159999999998</v>
      </c>
      <c r="T4336">
        <v>-0.56040299999999998</v>
      </c>
      <c r="U4336">
        <v>2.3056030000000002E-2</v>
      </c>
      <c r="V4336">
        <v>7.6383549999999995E-2</v>
      </c>
      <c r="W4336">
        <v>-4.8841300000000004E-3</v>
      </c>
      <c r="X4336">
        <v>0.99706660000000003</v>
      </c>
      <c r="Y4336">
        <v>5.4599880000000003E-2</v>
      </c>
      <c r="Z4336">
        <v>1.4083500000000001E-2</v>
      </c>
      <c r="AA4336">
        <v>0.99840899999999999</v>
      </c>
      <c r="AB4336">
        <v>27</v>
      </c>
      <c r="AC4336">
        <v>-0.41779999999999901</v>
      </c>
      <c r="AD4336">
        <v>-0.1325296</v>
      </c>
      <c r="AE4336">
        <v>1.9900000000006898E-2</v>
      </c>
      <c r="AF4336">
        <v>3.6556989064287899E-2</v>
      </c>
      <c r="AG4336">
        <v>-0.1325296</v>
      </c>
      <c r="AH4336">
        <v>0.37835086685837599</v>
      </c>
      <c r="AI4336">
        <v>109.221545798173</v>
      </c>
      <c r="AJ4336">
        <v>84.481103374655802</v>
      </c>
      <c r="AK4336">
        <v>0.402554203528036</v>
      </c>
      <c r="AL4336">
        <v>90.279841133319906</v>
      </c>
      <c r="AM4336">
        <v>85.619225929305401</v>
      </c>
      <c r="AN4336">
        <v>1.000000053136</v>
      </c>
    </row>
    <row r="4337" spans="1:40" x14ac:dyDescent="0.25">
      <c r="A4337" t="str">
        <f>"20190312154922419"</f>
        <v>20190312154922419</v>
      </c>
      <c r="B4337" t="str">
        <f>"1552376962410555"</f>
        <v>1552376962410555</v>
      </c>
      <c r="C4337" t="s">
        <v>40</v>
      </c>
      <c r="D4337">
        <v>4.8300839999999896</v>
      </c>
      <c r="E4337">
        <v>0.49184</v>
      </c>
      <c r="F4337" t="s">
        <v>48</v>
      </c>
      <c r="G4337">
        <v>0</v>
      </c>
      <c r="H4337">
        <v>0</v>
      </c>
      <c r="I4337">
        <v>0</v>
      </c>
      <c r="J4337">
        <v>-223.1541</v>
      </c>
      <c r="K4337">
        <v>1.10807099999999</v>
      </c>
      <c r="L4337">
        <v>141.7193</v>
      </c>
      <c r="M4337">
        <v>-0.99880550000000001</v>
      </c>
      <c r="N4337">
        <v>0</v>
      </c>
      <c r="O4337">
        <v>-4.8865680000000002E-2</v>
      </c>
      <c r="P4337">
        <v>-0.99964580000000003</v>
      </c>
      <c r="Q4337">
        <v>-2.79809E-3</v>
      </c>
      <c r="R4337">
        <v>2.6472519999999999E-2</v>
      </c>
      <c r="S4337">
        <v>-3.0014340000000002</v>
      </c>
      <c r="T4337">
        <v>0.25208120000000001</v>
      </c>
      <c r="U4337">
        <v>3.2943729999999997E-2</v>
      </c>
      <c r="V4337">
        <v>7.5289739999999994E-2</v>
      </c>
      <c r="W4337">
        <v>-3.0655069999999999E-3</v>
      </c>
      <c r="X4337">
        <v>0.99715699999999996</v>
      </c>
      <c r="Y4337">
        <v>5.9443719999999999E-2</v>
      </c>
      <c r="Z4337">
        <v>-6.587575E-3</v>
      </c>
      <c r="AA4337">
        <v>0.99820989999999998</v>
      </c>
      <c r="AB4337">
        <v>27</v>
      </c>
      <c r="AC4337">
        <v>-3.0014340000000002</v>
      </c>
      <c r="AD4337">
        <v>0.25208120000000001</v>
      </c>
      <c r="AE4337">
        <v>3.2943729999999997E-2</v>
      </c>
      <c r="AF4337">
        <v>0.178313827742168</v>
      </c>
      <c r="AG4337">
        <v>0.25208120000000001</v>
      </c>
      <c r="AH4337">
        <v>2.97525421882137</v>
      </c>
      <c r="AI4337">
        <v>85.165760489874501</v>
      </c>
      <c r="AJ4337">
        <v>86.570234676404198</v>
      </c>
      <c r="AK4337">
        <v>2.9912335948855402</v>
      </c>
      <c r="AL4337">
        <v>90.175640886071704</v>
      </c>
      <c r="AM4337">
        <v>85.682109473213103</v>
      </c>
      <c r="AN4337">
        <v>1.00000001246571</v>
      </c>
    </row>
    <row r="4338" spans="1:40" x14ac:dyDescent="0.25">
      <c r="A4338" t="str">
        <f>"20190312154922441"</f>
        <v>20190312154922441</v>
      </c>
      <c r="B4338" t="str">
        <f>"1552376962430075"</f>
        <v>1552376962430075</v>
      </c>
      <c r="C4338" t="s">
        <v>40</v>
      </c>
      <c r="D4338">
        <v>4.8138489999999896</v>
      </c>
      <c r="E4338">
        <v>0.49270029999999998</v>
      </c>
      <c r="F4338" t="s">
        <v>48</v>
      </c>
      <c r="G4338">
        <v>0</v>
      </c>
      <c r="H4338">
        <v>0</v>
      </c>
      <c r="I4338">
        <v>0</v>
      </c>
      <c r="J4338">
        <v>-223.4237</v>
      </c>
      <c r="K4338">
        <v>1.1080909999999999</v>
      </c>
      <c r="L4338">
        <v>141.70599999999999</v>
      </c>
      <c r="M4338">
        <v>-0.99879759999999995</v>
      </c>
      <c r="N4338">
        <v>0</v>
      </c>
      <c r="O4338">
        <v>-4.9023030000000002E-2</v>
      </c>
      <c r="P4338">
        <v>-0.99964949999999997</v>
      </c>
      <c r="Q4338">
        <v>-2.2876709999999998E-3</v>
      </c>
      <c r="R4338">
        <v>2.6379670000000001E-2</v>
      </c>
      <c r="S4338">
        <v>-3.0008089999999998</v>
      </c>
      <c r="T4338">
        <v>5.8861370000000003E-2</v>
      </c>
      <c r="U4338">
        <v>1.6616820000000001E-2</v>
      </c>
      <c r="V4338">
        <v>7.5354400000000002E-2</v>
      </c>
      <c r="W4338">
        <v>-2.5411159999999999E-3</v>
      </c>
      <c r="X4338">
        <v>0.99715359999999997</v>
      </c>
      <c r="Y4338">
        <v>5.4533070000000003E-2</v>
      </c>
      <c r="Z4338">
        <v>-1.4960209999999999E-3</v>
      </c>
      <c r="AA4338">
        <v>0.99851080000000003</v>
      </c>
      <c r="AB4338">
        <v>27</v>
      </c>
      <c r="AC4338">
        <v>-3.0008089999999998</v>
      </c>
      <c r="AD4338">
        <v>5.8861370000000003E-2</v>
      </c>
      <c r="AE4338">
        <v>1.6616820000000001E-2</v>
      </c>
      <c r="AF4338">
        <v>0.163642637130897</v>
      </c>
      <c r="AG4338">
        <v>5.8861370000000003E-2</v>
      </c>
      <c r="AH4338">
        <v>2.99523397011078</v>
      </c>
      <c r="AI4338">
        <v>88.875862811565</v>
      </c>
      <c r="AJ4338">
        <v>86.872791793135207</v>
      </c>
      <c r="AK4338">
        <v>3.0002783386331</v>
      </c>
      <c r="AL4338">
        <v>90.145595375479004</v>
      </c>
      <c r="AM4338">
        <v>85.678400564558501</v>
      </c>
      <c r="AN4338">
        <v>1.0000000224314201</v>
      </c>
    </row>
    <row r="4339" spans="1:40" x14ac:dyDescent="0.25">
      <c r="A4339" t="str">
        <f>"20190312154922464"</f>
        <v>20190312154922464</v>
      </c>
      <c r="B4339" t="str">
        <f>"1552376962450574"</f>
        <v>1552376962450574</v>
      </c>
      <c r="C4339" t="s">
        <v>40</v>
      </c>
      <c r="D4339">
        <v>4.8628729999999996</v>
      </c>
      <c r="E4339">
        <v>0.4919944</v>
      </c>
      <c r="F4339" t="s">
        <v>48</v>
      </c>
      <c r="G4339">
        <v>0</v>
      </c>
      <c r="H4339">
        <v>0</v>
      </c>
      <c r="I4339">
        <v>0</v>
      </c>
      <c r="J4339">
        <v>-223.70099999999999</v>
      </c>
      <c r="K4339">
        <v>1.10812</v>
      </c>
      <c r="L4339">
        <v>141.69220000000001</v>
      </c>
      <c r="M4339">
        <v>-0.99878789999999995</v>
      </c>
      <c r="N4339">
        <v>0</v>
      </c>
      <c r="O4339">
        <v>-4.9222469999999997E-2</v>
      </c>
      <c r="P4339">
        <v>-0.99966089999999996</v>
      </c>
      <c r="Q4339">
        <v>-2.648709E-3</v>
      </c>
      <c r="R4339">
        <v>2.5908779999999999E-2</v>
      </c>
      <c r="S4339">
        <v>-3.0005190000000002</v>
      </c>
      <c r="T4339">
        <v>2.186418E-2</v>
      </c>
      <c r="U4339">
        <v>2.1865840000000001E-2</v>
      </c>
      <c r="V4339">
        <v>7.5083949999999997E-2</v>
      </c>
      <c r="W4339">
        <v>-2.8859739999999999E-3</v>
      </c>
      <c r="X4339">
        <v>0.99717299999999998</v>
      </c>
      <c r="Y4339">
        <v>5.6496680000000001E-2</v>
      </c>
      <c r="Z4339">
        <v>-5.644065E-4</v>
      </c>
      <c r="AA4339">
        <v>0.99840269999999998</v>
      </c>
      <c r="AB4339">
        <v>27</v>
      </c>
      <c r="AC4339">
        <v>-3.0005190000000002</v>
      </c>
      <c r="AD4339">
        <v>2.186418E-2</v>
      </c>
      <c r="AE4339">
        <v>2.1865840000000001E-2</v>
      </c>
      <c r="AF4339">
        <v>0.16952328186747201</v>
      </c>
      <c r="AG4339">
        <v>2.186418E-2</v>
      </c>
      <c r="AH4339">
        <v>2.9956465466789801</v>
      </c>
      <c r="AI4339">
        <v>89.582493457792907</v>
      </c>
      <c r="AJ4339">
        <v>86.761093143614104</v>
      </c>
      <c r="AK4339">
        <v>3.00051902478419</v>
      </c>
      <c r="AL4339">
        <v>90.165354366107707</v>
      </c>
      <c r="AM4339">
        <v>85.693935975931197</v>
      </c>
      <c r="AN4339">
        <v>0.99999996016126402</v>
      </c>
    </row>
    <row r="4340" spans="1:40" x14ac:dyDescent="0.25">
      <c r="A4340" t="str">
        <f>"20190312154922487"</f>
        <v>20190312154922487</v>
      </c>
      <c r="B4340" t="str">
        <f>"1552376962480524"</f>
        <v>1552376962480524</v>
      </c>
      <c r="C4340" t="s">
        <v>40</v>
      </c>
      <c r="D4340">
        <v>4.8809930000000001</v>
      </c>
      <c r="E4340">
        <v>0.49031829999999998</v>
      </c>
      <c r="F4340" t="s">
        <v>48</v>
      </c>
      <c r="G4340">
        <v>0</v>
      </c>
      <c r="H4340">
        <v>0</v>
      </c>
      <c r="I4340">
        <v>0</v>
      </c>
      <c r="J4340">
        <v>-223.99289999999999</v>
      </c>
      <c r="K4340">
        <v>1.1081430000000001</v>
      </c>
      <c r="L4340">
        <v>141.67760000000001</v>
      </c>
      <c r="M4340">
        <v>-0.99877570000000004</v>
      </c>
      <c r="N4340">
        <v>0</v>
      </c>
      <c r="O4340">
        <v>-4.9468520000000002E-2</v>
      </c>
      <c r="P4340">
        <v>-0.99969949999999996</v>
      </c>
      <c r="Q4340">
        <v>-3.1441279999999999E-3</v>
      </c>
      <c r="R4340">
        <v>2.4314220000000001E-2</v>
      </c>
      <c r="S4340">
        <v>-3.0006409999999999</v>
      </c>
      <c r="T4340">
        <v>-5.4728980000000001E-4</v>
      </c>
      <c r="U4340">
        <v>1.41448999999999E-2</v>
      </c>
      <c r="V4340">
        <v>7.3739509999999994E-2</v>
      </c>
      <c r="W4340">
        <v>-3.3632649999999998E-3</v>
      </c>
      <c r="X4340">
        <v>0.99727189999999999</v>
      </c>
      <c r="Y4340">
        <v>5.417611E-2</v>
      </c>
      <c r="Z4340" s="1">
        <v>1.396065E-5</v>
      </c>
      <c r="AA4340">
        <v>0.99853139999999996</v>
      </c>
      <c r="AB4340">
        <v>28</v>
      </c>
      <c r="AC4340">
        <v>-3.0006409999999999</v>
      </c>
      <c r="AD4340">
        <v>-5.4728980000000001E-4</v>
      </c>
      <c r="AE4340">
        <v>1.41448999999999E-2</v>
      </c>
      <c r="AF4340">
        <v>0.16256484359908499</v>
      </c>
      <c r="AG4340">
        <v>-5.4728980000000001E-4</v>
      </c>
      <c r="AH4340">
        <v>2.9962674382722199</v>
      </c>
      <c r="AI4340">
        <v>90.010450116494695</v>
      </c>
      <c r="AJ4340">
        <v>86.894417376198902</v>
      </c>
      <c r="AK4340">
        <v>3.00067428914751</v>
      </c>
      <c r="AL4340">
        <v>90.192701246488596</v>
      </c>
      <c r="AM4340">
        <v>85.771175197291001</v>
      </c>
      <c r="AN4340">
        <v>1.00000003470805</v>
      </c>
    </row>
    <row r="4341" spans="1:40" x14ac:dyDescent="0.25">
      <c r="A4341" t="str">
        <f>"20190312154922508"</f>
        <v>20190312154922508</v>
      </c>
      <c r="B4341" t="str">
        <f>"1552376962500044"</f>
        <v>1552376962500044</v>
      </c>
      <c r="C4341" t="s">
        <v>40</v>
      </c>
      <c r="D4341">
        <v>4.8892030000000002</v>
      </c>
      <c r="E4341">
        <v>0.48964059999999998</v>
      </c>
      <c r="F4341" t="s">
        <v>42</v>
      </c>
      <c r="G4341">
        <v>-342.66269999999997</v>
      </c>
      <c r="H4341" s="1">
        <v>-3.626739E-6</v>
      </c>
      <c r="I4341">
        <v>141.48320000000001</v>
      </c>
      <c r="J4341">
        <v>-224.26490000000001</v>
      </c>
      <c r="K4341">
        <v>1.108161</v>
      </c>
      <c r="L4341">
        <v>141.66390000000001</v>
      </c>
      <c r="M4341">
        <v>-0.99876310000000001</v>
      </c>
      <c r="N4341">
        <v>0</v>
      </c>
      <c r="O4341">
        <v>-4.9721010000000003E-2</v>
      </c>
      <c r="P4341">
        <v>-0.99971699999999997</v>
      </c>
      <c r="Q4341">
        <v>-2.6056410000000001E-3</v>
      </c>
      <c r="R4341">
        <v>2.3648369999999998E-2</v>
      </c>
      <c r="S4341">
        <v>-3.0009160000000001</v>
      </c>
      <c r="T4341">
        <v>-2.8022769999999999E-2</v>
      </c>
      <c r="U4341">
        <v>-4.9133299999999996E-3</v>
      </c>
      <c r="V4341">
        <v>7.3327409999999996E-2</v>
      </c>
      <c r="W4341">
        <v>-2.8067769999999999E-3</v>
      </c>
      <c r="X4341">
        <v>0.99730399999999997</v>
      </c>
      <c r="Y4341">
        <v>4.8081440000000003E-2</v>
      </c>
      <c r="Z4341">
        <v>6.886285E-4</v>
      </c>
      <c r="AA4341">
        <v>0.99884320000000004</v>
      </c>
      <c r="AB4341">
        <v>28</v>
      </c>
      <c r="AC4341">
        <v>-118.39779999999899</v>
      </c>
      <c r="AD4341">
        <v>-1.108164626739</v>
      </c>
      <c r="AE4341">
        <v>-0.180700000000001</v>
      </c>
      <c r="AF4341">
        <v>5.7058821120428602</v>
      </c>
      <c r="AG4341">
        <v>-1.108164626739</v>
      </c>
      <c r="AH4341">
        <v>118.249984658239</v>
      </c>
      <c r="AI4341">
        <v>90.536300420399598</v>
      </c>
      <c r="AJ4341">
        <v>87.237466112909104</v>
      </c>
      <c r="AK4341">
        <v>118.392753119396</v>
      </c>
      <c r="AL4341">
        <v>90.160816682826805</v>
      </c>
      <c r="AM4341">
        <v>85.794858220979293</v>
      </c>
      <c r="AN4341">
        <v>1.0000000277352099</v>
      </c>
    </row>
    <row r="4342" spans="1:40" x14ac:dyDescent="0.25">
      <c r="A4342" t="str">
        <f>"20190312154922531"</f>
        <v>20190312154922531</v>
      </c>
      <c r="B4342" t="str">
        <f>"1552376962520540"</f>
        <v>1552376962520540</v>
      </c>
      <c r="C4342" t="s">
        <v>40</v>
      </c>
      <c r="D4342">
        <v>4.8922619999999997</v>
      </c>
      <c r="E4342">
        <v>0.48923109999999997</v>
      </c>
      <c r="F4342" t="s">
        <v>63</v>
      </c>
      <c r="G4342">
        <v>-314.80720000000002</v>
      </c>
      <c r="H4342" s="1">
        <v>-8.1003779999999994E-6</v>
      </c>
      <c r="I4342">
        <v>141.2809</v>
      </c>
      <c r="J4342">
        <v>-224.54490000000001</v>
      </c>
      <c r="K4342">
        <v>1.1081749999999999</v>
      </c>
      <c r="L4342">
        <v>141.6497</v>
      </c>
      <c r="M4342">
        <v>-0.99874949999999996</v>
      </c>
      <c r="N4342">
        <v>0</v>
      </c>
      <c r="O4342">
        <v>-4.9995560000000001E-2</v>
      </c>
      <c r="P4342">
        <v>-0.99974969999999996</v>
      </c>
      <c r="Q4342">
        <v>-2.3523419999999999E-3</v>
      </c>
      <c r="R4342">
        <v>2.2255980000000002E-2</v>
      </c>
      <c r="S4342">
        <v>-3.0010530000000002</v>
      </c>
      <c r="T4342">
        <v>-3.6730649999999997E-2</v>
      </c>
      <c r="U4342">
        <v>-1.269531E-2</v>
      </c>
      <c r="V4342">
        <v>7.2212429999999994E-2</v>
      </c>
      <c r="W4342">
        <v>-2.53484E-3</v>
      </c>
      <c r="X4342">
        <v>0.99738599999999999</v>
      </c>
      <c r="Y4342">
        <v>4.5762980000000002E-2</v>
      </c>
      <c r="Z4342">
        <v>8.9171559999999897E-4</v>
      </c>
      <c r="AA4342">
        <v>0.9989519</v>
      </c>
      <c r="AB4342">
        <v>28</v>
      </c>
      <c r="AC4342">
        <v>-90.262299999999996</v>
      </c>
      <c r="AD4342">
        <v>-1.1081831003779901</v>
      </c>
      <c r="AE4342">
        <v>-0.36879999999999302</v>
      </c>
      <c r="AF4342">
        <v>4.1437505793240001</v>
      </c>
      <c r="AG4342">
        <v>-1.1081831003779901</v>
      </c>
      <c r="AH4342">
        <v>90.154270900007504</v>
      </c>
      <c r="AI4342">
        <v>90.703505934952602</v>
      </c>
      <c r="AJ4342">
        <v>87.368372689856201</v>
      </c>
      <c r="AK4342">
        <v>90.256253523839206</v>
      </c>
      <c r="AL4342">
        <v>90.145235797011495</v>
      </c>
      <c r="AM4342">
        <v>85.858914622789101</v>
      </c>
      <c r="AN4342">
        <v>0.99999994672816295</v>
      </c>
    </row>
    <row r="4343" spans="1:40" x14ac:dyDescent="0.25">
      <c r="A4343" t="str">
        <f>"20190312154922552"</f>
        <v>20190312154922552</v>
      </c>
      <c r="B4343" t="str">
        <f>"1552376962540061"</f>
        <v>1552376962540061</v>
      </c>
      <c r="C4343" t="s">
        <v>40</v>
      </c>
      <c r="D4343">
        <v>4.9133899999999997</v>
      </c>
      <c r="E4343">
        <v>0.48900739999999998</v>
      </c>
      <c r="F4343" t="s">
        <v>63</v>
      </c>
      <c r="G4343">
        <v>-300.8818</v>
      </c>
      <c r="H4343" s="1">
        <v>-8.6140969999999995E-6</v>
      </c>
      <c r="I4343">
        <v>141.13239999999999</v>
      </c>
      <c r="J4343">
        <v>-224.82859999999999</v>
      </c>
      <c r="K4343">
        <v>1.108177</v>
      </c>
      <c r="L4343">
        <v>141.6353</v>
      </c>
      <c r="M4343">
        <v>-0.99873509999999999</v>
      </c>
      <c r="N4343">
        <v>0</v>
      </c>
      <c r="O4343">
        <v>-5.0282500000000001E-2</v>
      </c>
      <c r="P4343">
        <v>-0.99977130000000003</v>
      </c>
      <c r="Q4343">
        <v>-2.2055170000000002E-3</v>
      </c>
      <c r="R4343">
        <v>2.1280480000000001E-2</v>
      </c>
      <c r="S4343">
        <v>-3.0011139999999998</v>
      </c>
      <c r="T4343">
        <v>-4.3567179999999997E-2</v>
      </c>
      <c r="U4343">
        <v>-2.0339969999999999E-2</v>
      </c>
      <c r="V4343">
        <v>7.1525779999999997E-2</v>
      </c>
      <c r="W4343">
        <v>-2.3686340000000001E-3</v>
      </c>
      <c r="X4343">
        <v>0.99743590000000004</v>
      </c>
      <c r="Y4343">
        <v>4.3502730000000003E-2</v>
      </c>
      <c r="Z4343">
        <v>1.0453870000000001E-3</v>
      </c>
      <c r="AA4343">
        <v>0.99905279999999996</v>
      </c>
      <c r="AB4343">
        <v>28</v>
      </c>
      <c r="AC4343">
        <v>-76.053200000000004</v>
      </c>
      <c r="AD4343">
        <v>-1.1081856140969999</v>
      </c>
      <c r="AE4343">
        <v>-0.502900000000011</v>
      </c>
      <c r="AF4343">
        <v>3.3211758118571999</v>
      </c>
      <c r="AG4343">
        <v>-1.1081856140969999</v>
      </c>
      <c r="AH4343">
        <v>75.966154049970697</v>
      </c>
      <c r="AI4343">
        <v>90.834967562541706</v>
      </c>
      <c r="AJ4343">
        <v>87.496671236772698</v>
      </c>
      <c r="AK4343">
        <v>76.046793786933804</v>
      </c>
      <c r="AL4343">
        <v>90.135712863589006</v>
      </c>
      <c r="AM4343">
        <v>85.898360633180104</v>
      </c>
      <c r="AN4343">
        <v>0.99999996112022105</v>
      </c>
    </row>
    <row r="4344" spans="1:40" x14ac:dyDescent="0.25">
      <c r="A4344" t="str">
        <f>"20190312154922576"</f>
        <v>20190312154922576</v>
      </c>
      <c r="B4344" t="str">
        <f>"1552376962570317"</f>
        <v>1552376962570317</v>
      </c>
      <c r="C4344" t="s">
        <v>40</v>
      </c>
      <c r="D4344">
        <v>4.9579750000000002</v>
      </c>
      <c r="E4344">
        <v>0.48881720000000001</v>
      </c>
      <c r="F4344" t="s">
        <v>63</v>
      </c>
      <c r="G4344">
        <v>-292.81760000000003</v>
      </c>
      <c r="H4344" s="1">
        <v>-9.0588730000000001E-6</v>
      </c>
      <c r="I4344">
        <v>141.06209999999999</v>
      </c>
      <c r="J4344">
        <v>-225.12719999999999</v>
      </c>
      <c r="K4344">
        <v>1.108179</v>
      </c>
      <c r="L4344">
        <v>141.62</v>
      </c>
      <c r="M4344">
        <v>-0.99871969999999999</v>
      </c>
      <c r="N4344">
        <v>0</v>
      </c>
      <c r="O4344">
        <v>-5.0588399999999999E-2</v>
      </c>
      <c r="P4344">
        <v>-0.9997798</v>
      </c>
      <c r="Q4344">
        <v>-2.435099E-3</v>
      </c>
      <c r="R4344">
        <v>2.0854330000000001E-2</v>
      </c>
      <c r="S4344">
        <v>-3.0011139999999998</v>
      </c>
      <c r="T4344">
        <v>-4.8916580000000001E-2</v>
      </c>
      <c r="U4344">
        <v>-2.529907E-2</v>
      </c>
      <c r="V4344">
        <v>7.1406250000000004E-2</v>
      </c>
      <c r="W4344">
        <v>-2.5769149999999999E-3</v>
      </c>
      <c r="X4344">
        <v>0.997444</v>
      </c>
      <c r="Y4344">
        <v>4.2155489999999997E-2</v>
      </c>
      <c r="Z4344">
        <v>1.167714E-3</v>
      </c>
      <c r="AA4344">
        <v>0.99911039999999995</v>
      </c>
      <c r="AB4344">
        <v>29</v>
      </c>
      <c r="AC4344">
        <v>-67.690399999999997</v>
      </c>
      <c r="AD4344">
        <v>-1.108188058873</v>
      </c>
      <c r="AE4344">
        <v>-0.55790000000001705</v>
      </c>
      <c r="AF4344">
        <v>2.8663947788303998</v>
      </c>
      <c r="AG4344">
        <v>-1.108188058873</v>
      </c>
      <c r="AH4344">
        <v>67.613830767363893</v>
      </c>
      <c r="AI4344">
        <v>90.938149024863506</v>
      </c>
      <c r="AJ4344">
        <v>87.572478290204302</v>
      </c>
      <c r="AK4344">
        <v>67.683634734252195</v>
      </c>
      <c r="AL4344">
        <v>90.147646515140096</v>
      </c>
      <c r="AM4344">
        <v>85.905224874356193</v>
      </c>
      <c r="AN4344">
        <v>1.00000001308298</v>
      </c>
    </row>
    <row r="4345" spans="1:40" x14ac:dyDescent="0.25">
      <c r="A4345" t="str">
        <f>"20190312154922599"</f>
        <v>20190312154922599</v>
      </c>
      <c r="B4345" t="str">
        <f>"1552376962589836"</f>
        <v>1552376962589836</v>
      </c>
      <c r="C4345" t="s">
        <v>40</v>
      </c>
      <c r="D4345">
        <v>4.9650189999999998</v>
      </c>
      <c r="E4345">
        <v>0.48868020000000001</v>
      </c>
      <c r="F4345" t="s">
        <v>63</v>
      </c>
      <c r="G4345">
        <v>-282.75810000000001</v>
      </c>
      <c r="H4345" s="1">
        <v>-5.3120780000000002E-6</v>
      </c>
      <c r="I4345">
        <v>141.07320000000001</v>
      </c>
      <c r="J4345">
        <v>-225.42869999999999</v>
      </c>
      <c r="K4345">
        <v>1.1081859999999999</v>
      </c>
      <c r="L4345">
        <v>141.6044</v>
      </c>
      <c r="M4345">
        <v>-0.99870400000000004</v>
      </c>
      <c r="N4345">
        <v>0</v>
      </c>
      <c r="O4345">
        <v>-5.089751E-2</v>
      </c>
      <c r="P4345">
        <v>-0.99978710000000004</v>
      </c>
      <c r="Q4345">
        <v>-2.2438580000000001E-3</v>
      </c>
      <c r="R4345">
        <v>2.0510359999999998E-2</v>
      </c>
      <c r="S4345">
        <v>-3.001099</v>
      </c>
      <c r="T4345">
        <v>-5.7708139999999998E-2</v>
      </c>
      <c r="U4345">
        <v>-2.8472899999999999E-2</v>
      </c>
      <c r="V4345">
        <v>7.1371630000000005E-2</v>
      </c>
      <c r="W4345">
        <v>-2.3631809999999998E-3</v>
      </c>
      <c r="X4345">
        <v>0.99744699999999997</v>
      </c>
      <c r="Y4345">
        <v>4.1403410000000002E-2</v>
      </c>
      <c r="Z4345">
        <v>1.3762469999999999E-3</v>
      </c>
      <c r="AA4345">
        <v>0.99914159999999996</v>
      </c>
      <c r="AB4345">
        <v>29</v>
      </c>
      <c r="AC4345">
        <v>-57.3294</v>
      </c>
      <c r="AD4345">
        <v>-1.108191312078</v>
      </c>
      <c r="AE4345">
        <v>-0.53119999999998402</v>
      </c>
      <c r="AF4345">
        <v>2.3865201964719098</v>
      </c>
      <c r="AG4345">
        <v>-1.108191312078</v>
      </c>
      <c r="AH4345">
        <v>57.260736976010598</v>
      </c>
      <c r="AI4345">
        <v>91.107769614907099</v>
      </c>
      <c r="AJ4345">
        <v>87.613400550444297</v>
      </c>
      <c r="AK4345">
        <v>57.321161586871199</v>
      </c>
      <c r="AL4345">
        <v>90.135400422739806</v>
      </c>
      <c r="AM4345">
        <v>85.907215670174295</v>
      </c>
      <c r="AN4345">
        <v>1.00000000600114</v>
      </c>
    </row>
    <row r="4346" spans="1:40" x14ac:dyDescent="0.25">
      <c r="A4346" t="str">
        <f>"20190312154922622"</f>
        <v>20190312154922622</v>
      </c>
      <c r="B4346" t="str">
        <f>"1552376962610336"</f>
        <v>1552376962610336</v>
      </c>
      <c r="C4346" t="s">
        <v>40</v>
      </c>
      <c r="D4346">
        <v>4.9673970000000001</v>
      </c>
      <c r="E4346">
        <v>0.48859259999999899</v>
      </c>
      <c r="F4346" t="s">
        <v>42</v>
      </c>
      <c r="G4346">
        <v>-279.67039999999997</v>
      </c>
      <c r="H4346" s="1">
        <v>-5.0473299999999997E-7</v>
      </c>
      <c r="I4346">
        <v>141.04810000000001</v>
      </c>
      <c r="J4346">
        <v>-225.72030000000001</v>
      </c>
      <c r="K4346">
        <v>1.1081829999999999</v>
      </c>
      <c r="L4346">
        <v>141.58930000000001</v>
      </c>
      <c r="M4346">
        <v>-0.99868880000000004</v>
      </c>
      <c r="N4346">
        <v>0</v>
      </c>
      <c r="O4346">
        <v>-5.1195780000000003E-2</v>
      </c>
      <c r="P4346">
        <v>-0.99980690000000005</v>
      </c>
      <c r="Q4346">
        <v>-1.5772659999999999E-3</v>
      </c>
      <c r="R4346">
        <v>1.959781E-2</v>
      </c>
      <c r="S4346">
        <v>-3.0011290000000002</v>
      </c>
      <c r="T4346">
        <v>-6.1314699999999903E-2</v>
      </c>
      <c r="U4346">
        <v>-3.0776979999999999E-2</v>
      </c>
      <c r="V4346">
        <v>7.0759030000000001E-2</v>
      </c>
      <c r="W4346">
        <v>-1.6742809999999999E-3</v>
      </c>
      <c r="X4346">
        <v>0.99749200000000005</v>
      </c>
      <c r="Y4346">
        <v>4.0932719999999999E-2</v>
      </c>
      <c r="Z4346">
        <v>1.4634940000000001E-3</v>
      </c>
      <c r="AA4346">
        <v>0.99916079999999996</v>
      </c>
      <c r="AB4346">
        <v>29</v>
      </c>
      <c r="AC4346">
        <v>-53.9500999999999</v>
      </c>
      <c r="AD4346">
        <v>-1.108183504733</v>
      </c>
      <c r="AE4346">
        <v>-0.54120000000000301</v>
      </c>
      <c r="AF4346">
        <v>2.2205898727833899</v>
      </c>
      <c r="AG4346">
        <v>-1.108183504733</v>
      </c>
      <c r="AH4346">
        <v>53.884325922760802</v>
      </c>
      <c r="AI4346">
        <v>91.177178383937303</v>
      </c>
      <c r="AJ4346">
        <v>87.6401583549154</v>
      </c>
      <c r="AK4346">
        <v>53.9414466826168</v>
      </c>
      <c r="AL4346">
        <v>90.095929283021903</v>
      </c>
      <c r="AM4346">
        <v>85.942409624913594</v>
      </c>
      <c r="AN4346">
        <v>0.99999996680370296</v>
      </c>
    </row>
    <row r="4347" spans="1:40" x14ac:dyDescent="0.25">
      <c r="A4347" t="str">
        <f>"20190312154922643"</f>
        <v>20190312154922643</v>
      </c>
      <c r="B4347" t="str">
        <f>"1552376962630828"</f>
        <v>1552376962630828</v>
      </c>
      <c r="C4347" t="s">
        <v>40</v>
      </c>
      <c r="D4347">
        <v>5.0084010000000001</v>
      </c>
      <c r="E4347">
        <v>0.48856149999999998</v>
      </c>
      <c r="F4347" t="s">
        <v>42</v>
      </c>
      <c r="G4347">
        <v>-279.19459999999998</v>
      </c>
      <c r="H4347" s="1">
        <v>-6.9064049999999996E-7</v>
      </c>
      <c r="I4347">
        <v>140.97970000000001</v>
      </c>
      <c r="J4347">
        <v>-226.00110000000001</v>
      </c>
      <c r="K4347">
        <v>1.1081859999999999</v>
      </c>
      <c r="L4347">
        <v>141.5746</v>
      </c>
      <c r="M4347">
        <v>-0.9986739</v>
      </c>
      <c r="N4347">
        <v>0</v>
      </c>
      <c r="O4347">
        <v>-5.1480930000000001E-2</v>
      </c>
      <c r="P4347">
        <v>-0.99981310000000001</v>
      </c>
      <c r="Q4347">
        <v>-1.32668E-3</v>
      </c>
      <c r="R4347">
        <v>1.9277369999999999E-2</v>
      </c>
      <c r="S4347">
        <v>-3.0011749999999999</v>
      </c>
      <c r="T4347">
        <v>-6.2195420000000001E-2</v>
      </c>
      <c r="U4347">
        <v>-3.4210209999999998E-2</v>
      </c>
      <c r="V4347">
        <v>7.0723729999999999E-2</v>
      </c>
      <c r="W4347">
        <v>-1.401114E-3</v>
      </c>
      <c r="X4347">
        <v>0.99749489999999996</v>
      </c>
      <c r="Y4347">
        <v>4.0074869999999999E-2</v>
      </c>
      <c r="Z4347">
        <v>1.481486E-3</v>
      </c>
      <c r="AA4347">
        <v>0.99919559999999996</v>
      </c>
      <c r="AB4347">
        <v>29</v>
      </c>
      <c r="AC4347">
        <v>-53.193499999999901</v>
      </c>
      <c r="AD4347">
        <v>-1.1081866906405</v>
      </c>
      <c r="AE4347">
        <v>-0.59489999999999499</v>
      </c>
      <c r="AF4347">
        <v>2.14340974917629</v>
      </c>
      <c r="AG4347">
        <v>-1.1081866906405</v>
      </c>
      <c r="AH4347">
        <v>53.130533456074801</v>
      </c>
      <c r="AI4347">
        <v>91.193920473687996</v>
      </c>
      <c r="AJ4347">
        <v>87.689807240553904</v>
      </c>
      <c r="AK4347">
        <v>53.185297483621</v>
      </c>
      <c r="AL4347">
        <v>90.080277949713306</v>
      </c>
      <c r="AM4347">
        <v>85.944438855580401</v>
      </c>
      <c r="AN4347">
        <v>0.99999994231578004</v>
      </c>
    </row>
    <row r="4348" spans="1:40" x14ac:dyDescent="0.25">
      <c r="A4348" t="str">
        <f>"20190312154922665"</f>
        <v>20190312154922665</v>
      </c>
      <c r="B4348" t="str">
        <f>"1552376962660109"</f>
        <v>1552376962660109</v>
      </c>
      <c r="C4348" t="s">
        <v>40</v>
      </c>
      <c r="D4348">
        <v>5.0161160000000002</v>
      </c>
      <c r="E4348">
        <v>0.48849969999999998</v>
      </c>
      <c r="F4348" t="s">
        <v>42</v>
      </c>
      <c r="G4348">
        <v>-277.22449999999998</v>
      </c>
      <c r="H4348" s="1">
        <v>-1.5322299999999999E-6</v>
      </c>
      <c r="I4348">
        <v>140.96619999999999</v>
      </c>
      <c r="J4348">
        <v>-226.30330000000001</v>
      </c>
      <c r="K4348">
        <v>1.108187</v>
      </c>
      <c r="L4348">
        <v>141.55869999999999</v>
      </c>
      <c r="M4348">
        <v>-0.99865820000000005</v>
      </c>
      <c r="N4348">
        <v>0</v>
      </c>
      <c r="O4348">
        <v>-5.1786949999999998E-2</v>
      </c>
      <c r="P4348">
        <v>-0.99981989999999998</v>
      </c>
      <c r="Q4348">
        <v>-1.240073E-3</v>
      </c>
      <c r="R4348">
        <v>1.894318E-2</v>
      </c>
      <c r="S4348">
        <v>-3.00116</v>
      </c>
      <c r="T4348">
        <v>-6.4928410000000006E-2</v>
      </c>
      <c r="U4348">
        <v>-3.5644530000000001E-2</v>
      </c>
      <c r="V4348">
        <v>7.0695969999999997E-2</v>
      </c>
      <c r="W4348">
        <v>-1.2892120000000001E-3</v>
      </c>
      <c r="X4348">
        <v>0.99749710000000003</v>
      </c>
      <c r="Y4348">
        <v>3.9901720000000002E-2</v>
      </c>
      <c r="Z4348">
        <v>1.5513089999999901E-3</v>
      </c>
      <c r="AA4348">
        <v>0.99920240000000005</v>
      </c>
      <c r="AB4348">
        <v>29</v>
      </c>
      <c r="AC4348">
        <v>-50.921199999999899</v>
      </c>
      <c r="AD4348">
        <v>-1.10818853222999</v>
      </c>
      <c r="AE4348">
        <v>-0.59250000000000103</v>
      </c>
      <c r="AF4348">
        <v>2.0443804358000799</v>
      </c>
      <c r="AG4348">
        <v>-1.10818853222999</v>
      </c>
      <c r="AH4348">
        <v>50.859470644836499</v>
      </c>
      <c r="AI4348">
        <v>91.247226317721399</v>
      </c>
      <c r="AJ4348">
        <v>87.698140722588093</v>
      </c>
      <c r="AK4348">
        <v>50.912604799423001</v>
      </c>
      <c r="AL4348">
        <v>90.073866425232794</v>
      </c>
      <c r="AM4348">
        <v>85.946034319704495</v>
      </c>
      <c r="AN4348">
        <v>1.0000000233751101</v>
      </c>
    </row>
    <row r="4349" spans="1:40" x14ac:dyDescent="0.25">
      <c r="A4349" t="str">
        <f>"20190312154922688"</f>
        <v>20190312154922688</v>
      </c>
      <c r="B4349" t="str">
        <f>"1552376962680605"</f>
        <v>1552376962680605</v>
      </c>
      <c r="C4349" t="s">
        <v>40</v>
      </c>
      <c r="D4349">
        <v>4.9500190000000002</v>
      </c>
      <c r="E4349">
        <v>0.4587618</v>
      </c>
      <c r="F4349" t="s">
        <v>42</v>
      </c>
      <c r="G4349">
        <v>-274.9153</v>
      </c>
      <c r="H4349" s="1">
        <v>-2.519745E-6</v>
      </c>
      <c r="I4349">
        <v>140.9546</v>
      </c>
      <c r="J4349">
        <v>-226.60890000000001</v>
      </c>
      <c r="K4349">
        <v>1.1081859999999999</v>
      </c>
      <c r="L4349">
        <v>141.54259999999999</v>
      </c>
      <c r="M4349">
        <v>-0.99864219999999904</v>
      </c>
      <c r="N4349">
        <v>0</v>
      </c>
      <c r="O4349">
        <v>-5.2094880000000003E-2</v>
      </c>
      <c r="P4349">
        <v>-0.99982610000000005</v>
      </c>
      <c r="Q4349">
        <v>-1.9895059999999998E-3</v>
      </c>
      <c r="R4349">
        <v>1.8547919999999999E-2</v>
      </c>
      <c r="S4349">
        <v>-3.00116</v>
      </c>
      <c r="T4349">
        <v>-6.8416359999999996E-2</v>
      </c>
      <c r="U4349">
        <v>-3.7292480000000003E-2</v>
      </c>
      <c r="V4349">
        <v>7.0609729999999996E-2</v>
      </c>
      <c r="W4349">
        <v>-2.0063099999999999E-3</v>
      </c>
      <c r="X4349">
        <v>0.997502</v>
      </c>
      <c r="Y4349">
        <v>3.9658840000000001E-2</v>
      </c>
      <c r="Z4349">
        <v>1.6388570000000001E-3</v>
      </c>
      <c r="AA4349">
        <v>0.99921190000000004</v>
      </c>
      <c r="AB4349">
        <v>30</v>
      </c>
      <c r="AC4349">
        <v>-48.306399999999996</v>
      </c>
      <c r="AD4349">
        <v>-1.1081885197450001</v>
      </c>
      <c r="AE4349">
        <v>-0.58799999999999297</v>
      </c>
      <c r="AF4349">
        <v>1.9282997039802301</v>
      </c>
      <c r="AG4349">
        <v>-1.1081885197450001</v>
      </c>
      <c r="AH4349">
        <v>48.246051226229902</v>
      </c>
      <c r="AI4349">
        <v>91.314775683660699</v>
      </c>
      <c r="AJ4349">
        <v>87.711218683390996</v>
      </c>
      <c r="AK4349">
        <v>48.297286471060303</v>
      </c>
      <c r="AL4349">
        <v>90.114953172557605</v>
      </c>
      <c r="AM4349">
        <v>85.950983002240406</v>
      </c>
      <c r="AN4349">
        <v>0.99999999962724395</v>
      </c>
    </row>
    <row r="4350" spans="1:40" x14ac:dyDescent="0.25">
      <c r="A4350" t="str">
        <f>"20190312154922711"</f>
        <v>20190312154922711</v>
      </c>
      <c r="B4350" t="str">
        <f>"1552376962700125"</f>
        <v>1552376962700125</v>
      </c>
      <c r="C4350" t="s">
        <v>40</v>
      </c>
      <c r="D4350">
        <v>5.0279829999999999</v>
      </c>
      <c r="E4350">
        <v>0.44782300000000003</v>
      </c>
      <c r="F4350" t="s">
        <v>63</v>
      </c>
      <c r="G4350">
        <v>-282.92309999999998</v>
      </c>
      <c r="H4350" s="1">
        <v>-3.6872579999999999E-6</v>
      </c>
      <c r="I4350">
        <v>136.38409999999999</v>
      </c>
      <c r="J4350">
        <v>-226.91149999999999</v>
      </c>
      <c r="K4350">
        <v>1.108182</v>
      </c>
      <c r="L4350">
        <v>141.5266</v>
      </c>
      <c r="M4350">
        <v>-0.99862629999999997</v>
      </c>
      <c r="N4350">
        <v>0</v>
      </c>
      <c r="O4350">
        <v>-5.2399109999999999E-2</v>
      </c>
      <c r="P4350">
        <v>-0.9998378</v>
      </c>
      <c r="Q4350">
        <v>-3.139794E-3</v>
      </c>
      <c r="R4350">
        <v>1.7740539999999999E-2</v>
      </c>
      <c r="S4350">
        <v>-3.0055239999999999</v>
      </c>
      <c r="T4350">
        <v>-5.9144740000000001E-2</v>
      </c>
      <c r="U4350">
        <v>-0.27531430000000001</v>
      </c>
      <c r="V4350">
        <v>7.0108580000000004E-2</v>
      </c>
      <c r="W4350">
        <v>-3.1176569999999998E-3</v>
      </c>
      <c r="X4350">
        <v>0.99753449999999999</v>
      </c>
      <c r="Y4350">
        <v>-3.8917479999999997E-2</v>
      </c>
      <c r="Z4350">
        <v>6.4583769999999895E-4</v>
      </c>
      <c r="AA4350">
        <v>0.99924219999999997</v>
      </c>
      <c r="AB4350">
        <v>30</v>
      </c>
      <c r="AC4350">
        <v>-56.011599999999902</v>
      </c>
      <c r="AD4350">
        <v>-1.10818568725799</v>
      </c>
      <c r="AE4350">
        <v>-5.1425000000000098</v>
      </c>
      <c r="AF4350">
        <v>-2.1996237576151798</v>
      </c>
      <c r="AG4350">
        <v>-1.10818568725799</v>
      </c>
      <c r="AH4350">
        <v>56.182306596222901</v>
      </c>
      <c r="AI4350">
        <v>91.129137362473401</v>
      </c>
      <c r="AJ4350">
        <v>92.242072821762505</v>
      </c>
      <c r="AK4350">
        <v>56.236269387864802</v>
      </c>
      <c r="AL4350">
        <v>90.1786288764186</v>
      </c>
      <c r="AM4350">
        <v>85.979756737209399</v>
      </c>
      <c r="AN4350">
        <v>1.00000000573251</v>
      </c>
    </row>
    <row r="4351" spans="1:40" x14ac:dyDescent="0.25">
      <c r="A4351" t="str">
        <f>"20190312154922733"</f>
        <v>20190312154922733</v>
      </c>
      <c r="B4351" t="str">
        <f>"1552376962720621"</f>
        <v>1552376962720621</v>
      </c>
      <c r="C4351" t="s">
        <v>40</v>
      </c>
      <c r="D4351">
        <v>5.0041359999999999</v>
      </c>
      <c r="E4351">
        <v>0.44258069999999999</v>
      </c>
      <c r="F4351" t="s">
        <v>42</v>
      </c>
      <c r="G4351">
        <v>-272.43450000000001</v>
      </c>
      <c r="H4351" s="1">
        <v>-3.8704180000000003E-6</v>
      </c>
      <c r="I4351">
        <v>135.99369999999999</v>
      </c>
      <c r="J4351">
        <v>-227.21129999999999</v>
      </c>
      <c r="K4351">
        <v>1.10819</v>
      </c>
      <c r="L4351">
        <v>141.51050000000001</v>
      </c>
      <c r="M4351">
        <v>-0.99861049999999996</v>
      </c>
      <c r="N4351">
        <v>0</v>
      </c>
      <c r="O4351">
        <v>-5.2700009999999999E-2</v>
      </c>
      <c r="P4351">
        <v>-0.99984030000000002</v>
      </c>
      <c r="Q4351">
        <v>-3.5509859999999999E-3</v>
      </c>
      <c r="R4351">
        <v>1.7521979999999999E-2</v>
      </c>
      <c r="S4351">
        <v>-3.0067439999999999</v>
      </c>
      <c r="T4351">
        <v>-7.3194499999999996E-2</v>
      </c>
      <c r="U4351">
        <v>-0.3654327</v>
      </c>
      <c r="V4351">
        <v>7.0191110000000001E-2</v>
      </c>
      <c r="W4351">
        <v>-3.483281E-3</v>
      </c>
      <c r="X4351">
        <v>0.99752750000000001</v>
      </c>
      <c r="Y4351">
        <v>-6.8162639999999997E-2</v>
      </c>
      <c r="Z4351">
        <v>4.5005300000000001E-4</v>
      </c>
      <c r="AA4351">
        <v>0.99767410000000001</v>
      </c>
      <c r="AB4351">
        <v>30</v>
      </c>
      <c r="AC4351">
        <v>-45.223199999999999</v>
      </c>
      <c r="AD4351">
        <v>-1.1081938704180001</v>
      </c>
      <c r="AE4351">
        <v>-5.5168000000000097</v>
      </c>
      <c r="AF4351">
        <v>-3.1240225178044998</v>
      </c>
      <c r="AG4351">
        <v>-1.1081938704180001</v>
      </c>
      <c r="AH4351">
        <v>45.424215730261899</v>
      </c>
      <c r="AI4351">
        <v>91.394249625010701</v>
      </c>
      <c r="AJ4351">
        <v>93.934286875958605</v>
      </c>
      <c r="AK4351">
        <v>45.544999561483699</v>
      </c>
      <c r="AL4351">
        <v>90.199577699912595</v>
      </c>
      <c r="AM4351">
        <v>85.975011604725495</v>
      </c>
      <c r="AN4351">
        <v>1.0000000192128999</v>
      </c>
    </row>
    <row r="4352" spans="1:40" x14ac:dyDescent="0.25">
      <c r="A4352" t="str">
        <f>"20190312154922754"</f>
        <v>20190312154922754</v>
      </c>
      <c r="B4352" t="str">
        <f>"1552376962750876"</f>
        <v>1552376962750876</v>
      </c>
      <c r="C4352" t="s">
        <v>40</v>
      </c>
      <c r="D4352">
        <v>4.9643839999999999</v>
      </c>
      <c r="E4352">
        <v>0.43977959999999999</v>
      </c>
      <c r="F4352" t="s">
        <v>42</v>
      </c>
      <c r="G4352">
        <v>-270.1146</v>
      </c>
      <c r="H4352" s="1">
        <v>-4.9196679999999996E-6</v>
      </c>
      <c r="I4352">
        <v>135.68940000000001</v>
      </c>
      <c r="J4352">
        <v>-227.5034</v>
      </c>
      <c r="K4352">
        <v>1.108203</v>
      </c>
      <c r="L4352">
        <v>141.4949</v>
      </c>
      <c r="M4352">
        <v>-0.99859509999999996</v>
      </c>
      <c r="N4352">
        <v>0</v>
      </c>
      <c r="O4352">
        <v>-5.2992089999999999E-2</v>
      </c>
      <c r="P4352">
        <v>-0.99985089999999999</v>
      </c>
      <c r="Q4352">
        <v>-3.2516960000000001E-3</v>
      </c>
      <c r="R4352">
        <v>1.696667E-2</v>
      </c>
      <c r="S4352">
        <v>-3.007355</v>
      </c>
      <c r="T4352">
        <v>-7.7680349999999995E-2</v>
      </c>
      <c r="U4352">
        <v>-0.40803529999999999</v>
      </c>
      <c r="V4352">
        <v>6.9928699999999996E-2</v>
      </c>
      <c r="W4352">
        <v>-3.1345600000000002E-3</v>
      </c>
      <c r="X4352">
        <v>0.99754710000000002</v>
      </c>
      <c r="Y4352">
        <v>-8.1738000000000005E-2</v>
      </c>
      <c r="Z4352">
        <v>3.099663E-4</v>
      </c>
      <c r="AA4352">
        <v>0.99665380000000003</v>
      </c>
      <c r="AB4352">
        <v>30</v>
      </c>
      <c r="AC4352">
        <v>-42.611199999999997</v>
      </c>
      <c r="AD4352">
        <v>-1.1082079196679999</v>
      </c>
      <c r="AE4352">
        <v>-5.8054999999999897</v>
      </c>
      <c r="AF4352">
        <v>-3.53693797488702</v>
      </c>
      <c r="AG4352">
        <v>-1.1082079196679999</v>
      </c>
      <c r="AH4352">
        <v>42.830531870930699</v>
      </c>
      <c r="AI4352">
        <v>91.477128876135396</v>
      </c>
      <c r="AJ4352">
        <v>94.720764118428704</v>
      </c>
      <c r="AK4352">
        <v>42.9906096185926</v>
      </c>
      <c r="AL4352">
        <v>90.1795973468749</v>
      </c>
      <c r="AM4352">
        <v>85.990088405577197</v>
      </c>
      <c r="AN4352">
        <v>1.00000003263424</v>
      </c>
    </row>
    <row r="4353" spans="1:40" x14ac:dyDescent="0.25">
      <c r="A4353" t="str">
        <f>"20190312154922778"</f>
        <v>20190312154922778</v>
      </c>
      <c r="B4353" t="str">
        <f>"1552376962770397"</f>
        <v>1552376962770397</v>
      </c>
      <c r="C4353" t="s">
        <v>40</v>
      </c>
      <c r="D4353">
        <v>4.9766760000000003</v>
      </c>
      <c r="E4353">
        <v>0.4388418</v>
      </c>
      <c r="F4353" t="s">
        <v>42</v>
      </c>
      <c r="G4353">
        <v>-267.56790000000001</v>
      </c>
      <c r="H4353" s="1">
        <v>-1.8463480000000001E-6</v>
      </c>
      <c r="I4353">
        <v>135.73519999999999</v>
      </c>
      <c r="J4353">
        <v>-227.82300000000001</v>
      </c>
      <c r="K4353">
        <v>1.108209</v>
      </c>
      <c r="L4353">
        <v>141.4776</v>
      </c>
      <c r="M4353">
        <v>-0.99857830000000003</v>
      </c>
      <c r="N4353">
        <v>0</v>
      </c>
      <c r="O4353">
        <v>-5.3306230000000003E-2</v>
      </c>
      <c r="P4353">
        <v>-0.99987090000000001</v>
      </c>
      <c r="Q4353">
        <v>-2.3807440000000002E-3</v>
      </c>
      <c r="R4353">
        <v>1.5899630000000001E-2</v>
      </c>
      <c r="S4353">
        <v>-3.0075069999999999</v>
      </c>
      <c r="T4353">
        <v>-8.3189369999999999E-2</v>
      </c>
      <c r="U4353">
        <v>-0.43235780000000001</v>
      </c>
      <c r="V4353">
        <v>6.9177779999999994E-2</v>
      </c>
      <c r="W4353">
        <v>-2.2049370000000001E-3</v>
      </c>
      <c r="X4353">
        <v>0.99760190000000004</v>
      </c>
      <c r="Y4353">
        <v>-8.9317049999999995E-2</v>
      </c>
      <c r="Z4353">
        <v>2.360157E-4</v>
      </c>
      <c r="AA4353">
        <v>0.99600319999999998</v>
      </c>
      <c r="AB4353">
        <v>31</v>
      </c>
      <c r="AC4353">
        <v>-39.744900000000001</v>
      </c>
      <c r="AD4353">
        <v>-1.108210846348</v>
      </c>
      <c r="AE4353">
        <v>-5.7423999999999999</v>
      </c>
      <c r="AF4353">
        <v>-3.6128335088661401</v>
      </c>
      <c r="AG4353">
        <v>-1.108210846348</v>
      </c>
      <c r="AH4353">
        <v>39.964061459293703</v>
      </c>
      <c r="AI4353">
        <v>91.581967656847198</v>
      </c>
      <c r="AJ4353">
        <v>95.165615020849202</v>
      </c>
      <c r="AK4353">
        <v>40.1423330857208</v>
      </c>
      <c r="AL4353">
        <v>90.126333687956901</v>
      </c>
      <c r="AM4353">
        <v>86.033227300100705</v>
      </c>
      <c r="AN4353">
        <v>0.99999998893825603</v>
      </c>
    </row>
    <row r="4354" spans="1:40" x14ac:dyDescent="0.25">
      <c r="A4354" t="str">
        <f>"20190312154922801"</f>
        <v>20190312154922801</v>
      </c>
      <c r="B4354" t="str">
        <f>"1552376962789916"</f>
        <v>1552376962789916</v>
      </c>
      <c r="C4354" t="s">
        <v>40</v>
      </c>
      <c r="D4354">
        <v>5.0204339999999998</v>
      </c>
      <c r="E4354">
        <v>0.43817509999999998</v>
      </c>
      <c r="F4354" t="s">
        <v>42</v>
      </c>
      <c r="G4354">
        <v>-266.84739999999999</v>
      </c>
      <c r="H4354" s="1">
        <v>-2.0939419999999999E-6</v>
      </c>
      <c r="I4354">
        <v>135.7261</v>
      </c>
      <c r="J4354">
        <v>-228.14269999999999</v>
      </c>
      <c r="K4354">
        <v>1.108214</v>
      </c>
      <c r="L4354">
        <v>141.46029999999999</v>
      </c>
      <c r="M4354">
        <v>-0.99856230000000001</v>
      </c>
      <c r="N4354">
        <v>0</v>
      </c>
      <c r="O4354">
        <v>-5.3607009999999997E-2</v>
      </c>
      <c r="P4354">
        <v>-0.99988809999999995</v>
      </c>
      <c r="Q4354">
        <v>-2.1518750000000001E-3</v>
      </c>
      <c r="R4354">
        <v>1.481128E-2</v>
      </c>
      <c r="S4354">
        <v>-3.0072169999999998</v>
      </c>
      <c r="T4354">
        <v>-8.5398790000000002E-2</v>
      </c>
      <c r="U4354">
        <v>-0.44320680000000001</v>
      </c>
      <c r="V4354">
        <v>6.8391969999999996E-2</v>
      </c>
      <c r="W4354">
        <v>-1.915386E-3</v>
      </c>
      <c r="X4354">
        <v>0.99765669999999995</v>
      </c>
      <c r="Y4354">
        <v>-9.2546890000000007E-2</v>
      </c>
      <c r="Z4354">
        <v>2.0506969999999999E-4</v>
      </c>
      <c r="AA4354">
        <v>0.99570829999999999</v>
      </c>
      <c r="AB4354">
        <v>31</v>
      </c>
      <c r="AC4354">
        <v>-38.704700000000003</v>
      </c>
      <c r="AD4354">
        <v>-1.108216093942</v>
      </c>
      <c r="AE4354">
        <v>-5.73419999999998</v>
      </c>
      <c r="AF4354">
        <v>-3.6481853711552801</v>
      </c>
      <c r="AG4354">
        <v>-1.108216093942</v>
      </c>
      <c r="AH4354">
        <v>38.925213704760203</v>
      </c>
      <c r="AI4354">
        <v>91.623681006910502</v>
      </c>
      <c r="AJ4354">
        <v>95.354287981151003</v>
      </c>
      <c r="AK4354">
        <v>39.111502929118402</v>
      </c>
      <c r="AL4354">
        <v>90.109743599871393</v>
      </c>
      <c r="AM4354">
        <v>86.078360327697993</v>
      </c>
      <c r="AN4354">
        <v>1.00000001065945</v>
      </c>
    </row>
    <row r="4355" spans="1:40" x14ac:dyDescent="0.25">
      <c r="A4355" t="str">
        <f>"20190312154922823"</f>
        <v>20190312154922823</v>
      </c>
      <c r="B4355" t="str">
        <f>"1552376962820172"</f>
        <v>1552376962820172</v>
      </c>
      <c r="C4355" t="s">
        <v>40</v>
      </c>
      <c r="D4355">
        <v>4.926501</v>
      </c>
      <c r="E4355">
        <v>0.43769380000000002</v>
      </c>
      <c r="F4355" t="s">
        <v>42</v>
      </c>
      <c r="G4355">
        <v>-266.1429</v>
      </c>
      <c r="H4355" s="1">
        <v>-2.327846E-6</v>
      </c>
      <c r="I4355">
        <v>135.74799999999999</v>
      </c>
      <c r="J4355">
        <v>-228.44929999999999</v>
      </c>
      <c r="K4355">
        <v>1.108203</v>
      </c>
      <c r="L4355">
        <v>141.4435</v>
      </c>
      <c r="M4355">
        <v>-0.99854799999999999</v>
      </c>
      <c r="N4355">
        <v>0</v>
      </c>
      <c r="O4355">
        <v>-5.3872980000000001E-2</v>
      </c>
      <c r="P4355">
        <v>-0.99989680000000003</v>
      </c>
      <c r="Q4355">
        <v>-2.4024340000000002E-3</v>
      </c>
      <c r="R4355">
        <v>1.4181640000000001E-2</v>
      </c>
      <c r="S4355">
        <v>-3.006821</v>
      </c>
      <c r="T4355">
        <v>-8.7689160000000002E-2</v>
      </c>
      <c r="U4355">
        <v>-0.45198060000000001</v>
      </c>
      <c r="V4355">
        <v>6.8029619999999999E-2</v>
      </c>
      <c r="W4355">
        <v>-2.108314E-3</v>
      </c>
      <c r="X4355">
        <v>0.99768109999999999</v>
      </c>
      <c r="Y4355">
        <v>-9.5140970000000005E-2</v>
      </c>
      <c r="Z4355">
        <v>1.806004E-4</v>
      </c>
      <c r="AA4355">
        <v>0.99546380000000001</v>
      </c>
      <c r="AB4355">
        <v>31</v>
      </c>
      <c r="AC4355">
        <v>-37.693600000000004</v>
      </c>
      <c r="AD4355">
        <v>-1.108205327846</v>
      </c>
      <c r="AE4355">
        <v>-5.6955000000000098</v>
      </c>
      <c r="AF4355">
        <v>-3.6534753288415698</v>
      </c>
      <c r="AG4355">
        <v>-1.108205327846</v>
      </c>
      <c r="AH4355">
        <v>37.913654416724498</v>
      </c>
      <c r="AI4355">
        <v>91.666547240067601</v>
      </c>
      <c r="AJ4355">
        <v>95.504200940029605</v>
      </c>
      <c r="AK4355">
        <v>38.105395841769401</v>
      </c>
      <c r="AL4355">
        <v>90.120797580469599</v>
      </c>
      <c r="AM4355">
        <v>86.099168501112302</v>
      </c>
      <c r="AN4355">
        <v>1.00000002574123</v>
      </c>
    </row>
    <row r="4356" spans="1:40" x14ac:dyDescent="0.25">
      <c r="A4356" t="str">
        <f>"20190312154922844"</f>
        <v>20190312154922844</v>
      </c>
      <c r="B4356" t="str">
        <f>"1552376962840669"</f>
        <v>1552376962840669</v>
      </c>
      <c r="C4356" t="s">
        <v>40</v>
      </c>
      <c r="D4356">
        <v>4.9426870000000003</v>
      </c>
      <c r="E4356">
        <v>0.43733519999999998</v>
      </c>
      <c r="F4356" t="s">
        <v>42</v>
      </c>
      <c r="G4356">
        <v>-266.23309999999998</v>
      </c>
      <c r="H4356" s="1">
        <v>-2.3118119999999999E-6</v>
      </c>
      <c r="I4356">
        <v>135.69299999999899</v>
      </c>
      <c r="J4356">
        <v>-228.7517</v>
      </c>
      <c r="K4356">
        <v>1.1081859999999999</v>
      </c>
      <c r="L4356">
        <v>141.42699999999999</v>
      </c>
      <c r="M4356">
        <v>-0.99853530000000001</v>
      </c>
      <c r="N4356">
        <v>0</v>
      </c>
      <c r="O4356">
        <v>-5.4103770000000002E-2</v>
      </c>
      <c r="P4356">
        <v>-0.99990299999999999</v>
      </c>
      <c r="Q4356">
        <v>-2.5725589999999999E-3</v>
      </c>
      <c r="R4356">
        <v>1.3697999999999899E-2</v>
      </c>
      <c r="S4356">
        <v>-3.0065770000000001</v>
      </c>
      <c r="T4356">
        <v>-8.8183639999999994E-2</v>
      </c>
      <c r="U4356">
        <v>-0.4575806</v>
      </c>
      <c r="V4356">
        <v>6.7777630000000005E-2</v>
      </c>
      <c r="W4356">
        <v>-2.2238330000000001E-3</v>
      </c>
      <c r="X4356">
        <v>0.99769790000000003</v>
      </c>
      <c r="Y4356">
        <v>-9.6734539999999994E-2</v>
      </c>
      <c r="Z4356">
        <v>1.6506579999999999E-4</v>
      </c>
      <c r="AA4356">
        <v>0.99531020000000003</v>
      </c>
      <c r="AB4356">
        <v>31</v>
      </c>
      <c r="AC4356">
        <v>-37.481399999999901</v>
      </c>
      <c r="AD4356">
        <v>-1.1081883118119999</v>
      </c>
      <c r="AE4356">
        <v>-5.7340000000000302</v>
      </c>
      <c r="AF4356">
        <v>-3.6945606195505398</v>
      </c>
      <c r="AG4356">
        <v>-1.1081883118119999</v>
      </c>
      <c r="AH4356">
        <v>37.704526313702999</v>
      </c>
      <c r="AI4356">
        <v>91.675497934886906</v>
      </c>
      <c r="AJ4356">
        <v>95.596386901484493</v>
      </c>
      <c r="AK4356">
        <v>37.901308210227903</v>
      </c>
      <c r="AL4356">
        <v>90.127416359677994</v>
      </c>
      <c r="AM4356">
        <v>86.113638536398398</v>
      </c>
      <c r="AN4356">
        <v>0.99999992611301602</v>
      </c>
    </row>
    <row r="4357" spans="1:40" x14ac:dyDescent="0.25">
      <c r="A4357" t="str">
        <f>"20190312154922867"</f>
        <v>20190312154922867</v>
      </c>
      <c r="B4357" t="str">
        <f>"1552376962860189"</f>
        <v>1552376962860189</v>
      </c>
      <c r="C4357" t="s">
        <v>40</v>
      </c>
      <c r="D4357">
        <v>4.9467549999999996</v>
      </c>
      <c r="E4357">
        <v>0.43717410000000001</v>
      </c>
      <c r="F4357" t="s">
        <v>42</v>
      </c>
      <c r="G4357">
        <v>-266.28089999999997</v>
      </c>
      <c r="H4357" s="1">
        <v>-2.3041449999999999E-6</v>
      </c>
      <c r="I4357">
        <v>135.66059999999999</v>
      </c>
      <c r="J4357">
        <v>-229.06129999999999</v>
      </c>
      <c r="K4357">
        <v>1.1081589999999999</v>
      </c>
      <c r="L4357">
        <v>141.41</v>
      </c>
      <c r="M4357">
        <v>-0.99852490000000005</v>
      </c>
      <c r="N4357">
        <v>0</v>
      </c>
      <c r="O4357">
        <v>-5.4294620000000002E-2</v>
      </c>
      <c r="P4357">
        <v>-0.99991600000000003</v>
      </c>
      <c r="Q4357">
        <v>-2.0944760000000001E-3</v>
      </c>
      <c r="R4357">
        <v>1.2796149999999999E-2</v>
      </c>
      <c r="S4357">
        <v>-3.0063930000000001</v>
      </c>
      <c r="T4357">
        <v>-8.877504E-2</v>
      </c>
      <c r="U4357">
        <v>-0.46192929999999999</v>
      </c>
      <c r="V4357">
        <v>6.706811E-2</v>
      </c>
      <c r="W4357">
        <v>-1.6932379999999999E-3</v>
      </c>
      <c r="X4357">
        <v>0.99774689999999999</v>
      </c>
      <c r="Y4357">
        <v>-9.7959359999999995E-2</v>
      </c>
      <c r="Z4357">
        <v>1.5375830000000001E-4</v>
      </c>
      <c r="AA4357">
        <v>0.99519040000000003</v>
      </c>
      <c r="AB4357">
        <v>31</v>
      </c>
      <c r="AC4357">
        <v>-37.2195999999999</v>
      </c>
      <c r="AD4357">
        <v>-1.108161304145</v>
      </c>
      <c r="AE4357">
        <v>-5.7493999999999996</v>
      </c>
      <c r="AF4357">
        <v>-3.7168771421339799</v>
      </c>
      <c r="AG4357">
        <v>-1.108161304145</v>
      </c>
      <c r="AH4357">
        <v>37.444441401762198</v>
      </c>
      <c r="AI4357">
        <v>91.686877728432904</v>
      </c>
      <c r="AJ4357">
        <v>95.668825976269503</v>
      </c>
      <c r="AK4357">
        <v>37.644779041132999</v>
      </c>
      <c r="AL4357">
        <v>90.097015443537899</v>
      </c>
      <c r="AM4357">
        <v>86.154387905162096</v>
      </c>
      <c r="AN4357">
        <v>0.99999993744675097</v>
      </c>
    </row>
    <row r="4358" spans="1:40" x14ac:dyDescent="0.25">
      <c r="A4358" t="str">
        <f>"20190312154922889"</f>
        <v>20190312154922889</v>
      </c>
      <c r="B4358" t="str">
        <f>"1552376962880685"</f>
        <v>1552376962880685</v>
      </c>
      <c r="C4358" t="s">
        <v>40</v>
      </c>
      <c r="D4358">
        <v>4.9279120000000001</v>
      </c>
      <c r="E4358">
        <v>0.43697320000000001</v>
      </c>
      <c r="F4358" t="s">
        <v>42</v>
      </c>
      <c r="G4358">
        <v>-266.67430000000002</v>
      </c>
      <c r="H4358" s="1">
        <v>-2.1917219999999999E-6</v>
      </c>
      <c r="I4358">
        <v>135.58009999999999</v>
      </c>
      <c r="J4358">
        <v>-229.3811</v>
      </c>
      <c r="K4358">
        <v>1.1081219999999901</v>
      </c>
      <c r="L4358">
        <v>141.39250000000001</v>
      </c>
      <c r="M4358">
        <v>-0.99851730000000005</v>
      </c>
      <c r="N4358">
        <v>0</v>
      </c>
      <c r="O4358">
        <v>-5.4435150000000002E-2</v>
      </c>
      <c r="P4358">
        <v>-0.99992729999999996</v>
      </c>
      <c r="Q4358">
        <v>-1.986416E-3</v>
      </c>
      <c r="R4358">
        <v>1.1886570000000001E-2</v>
      </c>
      <c r="S4358">
        <v>-3.006027</v>
      </c>
      <c r="T4358">
        <v>-8.8564279999999995E-2</v>
      </c>
      <c r="U4358">
        <v>-0.46592709999999998</v>
      </c>
      <c r="V4358">
        <v>6.6300620000000005E-2</v>
      </c>
      <c r="W4358">
        <v>-1.534325E-3</v>
      </c>
      <c r="X4358">
        <v>0.99779850000000003</v>
      </c>
      <c r="Y4358">
        <v>-9.9129850000000005E-2</v>
      </c>
      <c r="Z4358">
        <v>1.403473E-4</v>
      </c>
      <c r="AA4358">
        <v>0.99507449999999997</v>
      </c>
      <c r="AB4358">
        <v>32</v>
      </c>
      <c r="AC4358">
        <v>-37.293199999999999</v>
      </c>
      <c r="AD4358">
        <v>-1.1081241917219899</v>
      </c>
      <c r="AE4358">
        <v>-5.8124000000000198</v>
      </c>
      <c r="AF4358">
        <v>-3.77047100159588</v>
      </c>
      <c r="AG4358">
        <v>-1.1081241917219899</v>
      </c>
      <c r="AH4358">
        <v>37.521961591664997</v>
      </c>
      <c r="AI4358">
        <v>91.683134812130902</v>
      </c>
      <c r="AJ4358">
        <v>95.738221070193902</v>
      </c>
      <c r="AK4358">
        <v>37.727204938671697</v>
      </c>
      <c r="AL4358">
        <v>90.087910382581995</v>
      </c>
      <c r="AM4358">
        <v>86.198461172391802</v>
      </c>
      <c r="AN4358">
        <v>0.99999998648391997</v>
      </c>
    </row>
    <row r="4359" spans="1:40" x14ac:dyDescent="0.25">
      <c r="A4359" t="str">
        <f>"20190312154922911"</f>
        <v>20190312154922911</v>
      </c>
      <c r="B4359" t="str">
        <f>"1552376962900205"</f>
        <v>1552376962900205</v>
      </c>
      <c r="C4359" t="s">
        <v>40</v>
      </c>
      <c r="D4359">
        <v>4.9304389999999998</v>
      </c>
      <c r="E4359">
        <v>0.43672129999999998</v>
      </c>
      <c r="F4359" t="s">
        <v>42</v>
      </c>
      <c r="G4359">
        <v>-266.4975</v>
      </c>
      <c r="H4359" s="1">
        <v>-2.2505540000000001E-6</v>
      </c>
      <c r="I4359">
        <v>135.58500000000001</v>
      </c>
      <c r="J4359">
        <v>-229.70830000000001</v>
      </c>
      <c r="K4359">
        <v>1.1080840000000001</v>
      </c>
      <c r="L4359">
        <v>141.37450000000001</v>
      </c>
      <c r="M4359">
        <v>-0.99851199999999996</v>
      </c>
      <c r="N4359">
        <v>0</v>
      </c>
      <c r="O4359">
        <v>-5.4530269999999999E-2</v>
      </c>
      <c r="P4359">
        <v>-0.99993279999999995</v>
      </c>
      <c r="Q4359">
        <v>-2.1611920000000001E-3</v>
      </c>
      <c r="R4359">
        <v>1.139662E-2</v>
      </c>
      <c r="S4359">
        <v>-3.00563</v>
      </c>
      <c r="T4359">
        <v>-8.9734320000000006E-2</v>
      </c>
      <c r="U4359">
        <v>-0.47027590000000002</v>
      </c>
      <c r="V4359">
        <v>6.5906670000000001E-2</v>
      </c>
      <c r="W4359">
        <v>-1.65893299999999E-3</v>
      </c>
      <c r="X4359">
        <v>0.99782439999999994</v>
      </c>
      <c r="Y4359">
        <v>-0.10045949999999999</v>
      </c>
      <c r="Z4359">
        <v>1.25277E-4</v>
      </c>
      <c r="AA4359">
        <v>0.99494110000000002</v>
      </c>
      <c r="AB4359">
        <v>32</v>
      </c>
      <c r="AC4359">
        <v>-36.789200000000001</v>
      </c>
      <c r="AD4359">
        <v>-1.1080862505539999</v>
      </c>
      <c r="AE4359">
        <v>-5.7895000000000003</v>
      </c>
      <c r="AF4359">
        <v>-3.7714218840345599</v>
      </c>
      <c r="AG4359">
        <v>-1.1080862505539999</v>
      </c>
      <c r="AH4359">
        <v>37.017394164606998</v>
      </c>
      <c r="AI4359">
        <v>91.705766743554605</v>
      </c>
      <c r="AJ4359">
        <v>95.817360250190902</v>
      </c>
      <c r="AK4359">
        <v>37.2255147567354</v>
      </c>
      <c r="AL4359">
        <v>90.095049904206704</v>
      </c>
      <c r="AM4359">
        <v>86.221081599642801</v>
      </c>
      <c r="AN4359">
        <v>0.99999998722227301</v>
      </c>
    </row>
    <row r="4360" spans="1:40" x14ac:dyDescent="0.25">
      <c r="A4360" t="str">
        <f>"20190312154922933"</f>
        <v>20190312154922933</v>
      </c>
      <c r="B4360" t="str">
        <f>"1552376962930461"</f>
        <v>1552376962930461</v>
      </c>
      <c r="C4360" t="s">
        <v>40</v>
      </c>
      <c r="D4360">
        <v>4.9134440000000001</v>
      </c>
      <c r="E4360">
        <v>0.43640760000000001</v>
      </c>
      <c r="F4360" t="s">
        <v>42</v>
      </c>
      <c r="G4360">
        <v>-266.03109999999998</v>
      </c>
      <c r="H4360" s="1">
        <v>-2.392219E-6</v>
      </c>
      <c r="I4360">
        <v>135.64920000000001</v>
      </c>
      <c r="J4360">
        <v>-230.01179999999999</v>
      </c>
      <c r="K4360">
        <v>1.10805</v>
      </c>
      <c r="L4360">
        <v>141.3579</v>
      </c>
      <c r="M4360">
        <v>-0.99850919999999999</v>
      </c>
      <c r="N4360">
        <v>0</v>
      </c>
      <c r="O4360">
        <v>-5.4584019999999997E-2</v>
      </c>
      <c r="P4360">
        <v>-0.99994130000000003</v>
      </c>
      <c r="Q4360">
        <v>-2.3257149999999999E-3</v>
      </c>
      <c r="R4360">
        <v>1.0599000000000001E-2</v>
      </c>
      <c r="S4360">
        <v>-3.005417</v>
      </c>
      <c r="T4360">
        <v>-9.1685409999999995E-2</v>
      </c>
      <c r="U4360">
        <v>-0.47372439999999999</v>
      </c>
      <c r="V4360">
        <v>6.5164470000000002E-2</v>
      </c>
      <c r="W4360">
        <v>-1.7781330000000001E-3</v>
      </c>
      <c r="X4360">
        <v>0.99787289999999995</v>
      </c>
      <c r="Y4360">
        <v>-0.10152940000000001</v>
      </c>
      <c r="Z4360">
        <v>1.133914E-4</v>
      </c>
      <c r="AA4360">
        <v>0.99483250000000001</v>
      </c>
      <c r="AB4360">
        <v>32</v>
      </c>
      <c r="AC4360">
        <v>-36.019299999999902</v>
      </c>
      <c r="AD4360">
        <v>-1.108052392219</v>
      </c>
      <c r="AE4360">
        <v>-5.7086999999999897</v>
      </c>
      <c r="AF4360">
        <v>-3.7306672151497202</v>
      </c>
      <c r="AG4360">
        <v>-1.108052392219</v>
      </c>
      <c r="AH4360">
        <v>36.243746856860199</v>
      </c>
      <c r="AI4360">
        <v>91.741916778085198</v>
      </c>
      <c r="AJ4360">
        <v>95.876912804094601</v>
      </c>
      <c r="AK4360">
        <v>36.452089709620999</v>
      </c>
      <c r="AL4360">
        <v>90.101879575375406</v>
      </c>
      <c r="AM4360">
        <v>86.263697287138896</v>
      </c>
      <c r="AN4360">
        <v>0.99999994723087604</v>
      </c>
    </row>
    <row r="4361" spans="1:40" x14ac:dyDescent="0.25">
      <c r="A4361" t="str">
        <f>"20190312154922955"</f>
        <v>20190312154922955</v>
      </c>
      <c r="B4361" t="str">
        <f>"1552376962949981"</f>
        <v>1552376962949981</v>
      </c>
      <c r="C4361" t="s">
        <v>40</v>
      </c>
      <c r="D4361">
        <v>4.8889559999999896</v>
      </c>
      <c r="E4361">
        <v>0.43632019999999999</v>
      </c>
      <c r="F4361" t="s">
        <v>42</v>
      </c>
      <c r="G4361">
        <v>-265.59309999999999</v>
      </c>
      <c r="H4361" s="1">
        <v>-2.569213E-6</v>
      </c>
      <c r="I4361">
        <v>135.69030000000001</v>
      </c>
      <c r="J4361">
        <v>-230.34989999999999</v>
      </c>
      <c r="K4361">
        <v>1.108025</v>
      </c>
      <c r="L4361">
        <v>141.33940000000001</v>
      </c>
      <c r="M4361">
        <v>-0.99850799999999995</v>
      </c>
      <c r="N4361">
        <v>0</v>
      </c>
      <c r="O4361">
        <v>-5.4605359999999999E-2</v>
      </c>
      <c r="P4361">
        <v>-0.99994989999999995</v>
      </c>
      <c r="Q4361">
        <v>-2.622882E-3</v>
      </c>
      <c r="R4361">
        <v>9.6658809999999994E-3</v>
      </c>
      <c r="S4361">
        <v>-3.0050349999999999</v>
      </c>
      <c r="T4361">
        <v>-9.3581079999999997E-2</v>
      </c>
      <c r="U4361">
        <v>-0.478653</v>
      </c>
      <c r="V4361">
        <v>6.4254130000000007E-2</v>
      </c>
      <c r="W4361">
        <v>-2.0263590000000001E-3</v>
      </c>
      <c r="X4361">
        <v>0.99793149999999997</v>
      </c>
      <c r="Y4361">
        <v>-0.1031175</v>
      </c>
      <c r="Z4361" s="1">
        <v>9.1806989999999996E-5</v>
      </c>
      <c r="AA4361">
        <v>0.99466920000000003</v>
      </c>
      <c r="AB4361">
        <v>32</v>
      </c>
      <c r="AC4361">
        <v>-35.243200000000002</v>
      </c>
      <c r="AD4361">
        <v>-1.1080275692129999</v>
      </c>
      <c r="AE4361">
        <v>-5.6490999999999998</v>
      </c>
      <c r="AF4361">
        <v>-3.7126261854773102</v>
      </c>
      <c r="AG4361">
        <v>-1.1080275692129999</v>
      </c>
      <c r="AH4361">
        <v>35.464911934461298</v>
      </c>
      <c r="AI4361">
        <v>91.779786293204296</v>
      </c>
      <c r="AJ4361">
        <v>95.976212049093206</v>
      </c>
      <c r="AK4361">
        <v>35.675920405874898</v>
      </c>
      <c r="AL4361">
        <v>90.116101899207806</v>
      </c>
      <c r="AM4361">
        <v>86.315963972770405</v>
      </c>
      <c r="AN4361">
        <v>0.99999998902255105</v>
      </c>
    </row>
    <row r="4362" spans="1:40" x14ac:dyDescent="0.25">
      <c r="A4362" t="str">
        <f>"20190312154922977"</f>
        <v>20190312154922977</v>
      </c>
      <c r="B4362" t="str">
        <f>"1552376962970477"</f>
        <v>1552376962970477</v>
      </c>
      <c r="C4362" t="s">
        <v>40</v>
      </c>
      <c r="D4362">
        <v>4.8933730000000004</v>
      </c>
      <c r="E4362">
        <v>0.43628299999999998</v>
      </c>
      <c r="F4362" t="s">
        <v>42</v>
      </c>
      <c r="G4362">
        <v>-265.05259999999998</v>
      </c>
      <c r="H4362" s="1">
        <v>-2.786801E-6</v>
      </c>
      <c r="I4362">
        <v>135.77080000000001</v>
      </c>
      <c r="J4362">
        <v>-230.66130000000001</v>
      </c>
      <c r="K4362">
        <v>1.1079939999999999</v>
      </c>
      <c r="L4362">
        <v>141.32239999999999</v>
      </c>
      <c r="M4362">
        <v>-0.99850919999999999</v>
      </c>
      <c r="N4362">
        <v>0</v>
      </c>
      <c r="O4362">
        <v>-5.4581980000000002E-2</v>
      </c>
      <c r="P4362">
        <v>-0.99995780000000001</v>
      </c>
      <c r="Q4362">
        <v>-2.860699E-3</v>
      </c>
      <c r="R4362">
        <v>8.7430790000000008E-3</v>
      </c>
      <c r="S4362">
        <v>-3.004562</v>
      </c>
      <c r="T4362">
        <v>-9.5933080000000004E-2</v>
      </c>
      <c r="U4362">
        <v>-0.48211670000000001</v>
      </c>
      <c r="V4362">
        <v>6.3309829999999997E-2</v>
      </c>
      <c r="W4362">
        <v>-2.219834E-3</v>
      </c>
      <c r="X4362">
        <v>0.99799139999999997</v>
      </c>
      <c r="Y4362">
        <v>-0.104281399999999</v>
      </c>
      <c r="Z4362" s="1">
        <v>7.4909069999999894E-5</v>
      </c>
      <c r="AA4362">
        <v>0.99454779999999998</v>
      </c>
      <c r="AB4362">
        <v>32</v>
      </c>
      <c r="AC4362">
        <v>-34.391299999999902</v>
      </c>
      <c r="AD4362">
        <v>-1.1079967868009899</v>
      </c>
      <c r="AE4362">
        <v>-5.5515999999999703</v>
      </c>
      <c r="AF4362">
        <v>-3.6624738138966699</v>
      </c>
      <c r="AG4362">
        <v>-1.1079967868009899</v>
      </c>
      <c r="AH4362">
        <v>34.608040550141197</v>
      </c>
      <c r="AI4362">
        <v>91.823555742583196</v>
      </c>
      <c r="AJ4362">
        <v>96.040970070430802</v>
      </c>
      <c r="AK4362">
        <v>34.818929363742001</v>
      </c>
      <c r="AL4362">
        <v>90.127187230444207</v>
      </c>
      <c r="AM4362">
        <v>86.370177240042693</v>
      </c>
      <c r="AN4362">
        <v>0.99999994835578598</v>
      </c>
    </row>
    <row r="4363" spans="1:40" x14ac:dyDescent="0.25">
      <c r="A4363" t="str">
        <f>"20190312154923004"</f>
        <v>20190312154923004</v>
      </c>
      <c r="B4363" t="str">
        <f>"1552376962999757"</f>
        <v>1552376962999757</v>
      </c>
      <c r="C4363" t="s">
        <v>40</v>
      </c>
      <c r="D4363">
        <v>4.8452299999999999</v>
      </c>
      <c r="E4363">
        <v>0.43615429999999999</v>
      </c>
      <c r="F4363" t="s">
        <v>42</v>
      </c>
      <c r="G4363">
        <v>-264.87939999999998</v>
      </c>
      <c r="H4363" s="1">
        <v>-2.8566459999999999E-6</v>
      </c>
      <c r="I4363">
        <v>135.7961</v>
      </c>
      <c r="J4363">
        <v>-231.05160000000001</v>
      </c>
      <c r="K4363">
        <v>1.107942</v>
      </c>
      <c r="L4363">
        <v>141.30109999999999</v>
      </c>
      <c r="M4363">
        <v>-0.99851440000000002</v>
      </c>
      <c r="N4363">
        <v>0</v>
      </c>
      <c r="O4363">
        <v>-5.4483980000000001E-2</v>
      </c>
      <c r="P4363">
        <v>-0.99996119999999999</v>
      </c>
      <c r="Q4363">
        <v>-3.2309869999999998E-3</v>
      </c>
      <c r="R4363">
        <v>8.2041300000000004E-3</v>
      </c>
      <c r="S4363">
        <v>-3.004089</v>
      </c>
      <c r="T4363">
        <v>-9.7273830000000006E-2</v>
      </c>
      <c r="U4363">
        <v>-0.48515320000000001</v>
      </c>
      <c r="V4363">
        <v>6.2673519999999996E-2</v>
      </c>
      <c r="W4363">
        <v>-2.5344260000000002E-3</v>
      </c>
      <c r="X4363">
        <v>0.9980308</v>
      </c>
      <c r="Y4363">
        <v>-0.105382</v>
      </c>
      <c r="Z4363" s="1">
        <v>5.5107289999999999E-5</v>
      </c>
      <c r="AA4363">
        <v>0.99443179999999998</v>
      </c>
      <c r="AB4363">
        <v>33</v>
      </c>
      <c r="AC4363">
        <v>-33.827799999999897</v>
      </c>
      <c r="AD4363">
        <v>-1.107944856646</v>
      </c>
      <c r="AE4363">
        <v>-5.5049999999999901</v>
      </c>
      <c r="AF4363">
        <v>-3.6499351222557599</v>
      </c>
      <c r="AG4363">
        <v>-1.107944856646</v>
      </c>
      <c r="AH4363">
        <v>34.0419125638428</v>
      </c>
      <c r="AI4363">
        <v>91.853502739007595</v>
      </c>
      <c r="AJ4363">
        <v>96.119808860444707</v>
      </c>
      <c r="AK4363">
        <v>34.254946784462597</v>
      </c>
      <c r="AL4363">
        <v>90.145212078099306</v>
      </c>
      <c r="AM4363">
        <v>86.406705021249493</v>
      </c>
      <c r="AN4363">
        <v>0.99999993558648703</v>
      </c>
    </row>
    <row r="4364" spans="1:40" x14ac:dyDescent="0.25">
      <c r="A4364" t="str">
        <f>"20190312154923026"</f>
        <v>20190312154923026</v>
      </c>
      <c r="B4364" t="str">
        <f>"1552376963020253"</f>
        <v>1552376963020253</v>
      </c>
      <c r="C4364" t="s">
        <v>40</v>
      </c>
      <c r="D4364">
        <v>4.9608100000000004</v>
      </c>
      <c r="E4364">
        <v>0.43625180000000002</v>
      </c>
      <c r="F4364" t="s">
        <v>42</v>
      </c>
      <c r="G4364">
        <v>-264.75839999999999</v>
      </c>
      <c r="H4364" s="1">
        <v>-2.9030520000000002E-6</v>
      </c>
      <c r="I4364">
        <v>135.8271</v>
      </c>
      <c r="J4364">
        <v>-231.36760000000001</v>
      </c>
      <c r="K4364">
        <v>1.107899</v>
      </c>
      <c r="L4364">
        <v>141.28389999999999</v>
      </c>
      <c r="M4364">
        <v>-0.99852240000000003</v>
      </c>
      <c r="N4364">
        <v>0</v>
      </c>
      <c r="O4364">
        <v>-5.4335899999999999E-2</v>
      </c>
      <c r="P4364">
        <v>-0.99996569999999996</v>
      </c>
      <c r="Q4364">
        <v>-3.6007449999999998E-3</v>
      </c>
      <c r="R4364">
        <v>7.4459649999999997E-3</v>
      </c>
      <c r="S4364">
        <v>-3.0038149999999999</v>
      </c>
      <c r="T4364">
        <v>-9.8735809999999993E-2</v>
      </c>
      <c r="U4364">
        <v>-0.48780820000000003</v>
      </c>
      <c r="V4364">
        <v>6.176835E-2</v>
      </c>
      <c r="W4364">
        <v>-2.859852E-3</v>
      </c>
      <c r="X4364">
        <v>0.99808640000000004</v>
      </c>
      <c r="Y4364">
        <v>-0.1063989</v>
      </c>
      <c r="Z4364" s="1">
        <v>3.450864E-5</v>
      </c>
      <c r="AA4364">
        <v>0.99432359999999997</v>
      </c>
      <c r="AB4364">
        <v>33</v>
      </c>
      <c r="AC4364">
        <v>-33.390799999999899</v>
      </c>
      <c r="AD4364">
        <v>-1.1079019030520001</v>
      </c>
      <c r="AE4364">
        <v>-5.4567999999999799</v>
      </c>
      <c r="AF4364">
        <v>-3.6305261118617</v>
      </c>
      <c r="AG4364">
        <v>-1.1079019030520001</v>
      </c>
      <c r="AH4364">
        <v>33.601942214516299</v>
      </c>
      <c r="AI4364">
        <v>91.877516803053197</v>
      </c>
      <c r="AJ4364">
        <v>96.166608202956894</v>
      </c>
      <c r="AK4364">
        <v>33.815657424681</v>
      </c>
      <c r="AL4364">
        <v>90.163857675475199</v>
      </c>
      <c r="AM4364">
        <v>86.458665360740596</v>
      </c>
      <c r="AN4364">
        <v>0.99999998484007202</v>
      </c>
    </row>
    <row r="4365" spans="1:40" x14ac:dyDescent="0.25">
      <c r="A4365" t="str">
        <f>"20190312154923047"</f>
        <v>20190312154923047</v>
      </c>
      <c r="B4365" t="str">
        <f>"1552376963039774"</f>
        <v>1552376963039774</v>
      </c>
      <c r="C4365" t="s">
        <v>40</v>
      </c>
      <c r="D4365">
        <v>4.9704329999999999</v>
      </c>
      <c r="E4365">
        <v>0.47353319999999999</v>
      </c>
      <c r="F4365" t="s">
        <v>42</v>
      </c>
      <c r="G4365">
        <v>-264.71429999999998</v>
      </c>
      <c r="H4365" s="1">
        <v>-2.917937E-6</v>
      </c>
      <c r="I4365">
        <v>135.84989999999999</v>
      </c>
      <c r="J4365">
        <v>-231.7022</v>
      </c>
      <c r="K4365">
        <v>1.1078440000000001</v>
      </c>
      <c r="L4365">
        <v>141.26589999999999</v>
      </c>
      <c r="M4365">
        <v>-0.99853510000000001</v>
      </c>
      <c r="N4365">
        <v>0</v>
      </c>
      <c r="O4365">
        <v>-5.4101870000000003E-2</v>
      </c>
      <c r="P4365">
        <v>-0.99996220000000002</v>
      </c>
      <c r="Q4365">
        <v>-4.3060520000000003E-3</v>
      </c>
      <c r="R4365">
        <v>7.570645E-3</v>
      </c>
      <c r="S4365">
        <v>-3.0033720000000002</v>
      </c>
      <c r="T4365">
        <v>-9.9783419999999998E-2</v>
      </c>
      <c r="U4365">
        <v>-0.48941040000000002</v>
      </c>
      <c r="V4365">
        <v>6.165822E-2</v>
      </c>
      <c r="W4365">
        <v>-3.5173629999999999E-3</v>
      </c>
      <c r="X4365">
        <v>0.99809110000000001</v>
      </c>
      <c r="Y4365">
        <v>-0.10717069999999999</v>
      </c>
      <c r="Z4365" s="1">
        <v>1.4441090000000001E-5</v>
      </c>
      <c r="AA4365">
        <v>0.99424060000000003</v>
      </c>
      <c r="AB4365">
        <v>33</v>
      </c>
      <c r="AC4365">
        <v>-33.012099999999897</v>
      </c>
      <c r="AD4365">
        <v>-1.1078469179369901</v>
      </c>
      <c r="AE4365">
        <v>-5.4159999999999897</v>
      </c>
      <c r="AF4365">
        <v>-3.61808305693918</v>
      </c>
      <c r="AG4365">
        <v>-1.1078469179369901</v>
      </c>
      <c r="AH4365">
        <v>33.220335035214397</v>
      </c>
      <c r="AI4365">
        <v>91.898797949724099</v>
      </c>
      <c r="AJ4365">
        <v>96.215681522357201</v>
      </c>
      <c r="AK4365">
        <v>33.435138846016301</v>
      </c>
      <c r="AL4365">
        <v>90.201530475320794</v>
      </c>
      <c r="AM4365">
        <v>86.464979968906803</v>
      </c>
      <c r="AN4365">
        <v>0.99999997591762502</v>
      </c>
    </row>
    <row r="4366" spans="1:40" x14ac:dyDescent="0.25">
      <c r="A4366" t="str">
        <f>"20190312154923067"</f>
        <v>20190312154923067</v>
      </c>
      <c r="B4366" t="str">
        <f>"1552376963060269"</f>
        <v>1552376963060269</v>
      </c>
      <c r="C4366" t="s">
        <v>40</v>
      </c>
      <c r="D4366">
        <v>4.9255740000000001</v>
      </c>
      <c r="E4366">
        <v>0.4857264</v>
      </c>
      <c r="F4366" t="s">
        <v>42</v>
      </c>
      <c r="G4366">
        <v>-263.15649999999999</v>
      </c>
      <c r="H4366" s="1">
        <v>-2.9817230000000002E-6</v>
      </c>
      <c r="I4366">
        <v>139.2578</v>
      </c>
      <c r="J4366">
        <v>-231.99629999999999</v>
      </c>
      <c r="K4366">
        <v>1.1077999999999999</v>
      </c>
      <c r="L4366">
        <v>141.25020000000001</v>
      </c>
      <c r="M4366">
        <v>-0.99854889999999996</v>
      </c>
      <c r="N4366">
        <v>0</v>
      </c>
      <c r="O4366">
        <v>-5.384448E-2</v>
      </c>
      <c r="P4366">
        <v>-0.99995690000000004</v>
      </c>
      <c r="Q4366">
        <v>-4.294239E-3</v>
      </c>
      <c r="R4366">
        <v>8.2413109999999994E-3</v>
      </c>
      <c r="S4366">
        <v>-3.0011290000000002</v>
      </c>
      <c r="T4366">
        <v>-0.10570259999999999</v>
      </c>
      <c r="U4366">
        <v>-0.19158939999999999</v>
      </c>
      <c r="V4366">
        <v>6.2069909999999999E-2</v>
      </c>
      <c r="W4366">
        <v>-3.4618750000000001E-3</v>
      </c>
      <c r="X4366">
        <v>0.9980658</v>
      </c>
      <c r="Y4366">
        <v>-9.9089439999999994E-3</v>
      </c>
      <c r="Z4366">
        <v>1.718172E-3</v>
      </c>
      <c r="AA4366">
        <v>0.99994950000000005</v>
      </c>
      <c r="AB4366">
        <v>33</v>
      </c>
      <c r="AC4366">
        <v>-31.1602</v>
      </c>
      <c r="AD4366">
        <v>-1.107802981723</v>
      </c>
      <c r="AE4366">
        <v>-1.9923999999999999</v>
      </c>
      <c r="AF4366">
        <v>-0.31131232142022303</v>
      </c>
      <c r="AG4366">
        <v>-1.107802981723</v>
      </c>
      <c r="AH4366">
        <v>31.183023878991499</v>
      </c>
      <c r="AI4366">
        <v>92.034523477633698</v>
      </c>
      <c r="AJ4366">
        <v>90.571987169784506</v>
      </c>
      <c r="AK4366">
        <v>31.204248445452698</v>
      </c>
      <c r="AL4366">
        <v>90.1983512229518</v>
      </c>
      <c r="AM4366">
        <v>86.441347228990495</v>
      </c>
      <c r="AN4366">
        <v>0.99999999971778097</v>
      </c>
    </row>
    <row r="4367" spans="1:40" x14ac:dyDescent="0.25">
      <c r="A4367" t="str">
        <f>"20190312154923089"</f>
        <v>20190312154923089</v>
      </c>
      <c r="B4367" t="str">
        <f>"1552376963079789"</f>
        <v>1552376963079789</v>
      </c>
      <c r="C4367" t="s">
        <v>40</v>
      </c>
      <c r="D4367">
        <v>4.9210960000000004</v>
      </c>
      <c r="E4367">
        <v>0.49279790000000001</v>
      </c>
      <c r="F4367" t="s">
        <v>42</v>
      </c>
      <c r="G4367">
        <v>-258.8553</v>
      </c>
      <c r="H4367" s="1">
        <v>-6.8693339999999997E-7</v>
      </c>
      <c r="I4367">
        <v>140.4188</v>
      </c>
      <c r="J4367">
        <v>-232.3297</v>
      </c>
      <c r="K4367">
        <v>1.1077440000000001</v>
      </c>
      <c r="L4367">
        <v>141.23249999999999</v>
      </c>
      <c r="M4367">
        <v>-0.99856800000000001</v>
      </c>
      <c r="N4367">
        <v>0</v>
      </c>
      <c r="O4367">
        <v>-5.3489340000000003E-2</v>
      </c>
      <c r="P4367">
        <v>-0.99994519999999998</v>
      </c>
      <c r="Q4367">
        <v>-4.2760009999999998E-3</v>
      </c>
      <c r="R4367">
        <v>9.5725410000000004E-3</v>
      </c>
      <c r="S4367">
        <v>-3.000397</v>
      </c>
      <c r="T4367">
        <v>-0.1237519</v>
      </c>
      <c r="U4367">
        <v>-9.2864989999999994E-2</v>
      </c>
      <c r="V4367">
        <v>6.3043210000000002E-2</v>
      </c>
      <c r="W4367">
        <v>-3.3912030000000002E-3</v>
      </c>
      <c r="X4367">
        <v>0.99800500000000003</v>
      </c>
      <c r="Y4367">
        <v>2.250748E-2</v>
      </c>
      <c r="Z4367">
        <v>2.6673220000000002E-3</v>
      </c>
      <c r="AA4367">
        <v>0.9997431</v>
      </c>
      <c r="AB4367">
        <v>33</v>
      </c>
      <c r="AC4367">
        <v>-26.525600000000001</v>
      </c>
      <c r="AD4367">
        <v>-1.10774468693339</v>
      </c>
      <c r="AE4367">
        <v>-0.81369999999998199</v>
      </c>
      <c r="AF4367">
        <v>0.60524774448863705</v>
      </c>
      <c r="AG4367">
        <v>-1.10774468693339</v>
      </c>
      <c r="AH4367">
        <v>26.485004076733599</v>
      </c>
      <c r="AI4367">
        <v>92.394395951635104</v>
      </c>
      <c r="AJ4367">
        <v>88.690877811751804</v>
      </c>
      <c r="AK4367">
        <v>26.515068622732901</v>
      </c>
      <c r="AL4367">
        <v>90.194301998923706</v>
      </c>
      <c r="AM4367">
        <v>86.385472216615298</v>
      </c>
      <c r="AN4367">
        <v>0.99999996330494501</v>
      </c>
    </row>
    <row r="4368" spans="1:40" x14ac:dyDescent="0.25">
      <c r="A4368" t="str">
        <f>"20190312154923111"</f>
        <v>20190312154923111</v>
      </c>
      <c r="B4368" t="str">
        <f>"1552376963100288"</f>
        <v>1552376963100288</v>
      </c>
      <c r="C4368" t="s">
        <v>40</v>
      </c>
      <c r="D4368">
        <v>4.8860769999999896</v>
      </c>
      <c r="E4368">
        <v>0.49577280000000001</v>
      </c>
      <c r="F4368" t="s">
        <v>42</v>
      </c>
      <c r="G4368">
        <v>-259.0625</v>
      </c>
      <c r="H4368" s="1">
        <v>-7.3713969999999896E-7</v>
      </c>
      <c r="I4368">
        <v>140.94149999999999</v>
      </c>
      <c r="J4368">
        <v>-232.66239999999999</v>
      </c>
      <c r="K4368">
        <v>1.107688</v>
      </c>
      <c r="L4368">
        <v>141.215</v>
      </c>
      <c r="M4368">
        <v>-0.99859039999999999</v>
      </c>
      <c r="N4368">
        <v>0</v>
      </c>
      <c r="O4368">
        <v>-5.306876E-2</v>
      </c>
      <c r="P4368">
        <v>-0.99992650000000005</v>
      </c>
      <c r="Q4368">
        <v>-4.4038799999999998E-3</v>
      </c>
      <c r="R4368">
        <v>1.1287729999999999E-2</v>
      </c>
      <c r="S4368">
        <v>-2.999924</v>
      </c>
      <c r="T4368">
        <v>-0.1243099</v>
      </c>
      <c r="U4368">
        <v>-3.2638550000000002E-2</v>
      </c>
      <c r="V4368">
        <v>6.4334050000000004E-2</v>
      </c>
      <c r="W4368">
        <v>-3.4645539999999999E-3</v>
      </c>
      <c r="X4368">
        <v>0.99792239999999999</v>
      </c>
      <c r="Y4368">
        <v>4.2120199999999997E-2</v>
      </c>
      <c r="Z4368">
        <v>3.0693880000000002E-3</v>
      </c>
      <c r="AA4368">
        <v>0.99910779999999999</v>
      </c>
      <c r="AB4368">
        <v>34</v>
      </c>
      <c r="AC4368">
        <v>-26.400099999999998</v>
      </c>
      <c r="AD4368">
        <v>-1.1076887371397</v>
      </c>
      <c r="AE4368">
        <v>-0.27350000000001201</v>
      </c>
      <c r="AF4368">
        <v>1.1259246908298799</v>
      </c>
      <c r="AG4368">
        <v>-1.1076887371397</v>
      </c>
      <c r="AH4368">
        <v>26.331063240876102</v>
      </c>
      <c r="AI4368">
        <v>92.406687876567403</v>
      </c>
      <c r="AJ4368">
        <v>87.551505717243899</v>
      </c>
      <c r="AK4368">
        <v>26.378392144761701</v>
      </c>
      <c r="AL4368">
        <v>90.1985047202472</v>
      </c>
      <c r="AM4368">
        <v>86.3113608271765</v>
      </c>
      <c r="AN4368">
        <v>0.99999999477279</v>
      </c>
    </row>
    <row r="4369" spans="1:40" x14ac:dyDescent="0.25">
      <c r="A4369" t="str">
        <f>"20190312154923134"</f>
        <v>20190312154923134</v>
      </c>
      <c r="B4369" t="str">
        <f>"1552376963130541"</f>
        <v>1552376963130541</v>
      </c>
      <c r="C4369" t="s">
        <v>40</v>
      </c>
      <c r="D4369">
        <v>4.8378240000000003</v>
      </c>
      <c r="E4369">
        <v>0.49887140000000002</v>
      </c>
      <c r="F4369" t="s">
        <v>42</v>
      </c>
      <c r="G4369">
        <v>-257.21409999999997</v>
      </c>
      <c r="H4369" s="1">
        <v>-1.593612E-6</v>
      </c>
      <c r="I4369">
        <v>141.18020000000001</v>
      </c>
      <c r="J4369">
        <v>-233.00720000000001</v>
      </c>
      <c r="K4369">
        <v>1.107629</v>
      </c>
      <c r="L4369">
        <v>141.19710000000001</v>
      </c>
      <c r="M4369">
        <v>-0.99861690000000003</v>
      </c>
      <c r="N4369">
        <v>0</v>
      </c>
      <c r="O4369">
        <v>-5.2566889999999998E-2</v>
      </c>
      <c r="P4369">
        <v>-0.99989289999999997</v>
      </c>
      <c r="Q4369">
        <v>-5.4890549999999996E-3</v>
      </c>
      <c r="R4369">
        <v>1.3584189999999999E-2</v>
      </c>
      <c r="S4369">
        <v>-2.9996800000000001</v>
      </c>
      <c r="T4369">
        <v>-0.13533619999999999</v>
      </c>
      <c r="U4369">
        <v>-4.2419429999999998E-3</v>
      </c>
      <c r="V4369">
        <v>6.6122760000000003E-2</v>
      </c>
      <c r="W4369">
        <v>-4.4907870000000004E-3</v>
      </c>
      <c r="X4369">
        <v>0.99780139999999995</v>
      </c>
      <c r="Y4369">
        <v>5.1049320000000002E-2</v>
      </c>
      <c r="Z4369">
        <v>3.5206119999999998E-3</v>
      </c>
      <c r="AA4369">
        <v>0.99868990000000002</v>
      </c>
      <c r="AB4369">
        <v>34</v>
      </c>
      <c r="AC4369">
        <v>-24.206899999999901</v>
      </c>
      <c r="AD4369">
        <v>-1.1076305936119999</v>
      </c>
      <c r="AE4369">
        <v>-1.6899999999992501E-2</v>
      </c>
      <c r="AF4369">
        <v>1.2529821077291901</v>
      </c>
      <c r="AG4369">
        <v>-1.1076305936119999</v>
      </c>
      <c r="AH4369">
        <v>24.123812352577499</v>
      </c>
      <c r="AI4369">
        <v>92.625321728614793</v>
      </c>
      <c r="AJ4369">
        <v>87.026749640140906</v>
      </c>
      <c r="AK4369">
        <v>24.181710694584201</v>
      </c>
      <c r="AL4369">
        <v>90.257304004021506</v>
      </c>
      <c r="AM4369">
        <v>86.208640496146003</v>
      </c>
      <c r="AN4369">
        <v>1.00000001019992</v>
      </c>
    </row>
    <row r="4370" spans="1:40" x14ac:dyDescent="0.25">
      <c r="A4370" t="str">
        <f>"20190312154923156"</f>
        <v>20190312154923156</v>
      </c>
      <c r="B4370" t="str">
        <f>"1552376963150061"</f>
        <v>1552376963150061</v>
      </c>
      <c r="C4370" t="s">
        <v>40</v>
      </c>
      <c r="D4370">
        <v>4.8293239999999997</v>
      </c>
      <c r="E4370">
        <v>0.50011430000000001</v>
      </c>
      <c r="F4370" t="s">
        <v>42</v>
      </c>
      <c r="G4370">
        <v>-258.58190000000002</v>
      </c>
      <c r="H4370" s="1">
        <v>-1.0738809999999999E-6</v>
      </c>
      <c r="I4370">
        <v>141.4323</v>
      </c>
      <c r="J4370">
        <v>-233.357</v>
      </c>
      <c r="K4370">
        <v>1.1075729999999999</v>
      </c>
      <c r="L4370">
        <v>141.17910000000001</v>
      </c>
      <c r="M4370">
        <v>-0.9986467</v>
      </c>
      <c r="N4370">
        <v>0</v>
      </c>
      <c r="O4370">
        <v>-5.1993850000000001E-2</v>
      </c>
      <c r="P4370">
        <v>-0.99986059999999999</v>
      </c>
      <c r="Q4370">
        <v>-6.0306369999999897E-3</v>
      </c>
      <c r="R4370">
        <v>1.557415E-2</v>
      </c>
      <c r="S4370">
        <v>-2.9992369999999999</v>
      </c>
      <c r="T4370">
        <v>-0.12989589999999901</v>
      </c>
      <c r="U4370">
        <v>2.758789E-2</v>
      </c>
      <c r="V4370">
        <v>6.7534579999999997E-2</v>
      </c>
      <c r="W4370">
        <v>-4.9697259999999998E-3</v>
      </c>
      <c r="X4370">
        <v>0.99770460000000005</v>
      </c>
      <c r="Y4370">
        <v>6.1071199999999999E-2</v>
      </c>
      <c r="Z4370">
        <v>3.5719459999999999E-3</v>
      </c>
      <c r="AA4370">
        <v>0.99812699999999999</v>
      </c>
      <c r="AB4370">
        <v>34</v>
      </c>
      <c r="AC4370">
        <v>-25.224900000000002</v>
      </c>
      <c r="AD4370">
        <v>-1.1075740738809901</v>
      </c>
      <c r="AE4370">
        <v>0.25319999999999199</v>
      </c>
      <c r="AF4370">
        <v>1.5613882007842701</v>
      </c>
      <c r="AG4370">
        <v>-1.1075740738809901</v>
      </c>
      <c r="AH4370">
        <v>25.1291741326764</v>
      </c>
      <c r="AI4370">
        <v>92.5188399063573</v>
      </c>
      <c r="AJ4370">
        <v>86.444527287373603</v>
      </c>
      <c r="AK4370">
        <v>25.2019849621623</v>
      </c>
      <c r="AL4370">
        <v>90.284745484940203</v>
      </c>
      <c r="AM4370">
        <v>86.127558442640193</v>
      </c>
      <c r="AN4370">
        <v>1.00000004326672</v>
      </c>
    </row>
    <row r="4371" spans="1:40" x14ac:dyDescent="0.25">
      <c r="A4371" t="str">
        <f>"20190312154923179"</f>
        <v>20190312154923179</v>
      </c>
      <c r="B4371" t="str">
        <f>"1552376963170557"</f>
        <v>1552376963170557</v>
      </c>
      <c r="C4371" t="s">
        <v>40</v>
      </c>
      <c r="D4371">
        <v>4.8342199999999904</v>
      </c>
      <c r="E4371">
        <v>0.5011774</v>
      </c>
      <c r="F4371" t="s">
        <v>42</v>
      </c>
      <c r="G4371">
        <v>-259.10809999999998</v>
      </c>
      <c r="H4371" s="1">
        <v>-8.8024089999999998E-7</v>
      </c>
      <c r="I4371">
        <v>141.55289999999999</v>
      </c>
      <c r="J4371">
        <v>-233.69560000000001</v>
      </c>
      <c r="K4371">
        <v>1.1075189999999999</v>
      </c>
      <c r="L4371">
        <v>141.16200000000001</v>
      </c>
      <c r="M4371">
        <v>-0.99867839999999997</v>
      </c>
      <c r="N4371">
        <v>0</v>
      </c>
      <c r="O4371">
        <v>-5.1381950000000003E-2</v>
      </c>
      <c r="P4371">
        <v>-0.99981940000000002</v>
      </c>
      <c r="Q4371">
        <v>-6.4130769999999997E-3</v>
      </c>
      <c r="R4371">
        <v>1.7901520000000001E-2</v>
      </c>
      <c r="S4371">
        <v>-2.9989620000000001</v>
      </c>
      <c r="T4371">
        <v>-0.12898769999999901</v>
      </c>
      <c r="U4371">
        <v>4.3533330000000002E-2</v>
      </c>
      <c r="V4371">
        <v>6.9244490000000006E-2</v>
      </c>
      <c r="W4371">
        <v>-5.2900109999999998E-3</v>
      </c>
      <c r="X4371">
        <v>0.99758570000000002</v>
      </c>
      <c r="Y4371">
        <v>6.5763730000000006E-2</v>
      </c>
      <c r="Z4371">
        <v>3.6218639999999998E-3</v>
      </c>
      <c r="AA4371">
        <v>0.99782870000000001</v>
      </c>
      <c r="AB4371">
        <v>34</v>
      </c>
      <c r="AC4371">
        <v>-25.412499999999898</v>
      </c>
      <c r="AD4371">
        <v>-1.1075198802408901</v>
      </c>
      <c r="AE4371">
        <v>0.39089999999998698</v>
      </c>
      <c r="AF4371">
        <v>1.6929136354849801</v>
      </c>
      <c r="AG4371">
        <v>-1.1075198802408901</v>
      </c>
      <c r="AH4371">
        <v>25.310783707575599</v>
      </c>
      <c r="AI4371">
        <v>92.499905492507907</v>
      </c>
      <c r="AJ4371">
        <v>86.173466912022903</v>
      </c>
      <c r="AK4371">
        <v>25.391501112656101</v>
      </c>
      <c r="AL4371">
        <v>90.303096715655201</v>
      </c>
      <c r="AM4371">
        <v>86.029349990735497</v>
      </c>
      <c r="AN4371">
        <v>1.00000000622811</v>
      </c>
    </row>
    <row r="4372" spans="1:40" x14ac:dyDescent="0.25">
      <c r="A4372" t="str">
        <f>"20190312154923201"</f>
        <v>20190312154923201</v>
      </c>
      <c r="B4372" t="str">
        <f>"1552376963190077"</f>
        <v>1552376963190077</v>
      </c>
      <c r="C4372" t="s">
        <v>40</v>
      </c>
      <c r="D4372">
        <v>4.8477480000000002</v>
      </c>
      <c r="E4372">
        <v>0.50193449999999995</v>
      </c>
      <c r="F4372" t="s">
        <v>42</v>
      </c>
      <c r="G4372">
        <v>-259.97320000000002</v>
      </c>
      <c r="H4372" s="1">
        <v>-4.651159E-6</v>
      </c>
      <c r="I4372">
        <v>141.67959999999999</v>
      </c>
      <c r="J4372">
        <v>-234.04249999999999</v>
      </c>
      <c r="K4372">
        <v>1.107464</v>
      </c>
      <c r="L4372">
        <v>141.1447</v>
      </c>
      <c r="M4372">
        <v>-0.99871319999999997</v>
      </c>
      <c r="N4372">
        <v>0</v>
      </c>
      <c r="O4372">
        <v>-5.0701620000000003E-2</v>
      </c>
      <c r="P4372">
        <v>-0.99978889999999998</v>
      </c>
      <c r="Q4372">
        <v>-6.5814159999999997E-3</v>
      </c>
      <c r="R4372">
        <v>1.947399E-2</v>
      </c>
      <c r="S4372">
        <v>-2.9986570000000001</v>
      </c>
      <c r="T4372">
        <v>-0.12638489999999999</v>
      </c>
      <c r="U4372">
        <v>5.9066769999999998E-2</v>
      </c>
      <c r="V4372">
        <v>7.0132760000000002E-2</v>
      </c>
      <c r="W4372">
        <v>-5.3932279999999999E-3</v>
      </c>
      <c r="X4372">
        <v>0.9975231</v>
      </c>
      <c r="Y4372">
        <v>7.0253070000000001E-2</v>
      </c>
      <c r="Z4372">
        <v>3.6150380000000001E-3</v>
      </c>
      <c r="AA4372">
        <v>0.99752269999999998</v>
      </c>
      <c r="AB4372">
        <v>34</v>
      </c>
      <c r="AC4372">
        <v>-25.930700000000002</v>
      </c>
      <c r="AD4372">
        <v>-1.107468651159</v>
      </c>
      <c r="AE4372">
        <v>0.53489999999999305</v>
      </c>
      <c r="AF4372">
        <v>1.8455764071891001</v>
      </c>
      <c r="AG4372">
        <v>-1.107468651159</v>
      </c>
      <c r="AH4372">
        <v>25.823146341140799</v>
      </c>
      <c r="AI4372">
        <v>92.449479830429894</v>
      </c>
      <c r="AJ4372">
        <v>85.912030118785594</v>
      </c>
      <c r="AK4372">
        <v>25.912690443951298</v>
      </c>
      <c r="AL4372">
        <v>90.309010696379602</v>
      </c>
      <c r="AM4372">
        <v>85.9783289203626</v>
      </c>
      <c r="AN4372">
        <v>1.00000001298354</v>
      </c>
    </row>
    <row r="4373" spans="1:40" x14ac:dyDescent="0.25">
      <c r="A4373" t="str">
        <f>"20190312154923225"</f>
        <v>20190312154923225</v>
      </c>
      <c r="B4373" t="str">
        <f>"1552376963220333"</f>
        <v>1552376963220333</v>
      </c>
      <c r="C4373" t="s">
        <v>40</v>
      </c>
      <c r="D4373">
        <v>4.875712</v>
      </c>
      <c r="E4373">
        <v>0.5026254</v>
      </c>
      <c r="F4373" t="s">
        <v>42</v>
      </c>
      <c r="G4373">
        <v>-260.52260000000001</v>
      </c>
      <c r="H4373" s="1">
        <v>-4.4786840000000004E-6</v>
      </c>
      <c r="I4373">
        <v>141.76130000000001</v>
      </c>
      <c r="J4373">
        <v>-234.40620000000001</v>
      </c>
      <c r="K4373">
        <v>1.1074170000000001</v>
      </c>
      <c r="L4373">
        <v>141.1268</v>
      </c>
      <c r="M4373">
        <v>-0.99875150000000001</v>
      </c>
      <c r="N4373">
        <v>0</v>
      </c>
      <c r="O4373">
        <v>-4.9939160000000003E-2</v>
      </c>
      <c r="P4373">
        <v>-0.99976149999999997</v>
      </c>
      <c r="Q4373">
        <v>-6.9249940000000003E-3</v>
      </c>
      <c r="R4373">
        <v>2.0731329999999999E-2</v>
      </c>
      <c r="S4373">
        <v>-2.998459</v>
      </c>
      <c r="T4373">
        <v>-0.12540380000000001</v>
      </c>
      <c r="U4373">
        <v>6.9824220000000006E-2</v>
      </c>
      <c r="V4373">
        <v>7.062475E-2</v>
      </c>
      <c r="W4373">
        <v>-5.6668589999999998E-3</v>
      </c>
      <c r="X4373">
        <v>0.99748680000000001</v>
      </c>
      <c r="Y4373">
        <v>7.3069519999999999E-2</v>
      </c>
      <c r="Z4373">
        <v>3.6141599999999999E-3</v>
      </c>
      <c r="AA4373">
        <v>0.99732030000000005</v>
      </c>
      <c r="AB4373">
        <v>35</v>
      </c>
      <c r="AC4373">
        <v>-26.116399999999999</v>
      </c>
      <c r="AD4373">
        <v>-1.107421478684</v>
      </c>
      <c r="AE4373">
        <v>0.63450000000000195</v>
      </c>
      <c r="AF4373">
        <v>1.9344641878436999</v>
      </c>
      <c r="AG4373">
        <v>-1.107421478684</v>
      </c>
      <c r="AH4373">
        <v>26.005395947720501</v>
      </c>
      <c r="AI4373">
        <v>92.431716692945201</v>
      </c>
      <c r="AJ4373">
        <v>85.745772366825904</v>
      </c>
      <c r="AK4373">
        <v>26.1007500356449</v>
      </c>
      <c r="AL4373">
        <v>90.324688860321899</v>
      </c>
      <c r="AM4373">
        <v>85.950063058970599</v>
      </c>
      <c r="AN4373">
        <v>0.99999994238886203</v>
      </c>
    </row>
    <row r="4374" spans="1:40" x14ac:dyDescent="0.25">
      <c r="A4374" t="str">
        <f>"20190312154923247"</f>
        <v>20190312154923247</v>
      </c>
      <c r="B4374" t="str">
        <f>"1552376963239854"</f>
        <v>1552376963239854</v>
      </c>
      <c r="C4374" t="s">
        <v>40</v>
      </c>
      <c r="D4374">
        <v>4.8473300000000004</v>
      </c>
      <c r="E4374">
        <v>0.50295679999999998</v>
      </c>
      <c r="F4374" t="s">
        <v>42</v>
      </c>
      <c r="G4374">
        <v>-260.77640000000002</v>
      </c>
      <c r="H4374" s="1">
        <v>-4.4033529999999998E-6</v>
      </c>
      <c r="I4374">
        <v>141.8236</v>
      </c>
      <c r="J4374">
        <v>-234.75319999999999</v>
      </c>
      <c r="K4374">
        <v>1.1073770000000001</v>
      </c>
      <c r="L4374">
        <v>141.11009999999999</v>
      </c>
      <c r="M4374">
        <v>-0.9987895</v>
      </c>
      <c r="N4374">
        <v>0</v>
      </c>
      <c r="O4374">
        <v>-4.9169070000000002E-2</v>
      </c>
      <c r="P4374">
        <v>-0.99975899999999995</v>
      </c>
      <c r="Q4374">
        <v>-6.6364309999999999E-3</v>
      </c>
      <c r="R4374">
        <v>2.09353E-2</v>
      </c>
      <c r="S4374">
        <v>-2.9981990000000001</v>
      </c>
      <c r="T4374">
        <v>-0.12590989999999999</v>
      </c>
      <c r="U4374">
        <v>7.9223630000000003E-2</v>
      </c>
      <c r="V4374">
        <v>7.0059109999999994E-2</v>
      </c>
      <c r="W4374">
        <v>-5.3050839999999998E-3</v>
      </c>
      <c r="X4374">
        <v>0.99752870000000005</v>
      </c>
      <c r="Y4374">
        <v>7.5424779999999997E-2</v>
      </c>
      <c r="Z4374">
        <v>3.6460720000000002E-3</v>
      </c>
      <c r="AA4374">
        <v>0.99714480000000005</v>
      </c>
      <c r="AB4374">
        <v>35</v>
      </c>
      <c r="AC4374">
        <v>-26.023199999999999</v>
      </c>
      <c r="AD4374">
        <v>-1.1073814033530001</v>
      </c>
      <c r="AE4374">
        <v>0.71350000000001002</v>
      </c>
      <c r="AF4374">
        <v>1.9885765495660701</v>
      </c>
      <c r="AG4374">
        <v>-1.1073814033530001</v>
      </c>
      <c r="AH4374">
        <v>25.909759500623299</v>
      </c>
      <c r="AI4374">
        <v>92.440160651456097</v>
      </c>
      <c r="AJ4374">
        <v>85.611147506426505</v>
      </c>
      <c r="AK4374">
        <v>26.0095437800457</v>
      </c>
      <c r="AL4374">
        <v>90.303960359564499</v>
      </c>
      <c r="AM4374">
        <v>85.982560926156296</v>
      </c>
      <c r="AN4374">
        <v>0.99999996506696398</v>
      </c>
    </row>
    <row r="4375" spans="1:40" x14ac:dyDescent="0.25">
      <c r="A4375" t="str">
        <f>"20190312154923268"</f>
        <v>20190312154923268</v>
      </c>
      <c r="B4375" t="str">
        <f>"1552376963260349"</f>
        <v>1552376963260349</v>
      </c>
      <c r="C4375" t="s">
        <v>40</v>
      </c>
      <c r="D4375">
        <v>4.8638539999999999</v>
      </c>
      <c r="E4375">
        <v>0.50327100000000002</v>
      </c>
      <c r="F4375" t="s">
        <v>42</v>
      </c>
      <c r="G4375">
        <v>-261.3734</v>
      </c>
      <c r="H4375" s="1">
        <v>-4.2034460000000003E-6</v>
      </c>
      <c r="I4375">
        <v>141.84180000000001</v>
      </c>
      <c r="J4375">
        <v>-235.09059999999999</v>
      </c>
      <c r="K4375">
        <v>1.107351</v>
      </c>
      <c r="L4375">
        <v>141.0942</v>
      </c>
      <c r="M4375">
        <v>-0.99882740000000003</v>
      </c>
      <c r="N4375">
        <v>0</v>
      </c>
      <c r="O4375">
        <v>-4.8392190000000002E-2</v>
      </c>
      <c r="P4375">
        <v>-0.99976469999999995</v>
      </c>
      <c r="Q4375">
        <v>-6.533975E-3</v>
      </c>
      <c r="R4375">
        <v>2.0692510000000001E-2</v>
      </c>
      <c r="S4375">
        <v>-2.9981689999999999</v>
      </c>
      <c r="T4375">
        <v>-0.124722</v>
      </c>
      <c r="U4375">
        <v>8.2412719999999995E-2</v>
      </c>
      <c r="V4375">
        <v>6.9040539999999997E-2</v>
      </c>
      <c r="W4375">
        <v>-5.1225009999999998E-3</v>
      </c>
      <c r="X4375">
        <v>0.99760070000000001</v>
      </c>
      <c r="Y4375">
        <v>7.5711819999999999E-2</v>
      </c>
      <c r="Z4375">
        <v>3.5853880000000001E-3</v>
      </c>
      <c r="AA4375">
        <v>0.99712330000000005</v>
      </c>
      <c r="AB4375">
        <v>35</v>
      </c>
      <c r="AC4375">
        <v>-26.282800000000002</v>
      </c>
      <c r="AD4375">
        <v>-1.1073552034459999</v>
      </c>
      <c r="AE4375">
        <v>0.74760000000000504</v>
      </c>
      <c r="AF4375">
        <v>2.0150335965386001</v>
      </c>
      <c r="AG4375">
        <v>-1.1073552034459999</v>
      </c>
      <c r="AH4375">
        <v>26.169412672532001</v>
      </c>
      <c r="AI4375">
        <v>92.415875086563901</v>
      </c>
      <c r="AJ4375">
        <v>85.596937560602598</v>
      </c>
      <c r="AK4375">
        <v>26.2702256474332</v>
      </c>
      <c r="AL4375">
        <v>90.293498972484301</v>
      </c>
      <c r="AM4375">
        <v>86.041067081708107</v>
      </c>
      <c r="AN4375">
        <v>0.99999999641023796</v>
      </c>
    </row>
    <row r="4376" spans="1:40" x14ac:dyDescent="0.25">
      <c r="A4376" t="str">
        <f>"20190312154923291"</f>
        <v>20190312154923291</v>
      </c>
      <c r="B4376" t="str">
        <f>"1552376963279870"</f>
        <v>1552376963279870</v>
      </c>
      <c r="C4376" t="s">
        <v>40</v>
      </c>
      <c r="D4376">
        <v>4.8966940000000001</v>
      </c>
      <c r="E4376">
        <v>0.50350109999999904</v>
      </c>
      <c r="F4376" t="s">
        <v>42</v>
      </c>
      <c r="G4376">
        <v>-261.93799999999999</v>
      </c>
      <c r="H4376" s="1">
        <v>-4.0126180000000004E-6</v>
      </c>
      <c r="I4376">
        <v>141.8493</v>
      </c>
      <c r="J4376">
        <v>-235.45519999999999</v>
      </c>
      <c r="K4376">
        <v>1.107324</v>
      </c>
      <c r="L4376">
        <v>141.0772</v>
      </c>
      <c r="M4376">
        <v>-0.9988686</v>
      </c>
      <c r="N4376">
        <v>0</v>
      </c>
      <c r="O4376">
        <v>-4.7529950000000001E-2</v>
      </c>
      <c r="P4376">
        <v>-0.99976710000000002</v>
      </c>
      <c r="Q4376">
        <v>-6.7188259999999998E-3</v>
      </c>
      <c r="R4376">
        <v>2.051938E-2</v>
      </c>
      <c r="S4376">
        <v>-2.9981230000000001</v>
      </c>
      <c r="T4376">
        <v>-0.1236613</v>
      </c>
      <c r="U4376">
        <v>8.433533E-2</v>
      </c>
      <c r="V4376">
        <v>6.8006079999999997E-2</v>
      </c>
      <c r="W4376">
        <v>-5.2139209999999998E-3</v>
      </c>
      <c r="X4376">
        <v>0.99767130000000004</v>
      </c>
      <c r="Y4376">
        <v>7.5493160000000004E-2</v>
      </c>
      <c r="Z4376">
        <v>3.5149220000000002E-3</v>
      </c>
      <c r="AA4376">
        <v>0.99714009999999997</v>
      </c>
      <c r="AB4376">
        <v>35</v>
      </c>
      <c r="AC4376">
        <v>-26.482800000000001</v>
      </c>
      <c r="AD4376">
        <v>-1.1073280126180001</v>
      </c>
      <c r="AE4376">
        <v>0.77209999999999401</v>
      </c>
      <c r="AF4376">
        <v>2.0264152212469702</v>
      </c>
      <c r="AG4376">
        <v>-1.1073280126180001</v>
      </c>
      <c r="AH4376">
        <v>26.370106860753399</v>
      </c>
      <c r="AI4376">
        <v>92.397479668582307</v>
      </c>
      <c r="AJ4376">
        <v>85.605732418551199</v>
      </c>
      <c r="AK4376">
        <v>26.471023210748498</v>
      </c>
      <c r="AL4376">
        <v>90.298737016363305</v>
      </c>
      <c r="AM4376">
        <v>86.1004759382446</v>
      </c>
      <c r="AN4376">
        <v>1.0000000173664201</v>
      </c>
    </row>
    <row r="4377" spans="1:40" x14ac:dyDescent="0.25">
      <c r="A4377" t="str">
        <f>"20190312154923314"</f>
        <v>20190312154923314</v>
      </c>
      <c r="B4377" t="str">
        <f>"1552376963300369"</f>
        <v>1552376963300369</v>
      </c>
      <c r="C4377" t="s">
        <v>40</v>
      </c>
      <c r="D4377">
        <v>4.8672250000000004</v>
      </c>
      <c r="E4377">
        <v>0.50370559999999998</v>
      </c>
      <c r="F4377" t="s">
        <v>42</v>
      </c>
      <c r="G4377">
        <v>-262.22280000000001</v>
      </c>
      <c r="H4377" s="1">
        <v>-3.91085E-6</v>
      </c>
      <c r="I4377">
        <v>141.8417</v>
      </c>
      <c r="J4377">
        <v>-235.79329999999999</v>
      </c>
      <c r="K4377">
        <v>1.107302</v>
      </c>
      <c r="L4377">
        <v>141.06180000000001</v>
      </c>
      <c r="M4377">
        <v>-0.99890690000000004</v>
      </c>
      <c r="N4377">
        <v>0</v>
      </c>
      <c r="O4377">
        <v>-4.6713959999999999E-2</v>
      </c>
      <c r="P4377">
        <v>-0.99976359999999997</v>
      </c>
      <c r="Q4377">
        <v>-7.3034800000000002E-3</v>
      </c>
      <c r="R4377">
        <v>2.048001E-2</v>
      </c>
      <c r="S4377">
        <v>-2.9981080000000002</v>
      </c>
      <c r="T4377">
        <v>-0.1240265</v>
      </c>
      <c r="U4377">
        <v>8.5632319999999998E-2</v>
      </c>
      <c r="V4377">
        <v>6.7150219999999997E-2</v>
      </c>
      <c r="W4377">
        <v>-5.7082590000000002E-3</v>
      </c>
      <c r="X4377">
        <v>0.99772660000000002</v>
      </c>
      <c r="Y4377">
        <v>7.5110170000000004E-2</v>
      </c>
      <c r="Z4377">
        <v>3.4836630000000001E-3</v>
      </c>
      <c r="AA4377">
        <v>0.99716910000000003</v>
      </c>
      <c r="AB4377">
        <v>35</v>
      </c>
      <c r="AC4377">
        <v>-26.429500000000001</v>
      </c>
      <c r="AD4377">
        <v>-1.1073059108499901</v>
      </c>
      <c r="AE4377">
        <v>0.77989999999999704</v>
      </c>
      <c r="AF4377">
        <v>2.0101515295742098</v>
      </c>
      <c r="AG4377">
        <v>-1.1073059108499901</v>
      </c>
      <c r="AH4377">
        <v>26.318058218758999</v>
      </c>
      <c r="AI4377">
        <v>92.402252831302405</v>
      </c>
      <c r="AJ4377">
        <v>85.632275998710696</v>
      </c>
      <c r="AK4377">
        <v>26.417929971101898</v>
      </c>
      <c r="AL4377">
        <v>90.327060908147004</v>
      </c>
      <c r="AM4377">
        <v>86.149615856691199</v>
      </c>
      <c r="AN4377">
        <v>1.0000000523071999</v>
      </c>
    </row>
    <row r="4378" spans="1:40" x14ac:dyDescent="0.25">
      <c r="A4378" t="str">
        <f>"20190312154923335"</f>
        <v>20190312154923335</v>
      </c>
      <c r="B4378" t="str">
        <f>"1552376963330621"</f>
        <v>1552376963330621</v>
      </c>
      <c r="C4378" t="s">
        <v>40</v>
      </c>
      <c r="D4378">
        <v>4.8060669999999996</v>
      </c>
      <c r="E4378">
        <v>0.50390619999999997</v>
      </c>
      <c r="F4378" t="s">
        <v>42</v>
      </c>
      <c r="G4378">
        <v>-262.2473</v>
      </c>
      <c r="H4378" s="1">
        <v>-3.8973150000000001E-6</v>
      </c>
      <c r="I4378">
        <v>141.83019999999999</v>
      </c>
      <c r="J4378">
        <v>-236.15860000000001</v>
      </c>
      <c r="K4378">
        <v>1.1072789999999999</v>
      </c>
      <c r="L4378">
        <v>141.0454</v>
      </c>
      <c r="M4378">
        <v>-0.99894830000000001</v>
      </c>
      <c r="N4378">
        <v>0</v>
      </c>
      <c r="O4378">
        <v>-4.5817259999999999E-2</v>
      </c>
      <c r="P4378">
        <v>-0.99973979999999996</v>
      </c>
      <c r="Q4378">
        <v>-7.8810870000000002E-3</v>
      </c>
      <c r="R4378">
        <v>2.14133E-2</v>
      </c>
      <c r="S4378">
        <v>-2.9980009999999999</v>
      </c>
      <c r="T4378">
        <v>-0.1254903</v>
      </c>
      <c r="U4378">
        <v>8.7097170000000002E-2</v>
      </c>
      <c r="V4378">
        <v>6.7184530000000006E-2</v>
      </c>
      <c r="W4378">
        <v>-6.1870199999999997E-3</v>
      </c>
      <c r="X4378">
        <v>0.99772139999999998</v>
      </c>
      <c r="Y4378">
        <v>7.4701550000000005E-2</v>
      </c>
      <c r="Z4378">
        <v>3.4788089999999998E-3</v>
      </c>
      <c r="AA4378">
        <v>0.99719990000000003</v>
      </c>
      <c r="AB4378">
        <v>36</v>
      </c>
      <c r="AC4378">
        <v>-26.0886999999999</v>
      </c>
      <c r="AD4378">
        <v>-1.107282897315</v>
      </c>
      <c r="AE4378">
        <v>0.78479999999998995</v>
      </c>
      <c r="AF4378">
        <v>1.9757345296311799</v>
      </c>
      <c r="AG4378">
        <v>-1.107282897315</v>
      </c>
      <c r="AH4378">
        <v>25.978589359654801</v>
      </c>
      <c r="AI4378">
        <v>92.433615850207801</v>
      </c>
      <c r="AJ4378">
        <v>85.650889590896099</v>
      </c>
      <c r="AK4378">
        <v>26.0771299698382</v>
      </c>
      <c r="AL4378">
        <v>90.354492389676594</v>
      </c>
      <c r="AM4378">
        <v>86.147634430911296</v>
      </c>
      <c r="AN4378">
        <v>1.0000000161528799</v>
      </c>
    </row>
    <row r="4379" spans="1:40" x14ac:dyDescent="0.25">
      <c r="A4379" t="str">
        <f>"20190312154923357"</f>
        <v>20190312154923357</v>
      </c>
      <c r="B4379" t="str">
        <f>"1552376963350141"</f>
        <v>1552376963350141</v>
      </c>
      <c r="C4379" t="s">
        <v>40</v>
      </c>
      <c r="D4379">
        <v>4.9140769999999998</v>
      </c>
      <c r="E4379">
        <v>0.51954359999999999</v>
      </c>
      <c r="F4379" t="s">
        <v>42</v>
      </c>
      <c r="G4379">
        <v>-262.0702</v>
      </c>
      <c r="H4379" s="1">
        <v>-3.9653029999999998E-6</v>
      </c>
      <c r="I4379">
        <v>141.83619999999999</v>
      </c>
      <c r="J4379">
        <v>-236.51730000000001</v>
      </c>
      <c r="K4379">
        <v>1.107256</v>
      </c>
      <c r="L4379">
        <v>141.02969999999999</v>
      </c>
      <c r="M4379">
        <v>-0.99898869999999895</v>
      </c>
      <c r="N4379">
        <v>0</v>
      </c>
      <c r="O4379">
        <v>-4.4919489999999999E-2</v>
      </c>
      <c r="P4379">
        <v>-0.99971299999999996</v>
      </c>
      <c r="Q4379">
        <v>-8.4089100000000003E-3</v>
      </c>
      <c r="R4379">
        <v>2.2433160000000001E-2</v>
      </c>
      <c r="S4379">
        <v>-2.9978180000000001</v>
      </c>
      <c r="T4379">
        <v>-0.128106</v>
      </c>
      <c r="U4379">
        <v>9.1491699999999995E-2</v>
      </c>
      <c r="V4379">
        <v>6.7304450000000002E-2</v>
      </c>
      <c r="W4379">
        <v>-6.6140670000000004E-3</v>
      </c>
      <c r="X4379">
        <v>0.9977106</v>
      </c>
      <c r="Y4379">
        <v>7.526352E-2</v>
      </c>
      <c r="Z4379">
        <v>3.525088E-3</v>
      </c>
      <c r="AA4379">
        <v>0.99715750000000003</v>
      </c>
      <c r="AB4379">
        <v>36</v>
      </c>
      <c r="AC4379">
        <v>-25.552899999999902</v>
      </c>
      <c r="AD4379">
        <v>-1.107259965303</v>
      </c>
      <c r="AE4379">
        <v>0.806499999999999</v>
      </c>
      <c r="AF4379">
        <v>1.9498538159208501</v>
      </c>
      <c r="AG4379">
        <v>-1.107259965303</v>
      </c>
      <c r="AH4379">
        <v>25.443153177397701</v>
      </c>
      <c r="AI4379">
        <v>92.484605076178198</v>
      </c>
      <c r="AJ4379">
        <v>85.617663718464996</v>
      </c>
      <c r="AK4379">
        <v>25.541769675234899</v>
      </c>
      <c r="AL4379">
        <v>90.378960873104106</v>
      </c>
      <c r="AM4379">
        <v>86.140737321164593</v>
      </c>
      <c r="AN4379">
        <v>1.00000003811222</v>
      </c>
    </row>
    <row r="4380" spans="1:40" x14ac:dyDescent="0.25">
      <c r="A4380" t="str">
        <f>"20190312154923380"</f>
        <v>20190312154923380</v>
      </c>
      <c r="B4380" t="str">
        <f>"1552376963369662"</f>
        <v>1552376963369662</v>
      </c>
      <c r="C4380" t="s">
        <v>40</v>
      </c>
      <c r="D4380">
        <v>4.933567</v>
      </c>
      <c r="E4380">
        <v>0.52535410000000005</v>
      </c>
      <c r="F4380" t="s">
        <v>41</v>
      </c>
      <c r="G4380">
        <v>-237.33109999999999</v>
      </c>
      <c r="H4380">
        <v>0.97494329999999996</v>
      </c>
      <c r="I4380">
        <v>141.08580000000001</v>
      </c>
      <c r="J4380">
        <v>-236.8784</v>
      </c>
      <c r="K4380">
        <v>1.107235</v>
      </c>
      <c r="L4380">
        <v>141.01419999999999</v>
      </c>
      <c r="M4380">
        <v>-0.99902970000000002</v>
      </c>
      <c r="N4380">
        <v>0</v>
      </c>
      <c r="O4380">
        <v>-4.3997410000000001E-2</v>
      </c>
      <c r="P4380">
        <v>-0.99967850000000003</v>
      </c>
      <c r="Q4380">
        <v>-8.5527199999999998E-3</v>
      </c>
      <c r="R4380">
        <v>2.3873700000000001E-2</v>
      </c>
      <c r="S4380">
        <v>-2.9921419999999999</v>
      </c>
      <c r="T4380">
        <v>-0.48648819999999998</v>
      </c>
      <c r="U4380">
        <v>0.20570369999999999</v>
      </c>
      <c r="V4380">
        <v>6.7820480000000002E-2</v>
      </c>
      <c r="W4380">
        <v>-6.6550089999999999E-3</v>
      </c>
      <c r="X4380">
        <v>0.99767539999999999</v>
      </c>
      <c r="Y4380">
        <v>0.1103944</v>
      </c>
      <c r="Z4380">
        <v>1.6005149999999999E-2</v>
      </c>
      <c r="AA4380">
        <v>0.99375899999999995</v>
      </c>
      <c r="AB4380">
        <v>36</v>
      </c>
      <c r="AC4380">
        <v>-0.452699999999993</v>
      </c>
      <c r="AD4380">
        <v>-0.13229169999999901</v>
      </c>
      <c r="AE4380">
        <v>7.1600000000017802E-2</v>
      </c>
      <c r="AF4380">
        <v>8.4415412634353496E-2</v>
      </c>
      <c r="AG4380">
        <v>-0.13229169999999901</v>
      </c>
      <c r="AH4380">
        <v>0.414572072725505</v>
      </c>
      <c r="AI4380">
        <v>107.363828434098</v>
      </c>
      <c r="AJ4380">
        <v>78.490740880848506</v>
      </c>
      <c r="AK4380">
        <v>0.44327988817793201</v>
      </c>
      <c r="AL4380">
        <v>90.381306721930002</v>
      </c>
      <c r="AM4380">
        <v>86.111101625813802</v>
      </c>
      <c r="AN4380">
        <v>1.0000000552086801</v>
      </c>
    </row>
    <row r="4381" spans="1:40" x14ac:dyDescent="0.25">
      <c r="A4381" t="str">
        <f>"20190312154923401"</f>
        <v>20190312154923401</v>
      </c>
      <c r="B4381" t="str">
        <f>"1552376963390157"</f>
        <v>1552376963390157</v>
      </c>
      <c r="C4381" t="s">
        <v>40</v>
      </c>
      <c r="D4381">
        <v>4.9089479999999996</v>
      </c>
      <c r="E4381">
        <v>0.52785419999999905</v>
      </c>
      <c r="F4381" t="s">
        <v>41</v>
      </c>
      <c r="G4381">
        <v>-237.64340000000001</v>
      </c>
      <c r="H4381">
        <v>0.95095499999999999</v>
      </c>
      <c r="I4381">
        <v>141.0788</v>
      </c>
      <c r="J4381">
        <v>-237.2243</v>
      </c>
      <c r="K4381">
        <v>1.1072200000000001</v>
      </c>
      <c r="L4381">
        <v>140.99969999999999</v>
      </c>
      <c r="M4381">
        <v>-0.99906890000000004</v>
      </c>
      <c r="N4381">
        <v>0</v>
      </c>
      <c r="O4381">
        <v>-4.3091770000000001E-2</v>
      </c>
      <c r="P4381">
        <v>-0.99964730000000002</v>
      </c>
      <c r="Q4381">
        <v>-8.5351360000000005E-3</v>
      </c>
      <c r="R4381">
        <v>2.5156290000000001E-2</v>
      </c>
      <c r="S4381">
        <v>-2.989716</v>
      </c>
      <c r="T4381">
        <v>-0.61081929999999995</v>
      </c>
      <c r="U4381">
        <v>0.2520599</v>
      </c>
      <c r="V4381">
        <v>6.8195919999999993E-2</v>
      </c>
      <c r="W4381">
        <v>-6.5367339999999998E-3</v>
      </c>
      <c r="X4381">
        <v>0.9976505</v>
      </c>
      <c r="Y4381">
        <v>0.1234534</v>
      </c>
      <c r="Z4381">
        <v>2.116169E-2</v>
      </c>
      <c r="AA4381">
        <v>0.99212469999999997</v>
      </c>
      <c r="AB4381">
        <v>36</v>
      </c>
      <c r="AC4381">
        <v>-0.41910000000001402</v>
      </c>
      <c r="AD4381">
        <v>-0.15626499999999999</v>
      </c>
      <c r="AE4381">
        <v>7.9100000000010995E-2</v>
      </c>
      <c r="AF4381">
        <v>8.5595813698882597E-2</v>
      </c>
      <c r="AG4381">
        <v>-0.15626499999999999</v>
      </c>
      <c r="AH4381">
        <v>0.366149651129</v>
      </c>
      <c r="AI4381">
        <v>112.566528523393</v>
      </c>
      <c r="AJ4381">
        <v>76.842102831308395</v>
      </c>
      <c r="AK4381">
        <v>0.407198920147957</v>
      </c>
      <c r="AL4381">
        <v>90.374529949871999</v>
      </c>
      <c r="AM4381">
        <v>86.089542807972705</v>
      </c>
      <c r="AN4381">
        <v>0.99999996627314103</v>
      </c>
    </row>
    <row r="4382" spans="1:40" x14ac:dyDescent="0.25">
      <c r="A4382" t="str">
        <f>"20190312154923427"</f>
        <v>20190312154923427</v>
      </c>
      <c r="B4382" t="str">
        <f>"1552376963420413"</f>
        <v>1552376963420413</v>
      </c>
      <c r="C4382" t="s">
        <v>40</v>
      </c>
      <c r="D4382">
        <v>4.9300920000000001</v>
      </c>
      <c r="E4382">
        <v>0.52970109999999904</v>
      </c>
      <c r="F4382" t="s">
        <v>41</v>
      </c>
      <c r="G4382">
        <v>-237.96449999999999</v>
      </c>
      <c r="H4382">
        <v>0.94315179999999998</v>
      </c>
      <c r="I4382">
        <v>141.0677</v>
      </c>
      <c r="J4382">
        <v>-237.6206</v>
      </c>
      <c r="K4382">
        <v>1.1071979999999999</v>
      </c>
      <c r="L4382">
        <v>140.98339999999999</v>
      </c>
      <c r="M4382">
        <v>-0.99911430000000001</v>
      </c>
      <c r="N4382">
        <v>0</v>
      </c>
      <c r="O4382">
        <v>-4.2019609999999999E-2</v>
      </c>
      <c r="P4382">
        <v>-0.99962320000000005</v>
      </c>
      <c r="Q4382">
        <v>-8.2248240000000004E-3</v>
      </c>
      <c r="R4382">
        <v>2.6195369999999999E-2</v>
      </c>
      <c r="S4382">
        <v>-2.98848</v>
      </c>
      <c r="T4382">
        <v>-0.66243549999999995</v>
      </c>
      <c r="U4382">
        <v>0.27433780000000002</v>
      </c>
      <c r="V4382">
        <v>6.8162840000000002E-2</v>
      </c>
      <c r="W4382">
        <v>-6.1103520000000003E-3</v>
      </c>
      <c r="X4382">
        <v>0.99765550000000003</v>
      </c>
      <c r="Y4382">
        <v>0.12905539999999999</v>
      </c>
      <c r="Z4382">
        <v>2.3289520000000001E-2</v>
      </c>
      <c r="AA4382">
        <v>0.99136389999999996</v>
      </c>
      <c r="AB4382">
        <v>36</v>
      </c>
      <c r="AC4382">
        <v>-0.34389999999998999</v>
      </c>
      <c r="AD4382">
        <v>-0.164046199999999</v>
      </c>
      <c r="AE4382">
        <v>8.4300000000013101E-2</v>
      </c>
      <c r="AF4382">
        <v>8.1238484073837297E-2</v>
      </c>
      <c r="AG4382">
        <v>-0.164046199999999</v>
      </c>
      <c r="AH4382">
        <v>0.279961049900943</v>
      </c>
      <c r="AI4382">
        <v>119.36850508842799</v>
      </c>
      <c r="AJ4382">
        <v>73.818444044539106</v>
      </c>
      <c r="AK4382">
        <v>0.33449818607982501</v>
      </c>
      <c r="AL4382">
        <v>90.350099558516504</v>
      </c>
      <c r="AM4382">
        <v>86.091453312481207</v>
      </c>
      <c r="AN4382">
        <v>1.0000000029193301</v>
      </c>
    </row>
    <row r="4383" spans="1:40" x14ac:dyDescent="0.25">
      <c r="A4383" t="str">
        <f>"20190312154923458"</f>
        <v>20190312154923458</v>
      </c>
      <c r="B4383" t="str">
        <f>"1552376963449694"</f>
        <v>1552376963449694</v>
      </c>
      <c r="C4383" t="s">
        <v>40</v>
      </c>
      <c r="D4383">
        <v>4.9439929999999999</v>
      </c>
      <c r="E4383">
        <v>0.53082499999999999</v>
      </c>
      <c r="F4383" t="s">
        <v>41</v>
      </c>
      <c r="G4383">
        <v>-238.5934</v>
      </c>
      <c r="H4383">
        <v>0.87992099999999995</v>
      </c>
      <c r="I4383">
        <v>141.07839999999999</v>
      </c>
      <c r="J4383">
        <v>-238.14510000000001</v>
      </c>
      <c r="K4383">
        <v>1.107145</v>
      </c>
      <c r="L4383">
        <v>140.96270000000001</v>
      </c>
      <c r="M4383">
        <v>-0.99917560000000005</v>
      </c>
      <c r="N4383">
        <v>0</v>
      </c>
      <c r="O4383">
        <v>-4.0525909999999998E-2</v>
      </c>
      <c r="P4383">
        <v>-0.99958849999999999</v>
      </c>
      <c r="Q4383">
        <v>-7.7508659999999899E-3</v>
      </c>
      <c r="R4383">
        <v>2.762034E-2</v>
      </c>
      <c r="S4383">
        <v>-2.987762</v>
      </c>
      <c r="T4383">
        <v>-0.69801429999999998</v>
      </c>
      <c r="U4383">
        <v>0.29121399999999997</v>
      </c>
      <c r="V4383">
        <v>6.8094210000000002E-2</v>
      </c>
      <c r="W4383">
        <v>-5.4854539999999999E-3</v>
      </c>
      <c r="X4383">
        <v>0.99766379999999999</v>
      </c>
      <c r="Y4383">
        <v>0.1326406</v>
      </c>
      <c r="Z4383">
        <v>2.4576939999999999E-2</v>
      </c>
      <c r="AA4383">
        <v>0.99085939999999995</v>
      </c>
      <c r="AB4383">
        <v>36</v>
      </c>
      <c r="AC4383">
        <v>-0.44829999999998799</v>
      </c>
      <c r="AD4383">
        <v>-0.22722400000000001</v>
      </c>
      <c r="AE4383">
        <v>0.115699999999975</v>
      </c>
      <c r="AF4383">
        <v>0.10780643665887001</v>
      </c>
      <c r="AG4383">
        <v>-0.22722400000000001</v>
      </c>
      <c r="AH4383">
        <v>0.35720597773075702</v>
      </c>
      <c r="AI4383">
        <v>121.340751634211</v>
      </c>
      <c r="AJ4383">
        <v>73.205939934348507</v>
      </c>
      <c r="AK4383">
        <v>0.436862775351333</v>
      </c>
      <c r="AL4383">
        <v>90.314294943923997</v>
      </c>
      <c r="AM4383">
        <v>86.095408851347898</v>
      </c>
      <c r="AN4383">
        <v>0.999999984735775</v>
      </c>
    </row>
    <row r="4384" spans="1:40" x14ac:dyDescent="0.25">
      <c r="A4384" t="str">
        <f>"20190312154923480"</f>
        <v>20190312154923480</v>
      </c>
      <c r="B4384" t="str">
        <f>"1552376963470189"</f>
        <v>1552376963470189</v>
      </c>
      <c r="C4384" t="s">
        <v>40</v>
      </c>
      <c r="D4384">
        <v>4.9279070000000003</v>
      </c>
      <c r="E4384">
        <v>0.53140189999999998</v>
      </c>
      <c r="F4384" t="s">
        <v>41</v>
      </c>
      <c r="G4384">
        <v>-238.93549999999999</v>
      </c>
      <c r="H4384">
        <v>0.91738459999999999</v>
      </c>
      <c r="I4384">
        <v>141.04329999999999</v>
      </c>
      <c r="J4384">
        <v>-238.51830000000001</v>
      </c>
      <c r="K4384">
        <v>1.107108</v>
      </c>
      <c r="L4384">
        <v>140.9485</v>
      </c>
      <c r="M4384">
        <v>-0.99921979999999999</v>
      </c>
      <c r="N4384">
        <v>0</v>
      </c>
      <c r="O4384">
        <v>-3.941762E-2</v>
      </c>
      <c r="P4384">
        <v>-0.99957629999999997</v>
      </c>
      <c r="Q4384">
        <v>-7.8793359999999903E-3</v>
      </c>
      <c r="R4384">
        <v>2.802491E-2</v>
      </c>
      <c r="S4384">
        <v>-2.9872740000000002</v>
      </c>
      <c r="T4384">
        <v>-0.71715150000000005</v>
      </c>
      <c r="U4384">
        <v>0.30398560000000002</v>
      </c>
      <c r="V4384">
        <v>6.7390699999999998E-2</v>
      </c>
      <c r="W4384">
        <v>-5.5088330000000003E-3</v>
      </c>
      <c r="X4384">
        <v>0.99771149999999997</v>
      </c>
      <c r="Y4384">
        <v>0.13545109999999999</v>
      </c>
      <c r="Z4384">
        <v>2.5301589999999999E-2</v>
      </c>
      <c r="AA4384">
        <v>0.99046089999999998</v>
      </c>
      <c r="AB4384">
        <v>37</v>
      </c>
      <c r="AC4384">
        <v>-0.41719999999997898</v>
      </c>
      <c r="AD4384">
        <v>-0.18972339999999999</v>
      </c>
      <c r="AE4384">
        <v>9.4799999999992196E-2</v>
      </c>
      <c r="AF4384">
        <v>9.2902364122064499E-2</v>
      </c>
      <c r="AG4384">
        <v>-0.18972339999999999</v>
      </c>
      <c r="AH4384">
        <v>0.34524693014701702</v>
      </c>
      <c r="AI4384">
        <v>117.952800893936</v>
      </c>
      <c r="AJ4384">
        <v>74.939052948878299</v>
      </c>
      <c r="AK4384">
        <v>0.404748391649637</v>
      </c>
      <c r="AL4384">
        <v>90.315634463046507</v>
      </c>
      <c r="AM4384">
        <v>86.135810162355398</v>
      </c>
      <c r="AN4384">
        <v>1.0000000454598701</v>
      </c>
    </row>
    <row r="4385" spans="1:40" x14ac:dyDescent="0.25">
      <c r="A4385" t="str">
        <f>"20190312154923502"</f>
        <v>20190312154923502</v>
      </c>
      <c r="B4385" t="str">
        <f>"1552376963489710"</f>
        <v>1552376963489710</v>
      </c>
      <c r="C4385" t="s">
        <v>40</v>
      </c>
      <c r="D4385">
        <v>4.9629120000000002</v>
      </c>
      <c r="E4385">
        <v>0.53174250000000001</v>
      </c>
      <c r="F4385" t="s">
        <v>41</v>
      </c>
      <c r="G4385">
        <v>-239.26830000000001</v>
      </c>
      <c r="H4385">
        <v>0.92453320000000005</v>
      </c>
      <c r="I4385">
        <v>141.02619999999999</v>
      </c>
      <c r="J4385">
        <v>-238.8759</v>
      </c>
      <c r="K4385">
        <v>1.1070709999999999</v>
      </c>
      <c r="L4385">
        <v>140.93520000000001</v>
      </c>
      <c r="M4385">
        <v>-0.9992626</v>
      </c>
      <c r="N4385">
        <v>0</v>
      </c>
      <c r="O4385">
        <v>-3.8306239999999998E-2</v>
      </c>
      <c r="P4385">
        <v>-0.99954829999999995</v>
      </c>
      <c r="Q4385">
        <v>-8.0060389999999995E-3</v>
      </c>
      <c r="R4385">
        <v>2.8970050000000001E-2</v>
      </c>
      <c r="S4385">
        <v>-2.9868769999999998</v>
      </c>
      <c r="T4385">
        <v>-0.72709869999999899</v>
      </c>
      <c r="U4385">
        <v>0.3093109</v>
      </c>
      <c r="V4385">
        <v>6.7223850000000002E-2</v>
      </c>
      <c r="W4385">
        <v>-5.5399849999999999E-3</v>
      </c>
      <c r="X4385">
        <v>0.99772260000000002</v>
      </c>
      <c r="Y4385">
        <v>0.13599140000000001</v>
      </c>
      <c r="Z4385">
        <v>2.5442429999999999E-2</v>
      </c>
      <c r="AA4385">
        <v>0.99038329999999997</v>
      </c>
      <c r="AB4385">
        <v>37</v>
      </c>
      <c r="AC4385">
        <v>-0.39240000000000902</v>
      </c>
      <c r="AD4385">
        <v>-0.182537799999999</v>
      </c>
      <c r="AE4385">
        <v>9.0999999999979694E-2</v>
      </c>
      <c r="AF4385">
        <v>8.7911822486979097E-2</v>
      </c>
      <c r="AG4385">
        <v>-0.182537799999999</v>
      </c>
      <c r="AH4385">
        <v>0.32241730077758302</v>
      </c>
      <c r="AI4385">
        <v>118.643959973474</v>
      </c>
      <c r="AJ4385">
        <v>74.748217325019695</v>
      </c>
      <c r="AK4385">
        <v>0.38079056291158903</v>
      </c>
      <c r="AL4385">
        <v>90.317419363076695</v>
      </c>
      <c r="AM4385">
        <v>86.145391236335897</v>
      </c>
      <c r="AN4385">
        <v>1.00000006199668</v>
      </c>
    </row>
    <row r="4386" spans="1:40" x14ac:dyDescent="0.25">
      <c r="A4386" t="str">
        <f>"20190312154923525"</f>
        <v>20190312154923525</v>
      </c>
      <c r="B4386" t="str">
        <f>"1552376963519965"</f>
        <v>1552376963519965</v>
      </c>
      <c r="C4386" t="s">
        <v>40</v>
      </c>
      <c r="D4386">
        <v>4.978866</v>
      </c>
      <c r="E4386">
        <v>0.53207599999999999</v>
      </c>
      <c r="F4386" t="s">
        <v>41</v>
      </c>
      <c r="G4386">
        <v>-239.60120000000001</v>
      </c>
      <c r="H4386">
        <v>0.92854559999999997</v>
      </c>
      <c r="I4386">
        <v>141.0119</v>
      </c>
      <c r="J4386">
        <v>-239.2646</v>
      </c>
      <c r="K4386">
        <v>1.107019</v>
      </c>
      <c r="L4386">
        <v>140.9213</v>
      </c>
      <c r="M4386">
        <v>-0.99931020000000004</v>
      </c>
      <c r="N4386">
        <v>0</v>
      </c>
      <c r="O4386">
        <v>-3.7036779999999998E-2</v>
      </c>
      <c r="P4386">
        <v>-0.99952390000000002</v>
      </c>
      <c r="Q4386">
        <v>-7.9418609999999997E-3</v>
      </c>
      <c r="R4386">
        <v>2.98163E-2</v>
      </c>
      <c r="S4386">
        <v>-2.9863590000000002</v>
      </c>
      <c r="T4386">
        <v>-0.73497330000000005</v>
      </c>
      <c r="U4386">
        <v>0.31500240000000002</v>
      </c>
      <c r="V4386">
        <v>6.6800579999999998E-2</v>
      </c>
      <c r="W4386">
        <v>-5.3724300000000001E-3</v>
      </c>
      <c r="X4386">
        <v>0.99775190000000002</v>
      </c>
      <c r="Y4386">
        <v>0.13653129999999999</v>
      </c>
      <c r="Z4386">
        <v>2.5470199999999998E-2</v>
      </c>
      <c r="AA4386">
        <v>0.99030830000000003</v>
      </c>
      <c r="AB4386">
        <v>37</v>
      </c>
      <c r="AC4386">
        <v>-0.33660000000000401</v>
      </c>
      <c r="AD4386">
        <v>-0.1784734</v>
      </c>
      <c r="AE4386">
        <v>9.0599999999994907E-2</v>
      </c>
      <c r="AF4386">
        <v>8.1610610978090997E-2</v>
      </c>
      <c r="AG4386">
        <v>-0.1784734</v>
      </c>
      <c r="AH4386">
        <v>0.26384716599345798</v>
      </c>
      <c r="AI4386">
        <v>122.87136675885399</v>
      </c>
      <c r="AJ4386">
        <v>72.812630067860496</v>
      </c>
      <c r="AK4386">
        <v>0.32882879030668299</v>
      </c>
      <c r="AL4386">
        <v>90.307819040203597</v>
      </c>
      <c r="AM4386">
        <v>86.169701166194002</v>
      </c>
      <c r="AN4386">
        <v>1.0000000172230199</v>
      </c>
    </row>
    <row r="4387" spans="1:40" x14ac:dyDescent="0.25">
      <c r="A4387" t="str">
        <f>"20190312154923547"</f>
        <v>20190312154923547</v>
      </c>
      <c r="B4387" t="str">
        <f>"1552376963540461"</f>
        <v>1552376963540461</v>
      </c>
      <c r="C4387" t="s">
        <v>40</v>
      </c>
      <c r="D4387">
        <v>4.9899209999999998</v>
      </c>
      <c r="E4387">
        <v>0.53226619999999902</v>
      </c>
      <c r="F4387" t="s">
        <v>41</v>
      </c>
      <c r="G4387">
        <v>-240.2431</v>
      </c>
      <c r="H4387">
        <v>0.86322410000000005</v>
      </c>
      <c r="I4387">
        <v>141.02619999999999</v>
      </c>
      <c r="J4387">
        <v>-239.63380000000001</v>
      </c>
      <c r="K4387">
        <v>1.1069639999999901</v>
      </c>
      <c r="L4387">
        <v>140.90870000000001</v>
      </c>
      <c r="M4387">
        <v>-0.99935609999999997</v>
      </c>
      <c r="N4387">
        <v>0</v>
      </c>
      <c r="O4387">
        <v>-3.5765890000000002E-2</v>
      </c>
      <c r="P4387">
        <v>-0.99949379999999999</v>
      </c>
      <c r="Q4387">
        <v>-7.6261590000000004E-3</v>
      </c>
      <c r="R4387">
        <v>3.0890979999999998E-2</v>
      </c>
      <c r="S4387">
        <v>-2.9859619999999998</v>
      </c>
      <c r="T4387">
        <v>-0.74392499999999995</v>
      </c>
      <c r="U4387">
        <v>0.32017519999999999</v>
      </c>
      <c r="V4387">
        <v>6.6605419999999999E-2</v>
      </c>
      <c r="W4387">
        <v>-4.9612809999999997E-3</v>
      </c>
      <c r="X4387">
        <v>0.99776699999999996</v>
      </c>
      <c r="Y4387">
        <v>0.13688629999999999</v>
      </c>
      <c r="Z4387">
        <v>2.550475E-2</v>
      </c>
      <c r="AA4387">
        <v>0.99025839999999998</v>
      </c>
      <c r="AB4387">
        <v>37</v>
      </c>
      <c r="AC4387">
        <v>-0.60929999999998996</v>
      </c>
      <c r="AD4387">
        <v>-0.24373989999999901</v>
      </c>
      <c r="AE4387">
        <v>0.117499999999978</v>
      </c>
      <c r="AF4387">
        <v>0.12060857451368601</v>
      </c>
      <c r="AG4387">
        <v>-0.24373989999999901</v>
      </c>
      <c r="AH4387">
        <v>0.52387921324639297</v>
      </c>
      <c r="AI4387">
        <v>114.389505007685</v>
      </c>
      <c r="AJ4387">
        <v>77.035149835397903</v>
      </c>
      <c r="AK4387">
        <v>0.59025841558582903</v>
      </c>
      <c r="AL4387">
        <v>90.284261645127501</v>
      </c>
      <c r="AM4387">
        <v>86.180915966633805</v>
      </c>
      <c r="AN4387">
        <v>0.99999994128576697</v>
      </c>
    </row>
    <row r="4388" spans="1:40" x14ac:dyDescent="0.25">
      <c r="A4388" t="str">
        <f>"20190312154923569"</f>
        <v>20190312154923569</v>
      </c>
      <c r="B4388" t="str">
        <f>"1552376963559981"</f>
        <v>1552376963559981</v>
      </c>
      <c r="C4388" t="s">
        <v>40</v>
      </c>
      <c r="D4388">
        <v>4.963603</v>
      </c>
      <c r="E4388">
        <v>0.53226580000000001</v>
      </c>
      <c r="F4388" t="s">
        <v>41</v>
      </c>
      <c r="G4388">
        <v>-240.58070000000001</v>
      </c>
      <c r="H4388">
        <v>0.86989879999999997</v>
      </c>
      <c r="I4388">
        <v>141.01169999999999</v>
      </c>
      <c r="J4388">
        <v>-239.99879999999999</v>
      </c>
      <c r="K4388">
        <v>1.1069150000000001</v>
      </c>
      <c r="L4388">
        <v>140.89670000000001</v>
      </c>
      <c r="M4388">
        <v>-0.99940169999999995</v>
      </c>
      <c r="N4388">
        <v>0</v>
      </c>
      <c r="O4388">
        <v>-3.4461980000000003E-2</v>
      </c>
      <c r="P4388">
        <v>-0.99945289999999998</v>
      </c>
      <c r="Q4388">
        <v>-7.5558919999999998E-3</v>
      </c>
      <c r="R4388">
        <v>3.2204910000000003E-2</v>
      </c>
      <c r="S4388">
        <v>-2.9858090000000002</v>
      </c>
      <c r="T4388">
        <v>-0.74750490000000003</v>
      </c>
      <c r="U4388">
        <v>0.32388309999999998</v>
      </c>
      <c r="V4388">
        <v>6.6615049999999995E-2</v>
      </c>
      <c r="W4388">
        <v>-4.8005189999999996E-3</v>
      </c>
      <c r="X4388">
        <v>0.99776719999999997</v>
      </c>
      <c r="Y4388">
        <v>0.13680880000000001</v>
      </c>
      <c r="Z4388">
        <v>2.5293280000000001E-2</v>
      </c>
      <c r="AA4388">
        <v>0.99027449999999995</v>
      </c>
      <c r="AB4388">
        <v>37</v>
      </c>
      <c r="AC4388">
        <v>-0.58190000000001796</v>
      </c>
      <c r="AD4388">
        <v>-0.23701619999999901</v>
      </c>
      <c r="AE4388">
        <v>0.11499999999997999</v>
      </c>
      <c r="AF4388">
        <v>0.11639979179637</v>
      </c>
      <c r="AG4388">
        <v>-0.23701619999999901</v>
      </c>
      <c r="AH4388">
        <v>0.49806567668412899</v>
      </c>
      <c r="AI4388">
        <v>114.862398220125</v>
      </c>
      <c r="AJ4388">
        <v>76.845854544382505</v>
      </c>
      <c r="AK4388">
        <v>0.56373310075202898</v>
      </c>
      <c r="AL4388">
        <v>90.275050535252902</v>
      </c>
      <c r="AM4388">
        <v>86.180366190460802</v>
      </c>
      <c r="AN4388">
        <v>0.99999999763250502</v>
      </c>
    </row>
    <row r="4389" spans="1:40" x14ac:dyDescent="0.25">
      <c r="A4389" t="str">
        <f>"20190312154923591"</f>
        <v>20190312154923591</v>
      </c>
      <c r="B4389" t="str">
        <f>"1552376963580477"</f>
        <v>1552376963580477</v>
      </c>
      <c r="C4389" t="s">
        <v>40</v>
      </c>
      <c r="D4389">
        <v>5.0159750000000001</v>
      </c>
      <c r="E4389">
        <v>0.53255959999999902</v>
      </c>
      <c r="F4389" t="s">
        <v>41</v>
      </c>
      <c r="G4389">
        <v>-240.91909999999999</v>
      </c>
      <c r="H4389">
        <v>0.87559719999999996</v>
      </c>
      <c r="I4389">
        <v>140.99770000000001</v>
      </c>
      <c r="J4389">
        <v>-240.36410000000001</v>
      </c>
      <c r="K4389">
        <v>1.1068709999999999</v>
      </c>
      <c r="L4389">
        <v>140.88509999999999</v>
      </c>
      <c r="M4389">
        <v>-0.99944690000000003</v>
      </c>
      <c r="N4389">
        <v>0</v>
      </c>
      <c r="O4389">
        <v>-3.3114320000000003E-2</v>
      </c>
      <c r="P4389">
        <v>-0.99942260000000005</v>
      </c>
      <c r="Q4389">
        <v>-7.2940069999999999E-3</v>
      </c>
      <c r="R4389">
        <v>3.3188450000000001E-2</v>
      </c>
      <c r="S4389">
        <v>-2.9854129999999999</v>
      </c>
      <c r="T4389">
        <v>-0.7504208</v>
      </c>
      <c r="U4389">
        <v>0.32762150000000001</v>
      </c>
      <c r="V4389">
        <v>6.6252099999999994E-2</v>
      </c>
      <c r="W4389">
        <v>-4.4486550000000001E-3</v>
      </c>
      <c r="X4389">
        <v>0.99779300000000004</v>
      </c>
      <c r="Y4389">
        <v>0.13671720000000001</v>
      </c>
      <c r="Z4389">
        <v>2.5046590000000001E-2</v>
      </c>
      <c r="AA4389">
        <v>0.99029339999999999</v>
      </c>
      <c r="AB4389">
        <v>37</v>
      </c>
      <c r="AC4389">
        <v>-0.55499999999997796</v>
      </c>
      <c r="AD4389">
        <v>-0.2312738</v>
      </c>
      <c r="AE4389">
        <v>0.11260000000001399</v>
      </c>
      <c r="AF4389">
        <v>0.112203303637542</v>
      </c>
      <c r="AG4389">
        <v>-0.2312738</v>
      </c>
      <c r="AH4389">
        <v>0.47221074172107602</v>
      </c>
      <c r="AI4389">
        <v>115.477859852207</v>
      </c>
      <c r="AJ4389">
        <v>76.633665313751607</v>
      </c>
      <c r="AK4389">
        <v>0.53764313118497797</v>
      </c>
      <c r="AL4389">
        <v>90.254889996477104</v>
      </c>
      <c r="AM4389">
        <v>86.201214180879404</v>
      </c>
      <c r="AN4389">
        <v>1.00000000106735</v>
      </c>
    </row>
    <row r="4390" spans="1:40" x14ac:dyDescent="0.25">
      <c r="A4390" t="str">
        <f>"20190312154923615"</f>
        <v>20190312154923615</v>
      </c>
      <c r="B4390" t="str">
        <f>"1552376963599997"</f>
        <v>1552376963599997</v>
      </c>
      <c r="C4390" t="s">
        <v>40</v>
      </c>
      <c r="D4390">
        <v>4.9835250000000002</v>
      </c>
      <c r="E4390">
        <v>0.53235540000000003</v>
      </c>
      <c r="F4390" t="s">
        <v>41</v>
      </c>
      <c r="G4390">
        <v>-241.25899999999999</v>
      </c>
      <c r="H4390">
        <v>0.88151569999999901</v>
      </c>
      <c r="I4390">
        <v>140.98500000000001</v>
      </c>
      <c r="J4390">
        <v>-240.76669999999999</v>
      </c>
      <c r="K4390">
        <v>1.1068249999999999</v>
      </c>
      <c r="L4390">
        <v>140.87299999999999</v>
      </c>
      <c r="M4390">
        <v>-0.9994961</v>
      </c>
      <c r="N4390">
        <v>0</v>
      </c>
      <c r="O4390">
        <v>-3.1586780000000002E-2</v>
      </c>
      <c r="P4390">
        <v>-0.99936780000000003</v>
      </c>
      <c r="Q4390">
        <v>-7.5600449999999996E-3</v>
      </c>
      <c r="R4390">
        <v>3.4746539999999999E-2</v>
      </c>
      <c r="S4390">
        <v>-2.985214</v>
      </c>
      <c r="T4390">
        <v>-0.7517028</v>
      </c>
      <c r="U4390">
        <v>0.33288570000000001</v>
      </c>
      <c r="V4390">
        <v>6.628146E-2</v>
      </c>
      <c r="W4390">
        <v>-4.6185660000000002E-3</v>
      </c>
      <c r="X4390">
        <v>0.99779030000000002</v>
      </c>
      <c r="Y4390">
        <v>0.13695950000000001</v>
      </c>
      <c r="Z4390">
        <v>2.4739580000000001E-2</v>
      </c>
      <c r="AA4390">
        <v>0.99026769999999997</v>
      </c>
      <c r="AB4390">
        <v>38</v>
      </c>
      <c r="AC4390">
        <v>-0.49230000000002799</v>
      </c>
      <c r="AD4390">
        <v>-0.22530929999999999</v>
      </c>
      <c r="AE4390">
        <v>0.112000000000023</v>
      </c>
      <c r="AF4390">
        <v>0.10632051030355399</v>
      </c>
      <c r="AG4390">
        <v>-0.22530929999999999</v>
      </c>
      <c r="AH4390">
        <v>0.40738535247563201</v>
      </c>
      <c r="AI4390">
        <v>118.152902433419</v>
      </c>
      <c r="AJ4390">
        <v>75.373059547261306</v>
      </c>
      <c r="AK4390">
        <v>0.47752607990495499</v>
      </c>
      <c r="AL4390">
        <v>90.264625273933305</v>
      </c>
      <c r="AM4390">
        <v>86.199525405627497</v>
      </c>
      <c r="AN4390">
        <v>1.0000000229328501</v>
      </c>
    </row>
    <row r="4391" spans="1:40" x14ac:dyDescent="0.25">
      <c r="A4391" t="str">
        <f>"20190312154923639"</f>
        <v>20190312154923639</v>
      </c>
      <c r="B4391" t="str">
        <f>"1552376963630254"</f>
        <v>1552376963630254</v>
      </c>
      <c r="C4391" t="s">
        <v>40</v>
      </c>
      <c r="D4391">
        <v>4.9952690000000004</v>
      </c>
      <c r="E4391">
        <v>0.49650319999999998</v>
      </c>
      <c r="F4391" t="s">
        <v>41</v>
      </c>
      <c r="G4391">
        <v>-241.60300000000001</v>
      </c>
      <c r="H4391">
        <v>0.89548649999999996</v>
      </c>
      <c r="I4391">
        <v>140.96709999999999</v>
      </c>
      <c r="J4391">
        <v>-241.173</v>
      </c>
      <c r="K4391">
        <v>1.1067940000000001</v>
      </c>
      <c r="L4391">
        <v>140.8614</v>
      </c>
      <c r="M4391">
        <v>-0.99954419999999999</v>
      </c>
      <c r="N4391">
        <v>0</v>
      </c>
      <c r="O4391">
        <v>-3.0013450000000001E-2</v>
      </c>
      <c r="P4391">
        <v>-0.99929049999999997</v>
      </c>
      <c r="Q4391">
        <v>-7.3562819999999996E-3</v>
      </c>
      <c r="R4391">
        <v>3.693954E-2</v>
      </c>
      <c r="S4391">
        <v>-2.9845120000000001</v>
      </c>
      <c r="T4391">
        <v>-0.75422549999999999</v>
      </c>
      <c r="U4391">
        <v>0.33567809999999998</v>
      </c>
      <c r="V4391">
        <v>6.6901039999999995E-2</v>
      </c>
      <c r="W4391">
        <v>-4.3190709999999998E-3</v>
      </c>
      <c r="X4391">
        <v>0.99775029999999998</v>
      </c>
      <c r="Y4391">
        <v>0.1363731</v>
      </c>
      <c r="Z4391">
        <v>2.4361339999999999E-2</v>
      </c>
      <c r="AA4391">
        <v>0.99035790000000001</v>
      </c>
      <c r="AB4391">
        <v>38</v>
      </c>
      <c r="AC4391">
        <v>-0.42999999999997801</v>
      </c>
      <c r="AD4391">
        <v>-0.21130750000000001</v>
      </c>
      <c r="AE4391">
        <v>0.105699999999984</v>
      </c>
      <c r="AF4391">
        <v>9.6567316716429194E-2</v>
      </c>
      <c r="AG4391">
        <v>-0.21130750000000001</v>
      </c>
      <c r="AH4391">
        <v>0.34749915176520202</v>
      </c>
      <c r="AI4391">
        <v>120.365153375117</v>
      </c>
      <c r="AJ4391">
        <v>74.469800913803098</v>
      </c>
      <c r="AK4391">
        <v>0.41800929019771299</v>
      </c>
      <c r="AL4391">
        <v>90.247465301103702</v>
      </c>
      <c r="AM4391">
        <v>86.163951911953703</v>
      </c>
      <c r="AN4391">
        <v>1.0000000323387299</v>
      </c>
    </row>
    <row r="4392" spans="1:40" x14ac:dyDescent="0.25">
      <c r="A4392" t="str">
        <f>"20190312154923660"</f>
        <v>20190312154923660</v>
      </c>
      <c r="B4392" t="str">
        <f>"1552376963649774"</f>
        <v>1552376963649774</v>
      </c>
      <c r="C4392" t="s">
        <v>40</v>
      </c>
      <c r="D4392">
        <v>4.9973039999999997</v>
      </c>
      <c r="E4392">
        <v>0.492089</v>
      </c>
      <c r="F4392" t="s">
        <v>41</v>
      </c>
      <c r="G4392">
        <v>-241.98769999999999</v>
      </c>
      <c r="H4392">
        <v>0.9990656</v>
      </c>
      <c r="I4392">
        <v>140.88030000000001</v>
      </c>
      <c r="J4392">
        <v>-241.53980000000001</v>
      </c>
      <c r="K4392">
        <v>1.106765</v>
      </c>
      <c r="L4392">
        <v>140.85149999999999</v>
      </c>
      <c r="M4392">
        <v>-0.99958599999999997</v>
      </c>
      <c r="N4392">
        <v>0</v>
      </c>
      <c r="O4392">
        <v>-2.8574479999999999E-2</v>
      </c>
      <c r="P4392">
        <v>-0.99919100000000005</v>
      </c>
      <c r="Q4392">
        <v>-6.9482449999999996E-3</v>
      </c>
      <c r="R4392">
        <v>3.9610779999999998E-2</v>
      </c>
      <c r="S4392">
        <v>-2.9966889999999999</v>
      </c>
      <c r="T4392">
        <v>-0.3963045</v>
      </c>
      <c r="U4392">
        <v>6.8847660000000005E-2</v>
      </c>
      <c r="V4392">
        <v>6.8133200000000005E-2</v>
      </c>
      <c r="W4392">
        <v>-3.8224280000000001E-3</v>
      </c>
      <c r="X4392">
        <v>0.99766889999999997</v>
      </c>
      <c r="Y4392">
        <v>5.0835140000000001E-2</v>
      </c>
      <c r="Z4392">
        <v>7.1083780000000003E-3</v>
      </c>
      <c r="AA4392">
        <v>0.99868179999999995</v>
      </c>
      <c r="AB4392">
        <v>38</v>
      </c>
      <c r="AC4392">
        <v>-0.44789999999997498</v>
      </c>
      <c r="AD4392">
        <v>-0.1076994</v>
      </c>
      <c r="AE4392">
        <v>2.8800000000018099E-2</v>
      </c>
      <c r="AF4392">
        <v>3.9322620769288698E-2</v>
      </c>
      <c r="AG4392">
        <v>-0.1076994</v>
      </c>
      <c r="AH4392">
        <v>0.42256293182267601</v>
      </c>
      <c r="AI4392">
        <v>104.239653099142</v>
      </c>
      <c r="AJ4392">
        <v>84.683513054616895</v>
      </c>
      <c r="AK4392">
        <v>0.43784113627559101</v>
      </c>
      <c r="AL4392">
        <v>90.219009527635194</v>
      </c>
      <c r="AM4392">
        <v>86.093199956164298</v>
      </c>
      <c r="AN4392">
        <v>0.99999998896263198</v>
      </c>
    </row>
    <row r="4393" spans="1:40" x14ac:dyDescent="0.25">
      <c r="A4393" t="str">
        <f>"20190312154923682"</f>
        <v>20190312154923682</v>
      </c>
      <c r="B4393" t="str">
        <f>"1552376963670270"</f>
        <v>1552376963670270</v>
      </c>
      <c r="C4393" t="s">
        <v>40</v>
      </c>
      <c r="D4393">
        <v>5.0081519999999999</v>
      </c>
      <c r="E4393">
        <v>0.49065110000000001</v>
      </c>
      <c r="F4393" t="s">
        <v>41</v>
      </c>
      <c r="G4393">
        <v>-242.3432</v>
      </c>
      <c r="H4393">
        <v>1.028667</v>
      </c>
      <c r="I4393">
        <v>140.8638</v>
      </c>
      <c r="J4393">
        <v>-241.9271</v>
      </c>
      <c r="K4393">
        <v>1.1067400000000001</v>
      </c>
      <c r="L4393">
        <v>140.8416</v>
      </c>
      <c r="M4393">
        <v>-0.99962830000000003</v>
      </c>
      <c r="N4393">
        <v>0</v>
      </c>
      <c r="O4393">
        <v>-2.7043950000000001E-2</v>
      </c>
      <c r="P4393">
        <v>-0.99910209999999999</v>
      </c>
      <c r="Q4393">
        <v>-7.1931800000000004E-3</v>
      </c>
      <c r="R4393">
        <v>4.1756219999999997E-2</v>
      </c>
      <c r="S4393">
        <v>-2.9985810000000002</v>
      </c>
      <c r="T4393">
        <v>-0.29150150000000002</v>
      </c>
      <c r="U4393">
        <v>4.5471190000000002E-2</v>
      </c>
      <c r="V4393">
        <v>6.874719E-2</v>
      </c>
      <c r="W4393">
        <v>-3.9620089999999998E-3</v>
      </c>
      <c r="X4393">
        <v>0.99762620000000002</v>
      </c>
      <c r="Y4393">
        <v>4.1873130000000001E-2</v>
      </c>
      <c r="Z4393">
        <v>4.6530119999999998E-3</v>
      </c>
      <c r="AA4393">
        <v>0.99911209999999995</v>
      </c>
      <c r="AB4393">
        <v>38</v>
      </c>
      <c r="AC4393">
        <v>-0.41610000000000003</v>
      </c>
      <c r="AD4393">
        <v>-7.8073000000000004E-2</v>
      </c>
      <c r="AE4393">
        <v>2.2199999999997999E-2</v>
      </c>
      <c r="AF4393">
        <v>3.23106613780626E-2</v>
      </c>
      <c r="AG4393">
        <v>-7.8073000000000004E-2</v>
      </c>
      <c r="AH4393">
        <v>0.401261065833797</v>
      </c>
      <c r="AI4393">
        <v>100.975763444064</v>
      </c>
      <c r="AJ4393">
        <v>85.396316684362901</v>
      </c>
      <c r="AK4393">
        <v>0.41006074564845002</v>
      </c>
      <c r="AL4393">
        <v>90.227006998380205</v>
      </c>
      <c r="AM4393">
        <v>86.057935697817399</v>
      </c>
      <c r="AN4393">
        <v>0.99999995428732502</v>
      </c>
    </row>
    <row r="4394" spans="1:40" x14ac:dyDescent="0.25">
      <c r="A4394" t="str">
        <f>"20190312154923705"</f>
        <v>20190312154923705</v>
      </c>
      <c r="B4394" t="str">
        <f>"1552376963700526"</f>
        <v>1552376963700526</v>
      </c>
      <c r="C4394" t="s">
        <v>40</v>
      </c>
      <c r="D4394">
        <v>5.0638769999999997</v>
      </c>
      <c r="E4394">
        <v>0.48926019999999998</v>
      </c>
      <c r="F4394" t="s">
        <v>41</v>
      </c>
      <c r="G4394">
        <v>-242.69300000000001</v>
      </c>
      <c r="H4394">
        <v>1.043623</v>
      </c>
      <c r="I4394">
        <v>140.8526</v>
      </c>
      <c r="J4394">
        <v>-242.30019999999999</v>
      </c>
      <c r="K4394">
        <v>1.10673</v>
      </c>
      <c r="L4394">
        <v>140.83269999999999</v>
      </c>
      <c r="M4394">
        <v>-0.99966679999999997</v>
      </c>
      <c r="N4394">
        <v>0</v>
      </c>
      <c r="O4394">
        <v>-2.5562890000000001E-2</v>
      </c>
      <c r="P4394">
        <v>-0.99902519999999995</v>
      </c>
      <c r="Q4394">
        <v>-7.7803949999999998E-3</v>
      </c>
      <c r="R4394">
        <v>4.3455349999999997E-2</v>
      </c>
      <c r="S4394">
        <v>-2.9991300000000001</v>
      </c>
      <c r="T4394">
        <v>-0.2471265</v>
      </c>
      <c r="U4394">
        <v>4.2251589999999999E-2</v>
      </c>
      <c r="V4394">
        <v>6.8963679999999999E-2</v>
      </c>
      <c r="W4394">
        <v>-4.4343120000000001E-3</v>
      </c>
      <c r="X4394">
        <v>0.99760930000000003</v>
      </c>
      <c r="Y4394">
        <v>3.9422260000000001E-2</v>
      </c>
      <c r="Z4394">
        <v>3.7239920000000002E-3</v>
      </c>
      <c r="AA4394">
        <v>0.99921570000000004</v>
      </c>
      <c r="AB4394">
        <v>38</v>
      </c>
      <c r="AC4394">
        <v>-0.39279999999999399</v>
      </c>
      <c r="AD4394">
        <v>-6.3106999999999996E-2</v>
      </c>
      <c r="AE4394">
        <v>1.9900000000006898E-2</v>
      </c>
      <c r="AF4394">
        <v>2.9183329364328998E-2</v>
      </c>
      <c r="AG4394">
        <v>-6.3106999999999996E-2</v>
      </c>
      <c r="AH4394">
        <v>0.38231996985452099</v>
      </c>
      <c r="AI4394">
        <v>99.3462093637728</v>
      </c>
      <c r="AJ4394">
        <v>85.634951030988105</v>
      </c>
      <c r="AK4394">
        <v>0.38859068376808598</v>
      </c>
      <c r="AL4394">
        <v>90.2540681993774</v>
      </c>
      <c r="AM4394">
        <v>86.045494390392193</v>
      </c>
      <c r="AN4394">
        <v>0.99999998386427202</v>
      </c>
    </row>
    <row r="4395" spans="1:40" x14ac:dyDescent="0.25">
      <c r="A4395" t="str">
        <f>"20190312154923727"</f>
        <v>20190312154923727</v>
      </c>
      <c r="B4395" t="str">
        <f>"1552376963720046"</f>
        <v>1552376963720046</v>
      </c>
      <c r="C4395" t="s">
        <v>40</v>
      </c>
      <c r="D4395">
        <v>4.9598979999999999</v>
      </c>
      <c r="E4395">
        <v>0.48877890000000002</v>
      </c>
      <c r="F4395" t="s">
        <v>41</v>
      </c>
      <c r="G4395">
        <v>-243.04300000000001</v>
      </c>
      <c r="H4395">
        <v>1.0508949999999999</v>
      </c>
      <c r="I4395">
        <v>140.84180000000001</v>
      </c>
      <c r="J4395">
        <v>-242.69239999999999</v>
      </c>
      <c r="K4395">
        <v>1.106717</v>
      </c>
      <c r="L4395">
        <v>140.82380000000001</v>
      </c>
      <c r="M4395">
        <v>-0.99970490000000001</v>
      </c>
      <c r="N4395">
        <v>0</v>
      </c>
      <c r="O4395">
        <v>-2.400327E-2</v>
      </c>
      <c r="P4395">
        <v>-0.99896249999999998</v>
      </c>
      <c r="Q4395">
        <v>-7.8395159999999995E-3</v>
      </c>
      <c r="R4395">
        <v>4.4859879999999998E-2</v>
      </c>
      <c r="S4395">
        <v>-2.9995419999999999</v>
      </c>
      <c r="T4395">
        <v>-0.22550539999999999</v>
      </c>
      <c r="U4395">
        <v>3.7094120000000001E-2</v>
      </c>
      <c r="V4395">
        <v>6.8809809999999999E-2</v>
      </c>
      <c r="W4395">
        <v>-4.3527899999999996E-3</v>
      </c>
      <c r="X4395">
        <v>0.99762030000000002</v>
      </c>
      <c r="Y4395">
        <v>3.6193839999999998E-2</v>
      </c>
      <c r="Z4395">
        <v>3.1604580000000001E-3</v>
      </c>
      <c r="AA4395">
        <v>0.9993398</v>
      </c>
      <c r="AB4395">
        <v>38</v>
      </c>
      <c r="AC4395">
        <v>-0.35060000000001401</v>
      </c>
      <c r="AD4395">
        <v>-5.5821999999999802E-2</v>
      </c>
      <c r="AE4395">
        <v>1.8000000000000599E-2</v>
      </c>
      <c r="AF4395">
        <v>2.5759128231034E-2</v>
      </c>
      <c r="AG4395">
        <v>-5.5821999999999802E-2</v>
      </c>
      <c r="AH4395">
        <v>0.34143414176953002</v>
      </c>
      <c r="AI4395">
        <v>99.2594371484807</v>
      </c>
      <c r="AJ4395">
        <v>85.685555345893405</v>
      </c>
      <c r="AK4395">
        <v>0.34692492204671399</v>
      </c>
      <c r="AL4395">
        <v>90.249397283693696</v>
      </c>
      <c r="AM4395">
        <v>86.054333050746607</v>
      </c>
      <c r="AN4395">
        <v>0.99999999985255505</v>
      </c>
    </row>
    <row r="4396" spans="1:40" x14ac:dyDescent="0.25">
      <c r="A4396" t="str">
        <f>"20190312154923748"</f>
        <v>20190312154923748</v>
      </c>
      <c r="B4396" t="str">
        <f>"1552376963740542"</f>
        <v>1552376963740542</v>
      </c>
      <c r="C4396" t="s">
        <v>40</v>
      </c>
      <c r="D4396">
        <v>5.0128969999999997</v>
      </c>
      <c r="E4396">
        <v>0.48825819999999998</v>
      </c>
      <c r="F4396" t="s">
        <v>41</v>
      </c>
      <c r="G4396">
        <v>-243.72190000000001</v>
      </c>
      <c r="H4396">
        <v>1.0315989999999999</v>
      </c>
      <c r="I4396">
        <v>140.83690000000001</v>
      </c>
      <c r="J4396">
        <v>-243.0615</v>
      </c>
      <c r="K4396">
        <v>1.106719</v>
      </c>
      <c r="L4396">
        <v>140.81610000000001</v>
      </c>
      <c r="M4396">
        <v>-0.99973849999999997</v>
      </c>
      <c r="N4396">
        <v>0</v>
      </c>
      <c r="O4396">
        <v>-2.253461E-2</v>
      </c>
      <c r="P4396">
        <v>-0.99888809999999995</v>
      </c>
      <c r="Q4396">
        <v>-8.0355630000000008E-3</v>
      </c>
      <c r="R4396">
        <v>4.6453260000000003E-2</v>
      </c>
      <c r="S4396">
        <v>-2.9997250000000002</v>
      </c>
      <c r="T4396">
        <v>-0.21888350000000001</v>
      </c>
      <c r="U4396">
        <v>3.7704469999999997E-2</v>
      </c>
      <c r="V4396">
        <v>6.8935129999999997E-2</v>
      </c>
      <c r="W4396">
        <v>-4.3941359999999999E-3</v>
      </c>
      <c r="X4396">
        <v>0.99761149999999998</v>
      </c>
      <c r="Y4396">
        <v>3.4945329999999997E-2</v>
      </c>
      <c r="Z4396">
        <v>2.9152219999999999E-3</v>
      </c>
      <c r="AA4396">
        <v>0.99938499999999997</v>
      </c>
      <c r="AB4396">
        <v>39</v>
      </c>
      <c r="AC4396">
        <v>-0.66040000000000898</v>
      </c>
      <c r="AD4396">
        <v>-7.5120000000000006E-2</v>
      </c>
      <c r="AE4396">
        <v>2.0800000000008301E-2</v>
      </c>
      <c r="AF4396">
        <v>3.5221412653822698E-2</v>
      </c>
      <c r="AG4396">
        <v>-7.5120000000000006E-2</v>
      </c>
      <c r="AH4396">
        <v>0.65134425447732902</v>
      </c>
      <c r="AI4396">
        <v>96.569383389658896</v>
      </c>
      <c r="AJ4396">
        <v>86.904747772157904</v>
      </c>
      <c r="AK4396">
        <v>0.65660711247286896</v>
      </c>
      <c r="AL4396">
        <v>90.2517662493659</v>
      </c>
      <c r="AM4396">
        <v>86.047134999066103</v>
      </c>
      <c r="AN4396">
        <v>1.0000000327557701</v>
      </c>
    </row>
    <row r="4397" spans="1:40" x14ac:dyDescent="0.25">
      <c r="A4397" t="str">
        <f>"20190312154923770"</f>
        <v>20190312154923770</v>
      </c>
      <c r="B4397" t="str">
        <f>"1552376963760061"</f>
        <v>1552376963760061</v>
      </c>
      <c r="C4397" t="s">
        <v>40</v>
      </c>
      <c r="D4397">
        <v>5.0767369999999996</v>
      </c>
      <c r="E4397">
        <v>0.48774709999999899</v>
      </c>
      <c r="F4397" t="s">
        <v>41</v>
      </c>
      <c r="G4397">
        <v>-244.0692</v>
      </c>
      <c r="H4397">
        <v>1.0325660000000001</v>
      </c>
      <c r="I4397">
        <v>140.82910000000001</v>
      </c>
      <c r="J4397">
        <v>-243.43950000000001</v>
      </c>
      <c r="K4397">
        <v>1.1067199999999999</v>
      </c>
      <c r="L4397">
        <v>140.80879999999999</v>
      </c>
      <c r="M4397">
        <v>-0.99977059999999995</v>
      </c>
      <c r="N4397">
        <v>0</v>
      </c>
      <c r="O4397">
        <v>-2.1029240000000001E-2</v>
      </c>
      <c r="P4397">
        <v>-0.998838</v>
      </c>
      <c r="Q4397">
        <v>-7.8062330000000001E-3</v>
      </c>
      <c r="R4397">
        <v>4.7559379999999998E-2</v>
      </c>
      <c r="S4397">
        <v>-2.9997859999999998</v>
      </c>
      <c r="T4397">
        <v>-0.2207296</v>
      </c>
      <c r="U4397">
        <v>3.8269039999999997E-2</v>
      </c>
      <c r="V4397">
        <v>6.8539160000000002E-2</v>
      </c>
      <c r="W4397">
        <v>-3.9869570000000002E-3</v>
      </c>
      <c r="X4397">
        <v>0.99764039999999998</v>
      </c>
      <c r="Y4397">
        <v>3.3633339999999998E-2</v>
      </c>
      <c r="Z4397">
        <v>2.7808770000000002E-3</v>
      </c>
      <c r="AA4397">
        <v>0.99943040000000005</v>
      </c>
      <c r="AB4397">
        <v>39</v>
      </c>
      <c r="AC4397">
        <v>-0.62969999999998505</v>
      </c>
      <c r="AD4397">
        <v>-7.4153999999999998E-2</v>
      </c>
      <c r="AE4397">
        <v>2.0300000000020101E-2</v>
      </c>
      <c r="AF4397">
        <v>3.30794754212827E-2</v>
      </c>
      <c r="AG4397">
        <v>-7.4153999999999998E-2</v>
      </c>
      <c r="AH4397">
        <v>0.62053740943200097</v>
      </c>
      <c r="AI4397">
        <v>96.8049392515493</v>
      </c>
      <c r="AJ4397">
        <v>86.948577090335604</v>
      </c>
      <c r="AK4397">
        <v>0.62582724766082698</v>
      </c>
      <c r="AL4397">
        <v>90.228436428107599</v>
      </c>
      <c r="AM4397">
        <v>86.069882767727194</v>
      </c>
      <c r="AN4397">
        <v>0.99999993999588999</v>
      </c>
    </row>
    <row r="4398" spans="1:40" x14ac:dyDescent="0.25">
      <c r="A4398" t="str">
        <f>"20190312154923792"</f>
        <v>20190312154923792</v>
      </c>
      <c r="B4398" t="str">
        <f>"1552376963780562"</f>
        <v>1552376963780562</v>
      </c>
      <c r="C4398" t="s">
        <v>40</v>
      </c>
      <c r="D4398">
        <v>5.068352</v>
      </c>
      <c r="E4398">
        <v>0.48705929999999997</v>
      </c>
      <c r="F4398" t="s">
        <v>41</v>
      </c>
      <c r="G4398">
        <v>-244.41829999999999</v>
      </c>
      <c r="H4398">
        <v>1.0353559999999999</v>
      </c>
      <c r="I4398">
        <v>140.8211</v>
      </c>
      <c r="J4398">
        <v>-243.82400000000001</v>
      </c>
      <c r="K4398">
        <v>1.1067290000000001</v>
      </c>
      <c r="L4398">
        <v>140.80189999999999</v>
      </c>
      <c r="M4398">
        <v>-0.99980080000000005</v>
      </c>
      <c r="N4398">
        <v>0</v>
      </c>
      <c r="O4398">
        <v>-1.9497549999999999E-2</v>
      </c>
      <c r="P4398">
        <v>-0.99874870000000004</v>
      </c>
      <c r="Q4398">
        <v>-8.0212100000000008E-3</v>
      </c>
      <c r="R4398">
        <v>4.9364239999999997E-2</v>
      </c>
      <c r="S4398">
        <v>-3.0000149999999999</v>
      </c>
      <c r="T4398">
        <v>-0.2187163</v>
      </c>
      <c r="U4398">
        <v>3.7490839999999998E-2</v>
      </c>
      <c r="V4398">
        <v>6.8813150000000003E-2</v>
      </c>
      <c r="W4398">
        <v>-3.9997339999999996E-3</v>
      </c>
      <c r="X4398">
        <v>0.99762150000000005</v>
      </c>
      <c r="Y4398">
        <v>3.1853470000000002E-2</v>
      </c>
      <c r="Z4398">
        <v>2.5790750000000001E-3</v>
      </c>
      <c r="AA4398">
        <v>0.99948919999999997</v>
      </c>
      <c r="AB4398">
        <v>39</v>
      </c>
      <c r="AC4398">
        <v>-0.59429999999997496</v>
      </c>
      <c r="AD4398">
        <v>-7.1373000000000103E-2</v>
      </c>
      <c r="AE4398">
        <v>1.9200000000011999E-2</v>
      </c>
      <c r="AF4398">
        <v>3.0346615820566299E-2</v>
      </c>
      <c r="AG4398">
        <v>-7.1373000000000103E-2</v>
      </c>
      <c r="AH4398">
        <v>0.585378539950555</v>
      </c>
      <c r="AI4398">
        <v>96.942315509768605</v>
      </c>
      <c r="AJ4398">
        <v>87.032385392008194</v>
      </c>
      <c r="AK4398">
        <v>0.59049390958366699</v>
      </c>
      <c r="AL4398">
        <v>90.229168499326903</v>
      </c>
      <c r="AM4398">
        <v>86.054146865993303</v>
      </c>
      <c r="AN4398">
        <v>0.99999995237362005</v>
      </c>
    </row>
    <row r="4399" spans="1:40" x14ac:dyDescent="0.25">
      <c r="A4399" t="str">
        <f>"20190312154923815"</f>
        <v>20190312154923815</v>
      </c>
      <c r="B4399" t="str">
        <f>"1552376963809838"</f>
        <v>1552376963809838</v>
      </c>
      <c r="C4399" t="s">
        <v>40</v>
      </c>
      <c r="D4399">
        <v>4.9976690000000001</v>
      </c>
      <c r="E4399">
        <v>0.48670429999999998</v>
      </c>
      <c r="F4399" t="s">
        <v>41</v>
      </c>
      <c r="G4399">
        <v>-244.76769999999999</v>
      </c>
      <c r="H4399">
        <v>1.036867</v>
      </c>
      <c r="I4399">
        <v>140.81389999999999</v>
      </c>
      <c r="J4399">
        <v>-244.2338</v>
      </c>
      <c r="K4399">
        <v>1.106746</v>
      </c>
      <c r="L4399">
        <v>140.79519999999999</v>
      </c>
      <c r="M4399">
        <v>-0.99983010000000005</v>
      </c>
      <c r="N4399">
        <v>0</v>
      </c>
      <c r="O4399">
        <v>-1.7866569999999998E-2</v>
      </c>
      <c r="P4399">
        <v>-0.99866500000000002</v>
      </c>
      <c r="Q4399">
        <v>-8.6199780000000004E-3</v>
      </c>
      <c r="R4399">
        <v>5.0932489999999997E-2</v>
      </c>
      <c r="S4399">
        <v>-3.0001530000000001</v>
      </c>
      <c r="T4399">
        <v>-0.22213260000000001</v>
      </c>
      <c r="U4399">
        <v>3.7292480000000003E-2</v>
      </c>
      <c r="V4399">
        <v>6.8750969999999995E-2</v>
      </c>
      <c r="W4399">
        <v>-4.3417079999999997E-3</v>
      </c>
      <c r="X4399">
        <v>0.99762439999999997</v>
      </c>
      <c r="Y4399">
        <v>3.0161190000000001E-2</v>
      </c>
      <c r="Z4399">
        <v>2.4359920000000001E-3</v>
      </c>
      <c r="AA4399">
        <v>0.99954209999999999</v>
      </c>
      <c r="AB4399">
        <v>39</v>
      </c>
      <c r="AC4399">
        <v>-0.53389999999998805</v>
      </c>
      <c r="AD4399">
        <v>-6.9878999999999997E-2</v>
      </c>
      <c r="AE4399">
        <v>1.8699999999995401E-2</v>
      </c>
      <c r="AF4399">
        <v>2.7761092306394401E-2</v>
      </c>
      <c r="AG4399">
        <v>-6.9878999999999997E-2</v>
      </c>
      <c r="AH4399">
        <v>0.52450654664544705</v>
      </c>
      <c r="AI4399">
        <v>97.578234254011505</v>
      </c>
      <c r="AJ4399">
        <v>86.9702749326228</v>
      </c>
      <c r="AK4399">
        <v>0.52986872936697804</v>
      </c>
      <c r="AL4399">
        <v>90.248762327099598</v>
      </c>
      <c r="AM4399">
        <v>86.057712539954693</v>
      </c>
      <c r="AN4399">
        <v>0.99999999488982905</v>
      </c>
    </row>
    <row r="4400" spans="1:40" x14ac:dyDescent="0.25">
      <c r="A4400" t="str">
        <f>"20190312154923839"</f>
        <v>20190312154923839</v>
      </c>
      <c r="B4400" t="str">
        <f>"1552376963830334"</f>
        <v>1552376963830334</v>
      </c>
      <c r="C4400" t="s">
        <v>40</v>
      </c>
      <c r="D4400">
        <v>4.969398</v>
      </c>
      <c r="E4400">
        <v>0.48663289999999998</v>
      </c>
      <c r="F4400" t="s">
        <v>41</v>
      </c>
      <c r="G4400">
        <v>-245.1198</v>
      </c>
      <c r="H4400">
        <v>1.0425260000000001</v>
      </c>
      <c r="I4400">
        <v>140.80699999999999</v>
      </c>
      <c r="J4400">
        <v>-244.6317</v>
      </c>
      <c r="K4400">
        <v>1.1067750000000001</v>
      </c>
      <c r="L4400">
        <v>140.7894</v>
      </c>
      <c r="M4400">
        <v>-0.99985570000000001</v>
      </c>
      <c r="N4400">
        <v>0</v>
      </c>
      <c r="O4400">
        <v>-1.6286539999999999E-2</v>
      </c>
      <c r="P4400">
        <v>-0.99859180000000003</v>
      </c>
      <c r="Q4400">
        <v>-9.0653880000000006E-3</v>
      </c>
      <c r="R4400">
        <v>5.2272100000000002E-2</v>
      </c>
      <c r="S4400">
        <v>-3.0001069999999999</v>
      </c>
      <c r="T4400">
        <v>-0.2174604</v>
      </c>
      <c r="U4400">
        <v>3.9352419999999999E-2</v>
      </c>
      <c r="V4400">
        <v>6.8511760000000005E-2</v>
      </c>
      <c r="W4400">
        <v>-4.492841E-3</v>
      </c>
      <c r="X4400">
        <v>0.99764019999999998</v>
      </c>
      <c r="Y4400">
        <v>2.9279940000000001E-2</v>
      </c>
      <c r="Z4400">
        <v>2.2386580000000001E-3</v>
      </c>
      <c r="AA4400">
        <v>0.99956880000000004</v>
      </c>
      <c r="AB4400">
        <v>39</v>
      </c>
      <c r="AC4400">
        <v>-0.48810000000000198</v>
      </c>
      <c r="AD4400">
        <v>-6.4249000000000001E-2</v>
      </c>
      <c r="AE4400">
        <v>1.7600000000015801E-2</v>
      </c>
      <c r="AF4400">
        <v>2.51126646015104E-2</v>
      </c>
      <c r="AG4400">
        <v>-6.4249000000000001E-2</v>
      </c>
      <c r="AH4400">
        <v>0.47945209156221302</v>
      </c>
      <c r="AI4400">
        <v>97.622128961767899</v>
      </c>
      <c r="AJ4400">
        <v>87.001710738962203</v>
      </c>
      <c r="AK4400">
        <v>0.48438919065950298</v>
      </c>
      <c r="AL4400">
        <v>90.257421691364897</v>
      </c>
      <c r="AM4400">
        <v>86.071448210662297</v>
      </c>
      <c r="AN4400">
        <v>1.0000000077672899</v>
      </c>
    </row>
    <row r="4401" spans="1:40" x14ac:dyDescent="0.25">
      <c r="A4401" t="str">
        <f>"20190312154923862"</f>
        <v>20190312154923862</v>
      </c>
      <c r="B4401" t="str">
        <f>"1552376963849854"</f>
        <v>1552376963849854</v>
      </c>
      <c r="C4401" t="s">
        <v>40</v>
      </c>
      <c r="D4401">
        <v>5.0033560000000001</v>
      </c>
      <c r="E4401">
        <v>0.48660100000000001</v>
      </c>
      <c r="F4401" t="s">
        <v>41</v>
      </c>
      <c r="G4401">
        <v>-245.4735</v>
      </c>
      <c r="H4401">
        <v>1.0467089999999999</v>
      </c>
      <c r="I4401">
        <v>140.8015</v>
      </c>
      <c r="J4401">
        <v>-245.03829999999999</v>
      </c>
      <c r="K4401">
        <v>1.1068150000000001</v>
      </c>
      <c r="L4401">
        <v>140.78399999999999</v>
      </c>
      <c r="M4401">
        <v>-0.99987879999999996</v>
      </c>
      <c r="N4401">
        <v>0</v>
      </c>
      <c r="O4401">
        <v>-1.467892E-2</v>
      </c>
      <c r="P4401">
        <v>-0.99851670000000003</v>
      </c>
      <c r="Q4401">
        <v>-9.80112E-3</v>
      </c>
      <c r="R4401">
        <v>5.3553699999999899E-2</v>
      </c>
      <c r="S4401">
        <v>-3.0000460000000002</v>
      </c>
      <c r="T4401">
        <v>-0.2140619</v>
      </c>
      <c r="U4401">
        <v>4.3090820000000002E-2</v>
      </c>
      <c r="V4401">
        <v>6.8186159999999996E-2</v>
      </c>
      <c r="W4401">
        <v>-4.8865059999999997E-3</v>
      </c>
      <c r="X4401">
        <v>0.99766060000000001</v>
      </c>
      <c r="Y4401">
        <v>2.8927120000000001E-2</v>
      </c>
      <c r="Z4401">
        <v>2.0766669999999999E-3</v>
      </c>
      <c r="AA4401">
        <v>0.99957940000000001</v>
      </c>
      <c r="AB4401">
        <v>39</v>
      </c>
      <c r="AC4401">
        <v>-0.43520000000000802</v>
      </c>
      <c r="AD4401">
        <v>-6.0105999999999701E-2</v>
      </c>
      <c r="AE4401">
        <v>1.7500000000012499E-2</v>
      </c>
      <c r="AF4401">
        <v>2.3440075647968701E-2</v>
      </c>
      <c r="AG4401">
        <v>-6.0105999999999701E-2</v>
      </c>
      <c r="AH4401">
        <v>0.42676887545256098</v>
      </c>
      <c r="AI4401">
        <v>98.004882958556905</v>
      </c>
      <c r="AJ4401">
        <v>86.856215559280002</v>
      </c>
      <c r="AK4401">
        <v>0.43161770287770401</v>
      </c>
      <c r="AL4401">
        <v>90.279977298144502</v>
      </c>
      <c r="AM4401">
        <v>86.090140184985998</v>
      </c>
      <c r="AN4401">
        <v>0.99999995157439503</v>
      </c>
    </row>
    <row r="4402" spans="1:40" x14ac:dyDescent="0.25">
      <c r="A4402" t="str">
        <f>"20190312154923883"</f>
        <v>20190312154923883</v>
      </c>
      <c r="B4402" t="str">
        <f>"1552376963870350"</f>
        <v>1552376963870350</v>
      </c>
      <c r="C4402" t="s">
        <v>40</v>
      </c>
      <c r="D4402">
        <v>5.0090019999999997</v>
      </c>
      <c r="E4402">
        <v>0.4861143</v>
      </c>
      <c r="F4402" t="s">
        <v>41</v>
      </c>
      <c r="G4402">
        <v>-245.8279</v>
      </c>
      <c r="H4402">
        <v>1.050729</v>
      </c>
      <c r="I4402">
        <v>140.79640000000001</v>
      </c>
      <c r="J4402">
        <v>-245.39250000000001</v>
      </c>
      <c r="K4402">
        <v>1.1068610000000001</v>
      </c>
      <c r="L4402">
        <v>140.7799</v>
      </c>
      <c r="M4402">
        <v>-0.99989649999999997</v>
      </c>
      <c r="N4402">
        <v>0</v>
      </c>
      <c r="O4402">
        <v>-1.3291290000000001E-2</v>
      </c>
      <c r="P4402">
        <v>-0.99843320000000002</v>
      </c>
      <c r="Q4402">
        <v>-1.0097149999999999E-2</v>
      </c>
      <c r="R4402">
        <v>5.5038709999999998E-2</v>
      </c>
      <c r="S4402">
        <v>-2.9998469999999999</v>
      </c>
      <c r="T4402">
        <v>-0.21314169999999999</v>
      </c>
      <c r="U4402">
        <v>4.7012329999999998E-2</v>
      </c>
      <c r="V4402">
        <v>6.8285579999999999E-2</v>
      </c>
      <c r="W4402">
        <v>-4.8608549999999999E-3</v>
      </c>
      <c r="X4402">
        <v>0.99765400000000004</v>
      </c>
      <c r="Y4402">
        <v>2.885192E-2</v>
      </c>
      <c r="Z4402">
        <v>1.9667529999999999E-3</v>
      </c>
      <c r="AA4402">
        <v>0.99958179999999996</v>
      </c>
      <c r="AB4402">
        <v>39</v>
      </c>
      <c r="AC4402">
        <v>-0.43539999999998702</v>
      </c>
      <c r="AD4402">
        <v>-5.6132000000000001E-2</v>
      </c>
      <c r="AE4402">
        <v>1.6500000000007699E-2</v>
      </c>
      <c r="AF4402">
        <v>2.1921828558911501E-2</v>
      </c>
      <c r="AG4402">
        <v>-5.6132000000000001E-2</v>
      </c>
      <c r="AH4402">
        <v>0.42803822034550498</v>
      </c>
      <c r="AI4402">
        <v>97.461343216848604</v>
      </c>
      <c r="AJ4402">
        <v>87.068178124046895</v>
      </c>
      <c r="AK4402">
        <v>0.432259281066253</v>
      </c>
      <c r="AL4402">
        <v>90.278507565840997</v>
      </c>
      <c r="AM4402">
        <v>86.084431244135601</v>
      </c>
      <c r="AN4402">
        <v>1.00000002603163</v>
      </c>
    </row>
    <row r="4403" spans="1:40" x14ac:dyDescent="0.25">
      <c r="A4403" t="str">
        <f>"20190312154923904"</f>
        <v>20190312154923904</v>
      </c>
      <c r="B4403" t="str">
        <f>"1552376963900606"</f>
        <v>1552376963900606</v>
      </c>
      <c r="C4403" t="s">
        <v>40</v>
      </c>
      <c r="D4403">
        <v>4.9594760000000004</v>
      </c>
      <c r="E4403">
        <v>0.48556090000000002</v>
      </c>
      <c r="F4403" t="s">
        <v>41</v>
      </c>
      <c r="G4403">
        <v>-246.179</v>
      </c>
      <c r="H4403">
        <v>1.050516</v>
      </c>
      <c r="I4403">
        <v>140.79249999999999</v>
      </c>
      <c r="J4403">
        <v>-245.7902</v>
      </c>
      <c r="K4403">
        <v>1.1069100000000001</v>
      </c>
      <c r="L4403">
        <v>140.77590000000001</v>
      </c>
      <c r="M4403">
        <v>-0.99991350000000001</v>
      </c>
      <c r="N4403">
        <v>0</v>
      </c>
      <c r="O4403">
        <v>-1.1755369999999999E-2</v>
      </c>
      <c r="P4403">
        <v>-0.99833609999999995</v>
      </c>
      <c r="Q4403">
        <v>-1.081585E-2</v>
      </c>
      <c r="R4403">
        <v>5.6639099999999998E-2</v>
      </c>
      <c r="S4403">
        <v>-2.9999389999999999</v>
      </c>
      <c r="T4403">
        <v>-0.21490400000000001</v>
      </c>
      <c r="U4403">
        <v>4.7317499999999998E-2</v>
      </c>
      <c r="V4403">
        <v>6.8351019999999998E-2</v>
      </c>
      <c r="W4403">
        <v>-5.203816E-3</v>
      </c>
      <c r="X4403">
        <v>0.99764779999999997</v>
      </c>
      <c r="Y4403">
        <v>2.7423510000000002E-2</v>
      </c>
      <c r="Z4403">
        <v>1.8219379999999999E-3</v>
      </c>
      <c r="AA4403">
        <v>0.99962220000000002</v>
      </c>
      <c r="AB4403">
        <v>39</v>
      </c>
      <c r="AC4403">
        <v>-0.38880000000000298</v>
      </c>
      <c r="AD4403">
        <v>-5.6394E-2</v>
      </c>
      <c r="AE4403">
        <v>1.6599999999982601E-2</v>
      </c>
      <c r="AF4403">
        <v>2.07340032349628E-2</v>
      </c>
      <c r="AG4403">
        <v>-5.6394E-2</v>
      </c>
      <c r="AH4403">
        <v>0.38058563744351398</v>
      </c>
      <c r="AI4403">
        <v>98.416279712508796</v>
      </c>
      <c r="AJ4403">
        <v>86.881654070096104</v>
      </c>
      <c r="AK4403">
        <v>0.38529937653003499</v>
      </c>
      <c r="AL4403">
        <v>90.298158028741099</v>
      </c>
      <c r="AM4403">
        <v>86.080666251931007</v>
      </c>
      <c r="AN4403">
        <v>1.0000000372404201</v>
      </c>
    </row>
    <row r="4404" spans="1:40" x14ac:dyDescent="0.25">
      <c r="A4404" t="str">
        <f>"20190312154923927"</f>
        <v>20190312154923927</v>
      </c>
      <c r="B4404" t="str">
        <f>"1552376963920126"</f>
        <v>1552376963920126</v>
      </c>
      <c r="C4404" t="s">
        <v>40</v>
      </c>
      <c r="D4404">
        <v>4.9673290000000003</v>
      </c>
      <c r="E4404">
        <v>0.48522340000000003</v>
      </c>
      <c r="F4404" t="s">
        <v>42</v>
      </c>
      <c r="G4404">
        <v>-261.08850000000001</v>
      </c>
      <c r="H4404" s="1">
        <v>-4.1543390000000002E-6</v>
      </c>
      <c r="I4404">
        <v>141.01849999999999</v>
      </c>
      <c r="J4404">
        <v>-246.18879999999999</v>
      </c>
      <c r="K4404">
        <v>1.10697</v>
      </c>
      <c r="L4404">
        <v>140.77250000000001</v>
      </c>
      <c r="M4404">
        <v>-0.99992780000000003</v>
      </c>
      <c r="N4404">
        <v>0</v>
      </c>
      <c r="O4404">
        <v>-1.025412E-2</v>
      </c>
      <c r="P4404">
        <v>-0.99821789999999999</v>
      </c>
      <c r="Q4404">
        <v>-1.1058770000000001E-2</v>
      </c>
      <c r="R4404">
        <v>5.8640629999999999E-2</v>
      </c>
      <c r="S4404">
        <v>-2.9999539999999998</v>
      </c>
      <c r="T4404">
        <v>-0.2170627</v>
      </c>
      <c r="U4404">
        <v>4.7592160000000001E-2</v>
      </c>
      <c r="V4404">
        <v>6.8854029999999997E-2</v>
      </c>
      <c r="W4404">
        <v>-5.072193E-3</v>
      </c>
      <c r="X4404">
        <v>0.9976138</v>
      </c>
      <c r="Y4404">
        <v>2.6019690000000002E-2</v>
      </c>
      <c r="Z4404">
        <v>1.68099E-3</v>
      </c>
      <c r="AA4404">
        <v>0.99965999999999999</v>
      </c>
      <c r="AB4404">
        <v>39</v>
      </c>
      <c r="AC4404">
        <v>-14.899699999999999</v>
      </c>
      <c r="AD4404">
        <v>-1.1069741543389999</v>
      </c>
      <c r="AE4404">
        <v>0.24599999999998001</v>
      </c>
      <c r="AF4404">
        <v>0.39658492052579503</v>
      </c>
      <c r="AG4404">
        <v>-1.1069741543389999</v>
      </c>
      <c r="AH4404">
        <v>14.814643119605901</v>
      </c>
      <c r="AI4404">
        <v>94.271767618510395</v>
      </c>
      <c r="AJ4404">
        <v>88.4665701045178</v>
      </c>
      <c r="AK4404">
        <v>14.8612355522295</v>
      </c>
      <c r="AL4404">
        <v>90.290616512650004</v>
      </c>
      <c r="AM4404">
        <v>86.051779777141306</v>
      </c>
      <c r="AN4404">
        <v>0.999999949269753</v>
      </c>
    </row>
    <row r="4405" spans="1:40" x14ac:dyDescent="0.25">
      <c r="A4405" t="str">
        <f>"20190312154923950"</f>
        <v>20190312154923950</v>
      </c>
      <c r="B4405" t="str">
        <f>"1552376963940622"</f>
        <v>1552376963940622</v>
      </c>
      <c r="C4405" t="s">
        <v>40</v>
      </c>
      <c r="D4405">
        <v>4.9118589999999998</v>
      </c>
      <c r="E4405">
        <v>0.48484430000000001</v>
      </c>
      <c r="F4405" t="s">
        <v>41</v>
      </c>
      <c r="G4405">
        <v>-247.2226</v>
      </c>
      <c r="H4405">
        <v>1.0319700000000001</v>
      </c>
      <c r="I4405">
        <v>140.7901</v>
      </c>
      <c r="J4405">
        <v>-246.57480000000001</v>
      </c>
      <c r="K4405">
        <v>1.1070390000000001</v>
      </c>
      <c r="L4405">
        <v>140.7697</v>
      </c>
      <c r="M4405">
        <v>-0.99993900000000002</v>
      </c>
      <c r="N4405">
        <v>0</v>
      </c>
      <c r="O4405">
        <v>-8.8440380000000002E-3</v>
      </c>
      <c r="P4405">
        <v>-0.99810189999999999</v>
      </c>
      <c r="Q4405">
        <v>-1.100668E-2</v>
      </c>
      <c r="R4405">
        <v>6.059428E-2</v>
      </c>
      <c r="S4405">
        <v>-2.9999690000000001</v>
      </c>
      <c r="T4405">
        <v>-0.21766530000000001</v>
      </c>
      <c r="U4405">
        <v>5.078125E-2</v>
      </c>
      <c r="V4405">
        <v>6.9401930000000001E-2</v>
      </c>
      <c r="W4405">
        <v>-4.6706200000000003E-3</v>
      </c>
      <c r="X4405">
        <v>0.99757779999999996</v>
      </c>
      <c r="Y4405">
        <v>2.5676419999999998E-2</v>
      </c>
      <c r="Z4405">
        <v>1.5710170000000001E-3</v>
      </c>
      <c r="AA4405">
        <v>0.99966909999999998</v>
      </c>
      <c r="AB4405">
        <v>39</v>
      </c>
      <c r="AC4405">
        <v>-0.64779999999998905</v>
      </c>
      <c r="AD4405">
        <v>-7.5068999999999803E-2</v>
      </c>
      <c r="AE4405">
        <v>2.0399999999994999E-2</v>
      </c>
      <c r="AF4405">
        <v>2.5782607177959799E-2</v>
      </c>
      <c r="AG4405">
        <v>-7.5068999999999803E-2</v>
      </c>
      <c r="AH4405">
        <v>0.63902140967548704</v>
      </c>
      <c r="AI4405">
        <v>96.694712023308</v>
      </c>
      <c r="AJ4405">
        <v>87.689539429992294</v>
      </c>
      <c r="AK4405">
        <v>0.64393203027768298</v>
      </c>
      <c r="AL4405">
        <v>90.267607798770598</v>
      </c>
      <c r="AM4405">
        <v>86.020319553921496</v>
      </c>
      <c r="AN4405">
        <v>0.999999954815873</v>
      </c>
    </row>
    <row r="4406" spans="1:40" x14ac:dyDescent="0.25">
      <c r="A4406" t="str">
        <f>"20190312154923971"</f>
        <v>20190312154923971</v>
      </c>
      <c r="B4406" t="str">
        <f>"1552376963960142"</f>
        <v>1552376963960142</v>
      </c>
      <c r="C4406" t="s">
        <v>40</v>
      </c>
      <c r="D4406">
        <v>4.8732600000000001</v>
      </c>
      <c r="E4406">
        <v>0.48454019999999998</v>
      </c>
      <c r="F4406" t="s">
        <v>41</v>
      </c>
      <c r="G4406">
        <v>-247.57669999999999</v>
      </c>
      <c r="H4406">
        <v>1.034578</v>
      </c>
      <c r="I4406">
        <v>140.78790000000001</v>
      </c>
      <c r="J4406">
        <v>-246.96279999999999</v>
      </c>
      <c r="K4406">
        <v>1.107111</v>
      </c>
      <c r="L4406">
        <v>140.76750000000001</v>
      </c>
      <c r="M4406">
        <v>-0.99994799999999995</v>
      </c>
      <c r="N4406">
        <v>0</v>
      </c>
      <c r="O4406">
        <v>-7.4695619999999999E-3</v>
      </c>
      <c r="P4406">
        <v>-0.997973</v>
      </c>
      <c r="Q4406">
        <v>-1.1081779999999999E-2</v>
      </c>
      <c r="R4406">
        <v>6.2669260000000004E-2</v>
      </c>
      <c r="S4406">
        <v>-3.0000460000000002</v>
      </c>
      <c r="T4406">
        <v>-0.2170173</v>
      </c>
      <c r="U4406">
        <v>5.3726200000000002E-2</v>
      </c>
      <c r="V4406">
        <v>7.0105870000000001E-2</v>
      </c>
      <c r="W4406">
        <v>-4.4163470000000002E-3</v>
      </c>
      <c r="X4406">
        <v>0.99752980000000002</v>
      </c>
      <c r="Y4406">
        <v>2.5288060000000001E-2</v>
      </c>
      <c r="Z4406">
        <v>1.4529810000000001E-3</v>
      </c>
      <c r="AA4406">
        <v>0.99967910000000004</v>
      </c>
      <c r="AB4406">
        <v>39</v>
      </c>
      <c r="AC4406">
        <v>-0.613900000000001</v>
      </c>
      <c r="AD4406">
        <v>-7.2532999999999903E-2</v>
      </c>
      <c r="AE4406">
        <v>2.0399999999994999E-2</v>
      </c>
      <c r="AF4406">
        <v>2.4641497073942101E-2</v>
      </c>
      <c r="AG4406">
        <v>-7.2532999999999903E-2</v>
      </c>
      <c r="AH4406">
        <v>0.60529014289795702</v>
      </c>
      <c r="AI4406">
        <v>96.827670164011394</v>
      </c>
      <c r="AJ4406">
        <v>87.668763304899002</v>
      </c>
      <c r="AK4406">
        <v>0.61011834635296303</v>
      </c>
      <c r="AL4406">
        <v>90.253038861583406</v>
      </c>
      <c r="AM4406">
        <v>85.979892748382795</v>
      </c>
      <c r="AN4406">
        <v>1.00000001950866</v>
      </c>
    </row>
    <row r="4407" spans="1:40" x14ac:dyDescent="0.25">
      <c r="A4407" t="str">
        <f>"20190312154923995"</f>
        <v>20190312154923995</v>
      </c>
      <c r="B4407" t="str">
        <f>"1552376963989986"</f>
        <v>1552376963989986</v>
      </c>
      <c r="C4407" t="s">
        <v>40</v>
      </c>
      <c r="D4407">
        <v>4.7798189999999998</v>
      </c>
      <c r="E4407">
        <v>0.48443789999999998</v>
      </c>
      <c r="F4407" t="s">
        <v>41</v>
      </c>
      <c r="G4407">
        <v>-247.93119999999999</v>
      </c>
      <c r="H4407">
        <v>1.0372209999999999</v>
      </c>
      <c r="I4407">
        <v>140.78620000000001</v>
      </c>
      <c r="J4407">
        <v>-247.37989999999999</v>
      </c>
      <c r="K4407">
        <v>1.1071839999999999</v>
      </c>
      <c r="L4407">
        <v>140.76560000000001</v>
      </c>
      <c r="M4407">
        <v>-0.99995520000000004</v>
      </c>
      <c r="N4407">
        <v>0</v>
      </c>
      <c r="O4407">
        <v>-6.0537369999999896E-3</v>
      </c>
      <c r="P4407">
        <v>-0.99787899999999996</v>
      </c>
      <c r="Q4407">
        <v>-1.11263E-2</v>
      </c>
      <c r="R4407">
        <v>6.4137159999999999E-2</v>
      </c>
      <c r="S4407">
        <v>-3.000092</v>
      </c>
      <c r="T4407">
        <v>-0.21654989999999999</v>
      </c>
      <c r="U4407">
        <v>5.7479860000000001E-2</v>
      </c>
      <c r="V4407">
        <v>7.0162180000000005E-2</v>
      </c>
      <c r="W4407">
        <v>-4.1272430000000001E-3</v>
      </c>
      <c r="X4407">
        <v>0.9975271</v>
      </c>
      <c r="Y4407">
        <v>2.5127190000000001E-2</v>
      </c>
      <c r="Z4407">
        <v>1.3419669999999999E-3</v>
      </c>
      <c r="AA4407">
        <v>0.9996834</v>
      </c>
      <c r="AB4407">
        <v>39</v>
      </c>
      <c r="AC4407">
        <v>-0.55129999999999701</v>
      </c>
      <c r="AD4407">
        <v>-6.9962999999999997E-2</v>
      </c>
      <c r="AE4407">
        <v>2.06000000000017E-2</v>
      </c>
      <c r="AF4407">
        <v>2.3558259195643701E-2</v>
      </c>
      <c r="AG4407">
        <v>-6.9962999999999997E-2</v>
      </c>
      <c r="AH4407">
        <v>0.54244134709543801</v>
      </c>
      <c r="AI4407">
        <v>97.342475802469394</v>
      </c>
      <c r="AJ4407">
        <v>87.513203690638306</v>
      </c>
      <c r="AK4407">
        <v>0.54744171195118396</v>
      </c>
      <c r="AL4407">
        <v>90.2364742667218</v>
      </c>
      <c r="AM4407">
        <v>85.976663488623203</v>
      </c>
      <c r="AN4407">
        <v>1.0000000404357701</v>
      </c>
    </row>
    <row r="4408" spans="1:40" x14ac:dyDescent="0.25">
      <c r="A4408" t="str">
        <f>"20190312154924017"</f>
        <v>20190312154924017</v>
      </c>
      <c r="B4408" t="str">
        <f>"1552376964010485"</f>
        <v>1552376964010485</v>
      </c>
      <c r="C4408" t="s">
        <v>40</v>
      </c>
      <c r="D4408">
        <v>4.7992150000000002</v>
      </c>
      <c r="E4408">
        <v>0.48414629999999997</v>
      </c>
      <c r="F4408" t="s">
        <v>41</v>
      </c>
      <c r="G4408">
        <v>-248.2885</v>
      </c>
      <c r="H4408">
        <v>1.0428770000000001</v>
      </c>
      <c r="I4408">
        <v>140.78440000000001</v>
      </c>
      <c r="J4408">
        <v>-247.76679999999999</v>
      </c>
      <c r="K4408">
        <v>1.107259</v>
      </c>
      <c r="L4408">
        <v>140.76429999999999</v>
      </c>
      <c r="M4408">
        <v>-0.99995990000000001</v>
      </c>
      <c r="N4408">
        <v>0</v>
      </c>
      <c r="O4408">
        <v>-4.8106879999999996E-3</v>
      </c>
      <c r="P4408">
        <v>-0.99780800000000003</v>
      </c>
      <c r="Q4408">
        <v>-1.0746220000000001E-2</v>
      </c>
      <c r="R4408">
        <v>6.529712E-2</v>
      </c>
      <c r="S4408">
        <v>-3.0000610000000001</v>
      </c>
      <c r="T4408">
        <v>-0.21240210000000001</v>
      </c>
      <c r="U4408">
        <v>6.1172490000000003E-2</v>
      </c>
      <c r="V4408">
        <v>7.0084649999999998E-2</v>
      </c>
      <c r="W4408">
        <v>-3.456088E-3</v>
      </c>
      <c r="X4408">
        <v>0.99753499999999995</v>
      </c>
      <c r="Y4408">
        <v>2.5120880000000002E-2</v>
      </c>
      <c r="Z4408">
        <v>1.228212E-3</v>
      </c>
      <c r="AA4408">
        <v>0.99968369999999995</v>
      </c>
      <c r="AB4408">
        <v>39</v>
      </c>
      <c r="AC4408">
        <v>-0.52170000000000905</v>
      </c>
      <c r="AD4408">
        <v>-6.4381999999999898E-2</v>
      </c>
      <c r="AE4408">
        <v>2.0100000000013499E-2</v>
      </c>
      <c r="AF4408">
        <v>2.22709017031077E-2</v>
      </c>
      <c r="AG4408">
        <v>-6.4381999999999898E-2</v>
      </c>
      <c r="AH4408">
        <v>0.51378415819482304</v>
      </c>
      <c r="AI4408">
        <v>97.135840352999196</v>
      </c>
      <c r="AJ4408">
        <v>87.517964777879598</v>
      </c>
      <c r="AK4408">
        <v>0.51828100119397802</v>
      </c>
      <c r="AL4408">
        <v>90.198019662222904</v>
      </c>
      <c r="AM4408">
        <v>85.981126468170899</v>
      </c>
      <c r="AN4408">
        <v>0.99999993946744103</v>
      </c>
    </row>
    <row r="4409" spans="1:40" x14ac:dyDescent="0.25">
      <c r="A4409" t="str">
        <f>"20190312154924040"</f>
        <v>20190312154924040</v>
      </c>
      <c r="B4409" t="str">
        <f>"1552376964030003"</f>
        <v>1552376964030003</v>
      </c>
      <c r="C4409" t="s">
        <v>40</v>
      </c>
      <c r="D4409">
        <v>4.791703</v>
      </c>
      <c r="E4409">
        <v>0.48386109999999999</v>
      </c>
      <c r="F4409" t="s">
        <v>41</v>
      </c>
      <c r="G4409">
        <v>-248.64500000000001</v>
      </c>
      <c r="H4409">
        <v>1.0456000000000001</v>
      </c>
      <c r="I4409">
        <v>140.7826</v>
      </c>
      <c r="J4409">
        <v>-248.1807</v>
      </c>
      <c r="K4409">
        <v>1.1073569999999999</v>
      </c>
      <c r="L4409">
        <v>140.76339999999999</v>
      </c>
      <c r="M4409">
        <v>-0.99996300000000005</v>
      </c>
      <c r="N4409">
        <v>0</v>
      </c>
      <c r="O4409">
        <v>-3.5655449999999998E-3</v>
      </c>
      <c r="P4409">
        <v>-0.99775559999999996</v>
      </c>
      <c r="Q4409">
        <v>-1.0726660000000001E-2</v>
      </c>
      <c r="R4409">
        <v>6.6096680000000005E-2</v>
      </c>
      <c r="S4409">
        <v>-3.0002439999999999</v>
      </c>
      <c r="T4409">
        <v>-0.2106558</v>
      </c>
      <c r="U4409">
        <v>6.2225339999999997E-2</v>
      </c>
      <c r="V4409">
        <v>6.96436E-2</v>
      </c>
      <c r="W4409">
        <v>-3.139321E-3</v>
      </c>
      <c r="X4409">
        <v>0.99756699999999998</v>
      </c>
      <c r="Y4409">
        <v>2.4231989999999998E-2</v>
      </c>
      <c r="Z4409">
        <v>1.099584E-3</v>
      </c>
      <c r="AA4409">
        <v>0.99970570000000003</v>
      </c>
      <c r="AB4409">
        <v>39</v>
      </c>
      <c r="AC4409">
        <v>-0.46430000000000798</v>
      </c>
      <c r="AD4409">
        <v>-6.1756999999999798E-2</v>
      </c>
      <c r="AE4409">
        <v>1.9200000000011999E-2</v>
      </c>
      <c r="AF4409">
        <v>2.0493461447396898E-2</v>
      </c>
      <c r="AG4409">
        <v>-6.1756999999999798E-2</v>
      </c>
      <c r="AH4409">
        <v>0.45617180923599199</v>
      </c>
      <c r="AI4409">
        <v>97.702211020595001</v>
      </c>
      <c r="AJ4409">
        <v>87.427723838619997</v>
      </c>
      <c r="AK4409">
        <v>0.46078913675642802</v>
      </c>
      <c r="AL4409">
        <v>90.179870138758602</v>
      </c>
      <c r="AM4409">
        <v>86.006463256630695</v>
      </c>
      <c r="AN4409">
        <v>1.0000000029231499</v>
      </c>
    </row>
    <row r="4410" spans="1:40" x14ac:dyDescent="0.25">
      <c r="A4410" t="str">
        <f>"20190312154924062"</f>
        <v>20190312154924062</v>
      </c>
      <c r="B4410" t="str">
        <f>"1552376964050498"</f>
        <v>1552376964050498</v>
      </c>
      <c r="C4410" t="s">
        <v>40</v>
      </c>
      <c r="D4410">
        <v>4.7848119999999996</v>
      </c>
      <c r="E4410">
        <v>0.48357359999999999</v>
      </c>
      <c r="F4410" t="s">
        <v>41</v>
      </c>
      <c r="G4410">
        <v>-249.01079999999999</v>
      </c>
      <c r="H4410">
        <v>1.0492680000000001</v>
      </c>
      <c r="I4410">
        <v>140.7807</v>
      </c>
      <c r="J4410">
        <v>-248.56010000000001</v>
      </c>
      <c r="K4410">
        <v>1.107451</v>
      </c>
      <c r="L4410">
        <v>140.7629</v>
      </c>
      <c r="M4410">
        <v>-0.99996430000000003</v>
      </c>
      <c r="N4410">
        <v>0</v>
      </c>
      <c r="O4410">
        <v>-2.5080710000000002E-3</v>
      </c>
      <c r="P4410">
        <v>-0.99774220000000002</v>
      </c>
      <c r="Q4410">
        <v>-1.0717040000000001E-2</v>
      </c>
      <c r="R4410">
        <v>6.6303470000000003E-2</v>
      </c>
      <c r="S4410">
        <v>-3.0003359999999999</v>
      </c>
      <c r="T4410">
        <v>-0.20995</v>
      </c>
      <c r="U4410">
        <v>6.2545779999999995E-2</v>
      </c>
      <c r="V4410">
        <v>6.8796899999999994E-2</v>
      </c>
      <c r="W4410">
        <v>-2.864943E-3</v>
      </c>
      <c r="X4410">
        <v>0.99762660000000003</v>
      </c>
      <c r="Y4410">
        <v>2.3286230000000002E-2</v>
      </c>
      <c r="Z4410">
        <v>9.8892659999999999E-4</v>
      </c>
      <c r="AA4410">
        <v>0.99972830000000001</v>
      </c>
      <c r="AB4410">
        <v>40</v>
      </c>
      <c r="AC4410">
        <v>-0.450699999999983</v>
      </c>
      <c r="AD4410">
        <v>-5.8182999999999797E-2</v>
      </c>
      <c r="AE4410">
        <v>1.7799999999994001E-2</v>
      </c>
      <c r="AF4410">
        <v>1.86205321007533E-2</v>
      </c>
      <c r="AG4410">
        <v>-5.8182999999999797E-2</v>
      </c>
      <c r="AH4410">
        <v>0.44327801351733298</v>
      </c>
      <c r="AI4410">
        <v>97.471166944288896</v>
      </c>
      <c r="AJ4410">
        <v>87.594622300176994</v>
      </c>
      <c r="AK4410">
        <v>0.44746774517565902</v>
      </c>
      <c r="AL4410">
        <v>90.164149362536705</v>
      </c>
      <c r="AM4410">
        <v>86.055095827182996</v>
      </c>
      <c r="AN4410">
        <v>1.00000002718778</v>
      </c>
    </row>
    <row r="4411" spans="1:40" x14ac:dyDescent="0.25">
      <c r="A4411" t="str">
        <f>"20190312154924084"</f>
        <v>20190312154924084</v>
      </c>
      <c r="B4411" t="str">
        <f>"1552376964080754"</f>
        <v>1552376964080754</v>
      </c>
      <c r="C4411" t="s">
        <v>40</v>
      </c>
      <c r="D4411">
        <v>4.7762710000000004</v>
      </c>
      <c r="E4411">
        <v>0.48316530000000002</v>
      </c>
      <c r="F4411" t="s">
        <v>42</v>
      </c>
      <c r="G4411">
        <v>-264.4744</v>
      </c>
      <c r="H4411" s="1">
        <v>-2.7438540000000001E-6</v>
      </c>
      <c r="I4411">
        <v>141.08590000000001</v>
      </c>
      <c r="J4411">
        <v>-248.95760000000001</v>
      </c>
      <c r="K4411">
        <v>1.107558</v>
      </c>
      <c r="L4411">
        <v>140.7628</v>
      </c>
      <c r="M4411">
        <v>-0.99996390000000002</v>
      </c>
      <c r="N4411">
        <v>0</v>
      </c>
      <c r="O4411">
        <v>-1.4853430000000001E-3</v>
      </c>
      <c r="P4411">
        <v>-0.99772260000000002</v>
      </c>
      <c r="Q4411">
        <v>-1.0834140000000001E-2</v>
      </c>
      <c r="R4411">
        <v>6.6574830000000002E-2</v>
      </c>
      <c r="S4411">
        <v>-3.0005190000000002</v>
      </c>
      <c r="T4411">
        <v>-0.2088033</v>
      </c>
      <c r="U4411">
        <v>6.0913090000000003E-2</v>
      </c>
      <c r="V4411">
        <v>6.8048910000000004E-2</v>
      </c>
      <c r="W4411">
        <v>-2.7022460000000002E-3</v>
      </c>
      <c r="X4411">
        <v>0.99767830000000002</v>
      </c>
      <c r="Y4411">
        <v>2.1725629999999999E-2</v>
      </c>
      <c r="Z4411">
        <v>8.5817479999999904E-4</v>
      </c>
      <c r="AA4411">
        <v>0.99976359999999997</v>
      </c>
      <c r="AB4411">
        <v>40</v>
      </c>
      <c r="AC4411">
        <v>-15.5167999999999</v>
      </c>
      <c r="AD4411">
        <v>-1.1075607438540001</v>
      </c>
      <c r="AE4411">
        <v>0.32310000000000999</v>
      </c>
      <c r="AF4411">
        <v>0.34439434585738199</v>
      </c>
      <c r="AG4411">
        <v>-1.1075607438540001</v>
      </c>
      <c r="AH4411">
        <v>15.437684463508299</v>
      </c>
      <c r="AI4411">
        <v>94.102578286040796</v>
      </c>
      <c r="AJ4411">
        <v>88.722018830984794</v>
      </c>
      <c r="AK4411">
        <v>15.481195039842101</v>
      </c>
      <c r="AL4411">
        <v>90.154827483570699</v>
      </c>
      <c r="AM4411">
        <v>86.098054908046095</v>
      </c>
      <c r="AN4411">
        <v>0.99999997328825996</v>
      </c>
    </row>
    <row r="4412" spans="1:40" x14ac:dyDescent="0.25">
      <c r="A4412" t="str">
        <f>"20190312154924107"</f>
        <v>20190312154924107</v>
      </c>
      <c r="B4412" t="str">
        <f>"1552376964100362"</f>
        <v>1552376964100362</v>
      </c>
      <c r="C4412" t="s">
        <v>40</v>
      </c>
      <c r="D4412">
        <v>4.753889</v>
      </c>
      <c r="E4412">
        <v>0.48294789999999999</v>
      </c>
      <c r="F4412" t="s">
        <v>42</v>
      </c>
      <c r="G4412">
        <v>-264.93049999999999</v>
      </c>
      <c r="H4412" s="1">
        <v>-2.5451579999999999E-6</v>
      </c>
      <c r="I4412">
        <v>141.0746</v>
      </c>
      <c r="J4412">
        <v>-249.36070000000001</v>
      </c>
      <c r="K4412">
        <v>1.1076710000000001</v>
      </c>
      <c r="L4412">
        <v>140.76300000000001</v>
      </c>
      <c r="M4412">
        <v>-0.99996229999999997</v>
      </c>
      <c r="N4412">
        <v>0</v>
      </c>
      <c r="O4412">
        <v>-5.3613789999999999E-4</v>
      </c>
      <c r="P4412">
        <v>-0.99768440000000003</v>
      </c>
      <c r="Q4412">
        <v>-1.14015E-2</v>
      </c>
      <c r="R4412">
        <v>6.7050960000000007E-2</v>
      </c>
      <c r="S4412">
        <v>-3.0006870000000001</v>
      </c>
      <c r="T4412">
        <v>-0.20806769999999999</v>
      </c>
      <c r="U4412">
        <v>5.859375E-2</v>
      </c>
      <c r="V4412">
        <v>6.7577750000000006E-2</v>
      </c>
      <c r="W4412">
        <v>-2.9535439999999998E-3</v>
      </c>
      <c r="X4412">
        <v>0.99770959999999997</v>
      </c>
      <c r="Y4412">
        <v>2.0009800000000001E-2</v>
      </c>
      <c r="Z4412">
        <v>7.2997169999999996E-4</v>
      </c>
      <c r="AA4412">
        <v>0.99979949999999995</v>
      </c>
      <c r="AB4412">
        <v>40</v>
      </c>
      <c r="AC4412">
        <v>-15.569799999999899</v>
      </c>
      <c r="AD4412">
        <v>-1.10767354515799</v>
      </c>
      <c r="AE4412">
        <v>0.31159999999999799</v>
      </c>
      <c r="AF4412">
        <v>0.31833729013176598</v>
      </c>
      <c r="AG4412">
        <v>-1.10767354515799</v>
      </c>
      <c r="AH4412">
        <v>15.491257013744599</v>
      </c>
      <c r="AI4412">
        <v>94.089007295242993</v>
      </c>
      <c r="AJ4412">
        <v>88.822767162300707</v>
      </c>
      <c r="AK4412">
        <v>15.5340697558245</v>
      </c>
      <c r="AL4412">
        <v>90.169225858474306</v>
      </c>
      <c r="AM4412">
        <v>86.125109967741196</v>
      </c>
      <c r="AN4412">
        <v>0.99999996082469</v>
      </c>
    </row>
    <row r="4413" spans="1:40" x14ac:dyDescent="0.25">
      <c r="A4413" t="str">
        <f>"20190312154924127"</f>
        <v>20190312154924127</v>
      </c>
      <c r="B4413" t="str">
        <f>"1552376964119881"</f>
        <v>1552376964119881</v>
      </c>
      <c r="C4413" t="s">
        <v>40</v>
      </c>
      <c r="D4413">
        <v>4.7710869999999996</v>
      </c>
      <c r="E4413">
        <v>0.48273310000000003</v>
      </c>
      <c r="F4413" t="s">
        <v>41</v>
      </c>
      <c r="G4413">
        <v>-250.41050000000001</v>
      </c>
      <c r="H4413">
        <v>1.0345059999999999</v>
      </c>
      <c r="I4413">
        <v>140.78360000000001</v>
      </c>
      <c r="J4413">
        <v>-249.7294</v>
      </c>
      <c r="K4413">
        <v>1.1077859999999999</v>
      </c>
      <c r="L4413">
        <v>140.76349999999999</v>
      </c>
      <c r="M4413">
        <v>-0.9999595</v>
      </c>
      <c r="N4413">
        <v>0</v>
      </c>
      <c r="O4413">
        <v>2.6662350000000002E-4</v>
      </c>
      <c r="P4413">
        <v>-0.99762580000000001</v>
      </c>
      <c r="Q4413">
        <v>-1.2303359999999999E-2</v>
      </c>
      <c r="R4413">
        <v>6.7761890000000005E-2</v>
      </c>
      <c r="S4413">
        <v>-3.0006560000000002</v>
      </c>
      <c r="T4413">
        <v>-0.20917279999999999</v>
      </c>
      <c r="U4413">
        <v>5.8609010000000003E-2</v>
      </c>
      <c r="V4413">
        <v>6.7486669999999999E-2</v>
      </c>
      <c r="W4413">
        <v>-3.511489E-3</v>
      </c>
      <c r="X4413">
        <v>0.99771399999999999</v>
      </c>
      <c r="Y4413">
        <v>1.921579E-2</v>
      </c>
      <c r="Z4413">
        <v>6.5031949999999996E-4</v>
      </c>
      <c r="AA4413">
        <v>0.99981520000000002</v>
      </c>
      <c r="AB4413">
        <v>40</v>
      </c>
      <c r="AC4413">
        <v>-0.68110000000001403</v>
      </c>
      <c r="AD4413">
        <v>-7.3280000000000206E-2</v>
      </c>
      <c r="AE4413">
        <v>2.0100000000013499E-2</v>
      </c>
      <c r="AF4413">
        <v>1.96906588514889E-2</v>
      </c>
      <c r="AG4413">
        <v>-7.3280000000000206E-2</v>
      </c>
      <c r="AH4413">
        <v>0.67331795647008297</v>
      </c>
      <c r="AI4413">
        <v>96.208657932467602</v>
      </c>
      <c r="AJ4413">
        <v>88.324907002561702</v>
      </c>
      <c r="AK4413">
        <v>0.67758006977113405</v>
      </c>
      <c r="AL4413">
        <v>90.2011939122781</v>
      </c>
      <c r="AM4413">
        <v>86.130333606517993</v>
      </c>
      <c r="AN4413">
        <v>1.0000000034893399</v>
      </c>
    </row>
    <row r="4414" spans="1:40" x14ac:dyDescent="0.25">
      <c r="A4414" t="str">
        <f>"20190312154924151"</f>
        <v>20190312154924151</v>
      </c>
      <c r="B4414" t="str">
        <f>"1552376964140381"</f>
        <v>1552376964140381</v>
      </c>
      <c r="C4414" t="s">
        <v>40</v>
      </c>
      <c r="D4414">
        <v>4.7073039999999997</v>
      </c>
      <c r="E4414">
        <v>0.4826799</v>
      </c>
      <c r="F4414" t="s">
        <v>41</v>
      </c>
      <c r="G4414">
        <v>-250.7654</v>
      </c>
      <c r="H4414">
        <v>1.034859</v>
      </c>
      <c r="I4414">
        <v>140.78399999999999</v>
      </c>
      <c r="J4414">
        <v>-250.14449999999999</v>
      </c>
      <c r="K4414">
        <v>1.1079129999999999</v>
      </c>
      <c r="L4414">
        <v>140.76439999999999</v>
      </c>
      <c r="M4414">
        <v>-0.99995509999999999</v>
      </c>
      <c r="N4414">
        <v>0</v>
      </c>
      <c r="O4414">
        <v>1.1016349999999999E-3</v>
      </c>
      <c r="P4414">
        <v>-0.99760070000000001</v>
      </c>
      <c r="Q4414">
        <v>-1.308047E-2</v>
      </c>
      <c r="R4414">
        <v>6.7986350000000001E-2</v>
      </c>
      <c r="S4414">
        <v>-3.0005190000000002</v>
      </c>
      <c r="T4414">
        <v>-0.21125840000000001</v>
      </c>
      <c r="U4414">
        <v>5.9066769999999998E-2</v>
      </c>
      <c r="V4414">
        <v>6.6877720000000002E-2</v>
      </c>
      <c r="W4414">
        <v>-3.8552959999999998E-3</v>
      </c>
      <c r="X4414">
        <v>0.99775369999999997</v>
      </c>
      <c r="Y4414">
        <v>1.8537080000000001E-2</v>
      </c>
      <c r="Z4414">
        <v>5.7424039999999998E-4</v>
      </c>
      <c r="AA4414">
        <v>0.99982800000000005</v>
      </c>
      <c r="AB4414">
        <v>40</v>
      </c>
      <c r="AC4414">
        <v>-0.620900000000006</v>
      </c>
      <c r="AD4414">
        <v>-7.3053999999999897E-2</v>
      </c>
      <c r="AE4414">
        <v>1.9599999999996901E-2</v>
      </c>
      <c r="AF4414">
        <v>1.8657919579335099E-2</v>
      </c>
      <c r="AG4414">
        <v>-7.3053999999999897E-2</v>
      </c>
      <c r="AH4414">
        <v>0.61245121194719898</v>
      </c>
      <c r="AI4414">
        <v>96.799053450298103</v>
      </c>
      <c r="AJ4414">
        <v>88.255061792613304</v>
      </c>
      <c r="AK4414">
        <v>0.61707494836091203</v>
      </c>
      <c r="AL4414">
        <v>90.220892743556405</v>
      </c>
      <c r="AM4414">
        <v>86.165298098882303</v>
      </c>
      <c r="AN4414">
        <v>0.99999996930166701</v>
      </c>
    </row>
    <row r="4415" spans="1:40" x14ac:dyDescent="0.25">
      <c r="A4415" t="str">
        <f>"20190312154924172"</f>
        <v>20190312154924172</v>
      </c>
      <c r="B4415" t="str">
        <f>"1552376964159897"</f>
        <v>1552376964159897</v>
      </c>
      <c r="C4415" t="s">
        <v>40</v>
      </c>
      <c r="D4415">
        <v>4.696224</v>
      </c>
      <c r="E4415">
        <v>0.48262890000000003</v>
      </c>
      <c r="F4415" t="s">
        <v>41</v>
      </c>
      <c r="G4415">
        <v>-251.12209999999999</v>
      </c>
      <c r="H4415">
        <v>1.038931</v>
      </c>
      <c r="I4415">
        <v>140.78399999999999</v>
      </c>
      <c r="J4415">
        <v>-250.53030000000001</v>
      </c>
      <c r="K4415">
        <v>1.1080429999999999</v>
      </c>
      <c r="L4415">
        <v>140.7655</v>
      </c>
      <c r="M4415">
        <v>-0.99994959999999999</v>
      </c>
      <c r="N4415">
        <v>0</v>
      </c>
      <c r="O4415">
        <v>1.8163299999999999E-3</v>
      </c>
      <c r="P4415">
        <v>-0.99757750000000001</v>
      </c>
      <c r="Q4415">
        <v>-1.284624E-2</v>
      </c>
      <c r="R4415">
        <v>6.8368529999999997E-2</v>
      </c>
      <c r="S4415">
        <v>-3.000397</v>
      </c>
      <c r="T4415">
        <v>-0.21178040000000001</v>
      </c>
      <c r="U4415">
        <v>5.9341430000000001E-2</v>
      </c>
      <c r="V4415">
        <v>6.6548990000000002E-2</v>
      </c>
      <c r="W4415">
        <v>-3.1611930000000001E-3</v>
      </c>
      <c r="X4415">
        <v>0.99777819999999995</v>
      </c>
      <c r="Y4415">
        <v>1.7917860000000001E-2</v>
      </c>
      <c r="Z4415">
        <v>5.0347330000000004E-4</v>
      </c>
      <c r="AA4415">
        <v>0.99983929999999999</v>
      </c>
      <c r="AB4415">
        <v>40</v>
      </c>
      <c r="AC4415">
        <v>-0.59179999999997701</v>
      </c>
      <c r="AD4415">
        <v>-6.9112000000000007E-2</v>
      </c>
      <c r="AE4415">
        <v>1.84999999999888E-2</v>
      </c>
      <c r="AF4415">
        <v>1.7190790460758401E-2</v>
      </c>
      <c r="AG4415">
        <v>-6.9112000000000007E-2</v>
      </c>
      <c r="AH4415">
        <v>0.58387736622375697</v>
      </c>
      <c r="AI4415">
        <v>96.747641017815994</v>
      </c>
      <c r="AJ4415">
        <v>88.313558055587194</v>
      </c>
      <c r="AK4415">
        <v>0.58820470128098801</v>
      </c>
      <c r="AL4415">
        <v>90.181123309952795</v>
      </c>
      <c r="AM4415">
        <v>86.184184745876493</v>
      </c>
      <c r="AN4415">
        <v>1.0000000488032199</v>
      </c>
    </row>
    <row r="4416" spans="1:40" x14ac:dyDescent="0.25">
      <c r="A4416" t="str">
        <f>"20190312154924195"</f>
        <v>20190312154924195</v>
      </c>
      <c r="B4416" t="str">
        <f>"1552376964190153"</f>
        <v>1552376964190153</v>
      </c>
      <c r="C4416" t="s">
        <v>40</v>
      </c>
      <c r="D4416">
        <v>4.7064329999999996</v>
      </c>
      <c r="E4416">
        <v>0.48254900000000001</v>
      </c>
      <c r="F4416" t="s">
        <v>41</v>
      </c>
      <c r="G4416">
        <v>-251.47880000000001</v>
      </c>
      <c r="H4416">
        <v>1.0417780000000001</v>
      </c>
      <c r="I4416">
        <v>140.78460000000001</v>
      </c>
      <c r="J4416">
        <v>-250.92230000000001</v>
      </c>
      <c r="K4416">
        <v>1.1081909999999999</v>
      </c>
      <c r="L4416">
        <v>140.76689999999999</v>
      </c>
      <c r="M4416">
        <v>-0.99994300000000003</v>
      </c>
      <c r="N4416">
        <v>0</v>
      </c>
      <c r="O4416">
        <v>2.4951309999999998E-3</v>
      </c>
      <c r="P4416">
        <v>-0.99758119999999995</v>
      </c>
      <c r="Q4416">
        <v>-1.2946579999999999E-2</v>
      </c>
      <c r="R4416">
        <v>6.8294560000000004E-2</v>
      </c>
      <c r="S4416">
        <v>-3.0004580000000001</v>
      </c>
      <c r="T4416">
        <v>-0.2096065</v>
      </c>
      <c r="U4416">
        <v>6.0287479999999997E-2</v>
      </c>
      <c r="V4416">
        <v>6.5799040000000003E-2</v>
      </c>
      <c r="W4416">
        <v>-2.7436829999999998E-3</v>
      </c>
      <c r="X4416">
        <v>0.99782910000000002</v>
      </c>
      <c r="Y4416">
        <v>1.755719E-2</v>
      </c>
      <c r="Z4416">
        <v>4.3836500000000002E-4</v>
      </c>
      <c r="AA4416">
        <v>0.99984569999999995</v>
      </c>
      <c r="AB4416">
        <v>40</v>
      </c>
      <c r="AC4416">
        <v>-0.556499999999999</v>
      </c>
      <c r="AD4416">
        <v>-6.6412999999999806E-2</v>
      </c>
      <c r="AE4416">
        <v>1.77000000000191E-2</v>
      </c>
      <c r="AF4416">
        <v>1.6082511442550799E-2</v>
      </c>
      <c r="AG4416">
        <v>-6.6412999999999806E-2</v>
      </c>
      <c r="AH4416">
        <v>0.548735157784912</v>
      </c>
      <c r="AI4416">
        <v>96.897966976547295</v>
      </c>
      <c r="AJ4416">
        <v>88.321236912897803</v>
      </c>
      <c r="AK4416">
        <v>0.55297342353184797</v>
      </c>
      <c r="AL4416">
        <v>90.157201657047096</v>
      </c>
      <c r="AM4416">
        <v>86.2272527079909</v>
      </c>
      <c r="AN4416">
        <v>0.99999997713406696</v>
      </c>
    </row>
    <row r="4417" spans="1:40" x14ac:dyDescent="0.25">
      <c r="A4417" t="str">
        <f>"20190312154924217"</f>
        <v>20190312154924217</v>
      </c>
      <c r="B4417" t="str">
        <f>"1552376964210650"</f>
        <v>1552376964210650</v>
      </c>
      <c r="C4417" t="s">
        <v>40</v>
      </c>
      <c r="D4417">
        <v>4.7725730000000004</v>
      </c>
      <c r="E4417">
        <v>0.4824387</v>
      </c>
      <c r="F4417" t="s">
        <v>41</v>
      </c>
      <c r="G4417">
        <v>-251.83539999999999</v>
      </c>
      <c r="H4417">
        <v>1.04498</v>
      </c>
      <c r="I4417">
        <v>140.7852</v>
      </c>
      <c r="J4417">
        <v>-251.3116</v>
      </c>
      <c r="K4417">
        <v>1.108328</v>
      </c>
      <c r="L4417">
        <v>140.76849999999999</v>
      </c>
      <c r="M4417">
        <v>-0.99993600000000005</v>
      </c>
      <c r="N4417">
        <v>0</v>
      </c>
      <c r="O4417">
        <v>3.1361549999999998E-3</v>
      </c>
      <c r="P4417">
        <v>-0.99756460000000002</v>
      </c>
      <c r="Q4417">
        <v>-1.354809E-2</v>
      </c>
      <c r="R4417">
        <v>6.8421590000000004E-2</v>
      </c>
      <c r="S4417">
        <v>-3.0005190000000002</v>
      </c>
      <c r="T4417">
        <v>-0.20775489999999999</v>
      </c>
      <c r="U4417">
        <v>5.9539790000000002E-2</v>
      </c>
      <c r="V4417">
        <v>6.5286510000000006E-2</v>
      </c>
      <c r="W4417">
        <v>-2.8262309999999998E-3</v>
      </c>
      <c r="X4417">
        <v>0.99786260000000004</v>
      </c>
      <c r="Y4417">
        <v>1.667105E-2</v>
      </c>
      <c r="Z4417">
        <v>3.5952599999999999E-4</v>
      </c>
      <c r="AA4417">
        <v>0.99986090000000005</v>
      </c>
      <c r="AB4417">
        <v>40</v>
      </c>
      <c r="AC4417">
        <v>-0.52379999999999405</v>
      </c>
      <c r="AD4417">
        <v>-6.3347999999999904E-2</v>
      </c>
      <c r="AE4417">
        <v>1.6700000000014301E-2</v>
      </c>
      <c r="AF4417">
        <v>1.48402648855223E-2</v>
      </c>
      <c r="AG4417">
        <v>-6.3347999999999904E-2</v>
      </c>
      <c r="AH4417">
        <v>0.51630581912033002</v>
      </c>
      <c r="AI4417">
        <v>96.992070000641903</v>
      </c>
      <c r="AJ4417">
        <v>88.353591089729207</v>
      </c>
      <c r="AK4417">
        <v>0.52038918265408596</v>
      </c>
      <c r="AL4417">
        <v>90.161931316965294</v>
      </c>
      <c r="AM4417">
        <v>86.256681287902893</v>
      </c>
      <c r="AN4417">
        <v>1.0000000422241999</v>
      </c>
    </row>
    <row r="4418" spans="1:40" x14ac:dyDescent="0.25">
      <c r="A4418" t="str">
        <f>"20190312154924240"</f>
        <v>20190312154924240</v>
      </c>
      <c r="B4418" t="str">
        <f>"1552376964230169"</f>
        <v>1552376964230169</v>
      </c>
      <c r="C4418" t="s">
        <v>40</v>
      </c>
      <c r="D4418">
        <v>4.7668489999999997</v>
      </c>
      <c r="E4418">
        <v>0.48240759999999999</v>
      </c>
      <c r="F4418" t="s">
        <v>41</v>
      </c>
      <c r="G4418">
        <v>-252.1996</v>
      </c>
      <c r="H4418">
        <v>1.046395</v>
      </c>
      <c r="I4418">
        <v>140.786</v>
      </c>
      <c r="J4418">
        <v>-251.72819999999999</v>
      </c>
      <c r="K4418">
        <v>1.1084560000000001</v>
      </c>
      <c r="L4418">
        <v>140.7704</v>
      </c>
      <c r="M4418">
        <v>-0.99992789999999998</v>
      </c>
      <c r="N4418">
        <v>0</v>
      </c>
      <c r="O4418">
        <v>3.792672E-3</v>
      </c>
      <c r="P4418">
        <v>-0.99750050000000001</v>
      </c>
      <c r="Q4418">
        <v>-1.4656189999999999E-2</v>
      </c>
      <c r="R4418">
        <v>6.9122249999999996E-2</v>
      </c>
      <c r="S4418">
        <v>-3.0004270000000002</v>
      </c>
      <c r="T4418">
        <v>-0.20926110000000001</v>
      </c>
      <c r="U4418">
        <v>5.8914179999999997E-2</v>
      </c>
      <c r="V4418">
        <v>6.5331630000000002E-2</v>
      </c>
      <c r="W4418">
        <v>-3.412637E-3</v>
      </c>
      <c r="X4418">
        <v>0.99785769999999996</v>
      </c>
      <c r="Y4418">
        <v>1.580997E-2</v>
      </c>
      <c r="Z4418">
        <v>2.8641860000000002E-4</v>
      </c>
      <c r="AA4418">
        <v>0.99987490000000001</v>
      </c>
      <c r="AB4418">
        <v>39</v>
      </c>
      <c r="AC4418">
        <v>-0.47140000000001597</v>
      </c>
      <c r="AD4418">
        <v>-6.2060999999999901E-2</v>
      </c>
      <c r="AE4418">
        <v>1.5600000000006199E-2</v>
      </c>
      <c r="AF4418">
        <v>1.35768444540621E-2</v>
      </c>
      <c r="AG4418">
        <v>-6.2060999999999901E-2</v>
      </c>
      <c r="AH4418">
        <v>0.46343217968005501</v>
      </c>
      <c r="AI4418">
        <v>97.624211418201</v>
      </c>
      <c r="AJ4418">
        <v>88.321926085378607</v>
      </c>
      <c r="AK4418">
        <v>0.46776627025613599</v>
      </c>
      <c r="AL4418">
        <v>90.195530090577705</v>
      </c>
      <c r="AM4418">
        <v>86.2540832731829</v>
      </c>
      <c r="AN4418">
        <v>0.99999992870951704</v>
      </c>
    </row>
    <row r="4419" spans="1:40" x14ac:dyDescent="0.25">
      <c r="A4419" t="str">
        <f>"20190312154924264"</f>
        <v>20190312154924264</v>
      </c>
      <c r="B4419" t="str">
        <f>"1552376964250666"</f>
        <v>1552376964250666</v>
      </c>
      <c r="C4419" t="s">
        <v>40</v>
      </c>
      <c r="D4419">
        <v>4.8242820000000002</v>
      </c>
      <c r="E4419">
        <v>0.50109079999999995</v>
      </c>
      <c r="F4419" t="s">
        <v>42</v>
      </c>
      <c r="G4419">
        <v>-267.41849999999999</v>
      </c>
      <c r="H4419" s="1">
        <v>-1.4814539999999999E-6</v>
      </c>
      <c r="I4419">
        <v>141.0883</v>
      </c>
      <c r="J4419">
        <v>-252.13339999999999</v>
      </c>
      <c r="K4419">
        <v>1.108554</v>
      </c>
      <c r="L4419">
        <v>140.77260000000001</v>
      </c>
      <c r="M4419">
        <v>-0.99992009999999998</v>
      </c>
      <c r="N4419">
        <v>0</v>
      </c>
      <c r="O4419">
        <v>4.3995299999999996E-3</v>
      </c>
      <c r="P4419">
        <v>-0.99744449999999996</v>
      </c>
      <c r="Q4419">
        <v>-1.5848939999999999E-2</v>
      </c>
      <c r="R4419">
        <v>6.9666389999999995E-2</v>
      </c>
      <c r="S4419">
        <v>-3.0001829999999998</v>
      </c>
      <c r="T4419">
        <v>-0.2119509</v>
      </c>
      <c r="U4419">
        <v>6.0791020000000001E-2</v>
      </c>
      <c r="V4419">
        <v>6.5269460000000001E-2</v>
      </c>
      <c r="W4419">
        <v>-4.1435270000000001E-3</v>
      </c>
      <c r="X4419">
        <v>0.9978591</v>
      </c>
      <c r="Y4419">
        <v>1.5830670000000002E-2</v>
      </c>
      <c r="Z4419">
        <v>2.4802530000000002E-4</v>
      </c>
      <c r="AA4419">
        <v>0.99987470000000001</v>
      </c>
      <c r="AB4419">
        <v>39</v>
      </c>
      <c r="AC4419">
        <v>-15.2851</v>
      </c>
      <c r="AD4419">
        <v>-1.108555481454</v>
      </c>
      <c r="AE4419">
        <v>0.31569999999999199</v>
      </c>
      <c r="AF4419">
        <v>0.24714555668124399</v>
      </c>
      <c r="AG4419">
        <v>-1.108555481454</v>
      </c>
      <c r="AH4419">
        <v>15.206390940473099</v>
      </c>
      <c r="AI4419">
        <v>94.168973914274702</v>
      </c>
      <c r="AJ4419">
        <v>89.068868428707006</v>
      </c>
      <c r="AK4419">
        <v>15.248747542541</v>
      </c>
      <c r="AL4419">
        <v>90.237407282245002</v>
      </c>
      <c r="AM4419">
        <v>86.257643012717097</v>
      </c>
      <c r="AN4419">
        <v>1.0000000273387499</v>
      </c>
    </row>
    <row r="4420" spans="1:40" x14ac:dyDescent="0.25">
      <c r="A4420" t="str">
        <f>"20190312154924285"</f>
        <v>20190312154924285</v>
      </c>
      <c r="B4420" t="str">
        <f>"1552376964279945"</f>
        <v>1552376964279945</v>
      </c>
      <c r="C4420" t="s">
        <v>40</v>
      </c>
      <c r="D4420">
        <v>4.8409519999999997</v>
      </c>
      <c r="E4420">
        <v>0.51619879999999996</v>
      </c>
      <c r="F4420" t="s">
        <v>41</v>
      </c>
      <c r="G4420">
        <v>-252.87029999999999</v>
      </c>
      <c r="H4420">
        <v>1.005463</v>
      </c>
      <c r="I4420">
        <v>140.8228</v>
      </c>
      <c r="J4420">
        <v>-252.51429999999999</v>
      </c>
      <c r="K4420">
        <v>1.108633</v>
      </c>
      <c r="L4420">
        <v>140.7748</v>
      </c>
      <c r="M4420">
        <v>-0.99991289999999999</v>
      </c>
      <c r="N4420">
        <v>0</v>
      </c>
      <c r="O4420">
        <v>4.9387459999999999E-3</v>
      </c>
      <c r="P4420">
        <v>-0.99740700000000004</v>
      </c>
      <c r="Q4420">
        <v>-1.6067270000000002E-2</v>
      </c>
      <c r="R4420">
        <v>7.0152800000000001E-2</v>
      </c>
      <c r="S4420">
        <v>-2.986847</v>
      </c>
      <c r="T4420">
        <v>-0.41788359999999902</v>
      </c>
      <c r="U4420">
        <v>0.20343020000000001</v>
      </c>
      <c r="V4420">
        <v>6.5218780000000004E-2</v>
      </c>
      <c r="W4420">
        <v>-3.970749E-3</v>
      </c>
      <c r="X4420">
        <v>0.9978631</v>
      </c>
      <c r="Y4420">
        <v>6.2465060000000003E-2</v>
      </c>
      <c r="Z4420">
        <v>3.6566860000000001E-3</v>
      </c>
      <c r="AA4420">
        <v>0.99804040000000005</v>
      </c>
      <c r="AB4420">
        <v>39</v>
      </c>
      <c r="AC4420">
        <v>-0.35599999999999399</v>
      </c>
      <c r="AD4420">
        <v>-0.103169999999999</v>
      </c>
      <c r="AE4420">
        <v>4.8000000000001798E-2</v>
      </c>
      <c r="AF4420">
        <v>4.2717477066283899E-2</v>
      </c>
      <c r="AG4420">
        <v>-0.103169999999999</v>
      </c>
      <c r="AH4420">
        <v>0.32908748363946699</v>
      </c>
      <c r="AI4420">
        <v>107.27020726280099</v>
      </c>
      <c r="AJ4420">
        <v>82.604027842068803</v>
      </c>
      <c r="AK4420">
        <v>0.34751604802521702</v>
      </c>
      <c r="AL4420">
        <v>90.227507754500905</v>
      </c>
      <c r="AM4420">
        <v>86.260555552694797</v>
      </c>
      <c r="AN4420">
        <v>1.00000001122695</v>
      </c>
    </row>
    <row r="4421" spans="1:40" x14ac:dyDescent="0.25">
      <c r="A4421" t="str">
        <f>"20190312154924308"</f>
        <v>20190312154924308</v>
      </c>
      <c r="B4421" t="str">
        <f>"1552376964300442"</f>
        <v>1552376964300442</v>
      </c>
      <c r="C4421" t="s">
        <v>40</v>
      </c>
      <c r="D4421">
        <v>4.8098000000000001</v>
      </c>
      <c r="E4421">
        <v>0.519706</v>
      </c>
      <c r="F4421" t="s">
        <v>41</v>
      </c>
      <c r="G4421">
        <v>-253.5248</v>
      </c>
      <c r="H4421">
        <v>0.90467070000000005</v>
      </c>
      <c r="I4421">
        <v>140.88299999999899</v>
      </c>
      <c r="J4421">
        <v>-252.90860000000001</v>
      </c>
      <c r="K4421">
        <v>1.1087039999999999</v>
      </c>
      <c r="L4421">
        <v>140.7773</v>
      </c>
      <c r="M4421">
        <v>-0.99990579999999996</v>
      </c>
      <c r="N4421">
        <v>0</v>
      </c>
      <c r="O4421">
        <v>5.4656349999999999E-3</v>
      </c>
      <c r="P4421">
        <v>-0.99737909999999996</v>
      </c>
      <c r="Q4421">
        <v>-1.6514910000000001E-2</v>
      </c>
      <c r="R4421">
        <v>7.0442350000000001E-2</v>
      </c>
      <c r="S4421">
        <v>-2.9757389999999999</v>
      </c>
      <c r="T4421">
        <v>-0.60062159999999998</v>
      </c>
      <c r="U4421">
        <v>0.31837459999999901</v>
      </c>
      <c r="V4421">
        <v>6.4982789999999999E-2</v>
      </c>
      <c r="W4421">
        <v>-4.0572300000000002E-3</v>
      </c>
      <c r="X4421">
        <v>0.99787809999999999</v>
      </c>
      <c r="Y4421">
        <v>9.907995E-2</v>
      </c>
      <c r="Z4421">
        <v>8.7828119999999992E-3</v>
      </c>
      <c r="AA4421">
        <v>0.9950407</v>
      </c>
      <c r="AB4421">
        <v>39</v>
      </c>
      <c r="AC4421">
        <v>-0.61619999999999198</v>
      </c>
      <c r="AD4421">
        <v>-0.2040333</v>
      </c>
      <c r="AE4421">
        <v>0.105699999999984</v>
      </c>
      <c r="AF4421">
        <v>9.2480701924287603E-2</v>
      </c>
      <c r="AG4421">
        <v>-0.2040333</v>
      </c>
      <c r="AH4421">
        <v>0.55740311872085702</v>
      </c>
      <c r="AI4421">
        <v>109.854966793961</v>
      </c>
      <c r="AJ4421">
        <v>80.579669921182798</v>
      </c>
      <c r="AK4421">
        <v>0.60073330563323701</v>
      </c>
      <c r="AL4421">
        <v>90.232462801817704</v>
      </c>
      <c r="AM4421">
        <v>86.274104160389697</v>
      </c>
      <c r="AN4421">
        <v>0.99999996328553198</v>
      </c>
    </row>
    <row r="4422" spans="1:40" x14ac:dyDescent="0.25">
      <c r="A4422" t="str">
        <f>"20190312154924329"</f>
        <v>20190312154924329</v>
      </c>
      <c r="B4422" t="str">
        <f>"1552376964319961"</f>
        <v>1552376964319961</v>
      </c>
      <c r="C4422" t="s">
        <v>40</v>
      </c>
      <c r="D4422">
        <v>4.8301819999999998</v>
      </c>
      <c r="E4422">
        <v>0.52160430000000002</v>
      </c>
      <c r="F4422" t="s">
        <v>41</v>
      </c>
      <c r="G4422">
        <v>-253.87270000000001</v>
      </c>
      <c r="H4422">
        <v>0.8972194</v>
      </c>
      <c r="I4422">
        <v>140.8895</v>
      </c>
      <c r="J4422">
        <v>-253.28729999999999</v>
      </c>
      <c r="K4422">
        <v>1.108765</v>
      </c>
      <c r="L4422">
        <v>140.7799</v>
      </c>
      <c r="M4422">
        <v>-0.99989910000000004</v>
      </c>
      <c r="N4422">
        <v>0</v>
      </c>
      <c r="O4422">
        <v>5.9503949999999998E-3</v>
      </c>
      <c r="P4422">
        <v>-0.99736709999999995</v>
      </c>
      <c r="Q4422">
        <v>-1.69867E-2</v>
      </c>
      <c r="R4422">
        <v>7.0501670000000002E-2</v>
      </c>
      <c r="S4422">
        <v>-2.9727169999999998</v>
      </c>
      <c r="T4422">
        <v>-0.65213009999999905</v>
      </c>
      <c r="U4422">
        <v>0.34504699999999999</v>
      </c>
      <c r="V4422">
        <v>6.4558630000000006E-2</v>
      </c>
      <c r="W4422">
        <v>-4.2188690000000001E-3</v>
      </c>
      <c r="X4422">
        <v>0.99790500000000004</v>
      </c>
      <c r="Y4422">
        <v>0.1070127</v>
      </c>
      <c r="Z4422">
        <v>1.0276560000000001E-2</v>
      </c>
      <c r="AA4422">
        <v>0.99420450000000005</v>
      </c>
      <c r="AB4422">
        <v>39</v>
      </c>
      <c r="AC4422">
        <v>-0.58540000000002101</v>
      </c>
      <c r="AD4422">
        <v>-0.2115456</v>
      </c>
      <c r="AE4422">
        <v>0.1096</v>
      </c>
      <c r="AF4422">
        <v>9.4226307858464503E-2</v>
      </c>
      <c r="AG4422">
        <v>-0.2115456</v>
      </c>
      <c r="AH4422">
        <v>0.52038701302277601</v>
      </c>
      <c r="AI4422">
        <v>111.80197072753499</v>
      </c>
      <c r="AJ4422">
        <v>79.736672857057698</v>
      </c>
      <c r="AK4422">
        <v>0.56959001158268596</v>
      </c>
      <c r="AL4422">
        <v>90.241724104536402</v>
      </c>
      <c r="AM4422">
        <v>86.298455744447097</v>
      </c>
      <c r="AN4422">
        <v>1.0000000022940501</v>
      </c>
    </row>
    <row r="4423" spans="1:40" x14ac:dyDescent="0.25">
      <c r="A4423" t="str">
        <f>"20190312154924351"</f>
        <v>20190312154924351</v>
      </c>
      <c r="B4423" t="str">
        <f>"1552376964340461"</f>
        <v>1552376964340461</v>
      </c>
      <c r="C4423" t="s">
        <v>40</v>
      </c>
      <c r="D4423">
        <v>4.8368979999999997</v>
      </c>
      <c r="E4423">
        <v>0.52273789999999998</v>
      </c>
      <c r="F4423" t="s">
        <v>41</v>
      </c>
      <c r="G4423">
        <v>-254.22219999999999</v>
      </c>
      <c r="H4423">
        <v>0.89495579999999997</v>
      </c>
      <c r="I4423">
        <v>140.8929</v>
      </c>
      <c r="J4423">
        <v>-253.66749999999999</v>
      </c>
      <c r="K4423">
        <v>1.1088209999999901</v>
      </c>
      <c r="L4423">
        <v>140.7826</v>
      </c>
      <c r="M4423">
        <v>-0.99989280000000003</v>
      </c>
      <c r="N4423">
        <v>0</v>
      </c>
      <c r="O4423">
        <v>6.4157429999999998E-3</v>
      </c>
      <c r="P4423">
        <v>-0.99734279999999997</v>
      </c>
      <c r="Q4423">
        <v>-1.7102840000000001E-2</v>
      </c>
      <c r="R4423">
        <v>7.0815729999999993E-2</v>
      </c>
      <c r="S4423">
        <v>-2.9709780000000001</v>
      </c>
      <c r="T4423">
        <v>-0.67943560000000003</v>
      </c>
      <c r="U4423">
        <v>0.35908509999999999</v>
      </c>
      <c r="V4423">
        <v>6.4408939999999998E-2</v>
      </c>
      <c r="W4423">
        <v>-4.0592500000000004E-3</v>
      </c>
      <c r="X4423">
        <v>0.99791529999999995</v>
      </c>
      <c r="Y4423">
        <v>0.1109586</v>
      </c>
      <c r="Z4423">
        <v>1.103875E-2</v>
      </c>
      <c r="AA4423">
        <v>0.99376370000000003</v>
      </c>
      <c r="AB4423">
        <v>39</v>
      </c>
      <c r="AC4423">
        <v>-0.55469999999999597</v>
      </c>
      <c r="AD4423">
        <v>-0.21386519999999901</v>
      </c>
      <c r="AE4423">
        <v>0.110299999999995</v>
      </c>
      <c r="AF4423">
        <v>9.3384966013045398E-2</v>
      </c>
      <c r="AG4423">
        <v>-0.21386519999999901</v>
      </c>
      <c r="AH4423">
        <v>0.48591287850562498</v>
      </c>
      <c r="AI4423">
        <v>113.375019323052</v>
      </c>
      <c r="AJ4423">
        <v>79.121274950997503</v>
      </c>
      <c r="AK4423">
        <v>0.53904582471800999</v>
      </c>
      <c r="AL4423">
        <v>90.232578539265205</v>
      </c>
      <c r="AM4423">
        <v>86.307052628372602</v>
      </c>
      <c r="AN4423">
        <v>0.99999996751828701</v>
      </c>
    </row>
    <row r="4424" spans="1:40" x14ac:dyDescent="0.25">
      <c r="A4424" t="str">
        <f>"20190312154924373"</f>
        <v>20190312154924373</v>
      </c>
      <c r="B4424" t="str">
        <f>"1552376964359977"</f>
        <v>1552376964359977</v>
      </c>
      <c r="C4424" t="s">
        <v>40</v>
      </c>
      <c r="D4424">
        <v>4.8609019999999896</v>
      </c>
      <c r="E4424">
        <v>0.5237079</v>
      </c>
      <c r="F4424" t="s">
        <v>41</v>
      </c>
      <c r="G4424">
        <v>-254.57300000000001</v>
      </c>
      <c r="H4424">
        <v>0.89675280000000002</v>
      </c>
      <c r="I4424">
        <v>140.89519999999999</v>
      </c>
      <c r="J4424">
        <v>-254.05709999999999</v>
      </c>
      <c r="K4424">
        <v>1.1088720000000001</v>
      </c>
      <c r="L4424">
        <v>140.78559999999999</v>
      </c>
      <c r="M4424">
        <v>-0.99988650000000001</v>
      </c>
      <c r="N4424">
        <v>0</v>
      </c>
      <c r="O4424">
        <v>6.8675840000000004E-3</v>
      </c>
      <c r="P4424">
        <v>-0.99731610000000004</v>
      </c>
      <c r="Q4424">
        <v>-1.694615E-2</v>
      </c>
      <c r="R4424">
        <v>7.1227040000000005E-2</v>
      </c>
      <c r="S4424">
        <v>-2.9699249999999999</v>
      </c>
      <c r="T4424">
        <v>-0.69559969999999904</v>
      </c>
      <c r="U4424">
        <v>0.36808780000000002</v>
      </c>
      <c r="V4424">
        <v>6.4370419999999998E-2</v>
      </c>
      <c r="W4424">
        <v>-3.6535650000000001E-3</v>
      </c>
      <c r="X4424">
        <v>0.99791940000000001</v>
      </c>
      <c r="Y4424">
        <v>0.1133407</v>
      </c>
      <c r="Z4424">
        <v>1.146669E-2</v>
      </c>
      <c r="AA4424">
        <v>0.99348999999999998</v>
      </c>
      <c r="AB4424">
        <v>39</v>
      </c>
      <c r="AC4424">
        <v>-0.51589999999998704</v>
      </c>
      <c r="AD4424">
        <v>-0.21211919999999901</v>
      </c>
      <c r="AE4424">
        <v>0.1096</v>
      </c>
      <c r="AF4424">
        <v>9.1287850035892001E-2</v>
      </c>
      <c r="AG4424">
        <v>-0.21211919999999901</v>
      </c>
      <c r="AH4424">
        <v>0.44470703220295499</v>
      </c>
      <c r="AI4424">
        <v>115.04402804154</v>
      </c>
      <c r="AJ4424">
        <v>78.399677800521403</v>
      </c>
      <c r="AK4424">
        <v>0.50109118038893397</v>
      </c>
      <c r="AL4424">
        <v>90.209334317423199</v>
      </c>
      <c r="AM4424">
        <v>86.309270224386793</v>
      </c>
      <c r="AN4424">
        <v>1.00000001420227</v>
      </c>
    </row>
    <row r="4425" spans="1:40" x14ac:dyDescent="0.25">
      <c r="A4425" t="str">
        <f>"20190312154924398"</f>
        <v>20190312154924398</v>
      </c>
      <c r="B4425" t="str">
        <f>"1552376964390234"</f>
        <v>1552376964390234</v>
      </c>
      <c r="C4425" t="s">
        <v>40</v>
      </c>
      <c r="D4425">
        <v>4.8757140000000003</v>
      </c>
      <c r="E4425">
        <v>0.52461400000000002</v>
      </c>
      <c r="F4425" t="s">
        <v>41</v>
      </c>
      <c r="G4425">
        <v>-254.9247</v>
      </c>
      <c r="H4425">
        <v>0.90189779999999997</v>
      </c>
      <c r="I4425">
        <v>140.89570000000001</v>
      </c>
      <c r="J4425">
        <v>-254.48089999999999</v>
      </c>
      <c r="K4425">
        <v>1.108932</v>
      </c>
      <c r="L4425">
        <v>140.78899999999999</v>
      </c>
      <c r="M4425">
        <v>-0.99987999999999999</v>
      </c>
      <c r="N4425">
        <v>0</v>
      </c>
      <c r="O4425">
        <v>7.3252739999999997E-3</v>
      </c>
      <c r="P4425">
        <v>-0.99725629999999998</v>
      </c>
      <c r="Q4425">
        <v>-1.686153E-2</v>
      </c>
      <c r="R4425">
        <v>7.2081690000000004E-2</v>
      </c>
      <c r="S4425">
        <v>-2.969147</v>
      </c>
      <c r="T4425">
        <v>-0.70832530000000005</v>
      </c>
      <c r="U4425">
        <v>0.37649539999999998</v>
      </c>
      <c r="V4425">
        <v>6.4769720000000003E-2</v>
      </c>
      <c r="W4425">
        <v>-3.333117E-3</v>
      </c>
      <c r="X4425">
        <v>0.99789459999999996</v>
      </c>
      <c r="Y4425">
        <v>0.1155356</v>
      </c>
      <c r="Z4425">
        <v>1.18218E-2</v>
      </c>
      <c r="AA4425">
        <v>0.99323300000000003</v>
      </c>
      <c r="AB4425">
        <v>39</v>
      </c>
      <c r="AC4425">
        <v>-0.44380000000001002</v>
      </c>
      <c r="AD4425">
        <v>-0.207034199999999</v>
      </c>
      <c r="AE4425">
        <v>0.106700000000017</v>
      </c>
      <c r="AF4425">
        <v>8.5794990916871094E-2</v>
      </c>
      <c r="AG4425">
        <v>-0.207034199999999</v>
      </c>
      <c r="AH4425">
        <v>0.368713190225537</v>
      </c>
      <c r="AI4425">
        <v>118.674005981268</v>
      </c>
      <c r="AJ4425">
        <v>76.901069650217494</v>
      </c>
      <c r="AK4425">
        <v>0.43147810730367198</v>
      </c>
      <c r="AL4425">
        <v>90.190973903796902</v>
      </c>
      <c r="AM4425">
        <v>86.286347871594202</v>
      </c>
      <c r="AN4425">
        <v>0.99999992950348404</v>
      </c>
    </row>
    <row r="4426" spans="1:40" x14ac:dyDescent="0.25">
      <c r="A4426" t="str">
        <f>"20190312154924418"</f>
        <v>20190312154924418</v>
      </c>
      <c r="B4426" t="str">
        <f>"1552376964410729"</f>
        <v>1552376964410729</v>
      </c>
      <c r="C4426" t="s">
        <v>40</v>
      </c>
      <c r="D4426">
        <v>4.9086210000000001</v>
      </c>
      <c r="E4426">
        <v>0.52503140000000004</v>
      </c>
      <c r="F4426" t="s">
        <v>41</v>
      </c>
      <c r="G4426">
        <v>-255.27940000000001</v>
      </c>
      <c r="H4426">
        <v>0.91468850000000002</v>
      </c>
      <c r="I4426">
        <v>140.893</v>
      </c>
      <c r="J4426">
        <v>-254.85210000000001</v>
      </c>
      <c r="K4426">
        <v>1.1089830000000001</v>
      </c>
      <c r="L4426">
        <v>140.7921</v>
      </c>
      <c r="M4426">
        <v>-0.99987490000000001</v>
      </c>
      <c r="N4426">
        <v>0</v>
      </c>
      <c r="O4426">
        <v>7.69259099999999E-3</v>
      </c>
      <c r="P4426">
        <v>-0.99717719999999999</v>
      </c>
      <c r="Q4426">
        <v>-1.7276759999999999E-2</v>
      </c>
      <c r="R4426">
        <v>7.306841E-2</v>
      </c>
      <c r="S4426">
        <v>-2.9681549999999999</v>
      </c>
      <c r="T4426">
        <v>-0.72207670000000002</v>
      </c>
      <c r="U4426">
        <v>0.38560489999999997</v>
      </c>
      <c r="V4426">
        <v>6.5390359999999995E-2</v>
      </c>
      <c r="W4426">
        <v>-3.5686810000000002E-3</v>
      </c>
      <c r="X4426">
        <v>0.9978534</v>
      </c>
      <c r="Y4426">
        <v>0.1180336</v>
      </c>
      <c r="Z4426">
        <v>1.225714E-2</v>
      </c>
      <c r="AA4426">
        <v>0.99293390000000004</v>
      </c>
      <c r="AB4426">
        <v>39</v>
      </c>
      <c r="AC4426">
        <v>-0.42730000000000201</v>
      </c>
      <c r="AD4426">
        <v>-0.19429450000000001</v>
      </c>
      <c r="AE4426">
        <v>0.10089999999999499</v>
      </c>
      <c r="AF4426">
        <v>8.1624684304338502E-2</v>
      </c>
      <c r="AG4426">
        <v>-0.19429450000000001</v>
      </c>
      <c r="AH4426">
        <v>0.35796209716055599</v>
      </c>
      <c r="AI4426">
        <v>117.887608161957</v>
      </c>
      <c r="AJ4426">
        <v>77.154698172450296</v>
      </c>
      <c r="AK4426">
        <v>0.41539114677809003</v>
      </c>
      <c r="AL4426">
        <v>90.204470789384999</v>
      </c>
      <c r="AM4426">
        <v>86.250709363675199</v>
      </c>
      <c r="AN4426">
        <v>1.00000002127828</v>
      </c>
    </row>
    <row r="4427" spans="1:40" x14ac:dyDescent="0.25">
      <c r="A4427" t="str">
        <f>"20190312154924441"</f>
        <v>20190312154924441</v>
      </c>
      <c r="B4427" t="str">
        <f>"1552376964430250"</f>
        <v>1552376964430250</v>
      </c>
      <c r="C4427" t="s">
        <v>40</v>
      </c>
      <c r="D4427">
        <v>4.9403079999999999</v>
      </c>
      <c r="E4427">
        <v>0.52532990000000002</v>
      </c>
      <c r="F4427" t="s">
        <v>41</v>
      </c>
      <c r="G4427">
        <v>-255.62989999999999</v>
      </c>
      <c r="H4427">
        <v>0.91815590000000002</v>
      </c>
      <c r="I4427">
        <v>140.8948</v>
      </c>
      <c r="J4427">
        <v>-255.2567</v>
      </c>
      <c r="K4427">
        <v>1.1090390000000001</v>
      </c>
      <c r="L4427">
        <v>140.79560000000001</v>
      </c>
      <c r="M4427">
        <v>-0.99986969999999997</v>
      </c>
      <c r="N4427">
        <v>0</v>
      </c>
      <c r="O4427">
        <v>8.0548990000000008E-3</v>
      </c>
      <c r="P4427">
        <v>-0.99711439999999996</v>
      </c>
      <c r="Q4427">
        <v>-1.75970999999999E-2</v>
      </c>
      <c r="R4427">
        <v>7.3845899999999895E-2</v>
      </c>
      <c r="S4427">
        <v>-2.9671630000000002</v>
      </c>
      <c r="T4427">
        <v>-0.72808090000000003</v>
      </c>
      <c r="U4427">
        <v>0.39204410000000001</v>
      </c>
      <c r="V4427">
        <v>6.5807019999999994E-2</v>
      </c>
      <c r="W4427">
        <v>-3.7168560000000002E-3</v>
      </c>
      <c r="X4427">
        <v>0.99782539999999997</v>
      </c>
      <c r="Y4427">
        <v>0.1197423</v>
      </c>
      <c r="Z4427">
        <v>1.247699E-2</v>
      </c>
      <c r="AA4427">
        <v>0.99272660000000001</v>
      </c>
      <c r="AB4427">
        <v>39</v>
      </c>
      <c r="AC4427">
        <v>-0.37319999999999698</v>
      </c>
      <c r="AD4427">
        <v>-0.190883099999999</v>
      </c>
      <c r="AE4427">
        <v>9.9199999999996097E-2</v>
      </c>
      <c r="AF4427">
        <v>7.7302072882676098E-2</v>
      </c>
      <c r="AG4427">
        <v>-0.190883099999999</v>
      </c>
      <c r="AH4427">
        <v>0.30054945047484399</v>
      </c>
      <c r="AI4427">
        <v>121.595438464407</v>
      </c>
      <c r="AJ4427">
        <v>75.576021070429903</v>
      </c>
      <c r="AK4427">
        <v>0.364337673756502</v>
      </c>
      <c r="AL4427">
        <v>90.212960662021402</v>
      </c>
      <c r="AM4427">
        <v>86.226782526172997</v>
      </c>
      <c r="AN4427">
        <v>0.99999995389248097</v>
      </c>
    </row>
    <row r="4428" spans="1:40" x14ac:dyDescent="0.25">
      <c r="A4428" t="str">
        <f>"20190312154924464"</f>
        <v>20190312154924464</v>
      </c>
      <c r="B4428" t="str">
        <f>"1552376964449769"</f>
        <v>1552376964449769</v>
      </c>
      <c r="C4428" t="s">
        <v>40</v>
      </c>
      <c r="D4428">
        <v>4.9323110000000003</v>
      </c>
      <c r="E4428">
        <v>0.53596619999999995</v>
      </c>
      <c r="F4428" t="s">
        <v>41</v>
      </c>
      <c r="G4428">
        <v>-255.98349999999999</v>
      </c>
      <c r="H4428">
        <v>0.92963589999999996</v>
      </c>
      <c r="I4428">
        <v>140.8929</v>
      </c>
      <c r="J4428">
        <v>-255.64070000000001</v>
      </c>
      <c r="K4428">
        <v>1.109089</v>
      </c>
      <c r="L4428">
        <v>140.79900000000001</v>
      </c>
      <c r="M4428">
        <v>-0.99986540000000002</v>
      </c>
      <c r="N4428">
        <v>0</v>
      </c>
      <c r="O4428">
        <v>8.358865E-3</v>
      </c>
      <c r="P4428">
        <v>-0.99701719999999905</v>
      </c>
      <c r="Q4428">
        <v>-1.768807E-2</v>
      </c>
      <c r="R4428">
        <v>7.5124869999999996E-2</v>
      </c>
      <c r="S4428">
        <v>-2.966431</v>
      </c>
      <c r="T4428">
        <v>-0.7322805</v>
      </c>
      <c r="U4428">
        <v>0.39607239999999999</v>
      </c>
      <c r="V4428">
        <v>6.6783770000000006E-2</v>
      </c>
      <c r="W4428">
        <v>-3.666973E-3</v>
      </c>
      <c r="X4428">
        <v>0.99776069999999994</v>
      </c>
      <c r="Y4428">
        <v>0.1207387</v>
      </c>
      <c r="Z4428">
        <v>1.259585E-2</v>
      </c>
      <c r="AA4428">
        <v>0.99260440000000005</v>
      </c>
      <c r="AB4428">
        <v>39</v>
      </c>
      <c r="AC4428">
        <v>-0.34279999999998201</v>
      </c>
      <c r="AD4428">
        <v>-0.17945309999999901</v>
      </c>
      <c r="AE4428">
        <v>9.3899999999990699E-2</v>
      </c>
      <c r="AF4428">
        <v>7.2539473572639193E-2</v>
      </c>
      <c r="AG4428">
        <v>-0.17945309999999901</v>
      </c>
      <c r="AH4428">
        <v>0.27378146374512502</v>
      </c>
      <c r="AI4428">
        <v>122.358297139266</v>
      </c>
      <c r="AJ4428">
        <v>75.160239619131303</v>
      </c>
      <c r="AK4428">
        <v>0.33529342405753898</v>
      </c>
      <c r="AL4428">
        <v>90.210102554383099</v>
      </c>
      <c r="AM4428">
        <v>86.170695845109904</v>
      </c>
      <c r="AN4428">
        <v>0.99999996654544199</v>
      </c>
    </row>
    <row r="4429" spans="1:40" x14ac:dyDescent="0.25">
      <c r="A4429" t="str">
        <f>"20190312154924497"</f>
        <v>20190312154924497</v>
      </c>
      <c r="B4429" t="str">
        <f>"1552376964489785"</f>
        <v>1552376964489785</v>
      </c>
      <c r="C4429" t="s">
        <v>40</v>
      </c>
      <c r="D4429">
        <v>4.9688239999999997</v>
      </c>
      <c r="E4429">
        <v>0.53588199999999997</v>
      </c>
      <c r="F4429" t="s">
        <v>41</v>
      </c>
      <c r="G4429">
        <v>-256.32499999999999</v>
      </c>
      <c r="H4429">
        <v>0.91523929999999998</v>
      </c>
      <c r="I4429">
        <v>140.9102</v>
      </c>
      <c r="J4429">
        <v>-256.21539999999999</v>
      </c>
      <c r="K4429">
        <v>1.1091679999999999</v>
      </c>
      <c r="L4429">
        <v>140.80420000000001</v>
      </c>
      <c r="M4429">
        <v>-0.99985990000000002</v>
      </c>
      <c r="N4429">
        <v>0</v>
      </c>
      <c r="O4429">
        <v>8.7373099999999999E-3</v>
      </c>
      <c r="P4429">
        <v>-0.99698019999999998</v>
      </c>
      <c r="Q4429">
        <v>-1.7899189999999999E-2</v>
      </c>
      <c r="R4429">
        <v>7.5567490000000001E-2</v>
      </c>
      <c r="S4429">
        <v>-2.9578859999999998</v>
      </c>
      <c r="T4429">
        <v>-0.83786309999999997</v>
      </c>
      <c r="U4429">
        <v>0.48045349999999998</v>
      </c>
      <c r="V4429">
        <v>6.6849599999999995E-2</v>
      </c>
      <c r="W4429">
        <v>-3.7005559999999998E-3</v>
      </c>
      <c r="X4429">
        <v>0.99775619999999998</v>
      </c>
      <c r="Y4429">
        <v>0.1464203</v>
      </c>
      <c r="Z4429">
        <v>1.7800570000000002E-2</v>
      </c>
      <c r="AA4429">
        <v>0.98906229999999995</v>
      </c>
      <c r="AB4429">
        <v>39</v>
      </c>
      <c r="AC4429">
        <v>-0.1096</v>
      </c>
      <c r="AD4429">
        <v>-0.19392869999999901</v>
      </c>
      <c r="AE4429">
        <v>0.105999999999994</v>
      </c>
      <c r="AF4429">
        <v>4.01262959199854E-2</v>
      </c>
      <c r="AG4429">
        <v>-0.19392869999999901</v>
      </c>
      <c r="AH4429">
        <v>4.2221202645367002E-2</v>
      </c>
      <c r="AI4429">
        <v>163.28213519018101</v>
      </c>
      <c r="AJ4429">
        <v>46.4572808190659</v>
      </c>
      <c r="AK4429">
        <v>0.202487259502343</v>
      </c>
      <c r="AL4429">
        <v>90.212026724809405</v>
      </c>
      <c r="AM4429">
        <v>86.166915239729605</v>
      </c>
      <c r="AN4429">
        <v>0.99999999888665403</v>
      </c>
    </row>
    <row r="4430" spans="1:40" x14ac:dyDescent="0.25">
      <c r="A4430" t="str">
        <f>"20190312154924519"</f>
        <v>20190312154924519</v>
      </c>
      <c r="B4430" t="str">
        <f>"1552376964510282"</f>
        <v>1552376964510282</v>
      </c>
      <c r="C4430" t="s">
        <v>40</v>
      </c>
      <c r="D4430">
        <v>4.9575959999999997</v>
      </c>
      <c r="E4430">
        <v>0.53578219999999899</v>
      </c>
      <c r="F4430" t="s">
        <v>41</v>
      </c>
      <c r="G4430">
        <v>-257.0068</v>
      </c>
      <c r="H4430">
        <v>0.88419809999999999</v>
      </c>
      <c r="I4430">
        <v>140.93299999999999</v>
      </c>
      <c r="J4430">
        <v>-256.5883</v>
      </c>
      <c r="K4430">
        <v>1.109208</v>
      </c>
      <c r="L4430">
        <v>140.80770000000001</v>
      </c>
      <c r="M4430">
        <v>-0.99985670000000004</v>
      </c>
      <c r="N4430">
        <v>0</v>
      </c>
      <c r="O4430">
        <v>8.9463730000000005E-3</v>
      </c>
      <c r="P4430">
        <v>-0.99699539999999998</v>
      </c>
      <c r="Q4430">
        <v>-1.7867709999999998E-2</v>
      </c>
      <c r="R4430">
        <v>7.5373200000000001E-2</v>
      </c>
      <c r="S4430">
        <v>-2.9575499999999999</v>
      </c>
      <c r="T4430">
        <v>-0.84074040000000005</v>
      </c>
      <c r="U4430">
        <v>0.48136899999999999</v>
      </c>
      <c r="V4430">
        <v>6.6446959999999999E-2</v>
      </c>
      <c r="W4430">
        <v>-3.5711359999999999E-3</v>
      </c>
      <c r="X4430">
        <v>0.99778350000000005</v>
      </c>
      <c r="Y4430">
        <v>0.1464982</v>
      </c>
      <c r="Z4430">
        <v>1.7813829999999999E-2</v>
      </c>
      <c r="AA4430">
        <v>0.98905050000000005</v>
      </c>
      <c r="AB4430">
        <v>39</v>
      </c>
      <c r="AC4430">
        <v>-0.41849999999999399</v>
      </c>
      <c r="AD4430">
        <v>-0.22500990000000001</v>
      </c>
      <c r="AE4430">
        <v>0.12529999999998101</v>
      </c>
      <c r="AF4430">
        <v>9.6065006703070596E-2</v>
      </c>
      <c r="AG4430">
        <v>-0.22500990000000001</v>
      </c>
      <c r="AH4430">
        <v>0.331625790814775</v>
      </c>
      <c r="AI4430">
        <v>123.092783228748</v>
      </c>
      <c r="AJ4430">
        <v>73.844810922881905</v>
      </c>
      <c r="AK4430">
        <v>0.41210873048795799</v>
      </c>
      <c r="AL4430">
        <v>90.204611469645798</v>
      </c>
      <c r="AM4430">
        <v>86.190037921329605</v>
      </c>
      <c r="AN4430">
        <v>0.99999993218890804</v>
      </c>
    </row>
    <row r="4431" spans="1:40" x14ac:dyDescent="0.25">
      <c r="A4431" t="str">
        <f>"20190312154924540"</f>
        <v>20190312154924540</v>
      </c>
      <c r="B4431" t="str">
        <f>"1552376964529801"</f>
        <v>1552376964529801</v>
      </c>
      <c r="C4431" t="s">
        <v>40</v>
      </c>
      <c r="D4431">
        <v>4.9652710000000004</v>
      </c>
      <c r="E4431">
        <v>0.5356573</v>
      </c>
      <c r="F4431" t="s">
        <v>41</v>
      </c>
      <c r="G4431">
        <v>-257.35629999999998</v>
      </c>
      <c r="H4431">
        <v>0.89102719999999902</v>
      </c>
      <c r="I4431">
        <v>140.93270000000001</v>
      </c>
      <c r="J4431">
        <v>-256.96879999999999</v>
      </c>
      <c r="K4431">
        <v>1.1092500000000001</v>
      </c>
      <c r="L4431">
        <v>140.81129999999999</v>
      </c>
      <c r="M4431">
        <v>-0.99985380000000001</v>
      </c>
      <c r="N4431">
        <v>0</v>
      </c>
      <c r="O4431">
        <v>9.1357260000000003E-3</v>
      </c>
      <c r="P4431">
        <v>-0.99703470000000005</v>
      </c>
      <c r="Q4431">
        <v>-1.768107E-2</v>
      </c>
      <c r="R4431">
        <v>7.4896409999999997E-2</v>
      </c>
      <c r="S4431">
        <v>-2.9576720000000001</v>
      </c>
      <c r="T4431">
        <v>-0.84017229999999998</v>
      </c>
      <c r="U4431">
        <v>0.48046879999999997</v>
      </c>
      <c r="V4431">
        <v>6.5781409999999998E-2</v>
      </c>
      <c r="W4431">
        <v>-3.297627E-3</v>
      </c>
      <c r="X4431">
        <v>0.99782859999999995</v>
      </c>
      <c r="Y4431">
        <v>0.14604329999999999</v>
      </c>
      <c r="Z4431">
        <v>1.7686569999999999E-2</v>
      </c>
      <c r="AA4431">
        <v>0.98912009999999995</v>
      </c>
      <c r="AB4431">
        <v>39</v>
      </c>
      <c r="AC4431">
        <v>-0.38749999999998802</v>
      </c>
      <c r="AD4431">
        <v>-0.21822279999999999</v>
      </c>
      <c r="AE4431">
        <v>0.121400000000022</v>
      </c>
      <c r="AF4431">
        <v>9.1445229514086193E-2</v>
      </c>
      <c r="AG4431">
        <v>-0.21822279999999999</v>
      </c>
      <c r="AH4431">
        <v>0.30151574279034998</v>
      </c>
      <c r="AI4431">
        <v>124.706469606089</v>
      </c>
      <c r="AJ4431">
        <v>73.128231675995593</v>
      </c>
      <c r="AK4431">
        <v>0.38326904856920102</v>
      </c>
      <c r="AL4431">
        <v>90.188940453528204</v>
      </c>
      <c r="AM4431">
        <v>86.228258763988805</v>
      </c>
      <c r="AN4431">
        <v>0.99999999161168895</v>
      </c>
    </row>
    <row r="4432" spans="1:40" x14ac:dyDescent="0.25">
      <c r="A4432" t="str">
        <f>"20190312154924563"</f>
        <v>20190312154924563</v>
      </c>
      <c r="B4432" t="str">
        <f>"1552376964550301"</f>
        <v>1552376964550301</v>
      </c>
      <c r="C4432" t="s">
        <v>40</v>
      </c>
      <c r="D4432">
        <v>4.9404440000000003</v>
      </c>
      <c r="E4432">
        <v>0.53548649999999998</v>
      </c>
      <c r="F4432" t="s">
        <v>41</v>
      </c>
      <c r="G4432">
        <v>-257.70620000000002</v>
      </c>
      <c r="H4432">
        <v>0.89995720000000001</v>
      </c>
      <c r="I4432">
        <v>140.9308</v>
      </c>
      <c r="J4432">
        <v>-257.36239999999998</v>
      </c>
      <c r="K4432">
        <v>1.109291</v>
      </c>
      <c r="L4432">
        <v>140.815</v>
      </c>
      <c r="M4432">
        <v>-0.99985100000000005</v>
      </c>
      <c r="N4432">
        <v>0</v>
      </c>
      <c r="O4432">
        <v>9.3113169999999995E-3</v>
      </c>
      <c r="P4432">
        <v>-0.99710129999999997</v>
      </c>
      <c r="Q4432">
        <v>-1.6475839999999999E-2</v>
      </c>
      <c r="R4432">
        <v>7.4280009999999994E-2</v>
      </c>
      <c r="S4432">
        <v>-2.9580690000000001</v>
      </c>
      <c r="T4432">
        <v>-0.83952759999999904</v>
      </c>
      <c r="U4432">
        <v>0.47868349999999998</v>
      </c>
      <c r="V4432">
        <v>6.4990249999999999E-2</v>
      </c>
      <c r="W4432">
        <v>-2.015144E-3</v>
      </c>
      <c r="X4432">
        <v>0.99788390000000005</v>
      </c>
      <c r="Y4432">
        <v>0.14531069999999999</v>
      </c>
      <c r="Z4432">
        <v>1.7522159999999998E-2</v>
      </c>
      <c r="AA4432">
        <v>0.98923090000000002</v>
      </c>
      <c r="AB4432">
        <v>39</v>
      </c>
      <c r="AC4432">
        <v>-0.34380000000004401</v>
      </c>
      <c r="AD4432">
        <v>-0.20933379999999999</v>
      </c>
      <c r="AE4432">
        <v>0.11580000000000699</v>
      </c>
      <c r="AF4432">
        <v>8.4468509525333801E-2</v>
      </c>
      <c r="AG4432">
        <v>-0.20933379999999999</v>
      </c>
      <c r="AH4432">
        <v>0.25871942461798603</v>
      </c>
      <c r="AI4432">
        <v>127.566014586534</v>
      </c>
      <c r="AJ4432">
        <v>71.918816540691495</v>
      </c>
      <c r="AK4432">
        <v>0.34335303930289102</v>
      </c>
      <c r="AL4432">
        <v>90.115459320339198</v>
      </c>
      <c r="AM4432">
        <v>86.273699231465201</v>
      </c>
      <c r="AN4432">
        <v>1.0000000356398</v>
      </c>
    </row>
    <row r="4433" spans="1:40" x14ac:dyDescent="0.25">
      <c r="A4433" t="str">
        <f>"20190312154924587"</f>
        <v>20190312154924587</v>
      </c>
      <c r="B4433" t="str">
        <f>"1552376964580554"</f>
        <v>1552376964580554</v>
      </c>
      <c r="C4433" t="s">
        <v>40</v>
      </c>
      <c r="D4433">
        <v>4.9005479999999997</v>
      </c>
      <c r="E4433">
        <v>0.53544829999999999</v>
      </c>
      <c r="F4433" t="s">
        <v>41</v>
      </c>
      <c r="G4433">
        <v>-258.05770000000001</v>
      </c>
      <c r="H4433">
        <v>0.91318200000000005</v>
      </c>
      <c r="I4433">
        <v>140.92699999999999</v>
      </c>
      <c r="J4433">
        <v>-257.76389999999998</v>
      </c>
      <c r="K4433">
        <v>1.1093360000000001</v>
      </c>
      <c r="L4433">
        <v>140.81899999999999</v>
      </c>
      <c r="M4433">
        <v>-0.99984850000000003</v>
      </c>
      <c r="N4433">
        <v>0</v>
      </c>
      <c r="O4433">
        <v>9.4741189999999996E-3</v>
      </c>
      <c r="P4433">
        <v>-0.99714599999999998</v>
      </c>
      <c r="Q4433">
        <v>-1.5212410000000001E-2</v>
      </c>
      <c r="R4433">
        <v>7.3949459999999995E-2</v>
      </c>
      <c r="S4433">
        <v>-2.9595340000000001</v>
      </c>
      <c r="T4433">
        <v>-0.83467469999999999</v>
      </c>
      <c r="U4433">
        <v>0.47535709999999998</v>
      </c>
      <c r="V4433">
        <v>6.4497760000000001E-2</v>
      </c>
      <c r="W4433">
        <v>-6.8552019999999997E-4</v>
      </c>
      <c r="X4433">
        <v>0.99791759999999996</v>
      </c>
      <c r="Y4433">
        <v>0.144103799999999</v>
      </c>
      <c r="Z4433">
        <v>1.7207199999999999E-2</v>
      </c>
      <c r="AA4433">
        <v>0.98941299999999999</v>
      </c>
      <c r="AB4433">
        <v>39</v>
      </c>
      <c r="AC4433">
        <v>-0.29380000000003198</v>
      </c>
      <c r="AD4433">
        <v>-0.196154</v>
      </c>
      <c r="AE4433">
        <v>0.108000000000032</v>
      </c>
      <c r="AF4433">
        <v>7.5545609859269697E-2</v>
      </c>
      <c r="AG4433">
        <v>-0.196154</v>
      </c>
      <c r="AH4433">
        <v>0.21168446956623699</v>
      </c>
      <c r="AI4433">
        <v>131.111952814528</v>
      </c>
      <c r="AJ4433">
        <v>70.359616474061795</v>
      </c>
      <c r="AK4433">
        <v>0.298318362727721</v>
      </c>
      <c r="AL4433">
        <v>90.039277417948</v>
      </c>
      <c r="AM4433">
        <v>86.301982670911201</v>
      </c>
      <c r="AN4433">
        <v>0.99999998368636001</v>
      </c>
    </row>
    <row r="4434" spans="1:40" x14ac:dyDescent="0.25">
      <c r="A4434" t="str">
        <f>"20190312154924607"</f>
        <v>20190312154924607</v>
      </c>
      <c r="B4434" t="str">
        <f>"1552376964600074"</f>
        <v>1552376964600074</v>
      </c>
      <c r="C4434" t="s">
        <v>40</v>
      </c>
      <c r="D4434">
        <v>4.9067239999999996</v>
      </c>
      <c r="E4434">
        <v>0.53535869999999997</v>
      </c>
      <c r="F4434" t="s">
        <v>41</v>
      </c>
      <c r="G4434">
        <v>-258.71879999999999</v>
      </c>
      <c r="H4434">
        <v>0.84126959999999995</v>
      </c>
      <c r="I4434">
        <v>140.97229999999999</v>
      </c>
      <c r="J4434">
        <v>-258.1284</v>
      </c>
      <c r="K4434">
        <v>1.1093679999999999</v>
      </c>
      <c r="L4434">
        <v>140.82259999999999</v>
      </c>
      <c r="M4434">
        <v>-0.99984669999999998</v>
      </c>
      <c r="N4434">
        <v>0</v>
      </c>
      <c r="O4434">
        <v>9.6133859999999998E-3</v>
      </c>
      <c r="P4434">
        <v>-0.99722029999999995</v>
      </c>
      <c r="Q4434">
        <v>-1.388383E-2</v>
      </c>
      <c r="R4434">
        <v>7.3207960000000002E-2</v>
      </c>
      <c r="S4434">
        <v>-2.9607239999999999</v>
      </c>
      <c r="T4434">
        <v>-0.83121279999999997</v>
      </c>
      <c r="U4434">
        <v>0.47459410000000002</v>
      </c>
      <c r="V4434">
        <v>6.3617270000000004E-2</v>
      </c>
      <c r="W4434">
        <v>6.9505369999999997E-4</v>
      </c>
      <c r="X4434">
        <v>0.99797420000000003</v>
      </c>
      <c r="Y4434">
        <v>0.1437203</v>
      </c>
      <c r="Z4434">
        <v>1.7041589999999999E-2</v>
      </c>
      <c r="AA4434">
        <v>0.98947160000000001</v>
      </c>
      <c r="AB4434">
        <v>39</v>
      </c>
      <c r="AC4434">
        <v>-0.59039999999998805</v>
      </c>
      <c r="AD4434">
        <v>-0.26809840000000001</v>
      </c>
      <c r="AE4434">
        <v>0.149699999999995</v>
      </c>
      <c r="AF4434">
        <v>0.120642575346762</v>
      </c>
      <c r="AG4434">
        <v>-0.26809840000000001</v>
      </c>
      <c r="AH4434">
        <v>0.49575992039811401</v>
      </c>
      <c r="AI4434">
        <v>117.71960549939701</v>
      </c>
      <c r="AJ4434">
        <v>76.322983596008697</v>
      </c>
      <c r="AK4434">
        <v>0.57637598990763295</v>
      </c>
      <c r="AL4434">
        <v>89.960176356115994</v>
      </c>
      <c r="AM4434">
        <v>86.352535168418797</v>
      </c>
      <c r="AN4434">
        <v>1.0000000720037601</v>
      </c>
    </row>
    <row r="4435" spans="1:40" x14ac:dyDescent="0.25">
      <c r="A4435" t="str">
        <f>"20190312154924630"</f>
        <v>20190312154924630</v>
      </c>
      <c r="B4435" t="str">
        <f>"1552376964620573"</f>
        <v>1552376964620573</v>
      </c>
      <c r="C4435" t="s">
        <v>40</v>
      </c>
      <c r="D4435">
        <v>4.8899039999999996</v>
      </c>
      <c r="E4435">
        <v>0.53533390000000003</v>
      </c>
      <c r="F4435" t="s">
        <v>41</v>
      </c>
      <c r="G4435">
        <v>-259.06619999999998</v>
      </c>
      <c r="H4435">
        <v>0.84781219999999902</v>
      </c>
      <c r="I4435">
        <v>140.97219999999999</v>
      </c>
      <c r="J4435">
        <v>-258.5052</v>
      </c>
      <c r="K4435">
        <v>1.1093959999999901</v>
      </c>
      <c r="L4435">
        <v>140.82640000000001</v>
      </c>
      <c r="M4435">
        <v>-0.99984459999999997</v>
      </c>
      <c r="N4435">
        <v>0</v>
      </c>
      <c r="O4435">
        <v>9.7542789999999994E-3</v>
      </c>
      <c r="P4435">
        <v>-0.99722599999999995</v>
      </c>
      <c r="Q4435">
        <v>-1.278579E-2</v>
      </c>
      <c r="R4435">
        <v>7.3328160000000003E-2</v>
      </c>
      <c r="S4435">
        <v>-2.9622190000000002</v>
      </c>
      <c r="T4435">
        <v>-0.82623880000000005</v>
      </c>
      <c r="U4435">
        <v>0.47236630000000002</v>
      </c>
      <c r="V4435">
        <v>6.3597459999999995E-2</v>
      </c>
      <c r="W4435">
        <v>1.837555E-3</v>
      </c>
      <c r="X4435">
        <v>0.99797389999999997</v>
      </c>
      <c r="Y4435">
        <v>0.14287720000000001</v>
      </c>
      <c r="Z4435">
        <v>1.6783099999999999E-2</v>
      </c>
      <c r="AA4435">
        <v>0.98959810000000004</v>
      </c>
      <c r="AB4435">
        <v>39</v>
      </c>
      <c r="AC4435">
        <v>-0.56099999999997796</v>
      </c>
      <c r="AD4435">
        <v>-0.26158379999999898</v>
      </c>
      <c r="AE4435">
        <v>0.145799999999979</v>
      </c>
      <c r="AF4435">
        <v>0.11657784385278</v>
      </c>
      <c r="AG4435">
        <v>-0.26158379999999898</v>
      </c>
      <c r="AH4435">
        <v>0.467237171836204</v>
      </c>
      <c r="AI4435">
        <v>118.51079838730899</v>
      </c>
      <c r="AJ4435">
        <v>75.990471976650994</v>
      </c>
      <c r="AK4435">
        <v>0.54802103321432605</v>
      </c>
      <c r="AL4435">
        <v>89.894715790341493</v>
      </c>
      <c r="AM4435">
        <v>86.353666807116596</v>
      </c>
      <c r="AN4435">
        <v>0.99999995930401897</v>
      </c>
    </row>
    <row r="4436" spans="1:40" x14ac:dyDescent="0.25">
      <c r="A4436" t="str">
        <f>"20190312154924653"</f>
        <v>20190312154924653</v>
      </c>
      <c r="B4436" t="str">
        <f>"1552376964640090"</f>
        <v>1552376964640090</v>
      </c>
      <c r="C4436" t="s">
        <v>40</v>
      </c>
      <c r="D4436">
        <v>4.8704929999999997</v>
      </c>
      <c r="E4436">
        <v>0.53526649999999998</v>
      </c>
      <c r="F4436" t="s">
        <v>41</v>
      </c>
      <c r="G4436">
        <v>-259.41430000000003</v>
      </c>
      <c r="H4436">
        <v>0.85693410000000003</v>
      </c>
      <c r="I4436">
        <v>140.9716</v>
      </c>
      <c r="J4436">
        <v>-258.91460000000001</v>
      </c>
      <c r="K4436">
        <v>1.109416</v>
      </c>
      <c r="L4436">
        <v>140.8305</v>
      </c>
      <c r="M4436">
        <v>-0.99984260000000003</v>
      </c>
      <c r="N4436">
        <v>0</v>
      </c>
      <c r="O4436">
        <v>9.9051230000000001E-3</v>
      </c>
      <c r="P4436">
        <v>-0.99722060000000001</v>
      </c>
      <c r="Q4436">
        <v>-1.1756290000000001E-2</v>
      </c>
      <c r="R4436">
        <v>7.3573840000000001E-2</v>
      </c>
      <c r="S4436">
        <v>-2.9630740000000002</v>
      </c>
      <c r="T4436">
        <v>-0.822932</v>
      </c>
      <c r="U4436">
        <v>0.47230529999999998</v>
      </c>
      <c r="V4436">
        <v>6.3693059999999996E-2</v>
      </c>
      <c r="W4436">
        <v>2.907574E-3</v>
      </c>
      <c r="X4436">
        <v>0.99796530000000006</v>
      </c>
      <c r="Y4436">
        <v>0.14271689999999901</v>
      </c>
      <c r="Z4436">
        <v>1.665121E-2</v>
      </c>
      <c r="AA4436">
        <v>0.98962349999999999</v>
      </c>
      <c r="AB4436">
        <v>39</v>
      </c>
      <c r="AC4436">
        <v>-0.49970000000001802</v>
      </c>
      <c r="AD4436">
        <v>-0.25248189999999898</v>
      </c>
      <c r="AE4436">
        <v>0.14109999999999401</v>
      </c>
      <c r="AF4436">
        <v>0.11010859384438899</v>
      </c>
      <c r="AG4436">
        <v>-0.25248189999999898</v>
      </c>
      <c r="AH4436">
        <v>0.405253965157856</v>
      </c>
      <c r="AI4436">
        <v>121.015320991316</v>
      </c>
      <c r="AJ4436">
        <v>74.799535438345302</v>
      </c>
      <c r="AK4436">
        <v>0.49000182503962503</v>
      </c>
      <c r="AL4436">
        <v>89.833408046439999</v>
      </c>
      <c r="AM4436">
        <v>86.348169058509001</v>
      </c>
      <c r="AN4436">
        <v>0.99999999994140898</v>
      </c>
    </row>
    <row r="4437" spans="1:40" x14ac:dyDescent="0.25">
      <c r="A4437" t="str">
        <f>"20190312154924678"</f>
        <v>20190312154924678</v>
      </c>
      <c r="B4437" t="str">
        <f>"1552376964670346"</f>
        <v>1552376964670346</v>
      </c>
      <c r="C4437" t="s">
        <v>40</v>
      </c>
      <c r="D4437">
        <v>4.8721509999999997</v>
      </c>
      <c r="E4437">
        <v>0.53507289999999996</v>
      </c>
      <c r="F4437" t="s">
        <v>41</v>
      </c>
      <c r="G4437">
        <v>-259.76530000000002</v>
      </c>
      <c r="H4437">
        <v>0.87411519999999998</v>
      </c>
      <c r="I4437">
        <v>140.96629999999999</v>
      </c>
      <c r="J4437">
        <v>-259.32560000000001</v>
      </c>
      <c r="K4437">
        <v>1.109434</v>
      </c>
      <c r="L4437">
        <v>140.8347</v>
      </c>
      <c r="M4437">
        <v>-0.99984070000000003</v>
      </c>
      <c r="N4437">
        <v>0</v>
      </c>
      <c r="O4437">
        <v>1.0055990000000001E-2</v>
      </c>
      <c r="P4437">
        <v>-0.99716090000000002</v>
      </c>
      <c r="Q4437">
        <v>-1.0513929999999999E-2</v>
      </c>
      <c r="R4437">
        <v>7.4565400000000004E-2</v>
      </c>
      <c r="S4437">
        <v>-2.9638059999999999</v>
      </c>
      <c r="T4437">
        <v>-0.81981970000000004</v>
      </c>
      <c r="U4437">
        <v>0.47244259999999899</v>
      </c>
      <c r="V4437">
        <v>6.453507E-2</v>
      </c>
      <c r="W4437">
        <v>4.1831059999999998E-3</v>
      </c>
      <c r="X4437">
        <v>0.99790670000000004</v>
      </c>
      <c r="Y4437">
        <v>0.1426221</v>
      </c>
      <c r="Z4437">
        <v>1.6533010000000001E-2</v>
      </c>
      <c r="AA4437">
        <v>0.98963909999999999</v>
      </c>
      <c r="AB4437">
        <v>39</v>
      </c>
      <c r="AC4437">
        <v>-0.43970000000001602</v>
      </c>
      <c r="AD4437">
        <v>-0.23531879999999999</v>
      </c>
      <c r="AE4437">
        <v>0.131599999999991</v>
      </c>
      <c r="AF4437">
        <v>0.10070013007352301</v>
      </c>
      <c r="AG4437">
        <v>-0.23531879999999999</v>
      </c>
      <c r="AH4437">
        <v>0.34920540246512599</v>
      </c>
      <c r="AI4437">
        <v>122.92246817674599</v>
      </c>
      <c r="AJ4437">
        <v>73.914060761997504</v>
      </c>
      <c r="AK4437">
        <v>0.43296635774745301</v>
      </c>
      <c r="AL4437">
        <v>89.760324988609298</v>
      </c>
      <c r="AM4437">
        <v>86.299809117033405</v>
      </c>
      <c r="AN4437">
        <v>1.0000000277703001</v>
      </c>
    </row>
    <row r="4438" spans="1:40" x14ac:dyDescent="0.25">
      <c r="A4438" t="str">
        <f>"20190312154924698"</f>
        <v>20190312154924698</v>
      </c>
      <c r="B4438" t="str">
        <f>"1552376964690841"</f>
        <v>1552376964690841</v>
      </c>
      <c r="C4438" t="s">
        <v>40</v>
      </c>
      <c r="D4438">
        <v>4.8663910000000001</v>
      </c>
      <c r="E4438">
        <v>0.53489849999999906</v>
      </c>
      <c r="F4438" t="s">
        <v>41</v>
      </c>
      <c r="G4438">
        <v>-260.11619999999999</v>
      </c>
      <c r="H4438">
        <v>0.89192299999999902</v>
      </c>
      <c r="I4438">
        <v>140.96129999999999</v>
      </c>
      <c r="J4438">
        <v>-259.69510000000002</v>
      </c>
      <c r="K4438">
        <v>1.1094580000000001</v>
      </c>
      <c r="L4438">
        <v>140.83860000000001</v>
      </c>
      <c r="M4438">
        <v>-0.99983889999999997</v>
      </c>
      <c r="N4438">
        <v>0</v>
      </c>
      <c r="O4438">
        <v>1.0191230000000001E-2</v>
      </c>
      <c r="P4438">
        <v>-0.99716749999999998</v>
      </c>
      <c r="Q4438">
        <v>-9.5209509999999997E-3</v>
      </c>
      <c r="R4438">
        <v>7.4609330000000001E-2</v>
      </c>
      <c r="S4438">
        <v>-2.9645389999999998</v>
      </c>
      <c r="T4438">
        <v>-0.81557919999999995</v>
      </c>
      <c r="U4438">
        <v>0.47375489999999998</v>
      </c>
      <c r="V4438">
        <v>6.4444420000000002E-2</v>
      </c>
      <c r="W4438">
        <v>5.2020959999999998E-3</v>
      </c>
      <c r="X4438">
        <v>0.99790780000000001</v>
      </c>
      <c r="Y4438">
        <v>0.14292340000000001</v>
      </c>
      <c r="Z4438">
        <v>1.6450240000000001E-2</v>
      </c>
      <c r="AA4438">
        <v>0.98959699999999995</v>
      </c>
      <c r="AB4438">
        <v>38</v>
      </c>
      <c r="AC4438">
        <v>-0.421099999999967</v>
      </c>
      <c r="AD4438">
        <v>-0.21753500000000001</v>
      </c>
      <c r="AE4438">
        <v>0.12269999999998001</v>
      </c>
      <c r="AF4438">
        <v>9.5027022084931204E-2</v>
      </c>
      <c r="AG4438">
        <v>-0.21753500000000001</v>
      </c>
      <c r="AH4438">
        <v>0.33895344948190298</v>
      </c>
      <c r="AI4438">
        <v>121.714337060964</v>
      </c>
      <c r="AJ4438">
        <v>74.338936670255407</v>
      </c>
      <c r="AK4438">
        <v>0.41381282250192603</v>
      </c>
      <c r="AL4438">
        <v>89.701940528467205</v>
      </c>
      <c r="AM4438">
        <v>86.304996289596303</v>
      </c>
      <c r="AN4438">
        <v>1.00000006118638</v>
      </c>
    </row>
    <row r="4439" spans="1:40" x14ac:dyDescent="0.25">
      <c r="A4439" t="str">
        <f>"20190312154924722"</f>
        <v>20190312154924722</v>
      </c>
      <c r="B4439" t="str">
        <f>"1552376964710362"</f>
        <v>1552376964710362</v>
      </c>
      <c r="C4439" t="s">
        <v>40</v>
      </c>
      <c r="D4439">
        <v>4.8174809999999999</v>
      </c>
      <c r="E4439">
        <v>0.50643939999999998</v>
      </c>
      <c r="F4439" t="s">
        <v>41</v>
      </c>
      <c r="G4439">
        <v>-260.4624</v>
      </c>
      <c r="H4439">
        <v>0.89925040000000001</v>
      </c>
      <c r="I4439">
        <v>140.96100000000001</v>
      </c>
      <c r="J4439">
        <v>-260.0754</v>
      </c>
      <c r="K4439">
        <v>1.1094809999999999</v>
      </c>
      <c r="L4439">
        <v>140.8426</v>
      </c>
      <c r="M4439">
        <v>-0.99983710000000003</v>
      </c>
      <c r="N4439">
        <v>0</v>
      </c>
      <c r="O4439">
        <v>1.0330860000000001E-2</v>
      </c>
      <c r="P4439">
        <v>-0.99722440000000001</v>
      </c>
      <c r="Q4439">
        <v>-8.1974170000000002E-3</v>
      </c>
      <c r="R4439">
        <v>7.4001830000000005E-2</v>
      </c>
      <c r="S4439">
        <v>-2.9653930000000002</v>
      </c>
      <c r="T4439">
        <v>-0.81234629999999997</v>
      </c>
      <c r="U4439">
        <v>0.47279359999999998</v>
      </c>
      <c r="V4439">
        <v>6.3697390000000007E-2</v>
      </c>
      <c r="W4439">
        <v>6.5496139999999996E-3</v>
      </c>
      <c r="X4439">
        <v>0.99794780000000005</v>
      </c>
      <c r="Y4439">
        <v>0.14248839999999999</v>
      </c>
      <c r="Z4439">
        <v>1.6287739999999998E-2</v>
      </c>
      <c r="AA4439">
        <v>0.9896625</v>
      </c>
      <c r="AB4439">
        <v>38</v>
      </c>
      <c r="AC4439">
        <v>-0.38700000000000001</v>
      </c>
      <c r="AD4439">
        <v>-0.21023059999999899</v>
      </c>
      <c r="AE4439">
        <v>0.118400000000008</v>
      </c>
      <c r="AF4439">
        <v>9.0086106089246998E-2</v>
      </c>
      <c r="AG4439">
        <v>-0.21023059999999899</v>
      </c>
      <c r="AH4439">
        <v>0.30570920265379598</v>
      </c>
      <c r="AI4439">
        <v>123.41034847311801</v>
      </c>
      <c r="AJ4439">
        <v>73.580857640750096</v>
      </c>
      <c r="AK4439">
        <v>0.38179906793220802</v>
      </c>
      <c r="AL4439">
        <v>89.624732089792303</v>
      </c>
      <c r="AM4439">
        <v>86.347857601075702</v>
      </c>
      <c r="AN4439">
        <v>1.0000000332306</v>
      </c>
    </row>
    <row r="4440" spans="1:40" x14ac:dyDescent="0.25">
      <c r="A4440" t="str">
        <f>"20190312154924743"</f>
        <v>20190312154924743</v>
      </c>
      <c r="B4440" t="str">
        <f>"1552376964730858"</f>
        <v>1552376964730858</v>
      </c>
      <c r="C4440" t="s">
        <v>40</v>
      </c>
      <c r="D4440">
        <v>4.8764120000000002</v>
      </c>
      <c r="E4440">
        <v>0.4937665</v>
      </c>
      <c r="F4440" t="s">
        <v>41</v>
      </c>
      <c r="G4440">
        <v>-260.84289999999999</v>
      </c>
      <c r="H4440">
        <v>0.97900889999999996</v>
      </c>
      <c r="I4440">
        <v>140.90860000000001</v>
      </c>
      <c r="J4440">
        <v>-260.4529</v>
      </c>
      <c r="K4440">
        <v>1.1094949999999999</v>
      </c>
      <c r="L4440">
        <v>140.8466</v>
      </c>
      <c r="M4440">
        <v>-0.99983549999999999</v>
      </c>
      <c r="N4440">
        <v>0</v>
      </c>
      <c r="O4440">
        <v>1.046917E-2</v>
      </c>
      <c r="P4440">
        <v>-0.99728969999999995</v>
      </c>
      <c r="Q4440">
        <v>-7.6481869999999999E-3</v>
      </c>
      <c r="R4440">
        <v>7.3179519999999998E-2</v>
      </c>
      <c r="S4440">
        <v>-2.9851990000000002</v>
      </c>
      <c r="T4440">
        <v>-0.50752429999999904</v>
      </c>
      <c r="U4440">
        <v>0.25563049999999998</v>
      </c>
      <c r="V4440">
        <v>6.2736609999999998E-2</v>
      </c>
      <c r="W4440">
        <v>7.118943E-3</v>
      </c>
      <c r="X4440">
        <v>0.99800469999999997</v>
      </c>
      <c r="Y4440">
        <v>7.3979059999999999E-2</v>
      </c>
      <c r="Z4440">
        <v>4.4687240000000003E-3</v>
      </c>
      <c r="AA4440">
        <v>0.99724979999999996</v>
      </c>
      <c r="AB4440">
        <v>38</v>
      </c>
      <c r="AC4440">
        <v>-0.38999999999998602</v>
      </c>
      <c r="AD4440">
        <v>-0.13048609999999999</v>
      </c>
      <c r="AE4440">
        <v>6.2000000000011803E-2</v>
      </c>
      <c r="AF4440">
        <v>5.2212406890479603E-2</v>
      </c>
      <c r="AG4440">
        <v>-0.13048609999999999</v>
      </c>
      <c r="AH4440">
        <v>0.35217575097459097</v>
      </c>
      <c r="AI4440">
        <v>110.128295241595</v>
      </c>
      <c r="AJ4440">
        <v>81.566946322616303</v>
      </c>
      <c r="AK4440">
        <v>0.37918401509164901</v>
      </c>
      <c r="AL4440">
        <v>89.592111154534905</v>
      </c>
      <c r="AM4440">
        <v>86.403003519509795</v>
      </c>
      <c r="AN4440">
        <v>0.99999997140290897</v>
      </c>
    </row>
    <row r="4441" spans="1:40" x14ac:dyDescent="0.25">
      <c r="A4441" t="str">
        <f>"20190312154924765"</f>
        <v>20190312154924765</v>
      </c>
      <c r="B4441" t="str">
        <f>"1552376964760138"</f>
        <v>1552376964760138</v>
      </c>
      <c r="C4441" t="s">
        <v>40</v>
      </c>
      <c r="D4441">
        <v>4.8217949999999998</v>
      </c>
      <c r="E4441">
        <v>0.48362309999999997</v>
      </c>
      <c r="F4441" t="s">
        <v>41</v>
      </c>
      <c r="G4441">
        <v>-261.20850000000002</v>
      </c>
      <c r="H4441">
        <v>1.0247710000000001</v>
      </c>
      <c r="I4441">
        <v>140.88669999999999</v>
      </c>
      <c r="J4441">
        <v>-260.82029999999997</v>
      </c>
      <c r="K4441">
        <v>1.1095060000000001</v>
      </c>
      <c r="L4441">
        <v>140.85059999999999</v>
      </c>
      <c r="M4441">
        <v>-0.99983379999999999</v>
      </c>
      <c r="N4441">
        <v>0</v>
      </c>
      <c r="O4441">
        <v>1.0604300000000001E-2</v>
      </c>
      <c r="P4441">
        <v>-0.99737439999999999</v>
      </c>
      <c r="Q4441">
        <v>-7.6675040000000003E-3</v>
      </c>
      <c r="R4441">
        <v>7.201312E-2</v>
      </c>
      <c r="S4441">
        <v>-2.9939879999999999</v>
      </c>
      <c r="T4441">
        <v>-0.33576070000000002</v>
      </c>
      <c r="U4441">
        <v>0.1583252</v>
      </c>
      <c r="V4441">
        <v>6.1434530000000001E-2</v>
      </c>
      <c r="W4441">
        <v>7.117038E-3</v>
      </c>
      <c r="X4441">
        <v>0.99808569999999996</v>
      </c>
      <c r="Y4441">
        <v>4.2017279999999997E-2</v>
      </c>
      <c r="Z4441">
        <v>1.162314E-3</v>
      </c>
      <c r="AA4441">
        <v>0.99911620000000001</v>
      </c>
      <c r="AB4441">
        <v>38</v>
      </c>
      <c r="AC4441">
        <v>-0.38820000000004001</v>
      </c>
      <c r="AD4441">
        <v>-8.4735000000000005E-2</v>
      </c>
      <c r="AE4441">
        <v>3.6100000000004601E-2</v>
      </c>
      <c r="AF4441">
        <v>3.0538408941743402E-2</v>
      </c>
      <c r="AG4441">
        <v>-8.4735000000000005E-2</v>
      </c>
      <c r="AH4441">
        <v>0.37103474844132101</v>
      </c>
      <c r="AI4441">
        <v>102.822378757089</v>
      </c>
      <c r="AJ4441">
        <v>85.294815661570198</v>
      </c>
      <c r="AK4441">
        <v>0.38181068502152699</v>
      </c>
      <c r="AL4441">
        <v>89.592220300756495</v>
      </c>
      <c r="AM4441">
        <v>86.477753322993806</v>
      </c>
      <c r="AN4441">
        <v>0.999999959125351</v>
      </c>
    </row>
    <row r="4442" spans="1:40" x14ac:dyDescent="0.25">
      <c r="A4442" t="str">
        <f>"20190312154924787"</f>
        <v>20190312154924787</v>
      </c>
      <c r="B4442" t="str">
        <f>"1552376964780635"</f>
        <v>1552376964780635</v>
      </c>
      <c r="C4442" t="s">
        <v>40</v>
      </c>
      <c r="D4442">
        <v>4.8399720000000004</v>
      </c>
      <c r="E4442">
        <v>0.48112820000000001</v>
      </c>
      <c r="F4442" t="s">
        <v>42</v>
      </c>
      <c r="G4442">
        <v>-276.02809999999999</v>
      </c>
      <c r="H4442" s="1">
        <v>-2.1204570000000002E-6</v>
      </c>
      <c r="I4442">
        <v>141.24799999999999</v>
      </c>
      <c r="J4442">
        <v>-261.20240000000001</v>
      </c>
      <c r="K4442">
        <v>1.109505</v>
      </c>
      <c r="L4442">
        <v>140.85480000000001</v>
      </c>
      <c r="M4442">
        <v>-0.9998321</v>
      </c>
      <c r="N4442">
        <v>0</v>
      </c>
      <c r="O4442">
        <v>1.0744699999999999E-2</v>
      </c>
      <c r="P4442">
        <v>-0.99746679999999999</v>
      </c>
      <c r="Q4442">
        <v>-7.8029750000000002E-3</v>
      </c>
      <c r="R4442">
        <v>7.0705530000000003E-2</v>
      </c>
      <c r="S4442">
        <v>-3.0005489999999999</v>
      </c>
      <c r="T4442">
        <v>-0.2189111</v>
      </c>
      <c r="U4442">
        <v>7.8430180000000002E-2</v>
      </c>
      <c r="V4442">
        <v>5.9985719999999999E-2</v>
      </c>
      <c r="W4442">
        <v>6.9968770000000003E-3</v>
      </c>
      <c r="X4442">
        <v>0.99817469999999997</v>
      </c>
      <c r="Y4442">
        <v>1.5373660000000001E-2</v>
      </c>
      <c r="Z4442">
        <v>-2.228067E-4</v>
      </c>
      <c r="AA4442">
        <v>0.99988180000000004</v>
      </c>
      <c r="AB4442">
        <v>38</v>
      </c>
      <c r="AC4442">
        <v>-14.8256999999999</v>
      </c>
      <c r="AD4442">
        <v>-1.109507120457</v>
      </c>
      <c r="AE4442">
        <v>0.39319999999997801</v>
      </c>
      <c r="AF4442">
        <v>0.23256049848777999</v>
      </c>
      <c r="AG4442">
        <v>-1.109507120457</v>
      </c>
      <c r="AH4442">
        <v>14.7465387612567</v>
      </c>
      <c r="AI4442">
        <v>94.302207438788997</v>
      </c>
      <c r="AJ4442">
        <v>89.096490996002501</v>
      </c>
      <c r="AK4442">
        <v>14.7900471896829</v>
      </c>
      <c r="AL4442">
        <v>89.599105201939906</v>
      </c>
      <c r="AM4442">
        <v>86.560922564370301</v>
      </c>
      <c r="AN4442">
        <v>0.99999998730588002</v>
      </c>
    </row>
    <row r="4443" spans="1:40" x14ac:dyDescent="0.25">
      <c r="A4443" t="str">
        <f>"20190312154924808"</f>
        <v>20190312154924808</v>
      </c>
      <c r="B4443" t="str">
        <f>"1552376964800154"</f>
        <v>1552376964800154</v>
      </c>
      <c r="C4443" t="s">
        <v>40</v>
      </c>
      <c r="D4443">
        <v>4.8419549999999996</v>
      </c>
      <c r="E4443">
        <v>0.47960219999999998</v>
      </c>
      <c r="F4443" t="s">
        <v>41</v>
      </c>
      <c r="G4443">
        <v>-262.24579999999997</v>
      </c>
      <c r="H4443">
        <v>1.0415049999999999</v>
      </c>
      <c r="I4443">
        <v>140.87450000000001</v>
      </c>
      <c r="J4443">
        <v>-261.57389999999998</v>
      </c>
      <c r="K4443">
        <v>1.109513</v>
      </c>
      <c r="L4443">
        <v>140.85890000000001</v>
      </c>
      <c r="M4443">
        <v>-0.99983049999999996</v>
      </c>
      <c r="N4443">
        <v>0</v>
      </c>
      <c r="O4443">
        <v>1.0881200000000001E-2</v>
      </c>
      <c r="P4443">
        <v>-0.99752859999999999</v>
      </c>
      <c r="Q4443">
        <v>-8.44465199999999E-3</v>
      </c>
      <c r="R4443">
        <v>6.9754490000000002E-2</v>
      </c>
      <c r="S4443">
        <v>-3.0021969999999998</v>
      </c>
      <c r="T4443">
        <v>-0.1957903</v>
      </c>
      <c r="U4443">
        <v>5.5496219999999999E-2</v>
      </c>
      <c r="V4443">
        <v>5.889759E-2</v>
      </c>
      <c r="W4443">
        <v>6.3665120000000004E-3</v>
      </c>
      <c r="X4443">
        <v>0.99824369999999996</v>
      </c>
      <c r="Y4443">
        <v>7.6073579999999998E-3</v>
      </c>
      <c r="Z4443">
        <v>-4.6108629999999998E-4</v>
      </c>
      <c r="AA4443">
        <v>0.99997100000000005</v>
      </c>
      <c r="AB4443">
        <v>38</v>
      </c>
      <c r="AC4443">
        <v>-0.67189999999999295</v>
      </c>
      <c r="AD4443">
        <v>-6.8007999999999999E-2</v>
      </c>
      <c r="AE4443">
        <v>1.5600000000006199E-2</v>
      </c>
      <c r="AF4443">
        <v>8.2031953094898209E-3</v>
      </c>
      <c r="AG4443">
        <v>-6.8007999999999999E-2</v>
      </c>
      <c r="AH4443">
        <v>0.66521850649106296</v>
      </c>
      <c r="AI4443">
        <v>95.836860009245697</v>
      </c>
      <c r="AJ4443">
        <v>89.293488315572304</v>
      </c>
      <c r="AK4443">
        <v>0.66873615264578501</v>
      </c>
      <c r="AL4443">
        <v>89.635223257570104</v>
      </c>
      <c r="AM4443">
        <v>86.623393980398404</v>
      </c>
      <c r="AN4443">
        <v>0.99999997158627096</v>
      </c>
    </row>
    <row r="4444" spans="1:40" x14ac:dyDescent="0.25">
      <c r="A4444" t="str">
        <f>"20190312154924830"</f>
        <v>20190312154924830</v>
      </c>
      <c r="B4444" t="str">
        <f>"1552376964820650"</f>
        <v>1552376964820650</v>
      </c>
      <c r="C4444" t="s">
        <v>40</v>
      </c>
      <c r="D4444">
        <v>4.8233519999999999</v>
      </c>
      <c r="E4444">
        <v>0.4786378</v>
      </c>
      <c r="F4444" t="s">
        <v>63</v>
      </c>
      <c r="G4444">
        <v>-279.98230000000001</v>
      </c>
      <c r="H4444" s="1">
        <v>-4.0936169999999999E-6</v>
      </c>
      <c r="I4444">
        <v>141.11179999999999</v>
      </c>
      <c r="J4444">
        <v>-261.93830000000003</v>
      </c>
      <c r="K4444">
        <v>1.1095200000000001</v>
      </c>
      <c r="L4444">
        <v>140.863</v>
      </c>
      <c r="M4444">
        <v>-0.99982890000000002</v>
      </c>
      <c r="N4444">
        <v>0</v>
      </c>
      <c r="O4444">
        <v>1.1014919999999999E-2</v>
      </c>
      <c r="P4444">
        <v>-0.9975501</v>
      </c>
      <c r="Q4444">
        <v>-8.5570619999999903E-3</v>
      </c>
      <c r="R4444">
        <v>6.9432030000000006E-2</v>
      </c>
      <c r="S4444">
        <v>-3.0030209999999999</v>
      </c>
      <c r="T4444">
        <v>-0.1809992</v>
      </c>
      <c r="U4444">
        <v>4.1259770000000001E-2</v>
      </c>
      <c r="V4444">
        <v>5.844121E-2</v>
      </c>
      <c r="W4444">
        <v>6.262564E-3</v>
      </c>
      <c r="X4444">
        <v>0.99827120000000003</v>
      </c>
      <c r="Y4444">
        <v>2.737209E-3</v>
      </c>
      <c r="Z4444">
        <v>-5.8090269999999905E-4</v>
      </c>
      <c r="AA4444">
        <v>0.99999610000000005</v>
      </c>
      <c r="AB4444">
        <v>38</v>
      </c>
      <c r="AC4444">
        <v>-18.043999999999901</v>
      </c>
      <c r="AD4444">
        <v>-1.1095240936169899</v>
      </c>
      <c r="AE4444">
        <v>0.248799999999988</v>
      </c>
      <c r="AF4444">
        <v>4.9821396879152297E-2</v>
      </c>
      <c r="AG4444">
        <v>-1.1095240936169899</v>
      </c>
      <c r="AH4444">
        <v>17.977685026532502</v>
      </c>
      <c r="AI4444">
        <v>93.531615745065096</v>
      </c>
      <c r="AJ4444">
        <v>89.841217127859906</v>
      </c>
      <c r="AK4444">
        <v>18.011959493600799</v>
      </c>
      <c r="AL4444">
        <v>89.641179165405404</v>
      </c>
      <c r="AM4444">
        <v>86.649590550914198</v>
      </c>
      <c r="AN4444">
        <v>0.999999991741779</v>
      </c>
    </row>
    <row r="4445" spans="1:40" x14ac:dyDescent="0.25">
      <c r="A4445" t="str">
        <f>"20190312154924853"</f>
        <v>20190312154924853</v>
      </c>
      <c r="B4445" t="str">
        <f>"1552376964850906"</f>
        <v>1552376964850906</v>
      </c>
      <c r="C4445" t="s">
        <v>40</v>
      </c>
      <c r="D4445">
        <v>4.8314969999999997</v>
      </c>
      <c r="E4445">
        <v>0.47772769999999998</v>
      </c>
      <c r="F4445" t="s">
        <v>63</v>
      </c>
      <c r="G4445">
        <v>-281.4896</v>
      </c>
      <c r="H4445" s="1">
        <v>-4.7511220000000003E-6</v>
      </c>
      <c r="I4445">
        <v>141.078</v>
      </c>
      <c r="J4445">
        <v>-262.34230000000002</v>
      </c>
      <c r="K4445">
        <v>1.109529</v>
      </c>
      <c r="L4445">
        <v>140.86760000000001</v>
      </c>
      <c r="M4445">
        <v>-0.99982709999999997</v>
      </c>
      <c r="N4445">
        <v>0</v>
      </c>
      <c r="O4445">
        <v>1.116284E-2</v>
      </c>
      <c r="P4445">
        <v>-0.99753139999999996</v>
      </c>
      <c r="Q4445">
        <v>-8.4683740000000007E-3</v>
      </c>
      <c r="R4445">
        <v>6.9710999999999995E-2</v>
      </c>
      <c r="S4445">
        <v>-3.003571</v>
      </c>
      <c r="T4445">
        <v>-0.17045089999999999</v>
      </c>
      <c r="U4445">
        <v>3.303528E-2</v>
      </c>
      <c r="V4445">
        <v>5.8572680000000002E-2</v>
      </c>
      <c r="W4445">
        <v>6.3584069999999999E-3</v>
      </c>
      <c r="X4445">
        <v>0.99826289999999995</v>
      </c>
      <c r="Y4445">
        <v>-1.478842E-4</v>
      </c>
      <c r="Z4445">
        <v>-6.3719949999999895E-4</v>
      </c>
      <c r="AA4445">
        <v>0.99999979999999999</v>
      </c>
      <c r="AB4445">
        <v>38</v>
      </c>
      <c r="AC4445">
        <v>-19.147299999999898</v>
      </c>
      <c r="AD4445">
        <v>-1.109533751122</v>
      </c>
      <c r="AE4445">
        <v>0.21039999999999201</v>
      </c>
      <c r="AF4445">
        <v>-3.3637041502550999E-3</v>
      </c>
      <c r="AG4445">
        <v>-1.109533751122</v>
      </c>
      <c r="AH4445">
        <v>19.084380220491301</v>
      </c>
      <c r="AI4445">
        <v>93.327334657943794</v>
      </c>
      <c r="AJ4445">
        <v>90.010098627627301</v>
      </c>
      <c r="AK4445">
        <v>19.116606520501101</v>
      </c>
      <c r="AL4445">
        <v>89.635687660665496</v>
      </c>
      <c r="AM4445">
        <v>86.642042804616196</v>
      </c>
      <c r="AN4445">
        <v>1.00000000284918</v>
      </c>
    </row>
    <row r="4446" spans="1:40" x14ac:dyDescent="0.25">
      <c r="A4446" t="str">
        <f>"20190312154924877"</f>
        <v>20190312154924877</v>
      </c>
      <c r="B4446" t="str">
        <f>"1552376964870426"</f>
        <v>1552376964870426</v>
      </c>
      <c r="C4446" t="s">
        <v>40</v>
      </c>
      <c r="D4446">
        <v>4.8298569999999996</v>
      </c>
      <c r="E4446">
        <v>0.47728969999999998</v>
      </c>
      <c r="F4446" t="s">
        <v>63</v>
      </c>
      <c r="G4446">
        <v>-283.2801</v>
      </c>
      <c r="H4446" s="1">
        <v>-5.5382020000000002E-6</v>
      </c>
      <c r="I4446">
        <v>141.05670000000001</v>
      </c>
      <c r="J4446">
        <v>-262.73540000000003</v>
      </c>
      <c r="K4446">
        <v>1.1095389999999901</v>
      </c>
      <c r="L4446">
        <v>140.87209999999999</v>
      </c>
      <c r="M4446">
        <v>-0.99982539999999998</v>
      </c>
      <c r="N4446">
        <v>0</v>
      </c>
      <c r="O4446">
        <v>1.130696E-2</v>
      </c>
      <c r="P4446">
        <v>-0.99747459999999999</v>
      </c>
      <c r="Q4446">
        <v>-8.7507599999999998E-3</v>
      </c>
      <c r="R4446">
        <v>7.0485140000000002E-2</v>
      </c>
      <c r="S4446">
        <v>-3.004181</v>
      </c>
      <c r="T4446">
        <v>-0.15919759999999999</v>
      </c>
      <c r="U4446">
        <v>2.7130129999999999E-2</v>
      </c>
      <c r="V4446">
        <v>5.920342E-2</v>
      </c>
      <c r="W4446">
        <v>6.0804159999999999E-3</v>
      </c>
      <c r="X4446">
        <v>0.99822739999999999</v>
      </c>
      <c r="Y4446">
        <v>-2.2588700000000001E-3</v>
      </c>
      <c r="Z4446">
        <v>-6.5860300000000001E-4</v>
      </c>
      <c r="AA4446">
        <v>0.99999729999999998</v>
      </c>
      <c r="AB4446">
        <v>38</v>
      </c>
      <c r="AC4446">
        <v>-20.544699999999899</v>
      </c>
      <c r="AD4446">
        <v>-1.1095445382019999</v>
      </c>
      <c r="AE4446">
        <v>0.184600000000017</v>
      </c>
      <c r="AF4446">
        <v>-4.7596801260254E-2</v>
      </c>
      <c r="AG4446">
        <v>-1.1095445382019999</v>
      </c>
      <c r="AH4446">
        <v>20.4857282304827</v>
      </c>
      <c r="AI4446">
        <v>93.100206811646899</v>
      </c>
      <c r="AJ4446">
        <v>90.133121502574397</v>
      </c>
      <c r="AK4446">
        <v>20.515808920706402</v>
      </c>
      <c r="AL4446">
        <v>89.651615671553401</v>
      </c>
      <c r="AM4446">
        <v>86.605846300535504</v>
      </c>
      <c r="AN4446">
        <v>0.99999997925459405</v>
      </c>
    </row>
    <row r="4447" spans="1:40" x14ac:dyDescent="0.25">
      <c r="A4447" t="str">
        <f>"20190312154924898"</f>
        <v>20190312154924898</v>
      </c>
      <c r="B4447" t="str">
        <f>"1552376964890922"</f>
        <v>1552376964890922</v>
      </c>
      <c r="C4447" t="s">
        <v>40</v>
      </c>
      <c r="D4447">
        <v>4.829987</v>
      </c>
      <c r="E4447">
        <v>0.4770703</v>
      </c>
      <c r="F4447" t="s">
        <v>63</v>
      </c>
      <c r="G4447">
        <v>-284.22899999999998</v>
      </c>
      <c r="H4447" s="1">
        <v>-5.9600709999999997E-6</v>
      </c>
      <c r="I4447">
        <v>141.0599</v>
      </c>
      <c r="J4447">
        <v>-263.10070000000002</v>
      </c>
      <c r="K4447">
        <v>1.109545</v>
      </c>
      <c r="L4447">
        <v>140.87639999999999</v>
      </c>
      <c r="M4447">
        <v>-0.99982389999999999</v>
      </c>
      <c r="N4447">
        <v>0</v>
      </c>
      <c r="O4447">
        <v>1.1440840000000001E-2</v>
      </c>
      <c r="P4447">
        <v>-0.99744809999999995</v>
      </c>
      <c r="Q4447">
        <v>-8.4063019999999992E-3</v>
      </c>
      <c r="R4447">
        <v>7.0901049999999993E-2</v>
      </c>
      <c r="S4447">
        <v>-3.0044249999999999</v>
      </c>
      <c r="T4447">
        <v>-0.1550947</v>
      </c>
      <c r="U4447">
        <v>2.624512E-2</v>
      </c>
      <c r="V4447">
        <v>5.9486160000000003E-2</v>
      </c>
      <c r="W4447">
        <v>6.4284989999999998E-3</v>
      </c>
      <c r="X4447">
        <v>0.9982084</v>
      </c>
      <c r="Y4447">
        <v>-2.6882759999999999E-3</v>
      </c>
      <c r="Z4447">
        <v>-6.5958409999999999E-4</v>
      </c>
      <c r="AA4447">
        <v>0.9999962</v>
      </c>
      <c r="AB4447">
        <v>38</v>
      </c>
      <c r="AC4447">
        <v>-21.128299999999999</v>
      </c>
      <c r="AD4447">
        <v>-1.1095509600710001</v>
      </c>
      <c r="AE4447">
        <v>0.18350000000000899</v>
      </c>
      <c r="AF4447">
        <v>-5.8104032539392003E-2</v>
      </c>
      <c r="AG4447">
        <v>-1.1095509600710001</v>
      </c>
      <c r="AH4447">
        <v>21.070911175850998</v>
      </c>
      <c r="AI4447">
        <v>93.014282765536393</v>
      </c>
      <c r="AJ4447">
        <v>90.157995417055204</v>
      </c>
      <c r="AK4447">
        <v>21.1001842928491</v>
      </c>
      <c r="AL4447">
        <v>89.631671590471001</v>
      </c>
      <c r="AM4447">
        <v>86.589610120926295</v>
      </c>
      <c r="AN4447">
        <v>0.99999996933074797</v>
      </c>
    </row>
    <row r="4448" spans="1:40" x14ac:dyDescent="0.25">
      <c r="A4448" t="str">
        <f>"20190312154924921"</f>
        <v>20190312154924921</v>
      </c>
      <c r="B4448" t="str">
        <f>"1552376964910446"</f>
        <v>1552376964910446</v>
      </c>
      <c r="C4448" t="s">
        <v>40</v>
      </c>
      <c r="D4448">
        <v>4.8018890000000001</v>
      </c>
      <c r="E4448">
        <v>0.47682959999999902</v>
      </c>
      <c r="F4448" t="s">
        <v>63</v>
      </c>
      <c r="G4448">
        <v>-285.36950000000002</v>
      </c>
      <c r="H4448" s="1">
        <v>-6.5426179999999999E-6</v>
      </c>
      <c r="I4448">
        <v>141.0694</v>
      </c>
      <c r="J4448">
        <v>-263.48259999999999</v>
      </c>
      <c r="K4448">
        <v>1.1095549999999901</v>
      </c>
      <c r="L4448">
        <v>140.8809</v>
      </c>
      <c r="M4448">
        <v>-0.99982230000000005</v>
      </c>
      <c r="N4448">
        <v>0</v>
      </c>
      <c r="O4448">
        <v>1.158111E-2</v>
      </c>
      <c r="P4448">
        <v>-0.99742169999999997</v>
      </c>
      <c r="Q4448">
        <v>-8.5921309999999994E-3</v>
      </c>
      <c r="R4448">
        <v>7.1247980000000002E-2</v>
      </c>
      <c r="S4448">
        <v>-3.004578</v>
      </c>
      <c r="T4448">
        <v>-0.14970429999999901</v>
      </c>
      <c r="U4448">
        <v>2.604675E-2</v>
      </c>
      <c r="V4448">
        <v>5.9693070000000001E-2</v>
      </c>
      <c r="W4448">
        <v>6.2449209999999996E-3</v>
      </c>
      <c r="X4448">
        <v>0.99819729999999995</v>
      </c>
      <c r="Y4448">
        <v>-2.8958830000000001E-3</v>
      </c>
      <c r="Z4448">
        <v>-6.4881019999999995E-4</v>
      </c>
      <c r="AA4448">
        <v>0.99999559999999998</v>
      </c>
      <c r="AB4448">
        <v>38</v>
      </c>
      <c r="AC4448">
        <v>-21.886900000000001</v>
      </c>
      <c r="AD4448">
        <v>-1.1095615426180001</v>
      </c>
      <c r="AE4448">
        <v>0.188500000000004</v>
      </c>
      <c r="AF4448">
        <v>-6.4848636423041506E-2</v>
      </c>
      <c r="AG4448">
        <v>-1.1095615426180001</v>
      </c>
      <c r="AH4448">
        <v>21.831512173293699</v>
      </c>
      <c r="AI4448">
        <v>92.909475993325898</v>
      </c>
      <c r="AJ4448">
        <v>90.170191703483198</v>
      </c>
      <c r="AK4448">
        <v>21.859786273776201</v>
      </c>
      <c r="AL4448">
        <v>89.642190077499507</v>
      </c>
      <c r="AM4448">
        <v>86.577737981934007</v>
      </c>
      <c r="AN4448">
        <v>1.0000000556858</v>
      </c>
    </row>
    <row r="4449" spans="1:40" x14ac:dyDescent="0.25">
      <c r="A4449" t="str">
        <f>"20190312154924941"</f>
        <v>20190312154924941</v>
      </c>
      <c r="B4449" t="str">
        <f>"1552376964930938"</f>
        <v>1552376964930938</v>
      </c>
      <c r="C4449" t="s">
        <v>40</v>
      </c>
      <c r="D4449">
        <v>4.7889989999999996</v>
      </c>
      <c r="E4449">
        <v>0.47661569999999998</v>
      </c>
      <c r="F4449" t="s">
        <v>63</v>
      </c>
      <c r="G4449">
        <v>-286.25799999999998</v>
      </c>
      <c r="H4449" s="1">
        <v>-7.0968249999999996E-6</v>
      </c>
      <c r="I4449">
        <v>141.0727</v>
      </c>
      <c r="J4449">
        <v>-263.84039999999999</v>
      </c>
      <c r="K4449">
        <v>1.1095619999999999</v>
      </c>
      <c r="L4449">
        <v>140.88509999999999</v>
      </c>
      <c r="M4449">
        <v>-0.9998205</v>
      </c>
      <c r="N4449">
        <v>0</v>
      </c>
      <c r="O4449">
        <v>1.1712810000000001E-2</v>
      </c>
      <c r="P4449">
        <v>-0.99743269999999995</v>
      </c>
      <c r="Q4449">
        <v>-7.8574690000000006E-3</v>
      </c>
      <c r="R4449">
        <v>7.1178530000000004E-2</v>
      </c>
      <c r="S4449">
        <v>-3.0047000000000001</v>
      </c>
      <c r="T4449">
        <v>-0.1463815</v>
      </c>
      <c r="U4449">
        <v>2.529907E-2</v>
      </c>
      <c r="V4449">
        <v>5.9492389999999999E-2</v>
      </c>
      <c r="W4449">
        <v>6.9816180000000002E-3</v>
      </c>
      <c r="X4449">
        <v>0.99820439999999999</v>
      </c>
      <c r="Y4449">
        <v>-3.2769560000000001E-3</v>
      </c>
      <c r="Z4449">
        <v>-6.5009099999999999E-4</v>
      </c>
      <c r="AA4449">
        <v>0.99999439999999995</v>
      </c>
      <c r="AB4449">
        <v>38</v>
      </c>
      <c r="AC4449">
        <v>-22.4176</v>
      </c>
      <c r="AD4449">
        <v>-1.109569096825</v>
      </c>
      <c r="AE4449">
        <v>0.18760000000000299</v>
      </c>
      <c r="AF4449">
        <v>-7.4831772486792597E-2</v>
      </c>
      <c r="AG4449">
        <v>-1.109569096825</v>
      </c>
      <c r="AH4449">
        <v>22.3634772482675</v>
      </c>
      <c r="AI4449">
        <v>92.840398284834293</v>
      </c>
      <c r="AJ4449">
        <v>90.191720128638494</v>
      </c>
      <c r="AK4449">
        <v>22.391111138319602</v>
      </c>
      <c r="AL4449">
        <v>89.599979527012295</v>
      </c>
      <c r="AM4449">
        <v>86.589240157861099</v>
      </c>
      <c r="AN4449">
        <v>1.00000005581858</v>
      </c>
    </row>
    <row r="4450" spans="1:40" x14ac:dyDescent="0.25">
      <c r="A4450" t="str">
        <f>"20190312154924965"</f>
        <v>20190312154924965</v>
      </c>
      <c r="B4450" t="str">
        <f>"1552376964960218"</f>
        <v>1552376964960218</v>
      </c>
      <c r="C4450" t="s">
        <v>40</v>
      </c>
      <c r="D4450">
        <v>4.7802870000000004</v>
      </c>
      <c r="E4450">
        <v>0.47642590000000001</v>
      </c>
      <c r="F4450" t="s">
        <v>63</v>
      </c>
      <c r="G4450">
        <v>-287.39749999999998</v>
      </c>
      <c r="H4450" s="1">
        <v>-7.804923E-6</v>
      </c>
      <c r="I4450">
        <v>141.06880000000001</v>
      </c>
      <c r="J4450">
        <v>-264.23079999999999</v>
      </c>
      <c r="K4450">
        <v>1.1095729999999999</v>
      </c>
      <c r="L4450">
        <v>140.88990000000001</v>
      </c>
      <c r="M4450">
        <v>-0.99981880000000001</v>
      </c>
      <c r="N4450">
        <v>0</v>
      </c>
      <c r="O4450">
        <v>1.1856190000000001E-2</v>
      </c>
      <c r="P4450">
        <v>-0.99743400000000004</v>
      </c>
      <c r="Q4450">
        <v>-7.0610789999999996E-3</v>
      </c>
      <c r="R4450">
        <v>7.1243009999999996E-2</v>
      </c>
      <c r="S4450">
        <v>-3.0049130000000002</v>
      </c>
      <c r="T4450">
        <v>-0.14153540000000001</v>
      </c>
      <c r="U4450">
        <v>2.342224E-2</v>
      </c>
      <c r="V4450">
        <v>5.9414010000000003E-2</v>
      </c>
      <c r="W4450">
        <v>7.7798229999999999E-3</v>
      </c>
      <c r="X4450">
        <v>0.99820310000000001</v>
      </c>
      <c r="Y4450">
        <v>-4.0456540000000001E-3</v>
      </c>
      <c r="Z4450">
        <v>-6.5339390000000003E-4</v>
      </c>
      <c r="AA4450">
        <v>0.99999159999999998</v>
      </c>
      <c r="AB4450">
        <v>38</v>
      </c>
      <c r="AC4450">
        <v>-23.166699999999899</v>
      </c>
      <c r="AD4450">
        <v>-1.10958080492299</v>
      </c>
      <c r="AE4450">
        <v>0.17889999999999801</v>
      </c>
      <c r="AF4450">
        <v>-9.5592565272907298E-2</v>
      </c>
      <c r="AG4450">
        <v>-1.10958080492299</v>
      </c>
      <c r="AH4450">
        <v>23.114172352168399</v>
      </c>
      <c r="AI4450">
        <v>92.748313340430698</v>
      </c>
      <c r="AJ4450">
        <v>90.236955026283795</v>
      </c>
      <c r="AK4450">
        <v>23.1409868205082</v>
      </c>
      <c r="AL4450">
        <v>89.554244475394498</v>
      </c>
      <c r="AM4450">
        <v>86.593718750525895</v>
      </c>
      <c r="AN4450">
        <v>0.99999998953989999</v>
      </c>
    </row>
    <row r="4451" spans="1:40" x14ac:dyDescent="0.25">
      <c r="A4451" t="str">
        <f>"20190312154924988"</f>
        <v>20190312154924988</v>
      </c>
      <c r="B4451" t="str">
        <f>"1552376964980714"</f>
        <v>1552376964980714</v>
      </c>
      <c r="C4451" t="s">
        <v>40</v>
      </c>
      <c r="D4451">
        <v>4.7294099999999997</v>
      </c>
      <c r="E4451">
        <v>0.47630719999999999</v>
      </c>
      <c r="F4451" t="s">
        <v>63</v>
      </c>
      <c r="G4451">
        <v>-288.90570000000002</v>
      </c>
      <c r="H4451" s="1">
        <v>-8.7448199999999994E-6</v>
      </c>
      <c r="I4451">
        <v>141.0718</v>
      </c>
      <c r="J4451">
        <v>-264.62369999999999</v>
      </c>
      <c r="K4451">
        <v>1.1095699999999999</v>
      </c>
      <c r="L4451">
        <v>140.8947</v>
      </c>
      <c r="M4451">
        <v>-0.99981710000000001</v>
      </c>
      <c r="N4451">
        <v>0</v>
      </c>
      <c r="O4451">
        <v>1.200065E-2</v>
      </c>
      <c r="P4451">
        <v>-0.99745640000000002</v>
      </c>
      <c r="Q4451">
        <v>-6.8319720000000004E-3</v>
      </c>
      <c r="R4451">
        <v>7.095158E-2</v>
      </c>
      <c r="S4451">
        <v>-3.005188</v>
      </c>
      <c r="T4451">
        <v>-0.13513739999999999</v>
      </c>
      <c r="U4451">
        <v>2.215576E-2</v>
      </c>
      <c r="V4451">
        <v>5.8978210000000003E-2</v>
      </c>
      <c r="W4451">
        <v>8.0091740000000008E-3</v>
      </c>
      <c r="X4451">
        <v>0.99822710000000003</v>
      </c>
      <c r="Y4451">
        <v>-4.6130989999999998E-3</v>
      </c>
      <c r="Z4451">
        <v>-6.4307769999999995E-4</v>
      </c>
      <c r="AA4451">
        <v>0.99998920000000002</v>
      </c>
      <c r="AB4451">
        <v>38</v>
      </c>
      <c r="AC4451">
        <v>-24.282</v>
      </c>
      <c r="AD4451">
        <v>-1.1095787448200001</v>
      </c>
      <c r="AE4451">
        <v>0.17709999999999501</v>
      </c>
      <c r="AF4451">
        <v>-0.114106602474335</v>
      </c>
      <c r="AG4451">
        <v>-1.1095787448200001</v>
      </c>
      <c r="AH4451">
        <v>24.231781374966499</v>
      </c>
      <c r="AI4451">
        <v>92.621726303698196</v>
      </c>
      <c r="AJ4451">
        <v>90.269801807461704</v>
      </c>
      <c r="AK4451">
        <v>24.257440382527101</v>
      </c>
      <c r="AL4451">
        <v>89.541103207675604</v>
      </c>
      <c r="AM4451">
        <v>86.618726644633497</v>
      </c>
      <c r="AN4451">
        <v>0.99999995964868704</v>
      </c>
    </row>
    <row r="4452" spans="1:40" x14ac:dyDescent="0.25">
      <c r="A4452" t="str">
        <f>"20190312154925009"</f>
        <v>20190312154925009</v>
      </c>
      <c r="B4452" t="str">
        <f>"1552376965000234"</f>
        <v>1552376965000234</v>
      </c>
      <c r="C4452" t="s">
        <v>40</v>
      </c>
      <c r="D4452">
        <v>4.727398</v>
      </c>
      <c r="E4452">
        <v>0.47619879999999998</v>
      </c>
      <c r="F4452" t="s">
        <v>63</v>
      </c>
      <c r="G4452">
        <v>-289.83760000000001</v>
      </c>
      <c r="H4452" s="1">
        <v>-9.2626920000000001E-6</v>
      </c>
      <c r="I4452">
        <v>141.06530000000001</v>
      </c>
      <c r="J4452">
        <v>-264.97699999999998</v>
      </c>
      <c r="K4452">
        <v>1.109572</v>
      </c>
      <c r="L4452">
        <v>140.899</v>
      </c>
      <c r="M4452">
        <v>-0.99981560000000003</v>
      </c>
      <c r="N4452">
        <v>0</v>
      </c>
      <c r="O4452">
        <v>1.2130520000000001E-2</v>
      </c>
      <c r="P4452">
        <v>-0.99745760000000006</v>
      </c>
      <c r="Q4452">
        <v>-7.3013219999999998E-3</v>
      </c>
      <c r="R4452">
        <v>7.0889930000000004E-2</v>
      </c>
      <c r="S4452">
        <v>-3.0052490000000001</v>
      </c>
      <c r="T4452">
        <v>-0.13225100000000001</v>
      </c>
      <c r="U4452">
        <v>2.0339969999999999E-2</v>
      </c>
      <c r="V4452">
        <v>5.8786749999999999E-2</v>
      </c>
      <c r="W4452">
        <v>7.5399789999999996E-3</v>
      </c>
      <c r="X4452">
        <v>0.99824210000000002</v>
      </c>
      <c r="Y4452">
        <v>-5.3471810000000003E-3</v>
      </c>
      <c r="Z4452">
        <v>-6.5120119999999997E-4</v>
      </c>
      <c r="AA4452">
        <v>0.99998549999999997</v>
      </c>
      <c r="AB4452">
        <v>38</v>
      </c>
      <c r="AC4452">
        <v>-24.860599999999899</v>
      </c>
      <c r="AD4452">
        <v>-1.1095812626920001</v>
      </c>
      <c r="AE4452">
        <v>0.166300000000006</v>
      </c>
      <c r="AF4452">
        <v>-0.13504865796594101</v>
      </c>
      <c r="AG4452">
        <v>-1.1095812626920001</v>
      </c>
      <c r="AH4452">
        <v>24.811365268837999</v>
      </c>
      <c r="AI4452">
        <v>92.560562549884494</v>
      </c>
      <c r="AJ4452">
        <v>90.311858764491006</v>
      </c>
      <c r="AK4452">
        <v>24.8365306599419</v>
      </c>
      <c r="AL4452">
        <v>89.567986937270604</v>
      </c>
      <c r="AM4452">
        <v>86.629728400148394</v>
      </c>
      <c r="AN4452">
        <v>1.00000001173564</v>
      </c>
    </row>
    <row r="4453" spans="1:40" x14ac:dyDescent="0.25">
      <c r="A4453" t="str">
        <f>"20190312154925031"</f>
        <v>20190312154925031</v>
      </c>
      <c r="B4453" t="str">
        <f>"1552376965020730"</f>
        <v>1552376965020730</v>
      </c>
      <c r="C4453" t="s">
        <v>40</v>
      </c>
      <c r="D4453">
        <v>4.6907940000000004</v>
      </c>
      <c r="E4453">
        <v>0.47612900000000002</v>
      </c>
      <c r="F4453" t="s">
        <v>63</v>
      </c>
      <c r="G4453">
        <v>-290.21690000000001</v>
      </c>
      <c r="H4453" s="1">
        <v>-9.2990440000000006E-6</v>
      </c>
      <c r="I4453">
        <v>141.06129999999999</v>
      </c>
      <c r="J4453">
        <v>-265.35109999999997</v>
      </c>
      <c r="K4453">
        <v>1.1095759999999999</v>
      </c>
      <c r="L4453">
        <v>140.90369999999999</v>
      </c>
      <c r="M4453">
        <v>-0.99981390000000003</v>
      </c>
      <c r="N4453">
        <v>0</v>
      </c>
      <c r="O4453">
        <v>1.226791E-2</v>
      </c>
      <c r="P4453">
        <v>-0.99746970000000001</v>
      </c>
      <c r="Q4453">
        <v>-7.8326919999999901E-3</v>
      </c>
      <c r="R4453">
        <v>7.0659379999999994E-2</v>
      </c>
      <c r="S4453">
        <v>-3.005341</v>
      </c>
      <c r="T4453">
        <v>-0.1321193</v>
      </c>
      <c r="U4453">
        <v>1.9317629999999999E-2</v>
      </c>
      <c r="V4453">
        <v>5.8418610000000003E-2</v>
      </c>
      <c r="W4453">
        <v>7.0083219999999896E-3</v>
      </c>
      <c r="X4453">
        <v>0.99826760000000003</v>
      </c>
      <c r="Y4453">
        <v>-5.8243919999999899E-3</v>
      </c>
      <c r="Z4453">
        <v>-6.6705569999999997E-4</v>
      </c>
      <c r="AA4453">
        <v>0.99998279999999995</v>
      </c>
      <c r="AB4453">
        <v>38</v>
      </c>
      <c r="AC4453">
        <v>-24.8658</v>
      </c>
      <c r="AD4453">
        <v>-1.1095852990440001</v>
      </c>
      <c r="AE4453">
        <v>0.15760000000000199</v>
      </c>
      <c r="AF4453">
        <v>-0.14720397224429599</v>
      </c>
      <c r="AG4453">
        <v>-1.1095852990440001</v>
      </c>
      <c r="AH4453">
        <v>24.8164492655402</v>
      </c>
      <c r="AI4453">
        <v>92.560040875485001</v>
      </c>
      <c r="AJ4453">
        <v>90.339857943808994</v>
      </c>
      <c r="AK4453">
        <v>24.841678741470599</v>
      </c>
      <c r="AL4453">
        <v>89.5984494511506</v>
      </c>
      <c r="AM4453">
        <v>86.650871199111194</v>
      </c>
      <c r="AN4453">
        <v>1.0000000258906701</v>
      </c>
    </row>
    <row r="4454" spans="1:40" x14ac:dyDescent="0.25">
      <c r="A4454" t="str">
        <f>"20190312154925055"</f>
        <v>20190312154925055</v>
      </c>
      <c r="B4454" t="str">
        <f>"1552376965050010"</f>
        <v>1552376965050010</v>
      </c>
      <c r="C4454" t="s">
        <v>40</v>
      </c>
      <c r="D4454">
        <v>4.6886839999999896</v>
      </c>
      <c r="E4454">
        <v>0.47607729999999998</v>
      </c>
      <c r="F4454" t="s">
        <v>63</v>
      </c>
      <c r="G4454">
        <v>-290.54199999999997</v>
      </c>
      <c r="H4454" s="1">
        <v>-9.2655070000000005E-6</v>
      </c>
      <c r="I4454">
        <v>141.05510000000001</v>
      </c>
      <c r="J4454">
        <v>-265.75080000000003</v>
      </c>
      <c r="K4454">
        <v>1.109577</v>
      </c>
      <c r="L4454">
        <v>140.90880000000001</v>
      </c>
      <c r="M4454">
        <v>-0.99981209999999998</v>
      </c>
      <c r="N4454">
        <v>0</v>
      </c>
      <c r="O4454">
        <v>1.2414649999999999E-2</v>
      </c>
      <c r="P4454">
        <v>-0.99745910000000004</v>
      </c>
      <c r="Q4454">
        <v>-8.2504899999999992E-3</v>
      </c>
      <c r="R4454">
        <v>7.0762279999999997E-2</v>
      </c>
      <c r="S4454">
        <v>-3.0052490000000001</v>
      </c>
      <c r="T4454">
        <v>-0.1323724</v>
      </c>
      <c r="U4454">
        <v>1.8051149999999998E-2</v>
      </c>
      <c r="V4454">
        <v>5.837494E-2</v>
      </c>
      <c r="W4454">
        <v>6.58919E-3</v>
      </c>
      <c r="X4454">
        <v>0.99827299999999997</v>
      </c>
      <c r="Y4454">
        <v>-6.3916019999999997E-3</v>
      </c>
      <c r="Z4454">
        <v>-6.8730020000000002E-4</v>
      </c>
      <c r="AA4454">
        <v>0.99997930000000002</v>
      </c>
      <c r="AB4454">
        <v>38</v>
      </c>
      <c r="AC4454">
        <v>-24.7912</v>
      </c>
      <c r="AD4454">
        <v>-1.1095862655069999</v>
      </c>
      <c r="AE4454">
        <v>0.14629999999999599</v>
      </c>
      <c r="AF4454">
        <v>-0.16119656178099701</v>
      </c>
      <c r="AG4454">
        <v>-1.1095862655069999</v>
      </c>
      <c r="AH4454">
        <v>24.741544665281602</v>
      </c>
      <c r="AI4454">
        <v>92.567773918733906</v>
      </c>
      <c r="AJ4454">
        <v>90.373289222987196</v>
      </c>
      <c r="AK4454">
        <v>24.766937607145898</v>
      </c>
      <c r="AL4454">
        <v>89.622464496957704</v>
      </c>
      <c r="AM4454">
        <v>86.653387162007306</v>
      </c>
      <c r="AN4454">
        <v>1.0000000167869201</v>
      </c>
    </row>
    <row r="4455" spans="1:40" x14ac:dyDescent="0.25">
      <c r="A4455" t="str">
        <f>"20190312154925078"</f>
        <v>20190312154925078</v>
      </c>
      <c r="B4455" t="str">
        <f>"1552376965070506"</f>
        <v>1552376965070506</v>
      </c>
      <c r="C4455" t="s">
        <v>40</v>
      </c>
      <c r="D4455">
        <v>4.6943849999999996</v>
      </c>
      <c r="E4455">
        <v>0.47611219999999999</v>
      </c>
      <c r="F4455" t="s">
        <v>63</v>
      </c>
      <c r="G4455">
        <v>-291.16649999999998</v>
      </c>
      <c r="H4455" s="1">
        <v>-9.2057909999999996E-6</v>
      </c>
      <c r="I4455">
        <v>141.06030000000001</v>
      </c>
      <c r="J4455">
        <v>-266.12400000000002</v>
      </c>
      <c r="K4455">
        <v>1.1095809999999999</v>
      </c>
      <c r="L4455">
        <v>140.9135</v>
      </c>
      <c r="M4455">
        <v>-0.99981059999999999</v>
      </c>
      <c r="N4455">
        <v>0</v>
      </c>
      <c r="O4455">
        <v>1.255151E-2</v>
      </c>
      <c r="P4455">
        <v>-0.99744809999999995</v>
      </c>
      <c r="Q4455">
        <v>-8.3355719999999994E-3</v>
      </c>
      <c r="R4455">
        <v>7.0908979999999996E-2</v>
      </c>
      <c r="S4455">
        <v>-3.0053100000000001</v>
      </c>
      <c r="T4455">
        <v>-0.13120399999999999</v>
      </c>
      <c r="U4455">
        <v>1.791382E-2</v>
      </c>
      <c r="V4455">
        <v>5.8385050000000001E-2</v>
      </c>
      <c r="W4455">
        <v>6.5024089999999998E-3</v>
      </c>
      <c r="X4455">
        <v>0.99827299999999997</v>
      </c>
      <c r="Y4455">
        <v>-6.5743099999999999E-3</v>
      </c>
      <c r="Z4455">
        <v>-6.9118420000000003E-4</v>
      </c>
      <c r="AA4455">
        <v>0.99997809999999998</v>
      </c>
      <c r="AB4455">
        <v>38</v>
      </c>
      <c r="AC4455">
        <v>-25.042499999999901</v>
      </c>
      <c r="AD4455">
        <v>-1.1095902057910001</v>
      </c>
      <c r="AE4455">
        <v>0.146800000000013</v>
      </c>
      <c r="AF4455">
        <v>-0.16723921231597</v>
      </c>
      <c r="AG4455">
        <v>-1.1095902057910001</v>
      </c>
      <c r="AH4455">
        <v>24.993303879470702</v>
      </c>
      <c r="AI4455">
        <v>92.541948722426298</v>
      </c>
      <c r="AJ4455">
        <v>90.383381007737</v>
      </c>
      <c r="AK4455">
        <v>25.0184811327644</v>
      </c>
      <c r="AL4455">
        <v>89.627436796704103</v>
      </c>
      <c r="AM4455">
        <v>86.652808877312097</v>
      </c>
      <c r="AN4455">
        <v>1.00000003895765</v>
      </c>
    </row>
    <row r="4456" spans="1:40" x14ac:dyDescent="0.25">
      <c r="A4456" t="str">
        <f>"20190312154925099"</f>
        <v>20190312154925099</v>
      </c>
      <c r="B4456" t="str">
        <f>"1552376965090025"</f>
        <v>1552376965090025</v>
      </c>
      <c r="C4456" t="s">
        <v>40</v>
      </c>
      <c r="D4456">
        <v>4.7612759999999996</v>
      </c>
      <c r="E4456">
        <v>0.48615350000000002</v>
      </c>
      <c r="F4456" t="s">
        <v>63</v>
      </c>
      <c r="G4456">
        <v>-291.6678</v>
      </c>
      <c r="H4456" s="1">
        <v>-9.1627900000000007E-6</v>
      </c>
      <c r="I4456">
        <v>141.07320000000001</v>
      </c>
      <c r="J4456">
        <v>-266.48849999999999</v>
      </c>
      <c r="K4456">
        <v>1.109585</v>
      </c>
      <c r="L4456">
        <v>140.91829999999999</v>
      </c>
      <c r="M4456">
        <v>-0.99980880000000005</v>
      </c>
      <c r="N4456">
        <v>0</v>
      </c>
      <c r="O4456">
        <v>1.268556E-2</v>
      </c>
      <c r="P4456">
        <v>-0.99740130000000005</v>
      </c>
      <c r="Q4456">
        <v>-8.0461100000000004E-3</v>
      </c>
      <c r="R4456">
        <v>7.1597049999999995E-2</v>
      </c>
      <c r="S4456">
        <v>-3.0052490000000001</v>
      </c>
      <c r="T4456">
        <v>-0.1305442</v>
      </c>
      <c r="U4456">
        <v>1.8783569999999999E-2</v>
      </c>
      <c r="V4456">
        <v>5.893996E-2</v>
      </c>
      <c r="W4456">
        <v>6.789458E-3</v>
      </c>
      <c r="X4456">
        <v>0.99823839999999997</v>
      </c>
      <c r="Y4456">
        <v>-6.4190760000000001E-3</v>
      </c>
      <c r="Z4456">
        <v>-6.9017530000000001E-4</v>
      </c>
      <c r="AA4456">
        <v>0.99997910000000001</v>
      </c>
      <c r="AB4456">
        <v>38</v>
      </c>
      <c r="AC4456">
        <v>-25.179300000000001</v>
      </c>
      <c r="AD4456">
        <v>-1.1095941627899999</v>
      </c>
      <c r="AE4456">
        <v>0.15490000000002599</v>
      </c>
      <c r="AF4456">
        <v>-0.16424241835006201</v>
      </c>
      <c r="AG4456">
        <v>-1.1095941627899999</v>
      </c>
      <c r="AH4456">
        <v>25.130438168669802</v>
      </c>
      <c r="AI4456">
        <v>92.528107213105699</v>
      </c>
      <c r="AJ4456">
        <v>90.374456797904799</v>
      </c>
      <c r="AK4456">
        <v>25.155458599028101</v>
      </c>
      <c r="AL4456">
        <v>89.610989706912804</v>
      </c>
      <c r="AM4456">
        <v>86.6209526306464</v>
      </c>
      <c r="AN4456">
        <v>0.99999995942964603</v>
      </c>
    </row>
    <row r="4457" spans="1:40" x14ac:dyDescent="0.25">
      <c r="A4457" t="str">
        <f>"20190312154925121"</f>
        <v>20190312154925121</v>
      </c>
      <c r="B4457" t="str">
        <f>"1552376965110538"</f>
        <v>1552376965110538</v>
      </c>
      <c r="C4457" t="s">
        <v>40</v>
      </c>
      <c r="D4457">
        <v>4.695843</v>
      </c>
      <c r="E4457">
        <v>0.51047869999999995</v>
      </c>
      <c r="F4457" t="s">
        <v>63</v>
      </c>
      <c r="G4457">
        <v>-297.28809999999999</v>
      </c>
      <c r="H4457" s="1">
        <v>-8.9033970000000003E-6</v>
      </c>
      <c r="I4457">
        <v>141.96170000000001</v>
      </c>
      <c r="J4457">
        <v>-266.84910000000002</v>
      </c>
      <c r="K4457">
        <v>1.1095809999999999</v>
      </c>
      <c r="L4457">
        <v>140.923</v>
      </c>
      <c r="M4457">
        <v>-0.99980720000000001</v>
      </c>
      <c r="N4457">
        <v>0</v>
      </c>
      <c r="O4457">
        <v>1.2818070000000001E-2</v>
      </c>
      <c r="P4457">
        <v>-0.99734909999999999</v>
      </c>
      <c r="Q4457">
        <v>-7.7109269999999898E-3</v>
      </c>
      <c r="R4457">
        <v>7.2356669999999998E-2</v>
      </c>
      <c r="S4457">
        <v>-2.9996640000000001</v>
      </c>
      <c r="T4457">
        <v>-0.1080666</v>
      </c>
      <c r="U4457">
        <v>0.10162350000000001</v>
      </c>
      <c r="V4457">
        <v>5.9568030000000001E-2</v>
      </c>
      <c r="W4457">
        <v>7.121329E-3</v>
      </c>
      <c r="X4457">
        <v>0.9981989</v>
      </c>
      <c r="Y4457">
        <v>2.1038629999999999E-2</v>
      </c>
      <c r="Z4457" s="1">
        <v>-8.2781479999999999E-5</v>
      </c>
      <c r="AA4457">
        <v>0.99977870000000002</v>
      </c>
      <c r="AB4457">
        <v>38</v>
      </c>
      <c r="AC4457">
        <v>-30.438999999999901</v>
      </c>
      <c r="AD4457">
        <v>-1.109589903397</v>
      </c>
      <c r="AE4457">
        <v>1.0387</v>
      </c>
      <c r="AF4457">
        <v>0.64754277940537097</v>
      </c>
      <c r="AG4457">
        <v>-1.109589903397</v>
      </c>
      <c r="AH4457">
        <v>30.409452826851801</v>
      </c>
      <c r="AI4457">
        <v>92.089226572228398</v>
      </c>
      <c r="AJ4457">
        <v>88.780120698367995</v>
      </c>
      <c r="AK4457">
        <v>30.436578694613502</v>
      </c>
      <c r="AL4457">
        <v>89.591974476933004</v>
      </c>
      <c r="AM4457">
        <v>86.584895123720301</v>
      </c>
      <c r="AN4457">
        <v>1.0000000537430001</v>
      </c>
    </row>
    <row r="4458" spans="1:40" x14ac:dyDescent="0.25">
      <c r="A4458" t="str">
        <f>"20190312154925144"</f>
        <v>20190312154925144</v>
      </c>
      <c r="B4458" t="str">
        <f>"1552376965139802"</f>
        <v>1552376965139802</v>
      </c>
      <c r="C4458" t="s">
        <v>40</v>
      </c>
      <c r="D4458">
        <v>4.6941800000000002</v>
      </c>
      <c r="E4458">
        <v>0.51332100000000003</v>
      </c>
      <c r="F4458" t="s">
        <v>63</v>
      </c>
      <c r="G4458">
        <v>-309.62279999999998</v>
      </c>
      <c r="H4458" s="1">
        <v>-1.109953E-5</v>
      </c>
      <c r="I4458">
        <v>145.2003</v>
      </c>
      <c r="J4458">
        <v>-267.23880000000003</v>
      </c>
      <c r="K4458">
        <v>1.109583</v>
      </c>
      <c r="L4458">
        <v>140.9281</v>
      </c>
      <c r="M4458">
        <v>-0.99980539999999996</v>
      </c>
      <c r="N4458">
        <v>0</v>
      </c>
      <c r="O4458">
        <v>1.29616E-2</v>
      </c>
      <c r="P4458">
        <v>-0.99727069999999995</v>
      </c>
      <c r="Q4458">
        <v>-7.6455230000000004E-3</v>
      </c>
      <c r="R4458">
        <v>7.3438219999999998E-2</v>
      </c>
      <c r="S4458">
        <v>-2.9857179999999999</v>
      </c>
      <c r="T4458">
        <v>-7.7452419999999994E-2</v>
      </c>
      <c r="U4458">
        <v>0.29856870000000002</v>
      </c>
      <c r="V4458">
        <v>6.0507329999999998E-2</v>
      </c>
      <c r="W4458">
        <v>7.1828389999999999E-3</v>
      </c>
      <c r="X4458">
        <v>0.99814190000000003</v>
      </c>
      <c r="Y4458">
        <v>8.6571129999999996E-2</v>
      </c>
      <c r="Z4458">
        <v>7.845695E-4</v>
      </c>
      <c r="AA4458">
        <v>0.99624539999999995</v>
      </c>
      <c r="AB4458">
        <v>38</v>
      </c>
      <c r="AC4458">
        <v>-42.383999999999901</v>
      </c>
      <c r="AD4458">
        <v>-1.10959409953</v>
      </c>
      <c r="AE4458">
        <v>4.27219999999999</v>
      </c>
      <c r="AF4458">
        <v>3.7198919656518998</v>
      </c>
      <c r="AG4458">
        <v>-1.10959409953</v>
      </c>
      <c r="AH4458">
        <v>42.407047270737401</v>
      </c>
      <c r="AI4458">
        <v>91.493089883434493</v>
      </c>
      <c r="AJ4458">
        <v>84.986919042455</v>
      </c>
      <c r="AK4458">
        <v>42.584345169608902</v>
      </c>
      <c r="AL4458">
        <v>89.5884500979043</v>
      </c>
      <c r="AM4458">
        <v>86.530976825054196</v>
      </c>
      <c r="AN4458">
        <v>0.999999991347719</v>
      </c>
    </row>
    <row r="4459" spans="1:40" x14ac:dyDescent="0.25">
      <c r="A4459" t="str">
        <f>"20190312154925167"</f>
        <v>20190312154925167</v>
      </c>
      <c r="B4459" t="str">
        <f>"1552376965160299"</f>
        <v>1552376965160299</v>
      </c>
      <c r="C4459" t="s">
        <v>40</v>
      </c>
      <c r="D4459">
        <v>4.7544890000000004</v>
      </c>
      <c r="E4459">
        <v>0.5145113</v>
      </c>
      <c r="F4459" t="s">
        <v>63</v>
      </c>
      <c r="G4459">
        <v>-312.2946</v>
      </c>
      <c r="H4459" s="1">
        <v>-1.0298179999999999E-5</v>
      </c>
      <c r="I4459">
        <v>145.82830000000001</v>
      </c>
      <c r="J4459">
        <v>-267.61250000000001</v>
      </c>
      <c r="K4459">
        <v>1.1095930000000001</v>
      </c>
      <c r="L4459">
        <v>140.9331</v>
      </c>
      <c r="M4459">
        <v>-0.99980369999999996</v>
      </c>
      <c r="N4459">
        <v>0</v>
      </c>
      <c r="O4459">
        <v>1.3099120000000001E-2</v>
      </c>
      <c r="P4459">
        <v>-0.99721539999999997</v>
      </c>
      <c r="Q4459">
        <v>-7.6625360000000002E-3</v>
      </c>
      <c r="R4459">
        <v>7.4182390000000001E-2</v>
      </c>
      <c r="S4459">
        <v>-2.983765</v>
      </c>
      <c r="T4459">
        <v>-7.3481439999999995E-2</v>
      </c>
      <c r="U4459">
        <v>0.32450869999999998</v>
      </c>
      <c r="V4459">
        <v>6.1114740000000001E-2</v>
      </c>
      <c r="W4459">
        <v>7.162336E-3</v>
      </c>
      <c r="X4459">
        <v>0.99810500000000002</v>
      </c>
      <c r="Y4459">
        <v>9.506299E-2</v>
      </c>
      <c r="Z4459">
        <v>8.4537789999999903E-4</v>
      </c>
      <c r="AA4459">
        <v>0.99547090000000005</v>
      </c>
      <c r="AB4459">
        <v>37</v>
      </c>
      <c r="AC4459">
        <v>-44.682099999999899</v>
      </c>
      <c r="AD4459">
        <v>-1.1096032981799999</v>
      </c>
      <c r="AE4459">
        <v>4.8952000000000098</v>
      </c>
      <c r="AF4459">
        <v>4.3067945791642899</v>
      </c>
      <c r="AG4459">
        <v>-1.1096032981799999</v>
      </c>
      <c r="AH4459">
        <v>44.715147030404601</v>
      </c>
      <c r="AI4459">
        <v>91.414953796388701</v>
      </c>
      <c r="AJ4459">
        <v>84.498456662968707</v>
      </c>
      <c r="AK4459">
        <v>44.935777204552203</v>
      </c>
      <c r="AL4459">
        <v>89.589624846845695</v>
      </c>
      <c r="AM4459">
        <v>86.496109737864302</v>
      </c>
      <c r="AN4459">
        <v>0.99999995076362103</v>
      </c>
    </row>
    <row r="4460" spans="1:40" x14ac:dyDescent="0.25">
      <c r="A4460" t="str">
        <f>"20190312154925187"</f>
        <v>20190312154925187</v>
      </c>
      <c r="B4460" t="str">
        <f>"1552376965180794"</f>
        <v>1552376965180794</v>
      </c>
      <c r="C4460" t="s">
        <v>40</v>
      </c>
      <c r="D4460">
        <v>4.7046590000000004</v>
      </c>
      <c r="E4460">
        <v>0.51460899999999998</v>
      </c>
      <c r="F4460" t="s">
        <v>63</v>
      </c>
      <c r="G4460">
        <v>-314.86160000000001</v>
      </c>
      <c r="H4460" s="1">
        <v>-9.3944749999999995E-6</v>
      </c>
      <c r="I4460">
        <v>146.26079999999999</v>
      </c>
      <c r="J4460">
        <v>-267.96899999999999</v>
      </c>
      <c r="K4460">
        <v>1.1095930000000001</v>
      </c>
      <c r="L4460">
        <v>140.93790000000001</v>
      </c>
      <c r="M4460">
        <v>-0.99980190000000002</v>
      </c>
      <c r="N4460">
        <v>0</v>
      </c>
      <c r="O4460">
        <v>1.3230560000000001E-2</v>
      </c>
      <c r="P4460">
        <v>-0.99717610000000001</v>
      </c>
      <c r="Q4460">
        <v>-7.0530599999999999E-3</v>
      </c>
      <c r="R4460">
        <v>7.4768329999999994E-2</v>
      </c>
      <c r="S4460">
        <v>-2.9828190000000001</v>
      </c>
      <c r="T4460">
        <v>-7.0048929999999995E-2</v>
      </c>
      <c r="U4460">
        <v>0.33633420000000003</v>
      </c>
      <c r="V4460">
        <v>6.1570149999999997E-2</v>
      </c>
      <c r="W4460">
        <v>7.7683800000000001E-3</v>
      </c>
      <c r="X4460">
        <v>0.99807250000000003</v>
      </c>
      <c r="Y4460">
        <v>9.8865339999999996E-2</v>
      </c>
      <c r="Z4460">
        <v>8.4740439999999998E-4</v>
      </c>
      <c r="AA4460">
        <v>0.9951004</v>
      </c>
      <c r="AB4460">
        <v>37</v>
      </c>
      <c r="AC4460">
        <v>-46.892600000000002</v>
      </c>
      <c r="AD4460">
        <v>-1.109602394475</v>
      </c>
      <c r="AE4460">
        <v>5.3228999999999704</v>
      </c>
      <c r="AF4460">
        <v>4.6993522461141897</v>
      </c>
      <c r="AG4460">
        <v>-1.109602394475</v>
      </c>
      <c r="AH4460">
        <v>46.9329829973193</v>
      </c>
      <c r="AI4460">
        <v>91.347614041698407</v>
      </c>
      <c r="AJ4460">
        <v>84.282089473862101</v>
      </c>
      <c r="AK4460">
        <v>47.180716633319001</v>
      </c>
      <c r="AL4460">
        <v>89.554900123536399</v>
      </c>
      <c r="AM4460">
        <v>86.469950847567404</v>
      </c>
      <c r="AN4460">
        <v>0.99999997317754796</v>
      </c>
    </row>
    <row r="4461" spans="1:40" x14ac:dyDescent="0.25">
      <c r="A4461" t="str">
        <f>"20190312154925211"</f>
        <v>20190312154925211</v>
      </c>
      <c r="B4461" t="str">
        <f>"1552376965200332"</f>
        <v>1552376965200332</v>
      </c>
      <c r="C4461" t="s">
        <v>40</v>
      </c>
      <c r="D4461">
        <v>4.6979610000000003</v>
      </c>
      <c r="E4461">
        <v>0.51493820000000001</v>
      </c>
      <c r="F4461" t="s">
        <v>63</v>
      </c>
      <c r="G4461">
        <v>-317.56909999999999</v>
      </c>
      <c r="H4461" s="1">
        <v>-8.2826079999999995E-6</v>
      </c>
      <c r="I4461">
        <v>146.5727</v>
      </c>
      <c r="J4461">
        <v>-268.346</v>
      </c>
      <c r="K4461">
        <v>1.109591</v>
      </c>
      <c r="L4461">
        <v>140.94299999999899</v>
      </c>
      <c r="M4461">
        <v>-0.99980009999999997</v>
      </c>
      <c r="N4461">
        <v>0</v>
      </c>
      <c r="O4461">
        <v>1.336939E-2</v>
      </c>
      <c r="P4461">
        <v>-0.99712670000000003</v>
      </c>
      <c r="Q4461">
        <v>-6.4839729999999996E-3</v>
      </c>
      <c r="R4461">
        <v>7.5476180000000004E-2</v>
      </c>
      <c r="S4461">
        <v>-2.9825740000000001</v>
      </c>
      <c r="T4461">
        <v>-6.6722989999999996E-2</v>
      </c>
      <c r="U4461">
        <v>0.33883669999999999</v>
      </c>
      <c r="V4461">
        <v>6.2140149999999998E-2</v>
      </c>
      <c r="W4461">
        <v>8.3338879999999994E-3</v>
      </c>
      <c r="X4461">
        <v>0.99803260000000005</v>
      </c>
      <c r="Y4461">
        <v>9.9562559999999994E-2</v>
      </c>
      <c r="Z4461">
        <v>8.1188630000000005E-4</v>
      </c>
      <c r="AA4461">
        <v>0.995031</v>
      </c>
      <c r="AB4461">
        <v>37</v>
      </c>
      <c r="AC4461">
        <v>-49.223099999999903</v>
      </c>
      <c r="AD4461">
        <v>-1.1095992826079999</v>
      </c>
      <c r="AE4461">
        <v>5.6297000000000104</v>
      </c>
      <c r="AF4461">
        <v>4.9685489978320296</v>
      </c>
      <c r="AG4461">
        <v>-1.1095992826079999</v>
      </c>
      <c r="AH4461">
        <v>49.269260669071997</v>
      </c>
      <c r="AI4461">
        <v>91.283639051755401</v>
      </c>
      <c r="AJ4461">
        <v>84.241486350930799</v>
      </c>
      <c r="AK4461">
        <v>49.531583223119199</v>
      </c>
      <c r="AL4461">
        <v>89.522497844694399</v>
      </c>
      <c r="AM4461">
        <v>86.437212318386202</v>
      </c>
      <c r="AN4461">
        <v>0.99999996129698798</v>
      </c>
    </row>
    <row r="4462" spans="1:40" x14ac:dyDescent="0.25">
      <c r="A4462" t="str">
        <f>"20190312154925233"</f>
        <v>20190312154925233</v>
      </c>
      <c r="B4462" t="str">
        <f>"1552376965219834"</f>
        <v>1552376965219834</v>
      </c>
      <c r="C4462" t="s">
        <v>40</v>
      </c>
      <c r="D4462">
        <v>4.7499310000000001</v>
      </c>
      <c r="E4462">
        <v>0.51483009999999996</v>
      </c>
      <c r="F4462" t="s">
        <v>63</v>
      </c>
      <c r="G4462">
        <v>-319.49579999999997</v>
      </c>
      <c r="H4462" s="1">
        <v>-7.497915E-6</v>
      </c>
      <c r="I4462">
        <v>146.83680000000001</v>
      </c>
      <c r="J4462">
        <v>-268.72620000000001</v>
      </c>
      <c r="K4462">
        <v>1.10959599999999</v>
      </c>
      <c r="L4462">
        <v>140.94829999999999</v>
      </c>
      <c r="M4462">
        <v>-0.99979830000000003</v>
      </c>
      <c r="N4462">
        <v>0</v>
      </c>
      <c r="O4462">
        <v>1.350924E-2</v>
      </c>
      <c r="P4462">
        <v>-0.99706260000000002</v>
      </c>
      <c r="Q4462">
        <v>-6.4659660000000001E-3</v>
      </c>
      <c r="R4462">
        <v>7.6317250000000003E-2</v>
      </c>
      <c r="S4462">
        <v>-2.982208</v>
      </c>
      <c r="T4462">
        <v>-6.469345E-2</v>
      </c>
      <c r="U4462">
        <v>0.34362789999999999</v>
      </c>
      <c r="V4462">
        <v>6.2842410000000001E-2</v>
      </c>
      <c r="W4462">
        <v>8.3472400000000006E-3</v>
      </c>
      <c r="X4462">
        <v>0.9979886</v>
      </c>
      <c r="Y4462">
        <v>0.10101590000000001</v>
      </c>
      <c r="Z4462">
        <v>7.999099E-4</v>
      </c>
      <c r="AA4462">
        <v>0.99488449999999995</v>
      </c>
      <c r="AB4462">
        <v>37</v>
      </c>
      <c r="AC4462">
        <v>-50.769599999999897</v>
      </c>
      <c r="AD4462">
        <v>-1.10960349791499</v>
      </c>
      <c r="AE4462">
        <v>5.8885000000000201</v>
      </c>
      <c r="AF4462">
        <v>5.1995773544705299</v>
      </c>
      <c r="AG4462">
        <v>-1.10960349791499</v>
      </c>
      <c r="AH4462">
        <v>50.820570753757401</v>
      </c>
      <c r="AI4462">
        <v>91.244289342713998</v>
      </c>
      <c r="AJ4462">
        <v>84.158255032996607</v>
      </c>
      <c r="AK4462">
        <v>51.097918121244199</v>
      </c>
      <c r="AL4462">
        <v>89.521732844992698</v>
      </c>
      <c r="AM4462">
        <v>86.396895481713003</v>
      </c>
      <c r="AN4462">
        <v>1.0000000453200899</v>
      </c>
    </row>
    <row r="4463" spans="1:40" x14ac:dyDescent="0.25">
      <c r="A4463" t="str">
        <f>"20190312154925255"</f>
        <v>20190312154925255</v>
      </c>
      <c r="B4463" t="str">
        <f>"1552376965250090"</f>
        <v>1552376965250090</v>
      </c>
      <c r="C4463" t="s">
        <v>40</v>
      </c>
      <c r="D4463">
        <v>4.7625960000000003</v>
      </c>
      <c r="E4463">
        <v>0.51417330000000006</v>
      </c>
      <c r="F4463" t="s">
        <v>63</v>
      </c>
      <c r="G4463">
        <v>-316.88229999999999</v>
      </c>
      <c r="H4463" s="1">
        <v>-8.5735720000000005E-6</v>
      </c>
      <c r="I4463">
        <v>146.52119999999999</v>
      </c>
      <c r="J4463">
        <v>-269.10910000000001</v>
      </c>
      <c r="K4463">
        <v>1.1095969999999999</v>
      </c>
      <c r="L4463">
        <v>140.95359999999999</v>
      </c>
      <c r="M4463">
        <v>-0.99979640000000003</v>
      </c>
      <c r="N4463">
        <v>0</v>
      </c>
      <c r="O4463">
        <v>1.365039E-2</v>
      </c>
      <c r="P4463">
        <v>-0.99703319999999995</v>
      </c>
      <c r="Q4463">
        <v>-6.9830040000000001E-3</v>
      </c>
      <c r="R4463">
        <v>7.6658149999999994E-2</v>
      </c>
      <c r="S4463">
        <v>-2.9819640000000001</v>
      </c>
      <c r="T4463">
        <v>-6.8709969999999995E-2</v>
      </c>
      <c r="U4463">
        <v>0.34509279999999998</v>
      </c>
      <c r="V4463">
        <v>6.3042639999999997E-2</v>
      </c>
      <c r="W4463">
        <v>7.8265509999999993E-3</v>
      </c>
      <c r="X4463">
        <v>0.99798010000000004</v>
      </c>
      <c r="Y4463">
        <v>0.10136439999999999</v>
      </c>
      <c r="Z4463">
        <v>8.5036509999999999E-4</v>
      </c>
      <c r="AA4463">
        <v>0.99484899999999998</v>
      </c>
      <c r="AB4463">
        <v>37</v>
      </c>
      <c r="AC4463">
        <v>-47.773199999999903</v>
      </c>
      <c r="AD4463">
        <v>-1.1096055735719901</v>
      </c>
      <c r="AE4463">
        <v>5.5675999999999899</v>
      </c>
      <c r="AF4463">
        <v>4.9122718004671801</v>
      </c>
      <c r="AG4463">
        <v>-1.1096055735719901</v>
      </c>
      <c r="AH4463">
        <v>47.819304775758198</v>
      </c>
      <c r="AI4463">
        <v>91.322304373450393</v>
      </c>
      <c r="AJ4463">
        <v>84.134823808343697</v>
      </c>
      <c r="AK4463">
        <v>48.0837555522385</v>
      </c>
      <c r="AL4463">
        <v>89.551567061033097</v>
      </c>
      <c r="AM4463">
        <v>86.385414866429201</v>
      </c>
      <c r="AN4463">
        <v>0.99999995467736602</v>
      </c>
    </row>
    <row r="4464" spans="1:40" x14ac:dyDescent="0.25">
      <c r="A4464" t="str">
        <f>"20190312154925278"</f>
        <v>20190312154925278</v>
      </c>
      <c r="B4464" t="str">
        <f>"1552376965270587"</f>
        <v>1552376965270587</v>
      </c>
      <c r="C4464" t="s">
        <v>40</v>
      </c>
      <c r="D4464">
        <v>4.9281030000000001</v>
      </c>
      <c r="E4464">
        <v>0.51424040000000004</v>
      </c>
      <c r="F4464" t="s">
        <v>63</v>
      </c>
      <c r="G4464">
        <v>-311.35770000000002</v>
      </c>
      <c r="H4464" s="1">
        <v>-1.069904E-5</v>
      </c>
      <c r="I4464">
        <v>145.7792</v>
      </c>
      <c r="J4464">
        <v>-269.47710000000001</v>
      </c>
      <c r="K4464">
        <v>1.1095969999999999</v>
      </c>
      <c r="L4464">
        <v>140.95869999999999</v>
      </c>
      <c r="M4464">
        <v>-0.99979470000000004</v>
      </c>
      <c r="N4464">
        <v>0</v>
      </c>
      <c r="O4464">
        <v>1.378601E-2</v>
      </c>
      <c r="P4464">
        <v>-0.99702239999999998</v>
      </c>
      <c r="Q4464">
        <v>-7.2867640000000003E-3</v>
      </c>
      <c r="R4464">
        <v>7.6768729999999993E-2</v>
      </c>
      <c r="S4464">
        <v>-2.9821780000000002</v>
      </c>
      <c r="T4464">
        <v>-7.8323359999999995E-2</v>
      </c>
      <c r="U4464">
        <v>0.34062189999999998</v>
      </c>
      <c r="V4464">
        <v>6.3017870000000004E-2</v>
      </c>
      <c r="W4464">
        <v>7.5194759999999998E-3</v>
      </c>
      <c r="X4464">
        <v>0.99798410000000004</v>
      </c>
      <c r="Y4464">
        <v>9.9742849999999994E-2</v>
      </c>
      <c r="Z4464">
        <v>9.4454779999999996E-4</v>
      </c>
      <c r="AA4464">
        <v>0.99501280000000003</v>
      </c>
      <c r="AB4464">
        <v>37</v>
      </c>
      <c r="AC4464">
        <v>-41.880600000000001</v>
      </c>
      <c r="AD4464">
        <v>-1.1096076990399999</v>
      </c>
      <c r="AE4464">
        <v>4.8205000000000098</v>
      </c>
      <c r="AF4464">
        <v>4.23967458787833</v>
      </c>
      <c r="AG4464">
        <v>-1.1096076990399999</v>
      </c>
      <c r="AH4464">
        <v>41.914044592118103</v>
      </c>
      <c r="AI4464">
        <v>91.508765125028603</v>
      </c>
      <c r="AJ4464">
        <v>84.224083213211102</v>
      </c>
      <c r="AK4464">
        <v>42.142534379495203</v>
      </c>
      <c r="AL4464">
        <v>89.569161713432806</v>
      </c>
      <c r="AM4464">
        <v>86.386845748821699</v>
      </c>
      <c r="AN4464">
        <v>1.0000000291557301</v>
      </c>
    </row>
    <row r="4465" spans="1:40" x14ac:dyDescent="0.25">
      <c r="A4465" t="str">
        <f>"20190312154925300"</f>
        <v>20190312154925300</v>
      </c>
      <c r="B4465" t="str">
        <f>"1552376965290106"</f>
        <v>1552376965290106</v>
      </c>
      <c r="C4465" t="s">
        <v>40</v>
      </c>
      <c r="D4465">
        <v>4.7860779999999998</v>
      </c>
      <c r="E4465">
        <v>0.51386319999999996</v>
      </c>
      <c r="F4465" t="s">
        <v>63</v>
      </c>
      <c r="G4465">
        <v>-311.13569999999999</v>
      </c>
      <c r="H4465" s="1">
        <v>-1.07831199999999E-5</v>
      </c>
      <c r="I4465">
        <v>145.73099999999999</v>
      </c>
      <c r="J4465">
        <v>-269.846</v>
      </c>
      <c r="K4465">
        <v>1.109594</v>
      </c>
      <c r="L4465">
        <v>140.964</v>
      </c>
      <c r="M4465">
        <v>-0.99979280000000004</v>
      </c>
      <c r="N4465">
        <v>0</v>
      </c>
      <c r="O4465">
        <v>1.3920780000000001E-2</v>
      </c>
      <c r="P4465">
        <v>-0.99701799999999996</v>
      </c>
      <c r="Q4465">
        <v>-7.5621150000000003E-3</v>
      </c>
      <c r="R4465">
        <v>7.6800729999999998E-2</v>
      </c>
      <c r="S4465">
        <v>-2.9820859999999998</v>
      </c>
      <c r="T4465">
        <v>-7.9429979999999997E-2</v>
      </c>
      <c r="U4465">
        <v>0.34161380000000002</v>
      </c>
      <c r="V4465">
        <v>6.2915269999999995E-2</v>
      </c>
      <c r="W4465">
        <v>7.2410130000000001E-3</v>
      </c>
      <c r="X4465">
        <v>0.99799260000000001</v>
      </c>
      <c r="Y4465">
        <v>9.9937990000000004E-2</v>
      </c>
      <c r="Z4465">
        <v>9.5691380000000005E-4</v>
      </c>
      <c r="AA4465">
        <v>0.99499320000000002</v>
      </c>
      <c r="AB4465">
        <v>37</v>
      </c>
      <c r="AC4465">
        <v>-41.289699999999897</v>
      </c>
      <c r="AD4465">
        <v>-1.10960478312</v>
      </c>
      <c r="AE4465">
        <v>4.7669999999999897</v>
      </c>
      <c r="AF4465">
        <v>4.1887044903900801</v>
      </c>
      <c r="AG4465">
        <v>-1.10960478312</v>
      </c>
      <c r="AH4465">
        <v>41.322615529339501</v>
      </c>
      <c r="AI4465">
        <v>91.530312228499596</v>
      </c>
      <c r="AJ4465">
        <v>84.211931419239903</v>
      </c>
      <c r="AK4465">
        <v>41.549187985665199</v>
      </c>
      <c r="AL4465">
        <v>89.585116888676396</v>
      </c>
      <c r="AM4465">
        <v>86.392743457039202</v>
      </c>
      <c r="AN4465">
        <v>0.99999999656159899</v>
      </c>
    </row>
    <row r="4466" spans="1:40" x14ac:dyDescent="0.25">
      <c r="A4466" t="str">
        <f>"20190312154925322"</f>
        <v>20190312154925322</v>
      </c>
      <c r="B4466" t="str">
        <f>"1552376965310603"</f>
        <v>1552376965310603</v>
      </c>
      <c r="C4466" t="s">
        <v>40</v>
      </c>
      <c r="D4466">
        <v>4.774654</v>
      </c>
      <c r="E4466">
        <v>0.51373270000000004</v>
      </c>
      <c r="F4466" t="s">
        <v>63</v>
      </c>
      <c r="G4466">
        <v>-309.38619999999997</v>
      </c>
      <c r="H4466" s="1">
        <v>-1.1140370000000001E-5</v>
      </c>
      <c r="I4466">
        <v>145.45179999999999</v>
      </c>
      <c r="J4466">
        <v>-270.2072</v>
      </c>
      <c r="K4466">
        <v>1.109605</v>
      </c>
      <c r="L4466">
        <v>140.9691</v>
      </c>
      <c r="M4466">
        <v>-0.99979110000000004</v>
      </c>
      <c r="N4466">
        <v>0</v>
      </c>
      <c r="O4466">
        <v>1.404716E-2</v>
      </c>
      <c r="P4466">
        <v>-0.99706039999999996</v>
      </c>
      <c r="Q4466">
        <v>-7.2076629999999996E-3</v>
      </c>
      <c r="R4466">
        <v>7.6281180000000004E-2</v>
      </c>
      <c r="S4466">
        <v>-2.9822690000000001</v>
      </c>
      <c r="T4466">
        <v>-8.3690399999999998E-2</v>
      </c>
      <c r="U4466">
        <v>0.3384857</v>
      </c>
      <c r="V4466">
        <v>6.2269070000000003E-2</v>
      </c>
      <c r="W4466">
        <v>7.59386099999999E-3</v>
      </c>
      <c r="X4466">
        <v>0.99803050000000004</v>
      </c>
      <c r="Y4466">
        <v>9.8772200000000004E-2</v>
      </c>
      <c r="Z4466">
        <v>9.8838310000000005E-4</v>
      </c>
      <c r="AA4466">
        <v>0.99510960000000004</v>
      </c>
      <c r="AB4466">
        <v>37</v>
      </c>
      <c r="AC4466">
        <v>-39.178999999999903</v>
      </c>
      <c r="AD4466">
        <v>-1.10961614037</v>
      </c>
      <c r="AE4466">
        <v>4.4826999999999897</v>
      </c>
      <c r="AF4466">
        <v>3.92873267087315</v>
      </c>
      <c r="AG4466">
        <v>-1.10961614037</v>
      </c>
      <c r="AH4466">
        <v>39.207067288766801</v>
      </c>
      <c r="AI4466">
        <v>91.613046107149202</v>
      </c>
      <c r="AJ4466">
        <v>84.277794405757604</v>
      </c>
      <c r="AK4466">
        <v>39.419034916700298</v>
      </c>
      <c r="AL4466">
        <v>89.564899628864097</v>
      </c>
      <c r="AM4466">
        <v>86.429832332616201</v>
      </c>
      <c r="AN4466">
        <v>0.99999999136690099</v>
      </c>
    </row>
    <row r="4467" spans="1:40" x14ac:dyDescent="0.25">
      <c r="A4467" t="str">
        <f>"20190312154925345"</f>
        <v>20190312154925345</v>
      </c>
      <c r="B4467" t="str">
        <f>"1552376965339882"</f>
        <v>1552376965339882</v>
      </c>
      <c r="C4467" t="s">
        <v>40</v>
      </c>
      <c r="D4467">
        <v>4.7503580000000003</v>
      </c>
      <c r="E4467">
        <v>0.51349129999999998</v>
      </c>
      <c r="F4467" t="s">
        <v>63</v>
      </c>
      <c r="G4467">
        <v>-309.60210000000001</v>
      </c>
      <c r="H4467" s="1">
        <v>-1.1157250000000001E-5</v>
      </c>
      <c r="I4467">
        <v>145.40430000000001</v>
      </c>
      <c r="J4467">
        <v>-270.58390000000003</v>
      </c>
      <c r="K4467">
        <v>1.1096189999999999</v>
      </c>
      <c r="L4467">
        <v>140.97450000000001</v>
      </c>
      <c r="M4467">
        <v>-0.9997895</v>
      </c>
      <c r="N4467">
        <v>0</v>
      </c>
      <c r="O4467">
        <v>1.4165540000000001E-2</v>
      </c>
      <c r="P4467">
        <v>-0.99707539999999995</v>
      </c>
      <c r="Q4467">
        <v>-6.7704360000000003E-3</v>
      </c>
      <c r="R4467">
        <v>7.6124709999999998E-2</v>
      </c>
      <c r="S4467">
        <v>-2.9825740000000001</v>
      </c>
      <c r="T4467">
        <v>-8.4008570000000005E-2</v>
      </c>
      <c r="U4467">
        <v>0.3357849</v>
      </c>
      <c r="V4467">
        <v>6.199416E-2</v>
      </c>
      <c r="W4467">
        <v>8.0287220000000003E-3</v>
      </c>
      <c r="X4467">
        <v>0.99804420000000005</v>
      </c>
      <c r="Y4467">
        <v>9.7753380000000001E-2</v>
      </c>
      <c r="Z4467">
        <v>9.7446550000000005E-4</v>
      </c>
      <c r="AA4467">
        <v>0.99521020000000004</v>
      </c>
      <c r="AB4467">
        <v>37</v>
      </c>
      <c r="AC4467">
        <v>-39.018199999999901</v>
      </c>
      <c r="AD4467">
        <v>-1.10963015725</v>
      </c>
      <c r="AE4467">
        <v>4.4298000000000002</v>
      </c>
      <c r="AF4467">
        <v>3.87348779614678</v>
      </c>
      <c r="AG4467">
        <v>-1.10963015725</v>
      </c>
      <c r="AH4467">
        <v>39.045864565817404</v>
      </c>
      <c r="AI4467">
        <v>91.619882567999895</v>
      </c>
      <c r="AJ4467">
        <v>84.334592670880198</v>
      </c>
      <c r="AK4467">
        <v>39.253212944737797</v>
      </c>
      <c r="AL4467">
        <v>89.539983163405395</v>
      </c>
      <c r="AM4467">
        <v>86.445602335261896</v>
      </c>
      <c r="AN4467">
        <v>0.99999998070234897</v>
      </c>
    </row>
    <row r="4468" spans="1:40" x14ac:dyDescent="0.25">
      <c r="A4468" t="str">
        <f>"20190312154925367"</f>
        <v>20190312154925367</v>
      </c>
      <c r="B4468" t="str">
        <f>"1552376965360379"</f>
        <v>1552376965360379</v>
      </c>
      <c r="C4468" t="s">
        <v>40</v>
      </c>
      <c r="D4468">
        <v>4.7174050000000003</v>
      </c>
      <c r="E4468">
        <v>0.48167339999999997</v>
      </c>
      <c r="F4468" t="s">
        <v>63</v>
      </c>
      <c r="G4468">
        <v>-310.34010000000001</v>
      </c>
      <c r="H4468" s="1">
        <v>-1.104285E-5</v>
      </c>
      <c r="I4468">
        <v>145.41800000000001</v>
      </c>
      <c r="J4468">
        <v>-270.94490000000002</v>
      </c>
      <c r="K4468">
        <v>1.10964</v>
      </c>
      <c r="L4468">
        <v>140.97970000000001</v>
      </c>
      <c r="M4468">
        <v>-0.99978820000000002</v>
      </c>
      <c r="N4468">
        <v>0</v>
      </c>
      <c r="O4468">
        <v>1.425366E-2</v>
      </c>
      <c r="P4468">
        <v>-0.99705759999999999</v>
      </c>
      <c r="Q4468">
        <v>-5.7663039999999999E-3</v>
      </c>
      <c r="R4468">
        <v>7.6439000000000007E-2</v>
      </c>
      <c r="S4468">
        <v>-2.982758</v>
      </c>
      <c r="T4468">
        <v>-8.3251359999999996E-2</v>
      </c>
      <c r="U4468">
        <v>0.333374</v>
      </c>
      <c r="V4468">
        <v>6.2220739999999997E-2</v>
      </c>
      <c r="W4468">
        <v>9.0314760000000001E-3</v>
      </c>
      <c r="X4468">
        <v>0.99802150000000001</v>
      </c>
      <c r="Y4468">
        <v>9.6865380000000001E-2</v>
      </c>
      <c r="Z4468">
        <v>9.5086740000000002E-4</v>
      </c>
      <c r="AA4468">
        <v>0.99529699999999999</v>
      </c>
      <c r="AB4468">
        <v>37</v>
      </c>
      <c r="AC4468">
        <v>-39.395199999999903</v>
      </c>
      <c r="AD4468">
        <v>-1.1096510428499999</v>
      </c>
      <c r="AE4468">
        <v>4.4382999999999901</v>
      </c>
      <c r="AF4468">
        <v>3.8732268853684002</v>
      </c>
      <c r="AG4468">
        <v>-1.1096510428499999</v>
      </c>
      <c r="AH4468">
        <v>39.423579791270598</v>
      </c>
      <c r="AI4468">
        <v>91.604550953302606</v>
      </c>
      <c r="AJ4468">
        <v>84.388900108760595</v>
      </c>
      <c r="AK4468">
        <v>39.628927004161</v>
      </c>
      <c r="AL4468">
        <v>89.482527482210102</v>
      </c>
      <c r="AM4468">
        <v>86.432564064426899</v>
      </c>
      <c r="AN4468">
        <v>0.999999951253566</v>
      </c>
    </row>
    <row r="4469" spans="1:40" x14ac:dyDescent="0.25">
      <c r="A4469" t="str">
        <f>"20190312154925389"</f>
        <v>20190312154925389</v>
      </c>
      <c r="B4469" t="str">
        <f>"1552376965379898"</f>
        <v>1552376965379898</v>
      </c>
      <c r="C4469" t="s">
        <v>40</v>
      </c>
      <c r="D4469">
        <v>4.7374210000000003</v>
      </c>
      <c r="E4469">
        <v>0.47512890000000002</v>
      </c>
      <c r="F4469" t="s">
        <v>42</v>
      </c>
      <c r="G4469">
        <v>-367.72359999999998</v>
      </c>
      <c r="H4469" s="1">
        <v>-2.0324359999999999E-6</v>
      </c>
      <c r="I4469">
        <v>143.65090000000001</v>
      </c>
      <c r="J4469">
        <v>-271.31009999999998</v>
      </c>
      <c r="K4469">
        <v>1.109664</v>
      </c>
      <c r="L4469">
        <v>140.98500000000001</v>
      </c>
      <c r="M4469">
        <v>-0.99978739999999999</v>
      </c>
      <c r="N4469">
        <v>0</v>
      </c>
      <c r="O4469">
        <v>1.432026E-2</v>
      </c>
      <c r="P4469">
        <v>-0.99702270000000004</v>
      </c>
      <c r="Q4469">
        <v>-5.1167219999999998E-3</v>
      </c>
      <c r="R4469">
        <v>7.694115E-2</v>
      </c>
      <c r="S4469">
        <v>-3.002319</v>
      </c>
      <c r="T4469">
        <v>-3.4423950000000002E-2</v>
      </c>
      <c r="U4469">
        <v>8.2870479999999996E-2</v>
      </c>
      <c r="V4469">
        <v>6.2656660000000003E-2</v>
      </c>
      <c r="W4469">
        <v>9.6799469999999995E-3</v>
      </c>
      <c r="X4469">
        <v>0.99798819999999999</v>
      </c>
      <c r="Y4469">
        <v>1.327251E-2</v>
      </c>
      <c r="Z4469" s="1">
        <v>-8.8089219999999897E-5</v>
      </c>
      <c r="AA4469">
        <v>0.99991189999999996</v>
      </c>
      <c r="AB4469">
        <v>37</v>
      </c>
      <c r="AC4469">
        <v>-96.413499999999999</v>
      </c>
      <c r="AD4469">
        <v>-1.1096660324359999</v>
      </c>
      <c r="AE4469">
        <v>2.6658999999999899</v>
      </c>
      <c r="AF4469">
        <v>1.2846381907869899</v>
      </c>
      <c r="AG4469">
        <v>-1.1096660324359999</v>
      </c>
      <c r="AH4469">
        <v>96.429028208605601</v>
      </c>
      <c r="AI4469">
        <v>90.659248929203102</v>
      </c>
      <c r="AJ4469">
        <v>89.236744433033195</v>
      </c>
      <c r="AK4469">
        <v>96.443968889925102</v>
      </c>
      <c r="AL4469">
        <v>89.445371230776203</v>
      </c>
      <c r="AM4469">
        <v>86.407516192950695</v>
      </c>
      <c r="AN4469">
        <v>1.00000000287775</v>
      </c>
    </row>
    <row r="4470" spans="1:40" x14ac:dyDescent="0.25">
      <c r="A4470" t="str">
        <f>"20190312154925411"</f>
        <v>20190312154925411</v>
      </c>
      <c r="B4470" t="str">
        <f>"1552376965400398"</f>
        <v>1552376965400398</v>
      </c>
      <c r="C4470" t="s">
        <v>40</v>
      </c>
      <c r="D4470">
        <v>4.7105649999999999</v>
      </c>
      <c r="E4470">
        <v>0.47239710000000001</v>
      </c>
      <c r="F4470" t="s">
        <v>42</v>
      </c>
      <c r="G4470">
        <v>-366.71679999999998</v>
      </c>
      <c r="H4470" s="1">
        <v>-2.0267380000000002E-6</v>
      </c>
      <c r="I4470">
        <v>142.00630000000001</v>
      </c>
      <c r="J4470">
        <v>-271.66070000000002</v>
      </c>
      <c r="K4470">
        <v>1.1096870000000001</v>
      </c>
      <c r="L4470">
        <v>140.99010000000001</v>
      </c>
      <c r="M4470">
        <v>-0.99978690000000003</v>
      </c>
      <c r="N4470">
        <v>0</v>
      </c>
      <c r="O4470">
        <v>1.436546E-2</v>
      </c>
      <c r="P4470">
        <v>-0.99692959999999997</v>
      </c>
      <c r="Q4470">
        <v>-4.5668840000000002E-3</v>
      </c>
      <c r="R4470">
        <v>7.8172560000000002E-2</v>
      </c>
      <c r="S4470">
        <v>-3.006256</v>
      </c>
      <c r="T4470">
        <v>-3.496552E-2</v>
      </c>
      <c r="U4470">
        <v>3.2180790000000001E-2</v>
      </c>
      <c r="V4470">
        <v>6.3843789999999997E-2</v>
      </c>
      <c r="W4470">
        <v>1.02278E-2</v>
      </c>
      <c r="X4470">
        <v>0.99790749999999995</v>
      </c>
      <c r="Y4470">
        <v>-3.6621140000000002E-3</v>
      </c>
      <c r="Z4470">
        <v>-1.883795E-4</v>
      </c>
      <c r="AA4470">
        <v>0.99999329999999997</v>
      </c>
      <c r="AB4470">
        <v>37</v>
      </c>
      <c r="AC4470">
        <v>-95.056099999999901</v>
      </c>
      <c r="AD4470">
        <v>-1.109689026738</v>
      </c>
      <c r="AE4470">
        <v>1.01619999999999</v>
      </c>
      <c r="AF4470">
        <v>-0.34953194344191102</v>
      </c>
      <c r="AG4470">
        <v>-1.109689026738</v>
      </c>
      <c r="AH4470">
        <v>95.047936962940398</v>
      </c>
      <c r="AI4470">
        <v>90.668895942449296</v>
      </c>
      <c r="AJ4470">
        <v>90.210700153290801</v>
      </c>
      <c r="AK4470">
        <v>95.055057220679402</v>
      </c>
      <c r="AL4470">
        <v>89.413980013620204</v>
      </c>
      <c r="AM4470">
        <v>86.339339006522707</v>
      </c>
      <c r="AN4470">
        <v>1.00000000798532</v>
      </c>
    </row>
    <row r="4471" spans="1:40" x14ac:dyDescent="0.25">
      <c r="A4471" t="str">
        <f>"20190312154925424"</f>
        <v>20190312154925424</v>
      </c>
      <c r="B4471" t="str">
        <f>"1552376965410154"</f>
        <v>1552376965410154</v>
      </c>
      <c r="C4471" t="s">
        <v>40</v>
      </c>
      <c r="D4471">
        <v>4.7401730000000004</v>
      </c>
      <c r="E4471">
        <v>0.47178409999999898</v>
      </c>
      <c r="F4471" t="s">
        <v>42</v>
      </c>
      <c r="G4471">
        <v>-374.5829</v>
      </c>
      <c r="H4471" s="1">
        <v>-2.7999990000000001E-6</v>
      </c>
      <c r="I4471">
        <v>141.47200000000001</v>
      </c>
      <c r="J4471">
        <v>-271.89429999999999</v>
      </c>
      <c r="K4471">
        <v>1.1096969999999999</v>
      </c>
      <c r="L4471">
        <v>140.99350000000001</v>
      </c>
      <c r="M4471">
        <v>-0.99978650000000002</v>
      </c>
      <c r="N4471">
        <v>0</v>
      </c>
      <c r="O4471">
        <v>1.438732E-2</v>
      </c>
      <c r="P4471">
        <v>-0.99689260000000002</v>
      </c>
      <c r="Q4471">
        <v>-4.5739580000000004E-3</v>
      </c>
      <c r="R4471">
        <v>7.8641539999999996E-2</v>
      </c>
      <c r="S4471">
        <v>-3.007965</v>
      </c>
      <c r="T4471">
        <v>-3.2431359999999999E-2</v>
      </c>
      <c r="U4471">
        <v>1.408386E-2</v>
      </c>
      <c r="V4471">
        <v>6.4291130000000002E-2</v>
      </c>
      <c r="W4471">
        <v>1.0220170000000001E-2</v>
      </c>
      <c r="X4471">
        <v>0.99787879999999995</v>
      </c>
      <c r="Y4471">
        <v>-9.705689E-3</v>
      </c>
      <c r="Z4471">
        <v>-2.0744869999999999E-4</v>
      </c>
      <c r="AA4471">
        <v>0.99995290000000003</v>
      </c>
      <c r="AB4471">
        <v>37</v>
      </c>
      <c r="AC4471">
        <v>-102.68859999999999</v>
      </c>
      <c r="AD4471">
        <v>-1.1096997999989999</v>
      </c>
      <c r="AE4471">
        <v>0.47849999999999598</v>
      </c>
      <c r="AF4471">
        <v>-0.99900913668333702</v>
      </c>
      <c r="AG4471">
        <v>-1.1096997999989999</v>
      </c>
      <c r="AH4471">
        <v>102.672864365442</v>
      </c>
      <c r="AI4471">
        <v>90.6192057729384</v>
      </c>
      <c r="AJ4471">
        <v>90.557471551493904</v>
      </c>
      <c r="AK4471">
        <v>102.683720861224</v>
      </c>
      <c r="AL4471">
        <v>89.414417169531106</v>
      </c>
      <c r="AM4471">
        <v>86.3136542739731</v>
      </c>
      <c r="AN4471">
        <v>0.99999995038047096</v>
      </c>
    </row>
    <row r="4472" spans="1:40" x14ac:dyDescent="0.25">
      <c r="A4472" t="str">
        <f>"20190312154925446"</f>
        <v>20190312154925446</v>
      </c>
      <c r="B4472" t="str">
        <f>"1552376965440411"</f>
        <v>1552376965440411</v>
      </c>
      <c r="C4472" t="s">
        <v>40</v>
      </c>
      <c r="D4472">
        <v>4.6589470000000004</v>
      </c>
      <c r="E4472">
        <v>0.47070129999999999</v>
      </c>
      <c r="F4472" t="s">
        <v>42</v>
      </c>
      <c r="G4472">
        <v>-381.27600000000001</v>
      </c>
      <c r="H4472" s="1">
        <v>-4.1551820000000004E-6</v>
      </c>
      <c r="I4472">
        <v>141.38290000000001</v>
      </c>
      <c r="J4472">
        <v>-272.2407</v>
      </c>
      <c r="K4472">
        <v>1.1097159999999999</v>
      </c>
      <c r="L4472">
        <v>140.99850000000001</v>
      </c>
      <c r="M4472">
        <v>-0.99978659999999997</v>
      </c>
      <c r="N4472">
        <v>0</v>
      </c>
      <c r="O4472">
        <v>1.439067E-2</v>
      </c>
      <c r="P4472">
        <v>-0.99680259999999998</v>
      </c>
      <c r="Q4472">
        <v>-4.4419969999999996E-3</v>
      </c>
      <c r="R4472">
        <v>7.9780499999999893E-2</v>
      </c>
      <c r="S4472">
        <v>-3.0083310000000001</v>
      </c>
      <c r="T4472">
        <v>-3.0520200000000001E-2</v>
      </c>
      <c r="U4472">
        <v>1.071167E-2</v>
      </c>
      <c r="V4472">
        <v>6.5427260000000001E-2</v>
      </c>
      <c r="W4472">
        <v>1.0349870000000001E-2</v>
      </c>
      <c r="X4472">
        <v>0.99780369999999996</v>
      </c>
      <c r="Y4472">
        <v>-1.0830589999999999E-2</v>
      </c>
      <c r="Z4472">
        <v>-2.0094159999999999E-4</v>
      </c>
      <c r="AA4472">
        <v>0.99994130000000003</v>
      </c>
      <c r="AB4472">
        <v>37</v>
      </c>
      <c r="AC4472">
        <v>-109.03530000000001</v>
      </c>
      <c r="AD4472">
        <v>-1.109720155182</v>
      </c>
      <c r="AE4472">
        <v>0.38439999999999902</v>
      </c>
      <c r="AF4472">
        <v>-1.1847804757175899</v>
      </c>
      <c r="AG4472">
        <v>-1.109720155182</v>
      </c>
      <c r="AH4472">
        <v>109.018246773903</v>
      </c>
      <c r="AI4472">
        <v>90.583171471240107</v>
      </c>
      <c r="AJ4472">
        <v>90.622650341687901</v>
      </c>
      <c r="AK4472">
        <v>109.03033207898601</v>
      </c>
      <c r="AL4472">
        <v>89.406985563628396</v>
      </c>
      <c r="AM4472">
        <v>86.248413344709505</v>
      </c>
      <c r="AN4472">
        <v>1.0000000349469</v>
      </c>
    </row>
    <row r="4473" spans="1:40" x14ac:dyDescent="0.25">
      <c r="A4473" t="str">
        <f>"20190312154925466"</f>
        <v>20190312154925466</v>
      </c>
      <c r="B4473" t="str">
        <f>"1552376965459931"</f>
        <v>1552376965459931</v>
      </c>
      <c r="C4473" t="s">
        <v>40</v>
      </c>
      <c r="D4473">
        <v>4.6898799999999996</v>
      </c>
      <c r="E4473">
        <v>0.47029850000000001</v>
      </c>
      <c r="F4473" t="s">
        <v>42</v>
      </c>
      <c r="G4473">
        <v>-368.87549999999999</v>
      </c>
      <c r="H4473" s="1">
        <v>-8.7748639999999997E-7</v>
      </c>
      <c r="I4473">
        <v>141.16749999999999</v>
      </c>
      <c r="J4473">
        <v>-272.58969999999999</v>
      </c>
      <c r="K4473">
        <v>1.1097539999999999</v>
      </c>
      <c r="L4473">
        <v>141.0035</v>
      </c>
      <c r="M4473">
        <v>-0.99978730000000005</v>
      </c>
      <c r="N4473">
        <v>0</v>
      </c>
      <c r="O4473">
        <v>1.4340759999999999E-2</v>
      </c>
      <c r="P4473">
        <v>-0.99675159999999996</v>
      </c>
      <c r="Q4473">
        <v>-3.8812679999999998E-3</v>
      </c>
      <c r="R4473">
        <v>8.0444749999999995E-2</v>
      </c>
      <c r="S4473">
        <v>-3.009125</v>
      </c>
      <c r="T4473">
        <v>-3.4555669999999997E-2</v>
      </c>
      <c r="U4473">
        <v>5.2642820000000003E-3</v>
      </c>
      <c r="V4473">
        <v>6.6141359999999996E-2</v>
      </c>
      <c r="W4473">
        <v>1.091203E-2</v>
      </c>
      <c r="X4473">
        <v>0.99775060000000004</v>
      </c>
      <c r="Y4473">
        <v>-1.259128E-2</v>
      </c>
      <c r="Z4473">
        <v>-2.3698609999999999E-4</v>
      </c>
      <c r="AA4473">
        <v>0.9999207</v>
      </c>
      <c r="AB4473">
        <v>37</v>
      </c>
      <c r="AC4473">
        <v>-96.285799999999995</v>
      </c>
      <c r="AD4473">
        <v>-1.1097548774863999</v>
      </c>
      <c r="AE4473">
        <v>0.16399999999998699</v>
      </c>
      <c r="AF4473">
        <v>-1.2168184810268901</v>
      </c>
      <c r="AG4473">
        <v>-1.1097548774863999</v>
      </c>
      <c r="AH4473">
        <v>96.265460625087101</v>
      </c>
      <c r="AI4473">
        <v>90.660427691859297</v>
      </c>
      <c r="AJ4473">
        <v>90.724193809387799</v>
      </c>
      <c r="AK4473">
        <v>96.279546698476196</v>
      </c>
      <c r="AL4473">
        <v>89.374774330465996</v>
      </c>
      <c r="AM4473">
        <v>86.207384591683194</v>
      </c>
      <c r="AN4473">
        <v>1.00000000585086</v>
      </c>
    </row>
    <row r="4474" spans="1:40" x14ac:dyDescent="0.25">
      <c r="A4474" t="str">
        <f>"20190312154925492"</f>
        <v>20190312154925492</v>
      </c>
      <c r="B4474" t="str">
        <f>"1552376965480427"</f>
        <v>1552376965480427</v>
      </c>
      <c r="C4474" t="s">
        <v>40</v>
      </c>
      <c r="D4474">
        <v>4.6502520000000001</v>
      </c>
      <c r="E4474">
        <v>0.46990769999999998</v>
      </c>
      <c r="F4474" t="s">
        <v>42</v>
      </c>
      <c r="G4474">
        <v>-368.85169999999999</v>
      </c>
      <c r="H4474" s="1">
        <v>-8.7765950000000002E-7</v>
      </c>
      <c r="I4474">
        <v>141.12979999999999</v>
      </c>
      <c r="J4474">
        <v>-272.99450000000002</v>
      </c>
      <c r="K4474">
        <v>1.1097999999999999</v>
      </c>
      <c r="L4474">
        <v>141.00919999999999</v>
      </c>
      <c r="M4474">
        <v>-0.99978909999999999</v>
      </c>
      <c r="N4474">
        <v>0</v>
      </c>
      <c r="O4474">
        <v>1.421974E-2</v>
      </c>
      <c r="P4474">
        <v>-0.99668939999999995</v>
      </c>
      <c r="Q4474">
        <v>-3.8734260000000001E-3</v>
      </c>
      <c r="R4474">
        <v>8.1212220000000002E-2</v>
      </c>
      <c r="S4474">
        <v>-3.0093380000000001</v>
      </c>
      <c r="T4474">
        <v>-3.4693120000000001E-2</v>
      </c>
      <c r="U4474">
        <v>3.952026E-3</v>
      </c>
      <c r="V4474">
        <v>6.7029080000000005E-2</v>
      </c>
      <c r="W4474">
        <v>1.092252E-2</v>
      </c>
      <c r="X4474">
        <v>0.9976912</v>
      </c>
      <c r="Y4474">
        <v>-1.290637E-2</v>
      </c>
      <c r="Z4474">
        <v>-2.38333E-4</v>
      </c>
      <c r="AA4474">
        <v>0.99991669999999999</v>
      </c>
      <c r="AB4474">
        <v>37</v>
      </c>
      <c r="AC4474">
        <v>-95.857199999999906</v>
      </c>
      <c r="AD4474">
        <v>-1.1098008776595001</v>
      </c>
      <c r="AE4474">
        <v>0.120599999999996</v>
      </c>
      <c r="AF4474">
        <v>-1.2424597738318599</v>
      </c>
      <c r="AG4474">
        <v>-1.1098008776595001</v>
      </c>
      <c r="AH4474">
        <v>95.836375187746</v>
      </c>
      <c r="AI4474">
        <v>90.663409085023901</v>
      </c>
      <c r="AJ4474">
        <v>90.742762998076401</v>
      </c>
      <c r="AK4474">
        <v>95.850853795905607</v>
      </c>
      <c r="AL4474">
        <v>89.374173236219306</v>
      </c>
      <c r="AM4474">
        <v>86.156405204874204</v>
      </c>
      <c r="AN4474">
        <v>0.99999996478311703</v>
      </c>
    </row>
    <row r="4475" spans="1:40" x14ac:dyDescent="0.25">
      <c r="A4475" t="str">
        <f>"20190312154925634"</f>
        <v>20190312154925634</v>
      </c>
      <c r="B4475" t="str">
        <f>"1552376965630503"</f>
        <v>1552376965630503</v>
      </c>
      <c r="C4475" t="s">
        <v>40</v>
      </c>
      <c r="D4475">
        <v>4.3664800000000001</v>
      </c>
      <c r="E4475">
        <v>0.47814449999999997</v>
      </c>
      <c r="F4475" t="s">
        <v>42</v>
      </c>
      <c r="G4475">
        <v>-360.0453</v>
      </c>
      <c r="H4475" s="1">
        <v>-4.5238599999999997E-6</v>
      </c>
      <c r="I4475">
        <v>141.10050000000001</v>
      </c>
      <c r="J4475">
        <v>-275.3313</v>
      </c>
      <c r="K4475">
        <v>1.110077</v>
      </c>
      <c r="L4475">
        <v>141.03909999999999</v>
      </c>
      <c r="M4475">
        <v>-0.99981419999999999</v>
      </c>
      <c r="N4475">
        <v>0</v>
      </c>
      <c r="O4475">
        <v>1.2348110000000001E-2</v>
      </c>
      <c r="P4475">
        <v>-0.9975039</v>
      </c>
      <c r="Q4475">
        <v>-3.9840919999999998E-3</v>
      </c>
      <c r="R4475">
        <v>7.0498720000000001E-2</v>
      </c>
      <c r="S4475">
        <v>-3.0095519999999998</v>
      </c>
      <c r="T4475">
        <v>-3.8368579999999999E-2</v>
      </c>
      <c r="U4475">
        <v>3.158569E-3</v>
      </c>
      <c r="V4475">
        <v>5.8167139999999999E-2</v>
      </c>
      <c r="W4475">
        <v>1.0832400000000001E-2</v>
      </c>
      <c r="X4475">
        <v>0.99824809999999997</v>
      </c>
      <c r="Y4475">
        <v>-1.12981E-2</v>
      </c>
      <c r="Z4475">
        <v>-2.294493E-4</v>
      </c>
      <c r="AA4475">
        <v>0.99993620000000005</v>
      </c>
      <c r="AB4475">
        <v>36</v>
      </c>
      <c r="AC4475">
        <v>-84.713999999999999</v>
      </c>
      <c r="AD4475">
        <v>-1.1100815238599999</v>
      </c>
      <c r="AE4475">
        <v>6.1400000000020299E-2</v>
      </c>
      <c r="AF4475">
        <v>-0.98460801338030002</v>
      </c>
      <c r="AG4475">
        <v>-1.1100815238599999</v>
      </c>
      <c r="AH4475">
        <v>84.6937552933246</v>
      </c>
      <c r="AI4475">
        <v>90.750882368083296</v>
      </c>
      <c r="AJ4475">
        <v>90.666062594112702</v>
      </c>
      <c r="AK4475">
        <v>84.7067525030631</v>
      </c>
      <c r="AL4475">
        <v>89.379337067545507</v>
      </c>
      <c r="AM4475">
        <v>86.665190330208205</v>
      </c>
      <c r="AN4475">
        <v>1.0000000131095701</v>
      </c>
    </row>
    <row r="4476" spans="1:40" x14ac:dyDescent="0.25">
      <c r="A4476" t="str">
        <f>"20190312154925655"</f>
        <v>20190312154925655</v>
      </c>
      <c r="B4476" t="str">
        <f>"1552376965650023"</f>
        <v>1552376965650023</v>
      </c>
      <c r="C4476" t="s">
        <v>40</v>
      </c>
      <c r="D4476">
        <v>4.752745</v>
      </c>
      <c r="E4476">
        <v>0.47557090000000002</v>
      </c>
      <c r="F4476" t="s">
        <v>41</v>
      </c>
      <c r="G4476">
        <v>-276.1549</v>
      </c>
      <c r="H4476">
        <v>0.88074449999999904</v>
      </c>
      <c r="I4476">
        <v>141.04060000000001</v>
      </c>
      <c r="J4476">
        <v>-275.6764</v>
      </c>
      <c r="K4476">
        <v>1.1101000000000001</v>
      </c>
      <c r="L4476">
        <v>141.04300000000001</v>
      </c>
      <c r="M4476">
        <v>-0.99981869999999995</v>
      </c>
      <c r="N4476">
        <v>0</v>
      </c>
      <c r="O4476">
        <v>1.1979760000000001E-2</v>
      </c>
      <c r="P4476">
        <v>-0.99756679999999998</v>
      </c>
      <c r="Q4476">
        <v>-3.6960539999999998E-3</v>
      </c>
      <c r="R4476">
        <v>6.9619619999999993E-2</v>
      </c>
      <c r="S4476">
        <v>-3.0038450000000001</v>
      </c>
      <c r="T4476">
        <v>-0.83655569999999901</v>
      </c>
      <c r="U4476">
        <v>4.6234129999999998E-3</v>
      </c>
      <c r="V4476">
        <v>5.7654520000000001E-2</v>
      </c>
      <c r="W4476">
        <v>1.1118960000000001E-2</v>
      </c>
      <c r="X4476">
        <v>0.99827469999999996</v>
      </c>
      <c r="Y4476">
        <v>-9.6199819999999991E-3</v>
      </c>
      <c r="Z4476">
        <v>-4.5888389999999999E-3</v>
      </c>
      <c r="AA4476">
        <v>0.99994320000000003</v>
      </c>
      <c r="AB4476">
        <v>36</v>
      </c>
      <c r="AC4476">
        <v>-0.47849999999999598</v>
      </c>
      <c r="AD4476">
        <v>-0.22935549999999999</v>
      </c>
      <c r="AE4476">
        <v>-2.3999999999944001E-3</v>
      </c>
      <c r="AF4476">
        <v>-6.6133871629438798E-3</v>
      </c>
      <c r="AG4476">
        <v>-0.22935549999999999</v>
      </c>
      <c r="AH4476">
        <v>0.38905417599822201</v>
      </c>
      <c r="AI4476">
        <v>120.51661008151</v>
      </c>
      <c r="AJ4476">
        <v>90.973855842626506</v>
      </c>
      <c r="AK4476">
        <v>0.45167558505156402</v>
      </c>
      <c r="AL4476">
        <v>89.362917408183094</v>
      </c>
      <c r="AM4476">
        <v>86.694602032222207</v>
      </c>
      <c r="AN4476">
        <v>1.000000025804</v>
      </c>
    </row>
    <row r="4477" spans="1:40" x14ac:dyDescent="0.25">
      <c r="A4477" t="str">
        <f>"20190312154925681"</f>
        <v>20190312154925681</v>
      </c>
      <c r="B4477" t="str">
        <f>"1552376965670519"</f>
        <v>1552376965670519</v>
      </c>
      <c r="C4477" t="s">
        <v>40</v>
      </c>
      <c r="D4477">
        <v>4.918571</v>
      </c>
      <c r="E4477">
        <v>0.47271210000000002</v>
      </c>
      <c r="F4477" t="s">
        <v>41</v>
      </c>
      <c r="G4477">
        <v>-276.49610000000001</v>
      </c>
      <c r="H4477">
        <v>0.91772629999999999</v>
      </c>
      <c r="I4477">
        <v>141.03919999999999</v>
      </c>
      <c r="J4477">
        <v>-276.08159999999998</v>
      </c>
      <c r="K4477">
        <v>1.1101209999999999</v>
      </c>
      <c r="L4477">
        <v>141.04750000000001</v>
      </c>
      <c r="M4477">
        <v>-0.99982400000000005</v>
      </c>
      <c r="N4477">
        <v>0</v>
      </c>
      <c r="O4477">
        <v>1.154414E-2</v>
      </c>
      <c r="P4477">
        <v>-0.99759390000000003</v>
      </c>
      <c r="Q4477">
        <v>-2.8120760000000002E-3</v>
      </c>
      <c r="R4477">
        <v>6.9271170000000007E-2</v>
      </c>
      <c r="S4477">
        <v>-3.005646</v>
      </c>
      <c r="T4477">
        <v>-0.70541929999999997</v>
      </c>
      <c r="U4477">
        <v>-1.397705E-2</v>
      </c>
      <c r="V4477">
        <v>5.7739409999999998E-2</v>
      </c>
      <c r="W4477">
        <v>1.200058E-2</v>
      </c>
      <c r="X4477">
        <v>0.99825949999999997</v>
      </c>
      <c r="Y4477">
        <v>-1.546136E-2</v>
      </c>
      <c r="Z4477">
        <v>-4.463369E-3</v>
      </c>
      <c r="AA4477">
        <v>0.9998705</v>
      </c>
      <c r="AB4477">
        <v>36</v>
      </c>
      <c r="AC4477">
        <v>-0.41450000000003201</v>
      </c>
      <c r="AD4477">
        <v>-0.192394699999999</v>
      </c>
      <c r="AE4477">
        <v>-8.3000000000197308E-3</v>
      </c>
      <c r="AF4477">
        <v>-1.0766379408879499E-2</v>
      </c>
      <c r="AG4477">
        <v>-0.192394699999999</v>
      </c>
      <c r="AH4477">
        <v>0.34094991260713903</v>
      </c>
      <c r="AI4477">
        <v>119.42339328870101</v>
      </c>
      <c r="AJ4477">
        <v>91.808662108293007</v>
      </c>
      <c r="AK4477">
        <v>0.39163564498201803</v>
      </c>
      <c r="AL4477">
        <v>89.312400869323895</v>
      </c>
      <c r="AM4477">
        <v>86.689695717255006</v>
      </c>
      <c r="AN4477">
        <v>0.99999994136386505</v>
      </c>
    </row>
    <row r="4478" spans="1:40" x14ac:dyDescent="0.25">
      <c r="A4478" t="str">
        <f>"20190312154925703"</f>
        <v>20190312154925703</v>
      </c>
      <c r="B4478" t="str">
        <f>"1552376965690039"</f>
        <v>1552376965690039</v>
      </c>
      <c r="C4478" t="s">
        <v>40</v>
      </c>
      <c r="D4478">
        <v>4.9699900000000001</v>
      </c>
      <c r="E4478">
        <v>0.47167049999999999</v>
      </c>
      <c r="F4478" t="s">
        <v>41</v>
      </c>
      <c r="G4478">
        <v>-276.84269999999998</v>
      </c>
      <c r="H4478">
        <v>0.96597460000000002</v>
      </c>
      <c r="I4478">
        <v>141.0395</v>
      </c>
      <c r="J4478">
        <v>-276.43169999999998</v>
      </c>
      <c r="K4478">
        <v>1.1101449999999999</v>
      </c>
      <c r="L4478">
        <v>141.05109999999999</v>
      </c>
      <c r="M4478">
        <v>-0.9998283</v>
      </c>
      <c r="N4478">
        <v>0</v>
      </c>
      <c r="O4478">
        <v>1.1169409999999999E-2</v>
      </c>
      <c r="P4478">
        <v>-0.99760380000000004</v>
      </c>
      <c r="Q4478">
        <v>-1.045013E-3</v>
      </c>
      <c r="R4478">
        <v>6.9177699999999995E-2</v>
      </c>
      <c r="S4478">
        <v>-3.0079039999999999</v>
      </c>
      <c r="T4478">
        <v>-0.56965259999999995</v>
      </c>
      <c r="U4478">
        <v>-3.225708E-2</v>
      </c>
      <c r="V4478">
        <v>5.8018390000000003E-2</v>
      </c>
      <c r="W4478">
        <v>1.3764729999999999E-2</v>
      </c>
      <c r="X4478">
        <v>0.99822060000000001</v>
      </c>
      <c r="Y4478">
        <v>-2.131541E-2</v>
      </c>
      <c r="Z4478">
        <v>-4.0974289999999997E-3</v>
      </c>
      <c r="AA4478">
        <v>0.9997644</v>
      </c>
      <c r="AB4478">
        <v>36</v>
      </c>
      <c r="AC4478">
        <v>-0.41100000000000098</v>
      </c>
      <c r="AD4478">
        <v>-0.1441704</v>
      </c>
      <c r="AE4478">
        <v>-1.15999999999871E-2</v>
      </c>
      <c r="AF4478">
        <v>-1.44177650208241E-2</v>
      </c>
      <c r="AG4478">
        <v>-0.1441704</v>
      </c>
      <c r="AH4478">
        <v>0.36586257282491502</v>
      </c>
      <c r="AI4478">
        <v>111.492066719628</v>
      </c>
      <c r="AJ4478">
        <v>92.256721304188204</v>
      </c>
      <c r="AK4478">
        <v>0.39350781234738202</v>
      </c>
      <c r="AL4478">
        <v>89.2113141456677</v>
      </c>
      <c r="AM4478">
        <v>86.673607787626295</v>
      </c>
      <c r="AN4478">
        <v>0.99999998381726196</v>
      </c>
    </row>
    <row r="4479" spans="1:40" x14ac:dyDescent="0.25">
      <c r="A4479" t="str">
        <f>"20190312154925726"</f>
        <v>20190312154925726</v>
      </c>
      <c r="B4479" t="str">
        <f>"1552376965720295"</f>
        <v>1552376965720295</v>
      </c>
      <c r="C4479" t="s">
        <v>40</v>
      </c>
      <c r="D4479">
        <v>4.6904690000000002</v>
      </c>
      <c r="E4479">
        <v>0.47250510000000001</v>
      </c>
      <c r="F4479" t="s">
        <v>41</v>
      </c>
      <c r="G4479">
        <v>-277.18259999999998</v>
      </c>
      <c r="H4479">
        <v>0.99887289999999995</v>
      </c>
      <c r="I4479">
        <v>141.04220000000001</v>
      </c>
      <c r="J4479">
        <v>-276.80470000000003</v>
      </c>
      <c r="K4479">
        <v>1.110168</v>
      </c>
      <c r="L4479">
        <v>141.0549</v>
      </c>
      <c r="M4479">
        <v>-0.99983270000000002</v>
      </c>
      <c r="N4479">
        <v>0</v>
      </c>
      <c r="O4479">
        <v>1.077181E-2</v>
      </c>
      <c r="P4479">
        <v>-0.99765590000000004</v>
      </c>
      <c r="Q4479">
        <v>3.600586E-4</v>
      </c>
      <c r="R4479">
        <v>6.8429279999999995E-2</v>
      </c>
      <c r="S4479">
        <v>-3.0092159999999999</v>
      </c>
      <c r="T4479">
        <v>-0.4458995</v>
      </c>
      <c r="U4479">
        <v>-3.5903930000000001E-2</v>
      </c>
      <c r="V4479">
        <v>5.7665130000000002E-2</v>
      </c>
      <c r="W4479">
        <v>1.5167430000000001E-2</v>
      </c>
      <c r="X4479">
        <v>0.99822069999999996</v>
      </c>
      <c r="Y4479">
        <v>-2.2340490000000001E-2</v>
      </c>
      <c r="Z4479">
        <v>-3.2337379999999999E-3</v>
      </c>
      <c r="AA4479">
        <v>0.9997452</v>
      </c>
      <c r="AB4479">
        <v>36</v>
      </c>
      <c r="AC4479">
        <v>-0.37789999999995399</v>
      </c>
      <c r="AD4479">
        <v>-0.11129509999999999</v>
      </c>
      <c r="AE4479">
        <v>-1.26999999999952E-2</v>
      </c>
      <c r="AF4479">
        <v>-1.54332684147161E-2</v>
      </c>
      <c r="AG4479">
        <v>-0.11129509999999999</v>
      </c>
      <c r="AH4479">
        <v>0.347623842265953</v>
      </c>
      <c r="AI4479">
        <v>107.736589950813</v>
      </c>
      <c r="AJ4479">
        <v>92.542060554717594</v>
      </c>
      <c r="AK4479">
        <v>0.36533152173021599</v>
      </c>
      <c r="AL4479">
        <v>89.130936900923004</v>
      </c>
      <c r="AM4479">
        <v>86.693816652435899</v>
      </c>
      <c r="AN4479">
        <v>0.99999994202960396</v>
      </c>
    </row>
    <row r="4480" spans="1:40" x14ac:dyDescent="0.25">
      <c r="A4480" t="str">
        <f>"20190312154925745"</f>
        <v>20190312154925745</v>
      </c>
      <c r="B4480" t="str">
        <f>"1552376965739815"</f>
        <v>1552376965739815</v>
      </c>
      <c r="C4480" t="s">
        <v>40</v>
      </c>
      <c r="D4480">
        <v>4.6877309999999897</v>
      </c>
      <c r="E4480">
        <v>0.4725492</v>
      </c>
      <c r="F4480" t="s">
        <v>41</v>
      </c>
      <c r="G4480">
        <v>-277.8313</v>
      </c>
      <c r="H4480">
        <v>1.0019800000000001</v>
      </c>
      <c r="I4480">
        <v>141.04589999999999</v>
      </c>
      <c r="J4480">
        <v>-277.1311</v>
      </c>
      <c r="K4480">
        <v>1.110182</v>
      </c>
      <c r="L4480">
        <v>141.0581</v>
      </c>
      <c r="M4480">
        <v>-0.99983639999999996</v>
      </c>
      <c r="N4480">
        <v>0</v>
      </c>
      <c r="O4480">
        <v>1.042528E-2</v>
      </c>
      <c r="P4480">
        <v>-0.99768259999999998</v>
      </c>
      <c r="Q4480">
        <v>1.564221E-3</v>
      </c>
      <c r="R4480">
        <v>6.8020990000000003E-2</v>
      </c>
      <c r="S4480">
        <v>-3.008972</v>
      </c>
      <c r="T4480">
        <v>-0.31714930000000002</v>
      </c>
      <c r="U4480">
        <v>-2.632141E-2</v>
      </c>
      <c r="V4480">
        <v>5.7601319999999998E-2</v>
      </c>
      <c r="W4480">
        <v>1.6367960000000001E-2</v>
      </c>
      <c r="X4480">
        <v>0.99820549999999997</v>
      </c>
      <c r="Y4480">
        <v>-1.9009809999999999E-2</v>
      </c>
      <c r="Z4480">
        <v>-2.0949409999999999E-3</v>
      </c>
      <c r="AA4480">
        <v>0.99981710000000001</v>
      </c>
      <c r="AB4480">
        <v>36</v>
      </c>
      <c r="AC4480">
        <v>-0.70019999999999505</v>
      </c>
      <c r="AD4480">
        <v>-0.10820200000000001</v>
      </c>
      <c r="AE4480">
        <v>-1.2200000000007E-2</v>
      </c>
      <c r="AF4480">
        <v>-1.90452610152477E-2</v>
      </c>
      <c r="AG4480">
        <v>-0.10820200000000001</v>
      </c>
      <c r="AH4480">
        <v>0.68371292671723305</v>
      </c>
      <c r="AI4480">
        <v>98.989417639070098</v>
      </c>
      <c r="AJ4480">
        <v>91.595597987374404</v>
      </c>
      <c r="AK4480">
        <v>0.692483762214958</v>
      </c>
      <c r="AL4480">
        <v>89.062143112579193</v>
      </c>
      <c r="AM4480">
        <v>86.697416867124403</v>
      </c>
      <c r="AN4480">
        <v>1.00000002120527</v>
      </c>
    </row>
    <row r="4481" spans="1:40" x14ac:dyDescent="0.25">
      <c r="A4481" t="str">
        <f>"20190312154925769"</f>
        <v>20190312154925769</v>
      </c>
      <c r="B4481" t="str">
        <f>"1552376965760314"</f>
        <v>1552376965760314</v>
      </c>
      <c r="C4481" t="s">
        <v>40</v>
      </c>
      <c r="D4481">
        <v>4.7381060000000002</v>
      </c>
      <c r="E4481">
        <v>0.47249580000000002</v>
      </c>
      <c r="F4481" t="s">
        <v>41</v>
      </c>
      <c r="G4481">
        <v>-278.16050000000001</v>
      </c>
      <c r="H4481">
        <v>1.014772</v>
      </c>
      <c r="I4481">
        <v>141.04949999999999</v>
      </c>
      <c r="J4481">
        <v>-277.50020000000001</v>
      </c>
      <c r="K4481">
        <v>1.110187</v>
      </c>
      <c r="L4481">
        <v>141.0616</v>
      </c>
      <c r="M4481">
        <v>-0.99984059999999997</v>
      </c>
      <c r="N4481">
        <v>0</v>
      </c>
      <c r="O4481">
        <v>1.003384E-2</v>
      </c>
      <c r="P4481">
        <v>-0.99774309999999999</v>
      </c>
      <c r="Q4481">
        <v>1.7876179999999999E-3</v>
      </c>
      <c r="R4481">
        <v>6.7124260000000005E-2</v>
      </c>
      <c r="S4481">
        <v>-3.009125</v>
      </c>
      <c r="T4481">
        <v>-0.2789855</v>
      </c>
      <c r="U4481">
        <v>-2.5772090000000001E-2</v>
      </c>
      <c r="V4481">
        <v>5.7094499999999999E-2</v>
      </c>
      <c r="W4481">
        <v>1.6588229999999999E-2</v>
      </c>
      <c r="X4481">
        <v>0.99823090000000003</v>
      </c>
      <c r="Y4481">
        <v>-1.8476200000000002E-2</v>
      </c>
      <c r="Z4481">
        <v>-1.7830070000000001E-3</v>
      </c>
      <c r="AA4481">
        <v>0.99982769999999999</v>
      </c>
      <c r="AB4481">
        <v>36</v>
      </c>
      <c r="AC4481">
        <v>-0.66030000000000599</v>
      </c>
      <c r="AD4481">
        <v>-9.5415E-2</v>
      </c>
      <c r="AE4481">
        <v>-1.21000000000037E-2</v>
      </c>
      <c r="AF4481">
        <v>-1.8342575665067098E-2</v>
      </c>
      <c r="AG4481">
        <v>-9.5415E-2</v>
      </c>
      <c r="AH4481">
        <v>0.64664724009011099</v>
      </c>
      <c r="AI4481">
        <v>98.390294820971903</v>
      </c>
      <c r="AJ4481">
        <v>91.624796910528204</v>
      </c>
      <c r="AK4481">
        <v>0.65390605244422295</v>
      </c>
      <c r="AL4481">
        <v>89.049520780999799</v>
      </c>
      <c r="AM4481">
        <v>86.726495130449095</v>
      </c>
      <c r="AN4481">
        <v>0.99999994050979402</v>
      </c>
    </row>
    <row r="4482" spans="1:40" x14ac:dyDescent="0.25">
      <c r="A4482" t="str">
        <f>"20190312154925790"</f>
        <v>20190312154925790</v>
      </c>
      <c r="B4482" t="str">
        <f>"1552376965779830"</f>
        <v>1552376965779830</v>
      </c>
      <c r="C4482" t="s">
        <v>40</v>
      </c>
      <c r="D4482">
        <v>4.7498339999999999</v>
      </c>
      <c r="E4482">
        <v>0.47223559999999998</v>
      </c>
      <c r="F4482" t="s">
        <v>41</v>
      </c>
      <c r="G4482">
        <v>-278.49149999999997</v>
      </c>
      <c r="H4482">
        <v>1.0273939999999999</v>
      </c>
      <c r="I4482">
        <v>141.05260000000001</v>
      </c>
      <c r="J4482">
        <v>-277.84589999999997</v>
      </c>
      <c r="K4482">
        <v>1.1101890000000001</v>
      </c>
      <c r="L4482">
        <v>141.06469999999999</v>
      </c>
      <c r="M4482">
        <v>-0.99984410000000001</v>
      </c>
      <c r="N4482">
        <v>0</v>
      </c>
      <c r="O4482">
        <v>9.6672819999999993E-3</v>
      </c>
      <c r="P4482">
        <v>-0.99780869999999999</v>
      </c>
      <c r="Q4482">
        <v>1.8040949999999999E-3</v>
      </c>
      <c r="R4482">
        <v>6.6141220000000001E-2</v>
      </c>
      <c r="S4482">
        <v>-3.009064</v>
      </c>
      <c r="T4482">
        <v>-0.25132389999999999</v>
      </c>
      <c r="U4482">
        <v>-2.7709959999999999E-2</v>
      </c>
      <c r="V4482">
        <v>5.647688E-2</v>
      </c>
      <c r="W4482">
        <v>1.6601580000000001E-2</v>
      </c>
      <c r="X4482">
        <v>0.99826590000000004</v>
      </c>
      <c r="Y4482">
        <v>-1.8776899999999999E-2</v>
      </c>
      <c r="Z4482">
        <v>-1.5888670000000001E-3</v>
      </c>
      <c r="AA4482">
        <v>0.9998224</v>
      </c>
      <c r="AB4482">
        <v>36</v>
      </c>
      <c r="AC4482">
        <v>-0.64560000000000095</v>
      </c>
      <c r="AD4482">
        <v>-8.2794999999999702E-2</v>
      </c>
      <c r="AE4482">
        <v>-1.2099999999975301E-2</v>
      </c>
      <c r="AF4482">
        <v>-1.8044640883000101E-2</v>
      </c>
      <c r="AG4482">
        <v>-8.2794999999999702E-2</v>
      </c>
      <c r="AH4482">
        <v>0.63501258610593003</v>
      </c>
      <c r="AI4482">
        <v>97.425540408454296</v>
      </c>
      <c r="AJ4482">
        <v>91.6276899751917</v>
      </c>
      <c r="AK4482">
        <v>0.64064155781726895</v>
      </c>
      <c r="AL4482">
        <v>89.048755860915705</v>
      </c>
      <c r="AM4482">
        <v>86.761943806795401</v>
      </c>
      <c r="AN4482">
        <v>1.00000002876792</v>
      </c>
    </row>
    <row r="4483" spans="1:40" x14ac:dyDescent="0.25">
      <c r="A4483" t="str">
        <f>"20190312154925813"</f>
        <v>20190312154925813</v>
      </c>
      <c r="B4483" t="str">
        <f>"1552376965810087"</f>
        <v>1552376965810087</v>
      </c>
      <c r="C4483" t="s">
        <v>40</v>
      </c>
      <c r="D4483">
        <v>4.7429370000000004</v>
      </c>
      <c r="E4483">
        <v>0.47179670000000001</v>
      </c>
      <c r="F4483" t="s">
        <v>63</v>
      </c>
      <c r="G4483">
        <v>-292.27929999999998</v>
      </c>
      <c r="H4483" s="1">
        <v>-9.0665989999999995E-6</v>
      </c>
      <c r="I4483">
        <v>140.91210000000001</v>
      </c>
      <c r="J4483">
        <v>-278.21949999999998</v>
      </c>
      <c r="K4483">
        <v>1.110193</v>
      </c>
      <c r="L4483">
        <v>141.06790000000001</v>
      </c>
      <c r="M4483">
        <v>-0.99984790000000001</v>
      </c>
      <c r="N4483">
        <v>0</v>
      </c>
      <c r="O4483">
        <v>9.2709950000000006E-3</v>
      </c>
      <c r="P4483">
        <v>-0.99787400000000004</v>
      </c>
      <c r="Q4483">
        <v>2.4275239999999999E-3</v>
      </c>
      <c r="R4483">
        <v>6.5128420000000006E-2</v>
      </c>
      <c r="S4483">
        <v>-3.0090940000000002</v>
      </c>
      <c r="T4483">
        <v>-0.23145569999999999</v>
      </c>
      <c r="U4483">
        <v>-3.1799319999999999E-2</v>
      </c>
      <c r="V4483">
        <v>5.5858570000000003E-2</v>
      </c>
      <c r="W4483">
        <v>1.7220900000000001E-2</v>
      </c>
      <c r="X4483">
        <v>0.99829020000000002</v>
      </c>
      <c r="Y4483">
        <v>-1.9752459999999999E-2</v>
      </c>
      <c r="Z4483">
        <v>-1.4706459999999999E-3</v>
      </c>
      <c r="AA4483">
        <v>0.99980380000000002</v>
      </c>
      <c r="AB4483">
        <v>36</v>
      </c>
      <c r="AC4483">
        <v>-14.0597999999999</v>
      </c>
      <c r="AD4483">
        <v>-1.110202066599</v>
      </c>
      <c r="AE4483">
        <v>-0.15579999999999899</v>
      </c>
      <c r="AF4483">
        <v>-0.28438291546080402</v>
      </c>
      <c r="AG4483">
        <v>-1.110202066599</v>
      </c>
      <c r="AH4483">
        <v>13.970652852490099</v>
      </c>
      <c r="AI4483">
        <v>94.542622935390597</v>
      </c>
      <c r="AJ4483">
        <v>91.166136690651399</v>
      </c>
      <c r="AK4483">
        <v>14.017580511488999</v>
      </c>
      <c r="AL4483">
        <v>89.013266366542894</v>
      </c>
      <c r="AM4483">
        <v>86.797397702084396</v>
      </c>
      <c r="AN4483">
        <v>1.00000003132764</v>
      </c>
    </row>
    <row r="4484" spans="1:40" x14ac:dyDescent="0.25">
      <c r="A4484" t="str">
        <f>"20190312154925835"</f>
        <v>20190312154925835</v>
      </c>
      <c r="B4484" t="str">
        <f>"1552376965830583"</f>
        <v>1552376965830583</v>
      </c>
      <c r="C4484" t="s">
        <v>40</v>
      </c>
      <c r="D4484">
        <v>4.7680569999999998</v>
      </c>
      <c r="E4484">
        <v>0.4715415</v>
      </c>
      <c r="F4484" t="s">
        <v>63</v>
      </c>
      <c r="G4484">
        <v>-294.3664</v>
      </c>
      <c r="H4484" s="1">
        <v>-8.8713829999999996E-6</v>
      </c>
      <c r="I4484">
        <v>140.86709999999999</v>
      </c>
      <c r="J4484">
        <v>-278.5797</v>
      </c>
      <c r="K4484">
        <v>1.110198</v>
      </c>
      <c r="L4484">
        <v>141.07079999999999</v>
      </c>
      <c r="M4484">
        <v>-0.9998515</v>
      </c>
      <c r="N4484">
        <v>0</v>
      </c>
      <c r="O4484">
        <v>8.8886079999999992E-3</v>
      </c>
      <c r="P4484">
        <v>-0.99795630000000002</v>
      </c>
      <c r="Q4484">
        <v>3.2586920000000001E-3</v>
      </c>
      <c r="R4484">
        <v>6.3817899999999997E-2</v>
      </c>
      <c r="S4484">
        <v>-3.0093380000000001</v>
      </c>
      <c r="T4484">
        <v>-0.2069107</v>
      </c>
      <c r="U4484">
        <v>-3.7414549999999998E-2</v>
      </c>
      <c r="V4484">
        <v>5.492851E-2</v>
      </c>
      <c r="W4484">
        <v>1.8047609999999999E-2</v>
      </c>
      <c r="X4484">
        <v>0.99832719999999997</v>
      </c>
      <c r="Y4484">
        <v>-2.1249110000000002E-2</v>
      </c>
      <c r="Z4484">
        <v>-1.3400860000000001E-3</v>
      </c>
      <c r="AA4484">
        <v>0.99977329999999998</v>
      </c>
      <c r="AB4484">
        <v>36</v>
      </c>
      <c r="AC4484">
        <v>-15.7866999999999</v>
      </c>
      <c r="AD4484">
        <v>-1.110206871383</v>
      </c>
      <c r="AE4484">
        <v>-0.20369999999999699</v>
      </c>
      <c r="AF4484">
        <v>-0.342336234506807</v>
      </c>
      <c r="AG4484">
        <v>-1.110206871383</v>
      </c>
      <c r="AH4484">
        <v>15.7065986937448</v>
      </c>
      <c r="AI4484">
        <v>94.042219444849096</v>
      </c>
      <c r="AJ4484">
        <v>91.248603642343298</v>
      </c>
      <c r="AK4484">
        <v>15.749507799327199</v>
      </c>
      <c r="AL4484">
        <v>88.965892002694503</v>
      </c>
      <c r="AM4484">
        <v>86.850730117390597</v>
      </c>
      <c r="AN4484">
        <v>1.00000002784868</v>
      </c>
    </row>
    <row r="4485" spans="1:40" x14ac:dyDescent="0.25">
      <c r="A4485" t="str">
        <f>"20190312154925857"</f>
        <v>20190312154925857</v>
      </c>
      <c r="B4485" t="str">
        <f>"1552376965850103"</f>
        <v>1552376965850103</v>
      </c>
      <c r="C4485" t="s">
        <v>40</v>
      </c>
      <c r="D4485">
        <v>4.7634699999999999</v>
      </c>
      <c r="E4485">
        <v>0.47117439999999999</v>
      </c>
      <c r="F4485" t="s">
        <v>63</v>
      </c>
      <c r="G4485">
        <v>-296.06139999999999</v>
      </c>
      <c r="H4485" s="1">
        <v>-8.7104560000000003E-6</v>
      </c>
      <c r="I4485">
        <v>140.82149999999999</v>
      </c>
      <c r="J4485">
        <v>-278.9341</v>
      </c>
      <c r="K4485">
        <v>1.1102099999999999</v>
      </c>
      <c r="L4485">
        <v>141.0736</v>
      </c>
      <c r="M4485">
        <v>-0.99985489999999999</v>
      </c>
      <c r="N4485">
        <v>0</v>
      </c>
      <c r="O4485">
        <v>8.5123660000000004E-3</v>
      </c>
      <c r="P4485">
        <v>-0.99799450000000001</v>
      </c>
      <c r="Q4485">
        <v>3.7021599999999999E-3</v>
      </c>
      <c r="R4485">
        <v>6.3193390000000002E-2</v>
      </c>
      <c r="S4485">
        <v>-3.0095209999999999</v>
      </c>
      <c r="T4485">
        <v>-0.19112489999999999</v>
      </c>
      <c r="U4485">
        <v>-4.2922969999999998E-2</v>
      </c>
      <c r="V4485">
        <v>5.4679039999999998E-2</v>
      </c>
      <c r="W4485">
        <v>1.848766E-2</v>
      </c>
      <c r="X4485">
        <v>0.99833280000000002</v>
      </c>
      <c r="Y4485">
        <v>-2.2709960000000001E-2</v>
      </c>
      <c r="Z4485">
        <v>-1.2604389999999999E-3</v>
      </c>
      <c r="AA4485">
        <v>0.99974130000000005</v>
      </c>
      <c r="AB4485">
        <v>36</v>
      </c>
      <c r="AC4485">
        <v>-17.127299999999899</v>
      </c>
      <c r="AD4485">
        <v>-1.110218710456</v>
      </c>
      <c r="AE4485">
        <v>-0.25210000000001198</v>
      </c>
      <c r="AF4485">
        <v>-0.39623602517346601</v>
      </c>
      <c r="AG4485">
        <v>-1.110218710456</v>
      </c>
      <c r="AH4485">
        <v>17.052895149958701</v>
      </c>
      <c r="AI4485">
        <v>93.723948815671704</v>
      </c>
      <c r="AJ4485">
        <v>91.331068264470701</v>
      </c>
      <c r="AK4485">
        <v>17.093590072544</v>
      </c>
      <c r="AL4485">
        <v>88.940674742385298</v>
      </c>
      <c r="AM4485">
        <v>86.865022179377206</v>
      </c>
      <c r="AN4485">
        <v>0.99999998527171796</v>
      </c>
    </row>
    <row r="4486" spans="1:40" x14ac:dyDescent="0.25">
      <c r="A4486" t="str">
        <f>"20190312154925880"</f>
        <v>20190312154925880</v>
      </c>
      <c r="B4486" t="str">
        <f>"1552376965870599"</f>
        <v>1552376965870599</v>
      </c>
      <c r="C4486" t="s">
        <v>40</v>
      </c>
      <c r="D4486">
        <v>4.771973</v>
      </c>
      <c r="E4486">
        <v>0.47087279999999998</v>
      </c>
      <c r="F4486" t="s">
        <v>63</v>
      </c>
      <c r="G4486">
        <v>-297.71089999999998</v>
      </c>
      <c r="H4486" s="1">
        <v>-8.5543939999999992E-6</v>
      </c>
      <c r="I4486">
        <v>140.7791</v>
      </c>
      <c r="J4486">
        <v>-279.29790000000003</v>
      </c>
      <c r="K4486">
        <v>1.110215</v>
      </c>
      <c r="L4486">
        <v>141.0763</v>
      </c>
      <c r="M4486">
        <v>-0.99985829999999998</v>
      </c>
      <c r="N4486">
        <v>0</v>
      </c>
      <c r="O4486">
        <v>8.1262339999999995E-3</v>
      </c>
      <c r="P4486">
        <v>-0.99803600000000003</v>
      </c>
      <c r="Q4486">
        <v>4.1566399999999996E-3</v>
      </c>
      <c r="R4486">
        <v>6.2507510000000002E-2</v>
      </c>
      <c r="S4486">
        <v>-3.0096440000000002</v>
      </c>
      <c r="T4486">
        <v>-0.17795150000000001</v>
      </c>
      <c r="U4486">
        <v>-4.7195429999999997E-2</v>
      </c>
      <c r="V4486">
        <v>5.437794E-2</v>
      </c>
      <c r="W4486">
        <v>1.8938190000000001E-2</v>
      </c>
      <c r="X4486">
        <v>0.99834080000000003</v>
      </c>
      <c r="Y4486">
        <v>-2.374942E-2</v>
      </c>
      <c r="Z4486">
        <v>-1.1815489999999901E-3</v>
      </c>
      <c r="AA4486">
        <v>0.99971719999999997</v>
      </c>
      <c r="AB4486">
        <v>36</v>
      </c>
      <c r="AC4486">
        <v>-18.412999999999901</v>
      </c>
      <c r="AD4486">
        <v>-1.110223554394</v>
      </c>
      <c r="AE4486">
        <v>-0.29720000000000302</v>
      </c>
      <c r="AF4486">
        <v>-0.44521660274995201</v>
      </c>
      <c r="AG4486">
        <v>-1.110223554394</v>
      </c>
      <c r="AH4486">
        <v>18.3433056329443</v>
      </c>
      <c r="AI4486">
        <v>93.462568918993099</v>
      </c>
      <c r="AJ4486">
        <v>91.390372350587995</v>
      </c>
      <c r="AK4486">
        <v>18.382265249628599</v>
      </c>
      <c r="AL4486">
        <v>88.914856752264299</v>
      </c>
      <c r="AM4486">
        <v>86.882276283076393</v>
      </c>
      <c r="AN4486">
        <v>0.99999998417187896</v>
      </c>
    </row>
    <row r="4487" spans="1:40" x14ac:dyDescent="0.25">
      <c r="A4487" t="str">
        <f>"20190312154925904"</f>
        <v>20190312154925904</v>
      </c>
      <c r="B4487" t="str">
        <f>"1552376965890119"</f>
        <v>1552376965890119</v>
      </c>
      <c r="C4487" t="s">
        <v>40</v>
      </c>
      <c r="D4487">
        <v>4.7899139999999996</v>
      </c>
      <c r="E4487">
        <v>0.47060200000000002</v>
      </c>
      <c r="F4487" t="s">
        <v>63</v>
      </c>
      <c r="G4487">
        <v>-299.34730000000002</v>
      </c>
      <c r="H4487" s="1">
        <v>-8.3992420000000007E-6</v>
      </c>
      <c r="I4487">
        <v>140.73589999999999</v>
      </c>
      <c r="J4487">
        <v>-279.67160000000001</v>
      </c>
      <c r="K4487">
        <v>1.1102190000000001</v>
      </c>
      <c r="L4487">
        <v>141.0789</v>
      </c>
      <c r="M4487">
        <v>-0.99986120000000001</v>
      </c>
      <c r="N4487">
        <v>0</v>
      </c>
      <c r="O4487">
        <v>7.7324400000000001E-3</v>
      </c>
      <c r="P4487">
        <v>-0.99804230000000005</v>
      </c>
      <c r="Q4487">
        <v>4.0830019999999996E-3</v>
      </c>
      <c r="R4487">
        <v>6.2407900000000002E-2</v>
      </c>
      <c r="S4487">
        <v>-3.0097960000000001</v>
      </c>
      <c r="T4487">
        <v>-0.16666619999999999</v>
      </c>
      <c r="U4487">
        <v>-5.1101679999999997E-2</v>
      </c>
      <c r="V4487">
        <v>5.4671690000000002E-2</v>
      </c>
      <c r="W4487">
        <v>1.8860479999999999E-2</v>
      </c>
      <c r="X4487">
        <v>0.99832619999999905</v>
      </c>
      <c r="Y4487">
        <v>-2.4658059999999999E-2</v>
      </c>
      <c r="Z4487">
        <v>-1.110015E-3</v>
      </c>
      <c r="AA4487">
        <v>0.99969529999999995</v>
      </c>
      <c r="AB4487">
        <v>36</v>
      </c>
      <c r="AC4487">
        <v>-19.675699999999999</v>
      </c>
      <c r="AD4487">
        <v>-1.110227399242</v>
      </c>
      <c r="AE4487">
        <v>-0.34300000000001701</v>
      </c>
      <c r="AF4487">
        <v>-0.49357644797790601</v>
      </c>
      <c r="AG4487">
        <v>-1.110227399242</v>
      </c>
      <c r="AH4487">
        <v>19.610041108481099</v>
      </c>
      <c r="AI4487">
        <v>93.239332079668401</v>
      </c>
      <c r="AJ4487">
        <v>91.441806144906906</v>
      </c>
      <c r="AK4487">
        <v>19.6476445118581</v>
      </c>
      <c r="AL4487">
        <v>88.919309972841305</v>
      </c>
      <c r="AM4487">
        <v>86.865422063747701</v>
      </c>
      <c r="AN4487">
        <v>0.99999995649986195</v>
      </c>
    </row>
    <row r="4488" spans="1:40" x14ac:dyDescent="0.25">
      <c r="A4488" t="str">
        <f>"20190312154925927"</f>
        <v>20190312154925927</v>
      </c>
      <c r="B4488" t="str">
        <f>"1552376965920375"</f>
        <v>1552376965920375</v>
      </c>
      <c r="C4488" t="s">
        <v>40</v>
      </c>
      <c r="D4488">
        <v>4.8119139999999998</v>
      </c>
      <c r="E4488">
        <v>0.47005130000000001</v>
      </c>
      <c r="F4488" t="s">
        <v>63</v>
      </c>
      <c r="G4488">
        <v>-300.77620000000002</v>
      </c>
      <c r="H4488" s="1">
        <v>-8.4829399999999906E-6</v>
      </c>
      <c r="I4488">
        <v>140.70609999999999</v>
      </c>
      <c r="J4488">
        <v>-280.03480000000002</v>
      </c>
      <c r="K4488">
        <v>1.110215</v>
      </c>
      <c r="L4488">
        <v>141.0814</v>
      </c>
      <c r="M4488">
        <v>-0.99986430000000004</v>
      </c>
      <c r="N4488">
        <v>0</v>
      </c>
      <c r="O4488">
        <v>7.3570069999999996E-3</v>
      </c>
      <c r="P4488">
        <v>-0.99804680000000001</v>
      </c>
      <c r="Q4488">
        <v>3.806008E-3</v>
      </c>
      <c r="R4488">
        <v>6.2358619999999997E-2</v>
      </c>
      <c r="S4488">
        <v>-3.009827</v>
      </c>
      <c r="T4488">
        <v>-0.15833429999999901</v>
      </c>
      <c r="U4488">
        <v>-5.3176880000000003E-2</v>
      </c>
      <c r="V4488">
        <v>5.4997740000000003E-2</v>
      </c>
      <c r="W4488">
        <v>1.8579189999999999E-2</v>
      </c>
      <c r="X4488">
        <v>0.99831360000000002</v>
      </c>
      <c r="Y4488">
        <v>-2.4976479999999999E-2</v>
      </c>
      <c r="Z4488">
        <v>-1.0432180000000001E-3</v>
      </c>
      <c r="AA4488">
        <v>0.99968749999999995</v>
      </c>
      <c r="AB4488">
        <v>36</v>
      </c>
      <c r="AC4488">
        <v>-20.741399999999999</v>
      </c>
      <c r="AD4488">
        <v>-1.11022348294</v>
      </c>
      <c r="AE4488">
        <v>-0.37530000000001001</v>
      </c>
      <c r="AF4488">
        <v>-0.52639335175282398</v>
      </c>
      <c r="AG4488">
        <v>-1.11022348294</v>
      </c>
      <c r="AH4488">
        <v>20.678848918843599</v>
      </c>
      <c r="AI4488">
        <v>93.072200277661906</v>
      </c>
      <c r="AJ4488">
        <v>91.458185878131204</v>
      </c>
      <c r="AK4488">
        <v>20.715319904630999</v>
      </c>
      <c r="AL4488">
        <v>88.935429564614694</v>
      </c>
      <c r="AM4488">
        <v>86.846726021237103</v>
      </c>
      <c r="AN4488">
        <v>0.99999999082556101</v>
      </c>
    </row>
    <row r="4489" spans="1:40" x14ac:dyDescent="0.25">
      <c r="A4489" t="str">
        <f>"20190312154925947"</f>
        <v>20190312154925947</v>
      </c>
      <c r="B4489" t="str">
        <f>"1552376965940871"</f>
        <v>1552376965940871</v>
      </c>
      <c r="C4489" t="s">
        <v>40</v>
      </c>
      <c r="D4489">
        <v>4.7584650000000002</v>
      </c>
      <c r="E4489">
        <v>0.4395693</v>
      </c>
      <c r="F4489" t="s">
        <v>63</v>
      </c>
      <c r="G4489">
        <v>-302.4778</v>
      </c>
      <c r="H4489" s="1">
        <v>-8.7214230000000005E-6</v>
      </c>
      <c r="I4489">
        <v>140.65549999999999</v>
      </c>
      <c r="J4489">
        <v>-280.37049999999999</v>
      </c>
      <c r="K4489">
        <v>1.1102099999999999</v>
      </c>
      <c r="L4489">
        <v>141.08349999999999</v>
      </c>
      <c r="M4489">
        <v>-0.9998667</v>
      </c>
      <c r="N4489">
        <v>0</v>
      </c>
      <c r="O4489">
        <v>7.0192319999999898E-3</v>
      </c>
      <c r="P4489">
        <v>-0.99807650000000003</v>
      </c>
      <c r="Q4489">
        <v>4.1344329999999999E-3</v>
      </c>
      <c r="R4489">
        <v>6.1858389999999999E-2</v>
      </c>
      <c r="S4489">
        <v>-3.0100099999999999</v>
      </c>
      <c r="T4489">
        <v>-0.14890059999999999</v>
      </c>
      <c r="U4489">
        <v>-5.7113650000000002E-2</v>
      </c>
      <c r="V4489">
        <v>5.4834670000000002E-2</v>
      </c>
      <c r="W4489">
        <v>1.8902909999999998E-2</v>
      </c>
      <c r="X4489">
        <v>0.99831650000000005</v>
      </c>
      <c r="Y4489">
        <v>-2.5949119999999999E-2</v>
      </c>
      <c r="Z4489">
        <v>-9.8841100000000002E-4</v>
      </c>
      <c r="AA4489">
        <v>0.99966279999999996</v>
      </c>
      <c r="AB4489">
        <v>36</v>
      </c>
      <c r="AC4489">
        <v>-22.107299999999999</v>
      </c>
      <c r="AD4489">
        <v>-1.1102187214229999</v>
      </c>
      <c r="AE4489">
        <v>-0.42799999999999699</v>
      </c>
      <c r="AF4489">
        <v>-0.58171604488620299</v>
      </c>
      <c r="AG4489">
        <v>-1.1102187214229999</v>
      </c>
      <c r="AH4489">
        <v>22.048165990356999</v>
      </c>
      <c r="AI4489">
        <v>92.881649810816697</v>
      </c>
      <c r="AJ4489">
        <v>91.511334037948103</v>
      </c>
      <c r="AK4489">
        <v>22.083763327490399</v>
      </c>
      <c r="AL4489">
        <v>88.916878523864497</v>
      </c>
      <c r="AM4489">
        <v>86.856065906706505</v>
      </c>
      <c r="AN4489">
        <v>0.99999999760636304</v>
      </c>
    </row>
    <row r="4490" spans="1:40" x14ac:dyDescent="0.25">
      <c r="A4490" t="str">
        <f>"20190312154925969"</f>
        <v>20190312154925969</v>
      </c>
      <c r="B4490" t="str">
        <f>"1552376965960391"</f>
        <v>1552376965960391</v>
      </c>
      <c r="C4490" t="s">
        <v>40</v>
      </c>
      <c r="D4490">
        <v>4.8484369999999997</v>
      </c>
      <c r="E4490">
        <v>0.43788650000000001</v>
      </c>
      <c r="F4490" t="s">
        <v>63</v>
      </c>
      <c r="G4490">
        <v>-435.46140000000003</v>
      </c>
      <c r="H4490">
        <v>7.9987429999999998E-2</v>
      </c>
      <c r="I4490">
        <v>125.85760000000001</v>
      </c>
      <c r="J4490">
        <v>-280.71609999999998</v>
      </c>
      <c r="K4490">
        <v>1.110201</v>
      </c>
      <c r="L4490">
        <v>141.0856</v>
      </c>
      <c r="M4490">
        <v>-0.99986909999999896</v>
      </c>
      <c r="N4490">
        <v>0</v>
      </c>
      <c r="O4490">
        <v>6.6799379999999998E-3</v>
      </c>
      <c r="P4490">
        <v>-0.9981139</v>
      </c>
      <c r="Q4490">
        <v>4.4204309999999998E-3</v>
      </c>
      <c r="R4490">
        <v>6.1231170000000001E-2</v>
      </c>
      <c r="S4490">
        <v>-3.0242610000000001</v>
      </c>
      <c r="T4490">
        <v>-2.0089269999999999E-2</v>
      </c>
      <c r="U4490">
        <v>-0.29690549999999999</v>
      </c>
      <c r="V4490">
        <v>5.4546270000000001E-2</v>
      </c>
      <c r="W4490">
        <v>1.918419E-2</v>
      </c>
      <c r="X4490">
        <v>0.99832699999999996</v>
      </c>
      <c r="Y4490">
        <v>-0.10434889999999999</v>
      </c>
      <c r="Z4490">
        <v>-3.9001869999999997E-4</v>
      </c>
      <c r="AA4490">
        <v>0.99454070000000006</v>
      </c>
      <c r="AB4490">
        <v>36</v>
      </c>
      <c r="AC4490">
        <v>-154.74529999999999</v>
      </c>
      <c r="AD4490">
        <v>-1.0302135699999999</v>
      </c>
      <c r="AE4490">
        <v>-15.2279999999999</v>
      </c>
      <c r="AF4490">
        <v>-16.260747643538501</v>
      </c>
      <c r="AG4490">
        <v>-1.0302135699999999</v>
      </c>
      <c r="AH4490">
        <v>154.633325651115</v>
      </c>
      <c r="AI4490">
        <v>90.379622916876301</v>
      </c>
      <c r="AJ4490">
        <v>96.002979526989293</v>
      </c>
      <c r="AK4490">
        <v>155.48935222660899</v>
      </c>
      <c r="AL4490">
        <v>88.900759516596096</v>
      </c>
      <c r="AM4490">
        <v>86.872601176209102</v>
      </c>
      <c r="AN4490">
        <v>1.0000000638229301</v>
      </c>
    </row>
    <row r="4491" spans="1:40" x14ac:dyDescent="0.25">
      <c r="A4491" t="str">
        <f>"20190312154925993"</f>
        <v>20190312154925993</v>
      </c>
      <c r="B4491" t="str">
        <f>"1552376965990647"</f>
        <v>1552376965990647</v>
      </c>
      <c r="C4491" t="s">
        <v>40</v>
      </c>
      <c r="D4491">
        <v>4.8132950000000001</v>
      </c>
      <c r="E4491">
        <v>0.43681199999999998</v>
      </c>
      <c r="F4491" t="s">
        <v>42</v>
      </c>
      <c r="G4491">
        <v>-380.8372</v>
      </c>
      <c r="H4491" s="1">
        <v>-5.4887959999999998E-6</v>
      </c>
      <c r="I4491">
        <v>130.73320000000001</v>
      </c>
      <c r="J4491">
        <v>-281.10120000000001</v>
      </c>
      <c r="K4491">
        <v>1.1101970000000001</v>
      </c>
      <c r="L4491">
        <v>141.08779999999999</v>
      </c>
      <c r="M4491">
        <v>-0.99987159999999997</v>
      </c>
      <c r="N4491">
        <v>0</v>
      </c>
      <c r="O4491">
        <v>6.3146979999999997E-3</v>
      </c>
      <c r="P4491">
        <v>-0.99815880000000001</v>
      </c>
      <c r="Q4491">
        <v>4.5231859999999898E-3</v>
      </c>
      <c r="R4491">
        <v>6.0487239999999998E-2</v>
      </c>
      <c r="S4491">
        <v>-3.0249630000000001</v>
      </c>
      <c r="T4491">
        <v>-3.3542750000000003E-2</v>
      </c>
      <c r="U4491">
        <v>-0.31277470000000002</v>
      </c>
      <c r="V4491">
        <v>5.4167189999999997E-2</v>
      </c>
      <c r="W4491">
        <v>1.9281929999999999E-2</v>
      </c>
      <c r="X4491">
        <v>0.9983457</v>
      </c>
      <c r="Y4491">
        <v>-0.10912230000000001</v>
      </c>
      <c r="Z4491">
        <v>-6.7322879999999995E-4</v>
      </c>
      <c r="AA4491">
        <v>0.99402809999999997</v>
      </c>
      <c r="AB4491">
        <v>36</v>
      </c>
      <c r="AC4491">
        <v>-99.736000000000004</v>
      </c>
      <c r="AD4491">
        <v>-1.11020248879599</v>
      </c>
      <c r="AE4491">
        <v>-10.3545999999999</v>
      </c>
      <c r="AF4491">
        <v>-10.982918178569101</v>
      </c>
      <c r="AG4491">
        <v>-1.11020248879599</v>
      </c>
      <c r="AH4491">
        <v>99.656401196913706</v>
      </c>
      <c r="AI4491">
        <v>90.634425085653007</v>
      </c>
      <c r="AJ4491">
        <v>96.2890650396388</v>
      </c>
      <c r="AK4491">
        <v>100.265923128466</v>
      </c>
      <c r="AL4491">
        <v>88.895158328623197</v>
      </c>
      <c r="AM4491">
        <v>86.894351010372105</v>
      </c>
      <c r="AN4491">
        <v>1.0000000070027499</v>
      </c>
    </row>
    <row r="4492" spans="1:40" x14ac:dyDescent="0.25">
      <c r="A4492" t="str">
        <f>"20190312154926015"</f>
        <v>20190312154926015</v>
      </c>
      <c r="B4492" t="str">
        <f>"1552376966010167"</f>
        <v>1552376966010167</v>
      </c>
      <c r="C4492" t="s">
        <v>40</v>
      </c>
      <c r="D4492">
        <v>4.8511850000000001</v>
      </c>
      <c r="E4492">
        <v>0.43699579999999999</v>
      </c>
      <c r="F4492" t="s">
        <v>42</v>
      </c>
      <c r="G4492">
        <v>-366.51639999999998</v>
      </c>
      <c r="H4492" s="1">
        <v>-3.2135740000000002E-6</v>
      </c>
      <c r="I4492">
        <v>131.94159999999999</v>
      </c>
      <c r="J4492">
        <v>-281.44240000000002</v>
      </c>
      <c r="K4492">
        <v>1.1101859999999999</v>
      </c>
      <c r="L4492">
        <v>141.08959999999999</v>
      </c>
      <c r="M4492">
        <v>-0.99987349999999997</v>
      </c>
      <c r="N4492">
        <v>0</v>
      </c>
      <c r="O4492">
        <v>6.0045209999999996E-3</v>
      </c>
      <c r="P4492">
        <v>-0.99817889999999998</v>
      </c>
      <c r="Q4492">
        <v>4.3440140000000002E-3</v>
      </c>
      <c r="R4492">
        <v>6.0171580000000002E-2</v>
      </c>
      <c r="S4492">
        <v>-3.025299</v>
      </c>
      <c r="T4492">
        <v>-3.93219E-2</v>
      </c>
      <c r="U4492">
        <v>-0.32394410000000001</v>
      </c>
      <c r="V4492">
        <v>5.4162059999999998E-2</v>
      </c>
      <c r="W4492">
        <v>1.9097429999999999E-2</v>
      </c>
      <c r="X4492">
        <v>0.9983495</v>
      </c>
      <c r="Y4492">
        <v>-0.112429</v>
      </c>
      <c r="Z4492">
        <v>-8.0637880000000001E-4</v>
      </c>
      <c r="AA4492">
        <v>0.99365939999999997</v>
      </c>
      <c r="AB4492">
        <v>36</v>
      </c>
      <c r="AC4492">
        <v>-85.073999999999899</v>
      </c>
      <c r="AD4492">
        <v>-1.1101892135739999</v>
      </c>
      <c r="AE4492">
        <v>-9.1479999999999908</v>
      </c>
      <c r="AF4492">
        <v>-9.65709333538652</v>
      </c>
      <c r="AG4492">
        <v>-1.1101892135739999</v>
      </c>
      <c r="AH4492">
        <v>85.003220588800502</v>
      </c>
      <c r="AI4492">
        <v>90.743489967039906</v>
      </c>
      <c r="AJ4492">
        <v>96.481500865355002</v>
      </c>
      <c r="AK4492">
        <v>85.557229281029095</v>
      </c>
      <c r="AL4492">
        <v>88.905731319822195</v>
      </c>
      <c r="AM4492">
        <v>86.894656357420203</v>
      </c>
      <c r="AN4492">
        <v>0.99999998236314902</v>
      </c>
    </row>
    <row r="4493" spans="1:40" x14ac:dyDescent="0.25">
      <c r="A4493" t="str">
        <f>"20190312154926036"</f>
        <v>20190312154926036</v>
      </c>
      <c r="B4493" t="str">
        <f>"1552376966030663"</f>
        <v>1552376966030663</v>
      </c>
      <c r="C4493" t="s">
        <v>40</v>
      </c>
      <c r="D4493">
        <v>4.8453200000000001</v>
      </c>
      <c r="E4493">
        <v>0.43686639999999999</v>
      </c>
      <c r="F4493" t="s">
        <v>42</v>
      </c>
      <c r="G4493">
        <v>-362.1189</v>
      </c>
      <c r="H4493" s="1">
        <v>-4.6320129999999996E-6</v>
      </c>
      <c r="I4493">
        <v>132.46379999999999</v>
      </c>
      <c r="J4493">
        <v>-281.7971</v>
      </c>
      <c r="K4493">
        <v>1.1101760000000001</v>
      </c>
      <c r="L4493">
        <v>141.09139999999999</v>
      </c>
      <c r="M4493">
        <v>-0.99987530000000002</v>
      </c>
      <c r="N4493">
        <v>0</v>
      </c>
      <c r="O4493">
        <v>5.6975369999999999E-3</v>
      </c>
      <c r="P4493">
        <v>-0.99821249999999995</v>
      </c>
      <c r="Q4493">
        <v>3.90669E-3</v>
      </c>
      <c r="R4493">
        <v>5.9636229999999998E-2</v>
      </c>
      <c r="S4493">
        <v>-3.0251160000000001</v>
      </c>
      <c r="T4493">
        <v>-4.1628720000000001E-2</v>
      </c>
      <c r="U4493">
        <v>-0.32344060000000002</v>
      </c>
      <c r="V4493">
        <v>5.393386E-2</v>
      </c>
      <c r="W4493">
        <v>1.8655000000000001E-2</v>
      </c>
      <c r="X4493">
        <v>0.99837019999999999</v>
      </c>
      <c r="Y4493">
        <v>-0.1119656</v>
      </c>
      <c r="Z4493">
        <v>-8.4634740000000003E-4</v>
      </c>
      <c r="AA4493">
        <v>0.99371169999999998</v>
      </c>
      <c r="AB4493">
        <v>36</v>
      </c>
      <c r="AC4493">
        <v>-80.321799999999996</v>
      </c>
      <c r="AD4493">
        <v>-1.1101806320129901</v>
      </c>
      <c r="AE4493">
        <v>-8.6275999999999993</v>
      </c>
      <c r="AF4493">
        <v>-9.0834305150025099</v>
      </c>
      <c r="AG4493">
        <v>-1.1101806320129901</v>
      </c>
      <c r="AH4493">
        <v>80.256177476502302</v>
      </c>
      <c r="AI4493">
        <v>90.787492650023196</v>
      </c>
      <c r="AJ4493">
        <v>96.457283630466506</v>
      </c>
      <c r="AK4493">
        <v>80.776204627949795</v>
      </c>
      <c r="AL4493">
        <v>88.931085189132105</v>
      </c>
      <c r="AM4493">
        <v>86.907778588689496</v>
      </c>
      <c r="AN4493">
        <v>0.99999996326376905</v>
      </c>
    </row>
    <row r="4494" spans="1:40" x14ac:dyDescent="0.25">
      <c r="A4494" t="str">
        <f>"20190312154926058"</f>
        <v>20190312154926058</v>
      </c>
      <c r="B4494" t="str">
        <f>"1552376966050183"</f>
        <v>1552376966050183</v>
      </c>
      <c r="C4494" t="s">
        <v>40</v>
      </c>
      <c r="D4494">
        <v>4.8476809999999997</v>
      </c>
      <c r="E4494">
        <v>0.43710539999999998</v>
      </c>
      <c r="F4494" t="s">
        <v>42</v>
      </c>
      <c r="G4494">
        <v>-357.46440000000001</v>
      </c>
      <c r="H4494" s="1">
        <v>-2.6263939999999998E-6</v>
      </c>
      <c r="I4494">
        <v>132.93600000000001</v>
      </c>
      <c r="J4494">
        <v>-282.14139999999998</v>
      </c>
      <c r="K4494">
        <v>1.1101650000000001</v>
      </c>
      <c r="L4494">
        <v>141.09309999999999</v>
      </c>
      <c r="M4494">
        <v>-0.99987689999999996</v>
      </c>
      <c r="N4494">
        <v>0</v>
      </c>
      <c r="O4494">
        <v>5.4152459999999899E-3</v>
      </c>
      <c r="P4494">
        <v>-0.99822409999999995</v>
      </c>
      <c r="Q4494">
        <v>4.9878040000000002E-3</v>
      </c>
      <c r="R4494">
        <v>5.9359370000000002E-2</v>
      </c>
      <c r="S4494">
        <v>-3.0250240000000002</v>
      </c>
      <c r="T4494">
        <v>-4.4382690000000002E-2</v>
      </c>
      <c r="U4494">
        <v>-0.3260345</v>
      </c>
      <c r="V4494">
        <v>5.393854E-2</v>
      </c>
      <c r="W4494">
        <v>1.9730069999999999E-2</v>
      </c>
      <c r="X4494">
        <v>0.9983493</v>
      </c>
      <c r="Y4494">
        <v>-0.11252910000000001</v>
      </c>
      <c r="Z4494">
        <v>-9.023093E-4</v>
      </c>
      <c r="AA4494">
        <v>0.99364810000000003</v>
      </c>
      <c r="AB4494">
        <v>36</v>
      </c>
      <c r="AC4494">
        <v>-75.322999999999993</v>
      </c>
      <c r="AD4494">
        <v>-1.1101676263939999</v>
      </c>
      <c r="AE4494">
        <v>-8.1570999999999803</v>
      </c>
      <c r="AF4494">
        <v>-8.5630785758143801</v>
      </c>
      <c r="AG4494">
        <v>-1.1101676263939999</v>
      </c>
      <c r="AH4494">
        <v>75.261558209041794</v>
      </c>
      <c r="AI4494">
        <v>90.839680150356699</v>
      </c>
      <c r="AJ4494">
        <v>96.491061980512399</v>
      </c>
      <c r="AK4494">
        <v>75.755269987686404</v>
      </c>
      <c r="AL4494">
        <v>88.869476884990505</v>
      </c>
      <c r="AM4494">
        <v>86.907446174087696</v>
      </c>
      <c r="AN4494">
        <v>0.99999998328501305</v>
      </c>
    </row>
    <row r="4495" spans="1:40" x14ac:dyDescent="0.25">
      <c r="A4495" t="str">
        <f>"20190312154926072"</f>
        <v>20190312154926072</v>
      </c>
      <c r="B4495" t="str">
        <f>"1552376966059943"</f>
        <v>1552376966059943</v>
      </c>
      <c r="C4495" t="s">
        <v>40</v>
      </c>
      <c r="D4495">
        <v>4.8897750000000002</v>
      </c>
      <c r="E4495">
        <v>0.43732270000000001</v>
      </c>
      <c r="F4495" t="s">
        <v>42</v>
      </c>
      <c r="G4495">
        <v>-351.48790000000002</v>
      </c>
      <c r="H4495" s="1">
        <v>-4.6949630000000004E-6</v>
      </c>
      <c r="I4495">
        <v>133.63489999999999</v>
      </c>
      <c r="J4495">
        <v>-282.36680000000001</v>
      </c>
      <c r="K4495">
        <v>1.11016</v>
      </c>
      <c r="L4495">
        <v>141.0942</v>
      </c>
      <c r="M4495">
        <v>-0.99987780000000004</v>
      </c>
      <c r="N4495">
        <v>0</v>
      </c>
      <c r="O4495">
        <v>5.2388979999999996E-3</v>
      </c>
      <c r="P4495">
        <v>-0.99823550000000005</v>
      </c>
      <c r="Q4495">
        <v>5.5124909999999996E-3</v>
      </c>
      <c r="R4495">
        <v>5.9124509999999998E-2</v>
      </c>
      <c r="S4495">
        <v>-3.0249630000000001</v>
      </c>
      <c r="T4495">
        <v>-4.8426749999999998E-2</v>
      </c>
      <c r="U4495">
        <v>-0.32533260000000003</v>
      </c>
      <c r="V4495">
        <v>5.3879879999999998E-2</v>
      </c>
      <c r="W4495">
        <v>2.0251140000000001E-2</v>
      </c>
      <c r="X4495">
        <v>0.99834199999999995</v>
      </c>
      <c r="Y4495">
        <v>-0.11212569999999999</v>
      </c>
      <c r="Z4495">
        <v>-9.7851319999999993E-4</v>
      </c>
      <c r="AA4495">
        <v>0.99369350000000001</v>
      </c>
      <c r="AB4495">
        <v>36</v>
      </c>
      <c r="AC4495">
        <v>-69.121099999999998</v>
      </c>
      <c r="AD4495">
        <v>-1.110164694963</v>
      </c>
      <c r="AE4495">
        <v>-7.4593000000000096</v>
      </c>
      <c r="AF4495">
        <v>-7.8193614232137403</v>
      </c>
      <c r="AG4495">
        <v>-1.110164694963</v>
      </c>
      <c r="AH4495">
        <v>69.063457919626998</v>
      </c>
      <c r="AI4495">
        <v>90.915079716053</v>
      </c>
      <c r="AJ4495">
        <v>96.459518155261193</v>
      </c>
      <c r="AK4495">
        <v>69.513567729853094</v>
      </c>
      <c r="AL4495">
        <v>88.839615765971004</v>
      </c>
      <c r="AM4495">
        <v>86.910780369147602</v>
      </c>
      <c r="AN4495">
        <v>0.99999994955205496</v>
      </c>
    </row>
    <row r="4496" spans="1:40" x14ac:dyDescent="0.25">
      <c r="A4496" t="str">
        <f>"20190312154926092"</f>
        <v>20190312154926092</v>
      </c>
      <c r="B4496" t="str">
        <f>"1552376966080439"</f>
        <v>1552376966080439</v>
      </c>
      <c r="C4496" t="s">
        <v>40</v>
      </c>
      <c r="D4496">
        <v>4.883966</v>
      </c>
      <c r="E4496">
        <v>0.43771080000000001</v>
      </c>
      <c r="F4496" t="s">
        <v>42</v>
      </c>
      <c r="G4496">
        <v>-352.30410000000001</v>
      </c>
      <c r="H4496" s="1">
        <v>-4.3518859999999998E-6</v>
      </c>
      <c r="I4496">
        <v>133.5951</v>
      </c>
      <c r="J4496">
        <v>-282.66930000000002</v>
      </c>
      <c r="K4496">
        <v>1.1101490000000001</v>
      </c>
      <c r="L4496">
        <v>141.09549999999999</v>
      </c>
      <c r="M4496">
        <v>-0.99987919999999997</v>
      </c>
      <c r="N4496">
        <v>0</v>
      </c>
      <c r="O4496">
        <v>5.0104609999999999E-3</v>
      </c>
      <c r="P4496">
        <v>-0.99824009999999996</v>
      </c>
      <c r="Q4496">
        <v>5.9971729999999997E-3</v>
      </c>
      <c r="R4496">
        <v>5.9001570000000003E-2</v>
      </c>
      <c r="S4496">
        <v>-3.0247190000000002</v>
      </c>
      <c r="T4496">
        <v>-4.8013569999999998E-2</v>
      </c>
      <c r="U4496">
        <v>-0.32432559999999999</v>
      </c>
      <c r="V4496">
        <v>5.3985470000000001E-2</v>
      </c>
      <c r="W4496">
        <v>2.0730749999999999E-2</v>
      </c>
      <c r="X4496">
        <v>0.99832650000000001</v>
      </c>
      <c r="Y4496">
        <v>-0.1115805</v>
      </c>
      <c r="Z4496">
        <v>-9.6232900000000005E-4</v>
      </c>
      <c r="AA4496">
        <v>0.9937549</v>
      </c>
      <c r="AB4496">
        <v>36</v>
      </c>
      <c r="AC4496">
        <v>-69.634799999999899</v>
      </c>
      <c r="AD4496">
        <v>-1.1101533518860001</v>
      </c>
      <c r="AE4496">
        <v>-7.5003999999999804</v>
      </c>
      <c r="AF4496">
        <v>-7.8472744350254899</v>
      </c>
      <c r="AG4496">
        <v>-1.1101533518860001</v>
      </c>
      <c r="AH4496">
        <v>69.578859597208293</v>
      </c>
      <c r="AI4496">
        <v>90.908337504587706</v>
      </c>
      <c r="AJ4496">
        <v>96.434767310145304</v>
      </c>
      <c r="AK4496">
        <v>70.028778793945307</v>
      </c>
      <c r="AL4496">
        <v>88.812130421935194</v>
      </c>
      <c r="AM4496">
        <v>86.904690130723296</v>
      </c>
      <c r="AN4496">
        <v>0.99999999778446602</v>
      </c>
    </row>
    <row r="4497" spans="1:40" x14ac:dyDescent="0.25">
      <c r="A4497" t="str">
        <f>"20190312154926116"</f>
        <v>20190312154926116</v>
      </c>
      <c r="B4497" t="str">
        <f>"1552376966110695"</f>
        <v>1552376966110695</v>
      </c>
      <c r="C4497" t="s">
        <v>40</v>
      </c>
      <c r="D4497">
        <v>4.8850439999999997</v>
      </c>
      <c r="E4497">
        <v>0.4383397</v>
      </c>
      <c r="F4497" t="s">
        <v>42</v>
      </c>
      <c r="G4497">
        <v>-349.80900000000003</v>
      </c>
      <c r="H4497" s="1">
        <v>-1.5580149999999999E-6</v>
      </c>
      <c r="I4497">
        <v>133.95269999999999</v>
      </c>
      <c r="J4497">
        <v>-283.05009999999999</v>
      </c>
      <c r="K4497">
        <v>1.110136</v>
      </c>
      <c r="L4497">
        <v>141.09719999999999</v>
      </c>
      <c r="M4497">
        <v>-0.9998804</v>
      </c>
      <c r="N4497">
        <v>0</v>
      </c>
      <c r="O4497">
        <v>4.7351540000000001E-3</v>
      </c>
      <c r="P4497">
        <v>-0.99822849999999996</v>
      </c>
      <c r="Q4497">
        <v>6.6046389999999998E-3</v>
      </c>
      <c r="R4497">
        <v>5.9129260000000003E-2</v>
      </c>
      <c r="S4497">
        <v>-3.024597</v>
      </c>
      <c r="T4497">
        <v>-5.0011630000000001E-2</v>
      </c>
      <c r="U4497">
        <v>-0.32177729999999999</v>
      </c>
      <c r="V4497">
        <v>5.438846E-2</v>
      </c>
      <c r="W4497">
        <v>2.1331900000000001E-2</v>
      </c>
      <c r="X4497">
        <v>0.99829199999999996</v>
      </c>
      <c r="Y4497">
        <v>-0.1104822</v>
      </c>
      <c r="Z4497">
        <v>-9.888614999999999E-4</v>
      </c>
      <c r="AA4497">
        <v>0.99387760000000003</v>
      </c>
      <c r="AB4497">
        <v>35</v>
      </c>
      <c r="AC4497">
        <v>-66.758899999999997</v>
      </c>
      <c r="AD4497">
        <v>-1.1101375580149999</v>
      </c>
      <c r="AE4497">
        <v>-7.1444999999999901</v>
      </c>
      <c r="AF4497">
        <v>-7.4585287059915704</v>
      </c>
      <c r="AG4497">
        <v>-1.1101375580149999</v>
      </c>
      <c r="AH4497">
        <v>66.706080372301898</v>
      </c>
      <c r="AI4497">
        <v>90.947537683716206</v>
      </c>
      <c r="AJ4497">
        <v>96.379847131755497</v>
      </c>
      <c r="AK4497">
        <v>67.130940813397004</v>
      </c>
      <c r="AL4497">
        <v>88.777679490120093</v>
      </c>
      <c r="AM4497">
        <v>86.881522182196505</v>
      </c>
      <c r="AN4497">
        <v>1.0000000359013901</v>
      </c>
    </row>
    <row r="4498" spans="1:40" x14ac:dyDescent="0.25">
      <c r="A4498" t="str">
        <f>"20190312154926138"</f>
        <v>20190312154926138</v>
      </c>
      <c r="B4498" t="str">
        <f>"1552376966130215"</f>
        <v>1552376966130215</v>
      </c>
      <c r="C4498" t="s">
        <v>40</v>
      </c>
      <c r="D4498">
        <v>4.9253970000000002</v>
      </c>
      <c r="E4498">
        <v>0.43861349999999999</v>
      </c>
      <c r="F4498" t="s">
        <v>42</v>
      </c>
      <c r="G4498">
        <v>-345.75779999999997</v>
      </c>
      <c r="H4498" s="1">
        <v>-2.782799E-6</v>
      </c>
      <c r="I4498">
        <v>134.5309</v>
      </c>
      <c r="J4498">
        <v>-283.3974</v>
      </c>
      <c r="K4498">
        <v>1.1101299999999901</v>
      </c>
      <c r="L4498">
        <v>141.0985</v>
      </c>
      <c r="M4498">
        <v>-0.99988180000000004</v>
      </c>
      <c r="N4498">
        <v>0</v>
      </c>
      <c r="O4498">
        <v>4.4928549999999996E-3</v>
      </c>
      <c r="P4498">
        <v>-0.99820229999999999</v>
      </c>
      <c r="Q4498">
        <v>6.7393690000000003E-3</v>
      </c>
      <c r="R4498">
        <v>5.9557800000000001E-2</v>
      </c>
      <c r="S4498">
        <v>-3.0244749999999998</v>
      </c>
      <c r="T4498">
        <v>-5.3543569999999999E-2</v>
      </c>
      <c r="U4498">
        <v>-0.31669619999999998</v>
      </c>
      <c r="V4498">
        <v>5.50596E-2</v>
      </c>
      <c r="W4498">
        <v>2.1461569999999999E-2</v>
      </c>
      <c r="X4498">
        <v>0.99825240000000004</v>
      </c>
      <c r="Y4498">
        <v>-0.1085921</v>
      </c>
      <c r="Z4498">
        <v>-1.03786E-3</v>
      </c>
      <c r="AA4498">
        <v>0.99408580000000002</v>
      </c>
      <c r="AB4498">
        <v>35</v>
      </c>
      <c r="AC4498">
        <v>-62.360399999999899</v>
      </c>
      <c r="AD4498">
        <v>-1.11013278279899</v>
      </c>
      <c r="AE4498">
        <v>-6.5675999999999899</v>
      </c>
      <c r="AF4498">
        <v>-6.8455946067109501</v>
      </c>
      <c r="AG4498">
        <v>-1.11013278279899</v>
      </c>
      <c r="AH4498">
        <v>62.310729903739102</v>
      </c>
      <c r="AI4498">
        <v>91.014574897765598</v>
      </c>
      <c r="AJ4498">
        <v>96.269498074675894</v>
      </c>
      <c r="AK4498">
        <v>62.695467311852802</v>
      </c>
      <c r="AL4498">
        <v>88.770248208989898</v>
      </c>
      <c r="AM4498">
        <v>86.842993327889104</v>
      </c>
      <c r="AN4498">
        <v>1.0000000063223899</v>
      </c>
    </row>
    <row r="4499" spans="1:40" x14ac:dyDescent="0.25">
      <c r="A4499" t="str">
        <f>"20190312154926160"</f>
        <v>20190312154926160</v>
      </c>
      <c r="B4499" t="str">
        <f>"1552376966150711"</f>
        <v>1552376966150711</v>
      </c>
      <c r="C4499" t="s">
        <v>40</v>
      </c>
      <c r="D4499">
        <v>4.8975039999999996</v>
      </c>
      <c r="E4499">
        <v>0.43883050000000001</v>
      </c>
      <c r="F4499" t="s">
        <v>42</v>
      </c>
      <c r="G4499">
        <v>-342.85820000000001</v>
      </c>
      <c r="H4499" s="1">
        <v>-3.8760179999999999E-6</v>
      </c>
      <c r="I4499">
        <v>134.93770000000001</v>
      </c>
      <c r="J4499">
        <v>-283.74130000000002</v>
      </c>
      <c r="K4499">
        <v>1.1101259999999999</v>
      </c>
      <c r="L4499">
        <v>141.09989999999999</v>
      </c>
      <c r="M4499">
        <v>-0.99988279999999996</v>
      </c>
      <c r="N4499">
        <v>0</v>
      </c>
      <c r="O4499">
        <v>4.2590329999999997E-3</v>
      </c>
      <c r="P4499">
        <v>-0.99818119999999999</v>
      </c>
      <c r="Q4499">
        <v>6.8870729999999996E-3</v>
      </c>
      <c r="R4499">
        <v>5.9891220000000002E-2</v>
      </c>
      <c r="S4499">
        <v>-3.0244749999999998</v>
      </c>
      <c r="T4499">
        <v>-5.6467059999999999E-2</v>
      </c>
      <c r="U4499">
        <v>-0.31336979999999998</v>
      </c>
      <c r="V4499">
        <v>5.562657E-2</v>
      </c>
      <c r="W4499">
        <v>2.1604120000000001E-2</v>
      </c>
      <c r="X4499">
        <v>0.99821789999999999</v>
      </c>
      <c r="Y4499">
        <v>-0.1072762</v>
      </c>
      <c r="Z4499">
        <v>-1.077976E-3</v>
      </c>
      <c r="AA4499">
        <v>0.99422869999999997</v>
      </c>
      <c r="AB4499">
        <v>35</v>
      </c>
      <c r="AC4499">
        <v>-59.116900000000001</v>
      </c>
      <c r="AD4499">
        <v>-1.1101298760179901</v>
      </c>
      <c r="AE4499">
        <v>-6.1621999999999799</v>
      </c>
      <c r="AF4499">
        <v>-6.4117154675361396</v>
      </c>
      <c r="AG4499">
        <v>-1.1101298760179901</v>
      </c>
      <c r="AH4499">
        <v>59.069509830904302</v>
      </c>
      <c r="AI4499">
        <v>91.070382592931793</v>
      </c>
      <c r="AJ4499">
        <v>96.194931702346096</v>
      </c>
      <c r="AK4499">
        <v>59.426841370222299</v>
      </c>
      <c r="AL4499">
        <v>88.762078811748594</v>
      </c>
      <c r="AM4499">
        <v>86.810441179514996</v>
      </c>
      <c r="AN4499">
        <v>1.00000001458567</v>
      </c>
    </row>
    <row r="4500" spans="1:40" x14ac:dyDescent="0.25">
      <c r="A4500" t="str">
        <f>"20190312154926181"</f>
        <v>20190312154926181</v>
      </c>
      <c r="B4500" t="str">
        <f>"1552376966170235"</f>
        <v>1552376966170235</v>
      </c>
      <c r="C4500" t="s">
        <v>40</v>
      </c>
      <c r="D4500">
        <v>4.9144480000000001</v>
      </c>
      <c r="E4500">
        <v>0.4385753</v>
      </c>
      <c r="F4500" t="s">
        <v>42</v>
      </c>
      <c r="G4500">
        <v>-342.06400000000002</v>
      </c>
      <c r="H4500" s="1">
        <v>-4.186406E-6</v>
      </c>
      <c r="I4500">
        <v>135.1087</v>
      </c>
      <c r="J4500">
        <v>-284.09030000000001</v>
      </c>
      <c r="K4500">
        <v>1.1101209999999999</v>
      </c>
      <c r="L4500">
        <v>141.1011</v>
      </c>
      <c r="M4500">
        <v>-0.99988379999999999</v>
      </c>
      <c r="N4500">
        <v>0</v>
      </c>
      <c r="O4500">
        <v>4.025715E-3</v>
      </c>
      <c r="P4500">
        <v>-0.99816110000000002</v>
      </c>
      <c r="Q4500">
        <v>6.5268459999999898E-3</v>
      </c>
      <c r="R4500">
        <v>6.0268000000000002E-2</v>
      </c>
      <c r="S4500">
        <v>-3.0245060000000001</v>
      </c>
      <c r="T4500">
        <v>-5.7569380000000003E-2</v>
      </c>
      <c r="U4500">
        <v>-0.31068420000000002</v>
      </c>
      <c r="V4500">
        <v>5.6237330000000002E-2</v>
      </c>
      <c r="W4500">
        <v>2.1238940000000001E-2</v>
      </c>
      <c r="X4500">
        <v>0.99819150000000001</v>
      </c>
      <c r="Y4500">
        <v>-0.1061691</v>
      </c>
      <c r="Z4500">
        <v>-1.0841169999999999E-3</v>
      </c>
      <c r="AA4500">
        <v>0.99434750000000005</v>
      </c>
      <c r="AB4500">
        <v>35</v>
      </c>
      <c r="AC4500">
        <v>-57.973700000000001</v>
      </c>
      <c r="AD4500">
        <v>-1.110125186406</v>
      </c>
      <c r="AE4500">
        <v>-5.9923999999999999</v>
      </c>
      <c r="AF4500">
        <v>-6.2235043732489101</v>
      </c>
      <c r="AG4500">
        <v>-1.110125186406</v>
      </c>
      <c r="AH4500">
        <v>57.928087553242399</v>
      </c>
      <c r="AI4500">
        <v>91.091593213764099</v>
      </c>
      <c r="AJ4500">
        <v>96.132051916092706</v>
      </c>
      <c r="AK4500">
        <v>58.2720148286419</v>
      </c>
      <c r="AL4500">
        <v>88.783006869200506</v>
      </c>
      <c r="AM4500">
        <v>86.775409352443603</v>
      </c>
      <c r="AN4500">
        <v>1.00000000026505</v>
      </c>
    </row>
    <row r="4501" spans="1:40" x14ac:dyDescent="0.25">
      <c r="A4501" t="str">
        <f>"20190312154926204"</f>
        <v>20190312154926204</v>
      </c>
      <c r="B4501" t="str">
        <f>"1552376966200488"</f>
        <v>1552376966200488</v>
      </c>
      <c r="C4501" t="s">
        <v>40</v>
      </c>
      <c r="D4501">
        <v>4.88192</v>
      </c>
      <c r="E4501">
        <v>0.41444310000000001</v>
      </c>
      <c r="F4501" t="s">
        <v>42</v>
      </c>
      <c r="G4501">
        <v>-340.66329999999999</v>
      </c>
      <c r="H4501" s="1">
        <v>-4.7581619999999998E-6</v>
      </c>
      <c r="I4501">
        <v>135.273</v>
      </c>
      <c r="J4501">
        <v>-284.44670000000002</v>
      </c>
      <c r="K4501">
        <v>1.1101129999999999</v>
      </c>
      <c r="L4501">
        <v>141.10230000000001</v>
      </c>
      <c r="M4501">
        <v>-0.99988480000000002</v>
      </c>
      <c r="N4501">
        <v>0</v>
      </c>
      <c r="O4501">
        <v>3.7892720000000002E-3</v>
      </c>
      <c r="P4501">
        <v>-0.99816479999999996</v>
      </c>
      <c r="Q4501">
        <v>5.9935919999999998E-3</v>
      </c>
      <c r="R4501">
        <v>6.025788E-2</v>
      </c>
      <c r="S4501">
        <v>-3.0247190000000002</v>
      </c>
      <c r="T4501">
        <v>-5.9353830000000003E-2</v>
      </c>
      <c r="U4501">
        <v>-0.31159969999999998</v>
      </c>
      <c r="V4501">
        <v>5.6463520000000003E-2</v>
      </c>
      <c r="W4501">
        <v>2.0700710000000001E-2</v>
      </c>
      <c r="X4501">
        <v>0.99819000000000002</v>
      </c>
      <c r="Y4501">
        <v>-0.1062234</v>
      </c>
      <c r="Z4501">
        <v>-1.113522E-3</v>
      </c>
      <c r="AA4501">
        <v>0.9943417</v>
      </c>
      <c r="AB4501">
        <v>35</v>
      </c>
      <c r="AC4501">
        <v>-56.2165999999999</v>
      </c>
      <c r="AD4501">
        <v>-1.1101177581620001</v>
      </c>
      <c r="AE4501">
        <v>-5.8293000000000097</v>
      </c>
      <c r="AF4501">
        <v>-6.0399709104586297</v>
      </c>
      <c r="AG4501">
        <v>-1.1101177581620001</v>
      </c>
      <c r="AH4501">
        <v>56.172433703597399</v>
      </c>
      <c r="AI4501">
        <v>91.125683655314603</v>
      </c>
      <c r="AJ4501">
        <v>96.137179593394904</v>
      </c>
      <c r="AK4501">
        <v>56.507131569574597</v>
      </c>
      <c r="AL4501">
        <v>88.813851914481603</v>
      </c>
      <c r="AM4501">
        <v>86.762462529823296</v>
      </c>
      <c r="AN4501">
        <v>0.99999996229264598</v>
      </c>
    </row>
    <row r="4502" spans="1:40" x14ac:dyDescent="0.25">
      <c r="A4502" t="str">
        <f>"20190312154926226"</f>
        <v>20190312154926226</v>
      </c>
      <c r="B4502" t="str">
        <f>"1552376966220007"</f>
        <v>1552376966220007</v>
      </c>
      <c r="C4502" t="s">
        <v>40</v>
      </c>
      <c r="D4502">
        <v>4.9030719999999999</v>
      </c>
      <c r="E4502">
        <v>0.4135105</v>
      </c>
      <c r="F4502" t="s">
        <v>42</v>
      </c>
      <c r="G4502">
        <v>-322.29109999999997</v>
      </c>
      <c r="H4502" s="1">
        <v>-4.1426979999999997E-6</v>
      </c>
      <c r="I4502">
        <v>134.80600000000001</v>
      </c>
      <c r="J4502">
        <v>-284.79399999999998</v>
      </c>
      <c r="K4502">
        <v>1.110107</v>
      </c>
      <c r="L4502">
        <v>141.10339999999999</v>
      </c>
      <c r="M4502">
        <v>-0.99988560000000004</v>
      </c>
      <c r="N4502">
        <v>0</v>
      </c>
      <c r="O4502">
        <v>3.559006E-3</v>
      </c>
      <c r="P4502">
        <v>-0.99816110000000002</v>
      </c>
      <c r="Q4502">
        <v>5.2345040000000001E-3</v>
      </c>
      <c r="R4502">
        <v>6.0388959999999998E-2</v>
      </c>
      <c r="S4502">
        <v>-3.0365600000000001</v>
      </c>
      <c r="T4502">
        <v>-8.9073780000000005E-2</v>
      </c>
      <c r="U4502">
        <v>-0.50520319999999996</v>
      </c>
      <c r="V4502">
        <v>5.6825140000000003E-2</v>
      </c>
      <c r="W4502">
        <v>1.9937449999999999E-2</v>
      </c>
      <c r="X4502">
        <v>0.99818499999999999</v>
      </c>
      <c r="Y4502">
        <v>-0.16755610000000001</v>
      </c>
      <c r="Z4502">
        <v>-2.5439210000000002E-3</v>
      </c>
      <c r="AA4502">
        <v>0.98585929999999999</v>
      </c>
      <c r="AB4502">
        <v>35</v>
      </c>
      <c r="AC4502">
        <v>-37.497099999999897</v>
      </c>
      <c r="AD4502">
        <v>-1.1101111426979999</v>
      </c>
      <c r="AE4502">
        <v>-6.2973999999999801</v>
      </c>
      <c r="AF4502">
        <v>-6.4253497857816004</v>
      </c>
      <c r="AG4502">
        <v>-1.1101111426979999</v>
      </c>
      <c r="AH4502">
        <v>37.442530492548997</v>
      </c>
      <c r="AI4502">
        <v>91.673778648071007</v>
      </c>
      <c r="AJ4502">
        <v>99.737434468162803</v>
      </c>
      <c r="AK4502">
        <v>38.006059468251301</v>
      </c>
      <c r="AL4502">
        <v>88.857592506051105</v>
      </c>
      <c r="AM4502">
        <v>86.741756001999804</v>
      </c>
      <c r="AN4502">
        <v>0.99999994633675904</v>
      </c>
    </row>
    <row r="4503" spans="1:40" x14ac:dyDescent="0.25">
      <c r="A4503" t="str">
        <f>"20190312154926249"</f>
        <v>20190312154926249</v>
      </c>
      <c r="B4503" t="str">
        <f>"1552376966240503"</f>
        <v>1552376966240503</v>
      </c>
      <c r="C4503" t="s">
        <v>40</v>
      </c>
      <c r="D4503">
        <v>4.8548400000000003</v>
      </c>
      <c r="E4503">
        <v>0.4128193</v>
      </c>
      <c r="F4503" t="s">
        <v>63</v>
      </c>
      <c r="G4503">
        <v>-317.37790000000001</v>
      </c>
      <c r="H4503" s="1">
        <v>-5.2472130000000001E-6</v>
      </c>
      <c r="I4503">
        <v>135.60290000000001</v>
      </c>
      <c r="J4503">
        <v>-285.14769999999999</v>
      </c>
      <c r="K4503">
        <v>1.110101</v>
      </c>
      <c r="L4503">
        <v>141.1044</v>
      </c>
      <c r="M4503">
        <v>-0.99988650000000001</v>
      </c>
      <c r="N4503">
        <v>0</v>
      </c>
      <c r="O4503">
        <v>3.3240190000000001E-3</v>
      </c>
      <c r="P4503">
        <v>-0.99817060000000002</v>
      </c>
      <c r="Q4503">
        <v>4.6818550000000004E-3</v>
      </c>
      <c r="R4503">
        <v>6.0281939999999999E-2</v>
      </c>
      <c r="S4503">
        <v>-3.0371090000000001</v>
      </c>
      <c r="T4503">
        <v>-0.1034725</v>
      </c>
      <c r="U4503">
        <v>-0.51269529999999996</v>
      </c>
      <c r="V4503">
        <v>5.6953330000000003E-2</v>
      </c>
      <c r="W4503">
        <v>1.938061E-2</v>
      </c>
      <c r="X4503">
        <v>0.99818870000000004</v>
      </c>
      <c r="Y4503">
        <v>-0.1696347</v>
      </c>
      <c r="Z4503">
        <v>-2.981002E-3</v>
      </c>
      <c r="AA4503">
        <v>0.98550249999999995</v>
      </c>
      <c r="AB4503">
        <v>35</v>
      </c>
      <c r="AC4503">
        <v>-32.230200000000004</v>
      </c>
      <c r="AD4503">
        <v>-1.1101062472130001</v>
      </c>
      <c r="AE4503">
        <v>-5.5014999999999903</v>
      </c>
      <c r="AF4503">
        <v>-5.6021571537131196</v>
      </c>
      <c r="AG4503">
        <v>-1.1101062472130001</v>
      </c>
      <c r="AH4503">
        <v>32.174643943497102</v>
      </c>
      <c r="AI4503">
        <v>91.946797886268399</v>
      </c>
      <c r="AJ4503">
        <v>99.877157408339599</v>
      </c>
      <c r="AK4503">
        <v>32.677579676986703</v>
      </c>
      <c r="AL4503">
        <v>88.889503300331299</v>
      </c>
      <c r="AM4503">
        <v>86.734433802395102</v>
      </c>
      <c r="AN4503">
        <v>0.999999985324875</v>
      </c>
    </row>
    <row r="4504" spans="1:40" x14ac:dyDescent="0.25">
      <c r="A4504" t="str">
        <f>"20190312154926270"</f>
        <v>20190312154926270</v>
      </c>
      <c r="B4504" t="str">
        <f>"1552376966260023"</f>
        <v>1552376966260023</v>
      </c>
      <c r="C4504" t="s">
        <v>40</v>
      </c>
      <c r="D4504">
        <v>4.8635140000000003</v>
      </c>
      <c r="E4504">
        <v>0.41265829999999998</v>
      </c>
      <c r="F4504" t="s">
        <v>63</v>
      </c>
      <c r="G4504">
        <v>-315.5822</v>
      </c>
      <c r="H4504" s="1">
        <v>-6.1403159999999999E-6</v>
      </c>
      <c r="I4504">
        <v>135.90539999999999</v>
      </c>
      <c r="J4504">
        <v>-285.48079999999999</v>
      </c>
      <c r="K4504">
        <v>1.1100939999999999</v>
      </c>
      <c r="L4504">
        <v>141.1053</v>
      </c>
      <c r="M4504">
        <v>-0.99988730000000003</v>
      </c>
      <c r="N4504">
        <v>0</v>
      </c>
      <c r="O4504">
        <v>3.1020729999999999E-3</v>
      </c>
      <c r="P4504">
        <v>-0.9981643</v>
      </c>
      <c r="Q4504">
        <v>4.0845830000000001E-3</v>
      </c>
      <c r="R4504">
        <v>6.0427799999999997E-2</v>
      </c>
      <c r="S4504">
        <v>-3.0373540000000001</v>
      </c>
      <c r="T4504">
        <v>-0.1107886</v>
      </c>
      <c r="U4504">
        <v>-0.51885990000000004</v>
      </c>
      <c r="V4504">
        <v>5.732102E-2</v>
      </c>
      <c r="W4504">
        <v>1.877943E-2</v>
      </c>
      <c r="X4504">
        <v>0.99817909999999999</v>
      </c>
      <c r="Y4504">
        <v>-0.1713317</v>
      </c>
      <c r="Z4504">
        <v>-3.2135319999999998E-3</v>
      </c>
      <c r="AA4504">
        <v>0.98520819999999998</v>
      </c>
      <c r="AB4504">
        <v>35</v>
      </c>
      <c r="AC4504">
        <v>-30.101400000000002</v>
      </c>
      <c r="AD4504">
        <v>-1.110100140316</v>
      </c>
      <c r="AE4504">
        <v>-5.1999000000000102</v>
      </c>
      <c r="AF4504">
        <v>-5.2862805785073599</v>
      </c>
      <c r="AG4504">
        <v>-1.110100140316</v>
      </c>
      <c r="AH4504">
        <v>30.045444059112199</v>
      </c>
      <c r="AI4504">
        <v>92.083984798816402</v>
      </c>
      <c r="AJ4504">
        <v>99.978652299367297</v>
      </c>
      <c r="AK4504">
        <v>30.5271320858261</v>
      </c>
      <c r="AL4504">
        <v>88.923954601912698</v>
      </c>
      <c r="AM4504">
        <v>86.713365875806502</v>
      </c>
      <c r="AN4504">
        <v>0.99999994100088596</v>
      </c>
    </row>
    <row r="4505" spans="1:40" x14ac:dyDescent="0.25">
      <c r="A4505" t="str">
        <f>"20190312154926295"</f>
        <v>20190312154926295</v>
      </c>
      <c r="B4505" t="str">
        <f>"1552376966290279"</f>
        <v>1552376966290279</v>
      </c>
      <c r="C4505" t="s">
        <v>40</v>
      </c>
      <c r="D4505">
        <v>4.8252610000000002</v>
      </c>
      <c r="E4505">
        <v>0.41230319999999998</v>
      </c>
      <c r="F4505" t="s">
        <v>63</v>
      </c>
      <c r="G4505">
        <v>-314.69709999999998</v>
      </c>
      <c r="H4505" s="1">
        <v>-6.5861039999999996E-6</v>
      </c>
      <c r="I4505">
        <v>136.1062</v>
      </c>
      <c r="J4505">
        <v>-285.8451</v>
      </c>
      <c r="K4505">
        <v>1.1100920000000001</v>
      </c>
      <c r="L4505">
        <v>141.1062</v>
      </c>
      <c r="M4505">
        <v>-0.99988809999999995</v>
      </c>
      <c r="N4505">
        <v>0</v>
      </c>
      <c r="O4505">
        <v>2.8592629999999999E-3</v>
      </c>
      <c r="P4505">
        <v>-0.99816830000000001</v>
      </c>
      <c r="Q4505">
        <v>3.3444389999999998E-3</v>
      </c>
      <c r="R4505">
        <v>6.0406920000000003E-2</v>
      </c>
      <c r="S4505">
        <v>-3.037445</v>
      </c>
      <c r="T4505">
        <v>-0.1154106</v>
      </c>
      <c r="U4505">
        <v>-0.51972959999999901</v>
      </c>
      <c r="V4505">
        <v>5.7543110000000001E-2</v>
      </c>
      <c r="W4505">
        <v>1.8035209999999999E-2</v>
      </c>
      <c r="X4505">
        <v>0.99818010000000001</v>
      </c>
      <c r="Y4505">
        <v>-0.17135210000000001</v>
      </c>
      <c r="Z4505">
        <v>-3.3385530000000002E-3</v>
      </c>
      <c r="AA4505">
        <v>0.98520419999999997</v>
      </c>
      <c r="AB4505">
        <v>35</v>
      </c>
      <c r="AC4505">
        <v>-28.851999999999901</v>
      </c>
      <c r="AD4505">
        <v>-1.110098586104</v>
      </c>
      <c r="AE4505">
        <v>-5</v>
      </c>
      <c r="AF4505">
        <v>-5.0751897913901702</v>
      </c>
      <c r="AG4505">
        <v>-1.110098586104</v>
      </c>
      <c r="AH4505">
        <v>28.7961979778832</v>
      </c>
      <c r="AI4505">
        <v>92.174192741906197</v>
      </c>
      <c r="AJ4505">
        <v>99.995451909004998</v>
      </c>
      <c r="AK4505">
        <v>29.261081461062702</v>
      </c>
      <c r="AL4505">
        <v>88.966602552223407</v>
      </c>
      <c r="AM4505">
        <v>86.7006632042973</v>
      </c>
      <c r="AN4505">
        <v>0.99999999517211302</v>
      </c>
    </row>
    <row r="4506" spans="1:40" x14ac:dyDescent="0.25">
      <c r="A4506" t="str">
        <f>"20190312154926317"</f>
        <v>20190312154926317</v>
      </c>
      <c r="B4506" t="str">
        <f>"1552376966310776"</f>
        <v>1552376966310776</v>
      </c>
      <c r="C4506" t="s">
        <v>40</v>
      </c>
      <c r="D4506">
        <v>4.844938</v>
      </c>
      <c r="E4506">
        <v>0.41204030000000003</v>
      </c>
      <c r="F4506" t="s">
        <v>63</v>
      </c>
      <c r="G4506">
        <v>-314.05799999999999</v>
      </c>
      <c r="H4506" s="1">
        <v>-6.8891139999999998E-6</v>
      </c>
      <c r="I4506">
        <v>136.25110000000001</v>
      </c>
      <c r="J4506">
        <v>-286.2131</v>
      </c>
      <c r="K4506">
        <v>1.1100909999999999</v>
      </c>
      <c r="L4506">
        <v>141.107</v>
      </c>
      <c r="M4506">
        <v>-0.99988880000000002</v>
      </c>
      <c r="N4506">
        <v>0</v>
      </c>
      <c r="O4506">
        <v>2.6133490000000001E-3</v>
      </c>
      <c r="P4506">
        <v>-0.9981778</v>
      </c>
      <c r="Q4506">
        <v>3.1026119999999998E-3</v>
      </c>
      <c r="R4506">
        <v>6.0263419999999998E-2</v>
      </c>
      <c r="S4506">
        <v>-3.037506</v>
      </c>
      <c r="T4506">
        <v>-0.1195174</v>
      </c>
      <c r="U4506">
        <v>-0.52272029999999903</v>
      </c>
      <c r="V4506">
        <v>5.7645309999999998E-2</v>
      </c>
      <c r="W4506">
        <v>1.7788729999999999E-2</v>
      </c>
      <c r="X4506">
        <v>0.99817869999999997</v>
      </c>
      <c r="Y4506">
        <v>-0.17203959999999999</v>
      </c>
      <c r="Z4506">
        <v>-3.4607309999999999E-3</v>
      </c>
      <c r="AA4506">
        <v>0.98508390000000001</v>
      </c>
      <c r="AB4506">
        <v>35</v>
      </c>
      <c r="AC4506">
        <v>-27.844899999999999</v>
      </c>
      <c r="AD4506">
        <v>-1.1100978891140001</v>
      </c>
      <c r="AE4506">
        <v>-4.8558999999999903</v>
      </c>
      <c r="AF4506">
        <v>-4.9210690376789099</v>
      </c>
      <c r="AG4506">
        <v>-1.1100978891140001</v>
      </c>
      <c r="AH4506">
        <v>27.789248936911601</v>
      </c>
      <c r="AI4506">
        <v>92.252569944267094</v>
      </c>
      <c r="AJ4506">
        <v>100.042135995534</v>
      </c>
      <c r="AK4506">
        <v>28.243434533970198</v>
      </c>
      <c r="AL4506">
        <v>88.980727157254904</v>
      </c>
      <c r="AM4506">
        <v>86.694811739420999</v>
      </c>
      <c r="AN4506">
        <v>1.00000006890684</v>
      </c>
    </row>
    <row r="4507" spans="1:40" x14ac:dyDescent="0.25">
      <c r="A4507" t="str">
        <f>"20190312154926339"</f>
        <v>20190312154926339</v>
      </c>
      <c r="B4507" t="str">
        <f>"1552376966330295"</f>
        <v>1552376966330295</v>
      </c>
      <c r="C4507" t="s">
        <v>40</v>
      </c>
      <c r="D4507">
        <v>4.7516800000000003</v>
      </c>
      <c r="E4507">
        <v>0.41220780000000001</v>
      </c>
      <c r="F4507" t="s">
        <v>63</v>
      </c>
      <c r="G4507">
        <v>-314.12279999999998</v>
      </c>
      <c r="H4507" s="1">
        <v>-6.8720359999999997E-6</v>
      </c>
      <c r="I4507">
        <v>136.279</v>
      </c>
      <c r="J4507">
        <v>-286.55790000000002</v>
      </c>
      <c r="K4507">
        <v>1.1100939999999999</v>
      </c>
      <c r="L4507">
        <v>141.10759999999999</v>
      </c>
      <c r="M4507">
        <v>-0.99988949999999999</v>
      </c>
      <c r="N4507">
        <v>0</v>
      </c>
      <c r="O4507">
        <v>2.3827420000000002E-3</v>
      </c>
      <c r="P4507">
        <v>-0.99818110000000004</v>
      </c>
      <c r="Q4507">
        <v>3.2632519999999999E-3</v>
      </c>
      <c r="R4507">
        <v>6.0198719999999997E-2</v>
      </c>
      <c r="S4507">
        <v>-3.0375670000000001</v>
      </c>
      <c r="T4507">
        <v>-0.12081790000000001</v>
      </c>
      <c r="U4507">
        <v>-0.52545169999999997</v>
      </c>
      <c r="V4507">
        <v>5.7810760000000003E-2</v>
      </c>
      <c r="W4507">
        <v>1.794511E-2</v>
      </c>
      <c r="X4507">
        <v>0.99816629999999995</v>
      </c>
      <c r="Y4507">
        <v>-0.17266609999999999</v>
      </c>
      <c r="Z4507">
        <v>-3.5012839999999999E-3</v>
      </c>
      <c r="AA4507">
        <v>0.98497420000000002</v>
      </c>
      <c r="AB4507">
        <v>35</v>
      </c>
      <c r="AC4507">
        <v>-27.564899999999898</v>
      </c>
      <c r="AD4507">
        <v>-1.1101008720359999</v>
      </c>
      <c r="AE4507">
        <v>-4.82859999999999</v>
      </c>
      <c r="AF4507">
        <v>-4.8865840262518097</v>
      </c>
      <c r="AG4507">
        <v>-1.1101008720359999</v>
      </c>
      <c r="AH4507">
        <v>27.510026243053499</v>
      </c>
      <c r="AI4507">
        <v>92.275202843575897</v>
      </c>
      <c r="AJ4507">
        <v>100.07234584979599</v>
      </c>
      <c r="AK4507">
        <v>27.9626996422951</v>
      </c>
      <c r="AL4507">
        <v>88.971765780278702</v>
      </c>
      <c r="AM4507">
        <v>86.685305428975795</v>
      </c>
      <c r="AN4507">
        <v>1.00000003670018</v>
      </c>
    </row>
    <row r="4508" spans="1:40" x14ac:dyDescent="0.25">
      <c r="A4508" t="str">
        <f>"20190312154926359"</f>
        <v>20190312154926359</v>
      </c>
      <c r="B4508" t="str">
        <f>"1552376966350791"</f>
        <v>1552376966350791</v>
      </c>
      <c r="C4508" t="s">
        <v>40</v>
      </c>
      <c r="D4508">
        <v>4.8458079999999999</v>
      </c>
      <c r="E4508">
        <v>0.41220889999999999</v>
      </c>
      <c r="F4508" t="s">
        <v>63</v>
      </c>
      <c r="G4508">
        <v>-314.72800000000001</v>
      </c>
      <c r="H4508" s="1">
        <v>-6.6183699999999996E-6</v>
      </c>
      <c r="I4508">
        <v>136.2458</v>
      </c>
      <c r="J4508">
        <v>-286.8768</v>
      </c>
      <c r="K4508">
        <v>1.1100939999999999</v>
      </c>
      <c r="L4508">
        <v>141.10820000000001</v>
      </c>
      <c r="M4508">
        <v>-0.9998901</v>
      </c>
      <c r="N4508">
        <v>0</v>
      </c>
      <c r="O4508">
        <v>2.169294E-3</v>
      </c>
      <c r="P4508">
        <v>-0.99817500000000003</v>
      </c>
      <c r="Q4508">
        <v>3.7602989999999999E-3</v>
      </c>
      <c r="R4508">
        <v>6.027544E-2</v>
      </c>
      <c r="S4508">
        <v>-3.0374759999999998</v>
      </c>
      <c r="T4508">
        <v>-0.119698</v>
      </c>
      <c r="U4508">
        <v>-0.524231</v>
      </c>
      <c r="V4508">
        <v>5.8100480000000003E-2</v>
      </c>
      <c r="W4508">
        <v>1.8438070000000001E-2</v>
      </c>
      <c r="X4508">
        <v>0.99814049999999999</v>
      </c>
      <c r="Y4508">
        <v>-0.1720795</v>
      </c>
      <c r="Z4508">
        <v>-3.4492580000000002E-3</v>
      </c>
      <c r="AA4508">
        <v>0.98507699999999998</v>
      </c>
      <c r="AB4508">
        <v>35</v>
      </c>
      <c r="AC4508">
        <v>-27.851199999999999</v>
      </c>
      <c r="AD4508">
        <v>-1.11010061837</v>
      </c>
      <c r="AE4508">
        <v>-4.8624000000000001</v>
      </c>
      <c r="AF4508">
        <v>-4.9152347229655602</v>
      </c>
      <c r="AG4508">
        <v>-1.11010061837</v>
      </c>
      <c r="AH4508">
        <v>27.797729834368099</v>
      </c>
      <c r="AI4508">
        <v>92.251990806806305</v>
      </c>
      <c r="AJ4508">
        <v>100.02747404801499</v>
      </c>
      <c r="AK4508">
        <v>28.2507635243594</v>
      </c>
      <c r="AL4508">
        <v>88.943516585489505</v>
      </c>
      <c r="AM4508">
        <v>86.668645163634594</v>
      </c>
      <c r="AN4508">
        <v>1.0000000429708999</v>
      </c>
    </row>
    <row r="4509" spans="1:40" x14ac:dyDescent="0.25">
      <c r="A4509" t="str">
        <f>"20190312154926382"</f>
        <v>20190312154926382</v>
      </c>
      <c r="B4509" t="str">
        <f>"1552376966370312"</f>
        <v>1552376966370312</v>
      </c>
      <c r="C4509" t="s">
        <v>40</v>
      </c>
      <c r="D4509">
        <v>4.8759750000000004</v>
      </c>
      <c r="E4509">
        <v>0.41194930000000002</v>
      </c>
      <c r="F4509" t="s">
        <v>63</v>
      </c>
      <c r="G4509">
        <v>-314.93619999999999</v>
      </c>
      <c r="H4509" s="1">
        <v>-6.5411909999999997E-6</v>
      </c>
      <c r="I4509">
        <v>136.26589999999999</v>
      </c>
      <c r="J4509">
        <v>-287.23349999999999</v>
      </c>
      <c r="K4509">
        <v>1.110096</v>
      </c>
      <c r="L4509">
        <v>141.1087</v>
      </c>
      <c r="M4509">
        <v>-0.99989059999999996</v>
      </c>
      <c r="N4509">
        <v>0</v>
      </c>
      <c r="O4509">
        <v>1.930696E-3</v>
      </c>
      <c r="P4509">
        <v>-0.99818759999999995</v>
      </c>
      <c r="Q4509">
        <v>3.8738790000000002E-3</v>
      </c>
      <c r="R4509">
        <v>6.0054400000000001E-2</v>
      </c>
      <c r="S4509">
        <v>-3.0375369999999999</v>
      </c>
      <c r="T4509">
        <v>-0.12017269999999899</v>
      </c>
      <c r="U4509">
        <v>-0.52420040000000001</v>
      </c>
      <c r="V4509">
        <v>5.8117420000000003E-2</v>
      </c>
      <c r="W4509">
        <v>1.8547729999999998E-2</v>
      </c>
      <c r="X4509">
        <v>0.99813739999999995</v>
      </c>
      <c r="Y4509">
        <v>-0.17183080000000001</v>
      </c>
      <c r="Z4509">
        <v>-3.4486120000000002E-3</v>
      </c>
      <c r="AA4509">
        <v>0.98512040000000001</v>
      </c>
      <c r="AB4509">
        <v>35</v>
      </c>
      <c r="AC4509">
        <v>-27.7027</v>
      </c>
      <c r="AD4509">
        <v>-1.1101025411909999</v>
      </c>
      <c r="AE4509">
        <v>-4.8428000000000102</v>
      </c>
      <c r="AF4509">
        <v>-4.8886649504102797</v>
      </c>
      <c r="AG4509">
        <v>-1.1101025411909999</v>
      </c>
      <c r="AH4509">
        <v>27.650214236655</v>
      </c>
      <c r="AI4509">
        <v>92.264003578557407</v>
      </c>
      <c r="AJ4509">
        <v>100.026497803871</v>
      </c>
      <c r="AK4509">
        <v>28.100991441268601</v>
      </c>
      <c r="AL4509">
        <v>88.937232368850303</v>
      </c>
      <c r="AM4509">
        <v>86.667665723359306</v>
      </c>
      <c r="AN4509">
        <v>0.99999996103718303</v>
      </c>
    </row>
    <row r="4510" spans="1:40" x14ac:dyDescent="0.25">
      <c r="A4510" t="str">
        <f>"20190312154926405"</f>
        <v>20190312154926405</v>
      </c>
      <c r="B4510" t="str">
        <f>"1552376966400568"</f>
        <v>1552376966400568</v>
      </c>
      <c r="C4510" t="s">
        <v>40</v>
      </c>
      <c r="D4510">
        <v>4.8538300000000003</v>
      </c>
      <c r="E4510">
        <v>0.41158410000000001</v>
      </c>
      <c r="F4510" t="s">
        <v>63</v>
      </c>
      <c r="G4510">
        <v>-315.25510000000003</v>
      </c>
      <c r="H4510" s="1">
        <v>-6.394764E-6</v>
      </c>
      <c r="I4510">
        <v>136.2474</v>
      </c>
      <c r="J4510">
        <v>-287.58929999999998</v>
      </c>
      <c r="K4510">
        <v>1.1100969999999999</v>
      </c>
      <c r="L4510">
        <v>141.10910000000001</v>
      </c>
      <c r="M4510">
        <v>-0.99989110000000003</v>
      </c>
      <c r="N4510">
        <v>0</v>
      </c>
      <c r="O4510">
        <v>1.692098E-3</v>
      </c>
      <c r="P4510">
        <v>-0.99817860000000003</v>
      </c>
      <c r="Q4510">
        <v>3.8751050000000002E-3</v>
      </c>
      <c r="R4510">
        <v>6.0206349999999999E-2</v>
      </c>
      <c r="S4510">
        <v>-3.0376280000000002</v>
      </c>
      <c r="T4510">
        <v>-0.12033870000000001</v>
      </c>
      <c r="U4510">
        <v>-0.52697749999999999</v>
      </c>
      <c r="V4510">
        <v>5.850793E-2</v>
      </c>
      <c r="W4510">
        <v>1.8544870000000001E-2</v>
      </c>
      <c r="X4510">
        <v>0.99811470000000002</v>
      </c>
      <c r="Y4510">
        <v>-0.1724647</v>
      </c>
      <c r="Z4510">
        <v>-3.4560770000000001E-3</v>
      </c>
      <c r="AA4510">
        <v>0.98500969999999999</v>
      </c>
      <c r="AB4510">
        <v>35</v>
      </c>
      <c r="AC4510">
        <v>-27.665800000000001</v>
      </c>
      <c r="AD4510">
        <v>-1.110103394764</v>
      </c>
      <c r="AE4510">
        <v>-4.8617000000000097</v>
      </c>
      <c r="AF4510">
        <v>-4.9008570419707498</v>
      </c>
      <c r="AG4510">
        <v>-1.110103394764</v>
      </c>
      <c r="AH4510">
        <v>27.614404207451599</v>
      </c>
      <c r="AI4510">
        <v>92.266677309449094</v>
      </c>
      <c r="AJ4510">
        <v>100.06376190634199</v>
      </c>
      <c r="AK4510">
        <v>28.067882873943699</v>
      </c>
      <c r="AL4510">
        <v>88.937396327991905</v>
      </c>
      <c r="AM4510">
        <v>86.645249523702702</v>
      </c>
      <c r="AN4510">
        <v>1.00000002221614</v>
      </c>
    </row>
    <row r="4511" spans="1:40" x14ac:dyDescent="0.25">
      <c r="A4511" t="str">
        <f>"20190312154926419"</f>
        <v>20190312154926419</v>
      </c>
      <c r="B4511" t="str">
        <f>"1552376966410328"</f>
        <v>1552376966410328</v>
      </c>
      <c r="C4511" t="s">
        <v>40</v>
      </c>
      <c r="D4511">
        <v>4.8771820000000004</v>
      </c>
      <c r="E4511">
        <v>0.41139160000000002</v>
      </c>
      <c r="F4511" t="s">
        <v>63</v>
      </c>
      <c r="G4511">
        <v>-315.26560000000001</v>
      </c>
      <c r="H4511" s="1">
        <v>-6.4024760000000003E-6</v>
      </c>
      <c r="I4511">
        <v>136.2861</v>
      </c>
      <c r="J4511">
        <v>-287.81220000000002</v>
      </c>
      <c r="K4511">
        <v>1.1100969999999999</v>
      </c>
      <c r="L4511">
        <v>141.10939999999999</v>
      </c>
      <c r="M4511">
        <v>-0.99989130000000004</v>
      </c>
      <c r="N4511">
        <v>0</v>
      </c>
      <c r="O4511">
        <v>1.5430610000000001E-3</v>
      </c>
      <c r="P4511">
        <v>-0.99821380000000004</v>
      </c>
      <c r="Q4511">
        <v>4.036708E-3</v>
      </c>
      <c r="R4511">
        <v>5.96082E-2</v>
      </c>
      <c r="S4511">
        <v>-3.0378720000000001</v>
      </c>
      <c r="T4511">
        <v>-0.12184979999999999</v>
      </c>
      <c r="U4511">
        <v>-0.52940369999999903</v>
      </c>
      <c r="V4511">
        <v>5.805838E-2</v>
      </c>
      <c r="W4511">
        <v>1.8704100000000001E-2</v>
      </c>
      <c r="X4511">
        <v>0.99813799999999997</v>
      </c>
      <c r="Y4511">
        <v>-0.17306440000000001</v>
      </c>
      <c r="Z4511">
        <v>-3.504928E-3</v>
      </c>
      <c r="AA4511">
        <v>0.98490429999999995</v>
      </c>
      <c r="AB4511">
        <v>35</v>
      </c>
      <c r="AC4511">
        <v>-27.453399999999899</v>
      </c>
      <c r="AD4511">
        <v>-1.1101034024759999</v>
      </c>
      <c r="AE4511">
        <v>-4.8232999999999802</v>
      </c>
      <c r="AF4511">
        <v>-4.8579558547717898</v>
      </c>
      <c r="AG4511">
        <v>-1.1101034024759999</v>
      </c>
      <c r="AH4511">
        <v>27.4024606864091</v>
      </c>
      <c r="AI4511">
        <v>92.2842660777454</v>
      </c>
      <c r="AJ4511">
        <v>100.05304537054</v>
      </c>
      <c r="AK4511">
        <v>27.851874556684599</v>
      </c>
      <c r="AL4511">
        <v>88.9282715607292</v>
      </c>
      <c r="AM4511">
        <v>86.671045335895002</v>
      </c>
      <c r="AN4511">
        <v>1.0000000429445099</v>
      </c>
    </row>
    <row r="4512" spans="1:40" x14ac:dyDescent="0.25">
      <c r="A4512" t="str">
        <f>"20190312154926438"</f>
        <v>20190312154926438</v>
      </c>
      <c r="B4512" t="str">
        <f>"1552376966429847"</f>
        <v>1552376966429847</v>
      </c>
      <c r="C4512" t="s">
        <v>40</v>
      </c>
      <c r="D4512">
        <v>4.827852</v>
      </c>
      <c r="E4512">
        <v>0.41122930000000002</v>
      </c>
      <c r="F4512" t="s">
        <v>63</v>
      </c>
      <c r="G4512">
        <v>-315.64659999999998</v>
      </c>
      <c r="H4512" s="1">
        <v>-6.2152290000000004E-6</v>
      </c>
      <c r="I4512">
        <v>136.22890000000001</v>
      </c>
      <c r="J4512">
        <v>-288.10160000000002</v>
      </c>
      <c r="K4512">
        <v>1.1100969999999999</v>
      </c>
      <c r="L4512">
        <v>141.1096</v>
      </c>
      <c r="M4512">
        <v>-0.99989159999999999</v>
      </c>
      <c r="N4512">
        <v>0</v>
      </c>
      <c r="O4512">
        <v>1.3492109999999999E-3</v>
      </c>
      <c r="P4512">
        <v>-0.99821780000000004</v>
      </c>
      <c r="Q4512">
        <v>4.6929679999999996E-3</v>
      </c>
      <c r="R4512">
        <v>5.9491269999999999E-2</v>
      </c>
      <c r="S4512">
        <v>-3.0376590000000001</v>
      </c>
      <c r="T4512">
        <v>-0.1211492</v>
      </c>
      <c r="U4512">
        <v>-0.53262330000000002</v>
      </c>
      <c r="V4512">
        <v>5.813451E-2</v>
      </c>
      <c r="W4512">
        <v>1.9356769999999999E-2</v>
      </c>
      <c r="X4512">
        <v>0.99812109999999998</v>
      </c>
      <c r="Y4512">
        <v>-0.1738991</v>
      </c>
      <c r="Z4512">
        <v>-3.4935600000000002E-3</v>
      </c>
      <c r="AA4512">
        <v>0.98475729999999995</v>
      </c>
      <c r="AB4512">
        <v>35</v>
      </c>
      <c r="AC4512">
        <v>-27.544999999999899</v>
      </c>
      <c r="AD4512">
        <v>-1.11010321522899</v>
      </c>
      <c r="AE4512">
        <v>-4.8806999999999903</v>
      </c>
      <c r="AF4512">
        <v>-4.9101312688838101</v>
      </c>
      <c r="AG4512">
        <v>-1.11010321522899</v>
      </c>
      <c r="AH4512">
        <v>27.4950908309022</v>
      </c>
      <c r="AI4512">
        <v>92.276068191393804</v>
      </c>
      <c r="AJ4512">
        <v>100.125264608845</v>
      </c>
      <c r="AK4512">
        <v>27.952132978105499</v>
      </c>
      <c r="AL4512">
        <v>88.890869524299504</v>
      </c>
      <c r="AM4512">
        <v>86.666633714350496</v>
      </c>
      <c r="AN4512">
        <v>1.0000000180314901</v>
      </c>
    </row>
    <row r="4513" spans="1:40" x14ac:dyDescent="0.25">
      <c r="A4513" t="str">
        <f>"20190312154926461"</f>
        <v>20190312154926461</v>
      </c>
      <c r="B4513" t="str">
        <f>"1552376966450343"</f>
        <v>1552376966450343</v>
      </c>
      <c r="C4513" t="s">
        <v>40</v>
      </c>
      <c r="D4513">
        <v>4.8457210000000002</v>
      </c>
      <c r="E4513">
        <v>0.4110897</v>
      </c>
      <c r="F4513" t="s">
        <v>63</v>
      </c>
      <c r="G4513">
        <v>-316.26499999999999</v>
      </c>
      <c r="H4513" s="1">
        <v>-5.9178749999999996E-6</v>
      </c>
      <c r="I4513">
        <v>136.1567</v>
      </c>
      <c r="J4513">
        <v>-288.44389999999999</v>
      </c>
      <c r="K4513">
        <v>1.1100920000000001</v>
      </c>
      <c r="L4513">
        <v>141.10980000000001</v>
      </c>
      <c r="M4513">
        <v>-0.99989209999999995</v>
      </c>
      <c r="N4513">
        <v>0</v>
      </c>
      <c r="O4513">
        <v>1.119961E-3</v>
      </c>
      <c r="P4513">
        <v>-0.99823649999999997</v>
      </c>
      <c r="Q4513">
        <v>4.7746100000000003E-3</v>
      </c>
      <c r="R4513">
        <v>5.9171630000000003E-2</v>
      </c>
      <c r="S4513">
        <v>-3.0377200000000002</v>
      </c>
      <c r="T4513">
        <v>-0.1197361</v>
      </c>
      <c r="U4513">
        <v>-0.53422550000000002</v>
      </c>
      <c r="V4513">
        <v>5.8043949999999997E-2</v>
      </c>
      <c r="W4513">
        <v>1.9434489999999999E-2</v>
      </c>
      <c r="X4513">
        <v>0.99812480000000003</v>
      </c>
      <c r="Y4513">
        <v>-0.1741769</v>
      </c>
      <c r="Z4513">
        <v>-3.4490839999999998E-3</v>
      </c>
      <c r="AA4513">
        <v>0.98470829999999998</v>
      </c>
      <c r="AB4513">
        <v>35</v>
      </c>
      <c r="AC4513">
        <v>-27.821100000000001</v>
      </c>
      <c r="AD4513">
        <v>-1.1100979178749999</v>
      </c>
      <c r="AE4513">
        <v>-4.9531000000000001</v>
      </c>
      <c r="AF4513">
        <v>-4.9765789264260496</v>
      </c>
      <c r="AG4513">
        <v>-1.1100979178749999</v>
      </c>
      <c r="AH4513">
        <v>27.772675882143702</v>
      </c>
      <c r="AI4513">
        <v>92.253094866294404</v>
      </c>
      <c r="AJ4513">
        <v>100.159000558787</v>
      </c>
      <c r="AK4513">
        <v>28.236858551418599</v>
      </c>
      <c r="AL4513">
        <v>88.886415591655506</v>
      </c>
      <c r="AM4513">
        <v>86.671826949058598</v>
      </c>
      <c r="AN4513">
        <v>0.99999995795410002</v>
      </c>
    </row>
    <row r="4514" spans="1:40" x14ac:dyDescent="0.25">
      <c r="A4514" t="str">
        <f>"20190312154926473"</f>
        <v>20190312154926473</v>
      </c>
      <c r="B4514" t="str">
        <f>"1552376966469863"</f>
        <v>1552376966469863</v>
      </c>
      <c r="C4514" t="s">
        <v>40</v>
      </c>
      <c r="D4514">
        <v>4.8463719999999997</v>
      </c>
      <c r="E4514">
        <v>0.41097289999999997</v>
      </c>
      <c r="F4514" t="s">
        <v>63</v>
      </c>
      <c r="G4514">
        <v>-316.65230000000003</v>
      </c>
      <c r="H4514" s="1">
        <v>-5.7370000000000003E-6</v>
      </c>
      <c r="I4514">
        <v>136.12809999999999</v>
      </c>
      <c r="J4514">
        <v>-288.65839999999997</v>
      </c>
      <c r="K4514">
        <v>1.1100939999999999</v>
      </c>
      <c r="L4514">
        <v>141.11000000000001</v>
      </c>
      <c r="M4514">
        <v>-0.99989220000000001</v>
      </c>
      <c r="N4514">
        <v>0</v>
      </c>
      <c r="O4514">
        <v>9.7628470000000003E-4</v>
      </c>
      <c r="P4514">
        <v>-0.99823419999999896</v>
      </c>
      <c r="Q4514">
        <v>4.4105589999999997E-3</v>
      </c>
      <c r="R4514">
        <v>5.9238970000000002E-2</v>
      </c>
      <c r="S4514">
        <v>-3.0376590000000001</v>
      </c>
      <c r="T4514">
        <v>-0.1195425</v>
      </c>
      <c r="U4514">
        <v>-0.53646850000000001</v>
      </c>
      <c r="V4514">
        <v>5.8254819999999999E-2</v>
      </c>
      <c r="W4514">
        <v>1.906834E-2</v>
      </c>
      <c r="X4514">
        <v>0.9981196</v>
      </c>
      <c r="Y4514">
        <v>-0.17474410000000001</v>
      </c>
      <c r="Z4514">
        <v>-3.44882E-3</v>
      </c>
      <c r="AA4514">
        <v>0.98460789999999998</v>
      </c>
      <c r="AB4514">
        <v>35</v>
      </c>
      <c r="AC4514">
        <v>-27.9939</v>
      </c>
      <c r="AD4514">
        <v>-1.1100997370000001</v>
      </c>
      <c r="AE4514">
        <v>-4.98190000000002</v>
      </c>
      <c r="AF4514">
        <v>-5.0016068807181702</v>
      </c>
      <c r="AG4514">
        <v>-1.1100997370000001</v>
      </c>
      <c r="AH4514">
        <v>27.946425070876</v>
      </c>
      <c r="AI4514">
        <v>92.239189642822296</v>
      </c>
      <c r="AJ4514">
        <v>100.146870787395</v>
      </c>
      <c r="AK4514">
        <v>28.412164068536299</v>
      </c>
      <c r="AL4514">
        <v>88.9073983559</v>
      </c>
      <c r="AM4514">
        <v>86.659745871937304</v>
      </c>
      <c r="AN4514">
        <v>0.99999998077387298</v>
      </c>
    </row>
    <row r="4515" spans="1:40" x14ac:dyDescent="0.25">
      <c r="A4515" t="str">
        <f>"20190312154926486"</f>
        <v>20190312154926486</v>
      </c>
      <c r="B4515" t="str">
        <f>"1552376966480600"</f>
        <v>1552376966480600</v>
      </c>
      <c r="C4515" t="s">
        <v>40</v>
      </c>
      <c r="D4515">
        <v>4.8127890000000004</v>
      </c>
      <c r="E4515">
        <v>0.41091240000000001</v>
      </c>
      <c r="F4515" t="s">
        <v>63</v>
      </c>
      <c r="G4515">
        <v>-316.6841</v>
      </c>
      <c r="H4515" s="1">
        <v>-5.7315969999999996E-6</v>
      </c>
      <c r="I4515">
        <v>136.15530000000001</v>
      </c>
      <c r="J4515">
        <v>-288.85610000000003</v>
      </c>
      <c r="K4515">
        <v>1.1100939999999999</v>
      </c>
      <c r="L4515">
        <v>141.11000000000001</v>
      </c>
      <c r="M4515">
        <v>-0.99989240000000001</v>
      </c>
      <c r="N4515">
        <v>0</v>
      </c>
      <c r="O4515">
        <v>8.4387229999999995E-4</v>
      </c>
      <c r="P4515">
        <v>-0.99825839999999999</v>
      </c>
      <c r="Q4515">
        <v>4.3629869999999996E-3</v>
      </c>
      <c r="R4515">
        <v>5.8831059999999998E-2</v>
      </c>
      <c r="S4515">
        <v>-3.0376889999999999</v>
      </c>
      <c r="T4515">
        <v>-0.12032320000000001</v>
      </c>
      <c r="U4515">
        <v>-0.53703310000000004</v>
      </c>
      <c r="V4515">
        <v>5.7979080000000002E-2</v>
      </c>
      <c r="W4515">
        <v>1.9018759999999999E-2</v>
      </c>
      <c r="X4515">
        <v>0.99813660000000004</v>
      </c>
      <c r="Y4515">
        <v>-0.1747879</v>
      </c>
      <c r="Z4515">
        <v>-3.466893E-3</v>
      </c>
      <c r="AA4515">
        <v>0.98460000000000003</v>
      </c>
      <c r="AB4515">
        <v>35</v>
      </c>
      <c r="AC4515">
        <v>-27.8279999999999</v>
      </c>
      <c r="AD4515">
        <v>-1.110099731597</v>
      </c>
      <c r="AE4515">
        <v>-4.9546999999999999</v>
      </c>
      <c r="AF4515">
        <v>-4.9705173440535999</v>
      </c>
      <c r="AG4515">
        <v>-1.110099731597</v>
      </c>
      <c r="AH4515">
        <v>27.780958248557798</v>
      </c>
      <c r="AI4515">
        <v>92.252533550844504</v>
      </c>
      <c r="AJ4515">
        <v>100.143921656611</v>
      </c>
      <c r="AK4515">
        <v>28.243937496208599</v>
      </c>
      <c r="AL4515">
        <v>88.910239594673001</v>
      </c>
      <c r="AM4515">
        <v>86.675577386317997</v>
      </c>
      <c r="AN4515">
        <v>0.99999997960457099</v>
      </c>
    </row>
    <row r="4516" spans="1:40" x14ac:dyDescent="0.25">
      <c r="A4516" t="str">
        <f>"20190312154926506"</f>
        <v>20190312154926506</v>
      </c>
      <c r="B4516" t="str">
        <f>"1552376966500119"</f>
        <v>1552376966500119</v>
      </c>
      <c r="C4516" t="s">
        <v>40</v>
      </c>
      <c r="D4516">
        <v>4.8324030000000002</v>
      </c>
      <c r="E4516">
        <v>0.41084870000000001</v>
      </c>
      <c r="F4516" t="s">
        <v>63</v>
      </c>
      <c r="G4516">
        <v>-316.76150000000001</v>
      </c>
      <c r="H4516" s="1">
        <v>-5.6988559999999901E-6</v>
      </c>
      <c r="I4516">
        <v>136.16030000000001</v>
      </c>
      <c r="J4516">
        <v>-289.16039999999998</v>
      </c>
      <c r="K4516">
        <v>1.110088</v>
      </c>
      <c r="L4516">
        <v>141.11009999999999</v>
      </c>
      <c r="M4516">
        <v>-0.99989260000000002</v>
      </c>
      <c r="N4516">
        <v>0</v>
      </c>
      <c r="O4516">
        <v>6.4001040000000002E-4</v>
      </c>
      <c r="P4516">
        <v>-0.99829159999999995</v>
      </c>
      <c r="Q4516">
        <v>3.8881940000000002E-3</v>
      </c>
      <c r="R4516">
        <v>5.8300419999999999E-2</v>
      </c>
      <c r="S4516">
        <v>-3.037506</v>
      </c>
      <c r="T4516">
        <v>-0.1208345</v>
      </c>
      <c r="U4516">
        <v>-0.53877259999999905</v>
      </c>
      <c r="V4516">
        <v>5.7652269999999999E-2</v>
      </c>
      <c r="W4516">
        <v>1.8540580000000001E-2</v>
      </c>
      <c r="X4516">
        <v>0.99816450000000001</v>
      </c>
      <c r="Y4516">
        <v>-0.17514270000000001</v>
      </c>
      <c r="Z4516">
        <v>-3.480604E-3</v>
      </c>
      <c r="AA4516">
        <v>0.98453690000000005</v>
      </c>
      <c r="AB4516">
        <v>35</v>
      </c>
      <c r="AC4516">
        <v>-27.601099999999999</v>
      </c>
      <c r="AD4516">
        <v>-1.110093698856</v>
      </c>
      <c r="AE4516">
        <v>-4.9497999999999802</v>
      </c>
      <c r="AF4516">
        <v>-4.9596931320822897</v>
      </c>
      <c r="AG4516">
        <v>-1.110093698856</v>
      </c>
      <c r="AH4516">
        <v>27.554742802517602</v>
      </c>
      <c r="AI4516">
        <v>92.270570139254104</v>
      </c>
      <c r="AJ4516">
        <v>100.203650314642</v>
      </c>
      <c r="AK4516">
        <v>28.019541661090098</v>
      </c>
      <c r="AL4516">
        <v>88.937642095821701</v>
      </c>
      <c r="AM4516">
        <v>86.694366639947106</v>
      </c>
      <c r="AN4516">
        <v>0.99999995320156798</v>
      </c>
    </row>
    <row r="4517" spans="1:40" x14ac:dyDescent="0.25">
      <c r="A4517" t="str">
        <f>"20190312154926541"</f>
        <v>20190312154926541</v>
      </c>
      <c r="B4517" t="str">
        <f>"1552376966530376"</f>
        <v>1552376966530376</v>
      </c>
      <c r="C4517" t="s">
        <v>40</v>
      </c>
      <c r="D4517">
        <v>4.8861610000000004</v>
      </c>
      <c r="E4517">
        <v>0.41079599999999999</v>
      </c>
      <c r="F4517" t="s">
        <v>63</v>
      </c>
      <c r="G4517">
        <v>-316.59589999999997</v>
      </c>
      <c r="H4517" s="1">
        <v>-5.7926929999999996E-6</v>
      </c>
      <c r="I4517">
        <v>136.22409999999999</v>
      </c>
      <c r="J4517">
        <v>-289.68419999999998</v>
      </c>
      <c r="K4517">
        <v>1.110085</v>
      </c>
      <c r="L4517">
        <v>141.11000000000001</v>
      </c>
      <c r="M4517">
        <v>-0.99989280000000003</v>
      </c>
      <c r="N4517">
        <v>0</v>
      </c>
      <c r="O4517">
        <v>2.8913739999999999E-4</v>
      </c>
      <c r="P4517">
        <v>-0.99834579999999995</v>
      </c>
      <c r="Q4517">
        <v>4.4934099999999998E-3</v>
      </c>
      <c r="R4517">
        <v>5.7320490000000002E-2</v>
      </c>
      <c r="S4517">
        <v>-3.037201</v>
      </c>
      <c r="T4517">
        <v>-0.122890899999999</v>
      </c>
      <c r="U4517">
        <v>-0.54089359999999997</v>
      </c>
      <c r="V4517">
        <v>5.7022400000000001E-2</v>
      </c>
      <c r="W4517">
        <v>1.9139380000000001E-2</v>
      </c>
      <c r="X4517">
        <v>0.9981894</v>
      </c>
      <c r="Y4517">
        <v>-0.1754761</v>
      </c>
      <c r="Z4517">
        <v>-3.5325360000000002E-3</v>
      </c>
      <c r="AA4517">
        <v>0.9844773</v>
      </c>
      <c r="AB4517">
        <v>35</v>
      </c>
      <c r="AC4517">
        <v>-26.9117</v>
      </c>
      <c r="AD4517">
        <v>-1.1100907926929999</v>
      </c>
      <c r="AE4517">
        <v>-4.8859000000000199</v>
      </c>
      <c r="AF4517">
        <v>-4.8856341129715597</v>
      </c>
      <c r="AG4517">
        <v>-1.1100907926929999</v>
      </c>
      <c r="AH4517">
        <v>26.866031864277598</v>
      </c>
      <c r="AI4517">
        <v>92.327950000271997</v>
      </c>
      <c r="AJ4517">
        <v>100.306706581303</v>
      </c>
      <c r="AK4517">
        <v>27.329203983765002</v>
      </c>
      <c r="AL4517">
        <v>88.903327313401604</v>
      </c>
      <c r="AM4517">
        <v>86.730484369955306</v>
      </c>
      <c r="AN4517">
        <v>0.99999997412045105</v>
      </c>
    </row>
    <row r="4518" spans="1:40" x14ac:dyDescent="0.25">
      <c r="A4518" t="str">
        <f>"20190312154926560"</f>
        <v>20190312154926560</v>
      </c>
      <c r="B4518" t="str">
        <f>"1552376966549895"</f>
        <v>1552376966549895</v>
      </c>
      <c r="C4518" t="s">
        <v>40</v>
      </c>
      <c r="D4518">
        <v>4.8163269999999896</v>
      </c>
      <c r="E4518">
        <v>0.44406600000000002</v>
      </c>
      <c r="F4518" t="s">
        <v>63</v>
      </c>
      <c r="G4518">
        <v>-317.49700000000001</v>
      </c>
      <c r="H4518" s="1">
        <v>-5.3615530000000002E-6</v>
      </c>
      <c r="I4518">
        <v>136.12549999999999</v>
      </c>
      <c r="J4518">
        <v>-289.99770000000001</v>
      </c>
      <c r="K4518">
        <v>1.1100909999999999</v>
      </c>
      <c r="L4518">
        <v>141.10990000000001</v>
      </c>
      <c r="M4518">
        <v>-0.99989289999999997</v>
      </c>
      <c r="N4518">
        <v>0</v>
      </c>
      <c r="O4518" s="1">
        <v>7.9018829999999998E-5</v>
      </c>
      <c r="P4518">
        <v>-0.99837609999999999</v>
      </c>
      <c r="Q4518">
        <v>4.0760390000000001E-3</v>
      </c>
      <c r="R4518">
        <v>5.6822190000000002E-2</v>
      </c>
      <c r="S4518">
        <v>-3.0367739999999999</v>
      </c>
      <c r="T4518">
        <v>-0.1212063</v>
      </c>
      <c r="U4518">
        <v>-0.54423520000000003</v>
      </c>
      <c r="V4518">
        <v>5.6734050000000001E-2</v>
      </c>
      <c r="W4518">
        <v>1.871888E-2</v>
      </c>
      <c r="X4518">
        <v>0.99821380000000004</v>
      </c>
      <c r="Y4518">
        <v>-0.17634620000000001</v>
      </c>
      <c r="Z4518">
        <v>-3.493197E-3</v>
      </c>
      <c r="AA4518">
        <v>0.98432200000000003</v>
      </c>
      <c r="AB4518">
        <v>35</v>
      </c>
      <c r="AC4518">
        <v>-27.499300000000002</v>
      </c>
      <c r="AD4518">
        <v>-1.110096361553</v>
      </c>
      <c r="AE4518">
        <v>-4.9844000000000204</v>
      </c>
      <c r="AF4518">
        <v>-4.9787179867836997</v>
      </c>
      <c r="AG4518">
        <v>-1.110096361553</v>
      </c>
      <c r="AH4518">
        <v>27.4555878431539</v>
      </c>
      <c r="AI4518">
        <v>92.278232267699707</v>
      </c>
      <c r="AJ4518">
        <v>100.27816494393799</v>
      </c>
      <c r="AK4518">
        <v>27.9254230144684</v>
      </c>
      <c r="AL4518">
        <v>88.927424502294102</v>
      </c>
      <c r="AM4518">
        <v>86.747061354537706</v>
      </c>
      <c r="AN4518">
        <v>0.99999996970414795</v>
      </c>
    </row>
    <row r="4519" spans="1:40" x14ac:dyDescent="0.25">
      <c r="A4519" t="str">
        <f>"20190312154926584"</f>
        <v>20190312154926584</v>
      </c>
      <c r="B4519" t="str">
        <f>"1552376966570391"</f>
        <v>1552376966570391</v>
      </c>
      <c r="C4519" t="s">
        <v>40</v>
      </c>
      <c r="D4519">
        <v>4.8176750000000004</v>
      </c>
      <c r="E4519">
        <v>0.45281539999999998</v>
      </c>
      <c r="F4519" t="s">
        <v>42</v>
      </c>
      <c r="G4519">
        <v>-451.16269999999997</v>
      </c>
      <c r="H4519">
        <v>7.9987649999999993E-2</v>
      </c>
      <c r="I4519">
        <v>126.3566</v>
      </c>
      <c r="J4519">
        <v>-290.35059999999999</v>
      </c>
      <c r="K4519">
        <v>1.1100890000000001</v>
      </c>
      <c r="L4519">
        <v>141.1097</v>
      </c>
      <c r="M4519">
        <v>-0.99989289999999997</v>
      </c>
      <c r="N4519">
        <v>0</v>
      </c>
      <c r="O4519">
        <v>-1.576778E-4</v>
      </c>
      <c r="P4519">
        <v>-0.99839009999999995</v>
      </c>
      <c r="Q4519">
        <v>3.5694559999999999E-3</v>
      </c>
      <c r="R4519">
        <v>5.6609769999999997E-2</v>
      </c>
      <c r="S4519">
        <v>-3.020721</v>
      </c>
      <c r="T4519">
        <v>-1.930726E-2</v>
      </c>
      <c r="U4519">
        <v>-0.27651979999999998</v>
      </c>
      <c r="V4519">
        <v>5.6758410000000002E-2</v>
      </c>
      <c r="W4519">
        <v>1.820828E-2</v>
      </c>
      <c r="X4519">
        <v>0.9982219</v>
      </c>
      <c r="Y4519">
        <v>-9.1000940000000002E-2</v>
      </c>
      <c r="Z4519">
        <v>-2.8920550000000001E-4</v>
      </c>
      <c r="AA4519">
        <v>0.99585069999999998</v>
      </c>
      <c r="AB4519">
        <v>35</v>
      </c>
      <c r="AC4519">
        <v>-160.81209999999999</v>
      </c>
      <c r="AD4519">
        <v>-1.03010134999999</v>
      </c>
      <c r="AE4519">
        <v>-14.7531</v>
      </c>
      <c r="AF4519">
        <v>-14.727141362484501</v>
      </c>
      <c r="AG4519">
        <v>-1.03010134999999</v>
      </c>
      <c r="AH4519">
        <v>160.80788129083601</v>
      </c>
      <c r="AI4519">
        <v>90.365490155748105</v>
      </c>
      <c r="AJ4519">
        <v>95.232677415395003</v>
      </c>
      <c r="AK4519">
        <v>161.48413075825599</v>
      </c>
      <c r="AL4519">
        <v>88.956684758555696</v>
      </c>
      <c r="AM4519">
        <v>86.745693986170195</v>
      </c>
      <c r="AN4519">
        <v>1.00000001010294</v>
      </c>
    </row>
    <row r="4520" spans="1:40" x14ac:dyDescent="0.25">
      <c r="A4520" t="str">
        <f>"20190312154926606"</f>
        <v>20190312154926606</v>
      </c>
      <c r="B4520" t="str">
        <f>"1552376966600648"</f>
        <v>1552376966600648</v>
      </c>
      <c r="C4520" t="s">
        <v>40</v>
      </c>
      <c r="D4520">
        <v>4.7029310000000004</v>
      </c>
      <c r="E4520">
        <v>0.45695150000000001</v>
      </c>
      <c r="F4520" t="s">
        <v>42</v>
      </c>
      <c r="G4520">
        <v>-457.68430000000001</v>
      </c>
      <c r="H4520">
        <v>5.5994059999999998E-2</v>
      </c>
      <c r="I4520">
        <v>129.6104</v>
      </c>
      <c r="J4520">
        <v>-290.6936</v>
      </c>
      <c r="K4520">
        <v>1.1100859999999999</v>
      </c>
      <c r="L4520">
        <v>141.10939999999999</v>
      </c>
      <c r="M4520">
        <v>-0.99989280000000003</v>
      </c>
      <c r="N4520">
        <v>0</v>
      </c>
      <c r="O4520">
        <v>-3.877005E-4</v>
      </c>
      <c r="P4520">
        <v>-0.99836800000000003</v>
      </c>
      <c r="Q4520">
        <v>3.736414E-3</v>
      </c>
      <c r="R4520">
        <v>5.698487E-2</v>
      </c>
      <c r="S4520">
        <v>-3.0166629999999999</v>
      </c>
      <c r="T4520">
        <v>-1.9003030000000001E-2</v>
      </c>
      <c r="U4520">
        <v>-0.20730589999999999</v>
      </c>
      <c r="V4520">
        <v>5.7363070000000002E-2</v>
      </c>
      <c r="W4520">
        <v>1.8371330000000002E-2</v>
      </c>
      <c r="X4520">
        <v>0.99818430000000002</v>
      </c>
      <c r="Y4520">
        <v>-6.8170419999999995E-2</v>
      </c>
      <c r="Z4520">
        <v>-2.1202029999999999E-4</v>
      </c>
      <c r="AA4520">
        <v>0.9976737</v>
      </c>
      <c r="AB4520">
        <v>35</v>
      </c>
      <c r="AC4520">
        <v>-166.9907</v>
      </c>
      <c r="AD4520">
        <v>-1.0540919399999999</v>
      </c>
      <c r="AE4520">
        <v>-11.498999999999899</v>
      </c>
      <c r="AF4520">
        <v>-11.4337963933488</v>
      </c>
      <c r="AG4520">
        <v>-1.0540919399999999</v>
      </c>
      <c r="AH4520">
        <v>166.98852385739499</v>
      </c>
      <c r="AI4520">
        <v>90.360822078329605</v>
      </c>
      <c r="AJ4520">
        <v>93.916960094420801</v>
      </c>
      <c r="AK4520">
        <v>167.38282441712499</v>
      </c>
      <c r="AL4520">
        <v>88.947341068389704</v>
      </c>
      <c r="AM4520">
        <v>86.710977228941204</v>
      </c>
      <c r="AN4520">
        <v>0.99999996216614095</v>
      </c>
    </row>
    <row r="4521" spans="1:40" x14ac:dyDescent="0.25">
      <c r="A4521" t="str">
        <f>"20190312154926627"</f>
        <v>20190312154926627</v>
      </c>
      <c r="B4521" t="str">
        <f>"1552376966620167"</f>
        <v>1552376966620167</v>
      </c>
      <c r="C4521" t="s">
        <v>40</v>
      </c>
      <c r="D4521">
        <v>4.7210479999999997</v>
      </c>
      <c r="E4521">
        <v>0.4583525</v>
      </c>
      <c r="F4521" t="s">
        <v>65</v>
      </c>
      <c r="G4521">
        <v>-481.36439999999999</v>
      </c>
      <c r="H4521" s="1">
        <v>-1.20525E-5</v>
      </c>
      <c r="I4521">
        <v>130.1516</v>
      </c>
      <c r="J4521">
        <v>-291.04079999999999</v>
      </c>
      <c r="K4521">
        <v>1.1100939999999999</v>
      </c>
      <c r="L4521">
        <v>141.10900000000001</v>
      </c>
      <c r="M4521">
        <v>-0.99989280000000003</v>
      </c>
      <c r="N4521">
        <v>0</v>
      </c>
      <c r="O4521">
        <v>-6.2070259999999998E-4</v>
      </c>
      <c r="P4521">
        <v>-0.9983938</v>
      </c>
      <c r="Q4521">
        <v>3.989561E-3</v>
      </c>
      <c r="R4521">
        <v>5.6517539999999998E-2</v>
      </c>
      <c r="S4521">
        <v>-3.0148619999999999</v>
      </c>
      <c r="T4521">
        <v>-1.7552729999999999E-2</v>
      </c>
      <c r="U4521">
        <v>-0.17326349999999999</v>
      </c>
      <c r="V4521">
        <v>5.7128320000000003E-2</v>
      </c>
      <c r="W4521">
        <v>1.8620189999999998E-2</v>
      </c>
      <c r="X4521">
        <v>0.9981932</v>
      </c>
      <c r="Y4521">
        <v>-5.6754430000000002E-2</v>
      </c>
      <c r="Z4521">
        <v>-1.6146539999999999E-4</v>
      </c>
      <c r="AA4521">
        <v>0.99838819999999995</v>
      </c>
      <c r="AB4521">
        <v>34</v>
      </c>
      <c r="AC4521">
        <v>-190.3236</v>
      </c>
      <c r="AD4521">
        <v>-1.1101060524999999</v>
      </c>
      <c r="AE4521">
        <v>-10.9574</v>
      </c>
      <c r="AF4521">
        <v>-10.838883364262699</v>
      </c>
      <c r="AG4521">
        <v>-1.1101060524999999</v>
      </c>
      <c r="AH4521">
        <v>190.323911775672</v>
      </c>
      <c r="AI4521">
        <v>90.333645838452796</v>
      </c>
      <c r="AJ4521">
        <v>93.259454838007798</v>
      </c>
      <c r="AK4521">
        <v>190.63552953640499</v>
      </c>
      <c r="AL4521">
        <v>88.933080052154693</v>
      </c>
      <c r="AM4521">
        <v>86.724436848116397</v>
      </c>
      <c r="AN4521">
        <v>1.0000000104739399</v>
      </c>
    </row>
    <row r="4522" spans="1:40" x14ac:dyDescent="0.25">
      <c r="A4522" t="str">
        <f>"20190312154926650"</f>
        <v>20190312154926650</v>
      </c>
      <c r="B4522" t="str">
        <f>"1552376966640667"</f>
        <v>1552376966640667</v>
      </c>
      <c r="C4522" t="s">
        <v>40</v>
      </c>
      <c r="D4522">
        <v>4.6778019999999998</v>
      </c>
      <c r="E4522">
        <v>0.45947280000000001</v>
      </c>
      <c r="F4522" t="s">
        <v>65</v>
      </c>
      <c r="G4522">
        <v>-478.30619999999999</v>
      </c>
      <c r="H4522" s="1">
        <v>-2.5851449999999998E-6</v>
      </c>
      <c r="I4522">
        <v>130.95310000000001</v>
      </c>
      <c r="J4522">
        <v>-291.36970000000002</v>
      </c>
      <c r="K4522">
        <v>1.110096</v>
      </c>
      <c r="L4522">
        <v>141.1086</v>
      </c>
      <c r="M4522">
        <v>-0.99989269999999997</v>
      </c>
      <c r="N4522">
        <v>0</v>
      </c>
      <c r="O4522">
        <v>-8.4142959999999997E-4</v>
      </c>
      <c r="P4522">
        <v>-0.99839540000000004</v>
      </c>
      <c r="Q4522">
        <v>4.4182559999999997E-3</v>
      </c>
      <c r="R4522">
        <v>5.6451769999999998E-2</v>
      </c>
      <c r="S4522">
        <v>-3.0141909999999998</v>
      </c>
      <c r="T4522">
        <v>-1.7867919999999999E-2</v>
      </c>
      <c r="U4522">
        <v>-0.16346739999999901</v>
      </c>
      <c r="V4522">
        <v>5.7282609999999998E-2</v>
      </c>
      <c r="W4522">
        <v>1.904498E-2</v>
      </c>
      <c r="X4522">
        <v>0.99817630000000002</v>
      </c>
      <c r="Y4522">
        <v>-5.3311810000000001E-2</v>
      </c>
      <c r="Z4522">
        <v>-1.529123E-4</v>
      </c>
      <c r="AA4522">
        <v>0.99857790000000002</v>
      </c>
      <c r="AB4522">
        <v>34</v>
      </c>
      <c r="AC4522">
        <v>-186.9365</v>
      </c>
      <c r="AD4522">
        <v>-1.110098585145</v>
      </c>
      <c r="AE4522">
        <v>-10.1554999999999</v>
      </c>
      <c r="AF4522">
        <v>-9.9978341471550696</v>
      </c>
      <c r="AG4522">
        <v>-1.110098585145</v>
      </c>
      <c r="AH4522">
        <v>186.938407014474</v>
      </c>
      <c r="AI4522">
        <v>90.339750675969796</v>
      </c>
      <c r="AJ4522">
        <v>93.0613745066658</v>
      </c>
      <c r="AK4522">
        <v>187.20885936197499</v>
      </c>
      <c r="AL4522">
        <v>88.908737013700105</v>
      </c>
      <c r="AM4522">
        <v>86.715554186415801</v>
      </c>
      <c r="AN4522">
        <v>0.99999996727664997</v>
      </c>
    </row>
    <row r="4523" spans="1:40" x14ac:dyDescent="0.25">
      <c r="A4523" t="str">
        <f>"20190312154926673"</f>
        <v>20190312154926673</v>
      </c>
      <c r="B4523" t="str">
        <f>"1552376966669944"</f>
        <v>1552376966669944</v>
      </c>
      <c r="C4523" t="s">
        <v>40</v>
      </c>
      <c r="D4523">
        <v>4.6891489999999996</v>
      </c>
      <c r="E4523">
        <v>0.46080850000000001</v>
      </c>
      <c r="F4523" t="s">
        <v>65</v>
      </c>
      <c r="G4523">
        <v>-484.3066</v>
      </c>
      <c r="H4523" s="1">
        <v>-1.2860920000000001E-5</v>
      </c>
      <c r="I4523">
        <v>131.1951</v>
      </c>
      <c r="J4523">
        <v>-291.72719999999998</v>
      </c>
      <c r="K4523">
        <v>1.110098</v>
      </c>
      <c r="L4523">
        <v>141.108</v>
      </c>
      <c r="M4523">
        <v>-0.99989269999999997</v>
      </c>
      <c r="N4523">
        <v>0</v>
      </c>
      <c r="O4523">
        <v>-1.081346E-3</v>
      </c>
      <c r="P4523">
        <v>-0.99841590000000002</v>
      </c>
      <c r="Q4523">
        <v>4.5655309999999899E-3</v>
      </c>
      <c r="R4523">
        <v>5.6085160000000002E-2</v>
      </c>
      <c r="S4523">
        <v>-3.0136409999999998</v>
      </c>
      <c r="T4523">
        <v>-1.7339710000000001E-2</v>
      </c>
      <c r="U4523">
        <v>-0.15484619999999999</v>
      </c>
      <c r="V4523">
        <v>5.7155789999999998E-2</v>
      </c>
      <c r="W4523">
        <v>1.9188009999999998E-2</v>
      </c>
      <c r="X4523">
        <v>0.99818090000000004</v>
      </c>
      <c r="Y4523">
        <v>-5.0233189999999997E-2</v>
      </c>
      <c r="Z4523">
        <v>-1.381996E-4</v>
      </c>
      <c r="AA4523">
        <v>0.99873749999999994</v>
      </c>
      <c r="AB4523">
        <v>34</v>
      </c>
      <c r="AC4523">
        <v>-192.57939999999999</v>
      </c>
      <c r="AD4523">
        <v>-1.1101108609200001</v>
      </c>
      <c r="AE4523">
        <v>-9.9129000000000005</v>
      </c>
      <c r="AF4523">
        <v>-9.7043054048868793</v>
      </c>
      <c r="AG4523">
        <v>-1.1101108609200001</v>
      </c>
      <c r="AH4523">
        <v>192.58362541412799</v>
      </c>
      <c r="AI4523">
        <v>90.329848227876298</v>
      </c>
      <c r="AJ4523">
        <v>92.884699323883396</v>
      </c>
      <c r="AK4523">
        <v>192.83116622362701</v>
      </c>
      <c r="AL4523">
        <v>88.900540576494095</v>
      </c>
      <c r="AM4523">
        <v>86.722824940205996</v>
      </c>
      <c r="AN4523">
        <v>1.00000003659154</v>
      </c>
    </row>
    <row r="4524" spans="1:40" x14ac:dyDescent="0.25">
      <c r="A4524" t="str">
        <f>"20190312154926695"</f>
        <v>20190312154926695</v>
      </c>
      <c r="B4524" t="str">
        <f>"1552376966690439"</f>
        <v>1552376966690439</v>
      </c>
      <c r="C4524" t="s">
        <v>40</v>
      </c>
      <c r="D4524">
        <v>4.6776600000000004</v>
      </c>
      <c r="E4524">
        <v>0.46138950000000001</v>
      </c>
      <c r="F4524" t="s">
        <v>65</v>
      </c>
      <c r="G4524">
        <v>-485.65210000000002</v>
      </c>
      <c r="H4524" s="1">
        <v>-1.32162899999999E-5</v>
      </c>
      <c r="I4524">
        <v>131.74870000000001</v>
      </c>
      <c r="J4524">
        <v>-292.0702</v>
      </c>
      <c r="K4524">
        <v>1.110101</v>
      </c>
      <c r="L4524">
        <v>141.10740000000001</v>
      </c>
      <c r="M4524">
        <v>-0.99989240000000001</v>
      </c>
      <c r="N4524">
        <v>0</v>
      </c>
      <c r="O4524">
        <v>-1.3116079999999999E-3</v>
      </c>
      <c r="P4524">
        <v>-0.9984075</v>
      </c>
      <c r="Q4524">
        <v>4.2620519999999997E-3</v>
      </c>
      <c r="R4524">
        <v>5.6254529999999997E-2</v>
      </c>
      <c r="S4524">
        <v>-3.0130309999999998</v>
      </c>
      <c r="T4524">
        <v>-1.724792E-2</v>
      </c>
      <c r="U4524">
        <v>-0.145416299999999</v>
      </c>
      <c r="V4524">
        <v>5.7554929999999997E-2</v>
      </c>
      <c r="W4524">
        <v>1.888051E-2</v>
      </c>
      <c r="X4524">
        <v>0.99816380000000005</v>
      </c>
      <c r="Y4524">
        <v>-4.6895340000000001E-2</v>
      </c>
      <c r="Z4524">
        <v>-1.2664109999999999E-4</v>
      </c>
      <c r="AA4524">
        <v>0.9988998</v>
      </c>
      <c r="AB4524">
        <v>34</v>
      </c>
      <c r="AC4524">
        <v>-193.58189999999999</v>
      </c>
      <c r="AD4524">
        <v>-1.11011421629</v>
      </c>
      <c r="AE4524">
        <v>-9.3587000000000007</v>
      </c>
      <c r="AF4524">
        <v>-9.1044625675187394</v>
      </c>
      <c r="AG4524">
        <v>-1.11011421629</v>
      </c>
      <c r="AH4524">
        <v>193.58765830703501</v>
      </c>
      <c r="AI4524">
        <v>90.328192095068005</v>
      </c>
      <c r="AJ4524">
        <v>92.692646805423806</v>
      </c>
      <c r="AK4524">
        <v>193.80481170759899</v>
      </c>
      <c r="AL4524">
        <v>88.918162189258098</v>
      </c>
      <c r="AM4524">
        <v>86.699933211122996</v>
      </c>
      <c r="AN4524">
        <v>1.0000000076277999</v>
      </c>
    </row>
    <row r="4525" spans="1:40" x14ac:dyDescent="0.25">
      <c r="A4525" t="str">
        <f>"20190312154926725"</f>
        <v>20190312154926725</v>
      </c>
      <c r="B4525" t="str">
        <f>"1552376966709959"</f>
        <v>1552376966709959</v>
      </c>
      <c r="C4525" t="s">
        <v>40</v>
      </c>
      <c r="D4525">
        <v>4.6440060000000001</v>
      </c>
      <c r="E4525">
        <v>0.46182499999999999</v>
      </c>
      <c r="F4525" t="s">
        <v>42</v>
      </c>
      <c r="G4525">
        <v>-468.83629999999999</v>
      </c>
      <c r="H4525" s="1">
        <v>-1.3577879999999901E-6</v>
      </c>
      <c r="I4525">
        <v>132.8852</v>
      </c>
      <c r="J4525">
        <v>-292.4674</v>
      </c>
      <c r="K4525">
        <v>1.110101</v>
      </c>
      <c r="L4525">
        <v>141.10659999999999</v>
      </c>
      <c r="M4525">
        <v>-0.99989209999999995</v>
      </c>
      <c r="N4525">
        <v>0</v>
      </c>
      <c r="O4525">
        <v>-1.5784579999999901E-3</v>
      </c>
      <c r="P4525">
        <v>-0.9984054</v>
      </c>
      <c r="Q4525">
        <v>3.8569049999999999E-3</v>
      </c>
      <c r="R4525">
        <v>5.632028E-2</v>
      </c>
      <c r="S4525">
        <v>-3.012756</v>
      </c>
      <c r="T4525">
        <v>-1.8920300000000001E-2</v>
      </c>
      <c r="U4525">
        <v>-0.1401367</v>
      </c>
      <c r="V4525">
        <v>5.7887349999999997E-2</v>
      </c>
      <c r="W4525">
        <v>1.8470489999999999E-2</v>
      </c>
      <c r="X4525">
        <v>0.99815229999999999</v>
      </c>
      <c r="Y4525">
        <v>-4.4886389999999998E-2</v>
      </c>
      <c r="Z4525">
        <v>-1.309588E-4</v>
      </c>
      <c r="AA4525">
        <v>0.99899210000000005</v>
      </c>
      <c r="AB4525">
        <v>34</v>
      </c>
      <c r="AC4525">
        <v>-176.3689</v>
      </c>
      <c r="AD4525">
        <v>-1.110102357788</v>
      </c>
      <c r="AE4525">
        <v>-8.2213999999999796</v>
      </c>
      <c r="AF4525">
        <v>-7.9426551777893701</v>
      </c>
      <c r="AG4525">
        <v>-1.110102357788</v>
      </c>
      <c r="AH4525">
        <v>176.37468646476799</v>
      </c>
      <c r="AI4525">
        <v>90.360249809768604</v>
      </c>
      <c r="AJ4525">
        <v>92.578450312852993</v>
      </c>
      <c r="AK4525">
        <v>176.55692601555799</v>
      </c>
      <c r="AL4525">
        <v>88.941658757133794</v>
      </c>
      <c r="AM4525">
        <v>86.680877351743504</v>
      </c>
      <c r="AN4525">
        <v>1.00000005914307</v>
      </c>
    </row>
    <row r="4526" spans="1:40" x14ac:dyDescent="0.25">
      <c r="A4526" t="str">
        <f>"20190312154926744"</f>
        <v>20190312154926744</v>
      </c>
      <c r="B4526" t="str">
        <f>"1552376966730456"</f>
        <v>1552376966730456</v>
      </c>
      <c r="C4526" t="s">
        <v>40</v>
      </c>
      <c r="D4526">
        <v>4.643643</v>
      </c>
      <c r="E4526">
        <v>0.46221590000000001</v>
      </c>
      <c r="F4526" t="s">
        <v>42</v>
      </c>
      <c r="G4526">
        <v>-456.55889999999999</v>
      </c>
      <c r="H4526" s="1">
        <v>-1.7254419999999999E-6</v>
      </c>
      <c r="I4526">
        <v>133.6721</v>
      </c>
      <c r="J4526">
        <v>-292.79730000000001</v>
      </c>
      <c r="K4526">
        <v>1.1101000000000001</v>
      </c>
      <c r="L4526">
        <v>141.10589999999999</v>
      </c>
      <c r="M4526">
        <v>-0.9998918</v>
      </c>
      <c r="N4526">
        <v>0</v>
      </c>
      <c r="O4526">
        <v>-1.800374E-3</v>
      </c>
      <c r="P4526">
        <v>-0.99840379999999995</v>
      </c>
      <c r="Q4526">
        <v>3.821231E-3</v>
      </c>
      <c r="R4526">
        <v>5.6347510000000003E-2</v>
      </c>
      <c r="S4526">
        <v>-3.0125730000000002</v>
      </c>
      <c r="T4526">
        <v>-2.0380499999999999E-2</v>
      </c>
      <c r="U4526">
        <v>-0.1364899</v>
      </c>
      <c r="V4526">
        <v>5.8136090000000001E-2</v>
      </c>
      <c r="W4526">
        <v>1.8431400000000001E-2</v>
      </c>
      <c r="X4526">
        <v>0.99813850000000004</v>
      </c>
      <c r="Y4526">
        <v>-4.3460560000000002E-2</v>
      </c>
      <c r="Z4526">
        <v>-1.3475689999999999E-4</v>
      </c>
      <c r="AA4526">
        <v>0.99905509999999997</v>
      </c>
      <c r="AB4526">
        <v>34</v>
      </c>
      <c r="AC4526">
        <v>-163.76159999999999</v>
      </c>
      <c r="AD4526">
        <v>-1.110101725442</v>
      </c>
      <c r="AE4526">
        <v>-7.43379999999999</v>
      </c>
      <c r="AF4526">
        <v>-7.1385970405317698</v>
      </c>
      <c r="AG4526">
        <v>-1.110101725442</v>
      </c>
      <c r="AH4526">
        <v>163.767209682322</v>
      </c>
      <c r="AI4526">
        <v>90.388007049439807</v>
      </c>
      <c r="AJ4526">
        <v>92.495937534189807</v>
      </c>
      <c r="AK4526">
        <v>163.926480047251</v>
      </c>
      <c r="AL4526">
        <v>88.943898760838294</v>
      </c>
      <c r="AM4526">
        <v>86.666601302533493</v>
      </c>
      <c r="AN4526">
        <v>0.99999999332434897</v>
      </c>
    </row>
    <row r="4527" spans="1:40" x14ac:dyDescent="0.25">
      <c r="A4527" t="str">
        <f>"20190312154926763"</f>
        <v>20190312154926763</v>
      </c>
      <c r="B4527" t="str">
        <f>"1552376966749976"</f>
        <v>1552376966749976</v>
      </c>
      <c r="C4527" t="s">
        <v>40</v>
      </c>
      <c r="D4527">
        <v>4.6244129999999997</v>
      </c>
      <c r="E4527">
        <v>0.46240490000000001</v>
      </c>
      <c r="F4527" t="s">
        <v>42</v>
      </c>
      <c r="G4527">
        <v>-468.13659999999999</v>
      </c>
      <c r="H4527" s="1">
        <v>-1.5036369999999899E-6</v>
      </c>
      <c r="I4527">
        <v>133.34690000000001</v>
      </c>
      <c r="J4527">
        <v>-293.09829999999999</v>
      </c>
      <c r="K4527">
        <v>1.1100989999999999</v>
      </c>
      <c r="L4527">
        <v>141.10509999999999</v>
      </c>
      <c r="M4527">
        <v>-0.99989150000000004</v>
      </c>
      <c r="N4527">
        <v>0</v>
      </c>
      <c r="O4527">
        <v>-2.0028659999999998E-3</v>
      </c>
      <c r="P4527">
        <v>-0.99841080000000004</v>
      </c>
      <c r="Q4527">
        <v>3.425829E-3</v>
      </c>
      <c r="R4527">
        <v>5.6254390000000001E-2</v>
      </c>
      <c r="S4527">
        <v>-3.0123899999999999</v>
      </c>
      <c r="T4527">
        <v>-1.9071939999999999E-2</v>
      </c>
      <c r="U4527">
        <v>-0.133300799999999</v>
      </c>
      <c r="V4527">
        <v>5.8245459999999999E-2</v>
      </c>
      <c r="W4527">
        <v>1.8032349999999999E-2</v>
      </c>
      <c r="X4527">
        <v>0.99813940000000001</v>
      </c>
      <c r="Y4527">
        <v>-4.2205560000000003E-2</v>
      </c>
      <c r="Z4527">
        <v>-1.208631E-4</v>
      </c>
      <c r="AA4527">
        <v>0.99910900000000002</v>
      </c>
      <c r="AB4527">
        <v>34</v>
      </c>
      <c r="AC4527">
        <v>-175.03829999999999</v>
      </c>
      <c r="AD4527">
        <v>-1.110100503637</v>
      </c>
      <c r="AE4527">
        <v>-7.75819999999998</v>
      </c>
      <c r="AF4527">
        <v>-7.4072714899876697</v>
      </c>
      <c r="AG4527">
        <v>-1.110100503637</v>
      </c>
      <c r="AH4527">
        <v>175.04646230457001</v>
      </c>
      <c r="AI4527">
        <v>90.363025637026297</v>
      </c>
      <c r="AJ4527">
        <v>92.423084364631904</v>
      </c>
      <c r="AK4527">
        <v>175.20663217869301</v>
      </c>
      <c r="AL4527">
        <v>88.966766429690907</v>
      </c>
      <c r="AM4527">
        <v>86.660347446747906</v>
      </c>
      <c r="AN4527">
        <v>0.99999998054474604</v>
      </c>
    </row>
    <row r="4528" spans="1:40" x14ac:dyDescent="0.25">
      <c r="A4528" t="str">
        <f>"20190312154926785"</f>
        <v>20190312154926785</v>
      </c>
      <c r="B4528" t="str">
        <f>"1552376966780231"</f>
        <v>1552376966780231</v>
      </c>
      <c r="C4528" t="s">
        <v>40</v>
      </c>
      <c r="D4528">
        <v>4.6693470000000001</v>
      </c>
      <c r="E4528">
        <v>0.48007440000000001</v>
      </c>
      <c r="F4528" t="s">
        <v>42</v>
      </c>
      <c r="G4528">
        <v>-465.35730000000001</v>
      </c>
      <c r="H4528" s="1">
        <v>-2.515205E-6</v>
      </c>
      <c r="I4528">
        <v>133.5565</v>
      </c>
      <c r="J4528">
        <v>-293.4357</v>
      </c>
      <c r="K4528">
        <v>1.110098</v>
      </c>
      <c r="L4528">
        <v>141.10419999999999</v>
      </c>
      <c r="M4528">
        <v>-0.99989099999999997</v>
      </c>
      <c r="N4528">
        <v>0</v>
      </c>
      <c r="O4528">
        <v>-2.2296719999999998E-3</v>
      </c>
      <c r="P4528">
        <v>-0.99842019999999998</v>
      </c>
      <c r="Q4528">
        <v>2.8504020000000001E-3</v>
      </c>
      <c r="R4528">
        <v>5.6119889999999999E-2</v>
      </c>
      <c r="S4528">
        <v>-3.0122990000000001</v>
      </c>
      <c r="T4528">
        <v>-1.94124E-2</v>
      </c>
      <c r="U4528">
        <v>-0.13200379999999901</v>
      </c>
      <c r="V4528">
        <v>5.833791E-2</v>
      </c>
      <c r="W4528">
        <v>1.745356E-2</v>
      </c>
      <c r="X4528">
        <v>0.99814429999999998</v>
      </c>
      <c r="Y4528">
        <v>-4.1550900000000002E-2</v>
      </c>
      <c r="Z4528">
        <v>-1.194561E-4</v>
      </c>
      <c r="AA4528">
        <v>0.99913640000000004</v>
      </c>
      <c r="AB4528">
        <v>34</v>
      </c>
      <c r="AC4528">
        <v>-171.92160000000001</v>
      </c>
      <c r="AD4528">
        <v>-1.1101005152050001</v>
      </c>
      <c r="AE4528">
        <v>-7.5476999999999901</v>
      </c>
      <c r="AF4528">
        <v>-7.1640135075419602</v>
      </c>
      <c r="AG4528">
        <v>-1.1101005152050001</v>
      </c>
      <c r="AH4528">
        <v>171.93084871493801</v>
      </c>
      <c r="AI4528">
        <v>90.369614002984505</v>
      </c>
      <c r="AJ4528">
        <v>92.386019927513203</v>
      </c>
      <c r="AK4528">
        <v>172.083619651985</v>
      </c>
      <c r="AL4528">
        <v>88.999933886715894</v>
      </c>
      <c r="AM4528">
        <v>86.655074999462698</v>
      </c>
      <c r="AN4528">
        <v>0.99999999106116499</v>
      </c>
    </row>
    <row r="4529" spans="1:40" x14ac:dyDescent="0.25">
      <c r="A4529" t="str">
        <f>"20190312154926806"</f>
        <v>20190312154926806</v>
      </c>
      <c r="B4529" t="str">
        <f>"1552376966800727"</f>
        <v>1552376966800727</v>
      </c>
      <c r="C4529" t="s">
        <v>40</v>
      </c>
      <c r="D4529">
        <v>4.6599760000000003</v>
      </c>
      <c r="E4529">
        <v>0.48232730000000001</v>
      </c>
      <c r="F4529" t="s">
        <v>42</v>
      </c>
      <c r="G4529">
        <v>-340.45600000000002</v>
      </c>
      <c r="H4529" s="1">
        <v>-4.4021230000000002E-6</v>
      </c>
      <c r="I4529">
        <v>141.2021</v>
      </c>
      <c r="J4529">
        <v>-293.76650000000001</v>
      </c>
      <c r="K4529">
        <v>1.1100909999999999</v>
      </c>
      <c r="L4529">
        <v>141.10329999999999</v>
      </c>
      <c r="M4529">
        <v>-0.99989050000000002</v>
      </c>
      <c r="N4529">
        <v>0</v>
      </c>
      <c r="O4529">
        <v>-2.4535120000000001E-3</v>
      </c>
      <c r="P4529">
        <v>-0.99841310000000005</v>
      </c>
      <c r="Q4529">
        <v>2.508873E-3</v>
      </c>
      <c r="R4529">
        <v>5.6259499999999997E-2</v>
      </c>
      <c r="S4529">
        <v>-3.0046080000000002</v>
      </c>
      <c r="T4529">
        <v>-7.0935849999999995E-2</v>
      </c>
      <c r="U4529">
        <v>6.2561040000000002E-3</v>
      </c>
      <c r="V4529">
        <v>5.8701099999999999E-2</v>
      </c>
      <c r="W4529">
        <v>1.7108379999999999E-2</v>
      </c>
      <c r="X4529">
        <v>0.99812900000000004</v>
      </c>
      <c r="Y4529">
        <v>4.53398E-3</v>
      </c>
      <c r="Z4529">
        <v>1.114369E-4</v>
      </c>
      <c r="AA4529">
        <v>0.99998969999999998</v>
      </c>
      <c r="AB4529">
        <v>34</v>
      </c>
      <c r="AC4529">
        <v>-46.689499999999903</v>
      </c>
      <c r="AD4529">
        <v>-1.1100954021229901</v>
      </c>
      <c r="AE4529">
        <v>9.8800000000011295E-2</v>
      </c>
      <c r="AF4529">
        <v>0.21324460362311901</v>
      </c>
      <c r="AG4529">
        <v>-1.1100954021229901</v>
      </c>
      <c r="AH4529">
        <v>46.662738487306903</v>
      </c>
      <c r="AI4529">
        <v>91.362781629494194</v>
      </c>
      <c r="AJ4529">
        <v>89.738165158440694</v>
      </c>
      <c r="AK4529">
        <v>46.676428185943898</v>
      </c>
      <c r="AL4529">
        <v>89.019714214726406</v>
      </c>
      <c r="AM4529">
        <v>86.634246999539101</v>
      </c>
      <c r="AN4529">
        <v>1.00000000822421</v>
      </c>
    </row>
    <row r="4530" spans="1:40" x14ac:dyDescent="0.25">
      <c r="A4530" t="str">
        <f>"20190312154926829"</f>
        <v>20190312154926829</v>
      </c>
      <c r="B4530" t="str">
        <f>"1552376966820251"</f>
        <v>1552376966820251</v>
      </c>
      <c r="C4530" t="s">
        <v>40</v>
      </c>
      <c r="D4530">
        <v>4.623113</v>
      </c>
      <c r="E4530">
        <v>0.48309970000000002</v>
      </c>
      <c r="F4530" t="s">
        <v>42</v>
      </c>
      <c r="G4530">
        <v>-337.62060000000002</v>
      </c>
      <c r="H4530" s="1">
        <v>-1.595523E-6</v>
      </c>
      <c r="I4530">
        <v>141.45910000000001</v>
      </c>
      <c r="J4530">
        <v>-294.1003</v>
      </c>
      <c r="K4530">
        <v>1.1100920000000001</v>
      </c>
      <c r="L4530">
        <v>141.10220000000001</v>
      </c>
      <c r="M4530">
        <v>-0.99988999999999995</v>
      </c>
      <c r="N4530">
        <v>0</v>
      </c>
      <c r="O4530">
        <v>-2.6846550000000002E-3</v>
      </c>
      <c r="P4530">
        <v>-0.99836469999999999</v>
      </c>
      <c r="Q4530">
        <v>2.2971720000000001E-3</v>
      </c>
      <c r="R4530">
        <v>5.7121440000000002E-2</v>
      </c>
      <c r="S4530">
        <v>-3.0036320000000001</v>
      </c>
      <c r="T4530">
        <v>-7.6031799999999997E-2</v>
      </c>
      <c r="U4530">
        <v>2.4368290000000001E-2</v>
      </c>
      <c r="V4530">
        <v>5.979371E-2</v>
      </c>
      <c r="W4530">
        <v>1.6892879999999999E-2</v>
      </c>
      <c r="X4530">
        <v>0.99806779999999995</v>
      </c>
      <c r="Y4530">
        <v>1.0793179999999999E-2</v>
      </c>
      <c r="Z4530">
        <v>2.0453419999999999E-4</v>
      </c>
      <c r="AA4530">
        <v>0.99994170000000004</v>
      </c>
      <c r="AB4530">
        <v>34</v>
      </c>
      <c r="AC4530">
        <v>-43.520299999999999</v>
      </c>
      <c r="AD4530">
        <v>-1.110093595523</v>
      </c>
      <c r="AE4530">
        <v>0.356899999999996</v>
      </c>
      <c r="AF4530">
        <v>0.47344012227844701</v>
      </c>
      <c r="AG4530">
        <v>-1.110093595523</v>
      </c>
      <c r="AH4530">
        <v>43.490890214610097</v>
      </c>
      <c r="AI4530">
        <v>91.462055714450798</v>
      </c>
      <c r="AJ4530">
        <v>89.3763050311955</v>
      </c>
      <c r="AK4530">
        <v>43.507631342092999</v>
      </c>
      <c r="AL4530">
        <v>89.032063227292596</v>
      </c>
      <c r="AM4530">
        <v>86.5715382134034</v>
      </c>
      <c r="AN4530">
        <v>0.99999999527354899</v>
      </c>
    </row>
    <row r="4531" spans="1:40" x14ac:dyDescent="0.25">
      <c r="A4531" t="str">
        <f>"20190312154926852"</f>
        <v>20190312154926852</v>
      </c>
      <c r="B4531" t="str">
        <f>"1552376966840743"</f>
        <v>1552376966840743</v>
      </c>
      <c r="C4531" t="s">
        <v>40</v>
      </c>
      <c r="D4531">
        <v>4.6628089999999904</v>
      </c>
      <c r="E4531">
        <v>0.48373050000000001</v>
      </c>
      <c r="F4531" t="s">
        <v>42</v>
      </c>
      <c r="G4531">
        <v>-335.78140000000002</v>
      </c>
      <c r="H4531" s="1">
        <v>-2.4919860000000001E-6</v>
      </c>
      <c r="I4531">
        <v>141.5607</v>
      </c>
      <c r="J4531">
        <v>-294.44959999999998</v>
      </c>
      <c r="K4531">
        <v>1.1100909999999999</v>
      </c>
      <c r="L4531">
        <v>141.101</v>
      </c>
      <c r="M4531">
        <v>-0.99988929999999998</v>
      </c>
      <c r="N4531">
        <v>0</v>
      </c>
      <c r="O4531">
        <v>-2.932161E-3</v>
      </c>
      <c r="P4531">
        <v>-0.99833139999999998</v>
      </c>
      <c r="Q4531">
        <v>2.306996E-3</v>
      </c>
      <c r="R4531">
        <v>5.7698569999999998E-2</v>
      </c>
      <c r="S4531">
        <v>-3.0031430000000001</v>
      </c>
      <c r="T4531">
        <v>-7.998276E-2</v>
      </c>
      <c r="U4531">
        <v>3.303528E-2</v>
      </c>
      <c r="V4531">
        <v>6.0617589999999999E-2</v>
      </c>
      <c r="W4531">
        <v>1.689908E-2</v>
      </c>
      <c r="X4531">
        <v>0.99801799999999996</v>
      </c>
      <c r="Y4531">
        <v>1.392584E-2</v>
      </c>
      <c r="Z4531">
        <v>2.6348970000000002E-4</v>
      </c>
      <c r="AA4531">
        <v>0.99990299999999999</v>
      </c>
      <c r="AB4531">
        <v>34</v>
      </c>
      <c r="AC4531">
        <v>-41.331800000000001</v>
      </c>
      <c r="AD4531">
        <v>-1.1100934919859999</v>
      </c>
      <c r="AE4531">
        <v>0.459699999999998</v>
      </c>
      <c r="AF4531">
        <v>0.58048372725797104</v>
      </c>
      <c r="AG4531">
        <v>-1.1100934919859999</v>
      </c>
      <c r="AH4531">
        <v>41.300485502728201</v>
      </c>
      <c r="AI4531">
        <v>91.539499695347502</v>
      </c>
      <c r="AJ4531">
        <v>89.194753344508797</v>
      </c>
      <c r="AK4531">
        <v>41.3194793248853</v>
      </c>
      <c r="AL4531">
        <v>89.031707947050904</v>
      </c>
      <c r="AM4531">
        <v>86.5242404567135</v>
      </c>
      <c r="AN4531">
        <v>0.99999999972312703</v>
      </c>
    </row>
    <row r="4532" spans="1:40" x14ac:dyDescent="0.25">
      <c r="A4532" t="str">
        <f>"20190312154926874"</f>
        <v>20190312154926874</v>
      </c>
      <c r="B4532" t="str">
        <f>"1552376966870024"</f>
        <v>1552376966870024</v>
      </c>
      <c r="C4532" t="s">
        <v>40</v>
      </c>
      <c r="D4532">
        <v>4.6673249999999999</v>
      </c>
      <c r="E4532">
        <v>0.48384389999999999</v>
      </c>
      <c r="F4532" t="s">
        <v>42</v>
      </c>
      <c r="G4532">
        <v>-335.09230000000002</v>
      </c>
      <c r="H4532" s="1">
        <v>-2.8379899999999999E-6</v>
      </c>
      <c r="I4532">
        <v>141.637</v>
      </c>
      <c r="J4532">
        <v>-294.79790000000003</v>
      </c>
      <c r="K4532">
        <v>1.1100969999999999</v>
      </c>
      <c r="L4532">
        <v>141.09979999999999</v>
      </c>
      <c r="M4532">
        <v>-0.99988869999999996</v>
      </c>
      <c r="N4532">
        <v>0</v>
      </c>
      <c r="O4532">
        <v>-3.1866099999999999E-3</v>
      </c>
      <c r="P4532">
        <v>-0.99831130000000001</v>
      </c>
      <c r="Q4532">
        <v>1.946064E-3</v>
      </c>
      <c r="R4532">
        <v>5.8063589999999998E-2</v>
      </c>
      <c r="S4532">
        <v>-3.0029300000000001</v>
      </c>
      <c r="T4532">
        <v>-8.2020280000000001E-2</v>
      </c>
      <c r="U4532">
        <v>3.9596560000000003E-2</v>
      </c>
      <c r="V4532">
        <v>6.1236789999999999E-2</v>
      </c>
      <c r="W4532">
        <v>1.653483E-2</v>
      </c>
      <c r="X4532">
        <v>0.99798629999999999</v>
      </c>
      <c r="Y4532">
        <v>1.6364150000000001E-2</v>
      </c>
      <c r="Z4532">
        <v>3.1045589999999999E-4</v>
      </c>
      <c r="AA4532">
        <v>0.99986609999999998</v>
      </c>
      <c r="AB4532">
        <v>34</v>
      </c>
      <c r="AC4532">
        <v>-40.294400000000003</v>
      </c>
      <c r="AD4532">
        <v>-1.11009983798999</v>
      </c>
      <c r="AE4532">
        <v>0.537200000000012</v>
      </c>
      <c r="AF4532">
        <v>0.66510873096895295</v>
      </c>
      <c r="AG4532">
        <v>-1.11009983798999</v>
      </c>
      <c r="AH4532">
        <v>40.261930466527403</v>
      </c>
      <c r="AI4532">
        <v>91.579140751240402</v>
      </c>
      <c r="AJ4532">
        <v>89.053585934993393</v>
      </c>
      <c r="AK4532">
        <v>40.282722551558102</v>
      </c>
      <c r="AL4532">
        <v>89.052580851880407</v>
      </c>
      <c r="AM4532">
        <v>86.488713196458903</v>
      </c>
      <c r="AN4532">
        <v>1.0000000000201601</v>
      </c>
    </row>
    <row r="4533" spans="1:40" x14ac:dyDescent="0.25">
      <c r="A4533" t="str">
        <f>"20190312154926895"</f>
        <v>20190312154926895</v>
      </c>
      <c r="B4533" t="str">
        <f>"1552376966890520"</f>
        <v>1552376966890520</v>
      </c>
      <c r="C4533" t="s">
        <v>40</v>
      </c>
      <c r="D4533">
        <v>4.6396350000000002</v>
      </c>
      <c r="E4533">
        <v>0.48385430000000001</v>
      </c>
      <c r="F4533" t="s">
        <v>42</v>
      </c>
      <c r="G4533">
        <v>-333.52940000000001</v>
      </c>
      <c r="H4533" s="1">
        <v>-3.575973E-6</v>
      </c>
      <c r="I4533">
        <v>141.63390000000001</v>
      </c>
      <c r="J4533">
        <v>-295.11720000000003</v>
      </c>
      <c r="K4533">
        <v>1.1101030000000001</v>
      </c>
      <c r="L4533">
        <v>141.0985</v>
      </c>
      <c r="M4533">
        <v>-0.99988790000000005</v>
      </c>
      <c r="N4533">
        <v>0</v>
      </c>
      <c r="O4533">
        <v>-3.428324E-3</v>
      </c>
      <c r="P4533">
        <v>-0.99826219999999999</v>
      </c>
      <c r="Q4533">
        <v>1.7067269999999999E-3</v>
      </c>
      <c r="R4533">
        <v>5.8904360000000003E-2</v>
      </c>
      <c r="S4533">
        <v>-3.0028380000000001</v>
      </c>
      <c r="T4533">
        <v>-8.6065530000000001E-2</v>
      </c>
      <c r="U4533">
        <v>4.1412350000000001E-2</v>
      </c>
      <c r="V4533">
        <v>6.2318209999999999E-2</v>
      </c>
      <c r="W4533">
        <v>1.6292629999999999E-2</v>
      </c>
      <c r="X4533">
        <v>0.99792329999999996</v>
      </c>
      <c r="Y4533">
        <v>1.720957E-2</v>
      </c>
      <c r="Z4533">
        <v>3.4480939999999999E-4</v>
      </c>
      <c r="AA4533">
        <v>0.99985179999999996</v>
      </c>
      <c r="AB4533">
        <v>34</v>
      </c>
      <c r="AC4533">
        <v>-38.412199999999899</v>
      </c>
      <c r="AD4533">
        <v>-1.110106575973</v>
      </c>
      <c r="AE4533">
        <v>0.53540000000000898</v>
      </c>
      <c r="AF4533">
        <v>0.66654372015252705</v>
      </c>
      <c r="AG4533">
        <v>-1.110106575973</v>
      </c>
      <c r="AH4533">
        <v>38.378091301703698</v>
      </c>
      <c r="AI4533">
        <v>91.656599031049893</v>
      </c>
      <c r="AJ4533">
        <v>89.004997343025195</v>
      </c>
      <c r="AK4533">
        <v>38.399928503876197</v>
      </c>
      <c r="AL4533">
        <v>89.066459722863797</v>
      </c>
      <c r="AM4533">
        <v>86.426639383822504</v>
      </c>
      <c r="AN4533">
        <v>0.99999996088640397</v>
      </c>
    </row>
    <row r="4534" spans="1:40" x14ac:dyDescent="0.25">
      <c r="A4534" t="str">
        <f>"20190312154926918"</f>
        <v>20190312154926918</v>
      </c>
      <c r="B4534" t="str">
        <f>"1552376966911016"</f>
        <v>1552376966911016</v>
      </c>
      <c r="C4534" t="s">
        <v>40</v>
      </c>
      <c r="D4534">
        <v>4.6329560000000001</v>
      </c>
      <c r="E4534">
        <v>0.48394589999999998</v>
      </c>
      <c r="F4534" t="s">
        <v>42</v>
      </c>
      <c r="G4534">
        <v>-332.4393</v>
      </c>
      <c r="H4534" s="1">
        <v>-4.0938240000000003E-6</v>
      </c>
      <c r="I4534">
        <v>141.64340000000001</v>
      </c>
      <c r="J4534">
        <v>-295.46469999999999</v>
      </c>
      <c r="K4534">
        <v>1.110106</v>
      </c>
      <c r="L4534">
        <v>141.09700000000001</v>
      </c>
      <c r="M4534">
        <v>-0.99988690000000002</v>
      </c>
      <c r="N4534">
        <v>0</v>
      </c>
      <c r="O4534">
        <v>-3.7023690000000001E-3</v>
      </c>
      <c r="P4534">
        <v>-0.99823609999999896</v>
      </c>
      <c r="Q4534">
        <v>1.7440779999999901E-3</v>
      </c>
      <c r="R4534">
        <v>5.9344250000000001E-2</v>
      </c>
      <c r="S4534">
        <v>-3.0027469999999998</v>
      </c>
      <c r="T4534">
        <v>-8.9313509999999999E-2</v>
      </c>
      <c r="U4534">
        <v>4.3838500000000002E-2</v>
      </c>
      <c r="V4534">
        <v>6.3031320000000002E-2</v>
      </c>
      <c r="W4534">
        <v>1.6326960000000001E-2</v>
      </c>
      <c r="X4534">
        <v>0.99787800000000004</v>
      </c>
      <c r="Y4534">
        <v>1.829045E-2</v>
      </c>
      <c r="Z4534">
        <v>3.8204550000000003E-4</v>
      </c>
      <c r="AA4534">
        <v>0.99983259999999996</v>
      </c>
      <c r="AB4534">
        <v>34</v>
      </c>
      <c r="AC4534">
        <v>-36.974600000000002</v>
      </c>
      <c r="AD4534">
        <v>-1.1101100938240001</v>
      </c>
      <c r="AE4534">
        <v>0.54640000000000499</v>
      </c>
      <c r="AF4534">
        <v>0.682689160601335</v>
      </c>
      <c r="AG4534">
        <v>-1.1101100938240001</v>
      </c>
      <c r="AH4534">
        <v>36.9390331847817</v>
      </c>
      <c r="AI4534">
        <v>91.721069281430005</v>
      </c>
      <c r="AJ4534">
        <v>88.941207939574298</v>
      </c>
      <c r="AK4534">
        <v>36.962015387919799</v>
      </c>
      <c r="AL4534">
        <v>89.064492542868706</v>
      </c>
      <c r="AM4534">
        <v>86.385693397153602</v>
      </c>
      <c r="AN4534">
        <v>1.0000000099038899</v>
      </c>
    </row>
    <row r="4535" spans="1:40" x14ac:dyDescent="0.25">
      <c r="A4535" t="str">
        <f>"20190312154926942"</f>
        <v>20190312154926942</v>
      </c>
      <c r="B4535" t="str">
        <f>"1552376966930536"</f>
        <v>1552376966930536</v>
      </c>
      <c r="C4535" t="s">
        <v>40</v>
      </c>
      <c r="D4535">
        <v>4.633362</v>
      </c>
      <c r="E4535">
        <v>0.48390859999999902</v>
      </c>
      <c r="F4535" t="s">
        <v>42</v>
      </c>
      <c r="G4535">
        <v>-332.72770000000003</v>
      </c>
      <c r="H4535" s="1">
        <v>-3.9633389999999998E-6</v>
      </c>
      <c r="I4535">
        <v>141.6653</v>
      </c>
      <c r="J4535">
        <v>-295.80919999999998</v>
      </c>
      <c r="K4535">
        <v>1.110112</v>
      </c>
      <c r="L4535">
        <v>141.09549999999999</v>
      </c>
      <c r="M4535">
        <v>-0.99988580000000005</v>
      </c>
      <c r="N4535">
        <v>0</v>
      </c>
      <c r="O4535">
        <v>-3.9840420000000001E-3</v>
      </c>
      <c r="P4535">
        <v>-0.99821629999999995</v>
      </c>
      <c r="Q4535">
        <v>1.1098569999999999E-3</v>
      </c>
      <c r="R4535">
        <v>5.9693000000000003E-2</v>
      </c>
      <c r="S4535">
        <v>-3.002777</v>
      </c>
      <c r="T4535">
        <v>-8.9456320000000006E-2</v>
      </c>
      <c r="U4535">
        <v>4.579163E-2</v>
      </c>
      <c r="V4535">
        <v>6.3661259999999997E-2</v>
      </c>
      <c r="W4535">
        <v>1.568951E-2</v>
      </c>
      <c r="X4535">
        <v>0.99784819999999996</v>
      </c>
      <c r="Y4535">
        <v>1.9221579999999999E-2</v>
      </c>
      <c r="Z4535">
        <v>4.0490619999999998E-4</v>
      </c>
      <c r="AA4535">
        <v>0.99981520000000002</v>
      </c>
      <c r="AB4535">
        <v>34</v>
      </c>
      <c r="AC4535">
        <v>-36.918500000000002</v>
      </c>
      <c r="AD4535">
        <v>-1.1101159633390001</v>
      </c>
      <c r="AE4535">
        <v>0.56980000000001496</v>
      </c>
      <c r="AF4535">
        <v>0.71624850885047098</v>
      </c>
      <c r="AG4535">
        <v>-1.1101159633390001</v>
      </c>
      <c r="AH4535">
        <v>36.882596511232201</v>
      </c>
      <c r="AI4535">
        <v>91.723679716123698</v>
      </c>
      <c r="AJ4535">
        <v>88.887473690106603</v>
      </c>
      <c r="AK4535">
        <v>36.906250077579699</v>
      </c>
      <c r="AL4535">
        <v>89.101020385726002</v>
      </c>
      <c r="AM4535">
        <v>86.349560196084894</v>
      </c>
      <c r="AN4535">
        <v>0.99999997349603298</v>
      </c>
    </row>
    <row r="4536" spans="1:40" x14ac:dyDescent="0.25">
      <c r="A4536" t="str">
        <f>"20190312154926963"</f>
        <v>20190312154926963</v>
      </c>
      <c r="B4536" t="str">
        <f>"1552376966951032"</f>
        <v>1552376966951032</v>
      </c>
      <c r="C4536" t="s">
        <v>40</v>
      </c>
      <c r="D4536">
        <v>4.6228259999999999</v>
      </c>
      <c r="E4536">
        <v>0.48391770000000001</v>
      </c>
      <c r="F4536" t="s">
        <v>42</v>
      </c>
      <c r="G4536">
        <v>-332.50650000000002</v>
      </c>
      <c r="H4536" s="1">
        <v>-4.0679700000000003E-6</v>
      </c>
      <c r="I4536">
        <v>141.66560000000001</v>
      </c>
      <c r="J4536">
        <v>-296.13729999999998</v>
      </c>
      <c r="K4536">
        <v>1.110125</v>
      </c>
      <c r="L4536">
        <v>141.09389999999999</v>
      </c>
      <c r="M4536">
        <v>-0.99988489999999997</v>
      </c>
      <c r="N4536">
        <v>0</v>
      </c>
      <c r="O4536">
        <v>-4.259606E-3</v>
      </c>
      <c r="P4536">
        <v>-0.9982219</v>
      </c>
      <c r="Q4536">
        <v>7.3314089999999897E-4</v>
      </c>
      <c r="R4536">
        <v>5.9602479999999999E-2</v>
      </c>
      <c r="S4536">
        <v>-3.0026860000000002</v>
      </c>
      <c r="T4536">
        <v>-9.0833189999999994E-2</v>
      </c>
      <c r="U4536">
        <v>4.6646119999999999E-2</v>
      </c>
      <c r="V4536">
        <v>6.3845579999999999E-2</v>
      </c>
      <c r="W4536">
        <v>1.531047E-2</v>
      </c>
      <c r="X4536">
        <v>0.99784229999999996</v>
      </c>
      <c r="Y4536">
        <v>1.9781340000000001E-2</v>
      </c>
      <c r="Z4536">
        <v>4.279458E-4</v>
      </c>
      <c r="AA4536">
        <v>0.99980429999999998</v>
      </c>
      <c r="AB4536">
        <v>34</v>
      </c>
      <c r="AC4536">
        <v>-36.369199999999999</v>
      </c>
      <c r="AD4536">
        <v>-1.11012906797</v>
      </c>
      <c r="AE4536">
        <v>0.57170000000002097</v>
      </c>
      <c r="AF4536">
        <v>0.72595349313359403</v>
      </c>
      <c r="AG4536">
        <v>-1.11012906797</v>
      </c>
      <c r="AH4536">
        <v>36.332591533055599</v>
      </c>
      <c r="AI4536">
        <v>91.749758105520499</v>
      </c>
      <c r="AJ4536">
        <v>88.8553379864113</v>
      </c>
      <c r="AK4536">
        <v>36.356795823196698</v>
      </c>
      <c r="AL4536">
        <v>89.122740377989501</v>
      </c>
      <c r="AM4536">
        <v>86.338998103608503</v>
      </c>
      <c r="AN4536">
        <v>0.99999996212322195</v>
      </c>
    </row>
    <row r="4537" spans="1:40" x14ac:dyDescent="0.25">
      <c r="A4537" t="str">
        <f>"20190312154926987"</f>
        <v>20190312154926987</v>
      </c>
      <c r="B4537" t="str">
        <f>"1552376966980312"</f>
        <v>1552376966980312</v>
      </c>
      <c r="C4537" t="s">
        <v>40</v>
      </c>
      <c r="D4537">
        <v>4.6667139999999998</v>
      </c>
      <c r="E4537">
        <v>0.50354089999999996</v>
      </c>
      <c r="F4537" t="s">
        <v>42</v>
      </c>
      <c r="G4537">
        <v>-332.54500000000002</v>
      </c>
      <c r="H4537" s="1">
        <v>-4.0472050000000003E-6</v>
      </c>
      <c r="I4537">
        <v>141.6559</v>
      </c>
      <c r="J4537">
        <v>-296.4862</v>
      </c>
      <c r="K4537">
        <v>1.1101289999999999</v>
      </c>
      <c r="L4537">
        <v>141.09209999999999</v>
      </c>
      <c r="M4537">
        <v>-0.99988350000000004</v>
      </c>
      <c r="N4537">
        <v>0</v>
      </c>
      <c r="O4537">
        <v>-4.5586230000000004E-3</v>
      </c>
      <c r="P4537">
        <v>-0.99823399999999995</v>
      </c>
      <c r="Q4537">
        <v>1.7269139999999999E-4</v>
      </c>
      <c r="R4537">
        <v>5.9403770000000002E-2</v>
      </c>
      <c r="S4537">
        <v>-3.0026549999999999</v>
      </c>
      <c r="T4537">
        <v>-9.1555709999999998E-2</v>
      </c>
      <c r="U4537">
        <v>4.6356199999999903E-2</v>
      </c>
      <c r="V4537">
        <v>6.3945580000000002E-2</v>
      </c>
      <c r="W4537">
        <v>1.474691E-2</v>
      </c>
      <c r="X4537">
        <v>0.99784439999999996</v>
      </c>
      <c r="Y4537">
        <v>1.9983560000000001E-2</v>
      </c>
      <c r="Z4537">
        <v>4.4355099999999998E-4</v>
      </c>
      <c r="AA4537">
        <v>0.99980020000000003</v>
      </c>
      <c r="AB4537">
        <v>34</v>
      </c>
      <c r="AC4537">
        <v>-36.058799999999998</v>
      </c>
      <c r="AD4537">
        <v>-1.1101330472049999</v>
      </c>
      <c r="AE4537">
        <v>0.56380000000001396</v>
      </c>
      <c r="AF4537">
        <v>0.72750068556282299</v>
      </c>
      <c r="AG4537">
        <v>-1.1101330472049999</v>
      </c>
      <c r="AH4537">
        <v>36.021720931545801</v>
      </c>
      <c r="AI4537">
        <v>91.764847855897102</v>
      </c>
      <c r="AJ4537">
        <v>88.843002168405704</v>
      </c>
      <c r="AK4537">
        <v>36.046165281485301</v>
      </c>
      <c r="AL4537">
        <v>89.155033649315598</v>
      </c>
      <c r="AM4537">
        <v>86.333287279677506</v>
      </c>
      <c r="AN4537">
        <v>0.99999997758372094</v>
      </c>
    </row>
    <row r="4538" spans="1:40" x14ac:dyDescent="0.25">
      <c r="A4538" t="str">
        <f>"20190312154927007"</f>
        <v>20190312154927007</v>
      </c>
      <c r="B4538" t="str">
        <f>"1552376967000758"</f>
        <v>1552376967000758</v>
      </c>
      <c r="C4538" t="s">
        <v>40</v>
      </c>
      <c r="D4538">
        <v>4.6251810000000004</v>
      </c>
      <c r="E4538">
        <v>0.53679359999999998</v>
      </c>
      <c r="F4538" t="s">
        <v>41</v>
      </c>
      <c r="G4538">
        <v>-297.48520000000002</v>
      </c>
      <c r="H4538">
        <v>1.023085</v>
      </c>
      <c r="I4538">
        <v>141.15719999999999</v>
      </c>
      <c r="J4538">
        <v>-296.80250000000001</v>
      </c>
      <c r="K4538">
        <v>1.110133</v>
      </c>
      <c r="L4538">
        <v>141.09039999999999</v>
      </c>
      <c r="M4538">
        <v>-0.99988239999999995</v>
      </c>
      <c r="N4538">
        <v>0</v>
      </c>
      <c r="O4538">
        <v>-4.8326940000000002E-3</v>
      </c>
      <c r="P4538">
        <v>-0.99824400000000002</v>
      </c>
      <c r="Q4538">
        <v>-3.7389250000000003E-4</v>
      </c>
      <c r="R4538">
        <v>5.9234969999999998E-2</v>
      </c>
      <c r="S4538">
        <v>-2.993805</v>
      </c>
      <c r="T4538">
        <v>-0.26091219999999998</v>
      </c>
      <c r="U4538">
        <v>0.19438169999999999</v>
      </c>
      <c r="V4538">
        <v>6.4050499999999996E-2</v>
      </c>
      <c r="W4538">
        <v>1.4197649999999999E-2</v>
      </c>
      <c r="X4538">
        <v>0.9978456</v>
      </c>
      <c r="Y4538">
        <v>6.9333889999999995E-2</v>
      </c>
      <c r="Z4538">
        <v>3.432376E-3</v>
      </c>
      <c r="AA4538">
        <v>0.99758760000000002</v>
      </c>
      <c r="AB4538">
        <v>34</v>
      </c>
      <c r="AC4538">
        <v>-0.68270000000001096</v>
      </c>
      <c r="AD4538">
        <v>-8.7048E-2</v>
      </c>
      <c r="AE4538">
        <v>6.6800000000000595E-2</v>
      </c>
      <c r="AF4538">
        <v>6.8987904397281002E-2</v>
      </c>
      <c r="AG4538">
        <v>-8.7048E-2</v>
      </c>
      <c r="AH4538">
        <v>0.67155480118033395</v>
      </c>
      <c r="AI4538">
        <v>97.347348675699294</v>
      </c>
      <c r="AJ4538">
        <v>84.134657999080801</v>
      </c>
      <c r="AK4538">
        <v>0.68067799747419999</v>
      </c>
      <c r="AL4538">
        <v>89.186507196400896</v>
      </c>
      <c r="AM4538">
        <v>86.3272919047306</v>
      </c>
      <c r="AN4538">
        <v>0.99999994062756403</v>
      </c>
    </row>
    <row r="4539" spans="1:40" x14ac:dyDescent="0.25">
      <c r="A4539" t="str">
        <f>"20190312154927030"</f>
        <v>20190312154927030</v>
      </c>
      <c r="B4539" t="str">
        <f>"1552376967020241"</f>
        <v>1552376967020241</v>
      </c>
      <c r="C4539" t="s">
        <v>40</v>
      </c>
      <c r="D4539">
        <v>4.5940320000000003</v>
      </c>
      <c r="E4539">
        <v>0.53921339999999995</v>
      </c>
      <c r="F4539" t="s">
        <v>41</v>
      </c>
      <c r="G4539">
        <v>-297.72289999999998</v>
      </c>
      <c r="H4539">
        <v>0.88609640000000001</v>
      </c>
      <c r="I4539">
        <v>141.22540000000001</v>
      </c>
      <c r="J4539">
        <v>-297.13139999999999</v>
      </c>
      <c r="K4539">
        <v>1.1101369999999999</v>
      </c>
      <c r="L4539">
        <v>141.08850000000001</v>
      </c>
      <c r="M4539">
        <v>-0.99988109999999997</v>
      </c>
      <c r="N4539">
        <v>0</v>
      </c>
      <c r="O4539">
        <v>-5.1197380000000004E-3</v>
      </c>
      <c r="P4539">
        <v>-0.99824570000000001</v>
      </c>
      <c r="Q4539">
        <v>-4.6711970000000002E-4</v>
      </c>
      <c r="R4539">
        <v>5.9209199999999997E-2</v>
      </c>
      <c r="S4539">
        <v>-2.979095</v>
      </c>
      <c r="T4539">
        <v>-0.72502230000000001</v>
      </c>
      <c r="U4539">
        <v>0.43690489999999998</v>
      </c>
      <c r="V4539">
        <v>6.4311270000000004E-2</v>
      </c>
      <c r="W4539">
        <v>1.410086E-2</v>
      </c>
      <c r="X4539">
        <v>0.99783029999999995</v>
      </c>
      <c r="Y4539">
        <v>0.14585290000000001</v>
      </c>
      <c r="Z4539">
        <v>1.862569E-2</v>
      </c>
      <c r="AA4539">
        <v>0.98913090000000004</v>
      </c>
      <c r="AB4539">
        <v>34</v>
      </c>
      <c r="AC4539">
        <v>-0.59149999999999603</v>
      </c>
      <c r="AD4539">
        <v>-0.22404060000000001</v>
      </c>
      <c r="AE4539">
        <v>0.136899999999997</v>
      </c>
      <c r="AF4539">
        <v>0.123156602541375</v>
      </c>
      <c r="AG4539">
        <v>-0.22404060000000001</v>
      </c>
      <c r="AH4539">
        <v>0.51998488067892501</v>
      </c>
      <c r="AI4539">
        <v>112.74639391215</v>
      </c>
      <c r="AJ4539">
        <v>76.675229947624302</v>
      </c>
      <c r="AK4539">
        <v>0.57943594584092695</v>
      </c>
      <c r="AL4539">
        <v>89.192053491257198</v>
      </c>
      <c r="AM4539">
        <v>86.312323927848695</v>
      </c>
      <c r="AN4539">
        <v>1.0000000406499201</v>
      </c>
    </row>
    <row r="4540" spans="1:40" x14ac:dyDescent="0.25">
      <c r="A4540" t="str">
        <f>"20190312154927052"</f>
        <v>20190312154927052</v>
      </c>
      <c r="B4540" t="str">
        <f>"1552376967040738"</f>
        <v>1552376967040738</v>
      </c>
      <c r="C4540" t="s">
        <v>40</v>
      </c>
      <c r="D4540">
        <v>4.6010730000000004</v>
      </c>
      <c r="E4540">
        <v>0.53977350000000002</v>
      </c>
      <c r="F4540" t="s">
        <v>41</v>
      </c>
      <c r="G4540">
        <v>-298.01909999999998</v>
      </c>
      <c r="H4540">
        <v>0.87693129999999997</v>
      </c>
      <c r="I4540">
        <v>141.22399999999999</v>
      </c>
      <c r="J4540">
        <v>-297.48149999999998</v>
      </c>
      <c r="K4540">
        <v>1.110141</v>
      </c>
      <c r="L4540">
        <v>141.08629999999999</v>
      </c>
      <c r="M4540">
        <v>-0.99987939999999997</v>
      </c>
      <c r="N4540">
        <v>0</v>
      </c>
      <c r="O4540">
        <v>-5.425366E-3</v>
      </c>
      <c r="P4540">
        <v>-0.99823830000000002</v>
      </c>
      <c r="Q4540">
        <v>-2.1123330000000001E-4</v>
      </c>
      <c r="R4540">
        <v>5.9337340000000002E-2</v>
      </c>
      <c r="S4540">
        <v>-2.9779969999999998</v>
      </c>
      <c r="T4540">
        <v>-0.78238619999999903</v>
      </c>
      <c r="U4540">
        <v>0.4536133</v>
      </c>
      <c r="V4540">
        <v>6.4744449999999995E-2</v>
      </c>
      <c r="W4540">
        <v>1.4353080000000001E-2</v>
      </c>
      <c r="X4540">
        <v>0.99779859999999998</v>
      </c>
      <c r="Y4540">
        <v>0.15076329999999999</v>
      </c>
      <c r="Z4540">
        <v>2.0761959999999999E-2</v>
      </c>
      <c r="AA4540">
        <v>0.9883518</v>
      </c>
      <c r="AB4540">
        <v>34</v>
      </c>
      <c r="AC4540">
        <v>-0.53759999999999697</v>
      </c>
      <c r="AD4540">
        <v>-0.23320969999999999</v>
      </c>
      <c r="AE4540">
        <v>0.13769999999999499</v>
      </c>
      <c r="AF4540">
        <v>0.119510106228957</v>
      </c>
      <c r="AG4540">
        <v>-0.23320969999999999</v>
      </c>
      <c r="AH4540">
        <v>0.456270056604552</v>
      </c>
      <c r="AI4540">
        <v>116.309745161378</v>
      </c>
      <c r="AJ4540">
        <v>75.3223370551312</v>
      </c>
      <c r="AK4540">
        <v>0.52616707823548503</v>
      </c>
      <c r="AL4540">
        <v>89.177600813375506</v>
      </c>
      <c r="AM4540">
        <v>86.287436546898505</v>
      </c>
      <c r="AN4540">
        <v>0.99999995043662304</v>
      </c>
    </row>
    <row r="4541" spans="1:40" x14ac:dyDescent="0.25">
      <c r="A4541" t="str">
        <f>"20190312154927066"</f>
        <v>20190312154927066</v>
      </c>
      <c r="B4541" t="str">
        <f>"1552376967060258"</f>
        <v>1552376967060258</v>
      </c>
      <c r="C4541" t="s">
        <v>40</v>
      </c>
      <c r="D4541">
        <v>4.6700599999999897</v>
      </c>
      <c r="E4541">
        <v>0.53976049999999998</v>
      </c>
      <c r="F4541" t="s">
        <v>41</v>
      </c>
      <c r="G4541">
        <v>-298.32229999999998</v>
      </c>
      <c r="H4541">
        <v>0.88538229999999996</v>
      </c>
      <c r="I4541">
        <v>141.2159</v>
      </c>
      <c r="J4541">
        <v>-297.68400000000003</v>
      </c>
      <c r="K4541">
        <v>1.1101430000000001</v>
      </c>
      <c r="L4541">
        <v>141.08510000000001</v>
      </c>
      <c r="M4541">
        <v>-0.9998785</v>
      </c>
      <c r="N4541">
        <v>0</v>
      </c>
      <c r="O4541">
        <v>-5.6020159999999996E-3</v>
      </c>
      <c r="P4541">
        <v>-0.99823050000000002</v>
      </c>
      <c r="Q4541">
        <v>-1.504067E-4</v>
      </c>
      <c r="R4541">
        <v>5.9464830000000003E-2</v>
      </c>
      <c r="S4541">
        <v>-2.9779659999999999</v>
      </c>
      <c r="T4541">
        <v>-0.79607589999999995</v>
      </c>
      <c r="U4541">
        <v>0.4577484</v>
      </c>
      <c r="V4541">
        <v>6.5047850000000004E-2</v>
      </c>
      <c r="W4541">
        <v>1.4411729999999999E-2</v>
      </c>
      <c r="X4541">
        <v>0.9977781</v>
      </c>
      <c r="Y4541">
        <v>0.1520512</v>
      </c>
      <c r="Z4541">
        <v>2.1325719999999999E-2</v>
      </c>
      <c r="AA4541">
        <v>0.98814250000000003</v>
      </c>
      <c r="AB4541">
        <v>34</v>
      </c>
      <c r="AC4541">
        <v>-0.63829999999995801</v>
      </c>
      <c r="AD4541">
        <v>-0.22476070000000001</v>
      </c>
      <c r="AE4541">
        <v>0.13079999999999301</v>
      </c>
      <c r="AF4541">
        <v>0.12008468158046</v>
      </c>
      <c r="AG4541">
        <v>-0.22476070000000001</v>
      </c>
      <c r="AH4541">
        <v>0.56975900133159896</v>
      </c>
      <c r="AI4541">
        <v>111.106764807593</v>
      </c>
      <c r="AJ4541">
        <v>78.0983026889689</v>
      </c>
      <c r="AK4541">
        <v>0.62414983987272799</v>
      </c>
      <c r="AL4541">
        <v>89.174240132840893</v>
      </c>
      <c r="AM4541">
        <v>86.270011623998599</v>
      </c>
      <c r="AN4541">
        <v>1.0000000287954101</v>
      </c>
    </row>
    <row r="4542" spans="1:40" x14ac:dyDescent="0.25">
      <c r="A4542" t="str">
        <f>"20190312154927086"</f>
        <v>20190312154927086</v>
      </c>
      <c r="B4542" t="str">
        <f>"1552376967080754"</f>
        <v>1552376967080754</v>
      </c>
      <c r="C4542" t="s">
        <v>40</v>
      </c>
      <c r="D4542">
        <v>4.6115170000000001</v>
      </c>
      <c r="E4542">
        <v>0.53913500000000003</v>
      </c>
      <c r="F4542" t="s">
        <v>41</v>
      </c>
      <c r="G4542">
        <v>-298.61180000000002</v>
      </c>
      <c r="H4542">
        <v>0.86074589999999995</v>
      </c>
      <c r="I4542">
        <v>141.22790000000001</v>
      </c>
      <c r="J4542">
        <v>-297.9778</v>
      </c>
      <c r="K4542">
        <v>1.110144</v>
      </c>
      <c r="L4542">
        <v>141.08320000000001</v>
      </c>
      <c r="M4542">
        <v>-0.99987709999999996</v>
      </c>
      <c r="N4542">
        <v>0</v>
      </c>
      <c r="O4542">
        <v>-5.8580489999999997E-3</v>
      </c>
      <c r="P4542">
        <v>-0.99821159999999998</v>
      </c>
      <c r="Q4542">
        <v>-3.1912889999999999E-4</v>
      </c>
      <c r="R4542">
        <v>5.9781000000000001E-2</v>
      </c>
      <c r="S4542">
        <v>-2.9779360000000001</v>
      </c>
      <c r="T4542">
        <v>-0.80044079999999995</v>
      </c>
      <c r="U4542">
        <v>0.45756530000000001</v>
      </c>
      <c r="V4542">
        <v>6.5619670000000005E-2</v>
      </c>
      <c r="W4542">
        <v>1.423961E-2</v>
      </c>
      <c r="X4542">
        <v>0.99774309999999999</v>
      </c>
      <c r="Y4542">
        <v>0.15217439999999999</v>
      </c>
      <c r="Z4542">
        <v>2.152246E-2</v>
      </c>
      <c r="AA4542">
        <v>0.98811930000000003</v>
      </c>
      <c r="AB4542">
        <v>34</v>
      </c>
      <c r="AC4542">
        <v>-0.634000000000014</v>
      </c>
      <c r="AD4542">
        <v>-0.24939810000000001</v>
      </c>
      <c r="AE4542">
        <v>0.1447</v>
      </c>
      <c r="AF4542">
        <v>0.12938231571963299</v>
      </c>
      <c r="AG4542">
        <v>-0.24939810000000001</v>
      </c>
      <c r="AH4542">
        <v>0.55195903921929701</v>
      </c>
      <c r="AI4542">
        <v>113.745531030262</v>
      </c>
      <c r="AJ4542">
        <v>76.807724788239497</v>
      </c>
      <c r="AK4542">
        <v>0.619352869437507</v>
      </c>
      <c r="AL4542">
        <v>89.184102871218897</v>
      </c>
      <c r="AM4542">
        <v>86.237184365287206</v>
      </c>
      <c r="AN4542">
        <v>1.0000000005907299</v>
      </c>
    </row>
    <row r="4543" spans="1:40" x14ac:dyDescent="0.25">
      <c r="A4543" t="str">
        <f>"20190312154927108"</f>
        <v>20190312154927108</v>
      </c>
      <c r="B4543" t="str">
        <f>"1552376967101070"</f>
        <v>1552376967101070</v>
      </c>
      <c r="C4543" t="s">
        <v>40</v>
      </c>
      <c r="D4543">
        <v>4.624987</v>
      </c>
      <c r="E4543">
        <v>0.53854299999999999</v>
      </c>
      <c r="F4543" t="s">
        <v>41</v>
      </c>
      <c r="G4543">
        <v>-298.91090000000003</v>
      </c>
      <c r="H4543">
        <v>0.8605815</v>
      </c>
      <c r="I4543">
        <v>141.22550000000001</v>
      </c>
      <c r="J4543">
        <v>-298.3177</v>
      </c>
      <c r="K4543">
        <v>1.1101490000000001</v>
      </c>
      <c r="L4543">
        <v>141.08090000000001</v>
      </c>
      <c r="M4543">
        <v>-0.99987539999999997</v>
      </c>
      <c r="N4543">
        <v>0</v>
      </c>
      <c r="O4543">
        <v>-6.1537669999999897E-3</v>
      </c>
      <c r="P4543">
        <v>-0.99822699999999998</v>
      </c>
      <c r="Q4543">
        <v>2.0815429999999999E-4</v>
      </c>
      <c r="R4543">
        <v>5.9525420000000002E-2</v>
      </c>
      <c r="S4543">
        <v>-2.9779659999999999</v>
      </c>
      <c r="T4543">
        <v>-0.79647469999999998</v>
      </c>
      <c r="U4543">
        <v>0.45385740000000002</v>
      </c>
      <c r="V4543">
        <v>6.5659019999999998E-2</v>
      </c>
      <c r="W4543">
        <v>1.4763119999999999E-2</v>
      </c>
      <c r="X4543">
        <v>0.99773290000000003</v>
      </c>
      <c r="Y4543">
        <v>0.15133360000000001</v>
      </c>
      <c r="Z4543">
        <v>2.1388520000000001E-2</v>
      </c>
      <c r="AA4543">
        <v>0.98825130000000005</v>
      </c>
      <c r="AB4543">
        <v>34</v>
      </c>
      <c r="AC4543">
        <v>-0.59320000000002404</v>
      </c>
      <c r="AD4543">
        <v>-0.2495675</v>
      </c>
      <c r="AE4543">
        <v>0.14459999999999601</v>
      </c>
      <c r="AF4543">
        <v>0.12702555786399899</v>
      </c>
      <c r="AG4543">
        <v>-0.2495675</v>
      </c>
      <c r="AH4543">
        <v>0.50750808647340295</v>
      </c>
      <c r="AI4543">
        <v>115.502797457727</v>
      </c>
      <c r="AJ4543">
        <v>75.947974851386306</v>
      </c>
      <c r="AK4543">
        <v>0.57964117110743996</v>
      </c>
      <c r="AL4543">
        <v>89.154104801015805</v>
      </c>
      <c r="AM4543">
        <v>86.2348960341251</v>
      </c>
      <c r="AN4543">
        <v>0.99999999818095198</v>
      </c>
    </row>
    <row r="4544" spans="1:40" x14ac:dyDescent="0.25">
      <c r="A4544" t="str">
        <f>"20190312154927131"</f>
        <v>20190312154927131</v>
      </c>
      <c r="B4544" t="str">
        <f>"1552376967120578"</f>
        <v>1552376967120578</v>
      </c>
      <c r="C4544" t="s">
        <v>40</v>
      </c>
      <c r="D4544">
        <v>4.6378500000000003</v>
      </c>
      <c r="E4544">
        <v>0.53831289999999998</v>
      </c>
      <c r="F4544" t="s">
        <v>41</v>
      </c>
      <c r="G4544">
        <v>-299.21420000000001</v>
      </c>
      <c r="H4544">
        <v>0.87203310000000001</v>
      </c>
      <c r="I4544">
        <v>141.21639999999999</v>
      </c>
      <c r="J4544">
        <v>-298.65390000000002</v>
      </c>
      <c r="K4544">
        <v>1.110147</v>
      </c>
      <c r="L4544">
        <v>141.07849999999999</v>
      </c>
      <c r="M4544">
        <v>-0.99987349999999997</v>
      </c>
      <c r="N4544">
        <v>0</v>
      </c>
      <c r="O4544">
        <v>-6.4456690000000002E-3</v>
      </c>
      <c r="P4544">
        <v>-0.99826539999999997</v>
      </c>
      <c r="Q4544">
        <v>9.0541500000000002E-4</v>
      </c>
      <c r="R4544">
        <v>5.8868910000000003E-2</v>
      </c>
      <c r="S4544">
        <v>-2.9786679999999999</v>
      </c>
      <c r="T4544">
        <v>-0.79121839999999999</v>
      </c>
      <c r="U4544">
        <v>0.4494476</v>
      </c>
      <c r="V4544">
        <v>6.5293539999999997E-2</v>
      </c>
      <c r="W4544">
        <v>1.5456839999999999E-2</v>
      </c>
      <c r="X4544">
        <v>0.99774640000000003</v>
      </c>
      <c r="Y4544">
        <v>0.15025459999999999</v>
      </c>
      <c r="Z4544">
        <v>2.1185200000000001E-2</v>
      </c>
      <c r="AA4544">
        <v>0.98842030000000003</v>
      </c>
      <c r="AB4544">
        <v>33</v>
      </c>
      <c r="AC4544">
        <v>-0.56029999999998303</v>
      </c>
      <c r="AD4544">
        <v>-0.23811389999999999</v>
      </c>
      <c r="AE4544">
        <v>0.13790000000000099</v>
      </c>
      <c r="AF4544">
        <v>0.12091799160280001</v>
      </c>
      <c r="AG4544">
        <v>-0.23811389999999999</v>
      </c>
      <c r="AH4544">
        <v>0.47800098091437698</v>
      </c>
      <c r="AI4544">
        <v>115.777426698642</v>
      </c>
      <c r="AJ4544">
        <v>75.803926147349202</v>
      </c>
      <c r="AK4544">
        <v>0.54754390492596205</v>
      </c>
      <c r="AL4544">
        <v>89.114353052704601</v>
      </c>
      <c r="AM4544">
        <v>86.255844593710094</v>
      </c>
      <c r="AN4544">
        <v>1.0000000194907299</v>
      </c>
    </row>
    <row r="4545" spans="1:40" x14ac:dyDescent="0.25">
      <c r="A4545" t="str">
        <f>"20190312154927154"</f>
        <v>20190312154927154</v>
      </c>
      <c r="B4545" t="str">
        <f>"1552376967141074"</f>
        <v>1552376967141074</v>
      </c>
      <c r="C4545" t="s">
        <v>40</v>
      </c>
      <c r="D4545">
        <v>4.697864</v>
      </c>
      <c r="E4545">
        <v>0.53814499999999998</v>
      </c>
      <c r="F4545" t="s">
        <v>41</v>
      </c>
      <c r="G4545">
        <v>-299.51639999999998</v>
      </c>
      <c r="H4545">
        <v>0.88160110000000003</v>
      </c>
      <c r="I4545">
        <v>141.20779999999999</v>
      </c>
      <c r="J4545">
        <v>-299.00049999999999</v>
      </c>
      <c r="K4545">
        <v>1.1101430000000001</v>
      </c>
      <c r="L4545">
        <v>141.07589999999999</v>
      </c>
      <c r="M4545">
        <v>-0.99987159999999997</v>
      </c>
      <c r="N4545">
        <v>0</v>
      </c>
      <c r="O4545">
        <v>-6.7468629999999996E-3</v>
      </c>
      <c r="P4545">
        <v>-0.99833119999999997</v>
      </c>
      <c r="Q4545">
        <v>8.1011280000000004E-4</v>
      </c>
      <c r="R4545">
        <v>5.7744820000000002E-2</v>
      </c>
      <c r="S4545">
        <v>-2.9796140000000002</v>
      </c>
      <c r="T4545">
        <v>-0.78961320000000002</v>
      </c>
      <c r="U4545">
        <v>0.44606020000000002</v>
      </c>
      <c r="V4545">
        <v>6.4470620000000006E-2</v>
      </c>
      <c r="W4545">
        <v>1.535767E-2</v>
      </c>
      <c r="X4545">
        <v>0.99780139999999995</v>
      </c>
      <c r="Y4545">
        <v>0.14944730000000001</v>
      </c>
      <c r="Z4545">
        <v>2.111238E-2</v>
      </c>
      <c r="AA4545">
        <v>0.98854430000000004</v>
      </c>
      <c r="AB4545">
        <v>33</v>
      </c>
      <c r="AC4545">
        <v>-0.51589999999998704</v>
      </c>
      <c r="AD4545">
        <v>-0.22854189999999999</v>
      </c>
      <c r="AE4545">
        <v>0.13190000000000099</v>
      </c>
      <c r="AF4545">
        <v>0.114319795702588</v>
      </c>
      <c r="AG4545">
        <v>-0.22854189999999999</v>
      </c>
      <c r="AH4545">
        <v>0.43488944732861701</v>
      </c>
      <c r="AI4545">
        <v>116.94196382525</v>
      </c>
      <c r="AJ4545">
        <v>75.271814954135806</v>
      </c>
      <c r="AK4545">
        <v>0.50440980079978803</v>
      </c>
      <c r="AL4545">
        <v>89.120035711620204</v>
      </c>
      <c r="AM4545">
        <v>86.303105161685806</v>
      </c>
      <c r="AN4545">
        <v>0.99999997635648596</v>
      </c>
    </row>
    <row r="4546" spans="1:40" x14ac:dyDescent="0.25">
      <c r="A4546" t="str">
        <f>"20190312154927176"</f>
        <v>20190312154927176</v>
      </c>
      <c r="B4546" t="str">
        <f>"1552376967170353"</f>
        <v>1552376967170353</v>
      </c>
      <c r="C4546" t="s">
        <v>40</v>
      </c>
      <c r="D4546">
        <v>4.6925829999999999</v>
      </c>
      <c r="E4546">
        <v>0.53804730000000001</v>
      </c>
      <c r="F4546" t="s">
        <v>41</v>
      </c>
      <c r="G4546">
        <v>-299.81900000000002</v>
      </c>
      <c r="H4546">
        <v>0.89302809999999899</v>
      </c>
      <c r="I4546">
        <v>141.19749999999999</v>
      </c>
      <c r="J4546">
        <v>-299.31400000000002</v>
      </c>
      <c r="K4546">
        <v>1.110141</v>
      </c>
      <c r="L4546">
        <v>141.0735</v>
      </c>
      <c r="M4546">
        <v>-0.99986980000000003</v>
      </c>
      <c r="N4546">
        <v>0</v>
      </c>
      <c r="O4546">
        <v>-7.0194469999999998E-3</v>
      </c>
      <c r="P4546">
        <v>-0.99840119999999999</v>
      </c>
      <c r="Q4546">
        <v>3.9928030000000001E-4</v>
      </c>
      <c r="R4546">
        <v>5.6526239999999998E-2</v>
      </c>
      <c r="S4546">
        <v>-2.9801639999999998</v>
      </c>
      <c r="T4546">
        <v>-0.7905489</v>
      </c>
      <c r="U4546">
        <v>0.44146730000000001</v>
      </c>
      <c r="V4546">
        <v>6.3525010000000007E-2</v>
      </c>
      <c r="W4546">
        <v>1.4944300000000001E-2</v>
      </c>
      <c r="X4546">
        <v>0.99786839999999999</v>
      </c>
      <c r="Y4546">
        <v>0.14821989999999999</v>
      </c>
      <c r="Z4546">
        <v>2.1046639999999998E-2</v>
      </c>
      <c r="AA4546">
        <v>0.98873040000000001</v>
      </c>
      <c r="AB4546">
        <v>33</v>
      </c>
      <c r="AC4546">
        <v>-0.50499999999999501</v>
      </c>
      <c r="AD4546">
        <v>-0.2171129</v>
      </c>
      <c r="AE4546">
        <v>0.123999999999995</v>
      </c>
      <c r="AF4546">
        <v>0.10860877183217101</v>
      </c>
      <c r="AG4546">
        <v>-0.2171129</v>
      </c>
      <c r="AH4546">
        <v>0.42928191579132402</v>
      </c>
      <c r="AI4546">
        <v>116.119150305868</v>
      </c>
      <c r="AJ4546">
        <v>75.802038668266704</v>
      </c>
      <c r="AK4546">
        <v>0.4931701936358</v>
      </c>
      <c r="AL4546">
        <v>89.143722851821494</v>
      </c>
      <c r="AM4546">
        <v>86.357425474019493</v>
      </c>
      <c r="AN4546">
        <v>1.0000000513582701</v>
      </c>
    </row>
    <row r="4547" spans="1:40" x14ac:dyDescent="0.25">
      <c r="A4547" t="str">
        <f>"20190312154927197"</f>
        <v>20190312154927197</v>
      </c>
      <c r="B4547" t="str">
        <f>"1552376967190850"</f>
        <v>1552376967190850</v>
      </c>
      <c r="C4547" t="s">
        <v>40</v>
      </c>
      <c r="D4547">
        <v>4.759906</v>
      </c>
      <c r="E4547">
        <v>0.53798100000000004</v>
      </c>
      <c r="F4547" t="s">
        <v>41</v>
      </c>
      <c r="G4547">
        <v>-300.11790000000002</v>
      </c>
      <c r="H4547">
        <v>0.89623209999999998</v>
      </c>
      <c r="I4547">
        <v>141.19159999999999</v>
      </c>
      <c r="J4547">
        <v>-299.6404</v>
      </c>
      <c r="K4547">
        <v>1.1101460000000001</v>
      </c>
      <c r="L4547">
        <v>141.07089999999999</v>
      </c>
      <c r="M4547">
        <v>-0.99986779999999997</v>
      </c>
      <c r="N4547">
        <v>0</v>
      </c>
      <c r="O4547">
        <v>-7.3037079999999999E-3</v>
      </c>
      <c r="P4547">
        <v>-0.99849469999999996</v>
      </c>
      <c r="Q4547">
        <v>2.407469E-4</v>
      </c>
      <c r="R4547">
        <v>5.4853689999999997E-2</v>
      </c>
      <c r="S4547">
        <v>-2.9803470000000001</v>
      </c>
      <c r="T4547">
        <v>-0.79311119999999902</v>
      </c>
      <c r="U4547">
        <v>0.43711850000000002</v>
      </c>
      <c r="V4547">
        <v>6.2136959999999998E-2</v>
      </c>
      <c r="W4547">
        <v>1.4782190000000001E-2</v>
      </c>
      <c r="X4547">
        <v>0.99795820000000002</v>
      </c>
      <c r="Y4547">
        <v>0.14707479999999901</v>
      </c>
      <c r="Z4547">
        <v>2.103849E-2</v>
      </c>
      <c r="AA4547">
        <v>0.98890160000000005</v>
      </c>
      <c r="AB4547">
        <v>33</v>
      </c>
      <c r="AC4547">
        <v>-0.47750000000002002</v>
      </c>
      <c r="AD4547">
        <v>-0.21391389999999899</v>
      </c>
      <c r="AE4547">
        <v>0.120699999999999</v>
      </c>
      <c r="AF4547">
        <v>0.10447631738141799</v>
      </c>
      <c r="AG4547">
        <v>-0.21391389999999899</v>
      </c>
      <c r="AH4547">
        <v>0.400967362631102</v>
      </c>
      <c r="AI4547">
        <v>117.305382669644</v>
      </c>
      <c r="AJ4547">
        <v>75.3956989416195</v>
      </c>
      <c r="AK4547">
        <v>0.46631457558405198</v>
      </c>
      <c r="AL4547">
        <v>89.153012088324701</v>
      </c>
      <c r="AM4547">
        <v>86.437129829053205</v>
      </c>
      <c r="AN4547">
        <v>1.00000004194323</v>
      </c>
    </row>
    <row r="4548" spans="1:40" x14ac:dyDescent="0.25">
      <c r="A4548" t="str">
        <f>"20190312154927219"</f>
        <v>20190312154927219</v>
      </c>
      <c r="B4548" t="str">
        <f>"1552376967210370"</f>
        <v>1552376967210370</v>
      </c>
      <c r="C4548" t="s">
        <v>40</v>
      </c>
      <c r="D4548">
        <v>4.7324419999999998</v>
      </c>
      <c r="E4548">
        <v>0.53784160000000003</v>
      </c>
      <c r="F4548" t="s">
        <v>41</v>
      </c>
      <c r="G4548">
        <v>-300.4178</v>
      </c>
      <c r="H4548">
        <v>0.90266970000000002</v>
      </c>
      <c r="I4548">
        <v>141.1841</v>
      </c>
      <c r="J4548">
        <v>-299.96210000000002</v>
      </c>
      <c r="K4548">
        <v>1.11015</v>
      </c>
      <c r="L4548">
        <v>141.06829999999999</v>
      </c>
      <c r="M4548">
        <v>-0.99986569999999997</v>
      </c>
      <c r="N4548">
        <v>0</v>
      </c>
      <c r="O4548">
        <v>-7.5822369999999899E-3</v>
      </c>
      <c r="P4548">
        <v>-0.99857059999999997</v>
      </c>
      <c r="Q4548">
        <v>1.3290350000000001E-4</v>
      </c>
      <c r="R4548">
        <v>5.3449839999999998E-2</v>
      </c>
      <c r="S4548">
        <v>-2.980988</v>
      </c>
      <c r="T4548">
        <v>-0.7956588</v>
      </c>
      <c r="U4548">
        <v>0.43263239999999997</v>
      </c>
      <c r="V4548">
        <v>6.101177E-2</v>
      </c>
      <c r="W4548">
        <v>1.467158E-2</v>
      </c>
      <c r="X4548">
        <v>0.99802919999999995</v>
      </c>
      <c r="Y4548">
        <v>0.14586189999999999</v>
      </c>
      <c r="Z4548">
        <v>2.1016070000000001E-2</v>
      </c>
      <c r="AA4548">
        <v>0.98908169999999995</v>
      </c>
      <c r="AB4548">
        <v>33</v>
      </c>
      <c r="AC4548">
        <v>-0.45569999999997801</v>
      </c>
      <c r="AD4548">
        <v>-0.20748029999999901</v>
      </c>
      <c r="AE4548">
        <v>0.11580000000000699</v>
      </c>
      <c r="AF4548">
        <v>9.9815730841713093E-2</v>
      </c>
      <c r="AG4548">
        <v>-0.20748029999999901</v>
      </c>
      <c r="AH4548">
        <v>0.38068100944541999</v>
      </c>
      <c r="AI4548">
        <v>117.798312358852</v>
      </c>
      <c r="AJ4548">
        <v>75.307613168895799</v>
      </c>
      <c r="AK4548">
        <v>0.44489244314096799</v>
      </c>
      <c r="AL4548">
        <v>89.1593502159797</v>
      </c>
      <c r="AM4548">
        <v>86.501733631628497</v>
      </c>
      <c r="AN4548">
        <v>0.99999998769543397</v>
      </c>
    </row>
    <row r="4549" spans="1:40" x14ac:dyDescent="0.25">
      <c r="A4549" t="str">
        <f>"20190312154927234"</f>
        <v>20190312154927234</v>
      </c>
      <c r="B4549" t="str">
        <f>"1552376967230865"</f>
        <v>1552376967230865</v>
      </c>
      <c r="C4549" t="s">
        <v>40</v>
      </c>
      <c r="D4549">
        <v>4.7264920000000004</v>
      </c>
      <c r="E4549">
        <v>0.53769909999999999</v>
      </c>
      <c r="F4549" t="s">
        <v>41</v>
      </c>
      <c r="G4549">
        <v>-300.71699999999998</v>
      </c>
      <c r="H4549">
        <v>0.90842769999999995</v>
      </c>
      <c r="I4549">
        <v>141.17670000000001</v>
      </c>
      <c r="J4549">
        <v>-300.19229999999999</v>
      </c>
      <c r="K4549">
        <v>1.1101479999999999</v>
      </c>
      <c r="L4549">
        <v>141.06630000000001</v>
      </c>
      <c r="M4549">
        <v>-0.99986439999999999</v>
      </c>
      <c r="N4549">
        <v>0</v>
      </c>
      <c r="O4549">
        <v>-7.7786269999999998E-3</v>
      </c>
      <c r="P4549">
        <v>-0.99861639999999996</v>
      </c>
      <c r="Q4549">
        <v>1.053866E-4</v>
      </c>
      <c r="R4549">
        <v>5.2589599999999903E-2</v>
      </c>
      <c r="S4549">
        <v>-2.9814759999999998</v>
      </c>
      <c r="T4549">
        <v>-0.79663479999999998</v>
      </c>
      <c r="U4549">
        <v>0.42819210000000002</v>
      </c>
      <c r="V4549">
        <v>6.0348209999999999E-2</v>
      </c>
      <c r="W4549">
        <v>1.4641059999999999E-2</v>
      </c>
      <c r="X4549">
        <v>0.99807000000000001</v>
      </c>
      <c r="Y4549">
        <v>0.14461370000000001</v>
      </c>
      <c r="Z4549">
        <v>2.0928059999999998E-2</v>
      </c>
      <c r="AA4549">
        <v>0.98926689999999995</v>
      </c>
      <c r="AB4549">
        <v>33</v>
      </c>
      <c r="AC4549">
        <v>-0.52469999999999495</v>
      </c>
      <c r="AD4549">
        <v>-0.20172029999999999</v>
      </c>
      <c r="AE4549">
        <v>0.110399999999998</v>
      </c>
      <c r="AF4549">
        <v>0.100284730421105</v>
      </c>
      <c r="AG4549">
        <v>-0.20172029999999999</v>
      </c>
      <c r="AH4549">
        <v>0.45887795658158698</v>
      </c>
      <c r="AI4549">
        <v>113.241517890392</v>
      </c>
      <c r="AJ4549">
        <v>77.672212142246906</v>
      </c>
      <c r="AK4549">
        <v>0.51119182859687495</v>
      </c>
      <c r="AL4549">
        <v>89.161099077998102</v>
      </c>
      <c r="AM4549">
        <v>86.539828702669595</v>
      </c>
      <c r="AN4549">
        <v>0.99999999599406297</v>
      </c>
    </row>
    <row r="4550" spans="1:40" x14ac:dyDescent="0.25">
      <c r="A4550" t="str">
        <f>"20190312154927254"</f>
        <v>20190312154927254</v>
      </c>
      <c r="B4550" t="str">
        <f>"1552376967250386"</f>
        <v>1552376967250386</v>
      </c>
      <c r="C4550" t="s">
        <v>40</v>
      </c>
      <c r="D4550">
        <v>4.692831</v>
      </c>
      <c r="E4550">
        <v>0.53806089999999995</v>
      </c>
      <c r="F4550" t="s">
        <v>41</v>
      </c>
      <c r="G4550">
        <v>-301.00720000000001</v>
      </c>
      <c r="H4550">
        <v>0.89208449999999995</v>
      </c>
      <c r="I4550">
        <v>141.1825</v>
      </c>
      <c r="J4550">
        <v>-300.47949999999997</v>
      </c>
      <c r="K4550">
        <v>1.1101399999999999</v>
      </c>
      <c r="L4550">
        <v>141.06379999999999</v>
      </c>
      <c r="M4550">
        <v>-0.99986249999999999</v>
      </c>
      <c r="N4550">
        <v>0</v>
      </c>
      <c r="O4550">
        <v>-8.0175179999999995E-3</v>
      </c>
      <c r="P4550">
        <v>-0.99868270000000003</v>
      </c>
      <c r="Q4550" s="1">
        <v>-1.8052760000000002E-5</v>
      </c>
      <c r="R4550">
        <v>5.1312679999999999E-2</v>
      </c>
      <c r="S4550">
        <v>-2.9819339999999999</v>
      </c>
      <c r="T4550">
        <v>-0.79797149999999994</v>
      </c>
      <c r="U4550">
        <v>0.4244232</v>
      </c>
      <c r="V4550">
        <v>5.931028E-2</v>
      </c>
      <c r="W4550">
        <v>1.4514239999999999E-2</v>
      </c>
      <c r="X4550">
        <v>0.99813410000000002</v>
      </c>
      <c r="Y4550">
        <v>0.1436125</v>
      </c>
      <c r="Z4550">
        <v>2.089222E-2</v>
      </c>
      <c r="AA4550">
        <v>0.9894134</v>
      </c>
      <c r="AB4550">
        <v>33</v>
      </c>
      <c r="AC4550">
        <v>-0.52770000000003803</v>
      </c>
      <c r="AD4550">
        <v>-0.21805550000000001</v>
      </c>
      <c r="AE4550">
        <v>0.118700000000018</v>
      </c>
      <c r="AF4550">
        <v>0.105741672248617</v>
      </c>
      <c r="AG4550">
        <v>-0.21805550000000001</v>
      </c>
      <c r="AH4550">
        <v>0.45309190837343599</v>
      </c>
      <c r="AI4550">
        <v>115.11094715359999</v>
      </c>
      <c r="AJ4550">
        <v>76.8635519830368</v>
      </c>
      <c r="AK4550">
        <v>0.513830497113266</v>
      </c>
      <c r="AL4550">
        <v>89.168366126792904</v>
      </c>
      <c r="AM4550">
        <v>86.599417246980906</v>
      </c>
      <c r="AN4550">
        <v>1.0000000270296301</v>
      </c>
    </row>
    <row r="4551" spans="1:40" x14ac:dyDescent="0.25">
      <c r="A4551" t="str">
        <f>"20190312154927275"</f>
        <v>20190312154927275</v>
      </c>
      <c r="B4551" t="str">
        <f>"1552376967270881"</f>
        <v>1552376967270881</v>
      </c>
      <c r="C4551" t="s">
        <v>40</v>
      </c>
      <c r="D4551">
        <v>4.901173</v>
      </c>
      <c r="E4551">
        <v>0.53829389999999999</v>
      </c>
      <c r="F4551" t="s">
        <v>41</v>
      </c>
      <c r="G4551">
        <v>-301.30200000000002</v>
      </c>
      <c r="H4551">
        <v>0.88857960000000002</v>
      </c>
      <c r="I4551">
        <v>141.1808</v>
      </c>
      <c r="J4551">
        <v>-300.80399999999997</v>
      </c>
      <c r="K4551">
        <v>1.110128</v>
      </c>
      <c r="L4551">
        <v>141.06100000000001</v>
      </c>
      <c r="M4551">
        <v>-0.99986030000000004</v>
      </c>
      <c r="N4551">
        <v>0</v>
      </c>
      <c r="O4551">
        <v>-8.2771960000000006E-3</v>
      </c>
      <c r="P4551">
        <v>-0.99870680000000001</v>
      </c>
      <c r="Q4551">
        <v>-4.9374629999999998E-4</v>
      </c>
      <c r="R4551">
        <v>5.0840679999999999E-2</v>
      </c>
      <c r="S4551">
        <v>-2.9821469999999999</v>
      </c>
      <c r="T4551">
        <v>-0.80328569999999999</v>
      </c>
      <c r="U4551">
        <v>0.42366029999999999</v>
      </c>
      <c r="V4551">
        <v>5.9098480000000002E-2</v>
      </c>
      <c r="W4551">
        <v>1.4034110000000001E-2</v>
      </c>
      <c r="X4551">
        <v>0.99815350000000003</v>
      </c>
      <c r="Y4551">
        <v>0.14353659999999999</v>
      </c>
      <c r="Z4551">
        <v>2.108399E-2</v>
      </c>
      <c r="AA4551">
        <v>0.98942039999999998</v>
      </c>
      <c r="AB4551">
        <v>33</v>
      </c>
      <c r="AC4551">
        <v>-0.49799999999999001</v>
      </c>
      <c r="AD4551">
        <v>-0.22154840000000001</v>
      </c>
      <c r="AE4551">
        <v>0.11979999999999701</v>
      </c>
      <c r="AF4551">
        <v>0.10438852287467899</v>
      </c>
      <c r="AG4551">
        <v>-0.22154840000000001</v>
      </c>
      <c r="AH4551">
        <v>0.41866414395928497</v>
      </c>
      <c r="AI4551">
        <v>117.17865364963301</v>
      </c>
      <c r="AJ4551">
        <v>75.999506785296902</v>
      </c>
      <c r="AK4551">
        <v>0.48503641377496398</v>
      </c>
      <c r="AL4551">
        <v>89.195878328623493</v>
      </c>
      <c r="AM4551">
        <v>86.611598257957795</v>
      </c>
      <c r="AN4551">
        <v>0.999999998072026</v>
      </c>
    </row>
    <row r="4552" spans="1:40" x14ac:dyDescent="0.25">
      <c r="A4552" t="str">
        <f>"20190312154927289"</f>
        <v>20190312154927289</v>
      </c>
      <c r="B4552" t="str">
        <f>"1552376967280642"</f>
        <v>1552376967280642</v>
      </c>
      <c r="C4552" t="s">
        <v>40</v>
      </c>
      <c r="D4552">
        <v>5.7164299999999999</v>
      </c>
      <c r="E4552">
        <v>0.53829389999999999</v>
      </c>
      <c r="F4552" t="s">
        <v>41</v>
      </c>
      <c r="G4552">
        <v>-301.60059999999999</v>
      </c>
      <c r="H4552">
        <v>0.89491489999999996</v>
      </c>
      <c r="I4552">
        <v>141.1747</v>
      </c>
      <c r="J4552">
        <v>-301.00670000000002</v>
      </c>
      <c r="K4552">
        <v>1.110125</v>
      </c>
      <c r="L4552">
        <v>141.0591</v>
      </c>
      <c r="M4552">
        <v>-0.9998591</v>
      </c>
      <c r="N4552">
        <v>0</v>
      </c>
      <c r="O4552">
        <v>-8.4341729999999997E-3</v>
      </c>
      <c r="P4552">
        <v>-0.99872430000000001</v>
      </c>
      <c r="Q4552">
        <v>-1.2991350000000001E-3</v>
      </c>
      <c r="R4552">
        <v>5.0480379999999998E-2</v>
      </c>
      <c r="S4552">
        <v>-2.981903</v>
      </c>
      <c r="T4552">
        <v>-0.80571780000000004</v>
      </c>
      <c r="U4552">
        <v>0.42485050000000002</v>
      </c>
      <c r="V4552">
        <v>5.8895639999999999E-2</v>
      </c>
      <c r="W4552">
        <v>1.322547E-2</v>
      </c>
      <c r="X4552">
        <v>0.99817650000000002</v>
      </c>
      <c r="Y4552">
        <v>0.144035</v>
      </c>
      <c r="Z4552">
        <v>2.1254060000000002E-2</v>
      </c>
      <c r="AA4552">
        <v>0.98934429999999995</v>
      </c>
      <c r="AB4552">
        <v>33</v>
      </c>
      <c r="AC4552">
        <v>-0.59389999999996201</v>
      </c>
      <c r="AD4552">
        <v>-0.21521009999999999</v>
      </c>
      <c r="AE4552">
        <v>0.11559999999999999</v>
      </c>
      <c r="AF4552">
        <v>0.107060504831803</v>
      </c>
      <c r="AG4552">
        <v>-0.21521009999999999</v>
      </c>
      <c r="AH4552">
        <v>0.52631590928905703</v>
      </c>
      <c r="AI4552">
        <v>111.835643093236</v>
      </c>
      <c r="AJ4552">
        <v>78.502056963637401</v>
      </c>
      <c r="AK4552">
        <v>0.57860675351020396</v>
      </c>
      <c r="AL4552">
        <v>89.242214269952399</v>
      </c>
      <c r="AM4552">
        <v>86.623278726520198</v>
      </c>
      <c r="AN4552">
        <v>0.99999996730998897</v>
      </c>
    </row>
    <row r="4553" spans="1:40" x14ac:dyDescent="0.25">
      <c r="A4553" t="str">
        <f>"20190312154927421"</f>
        <v>20190312154927421</v>
      </c>
      <c r="B4553" t="str">
        <f>"1552376967410450"</f>
        <v>1552376967410450</v>
      </c>
      <c r="C4553" t="s">
        <v>40</v>
      </c>
      <c r="D4553">
        <v>4.275182</v>
      </c>
      <c r="E4553">
        <v>0.53691460000000002</v>
      </c>
      <c r="F4553" t="s">
        <v>41</v>
      </c>
      <c r="G4553">
        <v>-303.3766</v>
      </c>
      <c r="H4553">
        <v>0.91338730000000001</v>
      </c>
      <c r="I4553">
        <v>141.14240000000001</v>
      </c>
      <c r="J4553">
        <v>-302.9427</v>
      </c>
      <c r="K4553">
        <v>1.110063</v>
      </c>
      <c r="L4553">
        <v>141.0403</v>
      </c>
      <c r="M4553">
        <v>-0.99984779999999995</v>
      </c>
      <c r="N4553">
        <v>0</v>
      </c>
      <c r="O4553">
        <v>-9.7156859999999994E-3</v>
      </c>
      <c r="P4553">
        <v>-0.99870150000000002</v>
      </c>
      <c r="Q4553">
        <v>-3.392108E-3</v>
      </c>
      <c r="R4553">
        <v>5.0832740000000001E-2</v>
      </c>
      <c r="S4553">
        <v>-2.979797</v>
      </c>
      <c r="T4553">
        <v>-0.8226945</v>
      </c>
      <c r="U4553">
        <v>0.41348269999999998</v>
      </c>
      <c r="V4553">
        <v>6.0529930000000003E-2</v>
      </c>
      <c r="W4553">
        <v>1.110323E-2</v>
      </c>
      <c r="X4553">
        <v>0.99810460000000001</v>
      </c>
      <c r="Y4553">
        <v>0.14150839999999901</v>
      </c>
      <c r="Z4553">
        <v>2.171124E-2</v>
      </c>
      <c r="AA4553">
        <v>0.98969890000000005</v>
      </c>
      <c r="AB4553">
        <v>33</v>
      </c>
      <c r="AC4553">
        <v>-0.43389999999999401</v>
      </c>
      <c r="AD4553">
        <v>-0.19667570000000001</v>
      </c>
      <c r="AE4553">
        <v>0.102100000000007</v>
      </c>
      <c r="AF4553">
        <v>8.8987354325420695E-2</v>
      </c>
      <c r="AG4553">
        <v>-0.19667570000000001</v>
      </c>
      <c r="AH4553">
        <v>0.36234645768643098</v>
      </c>
      <c r="AI4553">
        <v>117.794622993909</v>
      </c>
      <c r="AJ4553">
        <v>76.202009061699897</v>
      </c>
      <c r="AK4553">
        <v>0.42177604910453698</v>
      </c>
      <c r="AL4553">
        <v>89.363818693033195</v>
      </c>
      <c r="AM4553">
        <v>86.529554909896405</v>
      </c>
      <c r="AN4553">
        <v>0.99999997334169799</v>
      </c>
    </row>
    <row r="4554" spans="1:40" x14ac:dyDescent="0.25">
      <c r="A4554" t="str">
        <f>"20190312154927443"</f>
        <v>20190312154927443</v>
      </c>
      <c r="B4554" t="str">
        <f>"1552376967440706"</f>
        <v>1552376967440706</v>
      </c>
      <c r="C4554" t="s">
        <v>40</v>
      </c>
      <c r="D4554">
        <v>4.6704350000000003</v>
      </c>
      <c r="E4554">
        <v>0.47651919999999998</v>
      </c>
      <c r="F4554" t="s">
        <v>41</v>
      </c>
      <c r="G4554">
        <v>-303.66879999999998</v>
      </c>
      <c r="H4554">
        <v>0.90986820000000002</v>
      </c>
      <c r="I4554">
        <v>141.1413</v>
      </c>
      <c r="J4554">
        <v>-303.27359999999999</v>
      </c>
      <c r="K4554">
        <v>1.110063</v>
      </c>
      <c r="L4554">
        <v>141.0369</v>
      </c>
      <c r="M4554">
        <v>-0.99984589999999995</v>
      </c>
      <c r="N4554">
        <v>0</v>
      </c>
      <c r="O4554">
        <v>-9.9133439999999993E-3</v>
      </c>
      <c r="P4554">
        <v>-0.99870510000000001</v>
      </c>
      <c r="Q4554">
        <v>-3.498241E-3</v>
      </c>
      <c r="R4554">
        <v>5.0757620000000003E-2</v>
      </c>
      <c r="S4554">
        <v>-2.9800420000000001</v>
      </c>
      <c r="T4554">
        <v>-0.82161070000000003</v>
      </c>
      <c r="U4554">
        <v>0.41410829999999998</v>
      </c>
      <c r="V4554">
        <v>6.0652230000000001E-2</v>
      </c>
      <c r="W4554">
        <v>1.099261E-2</v>
      </c>
      <c r="X4554">
        <v>0.99809840000000005</v>
      </c>
      <c r="Y4554">
        <v>0.14189079999999901</v>
      </c>
      <c r="Z4554">
        <v>2.1786460000000001E-2</v>
      </c>
      <c r="AA4554">
        <v>0.98964260000000004</v>
      </c>
      <c r="AB4554">
        <v>33</v>
      </c>
      <c r="AC4554">
        <v>-0.39519999999998801</v>
      </c>
      <c r="AD4554">
        <v>-0.20019480000000001</v>
      </c>
      <c r="AE4554">
        <v>0.10439999999999799</v>
      </c>
      <c r="AF4554">
        <v>8.7358420280809798E-2</v>
      </c>
      <c r="AG4554">
        <v>-0.20019480000000001</v>
      </c>
      <c r="AH4554">
        <v>0.31789276285284401</v>
      </c>
      <c r="AI4554">
        <v>121.26797484124501</v>
      </c>
      <c r="AJ4554">
        <v>74.634153245432898</v>
      </c>
      <c r="AK4554">
        <v>0.38570099846281602</v>
      </c>
      <c r="AL4554">
        <v>89.3701571391328</v>
      </c>
      <c r="AM4554">
        <v>86.522538558564605</v>
      </c>
      <c r="AN4554">
        <v>0.999999973280572</v>
      </c>
    </row>
    <row r="4555" spans="1:40" x14ac:dyDescent="0.25">
      <c r="A4555" t="str">
        <f>"20190312154927458"</f>
        <v>20190312154927458</v>
      </c>
      <c r="B4555" t="str">
        <f>"1552376967450466"</f>
        <v>1552376967450466</v>
      </c>
      <c r="C4555" t="s">
        <v>40</v>
      </c>
      <c r="D4555">
        <v>4.5722459999999998</v>
      </c>
      <c r="E4555">
        <v>0.47665600000000002</v>
      </c>
      <c r="F4555" t="s">
        <v>41</v>
      </c>
      <c r="G4555">
        <v>-304.01240000000001</v>
      </c>
      <c r="H4555">
        <v>1.0150239999999999</v>
      </c>
      <c r="I4555">
        <v>141.0247</v>
      </c>
      <c r="J4555">
        <v>-303.47789999999998</v>
      </c>
      <c r="K4555">
        <v>1.110061</v>
      </c>
      <c r="L4555">
        <v>141.03469999999999</v>
      </c>
      <c r="M4555">
        <v>-0.99984470000000003</v>
      </c>
      <c r="N4555">
        <v>0</v>
      </c>
      <c r="O4555">
        <v>-1.003476E-2</v>
      </c>
      <c r="P4555">
        <v>-0.99872229999999995</v>
      </c>
      <c r="Q4555">
        <v>-3.1571870000000001E-3</v>
      </c>
      <c r="R4555">
        <v>5.044067E-2</v>
      </c>
      <c r="S4555">
        <v>-3.005096</v>
      </c>
      <c r="T4555">
        <v>-0.38657010000000003</v>
      </c>
      <c r="U4555">
        <v>-4.9972530000000001E-2</v>
      </c>
      <c r="V4555">
        <v>6.0456740000000002E-2</v>
      </c>
      <c r="W4555">
        <v>1.133114E-2</v>
      </c>
      <c r="X4555">
        <v>0.99810650000000001</v>
      </c>
      <c r="Y4555">
        <v>-6.6198330000000003E-3</v>
      </c>
      <c r="Z4555">
        <v>8.6155580000000002E-4</v>
      </c>
      <c r="AA4555">
        <v>0.99997769999999997</v>
      </c>
      <c r="AB4555">
        <v>33</v>
      </c>
      <c r="AC4555">
        <v>-0.53450000000003595</v>
      </c>
      <c r="AD4555">
        <v>-9.5036999999999996E-2</v>
      </c>
      <c r="AE4555">
        <v>-9.9999999999908998E-3</v>
      </c>
      <c r="AF4555">
        <v>-4.4933477906451899E-3</v>
      </c>
      <c r="AG4555">
        <v>-9.5036999999999996E-2</v>
      </c>
      <c r="AH4555">
        <v>0.51819650994063005</v>
      </c>
      <c r="AI4555">
        <v>100.39214545098601</v>
      </c>
      <c r="AJ4555">
        <v>90.496806534244399</v>
      </c>
      <c r="AK4555">
        <v>0.52685846719780105</v>
      </c>
      <c r="AL4555">
        <v>89.350759606432405</v>
      </c>
      <c r="AM4555">
        <v>86.533747556804698</v>
      </c>
      <c r="AN4555">
        <v>0.99999999874368795</v>
      </c>
    </row>
    <row r="4556" spans="1:40" x14ac:dyDescent="0.25">
      <c r="A4556" t="str">
        <f>"20190312154927476"</f>
        <v>20190312154927476</v>
      </c>
      <c r="B4556" t="str">
        <f>"1552376967470962"</f>
        <v>1552376967470962</v>
      </c>
      <c r="C4556" t="s">
        <v>40</v>
      </c>
      <c r="D4556">
        <v>4.6387109999999998</v>
      </c>
      <c r="E4556">
        <v>0.47846840000000002</v>
      </c>
      <c r="F4556" t="s">
        <v>41</v>
      </c>
      <c r="G4556">
        <v>-304.30720000000002</v>
      </c>
      <c r="H4556">
        <v>1.0188120000000001</v>
      </c>
      <c r="I4556">
        <v>141.02189999999999</v>
      </c>
      <c r="J4556">
        <v>-303.75409999999999</v>
      </c>
      <c r="K4556">
        <v>1.1100589999999999</v>
      </c>
      <c r="L4556">
        <v>141.0318</v>
      </c>
      <c r="M4556">
        <v>-0.99984309999999998</v>
      </c>
      <c r="N4556">
        <v>0</v>
      </c>
      <c r="O4556">
        <v>-1.0198850000000001E-2</v>
      </c>
      <c r="P4556">
        <v>-0.99874560000000001</v>
      </c>
      <c r="Q4556">
        <v>-3.043994E-3</v>
      </c>
      <c r="R4556">
        <v>4.9977229999999997E-2</v>
      </c>
      <c r="S4556">
        <v>-3.005188</v>
      </c>
      <c r="T4556">
        <v>-0.3308374</v>
      </c>
      <c r="U4556">
        <v>-4.7668460000000003E-2</v>
      </c>
      <c r="V4556">
        <v>6.0157130000000003E-2</v>
      </c>
      <c r="W4556">
        <v>1.144128E-2</v>
      </c>
      <c r="X4556">
        <v>0.99812330000000005</v>
      </c>
      <c r="Y4556">
        <v>-5.687849E-3</v>
      </c>
      <c r="Z4556">
        <v>8.0728600000000005E-4</v>
      </c>
      <c r="AA4556">
        <v>0.99998350000000003</v>
      </c>
      <c r="AB4556">
        <v>33</v>
      </c>
      <c r="AC4556">
        <v>-0.55310000000002801</v>
      </c>
      <c r="AD4556">
        <v>-9.12469999999998E-2</v>
      </c>
      <c r="AE4556">
        <v>-9.9000000000160002E-3</v>
      </c>
      <c r="AF4556">
        <v>-4.1451301663818496E-3</v>
      </c>
      <c r="AG4556">
        <v>-9.12469999999998E-2</v>
      </c>
      <c r="AH4556">
        <v>0.53852034294819995</v>
      </c>
      <c r="AI4556">
        <v>99.616590166521803</v>
      </c>
      <c r="AJ4556">
        <v>90.441011703500806</v>
      </c>
      <c r="AK4556">
        <v>0.54621182418741399</v>
      </c>
      <c r="AL4556">
        <v>89.344448609900198</v>
      </c>
      <c r="AM4556">
        <v>86.550941864853996</v>
      </c>
      <c r="AN4556">
        <v>0.99999995259038099</v>
      </c>
    </row>
    <row r="4557" spans="1:40" x14ac:dyDescent="0.25">
      <c r="A4557" t="str">
        <f>"20190312154927499"</f>
        <v>20190312154927499</v>
      </c>
      <c r="B4557" t="str">
        <f>"1552376967490482"</f>
        <v>1552376967490482</v>
      </c>
      <c r="C4557" t="s">
        <v>40</v>
      </c>
      <c r="D4557">
        <v>4.6146880000000001</v>
      </c>
      <c r="E4557">
        <v>0.47903030000000002</v>
      </c>
      <c r="F4557" t="s">
        <v>63</v>
      </c>
      <c r="G4557">
        <v>-317.72829999999999</v>
      </c>
      <c r="H4557" s="1">
        <v>-6.7112570000000003E-6</v>
      </c>
      <c r="I4557">
        <v>140.88759999999999</v>
      </c>
      <c r="J4557">
        <v>-304.08510000000001</v>
      </c>
      <c r="K4557">
        <v>1.110063</v>
      </c>
      <c r="L4557">
        <v>141.0282</v>
      </c>
      <c r="M4557">
        <v>-0.99984119999999999</v>
      </c>
      <c r="N4557">
        <v>0</v>
      </c>
      <c r="O4557">
        <v>-1.039607E-2</v>
      </c>
      <c r="P4557">
        <v>-0.99877539999999998</v>
      </c>
      <c r="Q4557">
        <v>-3.139153E-3</v>
      </c>
      <c r="R4557">
        <v>4.9377909999999997E-2</v>
      </c>
      <c r="S4557">
        <v>-3.0046390000000001</v>
      </c>
      <c r="T4557">
        <v>-0.2386788</v>
      </c>
      <c r="U4557">
        <v>-3.09906E-2</v>
      </c>
      <c r="V4557">
        <v>5.9755299999999997E-2</v>
      </c>
      <c r="W4557">
        <v>1.134259E-2</v>
      </c>
      <c r="X4557">
        <v>0.99814860000000005</v>
      </c>
      <c r="Y4557" s="1">
        <v>5.0553409999999997E-5</v>
      </c>
      <c r="Z4557">
        <v>8.265786E-4</v>
      </c>
      <c r="AA4557">
        <v>0.99999959999999999</v>
      </c>
      <c r="AB4557">
        <v>33</v>
      </c>
      <c r="AC4557">
        <v>-13.643199999999901</v>
      </c>
      <c r="AD4557">
        <v>-1.1100697112569999</v>
      </c>
      <c r="AE4557">
        <v>-0.140600000000006</v>
      </c>
      <c r="AF4557">
        <v>1.24984799086499E-3</v>
      </c>
      <c r="AG4557">
        <v>-1.1100697112569999</v>
      </c>
      <c r="AH4557">
        <v>13.5542030327651</v>
      </c>
      <c r="AI4557">
        <v>94.681992519573001</v>
      </c>
      <c r="AJ4557">
        <v>89.994716693077905</v>
      </c>
      <c r="AK4557">
        <v>13.5995836766935</v>
      </c>
      <c r="AL4557">
        <v>89.350103521231105</v>
      </c>
      <c r="AM4557">
        <v>86.574012019116495</v>
      </c>
      <c r="AN4557">
        <v>0.99999998895397901</v>
      </c>
    </row>
    <row r="4558" spans="1:40" x14ac:dyDescent="0.25">
      <c r="A4558" t="str">
        <f>"20190312154927520"</f>
        <v>20190312154927520</v>
      </c>
      <c r="B4558" t="str">
        <f>"1552376967510002"</f>
        <v>1552376967510002</v>
      </c>
      <c r="C4558" t="s">
        <v>40</v>
      </c>
      <c r="D4558">
        <v>4.5969480000000003</v>
      </c>
      <c r="E4558">
        <v>0.47821839999999999</v>
      </c>
      <c r="F4558" t="s">
        <v>42</v>
      </c>
      <c r="G4558">
        <v>-320.91469999999998</v>
      </c>
      <c r="H4558" s="1">
        <v>-4.1885699999999996E-6</v>
      </c>
      <c r="I4558">
        <v>140.8783</v>
      </c>
      <c r="J4558">
        <v>-304.40260000000001</v>
      </c>
      <c r="K4558">
        <v>1.1100650000000001</v>
      </c>
      <c r="L4558">
        <v>141.0247</v>
      </c>
      <c r="M4558">
        <v>-0.99983920000000004</v>
      </c>
      <c r="N4558">
        <v>0</v>
      </c>
      <c r="O4558">
        <v>-1.058532E-2</v>
      </c>
      <c r="P4558">
        <v>-0.99879269999999998</v>
      </c>
      <c r="Q4558">
        <v>-3.3100970000000001E-3</v>
      </c>
      <c r="R4558">
        <v>4.9012550000000002E-2</v>
      </c>
      <c r="S4558">
        <v>-3.0043639999999998</v>
      </c>
      <c r="T4558">
        <v>-0.1981658</v>
      </c>
      <c r="U4558">
        <v>-2.674866E-2</v>
      </c>
      <c r="V4558">
        <v>5.9579060000000003E-2</v>
      </c>
      <c r="W4558">
        <v>1.1168549999999999E-2</v>
      </c>
      <c r="X4558">
        <v>0.99816110000000002</v>
      </c>
      <c r="Y4558">
        <v>1.656987E-3</v>
      </c>
      <c r="Z4558">
        <v>7.5207009999999903E-4</v>
      </c>
      <c r="AA4558">
        <v>0.99999830000000001</v>
      </c>
      <c r="AB4558">
        <v>33</v>
      </c>
      <c r="AC4558">
        <v>-16.512099999999901</v>
      </c>
      <c r="AD4558">
        <v>-1.11006918856999</v>
      </c>
      <c r="AE4558">
        <v>-0.146399999999999</v>
      </c>
      <c r="AF4558">
        <v>2.8284556699153401E-2</v>
      </c>
      <c r="AG4558">
        <v>-1.11006918856999</v>
      </c>
      <c r="AH4558">
        <v>16.438436009532001</v>
      </c>
      <c r="AI4558">
        <v>93.863248957277506</v>
      </c>
      <c r="AJ4558">
        <v>89.901414944582996</v>
      </c>
      <c r="AK4558">
        <v>16.4758985205372</v>
      </c>
      <c r="AL4558">
        <v>89.360075911984893</v>
      </c>
      <c r="AM4558">
        <v>86.584135211612505</v>
      </c>
      <c r="AN4558">
        <v>0.99999999122639804</v>
      </c>
    </row>
    <row r="4559" spans="1:40" x14ac:dyDescent="0.25">
      <c r="A4559" t="str">
        <f>"20190312154927536"</f>
        <v>20190312154927536</v>
      </c>
      <c r="B4559" t="str">
        <f>"1552376967530498"</f>
        <v>1552376967530498</v>
      </c>
      <c r="C4559" t="s">
        <v>40</v>
      </c>
      <c r="D4559">
        <v>4.6125230000000004</v>
      </c>
      <c r="E4559">
        <v>0.47808339999999999</v>
      </c>
      <c r="F4559" t="s">
        <v>42</v>
      </c>
      <c r="G4559">
        <v>-323.47989999999999</v>
      </c>
      <c r="H4559" s="1">
        <v>-3.097677E-6</v>
      </c>
      <c r="I4559">
        <v>140.8125</v>
      </c>
      <c r="J4559">
        <v>-304.6223</v>
      </c>
      <c r="K4559">
        <v>1.1100650000000001</v>
      </c>
      <c r="L4559">
        <v>141.0222</v>
      </c>
      <c r="M4559">
        <v>-0.9998378</v>
      </c>
      <c r="N4559">
        <v>0</v>
      </c>
      <c r="O4559">
        <v>-1.0716410000000001E-2</v>
      </c>
      <c r="P4559">
        <v>-0.99878849999999997</v>
      </c>
      <c r="Q4559">
        <v>-3.3409350000000002E-3</v>
      </c>
      <c r="R4559">
        <v>4.9096000000000001E-2</v>
      </c>
      <c r="S4559">
        <v>-3.0047000000000001</v>
      </c>
      <c r="T4559">
        <v>-0.17483789999999999</v>
      </c>
      <c r="U4559">
        <v>-3.3416750000000002E-2</v>
      </c>
      <c r="V4559">
        <v>5.9793440000000003E-2</v>
      </c>
      <c r="W4559">
        <v>1.113517E-2</v>
      </c>
      <c r="X4559">
        <v>0.9981487</v>
      </c>
      <c r="Y4559">
        <v>-4.2070840000000003E-4</v>
      </c>
      <c r="Z4559">
        <v>6.1083989999999896E-4</v>
      </c>
      <c r="AA4559">
        <v>0.99999970000000005</v>
      </c>
      <c r="AB4559">
        <v>33</v>
      </c>
      <c r="AC4559">
        <v>-18.857599999999898</v>
      </c>
      <c r="AD4559">
        <v>-1.1100680976770001</v>
      </c>
      <c r="AE4559">
        <v>-0.209699999999998</v>
      </c>
      <c r="AF4559">
        <v>-7.5548320657797203E-3</v>
      </c>
      <c r="AG4559">
        <v>-1.1100680976770001</v>
      </c>
      <c r="AH4559">
        <v>18.793648976363599</v>
      </c>
      <c r="AI4559">
        <v>93.380312204081093</v>
      </c>
      <c r="AJ4559">
        <v>90.023032247198302</v>
      </c>
      <c r="AK4559">
        <v>18.8264056607665</v>
      </c>
      <c r="AL4559">
        <v>89.361988593515306</v>
      </c>
      <c r="AM4559">
        <v>86.571830870778101</v>
      </c>
      <c r="AN4559">
        <v>1.0000000373948199</v>
      </c>
    </row>
    <row r="4560" spans="1:40" x14ac:dyDescent="0.25">
      <c r="A4560" t="str">
        <f>"20190312154927556"</f>
        <v>20190312154927556</v>
      </c>
      <c r="B4560" t="str">
        <f>"1552376967550018"</f>
        <v>1552376967550018</v>
      </c>
      <c r="C4560" t="s">
        <v>40</v>
      </c>
      <c r="D4560">
        <v>4.6347339999999999</v>
      </c>
      <c r="E4560">
        <v>0.47794490000000001</v>
      </c>
      <c r="F4560" t="s">
        <v>42</v>
      </c>
      <c r="G4560">
        <v>-325.61070000000001</v>
      </c>
      <c r="H4560" s="1">
        <v>-2.176945E-6</v>
      </c>
      <c r="I4560">
        <v>140.7877</v>
      </c>
      <c r="J4560">
        <v>-304.91789999999997</v>
      </c>
      <c r="K4560">
        <v>1.110066</v>
      </c>
      <c r="L4560">
        <v>141.0189</v>
      </c>
      <c r="M4560">
        <v>-0.99983599999999995</v>
      </c>
      <c r="N4560">
        <v>0</v>
      </c>
      <c r="O4560">
        <v>-1.089327E-2</v>
      </c>
      <c r="P4560">
        <v>-0.99876330000000002</v>
      </c>
      <c r="Q4560">
        <v>-3.2965389999999998E-3</v>
      </c>
      <c r="R4560">
        <v>4.9608659999999999E-2</v>
      </c>
      <c r="S4560">
        <v>-3.004791</v>
      </c>
      <c r="T4560">
        <v>-0.15892229999999999</v>
      </c>
      <c r="U4560">
        <v>-3.3569340000000003E-2</v>
      </c>
      <c r="V4560">
        <v>6.0482349999999997E-2</v>
      </c>
      <c r="W4560">
        <v>1.1176180000000001E-2</v>
      </c>
      <c r="X4560">
        <v>0.99810670000000001</v>
      </c>
      <c r="Y4560">
        <v>-2.9165860000000002E-4</v>
      </c>
      <c r="Z4560">
        <v>5.6805690000000003E-4</v>
      </c>
      <c r="AA4560">
        <v>0.99999979999999999</v>
      </c>
      <c r="AB4560">
        <v>33</v>
      </c>
      <c r="AC4560">
        <v>-20.692799999999998</v>
      </c>
      <c r="AD4560">
        <v>-1.110068176945</v>
      </c>
      <c r="AE4560">
        <v>-0.23120000000000099</v>
      </c>
      <c r="AF4560">
        <v>-5.7339285392450602E-3</v>
      </c>
      <c r="AG4560">
        <v>-1.110068176945</v>
      </c>
      <c r="AH4560">
        <v>20.634715559419799</v>
      </c>
      <c r="AI4560">
        <v>93.079323759882001</v>
      </c>
      <c r="AJ4560">
        <v>90.015921222462495</v>
      </c>
      <c r="AK4560">
        <v>20.664553478204301</v>
      </c>
      <c r="AL4560">
        <v>89.359638725515197</v>
      </c>
      <c r="AM4560">
        <v>86.532283497670406</v>
      </c>
      <c r="AN4560">
        <v>1.0000000031228999</v>
      </c>
    </row>
    <row r="4561" spans="1:40" x14ac:dyDescent="0.25">
      <c r="A4561" t="str">
        <f>"20190312154927577"</f>
        <v>20190312154927577</v>
      </c>
      <c r="B4561" t="str">
        <f>"1552376967570514"</f>
        <v>1552376967570514</v>
      </c>
      <c r="C4561" t="s">
        <v>40</v>
      </c>
      <c r="D4561">
        <v>4.6700059999999999</v>
      </c>
      <c r="E4561">
        <v>0.47758729999999999</v>
      </c>
      <c r="F4561" t="s">
        <v>42</v>
      </c>
      <c r="G4561">
        <v>-327.66809999999998</v>
      </c>
      <c r="H4561" s="1">
        <v>-1.2900659999999899E-6</v>
      </c>
      <c r="I4561">
        <v>140.77160000000001</v>
      </c>
      <c r="J4561">
        <v>-305.23090000000002</v>
      </c>
      <c r="K4561">
        <v>1.1100669999999999</v>
      </c>
      <c r="L4561">
        <v>141.01519999999999</v>
      </c>
      <c r="M4561">
        <v>-0.99983390000000005</v>
      </c>
      <c r="N4561">
        <v>0</v>
      </c>
      <c r="O4561">
        <v>-1.1080619999999999E-2</v>
      </c>
      <c r="P4561">
        <v>-0.99874680000000005</v>
      </c>
      <c r="Q4561">
        <v>-3.770284E-3</v>
      </c>
      <c r="R4561">
        <v>4.990911E-2</v>
      </c>
      <c r="S4561">
        <v>-3.004883</v>
      </c>
      <c r="T4561">
        <v>-0.14661969999999999</v>
      </c>
      <c r="U4561">
        <v>-3.2653809999999998E-2</v>
      </c>
      <c r="V4561">
        <v>6.0969910000000002E-2</v>
      </c>
      <c r="W4561">
        <v>1.0698890000000001E-2</v>
      </c>
      <c r="X4561">
        <v>0.99808229999999998</v>
      </c>
      <c r="Y4561">
        <v>2.02098E-4</v>
      </c>
      <c r="Z4561">
        <v>5.4529610000000005E-4</v>
      </c>
      <c r="AA4561">
        <v>0.99999979999999999</v>
      </c>
      <c r="AB4561">
        <v>33</v>
      </c>
      <c r="AC4561">
        <v>-22.437199999999901</v>
      </c>
      <c r="AD4561">
        <v>-1.1100682900659999</v>
      </c>
      <c r="AE4561">
        <v>-0.24359999999998599</v>
      </c>
      <c r="AF4561">
        <v>5.0467271889381099E-3</v>
      </c>
      <c r="AG4561">
        <v>-1.1100682900659999</v>
      </c>
      <c r="AH4561">
        <v>22.383739058528398</v>
      </c>
      <c r="AI4561">
        <v>92.839121798198093</v>
      </c>
      <c r="AJ4561">
        <v>89.987081864981306</v>
      </c>
      <c r="AK4561">
        <v>22.411248321286301</v>
      </c>
      <c r="AL4561">
        <v>89.386987084868693</v>
      </c>
      <c r="AM4561">
        <v>86.504313353993794</v>
      </c>
      <c r="AN4561">
        <v>1.00000003687296</v>
      </c>
    </row>
    <row r="4562" spans="1:40" x14ac:dyDescent="0.25">
      <c r="A4562" t="str">
        <f>"20190312154927599"</f>
        <v>20190312154927599</v>
      </c>
      <c r="B4562" t="str">
        <f>"1552376967590034"</f>
        <v>1552376967590034</v>
      </c>
      <c r="C4562" t="s">
        <v>40</v>
      </c>
      <c r="D4562">
        <v>4.597162</v>
      </c>
      <c r="E4562">
        <v>0.47734789999999999</v>
      </c>
      <c r="F4562" t="s">
        <v>42</v>
      </c>
      <c r="G4562">
        <v>-328.9973</v>
      </c>
      <c r="H4562" s="1">
        <v>-7.1235949999999999E-7</v>
      </c>
      <c r="I4562">
        <v>140.74340000000001</v>
      </c>
      <c r="J4562">
        <v>-305.54629999999997</v>
      </c>
      <c r="K4562">
        <v>1.110063</v>
      </c>
      <c r="L4562">
        <v>141.01159999999999</v>
      </c>
      <c r="M4562">
        <v>-0.9998319</v>
      </c>
      <c r="N4562">
        <v>0</v>
      </c>
      <c r="O4562">
        <v>-1.1269400000000001E-2</v>
      </c>
      <c r="P4562">
        <v>-0.99872850000000002</v>
      </c>
      <c r="Q4562">
        <v>-3.6892650000000002E-3</v>
      </c>
      <c r="R4562">
        <v>5.028117E-2</v>
      </c>
      <c r="S4562">
        <v>-3.0049440000000001</v>
      </c>
      <c r="T4562">
        <v>-0.1403536</v>
      </c>
      <c r="U4562">
        <v>-3.4362789999999997E-2</v>
      </c>
      <c r="V4562">
        <v>6.1530170000000002E-2</v>
      </c>
      <c r="W4562">
        <v>1.077614E-2</v>
      </c>
      <c r="X4562">
        <v>0.99804709999999996</v>
      </c>
      <c r="Y4562">
        <v>-1.761945E-4</v>
      </c>
      <c r="Z4562">
        <v>5.2198809999999996E-4</v>
      </c>
      <c r="AA4562">
        <v>0.99999979999999999</v>
      </c>
      <c r="AB4562">
        <v>33</v>
      </c>
      <c r="AC4562">
        <v>-23.451000000000001</v>
      </c>
      <c r="AD4562">
        <v>-1.1100637123594901</v>
      </c>
      <c r="AE4562">
        <v>-0.26819999999997801</v>
      </c>
      <c r="AF4562">
        <v>-3.86795605877282E-3</v>
      </c>
      <c r="AG4562">
        <v>-1.1100637123594901</v>
      </c>
      <c r="AH4562">
        <v>23.4001087963664</v>
      </c>
      <c r="AI4562">
        <v>92.715983917841001</v>
      </c>
      <c r="AJ4562">
        <v>90.009470791671006</v>
      </c>
      <c r="AK4562">
        <v>23.4264241421597</v>
      </c>
      <c r="AL4562">
        <v>89.382560739251801</v>
      </c>
      <c r="AM4562">
        <v>86.472147707501804</v>
      </c>
      <c r="AN4562">
        <v>1.0000000504159601</v>
      </c>
    </row>
    <row r="4563" spans="1:40" x14ac:dyDescent="0.25">
      <c r="A4563" t="str">
        <f>"20190312154927621"</f>
        <v>20190312154927621</v>
      </c>
      <c r="B4563" t="str">
        <f>"1552376967610530"</f>
        <v>1552376967610530</v>
      </c>
      <c r="C4563" t="s">
        <v>40</v>
      </c>
      <c r="D4563">
        <v>4.6678709999999999</v>
      </c>
      <c r="E4563">
        <v>0.4770781</v>
      </c>
      <c r="F4563" t="s">
        <v>42</v>
      </c>
      <c r="G4563">
        <v>-331.0068</v>
      </c>
      <c r="H4563" s="1">
        <v>-4.5198990000000003E-6</v>
      </c>
      <c r="I4563">
        <v>140.71690000000001</v>
      </c>
      <c r="J4563">
        <v>-305.86779999999999</v>
      </c>
      <c r="K4563">
        <v>1.1100650000000001</v>
      </c>
      <c r="L4563">
        <v>141.0077</v>
      </c>
      <c r="M4563">
        <v>-0.99982959999999999</v>
      </c>
      <c r="N4563">
        <v>0</v>
      </c>
      <c r="O4563">
        <v>-1.14602E-2</v>
      </c>
      <c r="P4563">
        <v>-0.99871100000000002</v>
      </c>
      <c r="Q4563">
        <v>-3.7294680000000001E-3</v>
      </c>
      <c r="R4563">
        <v>5.0621670000000001E-2</v>
      </c>
      <c r="S4563">
        <v>-3.005096</v>
      </c>
      <c r="T4563">
        <v>-0.1310211</v>
      </c>
      <c r="U4563">
        <v>-3.4774779999999998E-2</v>
      </c>
      <c r="V4563">
        <v>6.206093E-2</v>
      </c>
      <c r="W4563">
        <v>1.073227E-2</v>
      </c>
      <c r="X4563">
        <v>0.99801470000000003</v>
      </c>
      <c r="Y4563">
        <v>-1.205439E-4</v>
      </c>
      <c r="Z4563">
        <v>4.9681589999999896E-4</v>
      </c>
      <c r="AA4563">
        <v>0.99999990000000005</v>
      </c>
      <c r="AB4563">
        <v>33</v>
      </c>
      <c r="AC4563">
        <v>-25.138999999999999</v>
      </c>
      <c r="AD4563">
        <v>-1.1100695198989901</v>
      </c>
      <c r="AE4563">
        <v>-0.29079999999999001</v>
      </c>
      <c r="AF4563">
        <v>-2.6475959226584999E-3</v>
      </c>
      <c r="AG4563">
        <v>-1.1100695198989901</v>
      </c>
      <c r="AH4563">
        <v>25.091762761595099</v>
      </c>
      <c r="AI4563">
        <v>92.533136191326804</v>
      </c>
      <c r="AJ4563">
        <v>90.006045652236594</v>
      </c>
      <c r="AK4563">
        <v>25.116305855617799</v>
      </c>
      <c r="AL4563">
        <v>89.3850744445663</v>
      </c>
      <c r="AM4563">
        <v>86.441679041826006</v>
      </c>
      <c r="AN4563">
        <v>1.00000004103395</v>
      </c>
    </row>
    <row r="4564" spans="1:40" x14ac:dyDescent="0.25">
      <c r="A4564" t="str">
        <f>"20190312154927635"</f>
        <v>20190312154927635</v>
      </c>
      <c r="B4564" t="str">
        <f>"1552376967630050"</f>
        <v>1552376967630050</v>
      </c>
      <c r="C4564" t="s">
        <v>40</v>
      </c>
      <c r="D4564">
        <v>4.6832019999999996</v>
      </c>
      <c r="E4564">
        <v>0.47676269999999998</v>
      </c>
      <c r="F4564" t="s">
        <v>42</v>
      </c>
      <c r="G4564">
        <v>-333.23379999999997</v>
      </c>
      <c r="H4564" s="1">
        <v>-3.4631130000000001E-6</v>
      </c>
      <c r="I4564">
        <v>140.68450000000001</v>
      </c>
      <c r="J4564">
        <v>-306.08330000000001</v>
      </c>
      <c r="K4564">
        <v>1.1100650000000001</v>
      </c>
      <c r="L4564">
        <v>141.0051</v>
      </c>
      <c r="M4564">
        <v>-0.99982839999999995</v>
      </c>
      <c r="N4564">
        <v>0</v>
      </c>
      <c r="O4564">
        <v>-1.1586630000000001E-2</v>
      </c>
      <c r="P4564">
        <v>-0.99870570000000003</v>
      </c>
      <c r="Q4564">
        <v>-3.9527420000000004E-3</v>
      </c>
      <c r="R4564">
        <v>5.0710230000000002E-2</v>
      </c>
      <c r="S4564">
        <v>-3.0052189999999999</v>
      </c>
      <c r="T4564">
        <v>-0.1219027</v>
      </c>
      <c r="U4564">
        <v>-3.549194E-2</v>
      </c>
      <c r="V4564">
        <v>6.2275759999999999E-2</v>
      </c>
      <c r="W4564">
        <v>1.050626E-2</v>
      </c>
      <c r="X4564">
        <v>0.99800370000000005</v>
      </c>
      <c r="Y4564">
        <v>-2.3079719999999999E-4</v>
      </c>
      <c r="Z4564">
        <v>4.6514080000000001E-4</v>
      </c>
      <c r="AA4564">
        <v>0.99999990000000005</v>
      </c>
      <c r="AB4564">
        <v>33</v>
      </c>
      <c r="AC4564">
        <v>-27.150499999999901</v>
      </c>
      <c r="AD4564">
        <v>-1.11006846311299</v>
      </c>
      <c r="AE4564">
        <v>-0.32059999999998401</v>
      </c>
      <c r="AF4564">
        <v>-5.9528604565624596E-3</v>
      </c>
      <c r="AG4564">
        <v>-1.11006846311299</v>
      </c>
      <c r="AH4564">
        <v>27.107085056240201</v>
      </c>
      <c r="AI4564">
        <v>92.3450222794703</v>
      </c>
      <c r="AJ4564">
        <v>90.012582458571302</v>
      </c>
      <c r="AK4564">
        <v>27.129805522258799</v>
      </c>
      <c r="AL4564">
        <v>89.398024579830604</v>
      </c>
      <c r="AM4564">
        <v>86.429354122769794</v>
      </c>
      <c r="AN4564">
        <v>1.0000000184982201</v>
      </c>
    </row>
    <row r="4565" spans="1:40" x14ac:dyDescent="0.25">
      <c r="A4565" t="str">
        <f>"20190312154927655"</f>
        <v>20190312154927655</v>
      </c>
      <c r="B4565" t="str">
        <f>"1552376967650547"</f>
        <v>1552376967650547</v>
      </c>
      <c r="C4565" t="s">
        <v>40</v>
      </c>
      <c r="D4565">
        <v>4.7112230000000004</v>
      </c>
      <c r="E4565">
        <v>0.47648469999999998</v>
      </c>
      <c r="F4565" t="s">
        <v>42</v>
      </c>
      <c r="G4565">
        <v>-335.25510000000003</v>
      </c>
      <c r="H4565" s="1">
        <v>-2.4964290000000001E-6</v>
      </c>
      <c r="I4565">
        <v>140.64240000000001</v>
      </c>
      <c r="J4565">
        <v>-306.36509999999998</v>
      </c>
      <c r="K4565">
        <v>1.110055</v>
      </c>
      <c r="L4565">
        <v>141.0017</v>
      </c>
      <c r="M4565">
        <v>-0.9998264</v>
      </c>
      <c r="N4565">
        <v>0</v>
      </c>
      <c r="O4565">
        <v>-1.1749030000000001E-2</v>
      </c>
      <c r="P4565">
        <v>-0.99868849999999998</v>
      </c>
      <c r="Q4565">
        <v>-4.280547E-3</v>
      </c>
      <c r="R4565">
        <v>5.1021410000000003E-2</v>
      </c>
      <c r="S4565">
        <v>-3.005341</v>
      </c>
      <c r="T4565">
        <v>-0.1143615</v>
      </c>
      <c r="U4565">
        <v>-3.7368770000000003E-2</v>
      </c>
      <c r="V4565">
        <v>6.2749109999999997E-2</v>
      </c>
      <c r="W4565">
        <v>1.0174880000000001E-2</v>
      </c>
      <c r="X4565">
        <v>0.99797740000000001</v>
      </c>
      <c r="Y4565">
        <v>-6.9095249999999995E-4</v>
      </c>
      <c r="Z4565">
        <v>4.3379399999999999E-4</v>
      </c>
      <c r="AA4565">
        <v>0.99999959999999999</v>
      </c>
      <c r="AB4565">
        <v>32</v>
      </c>
      <c r="AC4565">
        <v>-28.89</v>
      </c>
      <c r="AD4565">
        <v>-1.110057496429</v>
      </c>
      <c r="AE4565">
        <v>-0.35929999999999002</v>
      </c>
      <c r="AF4565">
        <v>-1.9781020752499101E-2</v>
      </c>
      <c r="AG4565">
        <v>-1.110057496429</v>
      </c>
      <c r="AH4565">
        <v>28.849641176730401</v>
      </c>
      <c r="AI4565">
        <v>92.203501755156495</v>
      </c>
      <c r="AJ4565">
        <v>90.039285369929701</v>
      </c>
      <c r="AK4565">
        <v>28.8709960853494</v>
      </c>
      <c r="AL4565">
        <v>89.417012221451103</v>
      </c>
      <c r="AM4565">
        <v>86.402190557512199</v>
      </c>
      <c r="AN4565">
        <v>0.99999993494978101</v>
      </c>
    </row>
    <row r="4566" spans="1:40" x14ac:dyDescent="0.25">
      <c r="A4566" t="str">
        <f>"20190312154927671"</f>
        <v>20190312154927671</v>
      </c>
      <c r="B4566" t="str">
        <f>"1552376967660306"</f>
        <v>1552376967660306</v>
      </c>
      <c r="C4566" t="s">
        <v>40</v>
      </c>
      <c r="D4566">
        <v>4.7031919999999996</v>
      </c>
      <c r="E4566">
        <v>0.47633140000000002</v>
      </c>
      <c r="F4566" t="s">
        <v>42</v>
      </c>
      <c r="G4566">
        <v>-335.99130000000002</v>
      </c>
      <c r="H4566" s="1">
        <v>-2.1430399999999999E-6</v>
      </c>
      <c r="I4566">
        <v>140.62219999999999</v>
      </c>
      <c r="J4566">
        <v>-306.5754</v>
      </c>
      <c r="K4566">
        <v>1.110052</v>
      </c>
      <c r="L4566">
        <v>140.9991</v>
      </c>
      <c r="M4566">
        <v>-0.99982519999999997</v>
      </c>
      <c r="N4566">
        <v>0</v>
      </c>
      <c r="O4566">
        <v>-1.1868180000000001E-2</v>
      </c>
      <c r="P4566">
        <v>-0.99868970000000001</v>
      </c>
      <c r="Q4566">
        <v>-4.4507660000000001E-3</v>
      </c>
      <c r="R4566">
        <v>5.098652E-2</v>
      </c>
      <c r="S4566">
        <v>-3.0054319999999999</v>
      </c>
      <c r="T4566">
        <v>-0.1126095</v>
      </c>
      <c r="U4566">
        <v>-3.8497919999999998E-2</v>
      </c>
      <c r="V4566">
        <v>6.2833200000000006E-2</v>
      </c>
      <c r="W4566">
        <v>1.0002270000000001E-2</v>
      </c>
      <c r="X4566">
        <v>0.99797389999999997</v>
      </c>
      <c r="Y4566">
        <v>-9.4671519999999995E-4</v>
      </c>
      <c r="Z4566">
        <v>4.2681149999999998E-4</v>
      </c>
      <c r="AA4566">
        <v>0.99999950000000004</v>
      </c>
      <c r="AB4566">
        <v>32</v>
      </c>
      <c r="AC4566">
        <v>-29.415900000000001</v>
      </c>
      <c r="AD4566">
        <v>-1.1100541430399999</v>
      </c>
      <c r="AE4566">
        <v>-0.37690000000000601</v>
      </c>
      <c r="AF4566">
        <v>-2.76843977802806E-2</v>
      </c>
      <c r="AG4566">
        <v>-1.1100541430399999</v>
      </c>
      <c r="AH4566">
        <v>29.376474822038301</v>
      </c>
      <c r="AI4566">
        <v>92.164015389129901</v>
      </c>
      <c r="AJ4566">
        <v>90.053995542051993</v>
      </c>
      <c r="AK4566">
        <v>29.3974532841913</v>
      </c>
      <c r="AL4566">
        <v>89.426902576188297</v>
      </c>
      <c r="AM4566">
        <v>86.397369225736895</v>
      </c>
      <c r="AN4566">
        <v>0.99999998075430097</v>
      </c>
    </row>
    <row r="4567" spans="1:40" x14ac:dyDescent="0.25">
      <c r="A4567" t="str">
        <f>"20190312154927689"</f>
        <v>20190312154927689</v>
      </c>
      <c r="B4567" t="str">
        <f>"1552376967680803"</f>
        <v>1552376967680803</v>
      </c>
      <c r="C4567" t="s">
        <v>40</v>
      </c>
      <c r="D4567">
        <v>4.6958330000000004</v>
      </c>
      <c r="E4567">
        <v>0.47607939999999999</v>
      </c>
      <c r="F4567" t="s">
        <v>42</v>
      </c>
      <c r="G4567">
        <v>-336.2944</v>
      </c>
      <c r="H4567" s="1">
        <v>-1.9953600000000002E-6</v>
      </c>
      <c r="I4567">
        <v>140.60560000000001</v>
      </c>
      <c r="J4567">
        <v>-306.8501</v>
      </c>
      <c r="K4567">
        <v>1.1100509999999999</v>
      </c>
      <c r="L4567">
        <v>140.9957</v>
      </c>
      <c r="M4567">
        <v>-0.99982340000000003</v>
      </c>
      <c r="N4567">
        <v>0</v>
      </c>
      <c r="O4567">
        <v>-1.202019E-2</v>
      </c>
      <c r="P4567">
        <v>-0.99867620000000001</v>
      </c>
      <c r="Q4567">
        <v>-4.4173110000000002E-3</v>
      </c>
      <c r="R4567">
        <v>5.1248299999999997E-2</v>
      </c>
      <c r="S4567">
        <v>-3.0054319999999999</v>
      </c>
      <c r="T4567">
        <v>-0.112258</v>
      </c>
      <c r="U4567">
        <v>-3.9794919999999998E-2</v>
      </c>
      <c r="V4567">
        <v>6.3246520000000001E-2</v>
      </c>
      <c r="W4567">
        <v>1.003136E-2</v>
      </c>
      <c r="X4567">
        <v>0.99794749999999999</v>
      </c>
      <c r="Y4567">
        <v>-1.2260179999999999E-3</v>
      </c>
      <c r="Z4567">
        <v>4.2593999999999998E-4</v>
      </c>
      <c r="AA4567">
        <v>0.99999919999999998</v>
      </c>
      <c r="AB4567">
        <v>32</v>
      </c>
      <c r="AC4567">
        <v>-29.444299999999998</v>
      </c>
      <c r="AD4567">
        <v>-1.11005299536</v>
      </c>
      <c r="AE4567">
        <v>-0.39009999999998901</v>
      </c>
      <c r="AF4567">
        <v>-3.6057556264209797E-2</v>
      </c>
      <c r="AG4567">
        <v>-1.11005299536</v>
      </c>
      <c r="AH4567">
        <v>29.405075892320699</v>
      </c>
      <c r="AI4567">
        <v>92.161909643568293</v>
      </c>
      <c r="AJ4567">
        <v>90.070258099845404</v>
      </c>
      <c r="AK4567">
        <v>29.426042989722699</v>
      </c>
      <c r="AL4567">
        <v>89.425235758801804</v>
      </c>
      <c r="AM4567">
        <v>86.3736382905239</v>
      </c>
      <c r="AN4567">
        <v>0.99999998161590398</v>
      </c>
    </row>
    <row r="4568" spans="1:40" x14ac:dyDescent="0.25">
      <c r="A4568" t="str">
        <f>"20190312154927712"</f>
        <v>20190312154927712</v>
      </c>
      <c r="B4568" t="str">
        <f>"1552376967700322"</f>
        <v>1552376967700322</v>
      </c>
      <c r="C4568" t="s">
        <v>40</v>
      </c>
      <c r="D4568">
        <v>4.6959140000000001</v>
      </c>
      <c r="E4568">
        <v>0.47576239999999997</v>
      </c>
      <c r="F4568" t="s">
        <v>42</v>
      </c>
      <c r="G4568">
        <v>-337.26139999999998</v>
      </c>
      <c r="H4568" s="1">
        <v>-1.531798E-6</v>
      </c>
      <c r="I4568">
        <v>140.5813</v>
      </c>
      <c r="J4568">
        <v>-307.17250000000001</v>
      </c>
      <c r="K4568">
        <v>1.110044</v>
      </c>
      <c r="L4568">
        <v>140.99160000000001</v>
      </c>
      <c r="M4568">
        <v>-0.99982119999999997</v>
      </c>
      <c r="N4568">
        <v>0</v>
      </c>
      <c r="O4568">
        <v>-1.219231E-2</v>
      </c>
      <c r="P4568">
        <v>-0.99866410000000005</v>
      </c>
      <c r="Q4568">
        <v>-4.6162850000000004E-3</v>
      </c>
      <c r="R4568">
        <v>5.1467110000000003E-2</v>
      </c>
      <c r="S4568">
        <v>-3.005585</v>
      </c>
      <c r="T4568">
        <v>-0.10970779999999999</v>
      </c>
      <c r="U4568">
        <v>-4.0954589999999999E-2</v>
      </c>
      <c r="V4568">
        <v>6.363742E-2</v>
      </c>
      <c r="W4568">
        <v>9.8282349999999994E-3</v>
      </c>
      <c r="X4568">
        <v>0.9979247</v>
      </c>
      <c r="Y4568">
        <v>-1.4385909999999999E-3</v>
      </c>
      <c r="Z4568">
        <v>4.186506E-4</v>
      </c>
      <c r="AA4568">
        <v>0.99999890000000002</v>
      </c>
      <c r="AB4568">
        <v>32</v>
      </c>
      <c r="AC4568">
        <v>-30.088899999999899</v>
      </c>
      <c r="AD4568">
        <v>-1.110045531798</v>
      </c>
      <c r="AE4568">
        <v>-0.41030000000000599</v>
      </c>
      <c r="AF4568">
        <v>-4.3319025701273203E-2</v>
      </c>
      <c r="AG4568">
        <v>-1.110045531798</v>
      </c>
      <c r="AH4568">
        <v>30.050773563298002</v>
      </c>
      <c r="AI4568">
        <v>92.115484780158397</v>
      </c>
      <c r="AJ4568">
        <v>90.082593402159006</v>
      </c>
      <c r="AK4568">
        <v>30.071299761953401</v>
      </c>
      <c r="AL4568">
        <v>89.436874554691698</v>
      </c>
      <c r="AM4568">
        <v>86.351202505138104</v>
      </c>
      <c r="AN4568">
        <v>1.0000000111487799</v>
      </c>
    </row>
    <row r="4569" spans="1:40" x14ac:dyDescent="0.25">
      <c r="A4569" t="str">
        <f>"20190312154927734"</f>
        <v>20190312154927734</v>
      </c>
      <c r="B4569" t="str">
        <f>"1552376967730579"</f>
        <v>1552376967730579</v>
      </c>
      <c r="C4569" t="s">
        <v>40</v>
      </c>
      <c r="D4569">
        <v>4.7660039999999997</v>
      </c>
      <c r="E4569">
        <v>0.47537430000000003</v>
      </c>
      <c r="F4569" t="s">
        <v>42</v>
      </c>
      <c r="G4569">
        <v>-337.3768</v>
      </c>
      <c r="H4569" s="1">
        <v>-1.4719400000000001E-6</v>
      </c>
      <c r="I4569">
        <v>140.56139999999999</v>
      </c>
      <c r="J4569">
        <v>-307.50189999999998</v>
      </c>
      <c r="K4569">
        <v>1.110039</v>
      </c>
      <c r="L4569">
        <v>140.98740000000001</v>
      </c>
      <c r="M4569">
        <v>-0.99981929999999997</v>
      </c>
      <c r="N4569">
        <v>0</v>
      </c>
      <c r="O4569">
        <v>-1.236145E-2</v>
      </c>
      <c r="P4569">
        <v>-0.99865559999999998</v>
      </c>
      <c r="Q4569">
        <v>-5.3433789999999997E-3</v>
      </c>
      <c r="R4569">
        <v>5.1562429999999999E-2</v>
      </c>
      <c r="S4569">
        <v>-3.0057070000000001</v>
      </c>
      <c r="T4569">
        <v>-0.1104637</v>
      </c>
      <c r="U4569">
        <v>-4.2816159999999999E-2</v>
      </c>
      <c r="V4569">
        <v>6.3901659999999999E-2</v>
      </c>
      <c r="W4569">
        <v>9.0968000000000004E-3</v>
      </c>
      <c r="X4569">
        <v>0.99791470000000004</v>
      </c>
      <c r="Y4569">
        <v>-1.888008E-3</v>
      </c>
      <c r="Z4569">
        <v>4.1947229999999999E-4</v>
      </c>
      <c r="AA4569">
        <v>0.99999819999999995</v>
      </c>
      <c r="AB4569">
        <v>32</v>
      </c>
      <c r="AC4569">
        <v>-29.8749</v>
      </c>
      <c r="AD4569">
        <v>-1.1100404719399899</v>
      </c>
      <c r="AE4569">
        <v>-0.42600000000001598</v>
      </c>
      <c r="AF4569">
        <v>-5.6553783413305601E-2</v>
      </c>
      <c r="AG4569">
        <v>-1.1100404719399899</v>
      </c>
      <c r="AH4569">
        <v>29.836699566403102</v>
      </c>
      <c r="AI4569">
        <v>92.130637822401496</v>
      </c>
      <c r="AJ4569">
        <v>90.108600792705005</v>
      </c>
      <c r="AK4569">
        <v>29.8573948829358</v>
      </c>
      <c r="AL4569">
        <v>89.478784543949004</v>
      </c>
      <c r="AM4569">
        <v>86.3360562677031</v>
      </c>
      <c r="AN4569">
        <v>0.99999996119854195</v>
      </c>
    </row>
    <row r="4570" spans="1:40" x14ac:dyDescent="0.25">
      <c r="A4570" t="str">
        <f>"20190312154927757"</f>
        <v>20190312154927757</v>
      </c>
      <c r="B4570" t="str">
        <f>"1552376967750098"</f>
        <v>1552376967750098</v>
      </c>
      <c r="C4570" t="s">
        <v>40</v>
      </c>
      <c r="D4570">
        <v>4.7876250000000002</v>
      </c>
      <c r="E4570">
        <v>0.4751184</v>
      </c>
      <c r="F4570" t="s">
        <v>42</v>
      </c>
      <c r="G4570">
        <v>-337.6567</v>
      </c>
      <c r="H4570" s="1">
        <v>-1.331014E-6</v>
      </c>
      <c r="I4570">
        <v>140.5291</v>
      </c>
      <c r="J4570">
        <v>-307.83019999999999</v>
      </c>
      <c r="K4570">
        <v>1.1100319999999999</v>
      </c>
      <c r="L4570">
        <v>140.98320000000001</v>
      </c>
      <c r="M4570">
        <v>-0.99981730000000002</v>
      </c>
      <c r="N4570">
        <v>0</v>
      </c>
      <c r="O4570">
        <v>-1.252296E-2</v>
      </c>
      <c r="P4570">
        <v>-0.99864600000000003</v>
      </c>
      <c r="Q4570">
        <v>-6.0824319999999996E-3</v>
      </c>
      <c r="R4570">
        <v>5.166722E-2</v>
      </c>
      <c r="S4570">
        <v>-3.005798</v>
      </c>
      <c r="T4570">
        <v>-0.1106476</v>
      </c>
      <c r="U4570">
        <v>-4.5684809999999999E-2</v>
      </c>
      <c r="V4570">
        <v>6.4167970000000005E-2</v>
      </c>
      <c r="W4570">
        <v>8.3534379999999995E-3</v>
      </c>
      <c r="X4570">
        <v>0.99790409999999996</v>
      </c>
      <c r="Y4570">
        <v>-2.6797959999999999E-3</v>
      </c>
      <c r="Z4570">
        <v>4.115287E-4</v>
      </c>
      <c r="AA4570">
        <v>0.99999629999999995</v>
      </c>
      <c r="AB4570">
        <v>32</v>
      </c>
      <c r="AC4570">
        <v>-29.826499999999999</v>
      </c>
      <c r="AD4570">
        <v>-1.11003333101399</v>
      </c>
      <c r="AE4570">
        <v>-0.45410000000001099</v>
      </c>
      <c r="AF4570">
        <v>-8.0398034718155695E-2</v>
      </c>
      <c r="AG4570">
        <v>-1.11003333101399</v>
      </c>
      <c r="AH4570">
        <v>29.788598599037201</v>
      </c>
      <c r="AI4570">
        <v>92.134057427671095</v>
      </c>
      <c r="AJ4570">
        <v>90.154638254303507</v>
      </c>
      <c r="AK4570">
        <v>29.8093818173828</v>
      </c>
      <c r="AL4570">
        <v>89.521377668024996</v>
      </c>
      <c r="AM4570">
        <v>86.320789671504201</v>
      </c>
      <c r="AN4570">
        <v>0.99999995054857405</v>
      </c>
    </row>
    <row r="4571" spans="1:40" x14ac:dyDescent="0.25">
      <c r="A4571" t="str">
        <f>"20190312154927780"</f>
        <v>20190312154927780</v>
      </c>
      <c r="B4571" t="str">
        <f>"1552376967770594"</f>
        <v>1552376967770594</v>
      </c>
      <c r="C4571" t="s">
        <v>40</v>
      </c>
      <c r="D4571">
        <v>4.8013059999999896</v>
      </c>
      <c r="E4571">
        <v>0.47491030000000001</v>
      </c>
      <c r="F4571" t="s">
        <v>42</v>
      </c>
      <c r="G4571">
        <v>-337.68389999999999</v>
      </c>
      <c r="H4571" s="1">
        <v>-1.3137269999999999E-6</v>
      </c>
      <c r="I4571">
        <v>140.51230000000001</v>
      </c>
      <c r="J4571">
        <v>-308.14909999999998</v>
      </c>
      <c r="K4571">
        <v>1.110023</v>
      </c>
      <c r="L4571">
        <v>140.97899999999899</v>
      </c>
      <c r="M4571">
        <v>-0.99981549999999997</v>
      </c>
      <c r="N4571">
        <v>0</v>
      </c>
      <c r="O4571">
        <v>-1.267219E-2</v>
      </c>
      <c r="P4571">
        <v>-0.99863579999999996</v>
      </c>
      <c r="Q4571">
        <v>-6.9351069999999898E-3</v>
      </c>
      <c r="R4571">
        <v>5.175656E-2</v>
      </c>
      <c r="S4571">
        <v>-3.005798</v>
      </c>
      <c r="T4571">
        <v>-0.111763</v>
      </c>
      <c r="U4571">
        <v>-4.7409060000000003E-2</v>
      </c>
      <c r="V4571">
        <v>6.4406459999999999E-2</v>
      </c>
      <c r="W4571">
        <v>7.495636E-3</v>
      </c>
      <c r="X4571">
        <v>0.99789559999999999</v>
      </c>
      <c r="Y4571">
        <v>-3.1039800000000001E-3</v>
      </c>
      <c r="Z4571">
        <v>4.1333599999999999E-4</v>
      </c>
      <c r="AA4571">
        <v>0.99999510000000003</v>
      </c>
      <c r="AB4571">
        <v>32</v>
      </c>
      <c r="AC4571">
        <v>-29.534800000000001</v>
      </c>
      <c r="AD4571">
        <v>-1.1100243137270001</v>
      </c>
      <c r="AE4571">
        <v>-0.46669999999997402</v>
      </c>
      <c r="AF4571">
        <v>-9.2222684901377597E-2</v>
      </c>
      <c r="AG4571">
        <v>-1.1100243137270001</v>
      </c>
      <c r="AH4571">
        <v>29.496688241080498</v>
      </c>
      <c r="AI4571">
        <v>92.1551368753438</v>
      </c>
      <c r="AJ4571">
        <v>90.179137174984007</v>
      </c>
      <c r="AK4571">
        <v>29.517711228890601</v>
      </c>
      <c r="AL4571">
        <v>89.570527671856198</v>
      </c>
      <c r="AM4571">
        <v>86.307121728095595</v>
      </c>
      <c r="AN4571">
        <v>1.0000000025740601</v>
      </c>
    </row>
    <row r="4572" spans="1:40" x14ac:dyDescent="0.25">
      <c r="A4572" t="str">
        <f>"20190312154927799"</f>
        <v>20190312154927799</v>
      </c>
      <c r="B4572" t="str">
        <f>"1552376967790115"</f>
        <v>1552376967790115</v>
      </c>
      <c r="C4572" t="s">
        <v>40</v>
      </c>
      <c r="D4572">
        <v>4.8319640000000001</v>
      </c>
      <c r="E4572">
        <v>0.47475790000000001</v>
      </c>
      <c r="F4572" t="s">
        <v>42</v>
      </c>
      <c r="G4572">
        <v>-337.57929999999999</v>
      </c>
      <c r="H4572" s="1">
        <v>-1.3600910000000001E-6</v>
      </c>
      <c r="I4572">
        <v>140.5008</v>
      </c>
      <c r="J4572">
        <v>-308.44110000000001</v>
      </c>
      <c r="K4572">
        <v>1.11002</v>
      </c>
      <c r="L4572">
        <v>140.9752</v>
      </c>
      <c r="M4572">
        <v>-0.99981390000000003</v>
      </c>
      <c r="N4572">
        <v>0</v>
      </c>
      <c r="O4572">
        <v>-1.280236E-2</v>
      </c>
      <c r="P4572">
        <v>-0.99865110000000001</v>
      </c>
      <c r="Q4572">
        <v>-7.133609E-3</v>
      </c>
      <c r="R4572">
        <v>5.1430099999999902E-2</v>
      </c>
      <c r="S4572">
        <v>-3.0058289999999999</v>
      </c>
      <c r="T4572">
        <v>-0.1133715</v>
      </c>
      <c r="U4572">
        <v>-4.8843379999999999E-2</v>
      </c>
      <c r="V4572">
        <v>6.4210249999999996E-2</v>
      </c>
      <c r="W4572">
        <v>7.2939399999999996E-3</v>
      </c>
      <c r="X4572">
        <v>0.99790970000000001</v>
      </c>
      <c r="Y4572">
        <v>-3.4507219999999998E-3</v>
      </c>
      <c r="Z4572">
        <v>4.1764539999999999E-4</v>
      </c>
      <c r="AA4572">
        <v>0.99999400000000005</v>
      </c>
      <c r="AB4572">
        <v>32</v>
      </c>
      <c r="AC4572">
        <v>-29.138199999999902</v>
      </c>
      <c r="AD4572">
        <v>-1.1100213600910001</v>
      </c>
      <c r="AE4572">
        <v>-0.47440000000000199</v>
      </c>
      <c r="AF4572">
        <v>-0.10113779991973</v>
      </c>
      <c r="AG4572">
        <v>-1.1100213600910001</v>
      </c>
      <c r="AH4572">
        <v>29.099666381738501</v>
      </c>
      <c r="AI4572">
        <v>92.184503909757296</v>
      </c>
      <c r="AJ4572">
        <v>90.199134439413996</v>
      </c>
      <c r="AK4572">
        <v>29.121005473762601</v>
      </c>
      <c r="AL4572">
        <v>89.582084301065507</v>
      </c>
      <c r="AM4572">
        <v>86.318392724296899</v>
      </c>
      <c r="AN4572">
        <v>0.99999996355993703</v>
      </c>
    </row>
    <row r="4573" spans="1:40" x14ac:dyDescent="0.25">
      <c r="A4573" t="str">
        <f>"20190312154927815"</f>
        <v>20190312154927815</v>
      </c>
      <c r="B4573" t="str">
        <f>"1552376967810610"</f>
        <v>1552376967810610</v>
      </c>
      <c r="C4573" t="s">
        <v>40</v>
      </c>
      <c r="D4573">
        <v>4.830667</v>
      </c>
      <c r="E4573">
        <v>0.47463929999999999</v>
      </c>
      <c r="F4573" t="s">
        <v>42</v>
      </c>
      <c r="G4573">
        <v>-338.0421</v>
      </c>
      <c r="H4573" s="1">
        <v>-1.1339850000000001E-6</v>
      </c>
      <c r="I4573">
        <v>140.47319999999999</v>
      </c>
      <c r="J4573">
        <v>-308.66789999999997</v>
      </c>
      <c r="K4573">
        <v>1.110017</v>
      </c>
      <c r="L4573">
        <v>140.97219999999999</v>
      </c>
      <c r="M4573">
        <v>-0.99981260000000005</v>
      </c>
      <c r="N4573">
        <v>0</v>
      </c>
      <c r="O4573">
        <v>-1.289979E-2</v>
      </c>
      <c r="P4573">
        <v>-0.9986526</v>
      </c>
      <c r="Q4573">
        <v>-7.0267819999999996E-3</v>
      </c>
      <c r="R4573">
        <v>5.1416860000000002E-2</v>
      </c>
      <c r="S4573">
        <v>-3.0058590000000001</v>
      </c>
      <c r="T4573">
        <v>-0.1127181</v>
      </c>
      <c r="U4573">
        <v>-5.0979610000000002E-2</v>
      </c>
      <c r="V4573">
        <v>6.4294309999999993E-2</v>
      </c>
      <c r="W4573">
        <v>7.3974100000000001E-3</v>
      </c>
      <c r="X4573">
        <v>0.9979036</v>
      </c>
      <c r="Y4573">
        <v>-4.0631649999999997E-3</v>
      </c>
      <c r="Z4573">
        <v>4.0740630000000002E-4</v>
      </c>
      <c r="AA4573">
        <v>0.99999170000000004</v>
      </c>
      <c r="AB4573">
        <v>32</v>
      </c>
      <c r="AC4573">
        <v>-29.374199999999998</v>
      </c>
      <c r="AD4573">
        <v>-1.1100181339849999</v>
      </c>
      <c r="AE4573">
        <v>-0.498999999999995</v>
      </c>
      <c r="AF4573">
        <v>-0.119826914633316</v>
      </c>
      <c r="AG4573">
        <v>-1.1100181339849999</v>
      </c>
      <c r="AH4573">
        <v>29.336312900100101</v>
      </c>
      <c r="AI4573">
        <v>92.1668878164147</v>
      </c>
      <c r="AJ4573">
        <v>90.234028670296198</v>
      </c>
      <c r="AK4573">
        <v>29.357550192749802</v>
      </c>
      <c r="AL4573">
        <v>89.576155777900496</v>
      </c>
      <c r="AM4573">
        <v>86.3135638062151</v>
      </c>
      <c r="AN4573">
        <v>1.00000003743302</v>
      </c>
    </row>
    <row r="4574" spans="1:40" x14ac:dyDescent="0.25">
      <c r="A4574" t="str">
        <f>"20190312154927831"</f>
        <v>20190312154927831</v>
      </c>
      <c r="B4574" t="str">
        <f>"1552376967820370"</f>
        <v>1552376967820370</v>
      </c>
      <c r="C4574" t="s">
        <v>40</v>
      </c>
      <c r="D4574">
        <v>4.8285159999999996</v>
      </c>
      <c r="E4574">
        <v>0.4746206</v>
      </c>
      <c r="F4574" t="s">
        <v>42</v>
      </c>
      <c r="G4574">
        <v>-338.55020000000002</v>
      </c>
      <c r="H4574" s="1">
        <v>-8.8925509999999997E-7</v>
      </c>
      <c r="I4574">
        <v>140.45609999999999</v>
      </c>
      <c r="J4574">
        <v>-308.87909999999999</v>
      </c>
      <c r="K4574">
        <v>1.1100110000000001</v>
      </c>
      <c r="L4574">
        <v>140.96940000000001</v>
      </c>
      <c r="M4574">
        <v>-0.99981149999999996</v>
      </c>
      <c r="N4574">
        <v>0</v>
      </c>
      <c r="O4574">
        <v>-1.298828E-2</v>
      </c>
      <c r="P4574">
        <v>-0.99865570000000004</v>
      </c>
      <c r="Q4574">
        <v>-6.8395060000000004E-3</v>
      </c>
      <c r="R4574">
        <v>5.138479E-2</v>
      </c>
      <c r="S4574">
        <v>-3.0059200000000001</v>
      </c>
      <c r="T4574">
        <v>-0.1116588</v>
      </c>
      <c r="U4574">
        <v>-5.1910400000000002E-2</v>
      </c>
      <c r="V4574">
        <v>6.4350610000000003E-2</v>
      </c>
      <c r="W4574">
        <v>7.581941E-3</v>
      </c>
      <c r="X4574">
        <v>0.99789850000000002</v>
      </c>
      <c r="Y4574">
        <v>-4.2836640000000004E-3</v>
      </c>
      <c r="Z4574">
        <v>4.0276299999999999E-4</v>
      </c>
      <c r="AA4574">
        <v>0.99999079999999996</v>
      </c>
      <c r="AB4574">
        <v>32</v>
      </c>
      <c r="AC4574">
        <v>-29.671099999999999</v>
      </c>
      <c r="AD4574">
        <v>-1.1100118892551001</v>
      </c>
      <c r="AE4574">
        <v>-0.51330000000001497</v>
      </c>
      <c r="AF4574">
        <v>-0.12766138664096</v>
      </c>
      <c r="AG4574">
        <v>-1.1100118892551001</v>
      </c>
      <c r="AH4574">
        <v>29.633802725352002</v>
      </c>
      <c r="AI4574">
        <v>92.145141076111898</v>
      </c>
      <c r="AJ4574">
        <v>90.246826689135901</v>
      </c>
      <c r="AK4574">
        <v>29.654859429594499</v>
      </c>
      <c r="AL4574">
        <v>89.565582596934902</v>
      </c>
      <c r="AM4574">
        <v>86.310325847254504</v>
      </c>
      <c r="AN4574">
        <v>0.99999995156947297</v>
      </c>
    </row>
    <row r="4575" spans="1:40" x14ac:dyDescent="0.25">
      <c r="A4575" t="str">
        <f>"20190312154927845"</f>
        <v>20190312154927845</v>
      </c>
      <c r="B4575" t="str">
        <f>"1552376967840867"</f>
        <v>1552376967840867</v>
      </c>
      <c r="C4575" t="s">
        <v>40</v>
      </c>
      <c r="D4575">
        <v>4.8275560000000004</v>
      </c>
      <c r="E4575">
        <v>0.4745219</v>
      </c>
      <c r="F4575" t="s">
        <v>42</v>
      </c>
      <c r="G4575">
        <v>-338.99779999999998</v>
      </c>
      <c r="H4575" s="1">
        <v>-6.7537659999999995E-7</v>
      </c>
      <c r="I4575">
        <v>140.44759999999999</v>
      </c>
      <c r="J4575">
        <v>-309.09339999999997</v>
      </c>
      <c r="K4575">
        <v>1.1100030000000001</v>
      </c>
      <c r="L4575">
        <v>140.9665</v>
      </c>
      <c r="M4575">
        <v>-0.99981050000000005</v>
      </c>
      <c r="N4575">
        <v>0</v>
      </c>
      <c r="O4575">
        <v>-1.3076300000000001E-2</v>
      </c>
      <c r="P4575">
        <v>-0.99869039999999998</v>
      </c>
      <c r="Q4575">
        <v>-6.6282880000000004E-3</v>
      </c>
      <c r="R4575">
        <v>5.073304E-2</v>
      </c>
      <c r="S4575">
        <v>-3.005951</v>
      </c>
      <c r="T4575">
        <v>-0.1107827</v>
      </c>
      <c r="U4575">
        <v>-5.207825E-2</v>
      </c>
      <c r="V4575">
        <v>6.3787099999999999E-2</v>
      </c>
      <c r="W4575">
        <v>7.7907890000000002E-3</v>
      </c>
      <c r="X4575">
        <v>0.99793310000000002</v>
      </c>
      <c r="Y4575">
        <v>-4.2512619999999996E-3</v>
      </c>
      <c r="Z4575">
        <v>4.0344010000000001E-4</v>
      </c>
      <c r="AA4575">
        <v>0.99999090000000002</v>
      </c>
      <c r="AB4575">
        <v>32</v>
      </c>
      <c r="AC4575">
        <v>-29.904399999999999</v>
      </c>
      <c r="AD4575">
        <v>-1.1100036753766001</v>
      </c>
      <c r="AE4575">
        <v>-0.51890000000000203</v>
      </c>
      <c r="AF4575">
        <v>-0.12760029877401499</v>
      </c>
      <c r="AG4575">
        <v>-1.1100036753766001</v>
      </c>
      <c r="AH4575">
        <v>29.867490357509102</v>
      </c>
      <c r="AI4575">
        <v>92.128357264936895</v>
      </c>
      <c r="AJ4575">
        <v>90.244778319769395</v>
      </c>
      <c r="AK4575">
        <v>29.888381860707899</v>
      </c>
      <c r="AL4575">
        <v>89.553616147148503</v>
      </c>
      <c r="AM4575">
        <v>86.342674227601094</v>
      </c>
      <c r="AN4575">
        <v>0.99999998129763101</v>
      </c>
    </row>
    <row r="4576" spans="1:40" x14ac:dyDescent="0.25">
      <c r="A4576" t="str">
        <f>"20190312154927859"</f>
        <v>20190312154927859</v>
      </c>
      <c r="B4576" t="str">
        <f>"1552376967850626"</f>
        <v>1552376967850626</v>
      </c>
      <c r="C4576" t="s">
        <v>40</v>
      </c>
      <c r="D4576">
        <v>4.825482</v>
      </c>
      <c r="E4576">
        <v>0.47447030000000001</v>
      </c>
      <c r="F4576" t="s">
        <v>42</v>
      </c>
      <c r="G4576">
        <v>-339.7645</v>
      </c>
      <c r="H4576" s="1">
        <v>-3.0234339999999999E-7</v>
      </c>
      <c r="I4576">
        <v>140.4075</v>
      </c>
      <c r="J4576">
        <v>-309.30360000000002</v>
      </c>
      <c r="K4576">
        <v>1.109996</v>
      </c>
      <c r="L4576">
        <v>140.96369999999999</v>
      </c>
      <c r="M4576">
        <v>-0.99980930000000001</v>
      </c>
      <c r="N4576">
        <v>0</v>
      </c>
      <c r="O4576">
        <v>-1.3159799999999999E-2</v>
      </c>
      <c r="P4576">
        <v>-0.99871189999999999</v>
      </c>
      <c r="Q4576">
        <v>-6.959036E-3</v>
      </c>
      <c r="R4576">
        <v>5.0261449999999999E-2</v>
      </c>
      <c r="S4576">
        <v>-3.005951</v>
      </c>
      <c r="T4576">
        <v>-0.1087873</v>
      </c>
      <c r="U4576">
        <v>-5.4779050000000003E-2</v>
      </c>
      <c r="V4576">
        <v>6.3399529999999996E-2</v>
      </c>
      <c r="W4576">
        <v>7.4574910000000001E-3</v>
      </c>
      <c r="X4576">
        <v>0.99796039999999997</v>
      </c>
      <c r="Y4576">
        <v>-5.0652479999999996E-3</v>
      </c>
      <c r="Z4576">
        <v>3.8447140000000003E-4</v>
      </c>
      <c r="AA4576">
        <v>0.99998710000000002</v>
      </c>
      <c r="AB4576">
        <v>32</v>
      </c>
      <c r="AC4576">
        <v>-30.460899999999899</v>
      </c>
      <c r="AD4576">
        <v>-1.1099963023434001</v>
      </c>
      <c r="AE4576">
        <v>-0.55619999999998904</v>
      </c>
      <c r="AF4576">
        <v>-0.15504493012631801</v>
      </c>
      <c r="AG4576">
        <v>-1.1099963023434001</v>
      </c>
      <c r="AH4576">
        <v>30.425194537221898</v>
      </c>
      <c r="AI4576">
        <v>92.089356731108097</v>
      </c>
      <c r="AJ4576">
        <v>90.2919732600174</v>
      </c>
      <c r="AK4576">
        <v>30.445830475606499</v>
      </c>
      <c r="AL4576">
        <v>89.572713295274099</v>
      </c>
      <c r="AM4576">
        <v>86.364935523958593</v>
      </c>
      <c r="AN4576">
        <v>1.00000003727219</v>
      </c>
    </row>
    <row r="4577" spans="1:40" x14ac:dyDescent="0.25">
      <c r="A4577" t="str">
        <f>"20190312154927878"</f>
        <v>20190312154927878</v>
      </c>
      <c r="B4577" t="str">
        <f>"1552376967870146"</f>
        <v>1552376967870146</v>
      </c>
      <c r="C4577" t="s">
        <v>40</v>
      </c>
      <c r="D4577">
        <v>4.8404369999999997</v>
      </c>
      <c r="E4577">
        <v>0.47439199999999998</v>
      </c>
      <c r="F4577" t="s">
        <v>42</v>
      </c>
      <c r="G4577">
        <v>-339.90539999999999</v>
      </c>
      <c r="H4577" s="1">
        <v>-2.3037040000000001E-7</v>
      </c>
      <c r="I4577">
        <v>140.38749999999999</v>
      </c>
      <c r="J4577">
        <v>-309.57080000000002</v>
      </c>
      <c r="K4577">
        <v>1.1099909999999999</v>
      </c>
      <c r="L4577">
        <v>140.96</v>
      </c>
      <c r="M4577">
        <v>-0.99980800000000003</v>
      </c>
      <c r="N4577">
        <v>0</v>
      </c>
      <c r="O4577">
        <v>-1.32645E-2</v>
      </c>
      <c r="P4577">
        <v>-0.99873029999999996</v>
      </c>
      <c r="Q4577">
        <v>-8.4423529999999997E-3</v>
      </c>
      <c r="R4577">
        <v>4.966715E-2</v>
      </c>
      <c r="S4577">
        <v>-3.005951</v>
      </c>
      <c r="T4577">
        <v>-0.1090328</v>
      </c>
      <c r="U4577">
        <v>-5.6594850000000002E-2</v>
      </c>
      <c r="V4577">
        <v>6.2910489999999999E-2</v>
      </c>
      <c r="W4577">
        <v>5.9707450000000004E-3</v>
      </c>
      <c r="X4577">
        <v>0.99800129999999998</v>
      </c>
      <c r="Y4577">
        <v>-5.5641400000000004E-3</v>
      </c>
      <c r="Z4577">
        <v>3.8008779999999998E-4</v>
      </c>
      <c r="AA4577">
        <v>0.9999844</v>
      </c>
      <c r="AB4577">
        <v>32</v>
      </c>
      <c r="AC4577">
        <v>-30.334599999999899</v>
      </c>
      <c r="AD4577">
        <v>-1.1099912303704</v>
      </c>
      <c r="AE4577">
        <v>-0.57250000000001899</v>
      </c>
      <c r="AF4577">
        <v>-0.16980718275331799</v>
      </c>
      <c r="AG4577">
        <v>-1.1099912303704</v>
      </c>
      <c r="AH4577">
        <v>30.298971209486201</v>
      </c>
      <c r="AI4577">
        <v>92.098037797749896</v>
      </c>
      <c r="AJ4577">
        <v>90.321104402359097</v>
      </c>
      <c r="AK4577">
        <v>30.319771954354898</v>
      </c>
      <c r="AL4577">
        <v>89.657899473907406</v>
      </c>
      <c r="AM4577">
        <v>86.393048156096299</v>
      </c>
      <c r="AN4577">
        <v>0.99999998717479199</v>
      </c>
    </row>
    <row r="4578" spans="1:40" x14ac:dyDescent="0.25">
      <c r="A4578" t="str">
        <f>"20190312154927901"</f>
        <v>20190312154927901</v>
      </c>
      <c r="B4578" t="str">
        <f>"1552376967890642"</f>
        <v>1552376967890642</v>
      </c>
      <c r="C4578" t="s">
        <v>40</v>
      </c>
      <c r="D4578">
        <v>4.8490739999999999</v>
      </c>
      <c r="E4578">
        <v>0.47435270000000002</v>
      </c>
      <c r="F4578" t="s">
        <v>42</v>
      </c>
      <c r="G4578">
        <v>-339.2242</v>
      </c>
      <c r="H4578" s="1">
        <v>-5.4970439999999998E-7</v>
      </c>
      <c r="I4578">
        <v>140.3775</v>
      </c>
      <c r="J4578">
        <v>-309.88920000000002</v>
      </c>
      <c r="K4578">
        <v>1.1099870000000001</v>
      </c>
      <c r="L4578">
        <v>140.95570000000001</v>
      </c>
      <c r="M4578">
        <v>-0.99980630000000004</v>
      </c>
      <c r="N4578">
        <v>0</v>
      </c>
      <c r="O4578">
        <v>-1.338744E-2</v>
      </c>
      <c r="P4578">
        <v>-0.9987606</v>
      </c>
      <c r="Q4578">
        <v>-9.1464709999999998E-3</v>
      </c>
      <c r="R4578">
        <v>4.8927650000000003E-2</v>
      </c>
      <c r="S4578">
        <v>-3.005798</v>
      </c>
      <c r="T4578">
        <v>-0.1125134</v>
      </c>
      <c r="U4578">
        <v>-5.9051510000000001E-2</v>
      </c>
      <c r="V4578">
        <v>6.2294330000000002E-2</v>
      </c>
      <c r="W4578">
        <v>5.2636069999999896E-3</v>
      </c>
      <c r="X4578">
        <v>0.99804400000000004</v>
      </c>
      <c r="Y4578">
        <v>-6.2590529999999997E-3</v>
      </c>
      <c r="Z4578">
        <v>3.8382869999999998E-4</v>
      </c>
      <c r="AA4578">
        <v>0.99998030000000004</v>
      </c>
      <c r="AB4578">
        <v>32</v>
      </c>
      <c r="AC4578">
        <v>-29.334999999999901</v>
      </c>
      <c r="AD4578">
        <v>-1.1099875497043901</v>
      </c>
      <c r="AE4578">
        <v>-0.57820000000000904</v>
      </c>
      <c r="AF4578">
        <v>-0.18512180108315501</v>
      </c>
      <c r="AG4578">
        <v>-1.1099875497043901</v>
      </c>
      <c r="AH4578">
        <v>29.298180921797901</v>
      </c>
      <c r="AI4578">
        <v>92.169620445445602</v>
      </c>
      <c r="AJ4578">
        <v>90.362020999725402</v>
      </c>
      <c r="AK4578">
        <v>29.319784238089799</v>
      </c>
      <c r="AL4578">
        <v>89.698416158629897</v>
      </c>
      <c r="AM4578">
        <v>86.428435996821094</v>
      </c>
      <c r="AN4578">
        <v>1.00000005752239</v>
      </c>
    </row>
    <row r="4579" spans="1:40" x14ac:dyDescent="0.25">
      <c r="A4579" t="str">
        <f>"20190312154927916"</f>
        <v>20190312154927916</v>
      </c>
      <c r="B4579" t="str">
        <f>"1552376967910163"</f>
        <v>1552376967910163</v>
      </c>
      <c r="C4579" t="s">
        <v>40</v>
      </c>
      <c r="D4579">
        <v>4.8546930000000001</v>
      </c>
      <c r="E4579">
        <v>0.4743462</v>
      </c>
      <c r="F4579" t="s">
        <v>42</v>
      </c>
      <c r="G4579">
        <v>-339.06849999999997</v>
      </c>
      <c r="H4579" s="1">
        <v>-6.182435E-7</v>
      </c>
      <c r="I4579">
        <v>140.35839999999999</v>
      </c>
      <c r="J4579">
        <v>-310.10270000000003</v>
      </c>
      <c r="K4579">
        <v>1.1099859999999999</v>
      </c>
      <c r="L4579">
        <v>140.95269999999999</v>
      </c>
      <c r="M4579">
        <v>-0.99980539999999996</v>
      </c>
      <c r="N4579">
        <v>0</v>
      </c>
      <c r="O4579">
        <v>-1.346906E-2</v>
      </c>
      <c r="P4579">
        <v>-0.99876880000000001</v>
      </c>
      <c r="Q4579">
        <v>-9.7150190000000001E-3</v>
      </c>
      <c r="R4579">
        <v>4.8647669999999997E-2</v>
      </c>
      <c r="S4579">
        <v>-3.0056759999999998</v>
      </c>
      <c r="T4579">
        <v>-0.11433649999999999</v>
      </c>
      <c r="U4579">
        <v>-6.1523439999999999E-2</v>
      </c>
      <c r="V4579">
        <v>6.2095959999999999E-2</v>
      </c>
      <c r="W4579">
        <v>4.6923629999999997E-3</v>
      </c>
      <c r="X4579">
        <v>0.99805920000000004</v>
      </c>
      <c r="Y4579">
        <v>-6.9999819999999897E-3</v>
      </c>
      <c r="Z4579">
        <v>3.7907229999999999E-4</v>
      </c>
      <c r="AA4579">
        <v>0.99997539999999996</v>
      </c>
      <c r="AB4579">
        <v>32</v>
      </c>
      <c r="AC4579">
        <v>-28.965799999999899</v>
      </c>
      <c r="AD4579">
        <v>-1.1099866182435001</v>
      </c>
      <c r="AE4579">
        <v>-0.59430000000000405</v>
      </c>
      <c r="AF4579">
        <v>-0.20376435342548499</v>
      </c>
      <c r="AG4579">
        <v>-1.1099866182435001</v>
      </c>
      <c r="AH4579">
        <v>28.928714394468798</v>
      </c>
      <c r="AI4579">
        <v>92.197290545500096</v>
      </c>
      <c r="AJ4579">
        <v>90.403565960010795</v>
      </c>
      <c r="AK4579">
        <v>28.950718587301999</v>
      </c>
      <c r="AL4579">
        <v>89.731146430067099</v>
      </c>
      <c r="AM4579">
        <v>86.439834063308595</v>
      </c>
      <c r="AN4579">
        <v>1.00000004661174</v>
      </c>
    </row>
    <row r="4580" spans="1:40" x14ac:dyDescent="0.25">
      <c r="A4580" t="str">
        <f>"20190312154927930"</f>
        <v>20190312154927930</v>
      </c>
      <c r="B4580" t="str">
        <f>"1552376967920898"</f>
        <v>1552376967920898</v>
      </c>
      <c r="C4580" t="s">
        <v>40</v>
      </c>
      <c r="D4580">
        <v>4.8894399999999996</v>
      </c>
      <c r="E4580">
        <v>0.47434320000000002</v>
      </c>
      <c r="F4580" t="s">
        <v>42</v>
      </c>
      <c r="G4580">
        <v>-339.13279999999997</v>
      </c>
      <c r="H4580" s="1">
        <v>-5.858212E-7</v>
      </c>
      <c r="I4580">
        <v>140.35069999999999</v>
      </c>
      <c r="J4580">
        <v>-310.30110000000002</v>
      </c>
      <c r="K4580">
        <v>1.1099870000000001</v>
      </c>
      <c r="L4580">
        <v>140.94999999999999</v>
      </c>
      <c r="M4580">
        <v>-0.99980440000000004</v>
      </c>
      <c r="N4580">
        <v>0</v>
      </c>
      <c r="O4580">
        <v>-1.3544469999999999E-2</v>
      </c>
      <c r="P4580">
        <v>-0.998776</v>
      </c>
      <c r="Q4580">
        <v>-9.913158E-3</v>
      </c>
      <c r="R4580">
        <v>4.8462650000000003E-2</v>
      </c>
      <c r="S4580">
        <v>-3.005585</v>
      </c>
      <c r="T4580">
        <v>-0.114921</v>
      </c>
      <c r="U4580">
        <v>-6.2332150000000003E-2</v>
      </c>
      <c r="V4580">
        <v>6.1986510000000002E-2</v>
      </c>
      <c r="W4580">
        <v>4.491615E-3</v>
      </c>
      <c r="X4580">
        <v>0.99806689999999998</v>
      </c>
      <c r="Y4580">
        <v>-7.1940880000000004E-3</v>
      </c>
      <c r="Z4580">
        <v>3.8019200000000001E-4</v>
      </c>
      <c r="AA4580">
        <v>0.99997409999999998</v>
      </c>
      <c r="AB4580">
        <v>32</v>
      </c>
      <c r="AC4580">
        <v>-28.831699999999898</v>
      </c>
      <c r="AD4580">
        <v>-1.1099875858212001</v>
      </c>
      <c r="AE4580">
        <v>-0.59929999999999894</v>
      </c>
      <c r="AF4580">
        <v>-0.20838562828452301</v>
      </c>
      <c r="AG4580">
        <v>-1.1099875858212001</v>
      </c>
      <c r="AH4580">
        <v>28.794513039104199</v>
      </c>
      <c r="AI4580">
        <v>92.207520133786403</v>
      </c>
      <c r="AJ4580">
        <v>90.414641795130805</v>
      </c>
      <c r="AK4580">
        <v>28.816652792610999</v>
      </c>
      <c r="AL4580">
        <v>89.742648556975894</v>
      </c>
      <c r="AM4580">
        <v>86.446120443132799</v>
      </c>
      <c r="AN4580">
        <v>1.00000001945144</v>
      </c>
    </row>
    <row r="4581" spans="1:40" x14ac:dyDescent="0.25">
      <c r="A4581" t="str">
        <f>"20190312154927947"</f>
        <v>20190312154927947</v>
      </c>
      <c r="B4581" t="str">
        <f>"1552376967940418"</f>
        <v>1552376967940418</v>
      </c>
      <c r="C4581" t="s">
        <v>40</v>
      </c>
      <c r="D4581">
        <v>4.865926</v>
      </c>
      <c r="E4581">
        <v>0.47429209999999999</v>
      </c>
      <c r="F4581" t="s">
        <v>42</v>
      </c>
      <c r="G4581">
        <v>-339.35239999999999</v>
      </c>
      <c r="H4581" s="1">
        <v>-4.7981229999999999E-7</v>
      </c>
      <c r="I4581">
        <v>140.3425</v>
      </c>
      <c r="J4581">
        <v>-310.53969999999998</v>
      </c>
      <c r="K4581">
        <v>1.1099870000000001</v>
      </c>
      <c r="L4581">
        <v>140.94669999999999</v>
      </c>
      <c r="M4581">
        <v>-0.99980309999999994</v>
      </c>
      <c r="N4581">
        <v>0</v>
      </c>
      <c r="O4581">
        <v>-1.363491E-2</v>
      </c>
      <c r="P4581">
        <v>-0.99879280000000004</v>
      </c>
      <c r="Q4581">
        <v>-9.9520070000000006E-3</v>
      </c>
      <c r="R4581">
        <v>4.8104439999999998E-2</v>
      </c>
      <c r="S4581">
        <v>-3.005585</v>
      </c>
      <c r="T4581">
        <v>-0.1148371</v>
      </c>
      <c r="U4581">
        <v>-6.2850950000000003E-2</v>
      </c>
      <c r="V4581">
        <v>6.1718799999999997E-2</v>
      </c>
      <c r="W4581">
        <v>4.4501319999999999E-3</v>
      </c>
      <c r="X4581">
        <v>0.99808370000000002</v>
      </c>
      <c r="Y4581">
        <v>-7.2761639999999999E-3</v>
      </c>
      <c r="Z4581">
        <v>3.8180020000000002E-4</v>
      </c>
      <c r="AA4581">
        <v>0.99997349999999996</v>
      </c>
      <c r="AB4581">
        <v>32</v>
      </c>
      <c r="AC4581">
        <v>-28.8127</v>
      </c>
      <c r="AD4581">
        <v>-1.1099874798122999</v>
      </c>
      <c r="AE4581">
        <v>-0.60419999999999097</v>
      </c>
      <c r="AF4581">
        <v>-0.21093150691493401</v>
      </c>
      <c r="AG4581">
        <v>-1.1099874798122999</v>
      </c>
      <c r="AH4581">
        <v>28.775572536464601</v>
      </c>
      <c r="AI4581">
        <v>92.208970007564503</v>
      </c>
      <c r="AJ4581">
        <v>90.419983603945695</v>
      </c>
      <c r="AK4581">
        <v>28.797745382360802</v>
      </c>
      <c r="AL4581">
        <v>89.745025387530305</v>
      </c>
      <c r="AM4581">
        <v>86.461489417850601</v>
      </c>
      <c r="AN4581">
        <v>1.00000004307697</v>
      </c>
    </row>
    <row r="4582" spans="1:40" x14ac:dyDescent="0.25">
      <c r="A4582" t="str">
        <f>"20190312154927969"</f>
        <v>20190312154927969</v>
      </c>
      <c r="B4582" t="str">
        <f>"1552376967960915"</f>
        <v>1552376967960915</v>
      </c>
      <c r="C4582" t="s">
        <v>40</v>
      </c>
      <c r="D4582">
        <v>4.8681349999999997</v>
      </c>
      <c r="E4582">
        <v>0.47426200000000002</v>
      </c>
      <c r="F4582" t="s">
        <v>42</v>
      </c>
      <c r="G4582">
        <v>-339.8494</v>
      </c>
      <c r="H4582" s="1">
        <v>-2.386545E-7</v>
      </c>
      <c r="I4582">
        <v>140.3192</v>
      </c>
      <c r="J4582">
        <v>-310.85930000000002</v>
      </c>
      <c r="K4582">
        <v>1.1099810000000001</v>
      </c>
      <c r="L4582">
        <v>140.94220000000001</v>
      </c>
      <c r="M4582">
        <v>-0.99980159999999996</v>
      </c>
      <c r="N4582">
        <v>0</v>
      </c>
      <c r="O4582">
        <v>-1.3756569999999999E-2</v>
      </c>
      <c r="P4582">
        <v>-0.99878389999999995</v>
      </c>
      <c r="Q4582">
        <v>-1.016193E-2</v>
      </c>
      <c r="R4582">
        <v>4.8246749999999998E-2</v>
      </c>
      <c r="S4582">
        <v>-3.005585</v>
      </c>
      <c r="T4582">
        <v>-0.1138242</v>
      </c>
      <c r="U4582">
        <v>-6.4346310000000004E-2</v>
      </c>
      <c r="V4582">
        <v>6.1982559999999999E-2</v>
      </c>
      <c r="W4582">
        <v>4.2365110000000001E-3</v>
      </c>
      <c r="X4582">
        <v>0.99806819999999896</v>
      </c>
      <c r="Y4582">
        <v>-7.6515139999999999E-3</v>
      </c>
      <c r="Z4582">
        <v>3.7593369999999997E-4</v>
      </c>
      <c r="AA4582">
        <v>0.99997069999999999</v>
      </c>
      <c r="AB4582">
        <v>32</v>
      </c>
      <c r="AC4582">
        <v>-28.990099999999899</v>
      </c>
      <c r="AD4582">
        <v>-1.1099812386544901</v>
      </c>
      <c r="AE4582">
        <v>-0.62300000000001798</v>
      </c>
      <c r="AF4582">
        <v>-0.22376741988148499</v>
      </c>
      <c r="AG4582">
        <v>-1.1099812386544901</v>
      </c>
      <c r="AH4582">
        <v>28.9535014109528</v>
      </c>
      <c r="AI4582">
        <v>92.195389569128807</v>
      </c>
      <c r="AJ4582">
        <v>90.442802178389599</v>
      </c>
      <c r="AK4582">
        <v>28.975634145992601</v>
      </c>
      <c r="AL4582">
        <v>89.757265063735204</v>
      </c>
      <c r="AM4582">
        <v>86.446350945399601</v>
      </c>
      <c r="AN4582">
        <v>0.99999995881042203</v>
      </c>
    </row>
    <row r="4583" spans="1:40" x14ac:dyDescent="0.25">
      <c r="A4583" t="str">
        <f>"20190312154927993"</f>
        <v>20190312154927993</v>
      </c>
      <c r="B4583" t="str">
        <f>"1552376967980434"</f>
        <v>1552376967980434</v>
      </c>
      <c r="C4583" t="s">
        <v>40</v>
      </c>
      <c r="D4583">
        <v>4.8415589999999904</v>
      </c>
      <c r="E4583">
        <v>0.47427039999999998</v>
      </c>
      <c r="F4583" t="s">
        <v>42</v>
      </c>
      <c r="G4583">
        <v>-340.27499999999998</v>
      </c>
      <c r="H4583" s="1">
        <v>-4.306439E-6</v>
      </c>
      <c r="I4583">
        <v>140.31549999999999</v>
      </c>
      <c r="J4583">
        <v>-311.18669999999997</v>
      </c>
      <c r="K4583">
        <v>1.109988</v>
      </c>
      <c r="L4583">
        <v>140.9375</v>
      </c>
      <c r="M4583">
        <v>-0.99979980000000002</v>
      </c>
      <c r="N4583">
        <v>0</v>
      </c>
      <c r="O4583">
        <v>-1.3880969999999999E-2</v>
      </c>
      <c r="P4583">
        <v>-0.99876609999999999</v>
      </c>
      <c r="Q4583">
        <v>-9.7442440000000009E-3</v>
      </c>
      <c r="R4583">
        <v>4.8697879999999999E-2</v>
      </c>
      <c r="S4583">
        <v>-3.0056150000000001</v>
      </c>
      <c r="T4583">
        <v>-0.1134155</v>
      </c>
      <c r="U4583">
        <v>-6.4025879999999993E-2</v>
      </c>
      <c r="V4583">
        <v>6.2557550000000003E-2</v>
      </c>
      <c r="W4583">
        <v>4.6499250000000001E-3</v>
      </c>
      <c r="X4583">
        <v>0.99803050000000004</v>
      </c>
      <c r="Y4583">
        <v>-7.4205340000000003E-3</v>
      </c>
      <c r="Z4583">
        <v>3.8362919999999998E-4</v>
      </c>
      <c r="AA4583">
        <v>0.99997239999999998</v>
      </c>
      <c r="AB4583">
        <v>32</v>
      </c>
      <c r="AC4583">
        <v>-29.0883</v>
      </c>
      <c r="AD4583">
        <v>-1.109992306439</v>
      </c>
      <c r="AE4583">
        <v>-0.62200000000001399</v>
      </c>
      <c r="AF4583">
        <v>-0.21780729394706</v>
      </c>
      <c r="AG4583">
        <v>-1.109992306439</v>
      </c>
      <c r="AH4583">
        <v>29.051847521424399</v>
      </c>
      <c r="AI4583">
        <v>92.1879906312804</v>
      </c>
      <c r="AJ4583">
        <v>90.429549441724305</v>
      </c>
      <c r="AK4583">
        <v>29.073860551115999</v>
      </c>
      <c r="AL4583">
        <v>89.733577955399895</v>
      </c>
      <c r="AM4583">
        <v>86.413335544583603</v>
      </c>
      <c r="AN4583">
        <v>0.99999997389737805</v>
      </c>
    </row>
    <row r="4584" spans="1:40" x14ac:dyDescent="0.25">
      <c r="A4584" t="str">
        <f>"20190312154928013"</f>
        <v>20190312154928013</v>
      </c>
      <c r="B4584" t="str">
        <f>"1552376968000931"</f>
        <v>1552376968000931</v>
      </c>
      <c r="C4584" t="s">
        <v>40</v>
      </c>
      <c r="D4584">
        <v>4.8473410000000001</v>
      </c>
      <c r="E4584">
        <v>0.47427160000000002</v>
      </c>
      <c r="F4584" t="s">
        <v>42</v>
      </c>
      <c r="G4584">
        <v>-341.13199999999898</v>
      </c>
      <c r="H4584" s="1">
        <v>-3.9720099999999899E-6</v>
      </c>
      <c r="I4584">
        <v>140.31290000000001</v>
      </c>
      <c r="J4584">
        <v>-311.48430000000002</v>
      </c>
      <c r="K4584">
        <v>1.1099859999999999</v>
      </c>
      <c r="L4584">
        <v>140.9333</v>
      </c>
      <c r="M4584">
        <v>-0.99979850000000003</v>
      </c>
      <c r="N4584">
        <v>0</v>
      </c>
      <c r="O4584">
        <v>-1.3992859999999999E-2</v>
      </c>
      <c r="P4584">
        <v>-0.9987395</v>
      </c>
      <c r="Q4584">
        <v>-9.4291400000000008E-3</v>
      </c>
      <c r="R4584">
        <v>4.9306240000000001E-2</v>
      </c>
      <c r="S4584">
        <v>-3.0056150000000001</v>
      </c>
      <c r="T4584">
        <v>-0.11141040000000001</v>
      </c>
      <c r="U4584">
        <v>-6.268311E-2</v>
      </c>
      <c r="V4584">
        <v>6.3277089999999994E-2</v>
      </c>
      <c r="W4584">
        <v>4.960819E-3</v>
      </c>
      <c r="X4584">
        <v>0.99798370000000003</v>
      </c>
      <c r="Y4584">
        <v>-6.8623879999999996E-3</v>
      </c>
      <c r="Z4584">
        <v>3.9133869999999999E-4</v>
      </c>
      <c r="AA4584">
        <v>0.99997639999999999</v>
      </c>
      <c r="AB4584">
        <v>32</v>
      </c>
      <c r="AC4584">
        <v>-29.647699999999901</v>
      </c>
      <c r="AD4584">
        <v>-1.1099899720099999</v>
      </c>
      <c r="AE4584">
        <v>-0.62039999999998896</v>
      </c>
      <c r="AF4584">
        <v>-0.205152717120518</v>
      </c>
      <c r="AG4584">
        <v>-1.1099899720099999</v>
      </c>
      <c r="AH4584">
        <v>29.611989758097799</v>
      </c>
      <c r="AI4584">
        <v>92.146645850708893</v>
      </c>
      <c r="AJ4584">
        <v>90.396940458489794</v>
      </c>
      <c r="AK4584">
        <v>29.633496297416499</v>
      </c>
      <c r="AL4584">
        <v>89.715764851820396</v>
      </c>
      <c r="AM4584">
        <v>86.372021432402903</v>
      </c>
      <c r="AN4584">
        <v>1.0000000326548499</v>
      </c>
    </row>
    <row r="4585" spans="1:40" x14ac:dyDescent="0.25">
      <c r="A4585" t="str">
        <f>"20190312154928035"</f>
        <v>20190312154928035</v>
      </c>
      <c r="B4585" t="str">
        <f>"1552376968030211"</f>
        <v>1552376968030211</v>
      </c>
      <c r="C4585" t="s">
        <v>40</v>
      </c>
      <c r="D4585">
        <v>4.9401910000000004</v>
      </c>
      <c r="E4585">
        <v>0.49116759999999898</v>
      </c>
      <c r="F4585" t="s">
        <v>42</v>
      </c>
      <c r="G4585">
        <v>-341.91359999999997</v>
      </c>
      <c r="H4585" s="1">
        <v>-3.6380070000000001E-6</v>
      </c>
      <c r="I4585">
        <v>140.31790000000001</v>
      </c>
      <c r="J4585">
        <v>-311.79000000000002</v>
      </c>
      <c r="K4585">
        <v>1.109979</v>
      </c>
      <c r="L4585">
        <v>140.9289</v>
      </c>
      <c r="M4585">
        <v>-0.99979700000000005</v>
      </c>
      <c r="N4585">
        <v>0</v>
      </c>
      <c r="O4585">
        <v>-1.4102440000000001E-2</v>
      </c>
      <c r="P4585">
        <v>-0.99871560000000004</v>
      </c>
      <c r="Q4585">
        <v>-9.7604600000000003E-3</v>
      </c>
      <c r="R4585">
        <v>4.9721759999999997E-2</v>
      </c>
      <c r="S4585">
        <v>-3.0057369999999999</v>
      </c>
      <c r="T4585">
        <v>-0.1096423</v>
      </c>
      <c r="U4585">
        <v>-6.0775759999999998E-2</v>
      </c>
      <c r="V4585">
        <v>6.3801730000000001E-2</v>
      </c>
      <c r="W4585">
        <v>4.625606E-3</v>
      </c>
      <c r="X4585">
        <v>0.9979519</v>
      </c>
      <c r="Y4585">
        <v>-6.1180619999999996E-3</v>
      </c>
      <c r="Z4585">
        <v>4.0268500000000001E-4</v>
      </c>
      <c r="AA4585">
        <v>0.99998120000000001</v>
      </c>
      <c r="AB4585">
        <v>32</v>
      </c>
      <c r="AC4585">
        <v>-30.1235999999999</v>
      </c>
      <c r="AD4585">
        <v>-1.1099826380069999</v>
      </c>
      <c r="AE4585">
        <v>-0.61099999999999</v>
      </c>
      <c r="AF4585">
        <v>-0.18582677117457999</v>
      </c>
      <c r="AG4585">
        <v>-1.1099826380069999</v>
      </c>
      <c r="AH4585">
        <v>30.088385646497802</v>
      </c>
      <c r="AI4585">
        <v>92.112685044883193</v>
      </c>
      <c r="AJ4585">
        <v>90.353855951766803</v>
      </c>
      <c r="AK4585">
        <v>30.109426162880201</v>
      </c>
      <c r="AL4585">
        <v>89.734971360251905</v>
      </c>
      <c r="AM4585">
        <v>86.341906400342694</v>
      </c>
      <c r="AN4585">
        <v>1.00000002584773</v>
      </c>
    </row>
    <row r="4586" spans="1:40" x14ac:dyDescent="0.25">
      <c r="A4586" t="str">
        <f>"20190312154928049"</f>
        <v>20190312154928049</v>
      </c>
      <c r="B4586" t="str">
        <f>"1552376968039970"</f>
        <v>1552376968039970</v>
      </c>
      <c r="C4586" t="s">
        <v>40</v>
      </c>
      <c r="D4586">
        <v>4.9423750000000002</v>
      </c>
      <c r="E4586">
        <v>0.49191829999999998</v>
      </c>
      <c r="F4586" t="s">
        <v>42</v>
      </c>
      <c r="G4586">
        <v>-338.8306</v>
      </c>
      <c r="H4586" s="1">
        <v>-1.0615469999999999E-6</v>
      </c>
      <c r="I4586">
        <v>141.6018</v>
      </c>
      <c r="J4586">
        <v>-311.99709999999999</v>
      </c>
      <c r="K4586">
        <v>1.109974</v>
      </c>
      <c r="L4586">
        <v>140.92590000000001</v>
      </c>
      <c r="M4586">
        <v>-0.99979589999999996</v>
      </c>
      <c r="N4586">
        <v>0</v>
      </c>
      <c r="O4586">
        <v>-1.4171130000000001E-2</v>
      </c>
      <c r="P4586">
        <v>-0.99870999999999999</v>
      </c>
      <c r="Q4586">
        <v>-1.043534E-2</v>
      </c>
      <c r="R4586">
        <v>4.9694309999999998E-2</v>
      </c>
      <c r="S4586">
        <v>-2.998901</v>
      </c>
      <c r="T4586">
        <v>-0.1231008</v>
      </c>
      <c r="U4586">
        <v>7.4630740000000001E-2</v>
      </c>
      <c r="V4586">
        <v>6.3842880000000005E-2</v>
      </c>
      <c r="W4586">
        <v>3.9480269999999998E-3</v>
      </c>
      <c r="X4586">
        <v>0.99795219999999996</v>
      </c>
      <c r="Y4586">
        <v>3.8999279999999997E-2</v>
      </c>
      <c r="Z4586">
        <v>1.381415E-3</v>
      </c>
      <c r="AA4586">
        <v>0.99923830000000002</v>
      </c>
      <c r="AB4586">
        <v>32</v>
      </c>
      <c r="AC4586">
        <v>-26.833500000000001</v>
      </c>
      <c r="AD4586">
        <v>-1.1099750615469901</v>
      </c>
      <c r="AE4586">
        <v>0.67589999999998396</v>
      </c>
      <c r="AF4586">
        <v>1.05432965458724</v>
      </c>
      <c r="AG4586">
        <v>-1.1099750615469901</v>
      </c>
      <c r="AH4586">
        <v>26.775439656100399</v>
      </c>
      <c r="AI4586">
        <v>92.371999537835805</v>
      </c>
      <c r="AJ4586">
        <v>87.745043687428407</v>
      </c>
      <c r="AK4586">
        <v>26.8191689736143</v>
      </c>
      <c r="AL4586">
        <v>89.773794138452701</v>
      </c>
      <c r="AM4586">
        <v>86.339554561216801</v>
      </c>
      <c r="AN4586">
        <v>1.0000000468643599</v>
      </c>
    </row>
    <row r="4587" spans="1:40" x14ac:dyDescent="0.25">
      <c r="A4587" t="str">
        <f>"20190312154928069"</f>
        <v>20190312154928069</v>
      </c>
      <c r="B4587" t="str">
        <f>"1552376968060470"</f>
        <v>1552376968060470</v>
      </c>
      <c r="C4587" t="s">
        <v>40</v>
      </c>
      <c r="D4587">
        <v>4.8996469999999999</v>
      </c>
      <c r="E4587">
        <v>0.49262339999999999</v>
      </c>
      <c r="F4587" t="s">
        <v>42</v>
      </c>
      <c r="G4587">
        <v>-337.10430000000002</v>
      </c>
      <c r="H4587" s="1">
        <v>-1.876623E-6</v>
      </c>
      <c r="I4587">
        <v>141.59829999999999</v>
      </c>
      <c r="J4587">
        <v>-312.27510000000001</v>
      </c>
      <c r="K4587">
        <v>1.109961</v>
      </c>
      <c r="L4587">
        <v>140.92179999999999</v>
      </c>
      <c r="M4587">
        <v>-0.99979490000000004</v>
      </c>
      <c r="N4587">
        <v>0</v>
      </c>
      <c r="O4587">
        <v>-1.425247E-2</v>
      </c>
      <c r="P4587">
        <v>-0.99868659999999998</v>
      </c>
      <c r="Q4587">
        <v>-1.2332950000000001E-2</v>
      </c>
      <c r="R4587">
        <v>4.9728969999999997E-2</v>
      </c>
      <c r="S4587">
        <v>-2.9985050000000002</v>
      </c>
      <c r="T4587">
        <v>-0.13256219999999999</v>
      </c>
      <c r="U4587">
        <v>8.0307009999999998E-2</v>
      </c>
      <c r="V4587">
        <v>6.3958680000000004E-2</v>
      </c>
      <c r="W4587">
        <v>2.0454549999999998E-3</v>
      </c>
      <c r="X4587">
        <v>0.99795040000000002</v>
      </c>
      <c r="Y4587">
        <v>4.0964979999999998E-2</v>
      </c>
      <c r="Z4587">
        <v>1.5346680000000001E-3</v>
      </c>
      <c r="AA4587">
        <v>0.99915940000000003</v>
      </c>
      <c r="AB4587">
        <v>32</v>
      </c>
      <c r="AC4587">
        <v>-24.8292</v>
      </c>
      <c r="AD4587">
        <v>-1.1099628766230001</v>
      </c>
      <c r="AE4587">
        <v>0.67650000000000399</v>
      </c>
      <c r="AF4587">
        <v>1.0282918802865899</v>
      </c>
      <c r="AG4587">
        <v>-1.1099628766230001</v>
      </c>
      <c r="AH4587">
        <v>24.767574907261199</v>
      </c>
      <c r="AI4587">
        <v>92.563796968319707</v>
      </c>
      <c r="AJ4587">
        <v>87.622578387625794</v>
      </c>
      <c r="AK4587">
        <v>24.8137495869797</v>
      </c>
      <c r="AL4587">
        <v>89.882803973586803</v>
      </c>
      <c r="AM4587">
        <v>86.332926646964395</v>
      </c>
      <c r="AN4587">
        <v>0.99999994874682796</v>
      </c>
    </row>
    <row r="4588" spans="1:40" x14ac:dyDescent="0.25">
      <c r="A4588" t="str">
        <f>"20190312154928082"</f>
        <v>20190312154928082</v>
      </c>
      <c r="B4588" t="str">
        <f>"1552376968079987"</f>
        <v>1552376968079987</v>
      </c>
      <c r="C4588" t="s">
        <v>40</v>
      </c>
      <c r="D4588">
        <v>4.8943279999999998</v>
      </c>
      <c r="E4588">
        <v>0.49298219999999998</v>
      </c>
      <c r="F4588" t="s">
        <v>42</v>
      </c>
      <c r="G4588">
        <v>-336.00729999999999</v>
      </c>
      <c r="H4588" s="1">
        <v>-2.3965470000000001E-6</v>
      </c>
      <c r="I4588">
        <v>141.60329999999999</v>
      </c>
      <c r="J4588">
        <v>-312.47750000000002</v>
      </c>
      <c r="K4588">
        <v>1.109947</v>
      </c>
      <c r="L4588">
        <v>140.91890000000001</v>
      </c>
      <c r="M4588">
        <v>-0.99979430000000002</v>
      </c>
      <c r="N4588">
        <v>0</v>
      </c>
      <c r="O4588">
        <v>-1.4301629999999999E-2</v>
      </c>
      <c r="P4588">
        <v>-0.99868389999999996</v>
      </c>
      <c r="Q4588">
        <v>-1.333723E-2</v>
      </c>
      <c r="R4588">
        <v>4.9525769999999997E-2</v>
      </c>
      <c r="S4588">
        <v>-2.997925</v>
      </c>
      <c r="T4588">
        <v>-0.14021410000000001</v>
      </c>
      <c r="U4588">
        <v>8.6090089999999994E-2</v>
      </c>
      <c r="V4588">
        <v>6.3804780000000005E-2</v>
      </c>
      <c r="W4588">
        <v>1.037423E-3</v>
      </c>
      <c r="X4588">
        <v>0.99796189999999996</v>
      </c>
      <c r="Y4588">
        <v>4.2936490000000001E-2</v>
      </c>
      <c r="Z4588">
        <v>1.6717990000000001E-3</v>
      </c>
      <c r="AA4588">
        <v>0.99907639999999998</v>
      </c>
      <c r="AB4588">
        <v>32</v>
      </c>
      <c r="AC4588">
        <v>-23.529799999999899</v>
      </c>
      <c r="AD4588">
        <v>-1.109949396547</v>
      </c>
      <c r="AE4588">
        <v>0.68439999999998202</v>
      </c>
      <c r="AF4588">
        <v>1.0186145781044</v>
      </c>
      <c r="AG4588">
        <v>-1.109949396547</v>
      </c>
      <c r="AH4588">
        <v>23.4654327350665</v>
      </c>
      <c r="AI4588">
        <v>92.705611694877604</v>
      </c>
      <c r="AJ4588">
        <v>87.514399163589999</v>
      </c>
      <c r="AK4588">
        <v>23.5137427213438</v>
      </c>
      <c r="AL4588">
        <v>89.940560032247205</v>
      </c>
      <c r="AM4588">
        <v>86.341768560283796</v>
      </c>
      <c r="AN4588">
        <v>1.00000004002446</v>
      </c>
    </row>
    <row r="4589" spans="1:40" x14ac:dyDescent="0.25">
      <c r="A4589" t="str">
        <f>"20190312154928102"</f>
        <v>20190312154928102</v>
      </c>
      <c r="B4589" t="str">
        <f>"1552376968090722"</f>
        <v>1552376968090722</v>
      </c>
      <c r="C4589" t="s">
        <v>40</v>
      </c>
      <c r="D4589">
        <v>4.9147619999999996</v>
      </c>
      <c r="E4589">
        <v>0.49319499999999999</v>
      </c>
      <c r="F4589" t="s">
        <v>42</v>
      </c>
      <c r="G4589">
        <v>-335.38670000000002</v>
      </c>
      <c r="H4589" s="1">
        <v>-2.687197E-6</v>
      </c>
      <c r="I4589">
        <v>141.5933</v>
      </c>
      <c r="J4589">
        <v>-312.74310000000003</v>
      </c>
      <c r="K4589">
        <v>1.1099300000000001</v>
      </c>
      <c r="L4589">
        <v>140.91499999999999</v>
      </c>
      <c r="M4589">
        <v>-0.9997935</v>
      </c>
      <c r="N4589">
        <v>0</v>
      </c>
      <c r="O4589">
        <v>-1.4349600000000001E-2</v>
      </c>
      <c r="P4589">
        <v>-0.99868939999999995</v>
      </c>
      <c r="Q4589">
        <v>-1.47744E-2</v>
      </c>
      <c r="R4589">
        <v>4.900608E-2</v>
      </c>
      <c r="S4589">
        <v>-2.9976500000000001</v>
      </c>
      <c r="T4589">
        <v>-0.14523539999999999</v>
      </c>
      <c r="U4589">
        <v>8.824158E-2</v>
      </c>
      <c r="V4589">
        <v>6.3333349999999997E-2</v>
      </c>
      <c r="W4589">
        <v>-4.0492860000000002E-4</v>
      </c>
      <c r="X4589">
        <v>0.99799230000000005</v>
      </c>
      <c r="Y4589">
        <v>4.3697979999999997E-2</v>
      </c>
      <c r="Z4589">
        <v>1.7524960000000001E-3</v>
      </c>
      <c r="AA4589">
        <v>0.99904320000000002</v>
      </c>
      <c r="AB4589">
        <v>32</v>
      </c>
      <c r="AC4589">
        <v>-22.6435999999999</v>
      </c>
      <c r="AD4589">
        <v>-1.1099326871969999</v>
      </c>
      <c r="AE4589">
        <v>0.67830000000000701</v>
      </c>
      <c r="AF4589">
        <v>1.00078793962427</v>
      </c>
      <c r="AG4589">
        <v>-1.1099326871969999</v>
      </c>
      <c r="AH4589">
        <v>22.577335494160199</v>
      </c>
      <c r="AI4589">
        <v>92.811716387579196</v>
      </c>
      <c r="AJ4589">
        <v>87.461905409094499</v>
      </c>
      <c r="AK4589">
        <v>22.6267453489465</v>
      </c>
      <c r="AL4589">
        <v>90.023200701484797</v>
      </c>
      <c r="AM4589">
        <v>86.368835611192196</v>
      </c>
      <c r="AN4589">
        <v>0.99999995402434005</v>
      </c>
    </row>
    <row r="4590" spans="1:40" x14ac:dyDescent="0.25">
      <c r="A4590" t="str">
        <f>"20190312154928124"</f>
        <v>20190312154928124</v>
      </c>
      <c r="B4590" t="str">
        <f>"1552376968120003"</f>
        <v>1552376968120003</v>
      </c>
      <c r="C4590" t="s">
        <v>40</v>
      </c>
      <c r="D4590">
        <v>4.9347209999999997</v>
      </c>
      <c r="E4590">
        <v>0.49346859999999998</v>
      </c>
      <c r="F4590" t="s">
        <v>42</v>
      </c>
      <c r="G4590">
        <v>-334.6617</v>
      </c>
      <c r="H4590" s="1">
        <v>-3.0213129999999999E-6</v>
      </c>
      <c r="I4590">
        <v>141.5607</v>
      </c>
      <c r="J4590">
        <v>-313.05630000000002</v>
      </c>
      <c r="K4590">
        <v>1.1099049999999999</v>
      </c>
      <c r="L4590">
        <v>140.91050000000001</v>
      </c>
      <c r="M4590">
        <v>-0.99979309999999999</v>
      </c>
      <c r="N4590">
        <v>0</v>
      </c>
      <c r="O4590">
        <v>-1.4388099999999999E-2</v>
      </c>
      <c r="P4590">
        <v>-0.99870320000000001</v>
      </c>
      <c r="Q4590">
        <v>-1.5914399999999999E-2</v>
      </c>
      <c r="R4590">
        <v>4.8364610000000002E-2</v>
      </c>
      <c r="S4590">
        <v>-2.9973749999999999</v>
      </c>
      <c r="T4590">
        <v>-0.1517838</v>
      </c>
      <c r="U4590">
        <v>8.8302610000000004E-2</v>
      </c>
      <c r="V4590">
        <v>6.2730670000000002E-2</v>
      </c>
      <c r="W4590">
        <v>-1.5509289999999999E-3</v>
      </c>
      <c r="X4590">
        <v>0.99802930000000001</v>
      </c>
      <c r="Y4590">
        <v>4.3753060000000003E-2</v>
      </c>
      <c r="Z4590">
        <v>1.834923E-3</v>
      </c>
      <c r="AA4590">
        <v>0.9990407</v>
      </c>
      <c r="AB4590">
        <v>32</v>
      </c>
      <c r="AC4590">
        <v>-21.6053999999999</v>
      </c>
      <c r="AD4590">
        <v>-1.1099080213129999</v>
      </c>
      <c r="AE4590">
        <v>0.65019999999998301</v>
      </c>
      <c r="AF4590">
        <v>0.95849822955313502</v>
      </c>
      <c r="AG4590">
        <v>-1.1099080213129999</v>
      </c>
      <c r="AH4590">
        <v>21.537020891619701</v>
      </c>
      <c r="AI4590">
        <v>92.947209777502295</v>
      </c>
      <c r="AJ4590">
        <v>87.4517511725427</v>
      </c>
      <c r="AK4590">
        <v>21.586891475103499</v>
      </c>
      <c r="AL4590">
        <v>90.088861720493696</v>
      </c>
      <c r="AM4590">
        <v>86.403431614492504</v>
      </c>
      <c r="AN4590">
        <v>1.0000000129989499</v>
      </c>
    </row>
    <row r="4591" spans="1:40" x14ac:dyDescent="0.25">
      <c r="A4591" t="str">
        <f>"20190312154928148"</f>
        <v>20190312154928148</v>
      </c>
      <c r="B4591" t="str">
        <f>"1552376968140499"</f>
        <v>1552376968140499</v>
      </c>
      <c r="C4591" t="s">
        <v>40</v>
      </c>
      <c r="D4591">
        <v>4.9277800000000003</v>
      </c>
      <c r="E4591">
        <v>0.49353140000000001</v>
      </c>
      <c r="F4591" t="s">
        <v>42</v>
      </c>
      <c r="G4591">
        <v>-334.05790000000002</v>
      </c>
      <c r="H4591" s="1">
        <v>-3.298538E-6</v>
      </c>
      <c r="I4591">
        <v>141.53</v>
      </c>
      <c r="J4591">
        <v>-313.3759</v>
      </c>
      <c r="K4591">
        <v>1.109885</v>
      </c>
      <c r="L4591">
        <v>140.9059</v>
      </c>
      <c r="M4591">
        <v>-0.99979280000000004</v>
      </c>
      <c r="N4591">
        <v>0</v>
      </c>
      <c r="O4591">
        <v>-1.440698E-2</v>
      </c>
      <c r="P4591">
        <v>-0.99868120000000005</v>
      </c>
      <c r="Q4591">
        <v>-1.726188E-2</v>
      </c>
      <c r="R4591">
        <v>4.8353029999999998E-2</v>
      </c>
      <c r="S4591">
        <v>-2.9971619999999999</v>
      </c>
      <c r="T4591">
        <v>-0.1583965</v>
      </c>
      <c r="U4591">
        <v>8.8409420000000002E-2</v>
      </c>
      <c r="V4591">
        <v>6.2737490000000007E-2</v>
      </c>
      <c r="W4591">
        <v>-2.9045780000000001E-3</v>
      </c>
      <c r="X4591">
        <v>0.99802579999999996</v>
      </c>
      <c r="Y4591">
        <v>4.3802870000000001E-2</v>
      </c>
      <c r="Z4591">
        <v>1.9172029999999999E-3</v>
      </c>
      <c r="AA4591">
        <v>0.99903830000000005</v>
      </c>
      <c r="AB4591">
        <v>32</v>
      </c>
      <c r="AC4591">
        <v>-20.681999999999999</v>
      </c>
      <c r="AD4591">
        <v>-1.1098882985380001</v>
      </c>
      <c r="AE4591">
        <v>0.62409999999999799</v>
      </c>
      <c r="AF4591">
        <v>0.91938588130044296</v>
      </c>
      <c r="AG4591">
        <v>-1.1098882985380001</v>
      </c>
      <c r="AH4591">
        <v>20.611556048692002</v>
      </c>
      <c r="AI4591">
        <v>93.079222766848403</v>
      </c>
      <c r="AJ4591">
        <v>87.445994069809601</v>
      </c>
      <c r="AK4591">
        <v>20.6618819370922</v>
      </c>
      <c r="AL4591">
        <v>90.16642030077</v>
      </c>
      <c r="AM4591">
        <v>86.403029045440405</v>
      </c>
      <c r="AN4591">
        <v>0.99999996334524799</v>
      </c>
    </row>
    <row r="4592" spans="1:40" x14ac:dyDescent="0.25">
      <c r="A4592" t="str">
        <f>"20190312154928170"</f>
        <v>20190312154928170</v>
      </c>
      <c r="B4592" t="str">
        <f>"1552376968160032"</f>
        <v>1552376968160032</v>
      </c>
      <c r="C4592" t="s">
        <v>40</v>
      </c>
      <c r="D4592">
        <v>4.9507640000000004</v>
      </c>
      <c r="E4592">
        <v>0.49366660000000001</v>
      </c>
      <c r="F4592" t="s">
        <v>42</v>
      </c>
      <c r="G4592">
        <v>-333.81699999999898</v>
      </c>
      <c r="H4592" s="1">
        <v>-3.4075410000000001E-6</v>
      </c>
      <c r="I4592">
        <v>141.51169999999999</v>
      </c>
      <c r="J4592">
        <v>-313.6977</v>
      </c>
      <c r="K4592">
        <v>1.1098709999999901</v>
      </c>
      <c r="L4592">
        <v>140.90129999999999</v>
      </c>
      <c r="M4592">
        <v>-0.99979289999999998</v>
      </c>
      <c r="N4592">
        <v>0</v>
      </c>
      <c r="O4592">
        <v>-1.4402770000000001E-2</v>
      </c>
      <c r="P4592">
        <v>-0.99869050000000004</v>
      </c>
      <c r="Q4592">
        <v>-1.7777230000000002E-2</v>
      </c>
      <c r="R4592">
        <v>4.7971640000000003E-2</v>
      </c>
      <c r="S4592">
        <v>-2.9968870000000001</v>
      </c>
      <c r="T4592">
        <v>-0.16272139999999999</v>
      </c>
      <c r="U4592">
        <v>8.8821410000000003E-2</v>
      </c>
      <c r="V4592">
        <v>6.2352070000000002E-2</v>
      </c>
      <c r="W4592">
        <v>-3.425417E-3</v>
      </c>
      <c r="X4592">
        <v>0.99804839999999995</v>
      </c>
      <c r="Y4592">
        <v>4.3933880000000002E-2</v>
      </c>
      <c r="Z4592">
        <v>1.972976E-3</v>
      </c>
      <c r="AA4592">
        <v>0.99903249999999999</v>
      </c>
      <c r="AB4592">
        <v>31</v>
      </c>
      <c r="AC4592">
        <v>-20.1192999999999</v>
      </c>
      <c r="AD4592">
        <v>-1.1098744075410001</v>
      </c>
      <c r="AE4592">
        <v>0.61039999999999806</v>
      </c>
      <c r="AF4592">
        <v>0.89741184021173503</v>
      </c>
      <c r="AG4592">
        <v>-1.1098744075410001</v>
      </c>
      <c r="AH4592">
        <v>20.047469175330399</v>
      </c>
      <c r="AI4592">
        <v>93.165628824703703</v>
      </c>
      <c r="AJ4592">
        <v>87.436903023647503</v>
      </c>
      <c r="AK4592">
        <v>20.098213590945999</v>
      </c>
      <c r="AL4592">
        <v>90.196262308924105</v>
      </c>
      <c r="AM4592">
        <v>86.425149849542606</v>
      </c>
      <c r="AN4592">
        <v>1.0000000614287301</v>
      </c>
    </row>
    <row r="4593" spans="1:40" x14ac:dyDescent="0.25">
      <c r="A4593" t="str">
        <f>"20190312154928192"</f>
        <v>20190312154928192</v>
      </c>
      <c r="B4593" t="str">
        <f>"1552376968180514"</f>
        <v>1552376968180514</v>
      </c>
      <c r="C4593" t="s">
        <v>40</v>
      </c>
      <c r="D4593">
        <v>4.9786769999999896</v>
      </c>
      <c r="E4593">
        <v>0.4937705</v>
      </c>
      <c r="F4593" t="s">
        <v>42</v>
      </c>
      <c r="G4593">
        <v>-333.9042</v>
      </c>
      <c r="H4593" s="1">
        <v>-3.362822E-6</v>
      </c>
      <c r="I4593">
        <v>141.49860000000001</v>
      </c>
      <c r="J4593">
        <v>-314.00850000000003</v>
      </c>
      <c r="K4593">
        <v>1.109855</v>
      </c>
      <c r="L4593">
        <v>140.89680000000001</v>
      </c>
      <c r="M4593">
        <v>-0.99979340000000005</v>
      </c>
      <c r="N4593">
        <v>0</v>
      </c>
      <c r="O4593">
        <v>-1.437973E-2</v>
      </c>
      <c r="P4593">
        <v>-0.9986855</v>
      </c>
      <c r="Q4593">
        <v>-1.713342E-2</v>
      </c>
      <c r="R4593">
        <v>4.8314679999999999E-2</v>
      </c>
      <c r="S4593">
        <v>-2.9967350000000001</v>
      </c>
      <c r="T4593">
        <v>-0.1646001</v>
      </c>
      <c r="U4593">
        <v>8.8592530000000003E-2</v>
      </c>
      <c r="V4593">
        <v>6.267209E-2</v>
      </c>
      <c r="W4593">
        <v>-2.7873099999999999E-3</v>
      </c>
      <c r="X4593">
        <v>0.99803030000000004</v>
      </c>
      <c r="Y4593">
        <v>4.3834310000000001E-2</v>
      </c>
      <c r="Z4593">
        <v>1.9918280000000002E-3</v>
      </c>
      <c r="AA4593">
        <v>0.99903679999999995</v>
      </c>
      <c r="AB4593">
        <v>31</v>
      </c>
      <c r="AC4593">
        <v>-19.895699999999898</v>
      </c>
      <c r="AD4593">
        <v>-1.109858362822</v>
      </c>
      <c r="AE4593">
        <v>0.601799999999997</v>
      </c>
      <c r="AF4593">
        <v>0.88511028563618299</v>
      </c>
      <c r="AG4593">
        <v>-1.109858362822</v>
      </c>
      <c r="AH4593">
        <v>19.823357226581098</v>
      </c>
      <c r="AI4593">
        <v>93.201313788094595</v>
      </c>
      <c r="AJ4593">
        <v>87.4434490217876</v>
      </c>
      <c r="AK4593">
        <v>19.874121302233899</v>
      </c>
      <c r="AL4593">
        <v>90.159701302815705</v>
      </c>
      <c r="AM4593">
        <v>86.406784997978903</v>
      </c>
      <c r="AN4593">
        <v>1.0000000198400401</v>
      </c>
    </row>
    <row r="4594" spans="1:40" x14ac:dyDescent="0.25">
      <c r="A4594" t="str">
        <f>"20190312154928214"</f>
        <v>20190312154928214</v>
      </c>
      <c r="B4594" t="str">
        <f>"1552376968210772"</f>
        <v>1552376968210772</v>
      </c>
      <c r="C4594" t="s">
        <v>40</v>
      </c>
      <c r="D4594">
        <v>4.9898049999999996</v>
      </c>
      <c r="E4594">
        <v>0.49380750000000001</v>
      </c>
      <c r="F4594" t="s">
        <v>42</v>
      </c>
      <c r="G4594">
        <v>-334.46879999999999</v>
      </c>
      <c r="H4594" s="1">
        <v>-3.1000439999999999E-6</v>
      </c>
      <c r="I4594">
        <v>141.51400000000001</v>
      </c>
      <c r="J4594">
        <v>-314.31740000000002</v>
      </c>
      <c r="K4594">
        <v>1.1098429999999999</v>
      </c>
      <c r="L4594">
        <v>140.89240000000001</v>
      </c>
      <c r="M4594">
        <v>-0.99979399999999996</v>
      </c>
      <c r="N4594">
        <v>0</v>
      </c>
      <c r="O4594">
        <v>-1.433603E-2</v>
      </c>
      <c r="P4594">
        <v>-0.99866100000000002</v>
      </c>
      <c r="Q4594">
        <v>-1.6942970000000002E-2</v>
      </c>
      <c r="R4594">
        <v>4.8881679999999997E-2</v>
      </c>
      <c r="S4594">
        <v>-2.9967959999999998</v>
      </c>
      <c r="T4594">
        <v>-0.1625595</v>
      </c>
      <c r="U4594">
        <v>9.0408329999999995E-2</v>
      </c>
      <c r="V4594">
        <v>6.319487E-2</v>
      </c>
      <c r="W4594">
        <v>-2.60319E-3</v>
      </c>
      <c r="X4594">
        <v>0.99799780000000005</v>
      </c>
      <c r="Y4594">
        <v>4.4396230000000002E-2</v>
      </c>
      <c r="Z4594">
        <v>1.979972E-3</v>
      </c>
      <c r="AA4594">
        <v>0.99901209999999996</v>
      </c>
      <c r="AB4594">
        <v>31</v>
      </c>
      <c r="AC4594">
        <v>-20.151399999999899</v>
      </c>
      <c r="AD4594">
        <v>-1.1098461000440001</v>
      </c>
      <c r="AE4594">
        <v>0.62160000000000004</v>
      </c>
      <c r="AF4594">
        <v>0.90770627938297599</v>
      </c>
      <c r="AG4594">
        <v>-1.1098461000440001</v>
      </c>
      <c r="AH4594">
        <v>20.0795670829289</v>
      </c>
      <c r="AI4594">
        <v>93.160435810777997</v>
      </c>
      <c r="AJ4594">
        <v>87.411679471575098</v>
      </c>
      <c r="AK4594">
        <v>20.130690581628301</v>
      </c>
      <c r="AL4594">
        <v>90.149151970443597</v>
      </c>
      <c r="AM4594">
        <v>86.376773987071005</v>
      </c>
      <c r="AN4594">
        <v>0.999999988498666</v>
      </c>
    </row>
    <row r="4595" spans="1:40" x14ac:dyDescent="0.25">
      <c r="A4595" t="str">
        <f>"20190312154928236"</f>
        <v>20190312154928236</v>
      </c>
      <c r="B4595" t="str">
        <f>"1552376968230291"</f>
        <v>1552376968230291</v>
      </c>
      <c r="C4595" t="s">
        <v>40</v>
      </c>
      <c r="D4595">
        <v>4.9931530000000004</v>
      </c>
      <c r="E4595">
        <v>0.49395260000000002</v>
      </c>
      <c r="F4595" t="s">
        <v>42</v>
      </c>
      <c r="G4595">
        <v>-335.00220000000002</v>
      </c>
      <c r="H4595" s="1">
        <v>-2.8521950000000001E-6</v>
      </c>
      <c r="I4595">
        <v>141.53020000000001</v>
      </c>
      <c r="J4595">
        <v>-314.62740000000002</v>
      </c>
      <c r="K4595">
        <v>1.109829</v>
      </c>
      <c r="L4595">
        <v>140.88800000000001</v>
      </c>
      <c r="M4595">
        <v>-0.99979499999999999</v>
      </c>
      <c r="N4595">
        <v>0</v>
      </c>
      <c r="O4595">
        <v>-1.4268909999999999E-2</v>
      </c>
      <c r="P4595">
        <v>-0.99862019999999996</v>
      </c>
      <c r="Q4595">
        <v>-1.6970240000000001E-2</v>
      </c>
      <c r="R4595">
        <v>4.9697499999999999E-2</v>
      </c>
      <c r="S4595">
        <v>-2.9967649999999999</v>
      </c>
      <c r="T4595">
        <v>-0.16079199999999999</v>
      </c>
      <c r="U4595">
        <v>9.2407230000000007E-2</v>
      </c>
      <c r="V4595">
        <v>6.3942689999999996E-2</v>
      </c>
      <c r="W4595">
        <v>-2.6376839999999999E-3</v>
      </c>
      <c r="X4595">
        <v>0.99795009999999995</v>
      </c>
      <c r="Y4595">
        <v>4.4996300000000003E-2</v>
      </c>
      <c r="Z4595">
        <v>1.9709599999999999E-3</v>
      </c>
      <c r="AA4595">
        <v>0.99898520000000002</v>
      </c>
      <c r="AB4595">
        <v>31</v>
      </c>
      <c r="AC4595">
        <v>-20.3748</v>
      </c>
      <c r="AD4595">
        <v>-1.1098318521949999</v>
      </c>
      <c r="AE4595">
        <v>0.64220000000000199</v>
      </c>
      <c r="AF4595">
        <v>0.930133763198983</v>
      </c>
      <c r="AG4595">
        <v>-1.1098318521949999</v>
      </c>
      <c r="AH4595">
        <v>20.3033791135305</v>
      </c>
      <c r="AI4595">
        <v>93.125540624888203</v>
      </c>
      <c r="AJ4595">
        <v>87.3770127897413</v>
      </c>
      <c r="AK4595">
        <v>20.354952198060701</v>
      </c>
      <c r="AL4595">
        <v>90.151128334086707</v>
      </c>
      <c r="AM4595">
        <v>86.333839834471107</v>
      </c>
      <c r="AN4595">
        <v>1.0000000135356599</v>
      </c>
    </row>
    <row r="4596" spans="1:40" x14ac:dyDescent="0.25">
      <c r="A4596" t="str">
        <f>"20190312154928258"</f>
        <v>20190312154928258</v>
      </c>
      <c r="B4596" t="str">
        <f>"1552376968250786"</f>
        <v>1552376968250786</v>
      </c>
      <c r="C4596" t="s">
        <v>40</v>
      </c>
      <c r="D4596">
        <v>4.9875439999999998</v>
      </c>
      <c r="E4596">
        <v>0.49394769999999999</v>
      </c>
      <c r="F4596" t="s">
        <v>42</v>
      </c>
      <c r="G4596">
        <v>-335.44199999999898</v>
      </c>
      <c r="H4596" s="1">
        <v>-2.6509240000000001E-6</v>
      </c>
      <c r="I4596">
        <v>141.55500000000001</v>
      </c>
      <c r="J4596">
        <v>-314.93119999999999</v>
      </c>
      <c r="K4596">
        <v>1.109809</v>
      </c>
      <c r="L4596">
        <v>140.88380000000001</v>
      </c>
      <c r="M4596">
        <v>-0.99979629999999997</v>
      </c>
      <c r="N4596">
        <v>0</v>
      </c>
      <c r="O4596">
        <v>-1.4180190000000001E-2</v>
      </c>
      <c r="P4596">
        <v>-0.99856290000000003</v>
      </c>
      <c r="Q4596">
        <v>-1.7627509999999999E-2</v>
      </c>
      <c r="R4596">
        <v>5.0611049999999998E-2</v>
      </c>
      <c r="S4596">
        <v>-2.9966430000000002</v>
      </c>
      <c r="T4596">
        <v>-0.1597809</v>
      </c>
      <c r="U4596">
        <v>9.6023559999999994E-2</v>
      </c>
      <c r="V4596">
        <v>6.4766660000000004E-2</v>
      </c>
      <c r="W4596">
        <v>-3.3026309999999999E-3</v>
      </c>
      <c r="X4596">
        <v>0.99789490000000003</v>
      </c>
      <c r="Y4596">
        <v>4.6112849999999997E-2</v>
      </c>
      <c r="Z4596">
        <v>1.9836390000000001E-3</v>
      </c>
      <c r="AA4596">
        <v>0.99893430000000005</v>
      </c>
      <c r="AB4596">
        <v>31</v>
      </c>
      <c r="AC4596">
        <v>-20.5107999999999</v>
      </c>
      <c r="AD4596">
        <v>-1.1098116509239999</v>
      </c>
      <c r="AE4596">
        <v>0.67119999999999802</v>
      </c>
      <c r="AF4596">
        <v>0.95920424271733595</v>
      </c>
      <c r="AG4596">
        <v>-1.1098116509239999</v>
      </c>
      <c r="AH4596">
        <v>20.439441139497301</v>
      </c>
      <c r="AI4596">
        <v>93.104558657220494</v>
      </c>
      <c r="AJ4596">
        <v>87.313132878127206</v>
      </c>
      <c r="AK4596">
        <v>20.492010852396799</v>
      </c>
      <c r="AL4596">
        <v>90.189227174919694</v>
      </c>
      <c r="AM4596">
        <v>86.286523942822598</v>
      </c>
      <c r="AN4596">
        <v>0.99999992953254102</v>
      </c>
    </row>
    <row r="4597" spans="1:40" x14ac:dyDescent="0.25">
      <c r="A4597" t="str">
        <f>"20190312154928280"</f>
        <v>20190312154928280</v>
      </c>
      <c r="B4597" t="str">
        <f>"1552376968270319"</f>
        <v>1552376968270319</v>
      </c>
      <c r="C4597" t="s">
        <v>40</v>
      </c>
      <c r="D4597">
        <v>4.9780170000000004</v>
      </c>
      <c r="E4597">
        <v>0.49401790000000001</v>
      </c>
      <c r="F4597" t="s">
        <v>42</v>
      </c>
      <c r="G4597">
        <v>-335.47269999999997</v>
      </c>
      <c r="H4597" s="1">
        <v>-2.6375620000000002E-6</v>
      </c>
      <c r="I4597">
        <v>141.55950000000001</v>
      </c>
      <c r="J4597">
        <v>-315.24220000000003</v>
      </c>
      <c r="K4597">
        <v>1.1097870000000001</v>
      </c>
      <c r="L4597">
        <v>140.87950000000001</v>
      </c>
      <c r="M4597">
        <v>-0.99979790000000002</v>
      </c>
      <c r="N4597">
        <v>0</v>
      </c>
      <c r="O4597">
        <v>-1.406727E-2</v>
      </c>
      <c r="P4597">
        <v>-0.99846570000000001</v>
      </c>
      <c r="Q4597">
        <v>-1.8655410000000001E-2</v>
      </c>
      <c r="R4597">
        <v>5.2139150000000002E-2</v>
      </c>
      <c r="S4597">
        <v>-2.9964599999999999</v>
      </c>
      <c r="T4597">
        <v>-0.16189120000000001</v>
      </c>
      <c r="U4597">
        <v>9.8571779999999998E-2</v>
      </c>
      <c r="V4597">
        <v>6.6180210000000003E-2</v>
      </c>
      <c r="W4597">
        <v>-4.3390900000000003E-3</v>
      </c>
      <c r="X4597">
        <v>0.99779830000000003</v>
      </c>
      <c r="Y4597">
        <v>4.6847399999999997E-2</v>
      </c>
      <c r="Z4597">
        <v>2.0236239999999999E-3</v>
      </c>
      <c r="AA4597">
        <v>0.99890000000000001</v>
      </c>
      <c r="AB4597">
        <v>31</v>
      </c>
      <c r="AC4597">
        <v>-20.2304999999999</v>
      </c>
      <c r="AD4597">
        <v>-1.109789637562</v>
      </c>
      <c r="AE4597">
        <v>0.68000000000000604</v>
      </c>
      <c r="AF4597">
        <v>0.96165928943893597</v>
      </c>
      <c r="AG4597">
        <v>-1.109789637562</v>
      </c>
      <c r="AH4597">
        <v>20.158336682695399</v>
      </c>
      <c r="AI4597">
        <v>93.1475872908144</v>
      </c>
      <c r="AJ4597">
        <v>87.268758903809101</v>
      </c>
      <c r="AK4597">
        <v>20.211753002683999</v>
      </c>
      <c r="AL4597">
        <v>90.248612312208195</v>
      </c>
      <c r="AM4597">
        <v>86.2053442820188</v>
      </c>
      <c r="AN4597">
        <v>1.0000000476902799</v>
      </c>
    </row>
    <row r="4598" spans="1:40" x14ac:dyDescent="0.25">
      <c r="A4598" t="str">
        <f>"20190312154928303"</f>
        <v>20190312154928303</v>
      </c>
      <c r="B4598" t="str">
        <f>"1552376968300563"</f>
        <v>1552376968300563</v>
      </c>
      <c r="C4598" t="s">
        <v>40</v>
      </c>
      <c r="D4598">
        <v>4.9766000000000004</v>
      </c>
      <c r="E4598">
        <v>0.4940042</v>
      </c>
      <c r="F4598" t="s">
        <v>42</v>
      </c>
      <c r="G4598">
        <v>-335.40320000000003</v>
      </c>
      <c r="H4598" s="1">
        <v>-2.675259E-6</v>
      </c>
      <c r="I4598">
        <v>141.57769999999999</v>
      </c>
      <c r="J4598">
        <v>-315.56720000000001</v>
      </c>
      <c r="K4598">
        <v>1.109758</v>
      </c>
      <c r="L4598">
        <v>140.875</v>
      </c>
      <c r="M4598">
        <v>-0.99980000000000002</v>
      </c>
      <c r="N4598">
        <v>0</v>
      </c>
      <c r="O4598">
        <v>-1.3928279999999999E-2</v>
      </c>
      <c r="P4598">
        <v>-0.99836950000000002</v>
      </c>
      <c r="Q4598">
        <v>-2.0461590000000002E-2</v>
      </c>
      <c r="R4598">
        <v>5.3290619999999997E-2</v>
      </c>
      <c r="S4598">
        <v>-2.996124</v>
      </c>
      <c r="T4598">
        <v>-0.16492509999999999</v>
      </c>
      <c r="U4598">
        <v>0.1037598</v>
      </c>
      <c r="V4598">
        <v>6.7190739999999999E-2</v>
      </c>
      <c r="W4598">
        <v>-6.1534500000000004E-3</v>
      </c>
      <c r="X4598">
        <v>0.99772119999999997</v>
      </c>
      <c r="Y4598">
        <v>4.8434289999999998E-2</v>
      </c>
      <c r="Z4598">
        <v>2.097649E-3</v>
      </c>
      <c r="AA4598">
        <v>0.99882420000000005</v>
      </c>
      <c r="AB4598">
        <v>31</v>
      </c>
      <c r="AC4598">
        <v>-19.835999999999999</v>
      </c>
      <c r="AD4598">
        <v>-1.1097606752589999</v>
      </c>
      <c r="AE4598">
        <v>0.702699999999992</v>
      </c>
      <c r="AF4598">
        <v>0.97589088718372796</v>
      </c>
      <c r="AG4598">
        <v>-1.1097606752589999</v>
      </c>
      <c r="AH4598">
        <v>19.762507049894499</v>
      </c>
      <c r="AI4598">
        <v>93.210157165622803</v>
      </c>
      <c r="AJ4598">
        <v>87.172977766493403</v>
      </c>
      <c r="AK4598">
        <v>19.817684442869901</v>
      </c>
      <c r="AL4598">
        <v>90.352568930052399</v>
      </c>
      <c r="AM4598">
        <v>86.147278651453803</v>
      </c>
      <c r="AN4598">
        <v>1.0000000267090401</v>
      </c>
    </row>
    <row r="4599" spans="1:40" x14ac:dyDescent="0.25">
      <c r="A4599" t="str">
        <f>"20190312154928325"</f>
        <v>20190312154928325</v>
      </c>
      <c r="B4599" t="str">
        <f>"1552376968320083"</f>
        <v>1552376968320083</v>
      </c>
      <c r="C4599" t="s">
        <v>40</v>
      </c>
      <c r="D4599">
        <v>5.2022329999999997</v>
      </c>
      <c r="E4599">
        <v>0.49405830000000001</v>
      </c>
      <c r="F4599" t="s">
        <v>42</v>
      </c>
      <c r="G4599">
        <v>-335.142</v>
      </c>
      <c r="H4599" s="1">
        <v>-2.797987E-6</v>
      </c>
      <c r="I4599">
        <v>141.57490000000001</v>
      </c>
      <c r="J4599">
        <v>-315.86799999999999</v>
      </c>
      <c r="K4599">
        <v>1.109737</v>
      </c>
      <c r="L4599">
        <v>140.87100000000001</v>
      </c>
      <c r="M4599">
        <v>-0.99980190000000002</v>
      </c>
      <c r="N4599">
        <v>0</v>
      </c>
      <c r="O4599">
        <v>-1.378368E-2</v>
      </c>
      <c r="P4599">
        <v>-0.99826429999999999</v>
      </c>
      <c r="Q4599">
        <v>-2.3022299999999999E-2</v>
      </c>
      <c r="R4599">
        <v>5.4210599999999998E-2</v>
      </c>
      <c r="S4599">
        <v>-2.9956969999999998</v>
      </c>
      <c r="T4599">
        <v>-0.16983570000000001</v>
      </c>
      <c r="U4599">
        <v>0.1071014</v>
      </c>
      <c r="V4599">
        <v>6.7964049999999998E-2</v>
      </c>
      <c r="W4599">
        <v>-8.7210429999999995E-3</v>
      </c>
      <c r="X4599">
        <v>0.99764969999999997</v>
      </c>
      <c r="Y4599">
        <v>4.94005E-2</v>
      </c>
      <c r="Z4599">
        <v>2.1794430000000001E-3</v>
      </c>
      <c r="AA4599">
        <v>0.99877669999999996</v>
      </c>
      <c r="AB4599">
        <v>31</v>
      </c>
      <c r="AC4599">
        <v>-19.274000000000001</v>
      </c>
      <c r="AD4599">
        <v>-1.1097397979870001</v>
      </c>
      <c r="AE4599">
        <v>0.70390000000000397</v>
      </c>
      <c r="AF4599">
        <v>0.96632793369905301</v>
      </c>
      <c r="AG4599">
        <v>-1.1097397979870001</v>
      </c>
      <c r="AH4599">
        <v>19.198903471990299</v>
      </c>
      <c r="AI4599">
        <v>93.303970771316401</v>
      </c>
      <c r="AJ4599">
        <v>87.1185943569741</v>
      </c>
      <c r="AK4599">
        <v>19.2552124532939</v>
      </c>
      <c r="AL4599">
        <v>90.499685267914103</v>
      </c>
      <c r="AM4599">
        <v>86.102794427988599</v>
      </c>
      <c r="AN4599">
        <v>1.00000004629674</v>
      </c>
    </row>
    <row r="4600" spans="1:40" x14ac:dyDescent="0.25">
      <c r="A4600" t="str">
        <f>"20190312154928347"</f>
        <v>20190312154928347</v>
      </c>
      <c r="B4600" t="str">
        <f>"1552376968340579"</f>
        <v>1552376968340579</v>
      </c>
      <c r="C4600" t="s">
        <v>40</v>
      </c>
      <c r="D4600">
        <v>4.8164730000000002</v>
      </c>
      <c r="E4600">
        <v>0.4686341</v>
      </c>
      <c r="F4600" t="s">
        <v>41</v>
      </c>
      <c r="G4600">
        <v>-316.88260000000002</v>
      </c>
      <c r="H4600">
        <v>1.0498240000000001</v>
      </c>
      <c r="I4600">
        <v>140.90860000000001</v>
      </c>
      <c r="J4600">
        <v>-316.17860000000002</v>
      </c>
      <c r="K4600">
        <v>1.1097140000000001</v>
      </c>
      <c r="L4600">
        <v>140.86689999999999</v>
      </c>
      <c r="M4600">
        <v>-0.99980409999999997</v>
      </c>
      <c r="N4600">
        <v>0</v>
      </c>
      <c r="O4600">
        <v>-1.362473E-2</v>
      </c>
      <c r="P4600">
        <v>-0.99819020000000003</v>
      </c>
      <c r="Q4600">
        <v>-2.5605180000000002E-2</v>
      </c>
      <c r="R4600">
        <v>5.4411080000000001E-2</v>
      </c>
      <c r="S4600">
        <v>-2.9951479999999999</v>
      </c>
      <c r="T4600">
        <v>-0.1769502</v>
      </c>
      <c r="U4600">
        <v>0.11019900000000001</v>
      </c>
      <c r="V4600">
        <v>6.8003679999999997E-2</v>
      </c>
      <c r="W4600">
        <v>-1.130946E-2</v>
      </c>
      <c r="X4600">
        <v>0.99762090000000003</v>
      </c>
      <c r="Y4600">
        <v>5.026986E-2</v>
      </c>
      <c r="Z4600">
        <v>2.287229E-3</v>
      </c>
      <c r="AA4600">
        <v>0.99873299999999998</v>
      </c>
      <c r="AB4600">
        <v>31</v>
      </c>
      <c r="AC4600">
        <v>-0.70400000000000695</v>
      </c>
      <c r="AD4600">
        <v>-5.9889999999999999E-2</v>
      </c>
      <c r="AE4600">
        <v>4.1700000000019999E-2</v>
      </c>
      <c r="AF4600">
        <v>5.0921691377627899E-2</v>
      </c>
      <c r="AG4600">
        <v>-5.9889999999999999E-2</v>
      </c>
      <c r="AH4600">
        <v>0.69833022953122004</v>
      </c>
      <c r="AI4600">
        <v>94.888873080956799</v>
      </c>
      <c r="AJ4600">
        <v>85.8294183015269</v>
      </c>
      <c r="AK4600">
        <v>0.70274101931642297</v>
      </c>
      <c r="AL4600">
        <v>90.647998184557693</v>
      </c>
      <c r="AM4600">
        <v>86.100416741649894</v>
      </c>
      <c r="AN4600">
        <v>0.99999993224791905</v>
      </c>
    </row>
    <row r="4601" spans="1:40" x14ac:dyDescent="0.25">
      <c r="A4601" t="str">
        <f>"20190312154928370"</f>
        <v>20190312154928370</v>
      </c>
      <c r="B4601" t="str">
        <f>"1552376968360099"</f>
        <v>1552376968360099</v>
      </c>
      <c r="C4601" t="s">
        <v>40</v>
      </c>
      <c r="D4601">
        <v>4.8732199999999999</v>
      </c>
      <c r="E4601">
        <v>0.45799499999999999</v>
      </c>
      <c r="F4601" t="s">
        <v>42</v>
      </c>
      <c r="G4601">
        <v>-347.45859999999999</v>
      </c>
      <c r="H4601" s="1">
        <v>-1.1610410000000001E-6</v>
      </c>
      <c r="I4601">
        <v>139.94890000000001</v>
      </c>
      <c r="J4601">
        <v>-316.49439999999998</v>
      </c>
      <c r="K4601">
        <v>1.109696</v>
      </c>
      <c r="L4601">
        <v>140.86269999999999</v>
      </c>
      <c r="M4601">
        <v>-0.99980650000000004</v>
      </c>
      <c r="N4601">
        <v>0</v>
      </c>
      <c r="O4601">
        <v>-1.345844E-2</v>
      </c>
      <c r="P4601">
        <v>-0.99809499999999995</v>
      </c>
      <c r="Q4601">
        <v>-2.8561509999999998E-2</v>
      </c>
      <c r="R4601">
        <v>5.4691379999999998E-2</v>
      </c>
      <c r="S4601">
        <v>-3.0075069999999999</v>
      </c>
      <c r="T4601">
        <v>-0.106697</v>
      </c>
      <c r="U4601">
        <v>-8.8256840000000003E-2</v>
      </c>
      <c r="V4601">
        <v>6.8115759999999997E-2</v>
      </c>
      <c r="W4601">
        <v>-1.427117E-2</v>
      </c>
      <c r="X4601">
        <v>0.99757530000000005</v>
      </c>
      <c r="Y4601">
        <v>-1.587467E-2</v>
      </c>
      <c r="Z4601">
        <v>1.9578250000000001E-4</v>
      </c>
      <c r="AA4601">
        <v>0.99987400000000004</v>
      </c>
      <c r="AB4601">
        <v>31</v>
      </c>
      <c r="AC4601">
        <v>-30.964200000000002</v>
      </c>
      <c r="AD4601">
        <v>-1.109697161041</v>
      </c>
      <c r="AE4601">
        <v>-0.91379999999997996</v>
      </c>
      <c r="AF4601">
        <v>-0.49630761170187099</v>
      </c>
      <c r="AG4601">
        <v>-1.109697161041</v>
      </c>
      <c r="AH4601">
        <v>30.933998575120501</v>
      </c>
      <c r="AI4601">
        <v>92.054229748563799</v>
      </c>
      <c r="AJ4601">
        <v>90.919179324395401</v>
      </c>
      <c r="AK4601">
        <v>30.957874876680599</v>
      </c>
      <c r="AL4601">
        <v>90.817705607804697</v>
      </c>
      <c r="AM4601">
        <v>86.093831543691905</v>
      </c>
      <c r="AN4601">
        <v>0.99999995111181705</v>
      </c>
    </row>
    <row r="4602" spans="1:40" x14ac:dyDescent="0.25">
      <c r="A4602" t="str">
        <f>"20190312154928395"</f>
        <v>20190312154928395</v>
      </c>
      <c r="B4602" t="str">
        <f>"1552376968390355"</f>
        <v>1552376968390355</v>
      </c>
      <c r="C4602" t="s">
        <v>40</v>
      </c>
      <c r="D4602">
        <v>4.8539899999999996</v>
      </c>
      <c r="E4602">
        <v>0.4516212</v>
      </c>
      <c r="F4602" t="s">
        <v>42</v>
      </c>
      <c r="G4602">
        <v>-352.12279999999998</v>
      </c>
      <c r="H4602" s="1">
        <v>-3.4996240000000002E-6</v>
      </c>
      <c r="I4602">
        <v>138.8382</v>
      </c>
      <c r="J4602">
        <v>-316.82740000000001</v>
      </c>
      <c r="K4602">
        <v>1.109691</v>
      </c>
      <c r="L4602">
        <v>140.85839999999999</v>
      </c>
      <c r="M4602">
        <v>-0.99980899999999995</v>
      </c>
      <c r="N4602">
        <v>0</v>
      </c>
      <c r="O4602">
        <v>-1.328181E-2</v>
      </c>
      <c r="P4602">
        <v>-0.99806799999999996</v>
      </c>
      <c r="Q4602">
        <v>-2.8887429999999999E-2</v>
      </c>
      <c r="R4602">
        <v>5.5006840000000001E-2</v>
      </c>
      <c r="S4602">
        <v>-3.0124209999999998</v>
      </c>
      <c r="T4602">
        <v>-9.3826290000000007E-2</v>
      </c>
      <c r="U4602">
        <v>-0.17117309999999999</v>
      </c>
      <c r="V4602">
        <v>6.8254319999999993E-2</v>
      </c>
      <c r="W4602">
        <v>-1.4601589999999999E-2</v>
      </c>
      <c r="X4602">
        <v>0.99756109999999998</v>
      </c>
      <c r="Y4602">
        <v>-4.3449559999999998E-2</v>
      </c>
      <c r="Z4602">
        <v>-2.6269880000000001E-4</v>
      </c>
      <c r="AA4602">
        <v>0.99905560000000004</v>
      </c>
      <c r="AB4602">
        <v>31</v>
      </c>
      <c r="AC4602">
        <v>-35.295399999999901</v>
      </c>
      <c r="AD4602">
        <v>-1.1096944996239999</v>
      </c>
      <c r="AE4602">
        <v>-2.02019999999998</v>
      </c>
      <c r="AF4602">
        <v>-1.5496599663181401</v>
      </c>
      <c r="AG4602">
        <v>-1.1096944996239999</v>
      </c>
      <c r="AH4602">
        <v>35.2843565118431</v>
      </c>
      <c r="AI4602">
        <v>91.799627258843898</v>
      </c>
      <c r="AJ4602">
        <v>92.514767515105802</v>
      </c>
      <c r="AK4602">
        <v>35.3357988780295</v>
      </c>
      <c r="AL4602">
        <v>90.836639209582302</v>
      </c>
      <c r="AM4602">
        <v>86.085854807923894</v>
      </c>
      <c r="AN4602">
        <v>1.0000000034312</v>
      </c>
    </row>
    <row r="4603" spans="1:40" x14ac:dyDescent="0.25">
      <c r="A4603" t="str">
        <f>"20190312154928414"</f>
        <v>20190312154928414</v>
      </c>
      <c r="B4603" t="str">
        <f>"1552376968410850"</f>
        <v>1552376968410850</v>
      </c>
      <c r="C4603" t="s">
        <v>40</v>
      </c>
      <c r="D4603">
        <v>4.7911900000000003</v>
      </c>
      <c r="E4603">
        <v>0.44953419999999999</v>
      </c>
      <c r="F4603" t="s">
        <v>42</v>
      </c>
      <c r="G4603">
        <v>-351.40440000000001</v>
      </c>
      <c r="H4603" s="1">
        <v>-3.8991669999999996E-6</v>
      </c>
      <c r="I4603">
        <v>138.32320000000001</v>
      </c>
      <c r="J4603">
        <v>-317.1148</v>
      </c>
      <c r="K4603">
        <v>1.109693</v>
      </c>
      <c r="L4603">
        <v>140.85480000000001</v>
      </c>
      <c r="M4603">
        <v>-0.99981100000000001</v>
      </c>
      <c r="N4603">
        <v>0</v>
      </c>
      <c r="O4603">
        <v>-1.313013E-2</v>
      </c>
      <c r="P4603">
        <v>-0.99807369999999995</v>
      </c>
      <c r="Q4603">
        <v>-2.7885239999999999E-2</v>
      </c>
      <c r="R4603">
        <v>5.54218E-2</v>
      </c>
      <c r="S4603">
        <v>-3.0151979999999998</v>
      </c>
      <c r="T4603">
        <v>-9.6768140000000002E-2</v>
      </c>
      <c r="U4603">
        <v>-0.2210693</v>
      </c>
      <c r="V4603">
        <v>6.851836E-2</v>
      </c>
      <c r="W4603">
        <v>-1.3602879999999999E-2</v>
      </c>
      <c r="X4603">
        <v>0.99755709999999997</v>
      </c>
      <c r="Y4603">
        <v>-5.999546E-2</v>
      </c>
      <c r="Z4603">
        <v>-5.4049179999999999E-4</v>
      </c>
      <c r="AA4603">
        <v>0.99819849999999999</v>
      </c>
      <c r="AB4603">
        <v>31</v>
      </c>
      <c r="AC4603">
        <v>-34.2896</v>
      </c>
      <c r="AD4603">
        <v>-1.109696899167</v>
      </c>
      <c r="AE4603">
        <v>-2.5315999999999899</v>
      </c>
      <c r="AF4603">
        <v>-2.07894299626515</v>
      </c>
      <c r="AG4603">
        <v>-1.109696899167</v>
      </c>
      <c r="AH4603">
        <v>34.284174937484003</v>
      </c>
      <c r="AI4603">
        <v>91.850483717695695</v>
      </c>
      <c r="AJ4603">
        <v>93.470084514277602</v>
      </c>
      <c r="AK4603">
        <v>34.365070672613903</v>
      </c>
      <c r="AL4603">
        <v>90.779411662328698</v>
      </c>
      <c r="AM4603">
        <v>86.0707446750598</v>
      </c>
      <c r="AN4603">
        <v>0.999999985880896</v>
      </c>
    </row>
    <row r="4604" spans="1:40" x14ac:dyDescent="0.25">
      <c r="A4604" t="str">
        <f>"20190312154928437"</f>
        <v>20190312154928437</v>
      </c>
      <c r="B4604" t="str">
        <f>"1552376968430371"</f>
        <v>1552376968430371</v>
      </c>
      <c r="C4604" t="s">
        <v>40</v>
      </c>
      <c r="D4604">
        <v>4.7612550000000002</v>
      </c>
      <c r="E4604">
        <v>0.44832670000000002</v>
      </c>
      <c r="F4604" t="s">
        <v>42</v>
      </c>
      <c r="G4604">
        <v>-352.29500000000002</v>
      </c>
      <c r="H4604" s="1">
        <v>-3.5575459999999998E-6</v>
      </c>
      <c r="I4604">
        <v>138.0951</v>
      </c>
      <c r="J4604">
        <v>-317.428</v>
      </c>
      <c r="K4604">
        <v>1.1096980000000001</v>
      </c>
      <c r="L4604">
        <v>140.8509</v>
      </c>
      <c r="M4604">
        <v>-0.99981310000000001</v>
      </c>
      <c r="N4604">
        <v>0</v>
      </c>
      <c r="O4604">
        <v>-1.2966299999999899E-2</v>
      </c>
      <c r="P4604">
        <v>-0.99805129999999997</v>
      </c>
      <c r="Q4604">
        <v>-2.8064639999999998E-2</v>
      </c>
      <c r="R4604">
        <v>5.5729729999999998E-2</v>
      </c>
      <c r="S4604">
        <v>-3.016235</v>
      </c>
      <c r="T4604">
        <v>-9.5141770000000001E-2</v>
      </c>
      <c r="U4604">
        <v>-0.2366028</v>
      </c>
      <c r="V4604">
        <v>6.8662490000000007E-2</v>
      </c>
      <c r="W4604">
        <v>-1.378617E-2</v>
      </c>
      <c r="X4604">
        <v>0.99754469999999995</v>
      </c>
      <c r="Y4604">
        <v>-6.5242519999999998E-2</v>
      </c>
      <c r="Z4604">
        <v>-6.1889509999999998E-4</v>
      </c>
      <c r="AA4604">
        <v>0.99786929999999996</v>
      </c>
      <c r="AB4604">
        <v>31</v>
      </c>
      <c r="AC4604">
        <v>-34.866999999999997</v>
      </c>
      <c r="AD4604">
        <v>-1.1097015575460001</v>
      </c>
      <c r="AE4604">
        <v>-2.75579999999999</v>
      </c>
      <c r="AF4604">
        <v>-2.30110939680256</v>
      </c>
      <c r="AG4604">
        <v>-1.1097015575460001</v>
      </c>
      <c r="AH4604">
        <v>34.864707900487502</v>
      </c>
      <c r="AI4604">
        <v>91.819084899945693</v>
      </c>
      <c r="AJ4604">
        <v>93.776108267357799</v>
      </c>
      <c r="AK4604">
        <v>34.958180716238502</v>
      </c>
      <c r="AL4604">
        <v>90.789914369969495</v>
      </c>
      <c r="AM4604">
        <v>86.062456573382207</v>
      </c>
      <c r="AN4604">
        <v>1.0000000122571699</v>
      </c>
    </row>
    <row r="4605" spans="1:40" x14ac:dyDescent="0.25">
      <c r="A4605" t="str">
        <f>"20190312154928458"</f>
        <v>20190312154928458</v>
      </c>
      <c r="B4605" t="str">
        <f>"1552376968450867"</f>
        <v>1552376968450867</v>
      </c>
      <c r="C4605" t="s">
        <v>40</v>
      </c>
      <c r="D4605">
        <v>4.7664929999999996</v>
      </c>
      <c r="E4605">
        <v>0.44698599999999999</v>
      </c>
      <c r="F4605" t="s">
        <v>42</v>
      </c>
      <c r="G4605">
        <v>-351.536</v>
      </c>
      <c r="H4605" s="1">
        <v>-3.8864359999999999E-6</v>
      </c>
      <c r="I4605">
        <v>138.07669999999999</v>
      </c>
      <c r="J4605">
        <v>-317.71789999999999</v>
      </c>
      <c r="K4605">
        <v>1.1096950000000001</v>
      </c>
      <c r="L4605">
        <v>140.84719999999999</v>
      </c>
      <c r="M4605">
        <v>-0.99981509999999996</v>
      </c>
      <c r="N4605">
        <v>0</v>
      </c>
      <c r="O4605">
        <v>-1.281583E-2</v>
      </c>
      <c r="P4605">
        <v>-0.9980308</v>
      </c>
      <c r="Q4605">
        <v>-2.8617259999999999E-2</v>
      </c>
      <c r="R4605">
        <v>5.5816770000000002E-2</v>
      </c>
      <c r="S4605">
        <v>-3.016785</v>
      </c>
      <c r="T4605">
        <v>-9.8150970000000004E-2</v>
      </c>
      <c r="U4605">
        <v>-0.2453613</v>
      </c>
      <c r="V4605">
        <v>6.859883E-2</v>
      </c>
      <c r="W4605">
        <v>-1.434215E-2</v>
      </c>
      <c r="X4605">
        <v>0.99754120000000002</v>
      </c>
      <c r="Y4605">
        <v>-6.8253640000000004E-2</v>
      </c>
      <c r="Z4605">
        <v>-6.9204679999999895E-4</v>
      </c>
      <c r="AA4605">
        <v>0.99766779999999999</v>
      </c>
      <c r="AB4605">
        <v>31</v>
      </c>
      <c r="AC4605">
        <v>-33.818100000000001</v>
      </c>
      <c r="AD4605">
        <v>-1.109698886436</v>
      </c>
      <c r="AE4605">
        <v>-2.77049999999999</v>
      </c>
      <c r="AF4605">
        <v>-2.334324148811</v>
      </c>
      <c r="AG4605">
        <v>-1.109698886436</v>
      </c>
      <c r="AH4605">
        <v>33.8146650293845</v>
      </c>
      <c r="AI4605">
        <v>91.875146624174803</v>
      </c>
      <c r="AJ4605">
        <v>93.949028277309793</v>
      </c>
      <c r="AK4605">
        <v>33.913302285382997</v>
      </c>
      <c r="AL4605">
        <v>90.821772862175095</v>
      </c>
      <c r="AM4605">
        <v>86.066082015332697</v>
      </c>
      <c r="AN4605">
        <v>0.99999997122071504</v>
      </c>
    </row>
    <row r="4606" spans="1:40" x14ac:dyDescent="0.25">
      <c r="A4606" t="str">
        <f>"20190312154928482"</f>
        <v>20190312154928482</v>
      </c>
      <c r="B4606" t="str">
        <f>"1552376968470387"</f>
        <v>1552376968470387</v>
      </c>
      <c r="C4606" t="s">
        <v>40</v>
      </c>
      <c r="D4606">
        <v>4.7426199999999996</v>
      </c>
      <c r="E4606">
        <v>0.44592710000000002</v>
      </c>
      <c r="F4606" t="s">
        <v>42</v>
      </c>
      <c r="G4606">
        <v>-350.75799999999998</v>
      </c>
      <c r="H4606" s="1">
        <v>-4.2257939999999997E-6</v>
      </c>
      <c r="I4606">
        <v>138.04519999999999</v>
      </c>
      <c r="J4606">
        <v>-318.03519999999997</v>
      </c>
      <c r="K4606">
        <v>1.109699</v>
      </c>
      <c r="L4606">
        <v>140.8434</v>
      </c>
      <c r="M4606">
        <v>-0.99981730000000002</v>
      </c>
      <c r="N4606">
        <v>0</v>
      </c>
      <c r="O4606">
        <v>-1.265202E-2</v>
      </c>
      <c r="P4606">
        <v>-0.99802959999999996</v>
      </c>
      <c r="Q4606">
        <v>-2.8116459999999999E-2</v>
      </c>
      <c r="R4606">
        <v>5.6093270000000001E-2</v>
      </c>
      <c r="S4606">
        <v>-3.0173649999999999</v>
      </c>
      <c r="T4606">
        <v>-0.1013428</v>
      </c>
      <c r="U4606">
        <v>-0.2558899</v>
      </c>
      <c r="V4606">
        <v>6.8712170000000003E-2</v>
      </c>
      <c r="W4606">
        <v>-1.38447999999999E-2</v>
      </c>
      <c r="X4606">
        <v>0.99754050000000005</v>
      </c>
      <c r="Y4606">
        <v>-7.1854489999999993E-2</v>
      </c>
      <c r="Z4606">
        <v>-7.8013629999999995E-4</v>
      </c>
      <c r="AA4606">
        <v>0.99741480000000005</v>
      </c>
      <c r="AB4606">
        <v>31</v>
      </c>
      <c r="AC4606">
        <v>-32.722799999999999</v>
      </c>
      <c r="AD4606">
        <v>-1.109703225794</v>
      </c>
      <c r="AE4606">
        <v>-2.7982</v>
      </c>
      <c r="AF4606">
        <v>-2.3812053617985298</v>
      </c>
      <c r="AG4606">
        <v>-1.109703225794</v>
      </c>
      <c r="AH4606">
        <v>32.718232729955403</v>
      </c>
      <c r="AI4606">
        <v>91.937434014317901</v>
      </c>
      <c r="AJ4606">
        <v>94.162599330903305</v>
      </c>
      <c r="AK4606">
        <v>32.823533222307397</v>
      </c>
      <c r="AL4606">
        <v>90.793273916164395</v>
      </c>
      <c r="AM4606">
        <v>86.059600039797601</v>
      </c>
      <c r="AN4606">
        <v>1.0000000449666899</v>
      </c>
    </row>
    <row r="4607" spans="1:40" x14ac:dyDescent="0.25">
      <c r="A4607" t="str">
        <f>"20190312154928504"</f>
        <v>20190312154928504</v>
      </c>
      <c r="B4607" t="str">
        <f>"1552376968500644"</f>
        <v>1552376968500644</v>
      </c>
      <c r="C4607" t="s">
        <v>40</v>
      </c>
      <c r="D4607">
        <v>4.7294010000000002</v>
      </c>
      <c r="E4607">
        <v>0.44470890000000002</v>
      </c>
      <c r="F4607" t="s">
        <v>42</v>
      </c>
      <c r="G4607">
        <v>-352.08359999999999</v>
      </c>
      <c r="H4607" s="1">
        <v>-3.6879810000000002E-6</v>
      </c>
      <c r="I4607">
        <v>137.87110000000001</v>
      </c>
      <c r="J4607">
        <v>-318.3451</v>
      </c>
      <c r="K4607">
        <v>1.109707</v>
      </c>
      <c r="L4607">
        <v>140.83959999999999</v>
      </c>
      <c r="M4607">
        <v>-0.99981929999999997</v>
      </c>
      <c r="N4607">
        <v>0</v>
      </c>
      <c r="O4607">
        <v>-1.2492619999999999E-2</v>
      </c>
      <c r="P4607">
        <v>-0.99807849999999998</v>
      </c>
      <c r="Q4607">
        <v>-2.6695480000000001E-2</v>
      </c>
      <c r="R4607">
        <v>5.5915039999999999E-2</v>
      </c>
      <c r="S4607">
        <v>-3.017944</v>
      </c>
      <c r="T4607">
        <v>-9.8360539999999996E-2</v>
      </c>
      <c r="U4607">
        <v>-0.26344299999999998</v>
      </c>
      <c r="V4607">
        <v>6.8375870000000005E-2</v>
      </c>
      <c r="W4607">
        <v>-1.242627E-2</v>
      </c>
      <c r="X4607">
        <v>0.99758230000000003</v>
      </c>
      <c r="Y4607">
        <v>-7.44755E-2</v>
      </c>
      <c r="Z4607">
        <v>-8.0476919999999995E-4</v>
      </c>
      <c r="AA4607">
        <v>0.99722250000000001</v>
      </c>
      <c r="AB4607">
        <v>31</v>
      </c>
      <c r="AC4607">
        <v>-33.738499999999902</v>
      </c>
      <c r="AD4607">
        <v>-1.1097106879809999</v>
      </c>
      <c r="AE4607">
        <v>-2.9684999999999699</v>
      </c>
      <c r="AF4607">
        <v>-2.5440116687000498</v>
      </c>
      <c r="AG4607">
        <v>-1.1097106879809999</v>
      </c>
      <c r="AH4607">
        <v>33.736737007328202</v>
      </c>
      <c r="AI4607">
        <v>91.878634873026002</v>
      </c>
      <c r="AJ4607">
        <v>94.312384699995405</v>
      </c>
      <c r="AK4607">
        <v>33.8507145727107</v>
      </c>
      <c r="AL4607">
        <v>90.711991108569194</v>
      </c>
      <c r="AM4607">
        <v>86.078989136102606</v>
      </c>
      <c r="AN4607">
        <v>1.00000005852882</v>
      </c>
    </row>
    <row r="4608" spans="1:40" x14ac:dyDescent="0.25">
      <c r="A4608" t="str">
        <f>"20190312154928526"</f>
        <v>20190312154928526</v>
      </c>
      <c r="B4608" t="str">
        <f>"1552376968520165"</f>
        <v>1552376968520165</v>
      </c>
      <c r="C4608" t="s">
        <v>40</v>
      </c>
      <c r="D4608">
        <v>4.7321679999999997</v>
      </c>
      <c r="E4608">
        <v>0.44409850000000001</v>
      </c>
      <c r="F4608" t="s">
        <v>42</v>
      </c>
      <c r="G4608">
        <v>-356.20269999999999</v>
      </c>
      <c r="H4608" s="1">
        <v>-2.0025509999999998E-6</v>
      </c>
      <c r="I4608">
        <v>137.41079999999999</v>
      </c>
      <c r="J4608">
        <v>-318.6524</v>
      </c>
      <c r="K4608">
        <v>1.10971</v>
      </c>
      <c r="L4608">
        <v>140.83590000000001</v>
      </c>
      <c r="M4608">
        <v>-0.99982139999999997</v>
      </c>
      <c r="N4608">
        <v>0</v>
      </c>
      <c r="O4608">
        <v>-1.2334660000000001E-2</v>
      </c>
      <c r="P4608">
        <v>-0.998089</v>
      </c>
      <c r="Q4608">
        <v>-2.6268119999999999E-2</v>
      </c>
      <c r="R4608">
        <v>5.5932900000000001E-2</v>
      </c>
      <c r="S4608">
        <v>-3.0187680000000001</v>
      </c>
      <c r="T4608">
        <v>-8.8488220000000006E-2</v>
      </c>
      <c r="U4608">
        <v>-0.27340700000000001</v>
      </c>
      <c r="V4608">
        <v>6.8236489999999997E-2</v>
      </c>
      <c r="W4608">
        <v>-1.200185E-2</v>
      </c>
      <c r="X4608">
        <v>0.99759699999999996</v>
      </c>
      <c r="Y4608">
        <v>-7.7879450000000003E-2</v>
      </c>
      <c r="Z4608">
        <v>-7.7812750000000005E-4</v>
      </c>
      <c r="AA4608">
        <v>0.99696249999999997</v>
      </c>
      <c r="AB4608">
        <v>31</v>
      </c>
      <c r="AC4608">
        <v>-37.550299999999901</v>
      </c>
      <c r="AD4608">
        <v>-1.1097120025510001</v>
      </c>
      <c r="AE4608">
        <v>-3.4251000000000098</v>
      </c>
      <c r="AF4608">
        <v>-2.9590587092854501</v>
      </c>
      <c r="AG4608">
        <v>-1.1097120025510001</v>
      </c>
      <c r="AH4608">
        <v>37.5571642488122</v>
      </c>
      <c r="AI4608">
        <v>91.687216342936495</v>
      </c>
      <c r="AJ4608">
        <v>94.504921122748598</v>
      </c>
      <c r="AK4608">
        <v>37.689893547022102</v>
      </c>
      <c r="AL4608">
        <v>90.687671848383502</v>
      </c>
      <c r="AM4608">
        <v>86.087014500830307</v>
      </c>
      <c r="AN4608">
        <v>1.00000001868997</v>
      </c>
    </row>
    <row r="4609" spans="1:40" x14ac:dyDescent="0.25">
      <c r="A4609" t="str">
        <f>"20190312154928548"</f>
        <v>20190312154928548</v>
      </c>
      <c r="B4609" t="str">
        <f>"1552376968540659"</f>
        <v>1552376968540659</v>
      </c>
      <c r="C4609" t="s">
        <v>40</v>
      </c>
      <c r="D4609">
        <v>4.7229239999999999</v>
      </c>
      <c r="E4609">
        <v>0.44358989999999998</v>
      </c>
      <c r="F4609" t="s">
        <v>42</v>
      </c>
      <c r="G4609">
        <v>-358.37009999999998</v>
      </c>
      <c r="H4609" s="1">
        <v>-1.189607E-6</v>
      </c>
      <c r="I4609">
        <v>137.17750000000001</v>
      </c>
      <c r="J4609">
        <v>-318.9622</v>
      </c>
      <c r="K4609">
        <v>1.1097079999999999</v>
      </c>
      <c r="L4609">
        <v>140.8323</v>
      </c>
      <c r="M4609">
        <v>-0.99982329999999997</v>
      </c>
      <c r="N4609">
        <v>0</v>
      </c>
      <c r="O4609">
        <v>-1.2175500000000001E-2</v>
      </c>
      <c r="P4609">
        <v>-0.99808779999999997</v>
      </c>
      <c r="Q4609">
        <v>-2.597472E-2</v>
      </c>
      <c r="R4609">
        <v>5.6090689999999999E-2</v>
      </c>
      <c r="S4609">
        <v>-3.0191349999999999</v>
      </c>
      <c r="T4609">
        <v>-8.4354520000000002E-2</v>
      </c>
      <c r="U4609">
        <v>-0.27809139999999999</v>
      </c>
      <c r="V4609">
        <v>6.8235959999999998E-2</v>
      </c>
      <c r="W4609">
        <v>-1.171152E-2</v>
      </c>
      <c r="X4609">
        <v>0.9976005</v>
      </c>
      <c r="Y4609">
        <v>-7.9563099999999998E-2</v>
      </c>
      <c r="Z4609">
        <v>-7.6955280000000001E-4</v>
      </c>
      <c r="AA4609">
        <v>0.99682950000000003</v>
      </c>
      <c r="AB4609">
        <v>31</v>
      </c>
      <c r="AC4609">
        <v>-39.407899999999898</v>
      </c>
      <c r="AD4609">
        <v>-1.1097091896069999</v>
      </c>
      <c r="AE4609">
        <v>-3.6547999999999901</v>
      </c>
      <c r="AF4609">
        <v>-3.1721749709873399</v>
      </c>
      <c r="AG4609">
        <v>-1.1097091896069999</v>
      </c>
      <c r="AH4609">
        <v>39.418491141775696</v>
      </c>
      <c r="AI4609">
        <v>91.607371001094407</v>
      </c>
      <c r="AJ4609">
        <v>94.600922074090306</v>
      </c>
      <c r="AK4609">
        <v>39.561491281627703</v>
      </c>
      <c r="AL4609">
        <v>90.671035986809699</v>
      </c>
      <c r="AM4609">
        <v>86.087058484624094</v>
      </c>
      <c r="AN4609">
        <v>1.0000000317690401</v>
      </c>
    </row>
    <row r="4610" spans="1:40" x14ac:dyDescent="0.25">
      <c r="A4610" t="str">
        <f>"20190312154928571"</f>
        <v>20190312154928571</v>
      </c>
      <c r="B4610" t="str">
        <f>"1552376968560190"</f>
        <v>1552376968560190</v>
      </c>
      <c r="C4610" t="s">
        <v>40</v>
      </c>
      <c r="D4610">
        <v>4.6124479999999997</v>
      </c>
      <c r="E4610">
        <v>0.44337300000000002</v>
      </c>
      <c r="F4610" t="s">
        <v>42</v>
      </c>
      <c r="G4610">
        <v>-360.58819999999997</v>
      </c>
      <c r="H4610" s="1">
        <v>-4.492837E-6</v>
      </c>
      <c r="I4610">
        <v>136.9503</v>
      </c>
      <c r="J4610">
        <v>-319.27589999999998</v>
      </c>
      <c r="K4610">
        <v>1.109702</v>
      </c>
      <c r="L4610">
        <v>140.82859999999999</v>
      </c>
      <c r="M4610">
        <v>-0.99982539999999998</v>
      </c>
      <c r="N4610">
        <v>0</v>
      </c>
      <c r="O4610">
        <v>-1.2014439999999999E-2</v>
      </c>
      <c r="P4610">
        <v>-0.99806139999999999</v>
      </c>
      <c r="Q4610">
        <v>-2.6613609999999999E-2</v>
      </c>
      <c r="R4610">
        <v>5.6262489999999998E-2</v>
      </c>
      <c r="S4610">
        <v>-3.0194399999999999</v>
      </c>
      <c r="T4610">
        <v>-8.04956E-2</v>
      </c>
      <c r="U4610">
        <v>-0.28158569999999999</v>
      </c>
      <c r="V4610">
        <v>6.8246260000000003E-2</v>
      </c>
      <c r="W4610">
        <v>-1.235385E-2</v>
      </c>
      <c r="X4610">
        <v>0.99759200000000003</v>
      </c>
      <c r="Y4610">
        <v>-8.0859990000000007E-2</v>
      </c>
      <c r="Z4610">
        <v>-7.5577779999999996E-4</v>
      </c>
      <c r="AA4610">
        <v>0.99672519999999998</v>
      </c>
      <c r="AB4610">
        <v>31</v>
      </c>
      <c r="AC4610">
        <v>-41.312299999999901</v>
      </c>
      <c r="AD4610">
        <v>-1.109706492837</v>
      </c>
      <c r="AE4610">
        <v>-3.8782999999999901</v>
      </c>
      <c r="AF4610">
        <v>-3.37920811660537</v>
      </c>
      <c r="AG4610">
        <v>-1.109706492837</v>
      </c>
      <c r="AH4610">
        <v>41.3263600802211</v>
      </c>
      <c r="AI4610">
        <v>91.533037938756607</v>
      </c>
      <c r="AJ4610">
        <v>94.674609006210503</v>
      </c>
      <c r="AK4610">
        <v>41.479133711731102</v>
      </c>
      <c r="AL4610">
        <v>90.707841482660399</v>
      </c>
      <c r="AM4610">
        <v>86.086436432156802</v>
      </c>
      <c r="AN4610">
        <v>0.999999984038904</v>
      </c>
    </row>
    <row r="4611" spans="1:40" x14ac:dyDescent="0.25">
      <c r="A4611" t="str">
        <f>"20190312154928594"</f>
        <v>20190312154928594</v>
      </c>
      <c r="B4611" t="str">
        <f>"1552376968590435"</f>
        <v>1552376968590435</v>
      </c>
      <c r="C4611" t="s">
        <v>40</v>
      </c>
      <c r="D4611">
        <v>4.6863989999999998</v>
      </c>
      <c r="E4611">
        <v>0.41687790000000002</v>
      </c>
      <c r="F4611" t="s">
        <v>42</v>
      </c>
      <c r="G4611">
        <v>-360.81490000000002</v>
      </c>
      <c r="H4611" s="1">
        <v>-4.3973479999999999E-6</v>
      </c>
      <c r="I4611">
        <v>136.94030000000001</v>
      </c>
      <c r="J4611">
        <v>-319.58300000000003</v>
      </c>
      <c r="K4611">
        <v>1.109701</v>
      </c>
      <c r="L4611">
        <v>140.82509999999999</v>
      </c>
      <c r="M4611">
        <v>-0.99982729999999997</v>
      </c>
      <c r="N4611">
        <v>0</v>
      </c>
      <c r="O4611">
        <v>-1.185636E-2</v>
      </c>
      <c r="P4611">
        <v>-0.99803470000000005</v>
      </c>
      <c r="Q4611">
        <v>-2.693854E-2</v>
      </c>
      <c r="R4611">
        <v>5.6581590000000001E-2</v>
      </c>
      <c r="S4611">
        <v>-3.0196230000000002</v>
      </c>
      <c r="T4611">
        <v>-8.0668690000000001E-2</v>
      </c>
      <c r="U4611">
        <v>-0.28265380000000001</v>
      </c>
      <c r="V4611">
        <v>6.8407330000000002E-2</v>
      </c>
      <c r="W4611">
        <v>-1.268243E-2</v>
      </c>
      <c r="X4611">
        <v>0.99757680000000004</v>
      </c>
      <c r="Y4611">
        <v>-8.1361169999999997E-2</v>
      </c>
      <c r="Z4611">
        <v>-7.6823539999999995E-4</v>
      </c>
      <c r="AA4611">
        <v>0.99668440000000003</v>
      </c>
      <c r="AB4611">
        <v>31</v>
      </c>
      <c r="AC4611">
        <v>-41.231900000000003</v>
      </c>
      <c r="AD4611">
        <v>-1.109705397348</v>
      </c>
      <c r="AE4611">
        <v>-3.8847999999999798</v>
      </c>
      <c r="AF4611">
        <v>-3.3931803439058101</v>
      </c>
      <c r="AG4611">
        <v>-1.109705397348</v>
      </c>
      <c r="AH4611">
        <v>41.245452277533701</v>
      </c>
      <c r="AI4611">
        <v>91.535979783650404</v>
      </c>
      <c r="AJ4611">
        <v>94.703017500906995</v>
      </c>
      <c r="AK4611">
        <v>41.399667299309101</v>
      </c>
      <c r="AL4611">
        <v>90.726669237990095</v>
      </c>
      <c r="AM4611">
        <v>86.077169134888607</v>
      </c>
      <c r="AN4611">
        <v>0.99999993936333498</v>
      </c>
    </row>
    <row r="4612" spans="1:40" x14ac:dyDescent="0.25">
      <c r="A4612" t="str">
        <f>"20190312154928615"</f>
        <v>20190312154928615</v>
      </c>
      <c r="B4612" t="str">
        <f>"1552376968610931"</f>
        <v>1552376968610931</v>
      </c>
      <c r="C4612" t="s">
        <v>40</v>
      </c>
      <c r="D4612">
        <v>4.8234760000000003</v>
      </c>
      <c r="E4612">
        <v>0.41436479999999998</v>
      </c>
      <c r="F4612" t="s">
        <v>42</v>
      </c>
      <c r="G4612">
        <v>-379.6386</v>
      </c>
      <c r="H4612" s="1">
        <v>-2.3781020000000002E-6</v>
      </c>
      <c r="I4612">
        <v>131.0883</v>
      </c>
      <c r="J4612">
        <v>-319.87540000000001</v>
      </c>
      <c r="K4612">
        <v>1.109699</v>
      </c>
      <c r="L4612">
        <v>140.8218</v>
      </c>
      <c r="M4612">
        <v>-0.99982899999999997</v>
      </c>
      <c r="N4612">
        <v>0</v>
      </c>
      <c r="O4612">
        <v>-1.170591E-2</v>
      </c>
      <c r="P4612">
        <v>-0.99797820000000004</v>
      </c>
      <c r="Q4612">
        <v>-2.7387350000000001E-2</v>
      </c>
      <c r="R4612">
        <v>5.7354200000000001E-2</v>
      </c>
      <c r="S4612">
        <v>-3.0322879999999999</v>
      </c>
      <c r="T4612">
        <v>-5.6030389999999999E-2</v>
      </c>
      <c r="U4612">
        <v>-0.49162289999999997</v>
      </c>
      <c r="V4612">
        <v>6.9029049999999995E-2</v>
      </c>
      <c r="W4612">
        <v>-1.313543E-2</v>
      </c>
      <c r="X4612">
        <v>0.99752819999999998</v>
      </c>
      <c r="Y4612">
        <v>-0.14844969999999999</v>
      </c>
      <c r="Z4612">
        <v>-1.1476639999999901E-3</v>
      </c>
      <c r="AA4612">
        <v>0.98891929999999995</v>
      </c>
      <c r="AB4612">
        <v>31</v>
      </c>
      <c r="AC4612">
        <v>-59.763199999999898</v>
      </c>
      <c r="AD4612">
        <v>-1.109701378102</v>
      </c>
      <c r="AE4612">
        <v>-9.7334999999999905</v>
      </c>
      <c r="AF4612">
        <v>-9.0301456402273708</v>
      </c>
      <c r="AG4612">
        <v>-1.109701378102</v>
      </c>
      <c r="AH4612">
        <v>59.852952576893799</v>
      </c>
      <c r="AI4612">
        <v>91.050284969199694</v>
      </c>
      <c r="AJ4612">
        <v>98.579632137583204</v>
      </c>
      <c r="AK4612">
        <v>60.540489753587103</v>
      </c>
      <c r="AL4612">
        <v>90.752626322886002</v>
      </c>
      <c r="AM4612">
        <v>86.041437076914306</v>
      </c>
      <c r="AN4612">
        <v>1.0000000295302101</v>
      </c>
    </row>
    <row r="4613" spans="1:40" x14ac:dyDescent="0.25">
      <c r="A4613" t="str">
        <f>"20190312154928638"</f>
        <v>20190312154928638</v>
      </c>
      <c r="B4613" t="str">
        <f>"1552376968630463"</f>
        <v>1552376968630463</v>
      </c>
      <c r="C4613" t="s">
        <v>40</v>
      </c>
      <c r="D4613">
        <v>4.7784129999999996</v>
      </c>
      <c r="E4613">
        <v>0.41350389999999998</v>
      </c>
      <c r="F4613" t="s">
        <v>42</v>
      </c>
      <c r="G4613">
        <v>-357.77699999999999</v>
      </c>
      <c r="H4613" s="1">
        <v>-2.12009E-6</v>
      </c>
      <c r="I4613">
        <v>134.43899999999999</v>
      </c>
      <c r="J4613">
        <v>-320.18049999999999</v>
      </c>
      <c r="K4613">
        <v>1.1096889999999999</v>
      </c>
      <c r="L4613">
        <v>140.8184</v>
      </c>
      <c r="M4613">
        <v>-0.99983100000000003</v>
      </c>
      <c r="N4613">
        <v>0</v>
      </c>
      <c r="O4613">
        <v>-1.154925E-2</v>
      </c>
      <c r="P4613">
        <v>-0.99796419999999997</v>
      </c>
      <c r="Q4613">
        <v>-2.7649670000000001E-2</v>
      </c>
      <c r="R4613">
        <v>5.7473589999999998E-2</v>
      </c>
      <c r="S4613">
        <v>-3.032959</v>
      </c>
      <c r="T4613">
        <v>-8.8800550000000006E-2</v>
      </c>
      <c r="U4613">
        <v>-0.51075740000000003</v>
      </c>
      <c r="V4613">
        <v>6.8991830000000004E-2</v>
      </c>
      <c r="W4613">
        <v>-1.340103E-2</v>
      </c>
      <c r="X4613">
        <v>0.99752719999999995</v>
      </c>
      <c r="Y4613">
        <v>-0.154603399999999</v>
      </c>
      <c r="Z4613">
        <v>-1.911327E-3</v>
      </c>
      <c r="AA4613">
        <v>0.98797480000000004</v>
      </c>
      <c r="AB4613">
        <v>31</v>
      </c>
      <c r="AC4613">
        <v>-37.596499999999899</v>
      </c>
      <c r="AD4613">
        <v>-1.1096911200899999</v>
      </c>
      <c r="AE4613">
        <v>-6.3794000000000004</v>
      </c>
      <c r="AF4613">
        <v>-5.9396888968193498</v>
      </c>
      <c r="AG4613">
        <v>-1.1096911200899999</v>
      </c>
      <c r="AH4613">
        <v>37.635806732685801</v>
      </c>
      <c r="AI4613">
        <v>91.668239850585906</v>
      </c>
      <c r="AJ4613">
        <v>98.968457351945503</v>
      </c>
      <c r="AK4613">
        <v>38.117781506707402</v>
      </c>
      <c r="AL4613">
        <v>90.767845453502304</v>
      </c>
      <c r="AM4613">
        <v>86.043560773390098</v>
      </c>
      <c r="AN4613">
        <v>0.99999998747582397</v>
      </c>
    </row>
    <row r="4614" spans="1:40" x14ac:dyDescent="0.25">
      <c r="A4614" t="str">
        <f>"20190312154928652"</f>
        <v>20190312154928652</v>
      </c>
      <c r="B4614" t="str">
        <f>"1552376968650947"</f>
        <v>1552376968650947</v>
      </c>
      <c r="C4614" t="s">
        <v>40</v>
      </c>
      <c r="D4614">
        <v>4.7957199999999904</v>
      </c>
      <c r="E4614">
        <v>0.4127381</v>
      </c>
      <c r="F4614" t="s">
        <v>42</v>
      </c>
      <c r="G4614">
        <v>-349.12380000000002</v>
      </c>
      <c r="H4614" s="1">
        <v>-1.280966E-6</v>
      </c>
      <c r="I4614">
        <v>135.87020000000001</v>
      </c>
      <c r="J4614">
        <v>-320.38479999999998</v>
      </c>
      <c r="K4614">
        <v>1.1096889999999999</v>
      </c>
      <c r="L4614">
        <v>140.81620000000001</v>
      </c>
      <c r="M4614">
        <v>-0.99983230000000001</v>
      </c>
      <c r="N4614">
        <v>0</v>
      </c>
      <c r="O4614">
        <v>-1.14441E-2</v>
      </c>
      <c r="P4614">
        <v>-0.99795900000000004</v>
      </c>
      <c r="Q4614">
        <v>-2.7848620000000001E-2</v>
      </c>
      <c r="R4614">
        <v>5.7470229999999997E-2</v>
      </c>
      <c r="S4614">
        <v>-3.0326840000000002</v>
      </c>
      <c r="T4614">
        <v>-0.1162738</v>
      </c>
      <c r="U4614">
        <v>-0.51846309999999995</v>
      </c>
      <c r="V4614">
        <v>6.8883659999999999E-2</v>
      </c>
      <c r="W4614">
        <v>-1.3602100000000001E-2</v>
      </c>
      <c r="X4614">
        <v>0.99753199999999997</v>
      </c>
      <c r="Y4614">
        <v>-0.15711710000000001</v>
      </c>
      <c r="Z4614">
        <v>-2.5538010000000001E-3</v>
      </c>
      <c r="AA4614">
        <v>0.98757669999999997</v>
      </c>
      <c r="AB4614">
        <v>31</v>
      </c>
      <c r="AC4614">
        <v>-28.739000000000001</v>
      </c>
      <c r="AD4614">
        <v>-1.1096902809660001</v>
      </c>
      <c r="AE4614">
        <v>-4.94599999999999</v>
      </c>
      <c r="AF4614">
        <v>-4.61007480857457</v>
      </c>
      <c r="AG4614">
        <v>-1.1096902809660001</v>
      </c>
      <c r="AH4614">
        <v>28.752091425752599</v>
      </c>
      <c r="AI4614">
        <v>92.182392650695306</v>
      </c>
      <c r="AJ4614">
        <v>99.109201194286399</v>
      </c>
      <c r="AK4614">
        <v>29.140469516038401</v>
      </c>
      <c r="AL4614">
        <v>90.779366930462103</v>
      </c>
      <c r="AM4614">
        <v>86.049763236947697</v>
      </c>
      <c r="AN4614">
        <v>1.0000000333817001</v>
      </c>
    </row>
    <row r="4615" spans="1:40" x14ac:dyDescent="0.25">
      <c r="A4615" t="str">
        <f>"20190312154928672"</f>
        <v>20190312154928672</v>
      </c>
      <c r="B4615" t="str">
        <f>"1552376968660709"</f>
        <v>1552376968660709</v>
      </c>
      <c r="C4615" t="s">
        <v>40</v>
      </c>
      <c r="D4615">
        <v>4.7546970000000002</v>
      </c>
      <c r="E4615">
        <v>0.41242469999999998</v>
      </c>
      <c r="F4615" t="s">
        <v>42</v>
      </c>
      <c r="G4615">
        <v>-344.85820000000001</v>
      </c>
      <c r="H4615" s="1">
        <v>-2.727616E-6</v>
      </c>
      <c r="I4615">
        <v>136.57499999999999</v>
      </c>
      <c r="J4615">
        <v>-320.64229999999998</v>
      </c>
      <c r="K4615">
        <v>1.109694</v>
      </c>
      <c r="L4615">
        <v>140.8134</v>
      </c>
      <c r="M4615">
        <v>-0.99983379999999999</v>
      </c>
      <c r="N4615">
        <v>0</v>
      </c>
      <c r="O4615">
        <v>-1.131129E-2</v>
      </c>
      <c r="P4615">
        <v>-0.99798600000000004</v>
      </c>
      <c r="Q4615">
        <v>-2.7652199999999998E-2</v>
      </c>
      <c r="R4615">
        <v>5.7090670000000003E-2</v>
      </c>
      <c r="S4615">
        <v>-3.032562</v>
      </c>
      <c r="T4615">
        <v>-0.13750509999999999</v>
      </c>
      <c r="U4615">
        <v>-0.525528</v>
      </c>
      <c r="V4615">
        <v>6.8371959999999996E-2</v>
      </c>
      <c r="W4615">
        <v>-1.3407759999999999E-2</v>
      </c>
      <c r="X4615">
        <v>0.99756979999999995</v>
      </c>
      <c r="Y4615">
        <v>-0.15944520000000001</v>
      </c>
      <c r="Z4615">
        <v>-3.077551E-3</v>
      </c>
      <c r="AA4615">
        <v>0.98720200000000002</v>
      </c>
      <c r="AB4615">
        <v>31</v>
      </c>
      <c r="AC4615">
        <v>-24.215900000000001</v>
      </c>
      <c r="AD4615">
        <v>-1.1096967276159999</v>
      </c>
      <c r="AE4615">
        <v>-4.2384000000000102</v>
      </c>
      <c r="AF4615">
        <v>-3.9561270170856102</v>
      </c>
      <c r="AG4615">
        <v>-1.1096967276159999</v>
      </c>
      <c r="AH4615">
        <v>24.212962634337501</v>
      </c>
      <c r="AI4615">
        <v>92.589775922399298</v>
      </c>
      <c r="AJ4615">
        <v>99.2794938590078</v>
      </c>
      <c r="AK4615">
        <v>24.559110882408199</v>
      </c>
      <c r="AL4615">
        <v>90.768231079583202</v>
      </c>
      <c r="AM4615">
        <v>86.079163679516398</v>
      </c>
      <c r="AN4615">
        <v>0.99999999940724904</v>
      </c>
    </row>
    <row r="4616" spans="1:40" x14ac:dyDescent="0.25">
      <c r="A4616" t="str">
        <f>"20190312154928694"</f>
        <v>20190312154928694</v>
      </c>
      <c r="B4616" t="str">
        <f>"1552376968689988"</f>
        <v>1552376968689988</v>
      </c>
      <c r="C4616" t="s">
        <v>40</v>
      </c>
      <c r="D4616">
        <v>4.7975589999999997</v>
      </c>
      <c r="E4616">
        <v>0.41151900000000002</v>
      </c>
      <c r="F4616" t="s">
        <v>42</v>
      </c>
      <c r="G4616">
        <v>-344.1277</v>
      </c>
      <c r="H4616" s="1">
        <v>-3.0165700000000001E-6</v>
      </c>
      <c r="I4616">
        <v>136.71270000000001</v>
      </c>
      <c r="J4616">
        <v>-320.95589999999999</v>
      </c>
      <c r="K4616">
        <v>1.1096889999999999</v>
      </c>
      <c r="L4616">
        <v>140.81</v>
      </c>
      <c r="M4616">
        <v>-0.99983569999999999</v>
      </c>
      <c r="N4616">
        <v>0</v>
      </c>
      <c r="O4616">
        <v>-1.114975E-2</v>
      </c>
      <c r="P4616">
        <v>-0.99801019999999896</v>
      </c>
      <c r="Q4616">
        <v>-2.7320190000000001E-2</v>
      </c>
      <c r="R4616">
        <v>5.6830489999999997E-2</v>
      </c>
      <c r="S4616">
        <v>-3.03241</v>
      </c>
      <c r="T4616">
        <v>-0.1432832</v>
      </c>
      <c r="U4616">
        <v>-0.52946470000000001</v>
      </c>
      <c r="V4616">
        <v>6.7951129999999998E-2</v>
      </c>
      <c r="W4616">
        <v>-1.307854E-2</v>
      </c>
      <c r="X4616">
        <v>0.99760289999999996</v>
      </c>
      <c r="Y4616">
        <v>-0.1608425</v>
      </c>
      <c r="Z4616">
        <v>-3.2468589999999999E-3</v>
      </c>
      <c r="AA4616">
        <v>0.98697480000000004</v>
      </c>
      <c r="AB4616">
        <v>31</v>
      </c>
      <c r="AC4616">
        <v>-23.171800000000001</v>
      </c>
      <c r="AD4616">
        <v>-1.1096920165699999</v>
      </c>
      <c r="AE4616">
        <v>-4.09729999999999</v>
      </c>
      <c r="AF4616">
        <v>-3.8301412536121</v>
      </c>
      <c r="AG4616">
        <v>-1.1096920165699999</v>
      </c>
      <c r="AH4616">
        <v>23.164532352248099</v>
      </c>
      <c r="AI4616">
        <v>92.705961467541997</v>
      </c>
      <c r="AJ4616">
        <v>99.388631155588499</v>
      </c>
      <c r="AK4616">
        <v>23.5052538274448</v>
      </c>
      <c r="AL4616">
        <v>90.749366526793295</v>
      </c>
      <c r="AM4616">
        <v>86.103350776659397</v>
      </c>
      <c r="AN4616">
        <v>0.99999997518260797</v>
      </c>
    </row>
    <row r="4617" spans="1:40" x14ac:dyDescent="0.25">
      <c r="A4617" t="str">
        <f>"20190312154928717"</f>
        <v>20190312154928717</v>
      </c>
      <c r="B4617" t="str">
        <f>"1552376968710483"</f>
        <v>1552376968710483</v>
      </c>
      <c r="C4617" t="s">
        <v>40</v>
      </c>
      <c r="D4617">
        <v>4.7712529999999997</v>
      </c>
      <c r="E4617">
        <v>0.41112330000000002</v>
      </c>
      <c r="F4617" t="s">
        <v>42</v>
      </c>
      <c r="G4617">
        <v>-342.6447</v>
      </c>
      <c r="H4617" s="1">
        <v>-3.608584E-6</v>
      </c>
      <c r="I4617">
        <v>136.96190000000001</v>
      </c>
      <c r="J4617">
        <v>-321.2654</v>
      </c>
      <c r="K4617">
        <v>1.1096950000000001</v>
      </c>
      <c r="L4617">
        <v>140.80670000000001</v>
      </c>
      <c r="M4617">
        <v>-0.99983739999999999</v>
      </c>
      <c r="N4617">
        <v>0</v>
      </c>
      <c r="O4617">
        <v>-1.0990120000000001E-2</v>
      </c>
      <c r="P4617">
        <v>-0.99805379999999999</v>
      </c>
      <c r="Q4617">
        <v>-2.663343E-2</v>
      </c>
      <c r="R4617">
        <v>5.6385159999999997E-2</v>
      </c>
      <c r="S4617">
        <v>-3.0323790000000002</v>
      </c>
      <c r="T4617">
        <v>-0.15515019999999999</v>
      </c>
      <c r="U4617">
        <v>-0.53800959999999998</v>
      </c>
      <c r="V4617">
        <v>6.7347210000000005E-2</v>
      </c>
      <c r="W4617">
        <v>-1.2394199999999999E-2</v>
      </c>
      <c r="X4617">
        <v>0.9976526</v>
      </c>
      <c r="Y4617">
        <v>-0.16366710000000001</v>
      </c>
      <c r="Z4617">
        <v>-3.5943749999999999E-3</v>
      </c>
      <c r="AA4617">
        <v>0.98650910000000003</v>
      </c>
      <c r="AB4617">
        <v>31</v>
      </c>
      <c r="AC4617">
        <v>-21.379300000000001</v>
      </c>
      <c r="AD4617">
        <v>-1.1096986085839999</v>
      </c>
      <c r="AE4617">
        <v>-3.84479999999999</v>
      </c>
      <c r="AF4617">
        <v>-3.6001870588234199</v>
      </c>
      <c r="AG4617">
        <v>-1.1096986085839999</v>
      </c>
      <c r="AH4617">
        <v>21.364511565393698</v>
      </c>
      <c r="AI4617">
        <v>92.932074998986494</v>
      </c>
      <c r="AJ4617">
        <v>99.565190917126799</v>
      </c>
      <c r="AK4617">
        <v>21.694126677242799</v>
      </c>
      <c r="AL4617">
        <v>90.7101535426049</v>
      </c>
      <c r="AM4617">
        <v>86.138069036206304</v>
      </c>
      <c r="AN4617">
        <v>0.99999998658759104</v>
      </c>
    </row>
    <row r="4618" spans="1:40" x14ac:dyDescent="0.25">
      <c r="A4618" t="str">
        <f>"20190312154928737"</f>
        <v>20190312154928737</v>
      </c>
      <c r="B4618" t="str">
        <f>"1552376968730003"</f>
        <v>1552376968730003</v>
      </c>
      <c r="C4618" t="s">
        <v>40</v>
      </c>
      <c r="D4618">
        <v>4.7904489999999997</v>
      </c>
      <c r="E4618">
        <v>0.41090969999999999</v>
      </c>
      <c r="F4618" t="s">
        <v>42</v>
      </c>
      <c r="G4618">
        <v>-342.4409</v>
      </c>
      <c r="H4618" s="1">
        <v>-3.6863120000000001E-6</v>
      </c>
      <c r="I4618">
        <v>137.0163</v>
      </c>
      <c r="J4618">
        <v>-321.55149999999998</v>
      </c>
      <c r="K4618">
        <v>1.109701</v>
      </c>
      <c r="L4618">
        <v>140.80369999999999</v>
      </c>
      <c r="M4618">
        <v>-0.99983909999999998</v>
      </c>
      <c r="N4618">
        <v>0</v>
      </c>
      <c r="O4618">
        <v>-1.084277E-2</v>
      </c>
      <c r="P4618">
        <v>-0.99808680000000005</v>
      </c>
      <c r="Q4618">
        <v>-2.6274499999999999E-2</v>
      </c>
      <c r="R4618">
        <v>5.5969190000000002E-2</v>
      </c>
      <c r="S4618">
        <v>-3.032257</v>
      </c>
      <c r="T4618">
        <v>-0.15890550000000001</v>
      </c>
      <c r="U4618">
        <v>-0.54275509999999905</v>
      </c>
      <c r="V4618">
        <v>6.6784759999999999E-2</v>
      </c>
      <c r="W4618">
        <v>-1.2037569999999999E-2</v>
      </c>
      <c r="X4618">
        <v>0.99769479999999999</v>
      </c>
      <c r="Y4618">
        <v>-0.16530359999999999</v>
      </c>
      <c r="Z4618">
        <v>-3.7310730000000001E-3</v>
      </c>
      <c r="AA4618">
        <v>0.98623570000000005</v>
      </c>
      <c r="AB4618">
        <v>30</v>
      </c>
      <c r="AC4618">
        <v>-20.889399999999998</v>
      </c>
      <c r="AD4618">
        <v>-1.1097046863119999</v>
      </c>
      <c r="AE4618">
        <v>-3.7873999999999901</v>
      </c>
      <c r="AF4618">
        <v>-3.5509532253560199</v>
      </c>
      <c r="AG4618">
        <v>-1.1097046863119999</v>
      </c>
      <c r="AH4618">
        <v>20.8722143154354</v>
      </c>
      <c r="AI4618">
        <v>93.000326487659706</v>
      </c>
      <c r="AJ4618">
        <v>99.655186764739696</v>
      </c>
      <c r="AK4618">
        <v>21.201180243773202</v>
      </c>
      <c r="AL4618">
        <v>90.689718607023394</v>
      </c>
      <c r="AM4618">
        <v>86.170387063236305</v>
      </c>
      <c r="AN4618">
        <v>1.0000000106033999</v>
      </c>
    </row>
    <row r="4619" spans="1:40" x14ac:dyDescent="0.25">
      <c r="A4619" t="str">
        <f>"20190312154928761"</f>
        <v>20190312154928761</v>
      </c>
      <c r="B4619" t="str">
        <f>"1552376968750499"</f>
        <v>1552376968750499</v>
      </c>
      <c r="C4619" t="s">
        <v>40</v>
      </c>
      <c r="D4619">
        <v>4.7923900000000001</v>
      </c>
      <c r="E4619">
        <v>0.4107575</v>
      </c>
      <c r="F4619" t="s">
        <v>42</v>
      </c>
      <c r="G4619">
        <v>-342.11110000000002</v>
      </c>
      <c r="H4619" s="1">
        <v>-3.812739E-6</v>
      </c>
      <c r="I4619">
        <v>137.10140000000001</v>
      </c>
      <c r="J4619">
        <v>-321.85520000000002</v>
      </c>
      <c r="K4619">
        <v>1.109707</v>
      </c>
      <c r="L4619">
        <v>140.8006</v>
      </c>
      <c r="M4619">
        <v>-0.99984079999999997</v>
      </c>
      <c r="N4619">
        <v>0</v>
      </c>
      <c r="O4619">
        <v>-1.0685999999999999E-2</v>
      </c>
      <c r="P4619">
        <v>-0.9981042</v>
      </c>
      <c r="Q4619">
        <v>-2.6306980000000001E-2</v>
      </c>
      <c r="R4619">
        <v>5.5642249999999997E-2</v>
      </c>
      <c r="S4619">
        <v>-3.0320429999999998</v>
      </c>
      <c r="T4619">
        <v>-0.16365489999999999</v>
      </c>
      <c r="U4619">
        <v>-0.54598999999999998</v>
      </c>
      <c r="V4619">
        <v>6.6301550000000001E-2</v>
      </c>
      <c r="W4619">
        <v>-1.207271E-2</v>
      </c>
      <c r="X4619">
        <v>0.99772660000000002</v>
      </c>
      <c r="Y4619">
        <v>-0.16647529999999999</v>
      </c>
      <c r="Z4619">
        <v>-3.8820700000000001E-3</v>
      </c>
      <c r="AA4619">
        <v>0.98603799999999997</v>
      </c>
      <c r="AB4619">
        <v>30</v>
      </c>
      <c r="AC4619">
        <v>-20.2559</v>
      </c>
      <c r="AD4619">
        <v>-1.1097108127390001</v>
      </c>
      <c r="AE4619">
        <v>-3.6991999999999901</v>
      </c>
      <c r="AF4619">
        <v>-3.47242649748951</v>
      </c>
      <c r="AG4619">
        <v>-1.1097108127390001</v>
      </c>
      <c r="AH4619">
        <v>20.2355032635745</v>
      </c>
      <c r="AI4619">
        <v>93.093813341672998</v>
      </c>
      <c r="AJ4619">
        <v>99.737158887173194</v>
      </c>
      <c r="AK4619">
        <v>20.561245006042601</v>
      </c>
      <c r="AL4619">
        <v>90.691732129429596</v>
      </c>
      <c r="AM4619">
        <v>86.198134850639903</v>
      </c>
      <c r="AN4619">
        <v>1.0000000071033499</v>
      </c>
    </row>
    <row r="4620" spans="1:40" x14ac:dyDescent="0.25">
      <c r="A4620" t="str">
        <f>"20190312154928784"</f>
        <v>20190312154928784</v>
      </c>
      <c r="B4620" t="str">
        <f>"1552376968780755"</f>
        <v>1552376968780755</v>
      </c>
      <c r="C4620" t="s">
        <v>40</v>
      </c>
      <c r="D4620">
        <v>4.8202949999999998</v>
      </c>
      <c r="E4620">
        <v>0.41065299999999999</v>
      </c>
      <c r="F4620" t="s">
        <v>42</v>
      </c>
      <c r="G4620">
        <v>-341.89920000000001</v>
      </c>
      <c r="H4620" s="1">
        <v>-3.8905310000000001E-6</v>
      </c>
      <c r="I4620">
        <v>137.17509999999999</v>
      </c>
      <c r="J4620">
        <v>-322.17329999999998</v>
      </c>
      <c r="K4620">
        <v>1.1097079999999999</v>
      </c>
      <c r="L4620">
        <v>140.79730000000001</v>
      </c>
      <c r="M4620">
        <v>-0.99984260000000003</v>
      </c>
      <c r="N4620">
        <v>0</v>
      </c>
      <c r="O4620">
        <v>-1.052231E-2</v>
      </c>
      <c r="P4620">
        <v>-0.99809389999999998</v>
      </c>
      <c r="Q4620">
        <v>-2.6795309999999999E-2</v>
      </c>
      <c r="R4620">
        <v>5.5596189999999997E-2</v>
      </c>
      <c r="S4620">
        <v>-3.03186</v>
      </c>
      <c r="T4620">
        <v>-0.167855</v>
      </c>
      <c r="U4620">
        <v>-0.54837040000000004</v>
      </c>
      <c r="V4620">
        <v>6.6092040000000005E-2</v>
      </c>
      <c r="W4620">
        <v>-1.256435E-2</v>
      </c>
      <c r="X4620">
        <v>0.99773440000000002</v>
      </c>
      <c r="Y4620">
        <v>-0.1673838</v>
      </c>
      <c r="Z4620">
        <v>-4.0154229999999997E-3</v>
      </c>
      <c r="AA4620">
        <v>0.98588370000000003</v>
      </c>
      <c r="AB4620">
        <v>30</v>
      </c>
      <c r="AC4620">
        <v>-19.725899999999999</v>
      </c>
      <c r="AD4620">
        <v>-1.1097118905309999</v>
      </c>
      <c r="AE4620">
        <v>-3.6222000000000198</v>
      </c>
      <c r="AF4620">
        <v>-3.4039946413138402</v>
      </c>
      <c r="AG4620">
        <v>-1.1097118905309999</v>
      </c>
      <c r="AH4620">
        <v>19.7026045940827</v>
      </c>
      <c r="AI4620">
        <v>93.176706656017899</v>
      </c>
      <c r="AJ4620">
        <v>99.802157051433696</v>
      </c>
      <c r="AK4620">
        <v>20.0252657357861</v>
      </c>
      <c r="AL4620">
        <v>90.719903185879502</v>
      </c>
      <c r="AM4620">
        <v>86.210143053262101</v>
      </c>
      <c r="AN4620">
        <v>0.99999997679282104</v>
      </c>
    </row>
    <row r="4621" spans="1:40" x14ac:dyDescent="0.25">
      <c r="A4621" t="str">
        <f>"20190312154928806"</f>
        <v>20190312154928806</v>
      </c>
      <c r="B4621" t="str">
        <f>"1552376968800276"</f>
        <v>1552376968800276</v>
      </c>
      <c r="C4621" t="s">
        <v>40</v>
      </c>
      <c r="D4621">
        <v>4.8009269999999997</v>
      </c>
      <c r="E4621">
        <v>0.4106397</v>
      </c>
      <c r="F4621" t="s">
        <v>42</v>
      </c>
      <c r="G4621">
        <v>-341.43869999999998</v>
      </c>
      <c r="H4621" s="1">
        <v>-4.064954E-6</v>
      </c>
      <c r="I4621">
        <v>137.3056</v>
      </c>
      <c r="J4621">
        <v>-322.46480000000003</v>
      </c>
      <c r="K4621">
        <v>1.1097049999999999</v>
      </c>
      <c r="L4621">
        <v>140.7944</v>
      </c>
      <c r="M4621">
        <v>-0.99984439999999997</v>
      </c>
      <c r="N4621">
        <v>0</v>
      </c>
      <c r="O4621">
        <v>-1.037193E-2</v>
      </c>
      <c r="P4621">
        <v>-0.99808479999999999</v>
      </c>
      <c r="Q4621">
        <v>-2.6894970000000001E-2</v>
      </c>
      <c r="R4621">
        <v>5.570932E-2</v>
      </c>
      <c r="S4621">
        <v>-3.031647</v>
      </c>
      <c r="T4621">
        <v>-0.17462749999999999</v>
      </c>
      <c r="U4621">
        <v>-0.54945369999999905</v>
      </c>
      <c r="V4621">
        <v>6.6054799999999997E-2</v>
      </c>
      <c r="W4621">
        <v>-1.2674120000000001E-2</v>
      </c>
      <c r="X4621">
        <v>0.9977355</v>
      </c>
      <c r="Y4621">
        <v>-0.16786519999999999</v>
      </c>
      <c r="Z4621">
        <v>-4.19966E-3</v>
      </c>
      <c r="AA4621">
        <v>0.98580100000000004</v>
      </c>
      <c r="AB4621">
        <v>30</v>
      </c>
      <c r="AC4621">
        <v>-18.973899999999901</v>
      </c>
      <c r="AD4621">
        <v>-1.109709064954</v>
      </c>
      <c r="AE4621">
        <v>-3.4887999999999901</v>
      </c>
      <c r="AF4621">
        <v>-3.2809404740005399</v>
      </c>
      <c r="AG4621">
        <v>-1.109709064954</v>
      </c>
      <c r="AH4621">
        <v>18.9463795452296</v>
      </c>
      <c r="AI4621">
        <v>93.302995837233496</v>
      </c>
      <c r="AJ4621">
        <v>99.824466412926199</v>
      </c>
      <c r="AK4621">
        <v>19.260356239557701</v>
      </c>
      <c r="AL4621">
        <v>90.726193028495899</v>
      </c>
      <c r="AM4621">
        <v>86.212276419253399</v>
      </c>
      <c r="AN4621">
        <v>0.99999999894053204</v>
      </c>
    </row>
    <row r="4622" spans="1:40" x14ac:dyDescent="0.25">
      <c r="A4622" t="str">
        <f>"20190312154928828"</f>
        <v>20190312154928828</v>
      </c>
      <c r="B4622" t="str">
        <f>"1552376968820801"</f>
        <v>1552376968820801</v>
      </c>
      <c r="C4622" t="s">
        <v>40</v>
      </c>
      <c r="D4622">
        <v>4.7867360000000003</v>
      </c>
      <c r="E4622">
        <v>0.41049730000000001</v>
      </c>
      <c r="F4622" t="s">
        <v>42</v>
      </c>
      <c r="G4622">
        <v>-341.34070000000003</v>
      </c>
      <c r="H4622" s="1">
        <v>-4.0948860000000004E-6</v>
      </c>
      <c r="I4622">
        <v>137.37389999999999</v>
      </c>
      <c r="J4622">
        <v>-322.76519999999999</v>
      </c>
      <c r="K4622">
        <v>1.1096999999999999</v>
      </c>
      <c r="L4622">
        <v>140.79150000000001</v>
      </c>
      <c r="M4622">
        <v>-0.99984629999999997</v>
      </c>
      <c r="N4622">
        <v>0</v>
      </c>
      <c r="O4622">
        <v>-1.02167E-2</v>
      </c>
      <c r="P4622">
        <v>-0.99810140000000003</v>
      </c>
      <c r="Q4622">
        <v>-2.6548169999999999E-2</v>
      </c>
      <c r="R4622">
        <v>5.5578540000000003E-2</v>
      </c>
      <c r="S4622">
        <v>-3.0316160000000001</v>
      </c>
      <c r="T4622">
        <v>-0.178228</v>
      </c>
      <c r="U4622">
        <v>-0.54934689999999997</v>
      </c>
      <c r="V4622">
        <v>6.5769659999999994E-2</v>
      </c>
      <c r="W4622">
        <v>-1.23486E-2</v>
      </c>
      <c r="X4622">
        <v>0.99775840000000005</v>
      </c>
      <c r="Y4622">
        <v>-0.1679754</v>
      </c>
      <c r="Z4622">
        <v>-4.2984130000000001E-3</v>
      </c>
      <c r="AA4622">
        <v>0.98578180000000004</v>
      </c>
      <c r="AB4622">
        <v>30</v>
      </c>
      <c r="AC4622">
        <v>-18.575500000000002</v>
      </c>
      <c r="AD4622">
        <v>-1.109704094886</v>
      </c>
      <c r="AE4622">
        <v>-3.4176000000000202</v>
      </c>
      <c r="AF4622">
        <v>-3.2165184687793</v>
      </c>
      <c r="AG4622">
        <v>-1.109704094886</v>
      </c>
      <c r="AH4622">
        <v>18.545430895996301</v>
      </c>
      <c r="AI4622">
        <v>93.374074622036602</v>
      </c>
      <c r="AJ4622">
        <v>99.839493948497605</v>
      </c>
      <c r="AK4622">
        <v>18.854984522835899</v>
      </c>
      <c r="AL4622">
        <v>90.707540659416694</v>
      </c>
      <c r="AM4622">
        <v>86.228665977229596</v>
      </c>
      <c r="AN4622">
        <v>0.99999998043451699</v>
      </c>
    </row>
    <row r="4623" spans="1:40" x14ac:dyDescent="0.25">
      <c r="A4623" t="str">
        <f>"20190312154928841"</f>
        <v>20190312154928841</v>
      </c>
      <c r="B4623" t="str">
        <f>"1552376968830561"</f>
        <v>1552376968830561</v>
      </c>
      <c r="C4623" t="s">
        <v>40</v>
      </c>
      <c r="D4623">
        <v>4.8234059999999896</v>
      </c>
      <c r="E4623">
        <v>0.41046939999999998</v>
      </c>
      <c r="F4623" t="s">
        <v>42</v>
      </c>
      <c r="G4623">
        <v>-341.38229999999999</v>
      </c>
      <c r="H4623" s="1">
        <v>-4.0710329999999999E-6</v>
      </c>
      <c r="I4623">
        <v>137.40770000000001</v>
      </c>
      <c r="J4623">
        <v>-322.959</v>
      </c>
      <c r="K4623">
        <v>1.109694</v>
      </c>
      <c r="L4623">
        <v>140.78960000000001</v>
      </c>
      <c r="M4623">
        <v>-0.9998475</v>
      </c>
      <c r="N4623">
        <v>0</v>
      </c>
      <c r="O4623">
        <v>-1.011693E-2</v>
      </c>
      <c r="P4623">
        <v>-0.9981025</v>
      </c>
      <c r="Q4623">
        <v>-2.6294040000000001E-2</v>
      </c>
      <c r="R4623">
        <v>5.5679439999999997E-2</v>
      </c>
      <c r="S4623">
        <v>-3.0315859999999999</v>
      </c>
      <c r="T4623">
        <v>-0.18070320000000001</v>
      </c>
      <c r="U4623">
        <v>-0.55099489999999995</v>
      </c>
      <c r="V4623">
        <v>6.5771280000000001E-2</v>
      </c>
      <c r="W4623">
        <v>-1.211111E-2</v>
      </c>
      <c r="X4623">
        <v>0.99776120000000001</v>
      </c>
      <c r="Y4623">
        <v>-0.1685857</v>
      </c>
      <c r="Z4623">
        <v>-4.3817550000000002E-3</v>
      </c>
      <c r="AA4623">
        <v>0.98567720000000003</v>
      </c>
      <c r="AB4623">
        <v>30</v>
      </c>
      <c r="AC4623">
        <v>-18.423299999999902</v>
      </c>
      <c r="AD4623">
        <v>-1.109698071033</v>
      </c>
      <c r="AE4623">
        <v>-3.3818999999999999</v>
      </c>
      <c r="AF4623">
        <v>-3.1841450699588898</v>
      </c>
      <c r="AG4623">
        <v>-1.109698071033</v>
      </c>
      <c r="AH4623">
        <v>18.3920226413472</v>
      </c>
      <c r="AI4623">
        <v>93.4023126185064</v>
      </c>
      <c r="AJ4623">
        <v>99.822054199699807</v>
      </c>
      <c r="AK4623">
        <v>18.698574985148699</v>
      </c>
      <c r="AL4623">
        <v>90.693932469629104</v>
      </c>
      <c r="AM4623">
        <v>86.228583905157095</v>
      </c>
      <c r="AN4623">
        <v>0.99999997624185499</v>
      </c>
    </row>
    <row r="4624" spans="1:40" x14ac:dyDescent="0.25">
      <c r="A4624" t="str">
        <f>"20190312154928855"</f>
        <v>20190312154928855</v>
      </c>
      <c r="B4624" t="str">
        <f>"1552376968850081"</f>
        <v>1552376968850081</v>
      </c>
      <c r="C4624" t="s">
        <v>40</v>
      </c>
      <c r="D4624">
        <v>4.8484889999999998</v>
      </c>
      <c r="E4624">
        <v>0.41047610000000001</v>
      </c>
      <c r="F4624" t="s">
        <v>42</v>
      </c>
      <c r="G4624">
        <v>-341.51740000000001</v>
      </c>
      <c r="H4624" s="1">
        <v>-4.0114180000000003E-6</v>
      </c>
      <c r="I4624">
        <v>137.4171</v>
      </c>
      <c r="J4624">
        <v>-323.14769999999999</v>
      </c>
      <c r="K4624">
        <v>1.1096919999999999</v>
      </c>
      <c r="L4624">
        <v>140.7878</v>
      </c>
      <c r="M4624">
        <v>-0.99984879999999998</v>
      </c>
      <c r="N4624">
        <v>0</v>
      </c>
      <c r="O4624">
        <v>-1.001992E-2</v>
      </c>
      <c r="P4624">
        <v>-0.99811150000000004</v>
      </c>
      <c r="Q4624">
        <v>-2.598833E-2</v>
      </c>
      <c r="R4624">
        <v>5.5663850000000001E-2</v>
      </c>
      <c r="S4624">
        <v>-3.0316770000000002</v>
      </c>
      <c r="T4624">
        <v>-0.1812793</v>
      </c>
      <c r="U4624">
        <v>-0.55091859999999904</v>
      </c>
      <c r="V4624">
        <v>6.5658820000000007E-2</v>
      </c>
      <c r="W4624">
        <v>-1.181865E-2</v>
      </c>
      <c r="X4624">
        <v>0.9977722</v>
      </c>
      <c r="Y4624">
        <v>-0.16864999999999999</v>
      </c>
      <c r="Z4624">
        <v>-4.4032330000000003E-3</v>
      </c>
      <c r="AA4624">
        <v>0.98566620000000005</v>
      </c>
      <c r="AB4624">
        <v>30</v>
      </c>
      <c r="AC4624">
        <v>-18.369700000000002</v>
      </c>
      <c r="AD4624">
        <v>-1.1096960114179999</v>
      </c>
      <c r="AE4624">
        <v>-3.3706999999999998</v>
      </c>
      <c r="AF4624">
        <v>-3.1752394168392901</v>
      </c>
      <c r="AG4624">
        <v>-1.1096960114179999</v>
      </c>
      <c r="AH4624">
        <v>18.337815623694102</v>
      </c>
      <c r="AI4624">
        <v>93.412324938089597</v>
      </c>
      <c r="AJ4624">
        <v>99.8235072996479</v>
      </c>
      <c r="AK4624">
        <v>18.643740301790501</v>
      </c>
      <c r="AL4624">
        <v>90.6771744877815</v>
      </c>
      <c r="AM4624">
        <v>86.235055341779102</v>
      </c>
      <c r="AN4624">
        <v>1.00000006211222</v>
      </c>
    </row>
    <row r="4625" spans="1:40" x14ac:dyDescent="0.25">
      <c r="A4625" t="str">
        <f>"20190312154928873"</f>
        <v>20190312154928873</v>
      </c>
      <c r="B4625" t="str">
        <f>"1552376968870577"</f>
        <v>1552376968870577</v>
      </c>
      <c r="C4625" t="s">
        <v>40</v>
      </c>
      <c r="D4625">
        <v>4.8291469999999999</v>
      </c>
      <c r="E4625">
        <v>0.41044829999999999</v>
      </c>
      <c r="F4625" t="s">
        <v>42</v>
      </c>
      <c r="G4625">
        <v>-341.49340000000001</v>
      </c>
      <c r="H4625" s="1">
        <v>-4.0153170000000002E-6</v>
      </c>
      <c r="I4625">
        <v>137.45320000000001</v>
      </c>
      <c r="J4625">
        <v>-323.3818</v>
      </c>
      <c r="K4625">
        <v>1.1096969999999999</v>
      </c>
      <c r="L4625">
        <v>140.78559999999999</v>
      </c>
      <c r="M4625">
        <v>-0.99985009999999996</v>
      </c>
      <c r="N4625">
        <v>0</v>
      </c>
      <c r="O4625">
        <v>-9.8994549999999997E-3</v>
      </c>
      <c r="P4625">
        <v>-0.99813620000000003</v>
      </c>
      <c r="Q4625">
        <v>-2.531454E-2</v>
      </c>
      <c r="R4625">
        <v>5.5531700000000003E-2</v>
      </c>
      <c r="S4625">
        <v>-3.031647</v>
      </c>
      <c r="T4625">
        <v>-0.18337880000000001</v>
      </c>
      <c r="U4625">
        <v>-0.55104059999999999</v>
      </c>
      <c r="V4625">
        <v>6.5407049999999994E-2</v>
      </c>
      <c r="W4625">
        <v>-1.115556E-2</v>
      </c>
      <c r="X4625">
        <v>0.99779629999999997</v>
      </c>
      <c r="Y4625">
        <v>-0.16880209999999901</v>
      </c>
      <c r="Z4625">
        <v>-4.4659449999999998E-3</v>
      </c>
      <c r="AA4625">
        <v>0.98563990000000001</v>
      </c>
      <c r="AB4625">
        <v>30</v>
      </c>
      <c r="AC4625">
        <v>-18.111599999999999</v>
      </c>
      <c r="AD4625">
        <v>-1.1097010153169999</v>
      </c>
      <c r="AE4625">
        <v>-3.3323999999999701</v>
      </c>
      <c r="AF4625">
        <v>-3.1415164237085502</v>
      </c>
      <c r="AG4625">
        <v>-1.1097010153169999</v>
      </c>
      <c r="AH4625">
        <v>18.078061178776601</v>
      </c>
      <c r="AI4625">
        <v>93.460890158082094</v>
      </c>
      <c r="AJ4625">
        <v>99.858133785149803</v>
      </c>
      <c r="AK4625">
        <v>18.3825150011475</v>
      </c>
      <c r="AL4625">
        <v>90.639179768648503</v>
      </c>
      <c r="AM4625">
        <v>86.249541139338305</v>
      </c>
      <c r="AN4625">
        <v>0.99999999250115301</v>
      </c>
    </row>
    <row r="4626" spans="1:40" x14ac:dyDescent="0.25">
      <c r="A4626" t="str">
        <f>"20190312154928894"</f>
        <v>20190312154928894</v>
      </c>
      <c r="B4626" t="str">
        <f>"1552376968890097"</f>
        <v>1552376968890097</v>
      </c>
      <c r="C4626" t="s">
        <v>40</v>
      </c>
      <c r="D4626">
        <v>4.9773259999999997</v>
      </c>
      <c r="E4626">
        <v>0.41041650000000002</v>
      </c>
      <c r="F4626" t="s">
        <v>42</v>
      </c>
      <c r="G4626">
        <v>-341.73739999999998</v>
      </c>
      <c r="H4626" s="1">
        <v>-3.9121019999999998E-6</v>
      </c>
      <c r="I4626">
        <v>137.44499999999999</v>
      </c>
      <c r="J4626">
        <v>-323.66969999999998</v>
      </c>
      <c r="K4626">
        <v>1.1097049999999999</v>
      </c>
      <c r="L4626">
        <v>140.78290000000001</v>
      </c>
      <c r="M4626">
        <v>-0.99985159999999995</v>
      </c>
      <c r="N4626">
        <v>0</v>
      </c>
      <c r="O4626">
        <v>-9.7509060000000002E-3</v>
      </c>
      <c r="P4626">
        <v>-0.99814040000000004</v>
      </c>
      <c r="Q4626">
        <v>-2.4808150000000001E-2</v>
      </c>
      <c r="R4626">
        <v>5.5680540000000001E-2</v>
      </c>
      <c r="S4626">
        <v>-3.0316770000000002</v>
      </c>
      <c r="T4626">
        <v>-0.18328340000000001</v>
      </c>
      <c r="U4626">
        <v>-0.55172730000000003</v>
      </c>
      <c r="V4626">
        <v>6.5407709999999994E-2</v>
      </c>
      <c r="W4626">
        <v>-1.0653660000000001E-2</v>
      </c>
      <c r="X4626">
        <v>0.99780170000000001</v>
      </c>
      <c r="Y4626">
        <v>-0.16916229999999999</v>
      </c>
      <c r="Z4626">
        <v>-4.483178E-3</v>
      </c>
      <c r="AA4626">
        <v>0.98557799999999995</v>
      </c>
      <c r="AB4626">
        <v>30</v>
      </c>
      <c r="AC4626">
        <v>-18.067699999999999</v>
      </c>
      <c r="AD4626">
        <v>-1.1097089121019901</v>
      </c>
      <c r="AE4626">
        <v>-3.3379000000000101</v>
      </c>
      <c r="AF4626">
        <v>-3.1500561298541601</v>
      </c>
      <c r="AG4626">
        <v>-1.1097089121019901</v>
      </c>
      <c r="AH4626">
        <v>18.0336077802448</v>
      </c>
      <c r="AI4626">
        <v>93.4688973986881</v>
      </c>
      <c r="AJ4626">
        <v>99.908286746511493</v>
      </c>
      <c r="AK4626">
        <v>18.340264912550701</v>
      </c>
      <c r="AL4626">
        <v>90.610421331980703</v>
      </c>
      <c r="AM4626">
        <v>86.249523642133298</v>
      </c>
      <c r="AN4626">
        <v>0.99999995076086301</v>
      </c>
    </row>
    <row r="4627" spans="1:40" x14ac:dyDescent="0.25">
      <c r="A4627" t="str">
        <f>"20190312154928909"</f>
        <v>20190312154928909</v>
      </c>
      <c r="B4627" t="str">
        <f>"1552376968900833"</f>
        <v>1552376968900833</v>
      </c>
      <c r="C4627" t="s">
        <v>40</v>
      </c>
      <c r="D4627">
        <v>4.9554369999999999</v>
      </c>
      <c r="E4627">
        <v>0.43367410000000001</v>
      </c>
      <c r="F4627" t="s">
        <v>42</v>
      </c>
      <c r="G4627">
        <v>-342.02089999999998</v>
      </c>
      <c r="H4627" s="1">
        <v>-3.790654E-6</v>
      </c>
      <c r="I4627">
        <v>137.44399999999999</v>
      </c>
      <c r="J4627">
        <v>-323.86790000000002</v>
      </c>
      <c r="K4627">
        <v>1.10971</v>
      </c>
      <c r="L4627">
        <v>140.78110000000001</v>
      </c>
      <c r="M4627">
        <v>-0.99985250000000003</v>
      </c>
      <c r="N4627">
        <v>0</v>
      </c>
      <c r="O4627">
        <v>-9.6481589999999999E-3</v>
      </c>
      <c r="P4627">
        <v>-0.99813879999999999</v>
      </c>
      <c r="Q4627">
        <v>-2.457196E-2</v>
      </c>
      <c r="R4627">
        <v>5.5814849999999999E-2</v>
      </c>
      <c r="S4627">
        <v>-3.0318299999999998</v>
      </c>
      <c r="T4627">
        <v>-0.18333769999999999</v>
      </c>
      <c r="U4627">
        <v>-0.55160520000000002</v>
      </c>
      <c r="V4627">
        <v>6.5439860000000002E-2</v>
      </c>
      <c r="W4627">
        <v>-1.041782E-2</v>
      </c>
      <c r="X4627">
        <v>0.99780210000000003</v>
      </c>
      <c r="Y4627">
        <v>-0.16921600000000001</v>
      </c>
      <c r="Z4627">
        <v>-4.4920610000000003E-3</v>
      </c>
      <c r="AA4627">
        <v>0.98556880000000002</v>
      </c>
      <c r="AB4627">
        <v>30</v>
      </c>
      <c r="AC4627">
        <v>-18.152999999999899</v>
      </c>
      <c r="AD4627">
        <v>-1.109713790654</v>
      </c>
      <c r="AE4627">
        <v>-3.3371000000000199</v>
      </c>
      <c r="AF4627">
        <v>-3.15039570302421</v>
      </c>
      <c r="AG4627">
        <v>-1.109713790654</v>
      </c>
      <c r="AH4627">
        <v>18.118857954006799</v>
      </c>
      <c r="AI4627">
        <v>93.453098670469302</v>
      </c>
      <c r="AJ4627">
        <v>99.863627580975802</v>
      </c>
      <c r="AK4627">
        <v>18.424154562429099</v>
      </c>
      <c r="AL4627">
        <v>90.596907934024003</v>
      </c>
      <c r="AM4627">
        <v>86.247686927202395</v>
      </c>
      <c r="AN4627">
        <v>0.99999996850739004</v>
      </c>
    </row>
    <row r="4628" spans="1:40" x14ac:dyDescent="0.25">
      <c r="A4628" t="str">
        <f>"20190312154928921"</f>
        <v>20190312154928921</v>
      </c>
      <c r="B4628" t="str">
        <f>"1552376968910594"</f>
        <v>1552376968910594</v>
      </c>
      <c r="C4628" t="s">
        <v>40</v>
      </c>
      <c r="D4628">
        <v>5.5841329999999996</v>
      </c>
      <c r="E4628">
        <v>0.44476209999999999</v>
      </c>
      <c r="F4628" t="s">
        <v>42</v>
      </c>
      <c r="G4628">
        <v>-362.7432</v>
      </c>
      <c r="H4628" s="1">
        <v>-3.7136490000000002E-6</v>
      </c>
      <c r="I4628">
        <v>136.13120000000001</v>
      </c>
      <c r="J4628">
        <v>-324.04340000000002</v>
      </c>
      <c r="K4628">
        <v>1.109715</v>
      </c>
      <c r="L4628">
        <v>140.77950000000001</v>
      </c>
      <c r="M4628">
        <v>-0.99985360000000001</v>
      </c>
      <c r="N4628">
        <v>0</v>
      </c>
      <c r="O4628">
        <v>-9.5575710000000008E-3</v>
      </c>
      <c r="P4628">
        <v>-0.99813300000000005</v>
      </c>
      <c r="Q4628">
        <v>-2.4360469999999999E-2</v>
      </c>
      <c r="R4628">
        <v>5.6012680000000002E-2</v>
      </c>
      <c r="S4628">
        <v>-3.0237120000000002</v>
      </c>
      <c r="T4628">
        <v>-8.6313490000000007E-2</v>
      </c>
      <c r="U4628">
        <v>-0.36166379999999998</v>
      </c>
      <c r="V4628">
        <v>6.5547320000000006E-2</v>
      </c>
      <c r="W4628">
        <v>-1.0206130000000001E-2</v>
      </c>
      <c r="X4628">
        <v>0.9977973</v>
      </c>
      <c r="Y4628">
        <v>-0.1092264</v>
      </c>
      <c r="Z4628">
        <v>-1.281325E-3</v>
      </c>
      <c r="AA4628">
        <v>0.99401609999999996</v>
      </c>
      <c r="AB4628">
        <v>30</v>
      </c>
      <c r="AC4628">
        <v>-38.699799999999897</v>
      </c>
      <c r="AD4628">
        <v>-1.1097187136489901</v>
      </c>
      <c r="AE4628">
        <v>-4.6482999999999999</v>
      </c>
      <c r="AF4628">
        <v>-4.27470937547284</v>
      </c>
      <c r="AG4628">
        <v>-1.1097187136489901</v>
      </c>
      <c r="AH4628">
        <v>38.711085140784299</v>
      </c>
      <c r="AI4628">
        <v>91.632115350195804</v>
      </c>
      <c r="AJ4628">
        <v>96.301412233758199</v>
      </c>
      <c r="AK4628">
        <v>38.962196147615003</v>
      </c>
      <c r="AL4628">
        <v>90.584778306786305</v>
      </c>
      <c r="AM4628">
        <v>86.241524802636803</v>
      </c>
      <c r="AN4628">
        <v>1.00000003406802</v>
      </c>
    </row>
    <row r="4629" spans="1:40" x14ac:dyDescent="0.25">
      <c r="A4629" t="str">
        <f>"20190312154928938"</f>
        <v>20190312154928938</v>
      </c>
      <c r="B4629" t="str">
        <f>"1552376968930768"</f>
        <v>1552376968930768</v>
      </c>
      <c r="C4629" t="s">
        <v>40</v>
      </c>
      <c r="D4629">
        <v>4.9167509999999996</v>
      </c>
      <c r="E4629">
        <v>0.4640571</v>
      </c>
      <c r="F4629" t="s">
        <v>42</v>
      </c>
      <c r="G4629">
        <v>-368.32530000000003</v>
      </c>
      <c r="H4629" s="1">
        <v>-1.3089779999999999E-6</v>
      </c>
      <c r="I4629">
        <v>136.78620000000001</v>
      </c>
      <c r="J4629">
        <v>-324.26029999999997</v>
      </c>
      <c r="K4629">
        <v>1.109723</v>
      </c>
      <c r="L4629">
        <v>140.7775</v>
      </c>
      <c r="M4629">
        <v>-0.99985440000000003</v>
      </c>
      <c r="N4629">
        <v>0</v>
      </c>
      <c r="O4629">
        <v>-9.4449330000000008E-3</v>
      </c>
      <c r="P4629">
        <v>-0.99811030000000001</v>
      </c>
      <c r="Q4629">
        <v>-2.4237979999999999E-2</v>
      </c>
      <c r="R4629">
        <v>5.6466229999999999E-2</v>
      </c>
      <c r="S4629">
        <v>-3.0190730000000001</v>
      </c>
      <c r="T4629">
        <v>-7.5659039999999997E-2</v>
      </c>
      <c r="U4629">
        <v>-0.27224730000000003</v>
      </c>
      <c r="V4629">
        <v>6.5888299999999997E-2</v>
      </c>
      <c r="W4629">
        <v>-1.008363E-2</v>
      </c>
      <c r="X4629">
        <v>0.997776</v>
      </c>
      <c r="Y4629">
        <v>-8.0377569999999995E-2</v>
      </c>
      <c r="Z4629">
        <v>-7.6877580000000003E-4</v>
      </c>
      <c r="AA4629">
        <v>0.99676419999999999</v>
      </c>
      <c r="AB4629">
        <v>30</v>
      </c>
      <c r="AC4629">
        <v>-44.064999999999998</v>
      </c>
      <c r="AD4629">
        <v>-1.109724308978</v>
      </c>
      <c r="AE4629">
        <v>-3.9912999999999901</v>
      </c>
      <c r="AF4629">
        <v>-3.5726415097034399</v>
      </c>
      <c r="AG4629">
        <v>-1.109724308978</v>
      </c>
      <c r="AH4629">
        <v>44.073010781565699</v>
      </c>
      <c r="AI4629">
        <v>91.437644949297095</v>
      </c>
      <c r="AJ4629">
        <v>94.634370984211898</v>
      </c>
      <c r="AK4629">
        <v>44.231499350019803</v>
      </c>
      <c r="AL4629">
        <v>90.577759263174102</v>
      </c>
      <c r="AM4629">
        <v>86.221949111775302</v>
      </c>
      <c r="AN4629">
        <v>0.99999994692343197</v>
      </c>
    </row>
    <row r="4630" spans="1:40" x14ac:dyDescent="0.25">
      <c r="A4630" t="str">
        <f>"20190312154928954"</f>
        <v>20190312154928954</v>
      </c>
      <c r="B4630" t="str">
        <f>"1552376968950289"</f>
        <v>1552376968950289</v>
      </c>
      <c r="C4630" t="s">
        <v>40</v>
      </c>
      <c r="D4630">
        <v>4.8811349999999996</v>
      </c>
      <c r="E4630">
        <v>0.47551500000000002</v>
      </c>
      <c r="F4630" t="s">
        <v>42</v>
      </c>
      <c r="G4630">
        <v>-362.7867</v>
      </c>
      <c r="H4630" s="1">
        <v>-3.1380179999999999E-6</v>
      </c>
      <c r="I4630">
        <v>139.27109999999999</v>
      </c>
      <c r="J4630">
        <v>-324.4615</v>
      </c>
      <c r="K4630">
        <v>1.1097250000000001</v>
      </c>
      <c r="L4630">
        <v>140.7757</v>
      </c>
      <c r="M4630">
        <v>-0.99985550000000001</v>
      </c>
      <c r="N4630">
        <v>0</v>
      </c>
      <c r="O4630">
        <v>-9.3409949999999995E-3</v>
      </c>
      <c r="P4630">
        <v>-0.99809990000000004</v>
      </c>
      <c r="Q4630">
        <v>-2.4425479999999999E-2</v>
      </c>
      <c r="R4630">
        <v>5.657127E-2</v>
      </c>
      <c r="S4630">
        <v>-3.0101930000000001</v>
      </c>
      <c r="T4630">
        <v>-8.6706640000000001E-2</v>
      </c>
      <c r="U4630">
        <v>-0.117691</v>
      </c>
      <c r="V4630">
        <v>6.5889500000000004E-2</v>
      </c>
      <c r="W4630">
        <v>-1.027059E-2</v>
      </c>
      <c r="X4630">
        <v>0.9977741</v>
      </c>
      <c r="Y4630">
        <v>-2.9722709999999999E-2</v>
      </c>
      <c r="Z4630">
        <v>-1.589048E-4</v>
      </c>
      <c r="AA4630">
        <v>0.99955819999999995</v>
      </c>
      <c r="AB4630">
        <v>30</v>
      </c>
      <c r="AC4630">
        <v>-38.325200000000002</v>
      </c>
      <c r="AD4630">
        <v>-1.109728138018</v>
      </c>
      <c r="AE4630">
        <v>-1.5046000000000099</v>
      </c>
      <c r="AF4630">
        <v>-1.14554375389134</v>
      </c>
      <c r="AG4630">
        <v>-1.109728138018</v>
      </c>
      <c r="AH4630">
        <v>38.305516599640498</v>
      </c>
      <c r="AI4630">
        <v>91.658679374584096</v>
      </c>
      <c r="AJ4630">
        <v>91.712945605088095</v>
      </c>
      <c r="AK4630">
        <v>38.338705885797999</v>
      </c>
      <c r="AL4630">
        <v>90.588471786865995</v>
      </c>
      <c r="AM4630">
        <v>86.221873329168702</v>
      </c>
      <c r="AN4630">
        <v>1.0000000329300001</v>
      </c>
    </row>
    <row r="4631" spans="1:40" x14ac:dyDescent="0.25">
      <c r="A4631" t="str">
        <f>"20190312154928974"</f>
        <v>20190312154928974</v>
      </c>
      <c r="B4631" t="str">
        <f>"1552376968970784"</f>
        <v>1552376968970784</v>
      </c>
      <c r="C4631" t="s">
        <v>40</v>
      </c>
      <c r="D4631">
        <v>4.8480160000000003</v>
      </c>
      <c r="E4631">
        <v>0.48142550000000001</v>
      </c>
      <c r="F4631" t="s">
        <v>42</v>
      </c>
      <c r="G4631">
        <v>-355.39080000000001</v>
      </c>
      <c r="H4631" s="1">
        <v>-2.19458E-6</v>
      </c>
      <c r="I4631">
        <v>140.4992</v>
      </c>
      <c r="J4631">
        <v>-324.73689999999999</v>
      </c>
      <c r="K4631">
        <v>1.109726</v>
      </c>
      <c r="L4631">
        <v>140.77330000000001</v>
      </c>
      <c r="M4631">
        <v>-0.99985679999999999</v>
      </c>
      <c r="N4631">
        <v>0</v>
      </c>
      <c r="O4631">
        <v>-9.1989140000000007E-3</v>
      </c>
      <c r="P4631">
        <v>-0.99804709999999996</v>
      </c>
      <c r="Q4631">
        <v>-2.490384E-2</v>
      </c>
      <c r="R4631">
        <v>5.728859E-2</v>
      </c>
      <c r="S4631">
        <v>-3.004578</v>
      </c>
      <c r="T4631">
        <v>-0.10780289999999999</v>
      </c>
      <c r="U4631">
        <v>-2.6855469999999999E-2</v>
      </c>
      <c r="V4631">
        <v>6.6464280000000001E-2</v>
      </c>
      <c r="W4631">
        <v>-1.074863E-2</v>
      </c>
      <c r="X4631">
        <v>0.99773089999999998</v>
      </c>
      <c r="Y4631">
        <v>2.5594190000000002E-4</v>
      </c>
      <c r="Z4631">
        <v>3.3455650000000002E-4</v>
      </c>
      <c r="AA4631">
        <v>0.99999990000000005</v>
      </c>
      <c r="AB4631">
        <v>30</v>
      </c>
      <c r="AC4631">
        <v>-30.6539</v>
      </c>
      <c r="AD4631">
        <v>-1.1097281945799999</v>
      </c>
      <c r="AE4631">
        <v>-0.27410000000000401</v>
      </c>
      <c r="AF4631">
        <v>7.9122714653084292E-3</v>
      </c>
      <c r="AG4631">
        <v>-1.1097281945799999</v>
      </c>
      <c r="AH4631">
        <v>30.6150043794939</v>
      </c>
      <c r="AI4631">
        <v>92.075940075421599</v>
      </c>
      <c r="AJ4631">
        <v>89.985192236277001</v>
      </c>
      <c r="AK4631">
        <v>30.635111431596201</v>
      </c>
      <c r="AL4631">
        <v>90.615862999117297</v>
      </c>
      <c r="AM4631">
        <v>86.188847426488607</v>
      </c>
      <c r="AN4631">
        <v>0.99999999118880201</v>
      </c>
    </row>
    <row r="4632" spans="1:40" x14ac:dyDescent="0.25">
      <c r="A4632" t="str">
        <f>"20190312154928998"</f>
        <v>20190312154928998</v>
      </c>
      <c r="B4632" t="str">
        <f>"1552376968990304"</f>
        <v>1552376968990304</v>
      </c>
      <c r="C4632" t="s">
        <v>40</v>
      </c>
      <c r="D4632">
        <v>4.8342510000000001</v>
      </c>
      <c r="E4632">
        <v>0.48515609999999998</v>
      </c>
      <c r="F4632" t="s">
        <v>42</v>
      </c>
      <c r="G4632">
        <v>-352.42110000000002</v>
      </c>
      <c r="H4632" s="1">
        <v>-3.595333E-6</v>
      </c>
      <c r="I4632">
        <v>140.97569999999999</v>
      </c>
      <c r="J4632">
        <v>-325.05029999999999</v>
      </c>
      <c r="K4632">
        <v>1.109721</v>
      </c>
      <c r="L4632">
        <v>140.7706</v>
      </c>
      <c r="M4632">
        <v>-0.99985820000000003</v>
      </c>
      <c r="N4632">
        <v>0</v>
      </c>
      <c r="O4632">
        <v>-9.0371700000000006E-3</v>
      </c>
      <c r="P4632">
        <v>-0.99799400000000005</v>
      </c>
      <c r="Q4632">
        <v>-2.5758240000000002E-2</v>
      </c>
      <c r="R4632">
        <v>5.7832300000000003E-2</v>
      </c>
      <c r="S4632">
        <v>-3.0016479999999999</v>
      </c>
      <c r="T4632">
        <v>-0.1203219</v>
      </c>
      <c r="U4632">
        <v>2.1957399999999998E-2</v>
      </c>
      <c r="V4632">
        <v>6.6845890000000005E-2</v>
      </c>
      <c r="W4632">
        <v>-1.1602090000000001E-2</v>
      </c>
      <c r="X4632">
        <v>0.99769589999999997</v>
      </c>
      <c r="Y4632">
        <v>1.6332079999999999E-2</v>
      </c>
      <c r="Z4632">
        <v>6.8934529999999995E-4</v>
      </c>
      <c r="AA4632">
        <v>0.99986640000000004</v>
      </c>
      <c r="AB4632">
        <v>30</v>
      </c>
      <c r="AC4632">
        <v>-27.370799999999999</v>
      </c>
      <c r="AD4632">
        <v>-1.1097245953329999</v>
      </c>
      <c r="AE4632">
        <v>0.20509999999998699</v>
      </c>
      <c r="AF4632">
        <v>0.45172864995008399</v>
      </c>
      <c r="AG4632">
        <v>-1.1097245953329999</v>
      </c>
      <c r="AH4632">
        <v>27.322916790719599</v>
      </c>
      <c r="AI4632">
        <v>92.325481402969501</v>
      </c>
      <c r="AJ4632">
        <v>89.052817548187306</v>
      </c>
      <c r="AK4632">
        <v>27.3491741996584</v>
      </c>
      <c r="AL4632">
        <v>90.664765674909503</v>
      </c>
      <c r="AM4632">
        <v>86.166896367657898</v>
      </c>
      <c r="AN4632">
        <v>1.0000000451895299</v>
      </c>
    </row>
    <row r="4633" spans="1:40" x14ac:dyDescent="0.25">
      <c r="A4633" t="str">
        <f>"20190312154929018"</f>
        <v>20190312154929018</v>
      </c>
      <c r="B4633" t="str">
        <f>"1552376969010800"</f>
        <v>1552376969010800</v>
      </c>
      <c r="C4633" t="s">
        <v>40</v>
      </c>
      <c r="D4633">
        <v>4.8590660000000003</v>
      </c>
      <c r="E4633">
        <v>0.48752390000000001</v>
      </c>
      <c r="F4633" t="s">
        <v>42</v>
      </c>
      <c r="G4633">
        <v>-350.73259999999999</v>
      </c>
      <c r="H4633" s="1">
        <v>-4.3120889999999997E-6</v>
      </c>
      <c r="I4633">
        <v>141.22499999999999</v>
      </c>
      <c r="J4633">
        <v>-325.31950000000001</v>
      </c>
      <c r="K4633">
        <v>1.109718</v>
      </c>
      <c r="L4633">
        <v>140.76830000000001</v>
      </c>
      <c r="M4633">
        <v>-0.99985939999999995</v>
      </c>
      <c r="N4633">
        <v>0</v>
      </c>
      <c r="O4633">
        <v>-8.8981900000000003E-3</v>
      </c>
      <c r="P4633">
        <v>-0.99794329999999998</v>
      </c>
      <c r="Q4633">
        <v>-2.6458849999999999E-2</v>
      </c>
      <c r="R4633">
        <v>5.8385989999999999E-2</v>
      </c>
      <c r="S4633">
        <v>-2.9996339999999999</v>
      </c>
      <c r="T4633">
        <v>-0.1296136</v>
      </c>
      <c r="U4633">
        <v>5.308533E-2</v>
      </c>
      <c r="V4633">
        <v>6.7260120000000007E-2</v>
      </c>
      <c r="W4633">
        <v>-1.2302E-2</v>
      </c>
      <c r="X4633">
        <v>0.99765959999999998</v>
      </c>
      <c r="Y4633">
        <v>2.6558410000000001E-2</v>
      </c>
      <c r="Z4633">
        <v>9.5780219999999996E-4</v>
      </c>
      <c r="AA4633">
        <v>0.99964679999999995</v>
      </c>
      <c r="AB4633">
        <v>30</v>
      </c>
      <c r="AC4633">
        <v>-25.413099999999901</v>
      </c>
      <c r="AD4633">
        <v>-1.1097223120890001</v>
      </c>
      <c r="AE4633">
        <v>0.45669999999998301</v>
      </c>
      <c r="AF4633">
        <v>0.681536192776239</v>
      </c>
      <c r="AG4633">
        <v>-1.1097223120890001</v>
      </c>
      <c r="AH4633">
        <v>25.359688331657601</v>
      </c>
      <c r="AI4633">
        <v>92.504721723752795</v>
      </c>
      <c r="AJ4633">
        <v>88.460558747527102</v>
      </c>
      <c r="AK4633">
        <v>25.393104722952302</v>
      </c>
      <c r="AL4633">
        <v>90.704870480420993</v>
      </c>
      <c r="AM4633">
        <v>86.143074986872406</v>
      </c>
      <c r="AN4633">
        <v>0.99999997020928599</v>
      </c>
    </row>
    <row r="4634" spans="1:40" x14ac:dyDescent="0.25">
      <c r="A4634" t="str">
        <f>"20190312154929033"</f>
        <v>20190312154929033</v>
      </c>
      <c r="B4634" t="str">
        <f>"1552376969030849"</f>
        <v>1552376969030849</v>
      </c>
      <c r="C4634" t="s">
        <v>40</v>
      </c>
      <c r="D4634">
        <v>4.8512779999999998</v>
      </c>
      <c r="E4634">
        <v>0.48935790000000001</v>
      </c>
      <c r="F4634" t="s">
        <v>42</v>
      </c>
      <c r="G4634">
        <v>-349.81909999999999</v>
      </c>
      <c r="H4634" s="1">
        <v>-5.2598380000000002E-7</v>
      </c>
      <c r="I4634">
        <v>141.36779999999999</v>
      </c>
      <c r="J4634">
        <v>-325.53440000000001</v>
      </c>
      <c r="K4634">
        <v>1.1097170000000001</v>
      </c>
      <c r="L4634">
        <v>140.76650000000001</v>
      </c>
      <c r="M4634">
        <v>-0.99986030000000004</v>
      </c>
      <c r="N4634">
        <v>0</v>
      </c>
      <c r="O4634">
        <v>-8.7869850000000006E-3</v>
      </c>
      <c r="P4634">
        <v>-0.99792309999999995</v>
      </c>
      <c r="Q4634">
        <v>-2.6712320000000001E-2</v>
      </c>
      <c r="R4634">
        <v>5.8614409999999999E-2</v>
      </c>
      <c r="S4634">
        <v>-2.998291</v>
      </c>
      <c r="T4634">
        <v>-0.1358095</v>
      </c>
      <c r="U4634">
        <v>7.3379520000000004E-2</v>
      </c>
      <c r="V4634">
        <v>6.7377339999999994E-2</v>
      </c>
      <c r="W4634">
        <v>-1.255467E-2</v>
      </c>
      <c r="X4634">
        <v>0.9976486</v>
      </c>
      <c r="Y4634">
        <v>3.3207720000000003E-2</v>
      </c>
      <c r="Z4634">
        <v>1.1493810000000001E-3</v>
      </c>
      <c r="AA4634">
        <v>0.9994478</v>
      </c>
      <c r="AB4634">
        <v>30</v>
      </c>
      <c r="AC4634">
        <v>-24.284699999999901</v>
      </c>
      <c r="AD4634">
        <v>-1.1097175259837999</v>
      </c>
      <c r="AE4634">
        <v>0.60129999999997996</v>
      </c>
      <c r="AF4634">
        <v>0.81299105146019801</v>
      </c>
      <c r="AG4634">
        <v>-1.1097175259837999</v>
      </c>
      <c r="AH4634">
        <v>24.227917857144998</v>
      </c>
      <c r="AI4634">
        <v>92.621027171070594</v>
      </c>
      <c r="AJ4634">
        <v>88.078106229205801</v>
      </c>
      <c r="AK4634">
        <v>24.2669411160491</v>
      </c>
      <c r="AL4634">
        <v>90.719348482578297</v>
      </c>
      <c r="AM4634">
        <v>86.136331061457795</v>
      </c>
      <c r="AN4634">
        <v>1.00000002738312</v>
      </c>
    </row>
    <row r="4635" spans="1:40" x14ac:dyDescent="0.25">
      <c r="A4635" t="str">
        <f>"20190312154929051"</f>
        <v>20190312154929051</v>
      </c>
      <c r="B4635" t="str">
        <f>"1552376969040610"</f>
        <v>1552376969040610</v>
      </c>
      <c r="C4635" t="s">
        <v>40</v>
      </c>
      <c r="D4635">
        <v>4.8739980000000003</v>
      </c>
      <c r="E4635">
        <v>0.4901219</v>
      </c>
      <c r="F4635" t="s">
        <v>42</v>
      </c>
      <c r="G4635">
        <v>-349.55079999999998</v>
      </c>
      <c r="H4635" s="1">
        <v>-6.7003789999999999E-7</v>
      </c>
      <c r="I4635">
        <v>141.4768</v>
      </c>
      <c r="J4635">
        <v>-325.75979999999998</v>
      </c>
      <c r="K4635">
        <v>1.10972</v>
      </c>
      <c r="L4635">
        <v>140.7647</v>
      </c>
      <c r="M4635">
        <v>-0.99986140000000001</v>
      </c>
      <c r="N4635">
        <v>0</v>
      </c>
      <c r="O4635">
        <v>-8.670535E-3</v>
      </c>
      <c r="P4635">
        <v>-0.99787429999999999</v>
      </c>
      <c r="Q4635">
        <v>-2.6866069999999999E-2</v>
      </c>
      <c r="R4635">
        <v>5.9373910000000002E-2</v>
      </c>
      <c r="S4635">
        <v>-2.9973139999999998</v>
      </c>
      <c r="T4635">
        <v>-0.13849589999999901</v>
      </c>
      <c r="U4635">
        <v>8.8653560000000006E-2</v>
      </c>
      <c r="V4635">
        <v>6.802031E-2</v>
      </c>
      <c r="W4635">
        <v>-1.270832E-2</v>
      </c>
      <c r="X4635">
        <v>0.99760300000000002</v>
      </c>
      <c r="Y4635">
        <v>3.8181300000000001E-2</v>
      </c>
      <c r="Z4635">
        <v>1.281838E-3</v>
      </c>
      <c r="AA4635">
        <v>0.99926999999999999</v>
      </c>
      <c r="AB4635">
        <v>30</v>
      </c>
      <c r="AC4635">
        <v>-23.791</v>
      </c>
      <c r="AD4635">
        <v>-1.1097206700378901</v>
      </c>
      <c r="AE4635">
        <v>0.71209999999999196</v>
      </c>
      <c r="AF4635">
        <v>0.91638275999222096</v>
      </c>
      <c r="AG4635">
        <v>-1.1097206700378901</v>
      </c>
      <c r="AH4635">
        <v>23.732342020027801</v>
      </c>
      <c r="AI4635">
        <v>92.675201082958793</v>
      </c>
      <c r="AJ4635">
        <v>87.788722527893995</v>
      </c>
      <c r="AK4635">
        <v>23.7759394153816</v>
      </c>
      <c r="AL4635">
        <v>90.728152697724099</v>
      </c>
      <c r="AM4635">
        <v>86.099396287787798</v>
      </c>
      <c r="AN4635">
        <v>1.00000000478935</v>
      </c>
    </row>
    <row r="4636" spans="1:40" x14ac:dyDescent="0.25">
      <c r="A4636" t="str">
        <f>"20190312154929064"</f>
        <v>20190312154929064</v>
      </c>
      <c r="B4636" t="str">
        <f>"1552376969060129"</f>
        <v>1552376969060129</v>
      </c>
      <c r="C4636" t="s">
        <v>40</v>
      </c>
      <c r="D4636">
        <v>4.8494109999999999</v>
      </c>
      <c r="E4636">
        <v>0.49149120000000002</v>
      </c>
      <c r="F4636" t="s">
        <v>42</v>
      </c>
      <c r="G4636">
        <v>-349.58949999999999</v>
      </c>
      <c r="H4636" s="1">
        <v>-6.6895980000000004E-7</v>
      </c>
      <c r="I4636">
        <v>141.535</v>
      </c>
      <c r="J4636">
        <v>-325.9425</v>
      </c>
      <c r="K4636">
        <v>1.109721</v>
      </c>
      <c r="L4636">
        <v>140.76320000000001</v>
      </c>
      <c r="M4636">
        <v>-0.99986220000000003</v>
      </c>
      <c r="N4636">
        <v>0</v>
      </c>
      <c r="O4636">
        <v>-8.5758959999999995E-3</v>
      </c>
      <c r="P4636">
        <v>-0.99787139999999996</v>
      </c>
      <c r="Q4636">
        <v>-2.6709420000000001E-2</v>
      </c>
      <c r="R4636">
        <v>5.949347E-2</v>
      </c>
      <c r="S4636">
        <v>-2.996826</v>
      </c>
      <c r="T4636">
        <v>-0.13955899999999999</v>
      </c>
      <c r="U4636">
        <v>9.6893309999999996E-2</v>
      </c>
      <c r="V4636">
        <v>6.8045439999999999E-2</v>
      </c>
      <c r="W4636">
        <v>-1.255092E-2</v>
      </c>
      <c r="X4636">
        <v>0.99760329999999997</v>
      </c>
      <c r="Y4636">
        <v>4.0832689999999998E-2</v>
      </c>
      <c r="Z4636">
        <v>1.349105E-3</v>
      </c>
      <c r="AA4636">
        <v>0.99916510000000003</v>
      </c>
      <c r="AB4636">
        <v>30</v>
      </c>
      <c r="AC4636">
        <v>-23.646999999999899</v>
      </c>
      <c r="AD4636">
        <v>-1.1097216689598</v>
      </c>
      <c r="AE4636">
        <v>0.77179999999998405</v>
      </c>
      <c r="AF4636">
        <v>0.97244697512879397</v>
      </c>
      <c r="AG4636">
        <v>-1.1097216689598</v>
      </c>
      <c r="AH4636">
        <v>23.587619010690599</v>
      </c>
      <c r="AI4636">
        <v>92.691313295688801</v>
      </c>
      <c r="AJ4636">
        <v>87.639203313667096</v>
      </c>
      <c r="AK4636">
        <v>23.633723910875499</v>
      </c>
      <c r="AL4636">
        <v>90.719133607594898</v>
      </c>
      <c r="AM4636">
        <v>86.097960836405093</v>
      </c>
      <c r="AN4636">
        <v>1.0000000258342601</v>
      </c>
    </row>
    <row r="4637" spans="1:40" x14ac:dyDescent="0.25">
      <c r="A4637" t="str">
        <f>"20190312154929076"</f>
        <v>20190312154929076</v>
      </c>
      <c r="B4637" t="str">
        <f>"1552376969070865"</f>
        <v>1552376969070865</v>
      </c>
      <c r="C4637" t="s">
        <v>40</v>
      </c>
      <c r="D4637">
        <v>4.8128679999999999</v>
      </c>
      <c r="E4637">
        <v>0.49193930000000002</v>
      </c>
      <c r="F4637" t="s">
        <v>42</v>
      </c>
      <c r="G4637">
        <v>-349.57810000000001</v>
      </c>
      <c r="H4637" s="1">
        <v>-6.9539690000000002E-7</v>
      </c>
      <c r="I4637">
        <v>141.61600000000001</v>
      </c>
      <c r="J4637">
        <v>-326.1139</v>
      </c>
      <c r="K4637">
        <v>1.109723</v>
      </c>
      <c r="L4637">
        <v>140.76179999999999</v>
      </c>
      <c r="M4637">
        <v>-0.99986280000000005</v>
      </c>
      <c r="N4637">
        <v>0</v>
      </c>
      <c r="O4637">
        <v>-8.4873329999999997E-3</v>
      </c>
      <c r="P4637">
        <v>-0.9978667</v>
      </c>
      <c r="Q4637">
        <v>-2.667141E-2</v>
      </c>
      <c r="R4637">
        <v>5.9585350000000002E-2</v>
      </c>
      <c r="S4637">
        <v>-2.9961850000000001</v>
      </c>
      <c r="T4637">
        <v>-0.1406753</v>
      </c>
      <c r="U4637">
        <v>0.10812380000000001</v>
      </c>
      <c r="V4637">
        <v>6.8048860000000003E-2</v>
      </c>
      <c r="W4637">
        <v>-1.2512479999999999E-2</v>
      </c>
      <c r="X4637">
        <v>0.99760349999999998</v>
      </c>
      <c r="Y4637">
        <v>4.448676E-2</v>
      </c>
      <c r="Z4637">
        <v>1.441641E-3</v>
      </c>
      <c r="AA4637">
        <v>0.99900900000000004</v>
      </c>
      <c r="AB4637">
        <v>30</v>
      </c>
      <c r="AC4637">
        <v>-23.464200000000002</v>
      </c>
      <c r="AD4637">
        <v>-1.1097236953968901</v>
      </c>
      <c r="AE4637">
        <v>0.85420000000001906</v>
      </c>
      <c r="AF4637">
        <v>1.05099016261079</v>
      </c>
      <c r="AG4637">
        <v>-1.1097236953968901</v>
      </c>
      <c r="AH4637">
        <v>23.403824767496499</v>
      </c>
      <c r="AI4637">
        <v>92.711993762595199</v>
      </c>
      <c r="AJ4637">
        <v>87.428759115107297</v>
      </c>
      <c r="AK4637">
        <v>23.453679471454201</v>
      </c>
      <c r="AL4637">
        <v>90.716931020399798</v>
      </c>
      <c r="AM4637">
        <v>86.097766103638506</v>
      </c>
      <c r="AN4637">
        <v>0.99999997635764903</v>
      </c>
    </row>
    <row r="4638" spans="1:40" x14ac:dyDescent="0.25">
      <c r="A4638" t="str">
        <f>"20190312154929096"</f>
        <v>20190312154929096</v>
      </c>
      <c r="B4638" t="str">
        <f>"1552376969090385"</f>
        <v>1552376969090385</v>
      </c>
      <c r="C4638" t="s">
        <v>40</v>
      </c>
      <c r="D4638">
        <v>4.8726180000000001</v>
      </c>
      <c r="E4638">
        <v>0.49266179999999898</v>
      </c>
      <c r="F4638" t="s">
        <v>42</v>
      </c>
      <c r="G4638">
        <v>-349.69240000000002</v>
      </c>
      <c r="H4638" s="1">
        <v>-6.5336969999999995E-7</v>
      </c>
      <c r="I4638">
        <v>141.64230000000001</v>
      </c>
      <c r="J4638">
        <v>-326.3614</v>
      </c>
      <c r="K4638">
        <v>1.10972</v>
      </c>
      <c r="L4638">
        <v>140.75989999999999</v>
      </c>
      <c r="M4638">
        <v>-0.99986419999999998</v>
      </c>
      <c r="N4638">
        <v>0</v>
      </c>
      <c r="O4638">
        <v>-8.3593160000000003E-3</v>
      </c>
      <c r="P4638">
        <v>-0.99784240000000002</v>
      </c>
      <c r="Q4638">
        <v>-2.6692380000000002E-2</v>
      </c>
      <c r="R4638">
        <v>5.9985810000000001E-2</v>
      </c>
      <c r="S4638">
        <v>-2.9960019999999998</v>
      </c>
      <c r="T4638">
        <v>-0.14100779999999999</v>
      </c>
      <c r="U4638">
        <v>0.111892699999999</v>
      </c>
      <c r="V4638">
        <v>6.8321560000000003E-2</v>
      </c>
      <c r="W4638">
        <v>-1.253337E-2</v>
      </c>
      <c r="X4638">
        <v>0.99758460000000004</v>
      </c>
      <c r="Y4638">
        <v>4.5614670000000003E-2</v>
      </c>
      <c r="Z4638">
        <v>1.4655979999999901E-3</v>
      </c>
      <c r="AA4638">
        <v>0.99895809999999996</v>
      </c>
      <c r="AB4638">
        <v>30</v>
      </c>
      <c r="AC4638">
        <v>-23.331</v>
      </c>
      <c r="AD4638">
        <v>-1.1097206533696999</v>
      </c>
      <c r="AE4638">
        <v>0.88240000000001795</v>
      </c>
      <c r="AF4638">
        <v>1.07499149892783</v>
      </c>
      <c r="AG4638">
        <v>-1.1097206533696999</v>
      </c>
      <c r="AH4638">
        <v>23.270237328060698</v>
      </c>
      <c r="AI4638">
        <v>92.727371996827401</v>
      </c>
      <c r="AJ4638">
        <v>87.355045552226201</v>
      </c>
      <c r="AK4638">
        <v>23.3214714792088</v>
      </c>
      <c r="AL4638">
        <v>90.718128022275295</v>
      </c>
      <c r="AM4638">
        <v>86.082102842086499</v>
      </c>
      <c r="AN4638">
        <v>0.99999997754077496</v>
      </c>
    </row>
    <row r="4639" spans="1:40" x14ac:dyDescent="0.25">
      <c r="A4639" t="str">
        <f>"20190312154929110"</f>
        <v>20190312154929110</v>
      </c>
      <c r="B4639" t="str">
        <f>"1552376969100145"</f>
        <v>1552376969100145</v>
      </c>
      <c r="C4639" t="s">
        <v>40</v>
      </c>
      <c r="D4639">
        <v>4.7980470000000004</v>
      </c>
      <c r="E4639">
        <v>0.52165399999999995</v>
      </c>
      <c r="F4639" t="s">
        <v>42</v>
      </c>
      <c r="G4639">
        <v>-349.92970000000003</v>
      </c>
      <c r="H4639" s="1">
        <v>-5.6535990000000004E-7</v>
      </c>
      <c r="I4639">
        <v>141.69409999999999</v>
      </c>
      <c r="J4639">
        <v>-326.55540000000002</v>
      </c>
      <c r="K4639">
        <v>1.109718</v>
      </c>
      <c r="L4639">
        <v>140.75829999999999</v>
      </c>
      <c r="M4639">
        <v>-0.999865</v>
      </c>
      <c r="N4639">
        <v>0</v>
      </c>
      <c r="O4639">
        <v>-8.2588330000000001E-3</v>
      </c>
      <c r="P4639">
        <v>-0.99783809999999995</v>
      </c>
      <c r="Q4639">
        <v>-2.6725169999999999E-2</v>
      </c>
      <c r="R4639">
        <v>6.0040780000000002E-2</v>
      </c>
      <c r="S4639">
        <v>-2.9955750000000001</v>
      </c>
      <c r="T4639">
        <v>-0.14104820000000001</v>
      </c>
      <c r="U4639">
        <v>0.118759199999999</v>
      </c>
      <c r="V4639">
        <v>6.8276050000000005E-2</v>
      </c>
      <c r="W4639">
        <v>-1.2565949999999999E-2</v>
      </c>
      <c r="X4639">
        <v>0.99758729999999995</v>
      </c>
      <c r="Y4639">
        <v>4.7803560000000002E-2</v>
      </c>
      <c r="Z4639">
        <v>1.5129189999999999E-3</v>
      </c>
      <c r="AA4639">
        <v>0.99885559999999995</v>
      </c>
      <c r="AB4639">
        <v>30</v>
      </c>
      <c r="AC4639">
        <v>-23.374300000000002</v>
      </c>
      <c r="AD4639">
        <v>-1.10971856535989</v>
      </c>
      <c r="AE4639">
        <v>0.93579999999999997</v>
      </c>
      <c r="AF4639">
        <v>1.1262974170120901</v>
      </c>
      <c r="AG4639">
        <v>-1.10971856535989</v>
      </c>
      <c r="AH4639">
        <v>23.313309816505999</v>
      </c>
      <c r="AI4639">
        <v>92.722064422877494</v>
      </c>
      <c r="AJ4639">
        <v>87.2341141820324</v>
      </c>
      <c r="AK4639">
        <v>23.366866194812399</v>
      </c>
      <c r="AL4639">
        <v>90.719994870096698</v>
      </c>
      <c r="AM4639">
        <v>86.084715055574193</v>
      </c>
      <c r="AN4639">
        <v>0.99999997161214704</v>
      </c>
    </row>
    <row r="4640" spans="1:40" x14ac:dyDescent="0.25">
      <c r="A4640" t="str">
        <f>"20190312154929128"</f>
        <v>20190312154929128</v>
      </c>
      <c r="B4640" t="str">
        <f>"1552376969120173"</f>
        <v>1552376969120173</v>
      </c>
      <c r="C4640" t="s">
        <v>40</v>
      </c>
      <c r="D4640">
        <v>4.7897970000000001</v>
      </c>
      <c r="E4640">
        <v>0.52601500000000001</v>
      </c>
      <c r="F4640" t="s">
        <v>41</v>
      </c>
      <c r="G4640">
        <v>-327.45420000000001</v>
      </c>
      <c r="H4640">
        <v>0.98524500000000004</v>
      </c>
      <c r="I4640">
        <v>140.86080000000001</v>
      </c>
      <c r="J4640">
        <v>-326.80160000000001</v>
      </c>
      <c r="K4640">
        <v>1.1097239999999999</v>
      </c>
      <c r="L4640">
        <v>140.75649999999999</v>
      </c>
      <c r="M4640">
        <v>-0.99986600000000003</v>
      </c>
      <c r="N4640">
        <v>0</v>
      </c>
      <c r="O4640">
        <v>-8.131526E-3</v>
      </c>
      <c r="P4640">
        <v>-0.99782859999999995</v>
      </c>
      <c r="Q4640">
        <v>-2.69825E-2</v>
      </c>
      <c r="R4640">
        <v>6.0087069999999999E-2</v>
      </c>
      <c r="S4640">
        <v>-2.975098</v>
      </c>
      <c r="T4640">
        <v>-0.41205969999999997</v>
      </c>
      <c r="U4640">
        <v>0.33837889999999998</v>
      </c>
      <c r="V4640">
        <v>6.8195450000000005E-2</v>
      </c>
      <c r="W4640">
        <v>-1.2823299999999999E-2</v>
      </c>
      <c r="X4640">
        <v>0.99758959999999997</v>
      </c>
      <c r="Y4640">
        <v>0.11987829999999999</v>
      </c>
      <c r="Z4640">
        <v>9.3537050000000004E-3</v>
      </c>
      <c r="AA4640">
        <v>0.99274450000000003</v>
      </c>
      <c r="AB4640">
        <v>30</v>
      </c>
      <c r="AC4640">
        <v>-0.65260000000000595</v>
      </c>
      <c r="AD4640">
        <v>-0.12447899999999899</v>
      </c>
      <c r="AE4640">
        <v>0.104300000000023</v>
      </c>
      <c r="AF4640">
        <v>0.105848555419919</v>
      </c>
      <c r="AG4640">
        <v>-0.12447899999999899</v>
      </c>
      <c r="AH4640">
        <v>0.62940109644181297</v>
      </c>
      <c r="AI4640">
        <v>101.036137379721</v>
      </c>
      <c r="AJ4640">
        <v>80.453699210721794</v>
      </c>
      <c r="AK4640">
        <v>0.65026508312198295</v>
      </c>
      <c r="AL4640">
        <v>90.734741082394606</v>
      </c>
      <c r="AM4640">
        <v>86.089331694942899</v>
      </c>
      <c r="AN4640">
        <v>1.0000000332258701</v>
      </c>
    </row>
    <row r="4641" spans="1:40" x14ac:dyDescent="0.25">
      <c r="A4641" t="str">
        <f>"20190312154929143"</f>
        <v>20190312154929143</v>
      </c>
      <c r="B4641" t="str">
        <f>"1552376969130909"</f>
        <v>1552376969130909</v>
      </c>
      <c r="C4641" t="s">
        <v>40</v>
      </c>
      <c r="D4641">
        <v>4.7650880000000004</v>
      </c>
      <c r="E4641">
        <v>0.52696889999999996</v>
      </c>
      <c r="F4641" t="s">
        <v>41</v>
      </c>
      <c r="G4641">
        <v>-327.69499999999999</v>
      </c>
      <c r="H4641">
        <v>0.93318179999999995</v>
      </c>
      <c r="I4641">
        <v>140.86670000000001</v>
      </c>
      <c r="J4641">
        <v>-326.9984</v>
      </c>
      <c r="K4641">
        <v>1.1097250000000001</v>
      </c>
      <c r="L4641">
        <v>140.755</v>
      </c>
      <c r="M4641">
        <v>-0.9998667</v>
      </c>
      <c r="N4641">
        <v>0</v>
      </c>
      <c r="O4641">
        <v>-8.0292530000000001E-3</v>
      </c>
      <c r="P4641">
        <v>-0.99781160000000002</v>
      </c>
      <c r="Q4641">
        <v>-2.7276950000000001E-2</v>
      </c>
      <c r="R4641">
        <v>6.0231989999999999E-2</v>
      </c>
      <c r="S4641">
        <v>-2.968658</v>
      </c>
      <c r="T4641">
        <v>-0.58667349999999996</v>
      </c>
      <c r="U4641">
        <v>0.36567690000000003</v>
      </c>
      <c r="V4641">
        <v>6.8237999999999993E-2</v>
      </c>
      <c r="W4641">
        <v>-1.3118070000000001E-2</v>
      </c>
      <c r="X4641">
        <v>0.99758290000000005</v>
      </c>
      <c r="Y4641">
        <v>0.12763540000000001</v>
      </c>
      <c r="Z4641">
        <v>1.401147E-2</v>
      </c>
      <c r="AA4641">
        <v>0.9917222</v>
      </c>
      <c r="AB4641">
        <v>30</v>
      </c>
      <c r="AC4641">
        <v>-0.69659999999998901</v>
      </c>
      <c r="AD4641">
        <v>-0.17654320000000001</v>
      </c>
      <c r="AE4641">
        <v>0.111700000000013</v>
      </c>
      <c r="AF4641">
        <v>0.110378308260144</v>
      </c>
      <c r="AG4641">
        <v>-0.17654320000000001</v>
      </c>
      <c r="AH4641">
        <v>0.65468456886233894</v>
      </c>
      <c r="AI4641">
        <v>104.890864176831</v>
      </c>
      <c r="AJ4641">
        <v>80.430062193119198</v>
      </c>
      <c r="AK4641">
        <v>0.68699545639478399</v>
      </c>
      <c r="AL4641">
        <v>90.751631548006202</v>
      </c>
      <c r="AM4641">
        <v>86.086873043509897</v>
      </c>
      <c r="AN4641">
        <v>1.0000000753884599</v>
      </c>
    </row>
    <row r="4642" spans="1:40" x14ac:dyDescent="0.25">
      <c r="A4642" t="str">
        <f>"20190312154929157"</f>
        <v>20190312154929157</v>
      </c>
      <c r="B4642" t="str">
        <f>"1552376969150429"</f>
        <v>1552376969150429</v>
      </c>
      <c r="C4642" t="s">
        <v>40</v>
      </c>
      <c r="D4642">
        <v>4.7511939999999999</v>
      </c>
      <c r="E4642">
        <v>0.52758430000000001</v>
      </c>
      <c r="F4642" t="s">
        <v>41</v>
      </c>
      <c r="G4642">
        <v>-327.70670000000001</v>
      </c>
      <c r="H4642">
        <v>0.9591963</v>
      </c>
      <c r="I4642">
        <v>140.84389999999999</v>
      </c>
      <c r="J4642">
        <v>-327.18200000000002</v>
      </c>
      <c r="K4642">
        <v>1.1097269999999999</v>
      </c>
      <c r="L4642">
        <v>140.75360000000001</v>
      </c>
      <c r="M4642">
        <v>-0.99986739999999996</v>
      </c>
      <c r="N4642">
        <v>0</v>
      </c>
      <c r="O4642">
        <v>-7.9343669999999995E-3</v>
      </c>
      <c r="P4642">
        <v>-0.99780210000000003</v>
      </c>
      <c r="Q4642">
        <v>-2.7297689999999999E-2</v>
      </c>
      <c r="R4642">
        <v>6.0382459999999999E-2</v>
      </c>
      <c r="S4642">
        <v>-2.966888</v>
      </c>
      <c r="T4642">
        <v>-0.63059140000000002</v>
      </c>
      <c r="U4642">
        <v>0.37184139999999999</v>
      </c>
      <c r="V4642">
        <v>6.8293930000000003E-2</v>
      </c>
      <c r="W4642">
        <v>-1.313926E-2</v>
      </c>
      <c r="X4642">
        <v>0.99757870000000004</v>
      </c>
      <c r="Y4642">
        <v>0.12920980000000001</v>
      </c>
      <c r="Z4642">
        <v>1.519029E-2</v>
      </c>
      <c r="AA4642">
        <v>0.99150090000000002</v>
      </c>
      <c r="AB4642">
        <v>30</v>
      </c>
      <c r="AC4642">
        <v>-0.52469999999999495</v>
      </c>
      <c r="AD4642">
        <v>-0.15053069999999999</v>
      </c>
      <c r="AE4642">
        <v>9.0299999999984906E-2</v>
      </c>
      <c r="AF4642">
        <v>8.7468689275177994E-2</v>
      </c>
      <c r="AG4642">
        <v>-0.15053069999999999</v>
      </c>
      <c r="AH4642">
        <v>0.48518252985500798</v>
      </c>
      <c r="AI4642">
        <v>106.979195666574</v>
      </c>
      <c r="AJ4642">
        <v>79.7804896617249</v>
      </c>
      <c r="AK4642">
        <v>0.51547293869078503</v>
      </c>
      <c r="AL4642">
        <v>90.752845820543996</v>
      </c>
      <c r="AM4642">
        <v>86.083659261587798</v>
      </c>
      <c r="AN4642">
        <v>0.99999998186094097</v>
      </c>
    </row>
    <row r="4643" spans="1:40" x14ac:dyDescent="0.25">
      <c r="A4643" t="str">
        <f>"20190312154929175"</f>
        <v>20190312154929175</v>
      </c>
      <c r="B4643" t="str">
        <f>"1552376969160188"</f>
        <v>1552376969160188</v>
      </c>
      <c r="C4643" t="s">
        <v>40</v>
      </c>
      <c r="D4643">
        <v>4.7726480000000002</v>
      </c>
      <c r="E4643">
        <v>0.52779919999999902</v>
      </c>
      <c r="F4643" t="s">
        <v>41</v>
      </c>
      <c r="G4643">
        <v>-327.95909999999998</v>
      </c>
      <c r="H4643">
        <v>0.93182220000000004</v>
      </c>
      <c r="I4643">
        <v>140.85220000000001</v>
      </c>
      <c r="J4643">
        <v>-327.41640000000001</v>
      </c>
      <c r="K4643">
        <v>1.1097269999999999</v>
      </c>
      <c r="L4643">
        <v>140.75190000000001</v>
      </c>
      <c r="M4643">
        <v>-0.99986850000000005</v>
      </c>
      <c r="N4643">
        <v>0</v>
      </c>
      <c r="O4643">
        <v>-7.8131369999999995E-3</v>
      </c>
      <c r="P4643">
        <v>-0.99778440000000002</v>
      </c>
      <c r="Q4643">
        <v>-2.7573799999999999E-2</v>
      </c>
      <c r="R4643">
        <v>6.0549890000000002E-2</v>
      </c>
      <c r="S4643">
        <v>-2.965363</v>
      </c>
      <c r="T4643">
        <v>-0.67887449999999905</v>
      </c>
      <c r="U4643">
        <v>0.37490839999999998</v>
      </c>
      <c r="V4643">
        <v>6.834026E-2</v>
      </c>
      <c r="W4643">
        <v>-1.341611E-2</v>
      </c>
      <c r="X4643">
        <v>0.99757189999999996</v>
      </c>
      <c r="Y4643">
        <v>0.1296765</v>
      </c>
      <c r="Z4643">
        <v>1.6357739999999999E-2</v>
      </c>
      <c r="AA4643">
        <v>0.99142140000000001</v>
      </c>
      <c r="AB4643">
        <v>30</v>
      </c>
      <c r="AC4643">
        <v>-0.54269999999996799</v>
      </c>
      <c r="AD4643">
        <v>-0.1779048</v>
      </c>
      <c r="AE4643">
        <v>0.100300000000004</v>
      </c>
      <c r="AF4643">
        <v>9.4697292842810102E-2</v>
      </c>
      <c r="AG4643">
        <v>-0.1779048</v>
      </c>
      <c r="AH4643">
        <v>0.49088993744841802</v>
      </c>
      <c r="AI4643">
        <v>109.588200294556</v>
      </c>
      <c r="AJ4643">
        <v>79.081229777900106</v>
      </c>
      <c r="AK4643">
        <v>0.53065113381854601</v>
      </c>
      <c r="AL4643">
        <v>90.768709511627307</v>
      </c>
      <c r="AM4643">
        <v>86.080984095790598</v>
      </c>
      <c r="AN4643">
        <v>1.0000000394070001</v>
      </c>
    </row>
    <row r="4644" spans="1:40" x14ac:dyDescent="0.25">
      <c r="A4644" t="str">
        <f>"20190312154929198"</f>
        <v>20190312154929198</v>
      </c>
      <c r="B4644" t="str">
        <f>"1552376969191068"</f>
        <v>1552376969191068</v>
      </c>
      <c r="C4644" t="s">
        <v>40</v>
      </c>
      <c r="D4644">
        <v>4.7584869999999997</v>
      </c>
      <c r="E4644">
        <v>0.52836530000000004</v>
      </c>
      <c r="F4644" t="s">
        <v>41</v>
      </c>
      <c r="G4644">
        <v>-328.21949999999998</v>
      </c>
      <c r="H4644">
        <v>0.92183850000000001</v>
      </c>
      <c r="I4644">
        <v>140.85399999999899</v>
      </c>
      <c r="J4644">
        <v>-327.7183</v>
      </c>
      <c r="K4644">
        <v>1.10972</v>
      </c>
      <c r="L4644">
        <v>140.74969999999999</v>
      </c>
      <c r="M4644">
        <v>-0.99986980000000003</v>
      </c>
      <c r="N4644">
        <v>0</v>
      </c>
      <c r="O4644">
        <v>-7.656978E-3</v>
      </c>
      <c r="P4644">
        <v>-0.99778880000000003</v>
      </c>
      <c r="Q4644">
        <v>-2.758729E-2</v>
      </c>
      <c r="R4644">
        <v>6.0471289999999997E-2</v>
      </c>
      <c r="S4644">
        <v>-2.9646910000000002</v>
      </c>
      <c r="T4644">
        <v>-0.69356219999999902</v>
      </c>
      <c r="U4644">
        <v>0.37634279999999998</v>
      </c>
      <c r="V4644">
        <v>6.8105760000000001E-2</v>
      </c>
      <c r="W4644">
        <v>-1.3430340000000001E-2</v>
      </c>
      <c r="X4644">
        <v>0.99758769999999997</v>
      </c>
      <c r="Y4644">
        <v>0.12986819999999999</v>
      </c>
      <c r="Z4644">
        <v>1.6691839999999999E-2</v>
      </c>
      <c r="AA4644">
        <v>0.99139080000000002</v>
      </c>
      <c r="AB4644">
        <v>30</v>
      </c>
      <c r="AC4644">
        <v>-0.50119999999998299</v>
      </c>
      <c r="AD4644">
        <v>-0.18788150000000001</v>
      </c>
      <c r="AE4644">
        <v>0.10429999999999399</v>
      </c>
      <c r="AF4644">
        <v>9.5299190338641496E-2</v>
      </c>
      <c r="AG4644">
        <v>-0.18788150000000001</v>
      </c>
      <c r="AH4644">
        <v>0.44098982854541902</v>
      </c>
      <c r="AI4644">
        <v>112.60841416949199</v>
      </c>
      <c r="AJ4644">
        <v>77.805732810143894</v>
      </c>
      <c r="AK4644">
        <v>0.48872632689672901</v>
      </c>
      <c r="AL4644">
        <v>90.769524939033602</v>
      </c>
      <c r="AM4644">
        <v>86.094451625383698</v>
      </c>
      <c r="AN4644">
        <v>0.99999999388449101</v>
      </c>
    </row>
    <row r="4645" spans="1:40" x14ac:dyDescent="0.25">
      <c r="A4645" t="str">
        <f>"20190312154929219"</f>
        <v>20190312154929219</v>
      </c>
      <c r="B4645" t="str">
        <f>"1552376969210588"</f>
        <v>1552376969210588</v>
      </c>
      <c r="C4645" t="s">
        <v>40</v>
      </c>
      <c r="D4645">
        <v>4.7473589999999897</v>
      </c>
      <c r="E4645">
        <v>0.52867609999999998</v>
      </c>
      <c r="F4645" t="s">
        <v>41</v>
      </c>
      <c r="G4645">
        <v>-328.4853</v>
      </c>
      <c r="H4645">
        <v>0.92439700000000002</v>
      </c>
      <c r="I4645">
        <v>140.84809999999999</v>
      </c>
      <c r="J4645">
        <v>-327.99759999999998</v>
      </c>
      <c r="K4645">
        <v>1.109723</v>
      </c>
      <c r="L4645">
        <v>140.74770000000001</v>
      </c>
      <c r="M4645">
        <v>-0.99987079999999995</v>
      </c>
      <c r="N4645">
        <v>0</v>
      </c>
      <c r="O4645">
        <v>-7.5122619999999996E-3</v>
      </c>
      <c r="P4645">
        <v>-0.99776350000000003</v>
      </c>
      <c r="Q4645">
        <v>-2.7377149999999999E-2</v>
      </c>
      <c r="R4645">
        <v>6.0980739999999999E-2</v>
      </c>
      <c r="S4645">
        <v>-2.9638369999999998</v>
      </c>
      <c r="T4645">
        <v>-0.71624480000000001</v>
      </c>
      <c r="U4645">
        <v>0.37944030000000001</v>
      </c>
      <c r="V4645">
        <v>6.8470719999999999E-2</v>
      </c>
      <c r="W4645">
        <v>-1.322183E-2</v>
      </c>
      <c r="X4645">
        <v>0.99756549999999999</v>
      </c>
      <c r="Y4645">
        <v>0.13052429999999901</v>
      </c>
      <c r="Z4645">
        <v>1.727006E-2</v>
      </c>
      <c r="AA4645">
        <v>0.99129469999999997</v>
      </c>
      <c r="AB4645">
        <v>30</v>
      </c>
      <c r="AC4645">
        <v>-0.48770000000001701</v>
      </c>
      <c r="AD4645">
        <v>-0.18532599999999999</v>
      </c>
      <c r="AE4645">
        <v>0.10039999999997901</v>
      </c>
      <c r="AF4645">
        <v>9.13997406766172E-2</v>
      </c>
      <c r="AG4645">
        <v>-0.18532599999999999</v>
      </c>
      <c r="AH4645">
        <v>0.42768508820898099</v>
      </c>
      <c r="AI4645">
        <v>112.965037952914</v>
      </c>
      <c r="AJ4645">
        <v>77.936892029633299</v>
      </c>
      <c r="AK4645">
        <v>0.47498860359810402</v>
      </c>
      <c r="AL4645">
        <v>90.757577136810596</v>
      </c>
      <c r="AM4645">
        <v>86.073501050766197</v>
      </c>
      <c r="AN4645">
        <v>0.99999999153805796</v>
      </c>
    </row>
    <row r="4646" spans="1:40" x14ac:dyDescent="0.25">
      <c r="A4646" t="str">
        <f>"20190312154929240"</f>
        <v>20190312154929240</v>
      </c>
      <c r="B4646" t="str">
        <f>"1552376969230107"</f>
        <v>1552376969230107</v>
      </c>
      <c r="C4646" t="s">
        <v>40</v>
      </c>
      <c r="D4646">
        <v>4.7145400000000004</v>
      </c>
      <c r="E4646">
        <v>0.52874989999999999</v>
      </c>
      <c r="F4646" t="s">
        <v>41</v>
      </c>
      <c r="G4646">
        <v>-328.75020000000001</v>
      </c>
      <c r="H4646">
        <v>0.9257514</v>
      </c>
      <c r="I4646">
        <v>140.8451</v>
      </c>
      <c r="J4646">
        <v>-328.28199999999998</v>
      </c>
      <c r="K4646">
        <v>1.109726</v>
      </c>
      <c r="L4646">
        <v>140.7457</v>
      </c>
      <c r="M4646">
        <v>-0.99987190000000004</v>
      </c>
      <c r="N4646">
        <v>0</v>
      </c>
      <c r="O4646">
        <v>-7.3649219999999899E-3</v>
      </c>
      <c r="P4646">
        <v>-0.99771889999999996</v>
      </c>
      <c r="Q4646">
        <v>-2.757633E-2</v>
      </c>
      <c r="R4646">
        <v>6.1619510000000002E-2</v>
      </c>
      <c r="S4646">
        <v>-2.9635009999999999</v>
      </c>
      <c r="T4646">
        <v>-0.7243752</v>
      </c>
      <c r="U4646">
        <v>0.38273620000000003</v>
      </c>
      <c r="V4646">
        <v>6.8962190000000007E-2</v>
      </c>
      <c r="W4646">
        <v>-1.342314E-2</v>
      </c>
      <c r="X4646">
        <v>0.997529</v>
      </c>
      <c r="Y4646">
        <v>0.1313685</v>
      </c>
      <c r="Z4646">
        <v>1.7527230000000001E-2</v>
      </c>
      <c r="AA4646">
        <v>0.99117860000000002</v>
      </c>
      <c r="AB4646">
        <v>30</v>
      </c>
      <c r="AC4646">
        <v>-0.46820000000002399</v>
      </c>
      <c r="AD4646">
        <v>-0.18397459999999899</v>
      </c>
      <c r="AE4646">
        <v>9.9400000000002806E-2</v>
      </c>
      <c r="AF4646">
        <v>8.9607097391891904E-2</v>
      </c>
      <c r="AG4646">
        <v>-0.18397459999999899</v>
      </c>
      <c r="AH4646">
        <v>0.40728211776210599</v>
      </c>
      <c r="AI4646">
        <v>113.80523956205499</v>
      </c>
      <c r="AJ4646">
        <v>77.591906330378805</v>
      </c>
      <c r="AK4646">
        <v>0.45580128213613602</v>
      </c>
      <c r="AL4646">
        <v>90.769112340535898</v>
      </c>
      <c r="AM4646">
        <v>86.045262242192294</v>
      </c>
      <c r="AN4646">
        <v>1.0000000350890199</v>
      </c>
    </row>
    <row r="4647" spans="1:40" x14ac:dyDescent="0.25">
      <c r="A4647" t="str">
        <f>"20190312154929257"</f>
        <v>20190312154929257</v>
      </c>
      <c r="B4647" t="str">
        <f>"1552376969250604"</f>
        <v>1552376969250604</v>
      </c>
      <c r="C4647" t="s">
        <v>40</v>
      </c>
      <c r="D4647">
        <v>4.7261170000000003</v>
      </c>
      <c r="E4647">
        <v>0.52911390000000003</v>
      </c>
      <c r="F4647" t="s">
        <v>41</v>
      </c>
      <c r="G4647">
        <v>-329.01589999999999</v>
      </c>
      <c r="H4647">
        <v>0.92936289999999999</v>
      </c>
      <c r="I4647">
        <v>140.8415</v>
      </c>
      <c r="J4647">
        <v>-328.50240000000002</v>
      </c>
      <c r="K4647">
        <v>1.1097300000000001</v>
      </c>
      <c r="L4647">
        <v>140.74420000000001</v>
      </c>
      <c r="M4647">
        <v>-0.99987280000000001</v>
      </c>
      <c r="N4647">
        <v>0</v>
      </c>
      <c r="O4647">
        <v>-7.2507209999999999E-3</v>
      </c>
      <c r="P4647">
        <v>-0.99769850000000004</v>
      </c>
      <c r="Q4647">
        <v>-2.7710189999999999E-2</v>
      </c>
      <c r="R4647">
        <v>6.1885030000000001E-2</v>
      </c>
      <c r="S4647">
        <v>-2.962952</v>
      </c>
      <c r="T4647">
        <v>-0.72822790000000004</v>
      </c>
      <c r="U4647">
        <v>0.38500980000000001</v>
      </c>
      <c r="V4647">
        <v>6.9113469999999996E-2</v>
      </c>
      <c r="W4647">
        <v>-1.3558479999999999E-2</v>
      </c>
      <c r="X4647">
        <v>0.99751670000000003</v>
      </c>
      <c r="Y4647">
        <v>0.13196920000000001</v>
      </c>
      <c r="Z4647">
        <v>1.7665009999999998E-2</v>
      </c>
      <c r="AA4647">
        <v>0.99109639999999999</v>
      </c>
      <c r="AB4647">
        <v>30</v>
      </c>
      <c r="AC4647">
        <v>-0.51349999999996498</v>
      </c>
      <c r="AD4647">
        <v>-0.180367099999999</v>
      </c>
      <c r="AE4647">
        <v>9.7299999999989895E-2</v>
      </c>
      <c r="AF4647">
        <v>9.0269862473976101E-2</v>
      </c>
      <c r="AG4647">
        <v>-0.180367099999999</v>
      </c>
      <c r="AH4647">
        <v>0.45820805090655697</v>
      </c>
      <c r="AI4647">
        <v>111.117180155752</v>
      </c>
      <c r="AJ4647">
        <v>78.855092518505003</v>
      </c>
      <c r="AK4647">
        <v>0.50063515332931496</v>
      </c>
      <c r="AL4647">
        <v>90.7768674565461</v>
      </c>
      <c r="AM4647">
        <v>86.036565772051603</v>
      </c>
      <c r="AN4647">
        <v>1.0000000354471199</v>
      </c>
    </row>
    <row r="4648" spans="1:40" x14ac:dyDescent="0.25">
      <c r="A4648" t="str">
        <f>"20190312154929275"</f>
        <v>20190312154929275</v>
      </c>
      <c r="B4648" t="str">
        <f>"1552376969260364"</f>
        <v>1552376969260364</v>
      </c>
      <c r="C4648" t="s">
        <v>40</v>
      </c>
      <c r="D4648">
        <v>4.708342</v>
      </c>
      <c r="E4648">
        <v>0.52918080000000001</v>
      </c>
      <c r="F4648" t="s">
        <v>41</v>
      </c>
      <c r="G4648">
        <v>-329.2747</v>
      </c>
      <c r="H4648">
        <v>0.91846499999999998</v>
      </c>
      <c r="I4648">
        <v>140.84559999999999</v>
      </c>
      <c r="J4648">
        <v>-328.7296</v>
      </c>
      <c r="K4648">
        <v>1.1097300000000001</v>
      </c>
      <c r="L4648">
        <v>140.74270000000001</v>
      </c>
      <c r="M4648">
        <v>-0.99987369999999998</v>
      </c>
      <c r="N4648">
        <v>0</v>
      </c>
      <c r="O4648">
        <v>-7.1331800000000002E-3</v>
      </c>
      <c r="P4648">
        <v>-0.99764830000000004</v>
      </c>
      <c r="Q4648">
        <v>-2.8147720000000001E-2</v>
      </c>
      <c r="R4648">
        <v>6.2497230000000001E-2</v>
      </c>
      <c r="S4648">
        <v>-2.9624329999999999</v>
      </c>
      <c r="T4648">
        <v>-0.73368219999999995</v>
      </c>
      <c r="U4648">
        <v>0.3885345</v>
      </c>
      <c r="V4648">
        <v>6.9608039999999996E-2</v>
      </c>
      <c r="W4648">
        <v>-1.399828E-2</v>
      </c>
      <c r="X4648">
        <v>0.99747620000000004</v>
      </c>
      <c r="Y4648">
        <v>0.1329477</v>
      </c>
      <c r="Z4648">
        <v>1.7885499999999999E-2</v>
      </c>
      <c r="AA4648">
        <v>0.99096169999999995</v>
      </c>
      <c r="AB4648">
        <v>30</v>
      </c>
      <c r="AC4648">
        <v>-0.54509999999999004</v>
      </c>
      <c r="AD4648">
        <v>-0.19126499999999899</v>
      </c>
      <c r="AE4648">
        <v>0.102899999999976</v>
      </c>
      <c r="AF4648">
        <v>9.5440073871304598E-2</v>
      </c>
      <c r="AG4648">
        <v>-0.19126499999999899</v>
      </c>
      <c r="AH4648">
        <v>0.48651476604000998</v>
      </c>
      <c r="AI4648">
        <v>111.095619801943</v>
      </c>
      <c r="AJ4648">
        <v>78.901171271450806</v>
      </c>
      <c r="AK4648">
        <v>0.53140166117591803</v>
      </c>
      <c r="AL4648">
        <v>90.802068560108097</v>
      </c>
      <c r="AM4648">
        <v>86.008133591530296</v>
      </c>
      <c r="AN4648">
        <v>1.0000000003210101</v>
      </c>
    </row>
    <row r="4649" spans="1:40" x14ac:dyDescent="0.25">
      <c r="A4649" t="str">
        <f>"20190312154929290"</f>
        <v>20190312154929290</v>
      </c>
      <c r="B4649" t="str">
        <f>"1552376969280860"</f>
        <v>1552376969280860</v>
      </c>
      <c r="C4649" t="s">
        <v>40</v>
      </c>
      <c r="D4649">
        <v>4.6816380000000004</v>
      </c>
      <c r="E4649">
        <v>0.52917749999999997</v>
      </c>
      <c r="F4649" t="s">
        <v>41</v>
      </c>
      <c r="G4649">
        <v>-329.53429999999997</v>
      </c>
      <c r="H4649">
        <v>0.90943370000000001</v>
      </c>
      <c r="I4649">
        <v>140.84909999999999</v>
      </c>
      <c r="J4649">
        <v>-328.93389999999999</v>
      </c>
      <c r="K4649">
        <v>1.1097300000000001</v>
      </c>
      <c r="L4649">
        <v>140.7414</v>
      </c>
      <c r="M4649">
        <v>-0.9998745</v>
      </c>
      <c r="N4649">
        <v>0</v>
      </c>
      <c r="O4649">
        <v>-7.0272009999999899E-3</v>
      </c>
      <c r="P4649">
        <v>-0.99762680000000004</v>
      </c>
      <c r="Q4649">
        <v>-2.8191049999999999E-2</v>
      </c>
      <c r="R4649">
        <v>6.2820539999999994E-2</v>
      </c>
      <c r="S4649">
        <v>-2.9618229999999999</v>
      </c>
      <c r="T4649">
        <v>-0.73723050000000001</v>
      </c>
      <c r="U4649">
        <v>0.3907776</v>
      </c>
      <c r="V4649">
        <v>6.982563E-2</v>
      </c>
      <c r="W4649">
        <v>-1.4043379999999999E-2</v>
      </c>
      <c r="X4649">
        <v>0.99746040000000002</v>
      </c>
      <c r="Y4649">
        <v>0.133550799999999</v>
      </c>
      <c r="Z4649">
        <v>1.8019940000000002E-2</v>
      </c>
      <c r="AA4649">
        <v>0.99087809999999998</v>
      </c>
      <c r="AB4649">
        <v>29</v>
      </c>
      <c r="AC4649">
        <v>-0.60039999999997895</v>
      </c>
      <c r="AD4649">
        <v>-0.20029630000000001</v>
      </c>
      <c r="AE4649">
        <v>0.10769999999999399</v>
      </c>
      <c r="AF4649">
        <v>0.101024196308842</v>
      </c>
      <c r="AG4649">
        <v>-0.20029630000000001</v>
      </c>
      <c r="AH4649">
        <v>0.541267362706087</v>
      </c>
      <c r="AI4649">
        <v>109.98980358118401</v>
      </c>
      <c r="AJ4649">
        <v>79.4277427461287</v>
      </c>
      <c r="AK4649">
        <v>0.58591369156586603</v>
      </c>
      <c r="AL4649">
        <v>90.804652819972105</v>
      </c>
      <c r="AM4649">
        <v>85.995632595686999</v>
      </c>
      <c r="AN4649">
        <v>1.00000004234743</v>
      </c>
    </row>
    <row r="4650" spans="1:40" x14ac:dyDescent="0.25">
      <c r="A4650" t="str">
        <f>"20190312154929303"</f>
        <v>20190312154929303</v>
      </c>
      <c r="B4650" t="str">
        <f>"1552376969290620"</f>
        <v>1552376969290620</v>
      </c>
      <c r="C4650" t="s">
        <v>40</v>
      </c>
      <c r="D4650">
        <v>4.7369669999999999</v>
      </c>
      <c r="E4650">
        <v>0.52951530000000002</v>
      </c>
      <c r="F4650" t="s">
        <v>41</v>
      </c>
      <c r="G4650">
        <v>-329.79180000000002</v>
      </c>
      <c r="H4650">
        <v>0.89553280000000002</v>
      </c>
      <c r="I4650">
        <v>140.85509999999999</v>
      </c>
      <c r="J4650">
        <v>-329.11739999999998</v>
      </c>
      <c r="K4650">
        <v>1.109731</v>
      </c>
      <c r="L4650">
        <v>140.74019999999999</v>
      </c>
      <c r="M4650">
        <v>-0.99987510000000002</v>
      </c>
      <c r="N4650">
        <v>0</v>
      </c>
      <c r="O4650">
        <v>-6.9321909999999999E-3</v>
      </c>
      <c r="P4650">
        <v>-0.99759200000000003</v>
      </c>
      <c r="Q4650">
        <v>-2.837959E-2</v>
      </c>
      <c r="R4650">
        <v>6.3287969999999999E-2</v>
      </c>
      <c r="S4650">
        <v>-2.9615779999999998</v>
      </c>
      <c r="T4650">
        <v>-0.7394328</v>
      </c>
      <c r="U4650">
        <v>0.39167790000000002</v>
      </c>
      <c r="V4650">
        <v>7.0197899999999994E-2</v>
      </c>
      <c r="W4650">
        <v>-1.423379E-2</v>
      </c>
      <c r="X4650">
        <v>0.99743150000000003</v>
      </c>
      <c r="Y4650">
        <v>0.133735299999999</v>
      </c>
      <c r="Z4650">
        <v>1.8072600000000001E-2</v>
      </c>
      <c r="AA4650">
        <v>0.99085230000000002</v>
      </c>
      <c r="AB4650">
        <v>29</v>
      </c>
      <c r="AC4650">
        <v>-0.67440000000004796</v>
      </c>
      <c r="AD4650">
        <v>-0.21419819999999901</v>
      </c>
      <c r="AE4650">
        <v>0.114900000000005</v>
      </c>
      <c r="AF4650">
        <v>0.108897314140688</v>
      </c>
      <c r="AG4650">
        <v>-0.21419819999999901</v>
      </c>
      <c r="AH4650">
        <v>0.61344929298184503</v>
      </c>
      <c r="AI4650">
        <v>108.97273115932801</v>
      </c>
      <c r="AJ4650">
        <v>79.933919331308402</v>
      </c>
      <c r="AK4650">
        <v>0.65883194288848901</v>
      </c>
      <c r="AL4650">
        <v>90.815563657217893</v>
      </c>
      <c r="AM4650">
        <v>85.974237366322797</v>
      </c>
      <c r="AN4650">
        <v>0.99999997156721099</v>
      </c>
    </row>
    <row r="4651" spans="1:40" x14ac:dyDescent="0.25">
      <c r="A4651" t="str">
        <f>"20190312154929319"</f>
        <v>20190312154929319</v>
      </c>
      <c r="B4651" t="str">
        <f>"1552376969311116"</f>
        <v>1552376969311116</v>
      </c>
      <c r="C4651" t="s">
        <v>40</v>
      </c>
      <c r="D4651">
        <v>4.6939149999999996</v>
      </c>
      <c r="E4651">
        <v>0.52996999999999905</v>
      </c>
      <c r="F4651" t="s">
        <v>41</v>
      </c>
      <c r="G4651">
        <v>-329.8091</v>
      </c>
      <c r="H4651">
        <v>0.93595410000000001</v>
      </c>
      <c r="I4651">
        <v>140.83279999999999</v>
      </c>
      <c r="J4651">
        <v>-329.31689999999998</v>
      </c>
      <c r="K4651">
        <v>1.1097300000000001</v>
      </c>
      <c r="L4651">
        <v>140.7389</v>
      </c>
      <c r="M4651">
        <v>-0.99987579999999998</v>
      </c>
      <c r="N4651">
        <v>0</v>
      </c>
      <c r="O4651">
        <v>-6.8288350000000001E-3</v>
      </c>
      <c r="P4651">
        <v>-0.99758789999999997</v>
      </c>
      <c r="Q4651">
        <v>-2.8336190000000001E-2</v>
      </c>
      <c r="R4651">
        <v>6.3369910000000002E-2</v>
      </c>
      <c r="S4651">
        <v>-2.9610289999999999</v>
      </c>
      <c r="T4651">
        <v>-0.74386919999999901</v>
      </c>
      <c r="U4651">
        <v>0.39561459999999998</v>
      </c>
      <c r="V4651">
        <v>7.0176719999999998E-2</v>
      </c>
      <c r="W4651">
        <v>-1.419172E-2</v>
      </c>
      <c r="X4651">
        <v>0.99743360000000003</v>
      </c>
      <c r="Y4651">
        <v>0.13486879999999901</v>
      </c>
      <c r="Z4651">
        <v>1.829368E-2</v>
      </c>
      <c r="AA4651">
        <v>0.99069459999999998</v>
      </c>
      <c r="AB4651">
        <v>29</v>
      </c>
      <c r="AC4651">
        <v>-0.49220000000002501</v>
      </c>
      <c r="AD4651">
        <v>-0.17377589999999901</v>
      </c>
      <c r="AE4651">
        <v>9.3899999999990699E-2</v>
      </c>
      <c r="AF4651">
        <v>8.6817453306343897E-2</v>
      </c>
      <c r="AG4651">
        <v>-0.17377589999999901</v>
      </c>
      <c r="AH4651">
        <v>0.43877426421672799</v>
      </c>
      <c r="AI4651">
        <v>111.231961327177</v>
      </c>
      <c r="AJ4651">
        <v>78.807814765717694</v>
      </c>
      <c r="AK4651">
        <v>0.47985225701077999</v>
      </c>
      <c r="AL4651">
        <v>90.813152971989496</v>
      </c>
      <c r="AM4651">
        <v>85.975456466604896</v>
      </c>
      <c r="AN4651">
        <v>0.99999998167773796</v>
      </c>
    </row>
    <row r="4652" spans="1:40" x14ac:dyDescent="0.25">
      <c r="A4652" t="str">
        <f>"20190312154929334"</f>
        <v>20190312154929334</v>
      </c>
      <c r="B4652" t="str">
        <f>"1552376969320876"</f>
        <v>1552376969320876</v>
      </c>
      <c r="C4652" t="s">
        <v>40</v>
      </c>
      <c r="D4652">
        <v>4.7083789999999999</v>
      </c>
      <c r="E4652">
        <v>0.53011019999999998</v>
      </c>
      <c r="F4652" t="s">
        <v>41</v>
      </c>
      <c r="G4652">
        <v>-330.06479999999999</v>
      </c>
      <c r="H4652">
        <v>0.92020000000000002</v>
      </c>
      <c r="I4652">
        <v>140.84020000000001</v>
      </c>
      <c r="J4652">
        <v>-329.5181</v>
      </c>
      <c r="K4652">
        <v>1.1097319999999999</v>
      </c>
      <c r="L4652">
        <v>140.73769999999999</v>
      </c>
      <c r="M4652">
        <v>-0.9998766</v>
      </c>
      <c r="N4652">
        <v>0</v>
      </c>
      <c r="O4652">
        <v>-6.7245259999999998E-3</v>
      </c>
      <c r="P4652">
        <v>-0.99758820000000004</v>
      </c>
      <c r="Q4652">
        <v>-2.8296580000000002E-2</v>
      </c>
      <c r="R4652">
        <v>6.3382679999999997E-2</v>
      </c>
      <c r="S4652">
        <v>-2.9605709999999998</v>
      </c>
      <c r="T4652">
        <v>-0.75024369999999996</v>
      </c>
      <c r="U4652">
        <v>0.39933780000000002</v>
      </c>
      <c r="V4652">
        <v>7.0085529999999993E-2</v>
      </c>
      <c r="W4652">
        <v>-1.415337E-2</v>
      </c>
      <c r="X4652">
        <v>0.99744060000000001</v>
      </c>
      <c r="Y4652">
        <v>0.13590650000000001</v>
      </c>
      <c r="Z4652">
        <v>1.8549969999999999E-2</v>
      </c>
      <c r="AA4652">
        <v>0.99054799999999998</v>
      </c>
      <c r="AB4652">
        <v>29</v>
      </c>
      <c r="AC4652">
        <v>-0.54669999999998697</v>
      </c>
      <c r="AD4652">
        <v>-0.18953199999999901</v>
      </c>
      <c r="AE4652">
        <v>0.10250000000002001</v>
      </c>
      <c r="AF4652">
        <v>9.5129085563373697E-2</v>
      </c>
      <c r="AG4652">
        <v>-0.18953199999999901</v>
      </c>
      <c r="AH4652">
        <v>0.489198368984126</v>
      </c>
      <c r="AI4652">
        <v>110.822308372899</v>
      </c>
      <c r="AJ4652">
        <v>78.995648797906398</v>
      </c>
      <c r="AK4652">
        <v>0.53318567700272301</v>
      </c>
      <c r="AL4652">
        <v>90.810955422991498</v>
      </c>
      <c r="AM4652">
        <v>85.980697058220699</v>
      </c>
      <c r="AN4652">
        <v>1.0000000249630401</v>
      </c>
    </row>
    <row r="4653" spans="1:40" x14ac:dyDescent="0.25">
      <c r="A4653" t="str">
        <f>"20190312154929353"</f>
        <v>20190312154929353</v>
      </c>
      <c r="B4653" t="str">
        <f>"1552376969340396"</f>
        <v>1552376969340396</v>
      </c>
      <c r="C4653" t="s">
        <v>40</v>
      </c>
      <c r="D4653">
        <v>4.7263630000000001</v>
      </c>
      <c r="E4653">
        <v>0.5304044</v>
      </c>
      <c r="F4653" t="s">
        <v>41</v>
      </c>
      <c r="G4653">
        <v>-330.3211</v>
      </c>
      <c r="H4653">
        <v>0.90552279999999996</v>
      </c>
      <c r="I4653">
        <v>140.84649999999999</v>
      </c>
      <c r="J4653">
        <v>-329.76429999999999</v>
      </c>
      <c r="K4653">
        <v>1.1097319999999999</v>
      </c>
      <c r="L4653">
        <v>140.73609999999999</v>
      </c>
      <c r="M4653">
        <v>-0.99987749999999997</v>
      </c>
      <c r="N4653">
        <v>0</v>
      </c>
      <c r="O4653">
        <v>-6.5967319999999897E-3</v>
      </c>
      <c r="P4653">
        <v>-0.99759759999999997</v>
      </c>
      <c r="Q4653">
        <v>-2.7798630000000001E-2</v>
      </c>
      <c r="R4653">
        <v>6.3455849999999994E-2</v>
      </c>
      <c r="S4653">
        <v>-2.9604490000000001</v>
      </c>
      <c r="T4653">
        <v>-0.75279130000000005</v>
      </c>
      <c r="U4653">
        <v>0.40048220000000001</v>
      </c>
      <c r="V4653">
        <v>7.0031460000000004E-2</v>
      </c>
      <c r="W4653">
        <v>-1.3656969999999999E-2</v>
      </c>
      <c r="X4653">
        <v>0.99745130000000004</v>
      </c>
      <c r="Y4653">
        <v>0.13612869999999999</v>
      </c>
      <c r="Z4653">
        <v>1.8607149999999999E-2</v>
      </c>
      <c r="AA4653">
        <v>0.99051639999999996</v>
      </c>
      <c r="AB4653">
        <v>29</v>
      </c>
      <c r="AC4653">
        <v>-0.55680000000000895</v>
      </c>
      <c r="AD4653">
        <v>-0.20420919999999901</v>
      </c>
      <c r="AE4653">
        <v>0.110399999999998</v>
      </c>
      <c r="AF4653">
        <v>0.10099953902596601</v>
      </c>
      <c r="AG4653">
        <v>-0.20420919999999901</v>
      </c>
      <c r="AH4653">
        <v>0.49234023100373803</v>
      </c>
      <c r="AI4653">
        <v>112.11245806842901</v>
      </c>
      <c r="AJ4653">
        <v>78.407079591283804</v>
      </c>
      <c r="AK4653">
        <v>0.54249535234222201</v>
      </c>
      <c r="AL4653">
        <v>90.782511062434395</v>
      </c>
      <c r="AM4653">
        <v>85.983830685008897</v>
      </c>
      <c r="AN4653">
        <v>1.0000000070455</v>
      </c>
    </row>
    <row r="4654" spans="1:40" x14ac:dyDescent="0.25">
      <c r="A4654" t="str">
        <f>"20190312154929368"</f>
        <v>20190312154929368</v>
      </c>
      <c r="B4654" t="str">
        <f>"1552376969360892"</f>
        <v>1552376969360892</v>
      </c>
      <c r="C4654" t="s">
        <v>40</v>
      </c>
      <c r="D4654">
        <v>4.6950560000000001</v>
      </c>
      <c r="E4654">
        <v>0.53070119999999998</v>
      </c>
      <c r="F4654" t="s">
        <v>41</v>
      </c>
      <c r="G4654">
        <v>-330.58150000000001</v>
      </c>
      <c r="H4654">
        <v>0.90089710000000001</v>
      </c>
      <c r="I4654">
        <v>140.8476</v>
      </c>
      <c r="J4654">
        <v>-329.96069999999997</v>
      </c>
      <c r="K4654">
        <v>1.1097330000000001</v>
      </c>
      <c r="L4654">
        <v>140.73490000000001</v>
      </c>
      <c r="M4654">
        <v>-0.99987809999999999</v>
      </c>
      <c r="N4654">
        <v>0</v>
      </c>
      <c r="O4654">
        <v>-6.4945690000000004E-3</v>
      </c>
      <c r="P4654">
        <v>-0.997618</v>
      </c>
      <c r="Q4654">
        <v>-2.7552210000000001E-2</v>
      </c>
      <c r="R4654">
        <v>6.3240080000000004E-2</v>
      </c>
      <c r="S4654">
        <v>-2.9605709999999998</v>
      </c>
      <c r="T4654">
        <v>-0.75664200000000004</v>
      </c>
      <c r="U4654">
        <v>0.40269470000000002</v>
      </c>
      <c r="V4654">
        <v>6.9713929999999993E-2</v>
      </c>
      <c r="W4654">
        <v>-1.341152E-2</v>
      </c>
      <c r="X4654">
        <v>0.9974769</v>
      </c>
      <c r="Y4654">
        <v>0.13669029999999999</v>
      </c>
      <c r="Z4654">
        <v>1.874251E-2</v>
      </c>
      <c r="AA4654">
        <v>0.99043650000000005</v>
      </c>
      <c r="AB4654">
        <v>29</v>
      </c>
      <c r="AC4654">
        <v>-0.62080000000003099</v>
      </c>
      <c r="AD4654">
        <v>-0.20883589999999999</v>
      </c>
      <c r="AE4654">
        <v>0.112699999999989</v>
      </c>
      <c r="AF4654">
        <v>0.105204388344636</v>
      </c>
      <c r="AG4654">
        <v>-0.20883589999999999</v>
      </c>
      <c r="AH4654">
        <v>0.55883299354167304</v>
      </c>
      <c r="AI4654">
        <v>110.16570293697301</v>
      </c>
      <c r="AJ4654">
        <v>79.338434227184095</v>
      </c>
      <c r="AK4654">
        <v>0.60578437676001995</v>
      </c>
      <c r="AL4654">
        <v>90.768446504909903</v>
      </c>
      <c r="AM4654">
        <v>86.002083508551195</v>
      </c>
      <c r="AN4654">
        <v>1.0000000334691801</v>
      </c>
    </row>
    <row r="4655" spans="1:40" x14ac:dyDescent="0.25">
      <c r="A4655" t="str">
        <f>"20190312154929390"</f>
        <v>20190312154929390</v>
      </c>
      <c r="B4655" t="str">
        <f>"1552376969380412"</f>
        <v>1552376969380412</v>
      </c>
      <c r="C4655" t="s">
        <v>40</v>
      </c>
      <c r="D4655">
        <v>4.7006050000000004</v>
      </c>
      <c r="E4655">
        <v>0.53094439999999998</v>
      </c>
      <c r="F4655" t="s">
        <v>41</v>
      </c>
      <c r="G4655">
        <v>-330.83690000000001</v>
      </c>
      <c r="H4655">
        <v>0.88485709999999995</v>
      </c>
      <c r="I4655">
        <v>140.85480000000001</v>
      </c>
      <c r="J4655">
        <v>-330.22739999999999</v>
      </c>
      <c r="K4655">
        <v>1.1097379999999999</v>
      </c>
      <c r="L4655">
        <v>140.73339999999999</v>
      </c>
      <c r="M4655">
        <v>-0.99987910000000002</v>
      </c>
      <c r="N4655">
        <v>0</v>
      </c>
      <c r="O4655">
        <v>-6.3561640000000001E-3</v>
      </c>
      <c r="P4655">
        <v>-0.99765519999999996</v>
      </c>
      <c r="Q4655">
        <v>-2.7272959999999999E-2</v>
      </c>
      <c r="R4655">
        <v>6.2775049999999999E-2</v>
      </c>
      <c r="S4655">
        <v>-2.9605410000000001</v>
      </c>
      <c r="T4655">
        <v>-0.75981940000000003</v>
      </c>
      <c r="U4655">
        <v>0.40452579999999999</v>
      </c>
      <c r="V4655">
        <v>6.9111469999999994E-2</v>
      </c>
      <c r="W4655">
        <v>-1.3133479999999999E-2</v>
      </c>
      <c r="X4655">
        <v>0.99752249999999998</v>
      </c>
      <c r="Y4655">
        <v>0.13710999999999901</v>
      </c>
      <c r="Z4655">
        <v>1.8836169999999999E-2</v>
      </c>
      <c r="AA4655">
        <v>0.9903767</v>
      </c>
      <c r="AB4655">
        <v>29</v>
      </c>
      <c r="AC4655">
        <v>-0.60950000000002502</v>
      </c>
      <c r="AD4655">
        <v>-0.224880899999999</v>
      </c>
      <c r="AE4655">
        <v>0.121400000000022</v>
      </c>
      <c r="AF4655">
        <v>0.110768381034591</v>
      </c>
      <c r="AG4655">
        <v>-0.224880899999999</v>
      </c>
      <c r="AH4655">
        <v>0.53824056497346295</v>
      </c>
      <c r="AI4655">
        <v>112.255914007596</v>
      </c>
      <c r="AJ4655">
        <v>78.371048647821794</v>
      </c>
      <c r="AK4655">
        <v>0.59375412352655499</v>
      </c>
      <c r="AL4655">
        <v>90.752514600580596</v>
      </c>
      <c r="AM4655">
        <v>86.036703070979101</v>
      </c>
      <c r="AN4655">
        <v>1.0000000107943601</v>
      </c>
    </row>
    <row r="4656" spans="1:40" x14ac:dyDescent="0.25">
      <c r="A4656" t="str">
        <f>"20190312154929409"</f>
        <v>20190312154929409</v>
      </c>
      <c r="B4656" t="str">
        <f>"1552376969400908"</f>
        <v>1552376969400908</v>
      </c>
      <c r="C4656" t="s">
        <v>40</v>
      </c>
      <c r="D4656">
        <v>4.7125750000000002</v>
      </c>
      <c r="E4656">
        <v>0.53109359999999906</v>
      </c>
      <c r="F4656" t="s">
        <v>41</v>
      </c>
      <c r="G4656">
        <v>-331.09859999999998</v>
      </c>
      <c r="H4656">
        <v>0.88523819999999998</v>
      </c>
      <c r="I4656">
        <v>140.85299999999901</v>
      </c>
      <c r="J4656">
        <v>-330.49329999999998</v>
      </c>
      <c r="K4656">
        <v>1.1097399999999999</v>
      </c>
      <c r="L4656">
        <v>140.73179999999999</v>
      </c>
      <c r="M4656">
        <v>-0.99987990000000004</v>
      </c>
      <c r="N4656">
        <v>0</v>
      </c>
      <c r="O4656">
        <v>-6.2182349999999999E-3</v>
      </c>
      <c r="P4656">
        <v>-0.99766650000000001</v>
      </c>
      <c r="Q4656">
        <v>-2.7205480000000001E-2</v>
      </c>
      <c r="R4656">
        <v>6.2623760000000001E-2</v>
      </c>
      <c r="S4656">
        <v>-2.9607540000000001</v>
      </c>
      <c r="T4656">
        <v>-0.76299600000000001</v>
      </c>
      <c r="U4656">
        <v>0.40486149999999999</v>
      </c>
      <c r="V4656">
        <v>6.8822610000000006E-2</v>
      </c>
      <c r="W4656">
        <v>-1.3067769999999999E-2</v>
      </c>
      <c r="X4656">
        <v>0.99754330000000002</v>
      </c>
      <c r="Y4656">
        <v>0.13704369999999999</v>
      </c>
      <c r="Z4656">
        <v>1.886782E-2</v>
      </c>
      <c r="AA4656">
        <v>0.99038530000000002</v>
      </c>
      <c r="AB4656">
        <v>29</v>
      </c>
      <c r="AC4656">
        <v>-0.60529999999999895</v>
      </c>
      <c r="AD4656">
        <v>-0.2245018</v>
      </c>
      <c r="AE4656">
        <v>0.121199999999987</v>
      </c>
      <c r="AF4656">
        <v>0.11036511701036</v>
      </c>
      <c r="AG4656">
        <v>-0.2245018</v>
      </c>
      <c r="AH4656">
        <v>0.53391882399187096</v>
      </c>
      <c r="AI4656">
        <v>112.380597001409</v>
      </c>
      <c r="AJ4656">
        <v>78.321009005115997</v>
      </c>
      <c r="AK4656">
        <v>0.58961922277755896</v>
      </c>
      <c r="AL4656">
        <v>90.748749397270302</v>
      </c>
      <c r="AM4656">
        <v>86.053297738372805</v>
      </c>
      <c r="AN4656">
        <v>0.99999997681743702</v>
      </c>
    </row>
    <row r="4657" spans="1:40" x14ac:dyDescent="0.25">
      <c r="A4657" t="str">
        <f>"20190312154929431"</f>
        <v>20190312154929431</v>
      </c>
      <c r="B4657" t="str">
        <f>"1552376969420936"</f>
        <v>1552376969420936</v>
      </c>
      <c r="C4657" t="s">
        <v>40</v>
      </c>
      <c r="D4657">
        <v>4.6926899999999998</v>
      </c>
      <c r="E4657">
        <v>0.53121289999999999</v>
      </c>
      <c r="F4657" t="s">
        <v>41</v>
      </c>
      <c r="G4657">
        <v>-331.35989999999998</v>
      </c>
      <c r="H4657">
        <v>0.88555319999999904</v>
      </c>
      <c r="I4657">
        <v>140.85050000000001</v>
      </c>
      <c r="J4657">
        <v>-330.78039999999999</v>
      </c>
      <c r="K4657">
        <v>1.1097459999999999</v>
      </c>
      <c r="L4657">
        <v>140.7302</v>
      </c>
      <c r="M4657">
        <v>-0.99988089999999996</v>
      </c>
      <c r="N4657">
        <v>0</v>
      </c>
      <c r="O4657">
        <v>-6.0692180000000004E-3</v>
      </c>
      <c r="P4657">
        <v>-0.99765499999999996</v>
      </c>
      <c r="Q4657">
        <v>-2.7249220000000001E-2</v>
      </c>
      <c r="R4657">
        <v>6.2788070000000001E-2</v>
      </c>
      <c r="S4657">
        <v>-2.9606629999999998</v>
      </c>
      <c r="T4657">
        <v>-0.76598129999999998</v>
      </c>
      <c r="U4657">
        <v>0.40557860000000001</v>
      </c>
      <c r="V4657">
        <v>6.8838199999999905E-2</v>
      </c>
      <c r="W4657">
        <v>-1.3113929999999999E-2</v>
      </c>
      <c r="X4657">
        <v>0.99754169999999998</v>
      </c>
      <c r="Y4657">
        <v>0.13710320000000001</v>
      </c>
      <c r="Z4657">
        <v>1.890936E-2</v>
      </c>
      <c r="AA4657">
        <v>0.99037629999999999</v>
      </c>
      <c r="AB4657">
        <v>29</v>
      </c>
      <c r="AC4657">
        <v>-0.57949999999999502</v>
      </c>
      <c r="AD4657">
        <v>-0.2241928</v>
      </c>
      <c r="AE4657">
        <v>0.12030000000001401</v>
      </c>
      <c r="AF4657">
        <v>0.10827866459922</v>
      </c>
      <c r="AG4657">
        <v>-0.2241928</v>
      </c>
      <c r="AH4657">
        <v>0.50613527148187498</v>
      </c>
      <c r="AI4657">
        <v>113.41981346911101</v>
      </c>
      <c r="AJ4657">
        <v>77.924606447836695</v>
      </c>
      <c r="AK4657">
        <v>0.56405637468010394</v>
      </c>
      <c r="AL4657">
        <v>90.751394336090598</v>
      </c>
      <c r="AM4657">
        <v>86.052400228628002</v>
      </c>
      <c r="AN4657">
        <v>1.00000005808908</v>
      </c>
    </row>
    <row r="4658" spans="1:40" x14ac:dyDescent="0.25">
      <c r="A4658" t="str">
        <f>"20190312154929445"</f>
        <v>20190312154929445</v>
      </c>
      <c r="B4658" t="str">
        <f>"1552376969440456"</f>
        <v>1552376969440456</v>
      </c>
      <c r="C4658" t="s">
        <v>40</v>
      </c>
      <c r="D4658">
        <v>4.6656620000000002</v>
      </c>
      <c r="E4658">
        <v>0.53128120000000001</v>
      </c>
      <c r="F4658" t="s">
        <v>41</v>
      </c>
      <c r="G4658">
        <v>-331.62299999999999</v>
      </c>
      <c r="H4658">
        <v>0.89102819999999905</v>
      </c>
      <c r="I4658">
        <v>140.84620000000001</v>
      </c>
      <c r="J4658">
        <v>-330.96960000000001</v>
      </c>
      <c r="K4658">
        <v>1.109747</v>
      </c>
      <c r="L4658">
        <v>140.72909999999999</v>
      </c>
      <c r="M4658">
        <v>-0.99988149999999998</v>
      </c>
      <c r="N4658">
        <v>0</v>
      </c>
      <c r="O4658">
        <v>-5.9711039999999996E-3</v>
      </c>
      <c r="P4658">
        <v>-0.99764830000000004</v>
      </c>
      <c r="Q4658">
        <v>-2.7147790000000002E-2</v>
      </c>
      <c r="R4658">
        <v>6.2936259999999994E-2</v>
      </c>
      <c r="S4658">
        <v>-2.96048</v>
      </c>
      <c r="T4658">
        <v>-0.76848689999999997</v>
      </c>
      <c r="U4658">
        <v>0.40666200000000002</v>
      </c>
      <c r="V4658">
        <v>6.8888560000000001E-2</v>
      </c>
      <c r="W4658">
        <v>-1.301415E-2</v>
      </c>
      <c r="X4658">
        <v>0.99753950000000002</v>
      </c>
      <c r="Y4658">
        <v>0.1373355</v>
      </c>
      <c r="Z4658">
        <v>1.897451E-2</v>
      </c>
      <c r="AA4658">
        <v>0.99034290000000003</v>
      </c>
      <c r="AB4658">
        <v>29</v>
      </c>
      <c r="AC4658">
        <v>-0.65340000000003295</v>
      </c>
      <c r="AD4658">
        <v>-0.21871879999999999</v>
      </c>
      <c r="AE4658">
        <v>0.11710000000002101</v>
      </c>
      <c r="AF4658">
        <v>0.109150092764436</v>
      </c>
      <c r="AG4658">
        <v>-0.21871879999999999</v>
      </c>
      <c r="AH4658">
        <v>0.58877004345010997</v>
      </c>
      <c r="AI4658">
        <v>110.06525698865499</v>
      </c>
      <c r="AJ4658">
        <v>79.497364277906698</v>
      </c>
      <c r="AK4658">
        <v>0.63749652570674398</v>
      </c>
      <c r="AL4658">
        <v>90.745676898113103</v>
      </c>
      <c r="AM4658">
        <v>86.049512736718398</v>
      </c>
      <c r="AN4658">
        <v>1.0000000279296699</v>
      </c>
    </row>
    <row r="4659" spans="1:40" x14ac:dyDescent="0.25">
      <c r="A4659" t="str">
        <f>"20190312154929458"</f>
        <v>20190312154929458</v>
      </c>
      <c r="B4659" t="str">
        <f>"1552376969450215"</f>
        <v>1552376969450215</v>
      </c>
      <c r="C4659" t="s">
        <v>40</v>
      </c>
      <c r="D4659">
        <v>4.6810799999999997</v>
      </c>
      <c r="E4659">
        <v>0.53132950000000001</v>
      </c>
      <c r="F4659" t="s">
        <v>41</v>
      </c>
      <c r="G4659">
        <v>-331.8766</v>
      </c>
      <c r="H4659">
        <v>0.87372399999999995</v>
      </c>
      <c r="I4659">
        <v>140.85419999999999</v>
      </c>
      <c r="J4659">
        <v>-331.14710000000002</v>
      </c>
      <c r="K4659">
        <v>1.10975</v>
      </c>
      <c r="L4659">
        <v>140.72819999999999</v>
      </c>
      <c r="M4659">
        <v>-0.9998821</v>
      </c>
      <c r="N4659">
        <v>0</v>
      </c>
      <c r="O4659">
        <v>-5.8789539999999996E-3</v>
      </c>
      <c r="P4659">
        <v>-0.99763610000000003</v>
      </c>
      <c r="Q4659">
        <v>-2.7084270000000001E-2</v>
      </c>
      <c r="R4659">
        <v>6.3156519999999994E-2</v>
      </c>
      <c r="S4659">
        <v>-2.960388</v>
      </c>
      <c r="T4659">
        <v>-0.77034619999999998</v>
      </c>
      <c r="U4659">
        <v>0.40763850000000001</v>
      </c>
      <c r="V4659">
        <v>6.901678E-2</v>
      </c>
      <c r="W4659">
        <v>-1.295233E-2</v>
      </c>
      <c r="X4659">
        <v>0.99753139999999996</v>
      </c>
      <c r="Y4659">
        <v>0.137543</v>
      </c>
      <c r="Z4659">
        <v>1.9022069999999999E-2</v>
      </c>
      <c r="AA4659">
        <v>0.99031309999999995</v>
      </c>
      <c r="AB4659">
        <v>29</v>
      </c>
      <c r="AC4659">
        <v>-0.72949999999997295</v>
      </c>
      <c r="AD4659">
        <v>-0.23602600000000001</v>
      </c>
      <c r="AE4659">
        <v>0.126000000000004</v>
      </c>
      <c r="AF4659">
        <v>0.11826540760630901</v>
      </c>
      <c r="AG4659">
        <v>-0.23602600000000001</v>
      </c>
      <c r="AH4659">
        <v>0.661505311908541</v>
      </c>
      <c r="AI4659">
        <v>109.35292151519</v>
      </c>
      <c r="AJ4659">
        <v>79.863622905939593</v>
      </c>
      <c r="AK4659">
        <v>0.71223890443832305</v>
      </c>
      <c r="AL4659">
        <v>90.742134605391598</v>
      </c>
      <c r="AM4659">
        <v>86.042151136127103</v>
      </c>
      <c r="AN4659">
        <v>0.999999986379978</v>
      </c>
    </row>
    <row r="4660" spans="1:40" x14ac:dyDescent="0.25">
      <c r="A4660" t="str">
        <f>"20190312154929475"</f>
        <v>20190312154929475</v>
      </c>
      <c r="B4660" t="str">
        <f>"1552376969470711"</f>
        <v>1552376969470711</v>
      </c>
      <c r="C4660" t="s">
        <v>40</v>
      </c>
      <c r="D4660">
        <v>4.6915680000000002</v>
      </c>
      <c r="E4660">
        <v>0.53131430000000002</v>
      </c>
      <c r="F4660" t="s">
        <v>41</v>
      </c>
      <c r="G4660">
        <v>-331.89339999999999</v>
      </c>
      <c r="H4660">
        <v>0.91531850000000003</v>
      </c>
      <c r="I4660">
        <v>140.8314</v>
      </c>
      <c r="J4660">
        <v>-331.35629999999998</v>
      </c>
      <c r="K4660">
        <v>1.1097490000000001</v>
      </c>
      <c r="L4660">
        <v>140.72710000000001</v>
      </c>
      <c r="M4660">
        <v>-0.99988279999999996</v>
      </c>
      <c r="N4660">
        <v>0</v>
      </c>
      <c r="O4660">
        <v>-5.7704690000000003E-3</v>
      </c>
      <c r="P4660">
        <v>-0.99760850000000001</v>
      </c>
      <c r="Q4660">
        <v>-2.7221990000000001E-2</v>
      </c>
      <c r="R4660">
        <v>6.3532610000000003E-2</v>
      </c>
      <c r="S4660">
        <v>-2.9602970000000002</v>
      </c>
      <c r="T4660">
        <v>-0.77117290000000005</v>
      </c>
      <c r="U4660">
        <v>0.40866089999999999</v>
      </c>
      <c r="V4660">
        <v>6.9284509999999994E-2</v>
      </c>
      <c r="W4660">
        <v>-1.3092339999999999E-2</v>
      </c>
      <c r="X4660">
        <v>0.99751100000000004</v>
      </c>
      <c r="Y4660">
        <v>0.13776179999999999</v>
      </c>
      <c r="Z4660">
        <v>1.9042199999999999E-2</v>
      </c>
      <c r="AA4660">
        <v>0.99028229999999995</v>
      </c>
      <c r="AB4660">
        <v>29</v>
      </c>
      <c r="AC4660">
        <v>-0.53710000000000901</v>
      </c>
      <c r="AD4660">
        <v>-0.19443049999999901</v>
      </c>
      <c r="AE4660">
        <v>0.10429999999999399</v>
      </c>
      <c r="AF4660">
        <v>9.53561070718114E-2</v>
      </c>
      <c r="AG4660">
        <v>-0.19443049999999901</v>
      </c>
      <c r="AH4660">
        <v>0.47633630121544102</v>
      </c>
      <c r="AI4660">
        <v>111.813170362558</v>
      </c>
      <c r="AJ4660">
        <v>78.679792049686299</v>
      </c>
      <c r="AK4660">
        <v>0.523251639597764</v>
      </c>
      <c r="AL4660">
        <v>90.750157277229704</v>
      </c>
      <c r="AM4660">
        <v>86.026765925839896</v>
      </c>
      <c r="AN4660">
        <v>0.99999997390680695</v>
      </c>
    </row>
    <row r="4661" spans="1:40" x14ac:dyDescent="0.25">
      <c r="A4661" t="str">
        <f>"20190312154929492"</f>
        <v>20190312154929492</v>
      </c>
      <c r="B4661" t="str">
        <f>"1552376969480471"</f>
        <v>1552376969480471</v>
      </c>
      <c r="C4661" t="s">
        <v>40</v>
      </c>
      <c r="D4661">
        <v>4.7276579999999999</v>
      </c>
      <c r="E4661">
        <v>0.53133799999999998</v>
      </c>
      <c r="F4661" t="s">
        <v>41</v>
      </c>
      <c r="G4661">
        <v>-332.14859999999999</v>
      </c>
      <c r="H4661">
        <v>0.90281979999999995</v>
      </c>
      <c r="I4661">
        <v>140.83709999999999</v>
      </c>
      <c r="J4661">
        <v>-331.56880000000001</v>
      </c>
      <c r="K4661">
        <v>1.1097440000000001</v>
      </c>
      <c r="L4661">
        <v>140.726</v>
      </c>
      <c r="M4661">
        <v>-0.99988339999999998</v>
      </c>
      <c r="N4661">
        <v>0</v>
      </c>
      <c r="O4661">
        <v>-5.6600770000000003E-3</v>
      </c>
      <c r="P4661">
        <v>-0.99758259999999999</v>
      </c>
      <c r="Q4661">
        <v>-2.7499389999999999E-2</v>
      </c>
      <c r="R4661">
        <v>6.3818360000000005E-2</v>
      </c>
      <c r="S4661">
        <v>-2.959991</v>
      </c>
      <c r="T4661">
        <v>-0.77307060000000005</v>
      </c>
      <c r="U4661">
        <v>0.40971370000000001</v>
      </c>
      <c r="V4661">
        <v>6.9459800000000002E-2</v>
      </c>
      <c r="W4661">
        <v>-1.337199E-2</v>
      </c>
      <c r="X4661">
        <v>0.99749509999999997</v>
      </c>
      <c r="Y4661">
        <v>0.13798479999999999</v>
      </c>
      <c r="Z4661">
        <v>1.9089289999999998E-2</v>
      </c>
      <c r="AA4661">
        <v>0.99025030000000003</v>
      </c>
      <c r="AB4661">
        <v>29</v>
      </c>
      <c r="AC4661">
        <v>-0.579799999999977</v>
      </c>
      <c r="AD4661">
        <v>-0.2069242</v>
      </c>
      <c r="AE4661">
        <v>0.111099999999993</v>
      </c>
      <c r="AF4661">
        <v>0.101865236481945</v>
      </c>
      <c r="AG4661">
        <v>-0.2069242</v>
      </c>
      <c r="AH4661">
        <v>0.51579226703258796</v>
      </c>
      <c r="AI4661">
        <v>111.483379849128</v>
      </c>
      <c r="AJ4661">
        <v>78.828263202025894</v>
      </c>
      <c r="AK4661">
        <v>0.56500956954708204</v>
      </c>
      <c r="AL4661">
        <v>90.766181445093295</v>
      </c>
      <c r="AM4661">
        <v>86.016682661972894</v>
      </c>
      <c r="AN4661">
        <v>0.999999974228304</v>
      </c>
    </row>
    <row r="4662" spans="1:40" x14ac:dyDescent="0.25">
      <c r="A4662" t="str">
        <f>"20190312154929508"</f>
        <v>20190312154929508</v>
      </c>
      <c r="B4662" t="str">
        <f>"1552376969500967"</f>
        <v>1552376969500967</v>
      </c>
      <c r="C4662" t="s">
        <v>40</v>
      </c>
      <c r="D4662">
        <v>4.7041279999999999</v>
      </c>
      <c r="E4662">
        <v>0.53144290000000005</v>
      </c>
      <c r="F4662" t="s">
        <v>41</v>
      </c>
      <c r="G4662">
        <v>-332.40390000000002</v>
      </c>
      <c r="H4662">
        <v>0.89110919999999905</v>
      </c>
      <c r="I4662">
        <v>140.84219999999999</v>
      </c>
      <c r="J4662">
        <v>-331.7937</v>
      </c>
      <c r="K4662">
        <v>1.109742</v>
      </c>
      <c r="L4662">
        <v>140.72479999999999</v>
      </c>
      <c r="M4662">
        <v>-0.99988410000000005</v>
      </c>
      <c r="N4662">
        <v>0</v>
      </c>
      <c r="O4662">
        <v>-5.5428919999999998E-3</v>
      </c>
      <c r="P4662">
        <v>-0.99754410000000004</v>
      </c>
      <c r="Q4662">
        <v>-2.7864079999999999E-2</v>
      </c>
      <c r="R4662">
        <v>6.4263239999999999E-2</v>
      </c>
      <c r="S4662">
        <v>-2.959625</v>
      </c>
      <c r="T4662">
        <v>-0.77483939999999996</v>
      </c>
      <c r="U4662">
        <v>0.41091919999999998</v>
      </c>
      <c r="V4662">
        <v>6.9787580000000002E-2</v>
      </c>
      <c r="W4662">
        <v>-1.373922E-2</v>
      </c>
      <c r="X4662">
        <v>0.99746729999999995</v>
      </c>
      <c r="Y4662">
        <v>0.13825399999999999</v>
      </c>
      <c r="Z4662">
        <v>1.913778E-2</v>
      </c>
      <c r="AA4662">
        <v>0.99021190000000003</v>
      </c>
      <c r="AB4662">
        <v>29</v>
      </c>
      <c r="AC4662">
        <v>-0.61020000000001995</v>
      </c>
      <c r="AD4662">
        <v>-0.21863279999999999</v>
      </c>
      <c r="AE4662">
        <v>0.117400000000003</v>
      </c>
      <c r="AF4662">
        <v>0.107475903479434</v>
      </c>
      <c r="AG4662">
        <v>-0.21863279999999999</v>
      </c>
      <c r="AH4662">
        <v>0.54239447311695299</v>
      </c>
      <c r="AI4662">
        <v>111.573865234888</v>
      </c>
      <c r="AJ4662">
        <v>78.791979484187905</v>
      </c>
      <c r="AK4662">
        <v>0.59459493399488195</v>
      </c>
      <c r="AL4662">
        <v>90.787224053736097</v>
      </c>
      <c r="AM4662">
        <v>85.997835193323894</v>
      </c>
      <c r="AN4662">
        <v>1.0000000435288701</v>
      </c>
    </row>
    <row r="4663" spans="1:40" x14ac:dyDescent="0.25">
      <c r="A4663" t="str">
        <f>"20190312154929524"</f>
        <v>20190312154929524</v>
      </c>
      <c r="B4663" t="str">
        <f>"1552376969510727"</f>
        <v>1552376969510727</v>
      </c>
      <c r="C4663" t="s">
        <v>40</v>
      </c>
      <c r="D4663">
        <v>4.7044610000000002</v>
      </c>
      <c r="E4663">
        <v>0.5314932</v>
      </c>
      <c r="F4663" t="s">
        <v>41</v>
      </c>
      <c r="G4663">
        <v>-332.65989999999999</v>
      </c>
      <c r="H4663">
        <v>0.88200210000000001</v>
      </c>
      <c r="I4663">
        <v>140.84610000000001</v>
      </c>
      <c r="J4663">
        <v>-332.00020000000001</v>
      </c>
      <c r="K4663">
        <v>1.109737</v>
      </c>
      <c r="L4663">
        <v>140.72380000000001</v>
      </c>
      <c r="M4663">
        <v>-0.99988480000000002</v>
      </c>
      <c r="N4663">
        <v>0</v>
      </c>
      <c r="O4663">
        <v>-5.4358360000000003E-3</v>
      </c>
      <c r="P4663">
        <v>-0.99752909999999995</v>
      </c>
      <c r="Q4663">
        <v>-2.8153910000000001E-2</v>
      </c>
      <c r="R4663">
        <v>6.4368969999999998E-2</v>
      </c>
      <c r="S4663">
        <v>-2.9590450000000001</v>
      </c>
      <c r="T4663">
        <v>-0.77804799999999996</v>
      </c>
      <c r="U4663">
        <v>0.41319270000000002</v>
      </c>
      <c r="V4663">
        <v>6.9786420000000002E-2</v>
      </c>
      <c r="W4663">
        <v>-1.403097E-2</v>
      </c>
      <c r="X4663">
        <v>0.99746330000000005</v>
      </c>
      <c r="Y4663">
        <v>0.13886399999999999</v>
      </c>
      <c r="Z4663">
        <v>1.926804E-2</v>
      </c>
      <c r="AA4663">
        <v>0.990124</v>
      </c>
      <c r="AB4663">
        <v>29</v>
      </c>
      <c r="AC4663">
        <v>-0.65969999999998596</v>
      </c>
      <c r="AD4663">
        <v>-0.22773489999999999</v>
      </c>
      <c r="AE4663">
        <v>0.122299999999995</v>
      </c>
      <c r="AF4663">
        <v>0.11287968259046099</v>
      </c>
      <c r="AG4663">
        <v>-0.22773489999999999</v>
      </c>
      <c r="AH4663">
        <v>0.590942747159521</v>
      </c>
      <c r="AI4663">
        <v>110.733240931968</v>
      </c>
      <c r="AJ4663">
        <v>79.185843906603196</v>
      </c>
      <c r="AK4663">
        <v>0.64328713483185296</v>
      </c>
      <c r="AL4663">
        <v>90.803941724314996</v>
      </c>
      <c r="AM4663">
        <v>85.997885503659106</v>
      </c>
      <c r="AN4663">
        <v>1.0000000236912201</v>
      </c>
    </row>
    <row r="4664" spans="1:40" x14ac:dyDescent="0.25">
      <c r="A4664" t="str">
        <f>"20190312154929543"</f>
        <v>20190312154929543</v>
      </c>
      <c r="B4664" t="str">
        <f>"1552376969530755"</f>
        <v>1552376969530755</v>
      </c>
      <c r="C4664" t="s">
        <v>40</v>
      </c>
      <c r="D4664">
        <v>4.7149260000000002</v>
      </c>
      <c r="E4664">
        <v>0.53158930000000004</v>
      </c>
      <c r="F4664" t="s">
        <v>41</v>
      </c>
      <c r="G4664">
        <v>-332.68020000000001</v>
      </c>
      <c r="H4664">
        <v>0.93049479999999996</v>
      </c>
      <c r="I4664">
        <v>140.8192</v>
      </c>
      <c r="J4664">
        <v>-332.24259999999998</v>
      </c>
      <c r="K4664">
        <v>1.1097379999999999</v>
      </c>
      <c r="L4664">
        <v>140.7226</v>
      </c>
      <c r="M4664">
        <v>-0.99988540000000004</v>
      </c>
      <c r="N4664">
        <v>0</v>
      </c>
      <c r="O4664">
        <v>-5.3095909999999998E-3</v>
      </c>
      <c r="P4664">
        <v>-0.99753400000000003</v>
      </c>
      <c r="Q4664">
        <v>-2.7754020000000001E-2</v>
      </c>
      <c r="R4664">
        <v>6.4464199999999999E-2</v>
      </c>
      <c r="S4664">
        <v>-2.95871</v>
      </c>
      <c r="T4664">
        <v>-0.77995029999999999</v>
      </c>
      <c r="U4664">
        <v>0.41403200000000001</v>
      </c>
      <c r="V4664">
        <v>6.9755769999999995E-2</v>
      </c>
      <c r="W4664">
        <v>-1.3633060000000001E-2</v>
      </c>
      <c r="X4664">
        <v>0.99747090000000005</v>
      </c>
      <c r="Y4664">
        <v>0.139005399999999</v>
      </c>
      <c r="Z4664">
        <v>1.9301019999999999E-2</v>
      </c>
      <c r="AA4664">
        <v>0.99010350000000003</v>
      </c>
      <c r="AB4664">
        <v>29</v>
      </c>
      <c r="AC4664">
        <v>-0.43760000000003102</v>
      </c>
      <c r="AD4664">
        <v>-0.17924319999999899</v>
      </c>
      <c r="AE4664">
        <v>9.6599999999995106E-2</v>
      </c>
      <c r="AF4664">
        <v>8.52793241047584E-2</v>
      </c>
      <c r="AG4664">
        <v>-0.17924319999999899</v>
      </c>
      <c r="AH4664">
        <v>0.376800206343126</v>
      </c>
      <c r="AI4664">
        <v>114.889594808452</v>
      </c>
      <c r="AJ4664">
        <v>77.247375721464394</v>
      </c>
      <c r="AK4664">
        <v>0.42588623289116401</v>
      </c>
      <c r="AL4664">
        <v>90.781141027947896</v>
      </c>
      <c r="AM4664">
        <v>85.999667894025905</v>
      </c>
      <c r="AN4664">
        <v>0.99999996206003205</v>
      </c>
    </row>
    <row r="4665" spans="1:40" x14ac:dyDescent="0.25">
      <c r="A4665" t="str">
        <f>"20190312154929565"</f>
        <v>20190312154929565</v>
      </c>
      <c r="B4665" t="str">
        <f>"1552376969561010"</f>
        <v>1552376969561010</v>
      </c>
      <c r="C4665" t="s">
        <v>40</v>
      </c>
      <c r="D4665">
        <v>4.7140969999999998</v>
      </c>
      <c r="E4665">
        <v>0.5317231</v>
      </c>
      <c r="F4665" t="s">
        <v>41</v>
      </c>
      <c r="G4665">
        <v>-332.93779999999998</v>
      </c>
      <c r="H4665">
        <v>0.92642239999999998</v>
      </c>
      <c r="I4665">
        <v>140.82040000000001</v>
      </c>
      <c r="J4665">
        <v>-332.52300000000002</v>
      </c>
      <c r="K4665">
        <v>1.1097490000000001</v>
      </c>
      <c r="L4665">
        <v>140.72130000000001</v>
      </c>
      <c r="M4665">
        <v>-0.99988600000000005</v>
      </c>
      <c r="N4665">
        <v>0</v>
      </c>
      <c r="O4665">
        <v>-5.1634369999999999E-3</v>
      </c>
      <c r="P4665">
        <v>-0.99755380000000005</v>
      </c>
      <c r="Q4665">
        <v>-2.7419289999999999E-2</v>
      </c>
      <c r="R4665">
        <v>6.4299990000000001E-2</v>
      </c>
      <c r="S4665">
        <v>-2.9588930000000002</v>
      </c>
      <c r="T4665">
        <v>-0.78023909999999996</v>
      </c>
      <c r="U4665">
        <v>0.41525269999999997</v>
      </c>
      <c r="V4665">
        <v>6.9446049999999995E-2</v>
      </c>
      <c r="W4665">
        <v>-1.3300350000000001E-2</v>
      </c>
      <c r="X4665">
        <v>0.99749699999999997</v>
      </c>
      <c r="Y4665">
        <v>0.13924710000000001</v>
      </c>
      <c r="Z4665">
        <v>1.9299730000000001E-2</v>
      </c>
      <c r="AA4665">
        <v>0.99006959999999999</v>
      </c>
      <c r="AB4665">
        <v>29</v>
      </c>
      <c r="AC4665">
        <v>-0.41479999999995598</v>
      </c>
      <c r="AD4665">
        <v>-0.18332659999999901</v>
      </c>
      <c r="AE4665">
        <v>9.9099999999992805E-2</v>
      </c>
      <c r="AF4665">
        <v>8.5450693667006694E-2</v>
      </c>
      <c r="AG4665">
        <v>-0.18332659999999901</v>
      </c>
      <c r="AH4665">
        <v>0.34966915587838898</v>
      </c>
      <c r="AI4665">
        <v>116.989691255818</v>
      </c>
      <c r="AJ4665">
        <v>76.267440870710004</v>
      </c>
      <c r="AK4665">
        <v>0.40395418290746499</v>
      </c>
      <c r="AL4665">
        <v>90.762076421816204</v>
      </c>
      <c r="AM4665">
        <v>86.017476208258799</v>
      </c>
      <c r="AN4665">
        <v>0.99999995908986095</v>
      </c>
    </row>
    <row r="4666" spans="1:40" x14ac:dyDescent="0.25">
      <c r="A4666" t="str">
        <f>"20190312154929588"</f>
        <v>20190312154929588</v>
      </c>
      <c r="B4666" t="str">
        <f>"1552376969580531"</f>
        <v>1552376969580531</v>
      </c>
      <c r="C4666" t="s">
        <v>40</v>
      </c>
      <c r="D4666">
        <v>4.7491859999999999</v>
      </c>
      <c r="E4666">
        <v>0.53180260000000001</v>
      </c>
      <c r="F4666" t="s">
        <v>41</v>
      </c>
      <c r="G4666">
        <v>-333.43209999999999</v>
      </c>
      <c r="H4666">
        <v>0.86948979999999998</v>
      </c>
      <c r="I4666">
        <v>140.84909999999999</v>
      </c>
      <c r="J4666">
        <v>-332.82029999999997</v>
      </c>
      <c r="K4666">
        <v>1.1097549999999901</v>
      </c>
      <c r="L4666">
        <v>140.7199</v>
      </c>
      <c r="M4666">
        <v>-0.99988699999999997</v>
      </c>
      <c r="N4666">
        <v>0</v>
      </c>
      <c r="O4666">
        <v>-5.0089330000000001E-3</v>
      </c>
      <c r="P4666">
        <v>-0.99757980000000002</v>
      </c>
      <c r="Q4666">
        <v>-2.7420509999999999E-2</v>
      </c>
      <c r="R4666">
        <v>6.3895309999999997E-2</v>
      </c>
      <c r="S4666">
        <v>-2.9590450000000001</v>
      </c>
      <c r="T4666">
        <v>-0.78202240000000001</v>
      </c>
      <c r="U4666">
        <v>0.41567989999999999</v>
      </c>
      <c r="V4666">
        <v>6.8887249999999997E-2</v>
      </c>
      <c r="W4666">
        <v>-1.330367E-2</v>
      </c>
      <c r="X4666">
        <v>0.99753579999999997</v>
      </c>
      <c r="Y4666">
        <v>0.13921259999999999</v>
      </c>
      <c r="Z4666">
        <v>1.9296819999999999E-2</v>
      </c>
      <c r="AA4666">
        <v>0.99007449999999997</v>
      </c>
      <c r="AB4666">
        <v>29</v>
      </c>
      <c r="AC4666">
        <v>-0.611800000000016</v>
      </c>
      <c r="AD4666">
        <v>-0.24026519999999901</v>
      </c>
      <c r="AE4666">
        <v>0.12919999999999701</v>
      </c>
      <c r="AF4666">
        <v>0.115247604966473</v>
      </c>
      <c r="AG4666">
        <v>-0.24026519999999901</v>
      </c>
      <c r="AH4666">
        <v>0.532521783444587</v>
      </c>
      <c r="AI4666">
        <v>113.796279785886</v>
      </c>
      <c r="AJ4666">
        <v>77.788455308928604</v>
      </c>
      <c r="AK4666">
        <v>0.59547361538908805</v>
      </c>
      <c r="AL4666">
        <v>90.762266586337105</v>
      </c>
      <c r="AM4666">
        <v>86.049573015956796</v>
      </c>
      <c r="AN4666">
        <v>1.0000000565648299</v>
      </c>
    </row>
    <row r="4667" spans="1:40" x14ac:dyDescent="0.25">
      <c r="A4667" t="str">
        <f>"20190312154929610"</f>
        <v>20190312154929610</v>
      </c>
      <c r="B4667" t="str">
        <f>"1552376969601026"</f>
        <v>1552376969601026</v>
      </c>
      <c r="C4667" t="s">
        <v>40</v>
      </c>
      <c r="D4667">
        <v>4.7617379999999896</v>
      </c>
      <c r="E4667">
        <v>0.53187779999999996</v>
      </c>
      <c r="F4667" t="s">
        <v>41</v>
      </c>
      <c r="G4667">
        <v>-333.69409999999999</v>
      </c>
      <c r="H4667">
        <v>0.87829579999999996</v>
      </c>
      <c r="I4667">
        <v>140.84289999999999</v>
      </c>
      <c r="J4667">
        <v>-333.10750000000002</v>
      </c>
      <c r="K4667">
        <v>1.109756</v>
      </c>
      <c r="L4667">
        <v>140.71870000000001</v>
      </c>
      <c r="M4667">
        <v>-0.99988770000000005</v>
      </c>
      <c r="N4667">
        <v>0</v>
      </c>
      <c r="O4667">
        <v>-4.859319E-3</v>
      </c>
      <c r="P4667">
        <v>-0.99761040000000001</v>
      </c>
      <c r="Q4667">
        <v>-2.7297740000000001E-2</v>
      </c>
      <c r="R4667">
        <v>6.3469880000000006E-2</v>
      </c>
      <c r="S4667">
        <v>-2.9591669999999999</v>
      </c>
      <c r="T4667">
        <v>-0.78386469999999997</v>
      </c>
      <c r="U4667">
        <v>0.41484070000000001</v>
      </c>
      <c r="V4667">
        <v>6.8313109999999996E-2</v>
      </c>
      <c r="W4667">
        <v>-1.3182859999999999E-2</v>
      </c>
      <c r="X4667">
        <v>0.99757680000000004</v>
      </c>
      <c r="Y4667">
        <v>0.13878080000000001</v>
      </c>
      <c r="Z4667">
        <v>1.9245640000000001E-2</v>
      </c>
      <c r="AA4667">
        <v>0.99013609999999996</v>
      </c>
      <c r="AB4667">
        <v>29</v>
      </c>
      <c r="AC4667">
        <v>-0.58659999999997503</v>
      </c>
      <c r="AD4667">
        <v>-0.23146019999999901</v>
      </c>
      <c r="AE4667">
        <v>0.124199999999973</v>
      </c>
      <c r="AF4667">
        <v>0.11057257703543</v>
      </c>
      <c r="AG4667">
        <v>-0.23146019999999901</v>
      </c>
      <c r="AH4667">
        <v>0.50999391039017805</v>
      </c>
      <c r="AI4667">
        <v>113.91938210214001</v>
      </c>
      <c r="AJ4667">
        <v>77.766947846962495</v>
      </c>
      <c r="AK4667">
        <v>0.57087118302762596</v>
      </c>
      <c r="AL4667">
        <v>90.755344141653893</v>
      </c>
      <c r="AM4667">
        <v>86.082555363507396</v>
      </c>
      <c r="AN4667">
        <v>0.99999997034694499</v>
      </c>
    </row>
    <row r="4668" spans="1:40" x14ac:dyDescent="0.25">
      <c r="A4668" t="str">
        <f>"20190312154929631"</f>
        <v>20190312154929631</v>
      </c>
      <c r="B4668" t="str">
        <f>"1552376969620080"</f>
        <v>1552376969620080</v>
      </c>
      <c r="C4668" t="s">
        <v>40</v>
      </c>
      <c r="D4668">
        <v>4.7495529999999997</v>
      </c>
      <c r="E4668">
        <v>0.53193210000000002</v>
      </c>
      <c r="F4668" t="s">
        <v>41</v>
      </c>
      <c r="G4668">
        <v>-333.95479999999998</v>
      </c>
      <c r="H4668">
        <v>0.88497809999999899</v>
      </c>
      <c r="I4668">
        <v>140.83750000000001</v>
      </c>
      <c r="J4668">
        <v>-333.38630000000001</v>
      </c>
      <c r="K4668">
        <v>1.1097549999999901</v>
      </c>
      <c r="L4668">
        <v>140.7175</v>
      </c>
      <c r="M4668">
        <v>-0.99988840000000001</v>
      </c>
      <c r="N4668">
        <v>0</v>
      </c>
      <c r="O4668">
        <v>-4.7143519999999998E-3</v>
      </c>
      <c r="P4668">
        <v>-0.99760260000000001</v>
      </c>
      <c r="Q4668">
        <v>-2.7381860000000001E-2</v>
      </c>
      <c r="R4668">
        <v>6.3553760000000001E-2</v>
      </c>
      <c r="S4668">
        <v>-2.959381</v>
      </c>
      <c r="T4668">
        <v>-0.78508109999999998</v>
      </c>
      <c r="U4668">
        <v>0.41442869999999998</v>
      </c>
      <c r="V4668">
        <v>6.8252190000000004E-2</v>
      </c>
      <c r="W4668">
        <v>-1.3269629999999999E-2</v>
      </c>
      <c r="X4668">
        <v>0.99757989999999996</v>
      </c>
      <c r="Y4668">
        <v>0.1384928</v>
      </c>
      <c r="Z4668">
        <v>1.9198340000000001E-2</v>
      </c>
      <c r="AA4668">
        <v>0.99017730000000004</v>
      </c>
      <c r="AB4668">
        <v>29</v>
      </c>
      <c r="AC4668">
        <v>-0.56849999999997103</v>
      </c>
      <c r="AD4668">
        <v>-0.224776899999999</v>
      </c>
      <c r="AE4668">
        <v>0.12000000000000401</v>
      </c>
      <c r="AF4668">
        <v>0.10670881430029799</v>
      </c>
      <c r="AG4668">
        <v>-0.224776899999999</v>
      </c>
      <c r="AH4668">
        <v>0.49399563882428899</v>
      </c>
      <c r="AI4668">
        <v>113.977575773336</v>
      </c>
      <c r="AJ4668">
        <v>77.810728918045498</v>
      </c>
      <c r="AK4668">
        <v>0.55312124981815902</v>
      </c>
      <c r="AL4668">
        <v>90.760316070395305</v>
      </c>
      <c r="AM4668">
        <v>86.086050109162798</v>
      </c>
      <c r="AN4668">
        <v>1.0000000507020701</v>
      </c>
    </row>
    <row r="4669" spans="1:40" x14ac:dyDescent="0.25">
      <c r="A4669" t="str">
        <f>"20190312154929654"</f>
        <v>20190312154929654</v>
      </c>
      <c r="B4669" t="str">
        <f>"1552376969640576"</f>
        <v>1552376969640576</v>
      </c>
      <c r="C4669" t="s">
        <v>40</v>
      </c>
      <c r="D4669">
        <v>4.778378</v>
      </c>
      <c r="E4669">
        <v>0.53203509999999998</v>
      </c>
      <c r="F4669" t="s">
        <v>41</v>
      </c>
      <c r="G4669">
        <v>-334.21449999999999</v>
      </c>
      <c r="H4669">
        <v>0.88954539999999904</v>
      </c>
      <c r="I4669">
        <v>140.83410000000001</v>
      </c>
      <c r="J4669">
        <v>-333.67239999999998</v>
      </c>
      <c r="K4669">
        <v>1.1097570000000001</v>
      </c>
      <c r="L4669">
        <v>140.71629999999999</v>
      </c>
      <c r="M4669">
        <v>-0.99988929999999998</v>
      </c>
      <c r="N4669">
        <v>0</v>
      </c>
      <c r="O4669">
        <v>-4.565454E-3</v>
      </c>
      <c r="P4669">
        <v>-0.99759180000000003</v>
      </c>
      <c r="Q4669">
        <v>-2.7486549999999998E-2</v>
      </c>
      <c r="R4669">
        <v>6.3681089999999996E-2</v>
      </c>
      <c r="S4669">
        <v>-2.9591980000000002</v>
      </c>
      <c r="T4669">
        <v>-0.78689370000000003</v>
      </c>
      <c r="U4669">
        <v>0.4151917</v>
      </c>
      <c r="V4669">
        <v>6.8230990000000005E-2</v>
      </c>
      <c r="W4669">
        <v>-1.3377119999999999E-2</v>
      </c>
      <c r="X4669">
        <v>0.99757989999999996</v>
      </c>
      <c r="Y4669">
        <v>0.1385837</v>
      </c>
      <c r="Z4669">
        <v>1.9215099999999999E-2</v>
      </c>
      <c r="AA4669">
        <v>0.9901643</v>
      </c>
      <c r="AB4669">
        <v>29</v>
      </c>
      <c r="AC4669">
        <v>-0.54210000000000402</v>
      </c>
      <c r="AD4669">
        <v>-0.22021159999999901</v>
      </c>
      <c r="AE4669">
        <v>0.117800000000016</v>
      </c>
      <c r="AF4669">
        <v>0.10390177846295499</v>
      </c>
      <c r="AG4669">
        <v>-0.22021159999999901</v>
      </c>
      <c r="AH4669">
        <v>0.46783763698780401</v>
      </c>
      <c r="AI4669">
        <v>114.67902023417901</v>
      </c>
      <c r="AJ4669">
        <v>77.478444713318396</v>
      </c>
      <c r="AK4669">
        <v>0.52740950211828497</v>
      </c>
      <c r="AL4669">
        <v>90.766475351308401</v>
      </c>
      <c r="AM4669">
        <v>86.087262055097995</v>
      </c>
      <c r="AN4669">
        <v>1.0000000361099399</v>
      </c>
    </row>
    <row r="4670" spans="1:40" x14ac:dyDescent="0.25">
      <c r="A4670" t="str">
        <f>"20190312154929671"</f>
        <v>20190312154929671</v>
      </c>
      <c r="B4670" t="str">
        <f>"1552376969661073"</f>
        <v>1552376969661073</v>
      </c>
      <c r="C4670" t="s">
        <v>40</v>
      </c>
      <c r="D4670">
        <v>4.7944389999999997</v>
      </c>
      <c r="E4670">
        <v>0.53215489999999999</v>
      </c>
      <c r="F4670" t="s">
        <v>41</v>
      </c>
      <c r="G4670">
        <v>-334.47460000000001</v>
      </c>
      <c r="H4670">
        <v>0.89601980000000003</v>
      </c>
      <c r="I4670">
        <v>140.82939999999999</v>
      </c>
      <c r="J4670">
        <v>-333.89120000000003</v>
      </c>
      <c r="K4670">
        <v>1.109758</v>
      </c>
      <c r="L4670">
        <v>140.71539999999999</v>
      </c>
      <c r="M4670">
        <v>-0.9998899</v>
      </c>
      <c r="N4670">
        <v>0</v>
      </c>
      <c r="O4670">
        <v>-4.4516039999999996E-3</v>
      </c>
      <c r="P4670">
        <v>-0.99758670000000005</v>
      </c>
      <c r="Q4670">
        <v>-2.746206E-2</v>
      </c>
      <c r="R4670">
        <v>6.3774440000000002E-2</v>
      </c>
      <c r="S4670">
        <v>-2.958923</v>
      </c>
      <c r="T4670">
        <v>-0.78834630000000006</v>
      </c>
      <c r="U4670">
        <v>0.41604609999999898</v>
      </c>
      <c r="V4670">
        <v>6.8210960000000001E-2</v>
      </c>
      <c r="W4670">
        <v>-1.335479E-2</v>
      </c>
      <c r="X4670">
        <v>0.99758150000000001</v>
      </c>
      <c r="Y4670">
        <v>0.13874410000000001</v>
      </c>
      <c r="Z4670">
        <v>1.9241959999999999E-2</v>
      </c>
      <c r="AA4670">
        <v>0.9901413</v>
      </c>
      <c r="AB4670">
        <v>29</v>
      </c>
      <c r="AC4670">
        <v>-0.58339999999998304</v>
      </c>
      <c r="AD4670">
        <v>-0.21373819999999999</v>
      </c>
      <c r="AE4670">
        <v>0.114000000000004</v>
      </c>
      <c r="AF4670">
        <v>0.103247555052592</v>
      </c>
      <c r="AG4670">
        <v>-0.21373819999999999</v>
      </c>
      <c r="AH4670">
        <v>0.51615427438904904</v>
      </c>
      <c r="AI4670">
        <v>112.099783453282</v>
      </c>
      <c r="AJ4670">
        <v>78.688285031969997</v>
      </c>
      <c r="AK4670">
        <v>0.568119099074889</v>
      </c>
      <c r="AL4670">
        <v>90.765195874947494</v>
      </c>
      <c r="AM4670">
        <v>86.088413372805704</v>
      </c>
      <c r="AN4670">
        <v>0.99999996731115703</v>
      </c>
    </row>
    <row r="4671" spans="1:40" x14ac:dyDescent="0.25">
      <c r="A4671" t="str">
        <f>"20190312154929688"</f>
        <v>20190312154929688</v>
      </c>
      <c r="B4671" t="str">
        <f>"1552376969680592"</f>
        <v>1552376969680592</v>
      </c>
      <c r="C4671" t="s">
        <v>40</v>
      </c>
      <c r="D4671">
        <v>4.7569379999999999</v>
      </c>
      <c r="E4671">
        <v>0.5322732</v>
      </c>
      <c r="F4671" t="s">
        <v>41</v>
      </c>
      <c r="G4671">
        <v>-334.72800000000001</v>
      </c>
      <c r="H4671">
        <v>0.88658619999999899</v>
      </c>
      <c r="I4671">
        <v>140.83359999999999</v>
      </c>
      <c r="J4671">
        <v>-334.11340000000001</v>
      </c>
      <c r="K4671">
        <v>1.109766</v>
      </c>
      <c r="L4671">
        <v>140.71449999999999</v>
      </c>
      <c r="M4671">
        <v>-0.99989030000000001</v>
      </c>
      <c r="N4671">
        <v>0</v>
      </c>
      <c r="O4671">
        <v>-4.3358449999999996E-3</v>
      </c>
      <c r="P4671">
        <v>-0.99757059999999997</v>
      </c>
      <c r="Q4671">
        <v>-2.7408709999999999E-2</v>
      </c>
      <c r="R4671">
        <v>6.4047300000000001E-2</v>
      </c>
      <c r="S4671">
        <v>-2.9588619999999999</v>
      </c>
      <c r="T4671">
        <v>-0.78917749999999998</v>
      </c>
      <c r="U4671">
        <v>0.41703800000000002</v>
      </c>
      <c r="V4671">
        <v>6.8368230000000002E-2</v>
      </c>
      <c r="W4671">
        <v>-1.3303860000000001E-2</v>
      </c>
      <c r="X4671">
        <v>0.99757150000000006</v>
      </c>
      <c r="Y4671">
        <v>0.13894489999999901</v>
      </c>
      <c r="Z4671">
        <v>1.9257509999999999E-2</v>
      </c>
      <c r="AA4671">
        <v>0.99011280000000002</v>
      </c>
      <c r="AB4671">
        <v>29</v>
      </c>
      <c r="AC4671">
        <v>-0.61459999999999504</v>
      </c>
      <c r="AD4671">
        <v>-0.22317980000000001</v>
      </c>
      <c r="AE4671">
        <v>0.119100000000003</v>
      </c>
      <c r="AF4671">
        <v>0.108033836135457</v>
      </c>
      <c r="AG4671">
        <v>-0.22317980000000001</v>
      </c>
      <c r="AH4671">
        <v>0.54483427121378702</v>
      </c>
      <c r="AI4671">
        <v>111.89055004358799</v>
      </c>
      <c r="AJ4671">
        <v>78.784442664403002</v>
      </c>
      <c r="AK4671">
        <v>0.59860246906209902</v>
      </c>
      <c r="AL4671">
        <v>90.762277476529604</v>
      </c>
      <c r="AM4671">
        <v>86.079383572243202</v>
      </c>
      <c r="AN4671">
        <v>1.00000005258824</v>
      </c>
    </row>
    <row r="4672" spans="1:40" x14ac:dyDescent="0.25">
      <c r="A4672" t="str">
        <f>"20190312154929711"</f>
        <v>20190312154929711</v>
      </c>
      <c r="B4672" t="str">
        <f>"1552376969700112"</f>
        <v>1552376969700112</v>
      </c>
      <c r="C4672" t="s">
        <v>40</v>
      </c>
      <c r="D4672">
        <v>4.8082729999999998</v>
      </c>
      <c r="E4672">
        <v>0.53237539999999905</v>
      </c>
      <c r="F4672" t="s">
        <v>41</v>
      </c>
      <c r="G4672">
        <v>-334.98149999999998</v>
      </c>
      <c r="H4672">
        <v>0.878019199999999</v>
      </c>
      <c r="I4672">
        <v>140.83770000000001</v>
      </c>
      <c r="J4672">
        <v>-334.39429999999999</v>
      </c>
      <c r="K4672">
        <v>1.1097709999999901</v>
      </c>
      <c r="L4672">
        <v>140.71350000000001</v>
      </c>
      <c r="M4672">
        <v>-0.99989099999999997</v>
      </c>
      <c r="N4672">
        <v>0</v>
      </c>
      <c r="O4672">
        <v>-4.1895700000000001E-3</v>
      </c>
      <c r="P4672">
        <v>-0.99754880000000001</v>
      </c>
      <c r="Q4672">
        <v>-2.7509820000000001E-2</v>
      </c>
      <c r="R4672">
        <v>6.4338419999999993E-2</v>
      </c>
      <c r="S4672">
        <v>-2.9586790000000001</v>
      </c>
      <c r="T4672">
        <v>-0.78988040000000004</v>
      </c>
      <c r="U4672">
        <v>0.41912840000000001</v>
      </c>
      <c r="V4672">
        <v>6.8513149999999995E-2</v>
      </c>
      <c r="W4672">
        <v>-1.340802E-2</v>
      </c>
      <c r="X4672">
        <v>0.99756009999999995</v>
      </c>
      <c r="Y4672">
        <v>0.13947270000000001</v>
      </c>
      <c r="Z4672">
        <v>1.9305030000000001E-2</v>
      </c>
      <c r="AA4672">
        <v>0.99003770000000002</v>
      </c>
      <c r="AB4672">
        <v>29</v>
      </c>
      <c r="AC4672">
        <v>-0.58719999999999495</v>
      </c>
      <c r="AD4672">
        <v>-0.23175179999999901</v>
      </c>
      <c r="AE4672">
        <v>0.124200000000001</v>
      </c>
      <c r="AF4672">
        <v>0.110225111259087</v>
      </c>
      <c r="AG4672">
        <v>-0.23175179999999901</v>
      </c>
      <c r="AH4672">
        <v>0.510552882885557</v>
      </c>
      <c r="AI4672">
        <v>113.926885834788</v>
      </c>
      <c r="AJ4672">
        <v>77.817190227488993</v>
      </c>
      <c r="AK4672">
        <v>0.57142166407835104</v>
      </c>
      <c r="AL4672">
        <v>90.768245985115897</v>
      </c>
      <c r="AM4672">
        <v>86.0710542907605</v>
      </c>
      <c r="AN4672">
        <v>0.99999998991762595</v>
      </c>
    </row>
    <row r="4673" spans="1:40" x14ac:dyDescent="0.25">
      <c r="A4673" t="str">
        <f>"20190312154929733"</f>
        <v>20190312154929733</v>
      </c>
      <c r="B4673" t="str">
        <f>"1552376969720608"</f>
        <v>1552376969720608</v>
      </c>
      <c r="C4673" t="s">
        <v>40</v>
      </c>
      <c r="D4673">
        <v>4.827839</v>
      </c>
      <c r="E4673">
        <v>0.53247449999999996</v>
      </c>
      <c r="F4673" t="s">
        <v>41</v>
      </c>
      <c r="G4673">
        <v>-335.24040000000002</v>
      </c>
      <c r="H4673">
        <v>0.88367059999999997</v>
      </c>
      <c r="I4673">
        <v>140.83430000000001</v>
      </c>
      <c r="J4673">
        <v>-334.68599999999998</v>
      </c>
      <c r="K4673">
        <v>1.1097669999999999</v>
      </c>
      <c r="L4673">
        <v>140.7124</v>
      </c>
      <c r="M4673">
        <v>-0.99989159999999999</v>
      </c>
      <c r="N4673">
        <v>0</v>
      </c>
      <c r="O4673">
        <v>-4.0376880000000002E-3</v>
      </c>
      <c r="P4673">
        <v>-0.99752870000000005</v>
      </c>
      <c r="Q4673">
        <v>-2.753301E-2</v>
      </c>
      <c r="R4673">
        <v>6.4639669999999996E-2</v>
      </c>
      <c r="S4673">
        <v>-2.958405</v>
      </c>
      <c r="T4673">
        <v>-0.79049829999999999</v>
      </c>
      <c r="U4673">
        <v>0.42094419999999999</v>
      </c>
      <c r="V4673">
        <v>6.8662840000000003E-2</v>
      </c>
      <c r="W4673">
        <v>-1.3434379999999999E-2</v>
      </c>
      <c r="X4673">
        <v>0.99754949999999998</v>
      </c>
      <c r="Y4673">
        <v>0.13991289999999901</v>
      </c>
      <c r="Z4673">
        <v>1.9338379999999999E-2</v>
      </c>
      <c r="AA4673">
        <v>0.98997500000000005</v>
      </c>
      <c r="AB4673">
        <v>29</v>
      </c>
      <c r="AC4673">
        <v>-0.55440000000004297</v>
      </c>
      <c r="AD4673">
        <v>-0.2260964</v>
      </c>
      <c r="AE4673">
        <v>0.12190000000001</v>
      </c>
      <c r="AF4673">
        <v>0.107140100037302</v>
      </c>
      <c r="AG4673">
        <v>-0.2260964</v>
      </c>
      <c r="AH4673">
        <v>0.47805973776111099</v>
      </c>
      <c r="AI4673">
        <v>114.77322964542201</v>
      </c>
      <c r="AJ4673">
        <v>77.367918527681695</v>
      </c>
      <c r="AK4673">
        <v>0.53957362426010502</v>
      </c>
      <c r="AL4673">
        <v>90.769756402020406</v>
      </c>
      <c r="AM4673">
        <v>86.062455452429404</v>
      </c>
      <c r="AN4673">
        <v>1.00000003655654</v>
      </c>
    </row>
    <row r="4674" spans="1:40" x14ac:dyDescent="0.25">
      <c r="A4674" t="str">
        <f>"20190312154929755"</f>
        <v>20190312154929755</v>
      </c>
      <c r="B4674" t="str">
        <f>"1552376969750864"</f>
        <v>1552376969750864</v>
      </c>
      <c r="C4674" t="s">
        <v>40</v>
      </c>
      <c r="D4674">
        <v>4.8296720000000004</v>
      </c>
      <c r="E4674">
        <v>0.53258159999999999</v>
      </c>
      <c r="F4674" t="s">
        <v>41</v>
      </c>
      <c r="G4674">
        <v>-335.5</v>
      </c>
      <c r="H4674">
        <v>0.89200449999999998</v>
      </c>
      <c r="I4674">
        <v>140.8289</v>
      </c>
      <c r="J4674">
        <v>-334.96820000000002</v>
      </c>
      <c r="K4674">
        <v>1.109758</v>
      </c>
      <c r="L4674">
        <v>140.7115</v>
      </c>
      <c r="M4674">
        <v>-0.99989240000000001</v>
      </c>
      <c r="N4674">
        <v>0</v>
      </c>
      <c r="O4674">
        <v>-3.890695E-3</v>
      </c>
      <c r="P4674">
        <v>-0.99750249999999996</v>
      </c>
      <c r="Q4674">
        <v>-2.8353529999999998E-2</v>
      </c>
      <c r="R4674">
        <v>6.4691419999999999E-2</v>
      </c>
      <c r="S4674">
        <v>-2.958221</v>
      </c>
      <c r="T4674">
        <v>-0.79130509999999998</v>
      </c>
      <c r="U4674">
        <v>0.42253109999999999</v>
      </c>
      <c r="V4674">
        <v>6.8567630000000004E-2</v>
      </c>
      <c r="W4674">
        <v>-1.42579E-2</v>
      </c>
      <c r="X4674">
        <v>0.9975446</v>
      </c>
      <c r="Y4674">
        <v>0.14027890000000001</v>
      </c>
      <c r="Z4674">
        <v>1.936732E-2</v>
      </c>
      <c r="AA4674">
        <v>0.98992259999999999</v>
      </c>
      <c r="AB4674">
        <v>29</v>
      </c>
      <c r="AC4674">
        <v>-0.53179999999997496</v>
      </c>
      <c r="AD4674">
        <v>-0.21775349999999999</v>
      </c>
      <c r="AE4674">
        <v>0.117400000000003</v>
      </c>
      <c r="AF4674">
        <v>0.103001503382243</v>
      </c>
      <c r="AG4674">
        <v>-0.21775349999999999</v>
      </c>
      <c r="AH4674">
        <v>0.45810220130081802</v>
      </c>
      <c r="AI4674">
        <v>114.87999036082201</v>
      </c>
      <c r="AJ4674">
        <v>77.328127573772704</v>
      </c>
      <c r="AK4674">
        <v>0.51757465480634601</v>
      </c>
      <c r="AL4674">
        <v>90.816945160521499</v>
      </c>
      <c r="AM4674">
        <v>86.067878979157499</v>
      </c>
      <c r="AN4674">
        <v>1.00000001829269</v>
      </c>
    </row>
    <row r="4675" spans="1:40" x14ac:dyDescent="0.25">
      <c r="A4675" t="str">
        <f>"20190312154929770"</f>
        <v>20190312154929770</v>
      </c>
      <c r="B4675" t="str">
        <f>"1552376969760624"</f>
        <v>1552376969760624</v>
      </c>
      <c r="C4675" t="s">
        <v>40</v>
      </c>
      <c r="D4675">
        <v>4.8283809999999896</v>
      </c>
      <c r="E4675">
        <v>0.53263380000000005</v>
      </c>
      <c r="F4675" t="s">
        <v>41</v>
      </c>
      <c r="G4675">
        <v>-335.75830000000002</v>
      </c>
      <c r="H4675">
        <v>0.89752480000000001</v>
      </c>
      <c r="I4675">
        <v>140.82509999999999</v>
      </c>
      <c r="J4675">
        <v>-335.16219999999998</v>
      </c>
      <c r="K4675">
        <v>1.109758</v>
      </c>
      <c r="L4675">
        <v>140.71080000000001</v>
      </c>
      <c r="M4675">
        <v>-0.99989269999999997</v>
      </c>
      <c r="N4675">
        <v>0</v>
      </c>
      <c r="O4675">
        <v>-3.7893610000000002E-3</v>
      </c>
      <c r="P4675">
        <v>-0.99748919999999996</v>
      </c>
      <c r="Q4675">
        <v>-2.8613969999999999E-2</v>
      </c>
      <c r="R4675">
        <v>6.4781549999999993E-2</v>
      </c>
      <c r="S4675">
        <v>-2.9574579999999999</v>
      </c>
      <c r="T4675">
        <v>-0.79445669999999902</v>
      </c>
      <c r="U4675">
        <v>0.4234772</v>
      </c>
      <c r="V4675">
        <v>6.8556720000000002E-2</v>
      </c>
      <c r="W4675">
        <v>-1.4520399999999999E-2</v>
      </c>
      <c r="X4675">
        <v>0.99754149999999997</v>
      </c>
      <c r="Y4675">
        <v>0.14047999999999999</v>
      </c>
      <c r="Z4675">
        <v>1.944603E-2</v>
      </c>
      <c r="AA4675">
        <v>0.98989249999999995</v>
      </c>
      <c r="AB4675">
        <v>29</v>
      </c>
      <c r="AC4675">
        <v>-0.59610000000003505</v>
      </c>
      <c r="AD4675">
        <v>-0.21223320000000001</v>
      </c>
      <c r="AE4675">
        <v>0.114299999999985</v>
      </c>
      <c r="AF4675">
        <v>0.103859686177174</v>
      </c>
      <c r="AG4675">
        <v>-0.21223320000000001</v>
      </c>
      <c r="AH4675">
        <v>0.53076748480917701</v>
      </c>
      <c r="AI4675">
        <v>111.42597004185799</v>
      </c>
      <c r="AJ4675">
        <v>78.928354970133697</v>
      </c>
      <c r="AK4675">
        <v>0.58098527393189703</v>
      </c>
      <c r="AL4675">
        <v>90.831986912289096</v>
      </c>
      <c r="AM4675">
        <v>86.0684904891164</v>
      </c>
      <c r="AN4675">
        <v>0.99999995504778305</v>
      </c>
    </row>
    <row r="4676" spans="1:40" x14ac:dyDescent="0.25">
      <c r="A4676" t="str">
        <f>"20190312154929785"</f>
        <v>20190312154929785</v>
      </c>
      <c r="B4676" t="str">
        <f>"1552376969770384"</f>
        <v>1552376969770384</v>
      </c>
      <c r="C4676" t="s">
        <v>40</v>
      </c>
      <c r="D4676">
        <v>4.8459700000000003</v>
      </c>
      <c r="E4676">
        <v>0.53265669999999898</v>
      </c>
      <c r="F4676" t="s">
        <v>41</v>
      </c>
      <c r="G4676">
        <v>-336.00779999999997</v>
      </c>
      <c r="H4676">
        <v>0.88225730000000002</v>
      </c>
      <c r="I4676">
        <v>140.8322</v>
      </c>
      <c r="J4676">
        <v>-335.34609999999998</v>
      </c>
      <c r="K4676">
        <v>1.109758</v>
      </c>
      <c r="L4676">
        <v>140.71019999999999</v>
      </c>
      <c r="M4676">
        <v>-0.99989309999999998</v>
      </c>
      <c r="N4676">
        <v>0</v>
      </c>
      <c r="O4676">
        <v>-3.6933920000000002E-3</v>
      </c>
      <c r="P4676">
        <v>-0.99749030000000005</v>
      </c>
      <c r="Q4676">
        <v>-2.8661450000000002E-2</v>
      </c>
      <c r="R4676">
        <v>6.4743499999999995E-2</v>
      </c>
      <c r="S4676">
        <v>-2.9571839999999998</v>
      </c>
      <c r="T4676">
        <v>-0.79566729999999997</v>
      </c>
      <c r="U4676">
        <v>0.42420960000000002</v>
      </c>
      <c r="V4676">
        <v>6.8422910000000003E-2</v>
      </c>
      <c r="W4676">
        <v>-1.45696E-2</v>
      </c>
      <c r="X4676">
        <v>0.99755000000000005</v>
      </c>
      <c r="Y4676">
        <v>0.14062089999999999</v>
      </c>
      <c r="Z4676">
        <v>1.9469340000000002E-2</v>
      </c>
      <c r="AA4676">
        <v>0.98987210000000003</v>
      </c>
      <c r="AB4676">
        <v>29</v>
      </c>
      <c r="AC4676">
        <v>-0.66169999999999596</v>
      </c>
      <c r="AD4676">
        <v>-0.2275007</v>
      </c>
      <c r="AE4676">
        <v>0.122000000000014</v>
      </c>
      <c r="AF4676">
        <v>0.11167639256986001</v>
      </c>
      <c r="AG4676">
        <v>-0.2275007</v>
      </c>
      <c r="AH4676">
        <v>0.59340616508743005</v>
      </c>
      <c r="AI4676">
        <v>110.644756153301</v>
      </c>
      <c r="AJ4676">
        <v>79.341851623427004</v>
      </c>
      <c r="AK4676">
        <v>0.64525891076503294</v>
      </c>
      <c r="AL4676">
        <v>90.834806137845007</v>
      </c>
      <c r="AM4676">
        <v>86.076173402624804</v>
      </c>
      <c r="AN4676">
        <v>0.99999998517851396</v>
      </c>
    </row>
    <row r="4677" spans="1:40" x14ac:dyDescent="0.25">
      <c r="A4677" t="str">
        <f>"20190312154929800"</f>
        <v>20190312154929800</v>
      </c>
      <c r="B4677" t="str">
        <f>"1552376969790880"</f>
        <v>1552376969790880</v>
      </c>
      <c r="C4677" t="s">
        <v>40</v>
      </c>
      <c r="D4677">
        <v>4.7938549999999998</v>
      </c>
      <c r="E4677">
        <v>0.53270819999999997</v>
      </c>
      <c r="F4677" t="s">
        <v>41</v>
      </c>
      <c r="G4677">
        <v>-336.02629999999999</v>
      </c>
      <c r="H4677">
        <v>0.92663569999999995</v>
      </c>
      <c r="I4677">
        <v>140.80779999999999</v>
      </c>
      <c r="J4677">
        <v>-335.54860000000002</v>
      </c>
      <c r="K4677">
        <v>1.109758</v>
      </c>
      <c r="L4677">
        <v>140.70959999999999</v>
      </c>
      <c r="M4677">
        <v>-0.99989349999999999</v>
      </c>
      <c r="N4677">
        <v>0</v>
      </c>
      <c r="O4677">
        <v>-3.5878849999999999E-3</v>
      </c>
      <c r="P4677">
        <v>-0.99751210000000001</v>
      </c>
      <c r="Q4677">
        <v>-2.8082449999999998E-2</v>
      </c>
      <c r="R4677">
        <v>6.4661990000000003E-2</v>
      </c>
      <c r="S4677">
        <v>-2.9570919999999998</v>
      </c>
      <c r="T4677">
        <v>-0.7961876</v>
      </c>
      <c r="U4677">
        <v>0.42417909999999998</v>
      </c>
      <c r="V4677">
        <v>6.8236459999999999E-2</v>
      </c>
      <c r="W4677">
        <v>-1.3992259999999999E-2</v>
      </c>
      <c r="X4677">
        <v>0.99757110000000004</v>
      </c>
      <c r="Y4677">
        <v>0.14051150000000001</v>
      </c>
      <c r="Z4677">
        <v>1.944005E-2</v>
      </c>
      <c r="AA4677">
        <v>0.9898882</v>
      </c>
      <c r="AB4677">
        <v>29</v>
      </c>
      <c r="AC4677">
        <v>-0.47769999999996998</v>
      </c>
      <c r="AD4677">
        <v>-0.18312229999999999</v>
      </c>
      <c r="AE4677">
        <v>9.8199999999991405E-2</v>
      </c>
      <c r="AF4677">
        <v>8.7567144499074601E-2</v>
      </c>
      <c r="AG4677">
        <v>-0.18312229999999999</v>
      </c>
      <c r="AH4677">
        <v>0.41835899753554001</v>
      </c>
      <c r="AI4677">
        <v>113.19180598741001</v>
      </c>
      <c r="AJ4677">
        <v>78.178034938681094</v>
      </c>
      <c r="AK4677">
        <v>0.465001110076045</v>
      </c>
      <c r="AL4677">
        <v>90.801723566954706</v>
      </c>
      <c r="AM4677">
        <v>86.086914938394102</v>
      </c>
      <c r="AN4677">
        <v>1.00000004868422</v>
      </c>
    </row>
    <row r="4678" spans="1:40" x14ac:dyDescent="0.25">
      <c r="A4678" t="str">
        <f>"20190312154929823"</f>
        <v>20190312154929823</v>
      </c>
      <c r="B4678" t="str">
        <f>"1552376969810400"</f>
        <v>1552376969810400</v>
      </c>
      <c r="C4678" t="s">
        <v>40</v>
      </c>
      <c r="D4678">
        <v>4.8161440000000004</v>
      </c>
      <c r="E4678">
        <v>0.5327054</v>
      </c>
      <c r="F4678" t="s">
        <v>41</v>
      </c>
      <c r="G4678">
        <v>-336.27609999999999</v>
      </c>
      <c r="H4678">
        <v>0.91420360000000001</v>
      </c>
      <c r="I4678">
        <v>140.81450000000001</v>
      </c>
      <c r="J4678">
        <v>-335.83260000000001</v>
      </c>
      <c r="K4678">
        <v>1.1097669999999999</v>
      </c>
      <c r="L4678">
        <v>140.70869999999999</v>
      </c>
      <c r="M4678">
        <v>-0.99989410000000001</v>
      </c>
      <c r="N4678">
        <v>0</v>
      </c>
      <c r="O4678">
        <v>-3.4400530000000002E-3</v>
      </c>
      <c r="P4678">
        <v>-0.99756100000000003</v>
      </c>
      <c r="Q4678">
        <v>-2.7363640000000002E-2</v>
      </c>
      <c r="R4678">
        <v>6.4211500000000005E-2</v>
      </c>
      <c r="S4678">
        <v>-2.9575499999999999</v>
      </c>
      <c r="T4678">
        <v>-0.79499399999999998</v>
      </c>
      <c r="U4678">
        <v>0.42477419999999999</v>
      </c>
      <c r="V4678">
        <v>6.7638770000000001E-2</v>
      </c>
      <c r="W4678">
        <v>-1.3275449999999999E-2</v>
      </c>
      <c r="X4678">
        <v>0.99762150000000005</v>
      </c>
      <c r="Y4678">
        <v>0.14055889999999999</v>
      </c>
      <c r="Z4678">
        <v>1.9376129999999998E-2</v>
      </c>
      <c r="AA4678">
        <v>0.9898827</v>
      </c>
      <c r="AB4678">
        <v>29</v>
      </c>
      <c r="AC4678">
        <v>-0.44349999999997097</v>
      </c>
      <c r="AD4678">
        <v>-0.195563399999999</v>
      </c>
      <c r="AE4678">
        <v>0.10580000000001601</v>
      </c>
      <c r="AF4678">
        <v>9.0648470369945097E-2</v>
      </c>
      <c r="AG4678">
        <v>-0.195563399999999</v>
      </c>
      <c r="AH4678">
        <v>0.37427712184464001</v>
      </c>
      <c r="AI4678">
        <v>116.922715138364</v>
      </c>
      <c r="AJ4678">
        <v>76.385350202000197</v>
      </c>
      <c r="AK4678">
        <v>0.43190919478089201</v>
      </c>
      <c r="AL4678">
        <v>90.760649638538595</v>
      </c>
      <c r="AM4678">
        <v>86.121280316275701</v>
      </c>
      <c r="AN4678">
        <v>0.99999994902103095</v>
      </c>
    </row>
    <row r="4679" spans="1:40" x14ac:dyDescent="0.25">
      <c r="A4679" t="str">
        <f>"20190312154929845"</f>
        <v>20190312154929845</v>
      </c>
      <c r="B4679" t="str">
        <f>"1552376969840656"</f>
        <v>1552376969840656</v>
      </c>
      <c r="C4679" t="s">
        <v>40</v>
      </c>
      <c r="D4679">
        <v>4.8285999999999998</v>
      </c>
      <c r="E4679">
        <v>0.53277669999999999</v>
      </c>
      <c r="F4679" t="s">
        <v>41</v>
      </c>
      <c r="G4679">
        <v>-336.53449999999998</v>
      </c>
      <c r="H4679">
        <v>0.92157199999999995</v>
      </c>
      <c r="I4679">
        <v>140.80940000000001</v>
      </c>
      <c r="J4679">
        <v>-336.1078</v>
      </c>
      <c r="K4679">
        <v>1.1097699999999999</v>
      </c>
      <c r="L4679">
        <v>140.7079</v>
      </c>
      <c r="M4679">
        <v>-0.99989470000000003</v>
      </c>
      <c r="N4679">
        <v>0</v>
      </c>
      <c r="O4679">
        <v>-3.2965170000000001E-3</v>
      </c>
      <c r="P4679">
        <v>-0.9975908</v>
      </c>
      <c r="Q4679">
        <v>-2.6988249999999998E-2</v>
      </c>
      <c r="R4679">
        <v>6.3908699999999999E-2</v>
      </c>
      <c r="S4679">
        <v>-2.958313</v>
      </c>
      <c r="T4679">
        <v>-0.79314059999999997</v>
      </c>
      <c r="U4679">
        <v>0.42340090000000002</v>
      </c>
      <c r="V4679">
        <v>6.7193020000000006E-2</v>
      </c>
      <c r="W4679">
        <v>-1.2902240000000001E-2</v>
      </c>
      <c r="X4679">
        <v>0.9976566</v>
      </c>
      <c r="Y4679">
        <v>0.13998070000000001</v>
      </c>
      <c r="Z4679">
        <v>1.9214869999999998E-2</v>
      </c>
      <c r="AA4679">
        <v>0.98996779999999995</v>
      </c>
      <c r="AB4679">
        <v>29</v>
      </c>
      <c r="AC4679">
        <v>-0.42669999999998198</v>
      </c>
      <c r="AD4679">
        <v>-0.188198</v>
      </c>
      <c r="AE4679">
        <v>0.10150000000001499</v>
      </c>
      <c r="AF4679">
        <v>8.6905842423695701E-2</v>
      </c>
      <c r="AG4679">
        <v>-0.188198</v>
      </c>
      <c r="AH4679">
        <v>0.360070001360275</v>
      </c>
      <c r="AI4679">
        <v>116.93426882175299</v>
      </c>
      <c r="AJ4679">
        <v>76.430709310309894</v>
      </c>
      <c r="AK4679">
        <v>0.41547745851124201</v>
      </c>
      <c r="AL4679">
        <v>90.739264387207996</v>
      </c>
      <c r="AM4679">
        <v>86.146899582478795</v>
      </c>
      <c r="AN4679">
        <v>1.0000000306286401</v>
      </c>
    </row>
    <row r="4680" spans="1:40" x14ac:dyDescent="0.25">
      <c r="A4680" t="str">
        <f>"20190312154929859"</f>
        <v>20190312154929859</v>
      </c>
      <c r="B4680" t="str">
        <f>"1552376969851392"</f>
        <v>1552376969851392</v>
      </c>
      <c r="C4680" t="s">
        <v>40</v>
      </c>
      <c r="D4680">
        <v>4.8177649999999996</v>
      </c>
      <c r="E4680">
        <v>0.53280609999999995</v>
      </c>
      <c r="F4680" t="s">
        <v>41</v>
      </c>
      <c r="G4680">
        <v>-336.79149999999998</v>
      </c>
      <c r="H4680">
        <v>0.92654320000000001</v>
      </c>
      <c r="I4680">
        <v>140.80609999999999</v>
      </c>
      <c r="J4680">
        <v>-336.30200000000002</v>
      </c>
      <c r="K4680">
        <v>1.1097699999999999</v>
      </c>
      <c r="L4680">
        <v>140.70740000000001</v>
      </c>
      <c r="M4680">
        <v>-0.99989499999999998</v>
      </c>
      <c r="N4680">
        <v>0</v>
      </c>
      <c r="O4680">
        <v>-3.1952999999999999E-3</v>
      </c>
      <c r="P4680">
        <v>-0.9976003</v>
      </c>
      <c r="Q4680">
        <v>-2.683816E-2</v>
      </c>
      <c r="R4680">
        <v>6.3824850000000002E-2</v>
      </c>
      <c r="S4680">
        <v>-2.9586790000000001</v>
      </c>
      <c r="T4680">
        <v>-0.79296639999999996</v>
      </c>
      <c r="U4680">
        <v>0.42304989999999998</v>
      </c>
      <c r="V4680">
        <v>6.7008360000000003E-2</v>
      </c>
      <c r="W4680">
        <v>-1.275391E-2</v>
      </c>
      <c r="X4680">
        <v>0.99767090000000003</v>
      </c>
      <c r="Y4680">
        <v>0.13976259999999999</v>
      </c>
      <c r="Z4680">
        <v>1.9153549999999998E-2</v>
      </c>
      <c r="AA4680">
        <v>0.98999979999999999</v>
      </c>
      <c r="AB4680">
        <v>29</v>
      </c>
      <c r="AC4680">
        <v>-0.48950000000001997</v>
      </c>
      <c r="AD4680">
        <v>-0.1832268</v>
      </c>
      <c r="AE4680">
        <v>9.8699999999979499E-2</v>
      </c>
      <c r="AF4680">
        <v>8.8366349139813699E-2</v>
      </c>
      <c r="AG4680">
        <v>-0.1832268</v>
      </c>
      <c r="AH4680">
        <v>0.43113522995036502</v>
      </c>
      <c r="AI4680">
        <v>112.60351831972</v>
      </c>
      <c r="AJ4680">
        <v>78.416961928969997</v>
      </c>
      <c r="AK4680">
        <v>0.47671611930256103</v>
      </c>
      <c r="AL4680">
        <v>90.730765024868703</v>
      </c>
      <c r="AM4680">
        <v>86.157511826727102</v>
      </c>
      <c r="AN4680">
        <v>1.00000000361849</v>
      </c>
    </row>
    <row r="4681" spans="1:40" x14ac:dyDescent="0.25">
      <c r="A4681" t="str">
        <f>"20190312154929877"</f>
        <v>20190312154929877</v>
      </c>
      <c r="B4681" t="str">
        <f>"1552376969870912"</f>
        <v>1552376969870912</v>
      </c>
      <c r="C4681" t="s">
        <v>40</v>
      </c>
      <c r="D4681">
        <v>4.8107369999999996</v>
      </c>
      <c r="E4681">
        <v>0.53281859999999903</v>
      </c>
      <c r="F4681" t="s">
        <v>41</v>
      </c>
      <c r="G4681">
        <v>-337.03949999999998</v>
      </c>
      <c r="H4681">
        <v>0.91221260000000004</v>
      </c>
      <c r="I4681">
        <v>140.81290000000001</v>
      </c>
      <c r="J4681">
        <v>-336.53460000000001</v>
      </c>
      <c r="K4681">
        <v>1.1097729999999999</v>
      </c>
      <c r="L4681">
        <v>140.70679999999999</v>
      </c>
      <c r="M4681">
        <v>-0.99989539999999999</v>
      </c>
      <c r="N4681">
        <v>0</v>
      </c>
      <c r="O4681">
        <v>-3.0740559999999999E-3</v>
      </c>
      <c r="P4681">
        <v>-0.99761350000000004</v>
      </c>
      <c r="Q4681">
        <v>-2.6923849999999999E-2</v>
      </c>
      <c r="R4681">
        <v>6.3579590000000005E-2</v>
      </c>
      <c r="S4681">
        <v>-2.9588320000000001</v>
      </c>
      <c r="T4681">
        <v>-0.79269290000000003</v>
      </c>
      <c r="U4681">
        <v>0.42312620000000001</v>
      </c>
      <c r="V4681">
        <v>6.6642129999999994E-2</v>
      </c>
      <c r="W4681">
        <v>-1.28416E-2</v>
      </c>
      <c r="X4681">
        <v>0.99769430000000003</v>
      </c>
      <c r="Y4681">
        <v>0.13967170000000001</v>
      </c>
      <c r="Z4681">
        <v>1.9102500000000001E-2</v>
      </c>
      <c r="AA4681">
        <v>0.99001360000000005</v>
      </c>
      <c r="AB4681">
        <v>28</v>
      </c>
      <c r="AC4681">
        <v>-0.50489999999996305</v>
      </c>
      <c r="AD4681">
        <v>-0.197560399999999</v>
      </c>
      <c r="AE4681">
        <v>0.10610000000002601</v>
      </c>
      <c r="AF4681">
        <v>9.3885349959836703E-2</v>
      </c>
      <c r="AG4681">
        <v>-0.197560399999999</v>
      </c>
      <c r="AH4681">
        <v>0.44004734847086702</v>
      </c>
      <c r="AI4681">
        <v>113.70486937152199</v>
      </c>
      <c r="AJ4681">
        <v>77.956356058632096</v>
      </c>
      <c r="AK4681">
        <v>0.49141249422606398</v>
      </c>
      <c r="AL4681">
        <v>90.735789707226303</v>
      </c>
      <c r="AM4681">
        <v>86.178539671542595</v>
      </c>
      <c r="AN4681">
        <v>0.99999999821699304</v>
      </c>
    </row>
    <row r="4682" spans="1:40" x14ac:dyDescent="0.25">
      <c r="A4682" t="str">
        <f>"20190312154929895"</f>
        <v>20190312154929895</v>
      </c>
      <c r="B4682" t="str">
        <f>"1552376969880672"</f>
        <v>1552376969880672</v>
      </c>
      <c r="C4682" t="s">
        <v>40</v>
      </c>
      <c r="D4682">
        <v>4.8160080000000001</v>
      </c>
      <c r="E4682">
        <v>0.53281049999999996</v>
      </c>
      <c r="F4682" t="s">
        <v>41</v>
      </c>
      <c r="G4682">
        <v>-337.29149999999998</v>
      </c>
      <c r="H4682">
        <v>0.90686129999999998</v>
      </c>
      <c r="I4682">
        <v>140.81530000000001</v>
      </c>
      <c r="J4682">
        <v>-336.74369999999999</v>
      </c>
      <c r="K4682">
        <v>1.109764</v>
      </c>
      <c r="L4682">
        <v>140.7063</v>
      </c>
      <c r="M4682">
        <v>-0.9998958</v>
      </c>
      <c r="N4682">
        <v>0</v>
      </c>
      <c r="O4682">
        <v>-2.9650919999999999E-3</v>
      </c>
      <c r="P4682">
        <v>-0.99761860000000002</v>
      </c>
      <c r="Q4682">
        <v>-2.6908459999999999E-2</v>
      </c>
      <c r="R4682">
        <v>6.350981E-2</v>
      </c>
      <c r="S4682">
        <v>-2.9588320000000001</v>
      </c>
      <c r="T4682">
        <v>-0.79326079999999999</v>
      </c>
      <c r="U4682">
        <v>0.42242429999999997</v>
      </c>
      <c r="V4682">
        <v>6.6463839999999996E-2</v>
      </c>
      <c r="W4682">
        <v>-1.282816E-2</v>
      </c>
      <c r="X4682">
        <v>0.99770639999999999</v>
      </c>
      <c r="Y4682">
        <v>0.13934179999999999</v>
      </c>
      <c r="Z4682">
        <v>1.9044209999999999E-2</v>
      </c>
      <c r="AA4682">
        <v>0.99006119999999997</v>
      </c>
      <c r="AB4682">
        <v>28</v>
      </c>
      <c r="AC4682">
        <v>-0.54779999999999496</v>
      </c>
      <c r="AD4682">
        <v>-0.20290269999999899</v>
      </c>
      <c r="AE4682">
        <v>0.10900000000000799</v>
      </c>
      <c r="AF4682">
        <v>9.7727109774085594E-2</v>
      </c>
      <c r="AG4682">
        <v>-0.20290269999999899</v>
      </c>
      <c r="AH4682">
        <v>0.48364827250904402</v>
      </c>
      <c r="AI4682">
        <v>112.353176966164</v>
      </c>
      <c r="AJ4682">
        <v>78.576493164595405</v>
      </c>
      <c r="AK4682">
        <v>0.53351264760366102</v>
      </c>
      <c r="AL4682">
        <v>90.735019563564094</v>
      </c>
      <c r="AM4682">
        <v>86.188779270876907</v>
      </c>
      <c r="AN4682">
        <v>1.0000000321587399</v>
      </c>
    </row>
    <row r="4683" spans="1:40" x14ac:dyDescent="0.25">
      <c r="A4683" t="str">
        <f>"20190312154929910"</f>
        <v>20190312154929910</v>
      </c>
      <c r="B4683" t="str">
        <f>"1552376969900192"</f>
        <v>1552376969900192</v>
      </c>
      <c r="C4683" t="s">
        <v>40</v>
      </c>
      <c r="D4683">
        <v>4.7997389999999998</v>
      </c>
      <c r="E4683">
        <v>0.53284419999999899</v>
      </c>
      <c r="F4683" t="s">
        <v>41</v>
      </c>
      <c r="G4683">
        <v>-337.54090000000002</v>
      </c>
      <c r="H4683">
        <v>0.89598230000000001</v>
      </c>
      <c r="I4683">
        <v>140.8202</v>
      </c>
      <c r="J4683">
        <v>-336.95</v>
      </c>
      <c r="K4683">
        <v>1.1097600000000001</v>
      </c>
      <c r="L4683">
        <v>140.70580000000001</v>
      </c>
      <c r="M4683">
        <v>-0.99989609999999995</v>
      </c>
      <c r="N4683">
        <v>0</v>
      </c>
      <c r="O4683">
        <v>-2.8573219999999998E-3</v>
      </c>
      <c r="P4683">
        <v>-0.99758570000000002</v>
      </c>
      <c r="Q4683">
        <v>-2.7220950000000001E-2</v>
      </c>
      <c r="R4683">
        <v>6.389251E-2</v>
      </c>
      <c r="S4683">
        <v>-2.958923</v>
      </c>
      <c r="T4683">
        <v>-0.79341219999999901</v>
      </c>
      <c r="U4683">
        <v>0.42228700000000002</v>
      </c>
      <c r="V4683">
        <v>6.6738989999999998E-2</v>
      </c>
      <c r="W4683">
        <v>-1.3143230000000001E-2</v>
      </c>
      <c r="X4683">
        <v>0.99768389999999996</v>
      </c>
      <c r="Y4683">
        <v>0.13919309999999999</v>
      </c>
      <c r="Z4683">
        <v>1.8999459999999999E-2</v>
      </c>
      <c r="AA4683">
        <v>0.99008300000000005</v>
      </c>
      <c r="AB4683">
        <v>28</v>
      </c>
      <c r="AC4683">
        <v>-0.59090000000003295</v>
      </c>
      <c r="AD4683">
        <v>-0.21377769999999999</v>
      </c>
      <c r="AE4683">
        <v>0.114399999999989</v>
      </c>
      <c r="AF4683">
        <v>0.10308327152187401</v>
      </c>
      <c r="AG4683">
        <v>-0.21377769999999999</v>
      </c>
      <c r="AH4683">
        <v>0.52441172797413205</v>
      </c>
      <c r="AI4683">
        <v>111.801300026992</v>
      </c>
      <c r="AJ4683">
        <v>78.879193414442895</v>
      </c>
      <c r="AK4683">
        <v>0.57561682247981405</v>
      </c>
      <c r="AL4683">
        <v>90.753073290172594</v>
      </c>
      <c r="AM4683">
        <v>86.172962146114898</v>
      </c>
      <c r="AN4683">
        <v>1.00000000080013</v>
      </c>
    </row>
    <row r="4684" spans="1:40" x14ac:dyDescent="0.25">
      <c r="A4684" t="str">
        <f>"20190312154929935"</f>
        <v>20190312154929935</v>
      </c>
      <c r="B4684" t="str">
        <f>"1552376969920688"</f>
        <v>1552376969920688</v>
      </c>
      <c r="C4684" t="s">
        <v>40</v>
      </c>
      <c r="D4684">
        <v>4.8148499999999999</v>
      </c>
      <c r="E4684">
        <v>0.53290289999999996</v>
      </c>
      <c r="F4684" t="s">
        <v>41</v>
      </c>
      <c r="G4684">
        <v>-337.78980000000001</v>
      </c>
      <c r="H4684">
        <v>0.88420100000000001</v>
      </c>
      <c r="I4684">
        <v>140.82660000000001</v>
      </c>
      <c r="J4684">
        <v>-337.24259999999998</v>
      </c>
      <c r="K4684">
        <v>1.109761</v>
      </c>
      <c r="L4684">
        <v>140.70509999999999</v>
      </c>
      <c r="M4684">
        <v>-0.99989660000000002</v>
      </c>
      <c r="N4684">
        <v>0</v>
      </c>
      <c r="O4684">
        <v>-2.7043670000000001E-3</v>
      </c>
      <c r="P4684">
        <v>-0.99756160000000005</v>
      </c>
      <c r="Q4684">
        <v>-2.7052969999999999E-2</v>
      </c>
      <c r="R4684">
        <v>6.4335619999999996E-2</v>
      </c>
      <c r="S4684">
        <v>-2.9584350000000001</v>
      </c>
      <c r="T4684">
        <v>-0.79464419999999902</v>
      </c>
      <c r="U4684">
        <v>0.42405700000000002</v>
      </c>
      <c r="V4684">
        <v>6.7029210000000006E-2</v>
      </c>
      <c r="W4684">
        <v>-1.297863E-2</v>
      </c>
      <c r="X4684">
        <v>0.99766659999999996</v>
      </c>
      <c r="Y4684">
        <v>0.13961950000000001</v>
      </c>
      <c r="Z4684">
        <v>1.904602E-2</v>
      </c>
      <c r="AA4684">
        <v>0.99002210000000002</v>
      </c>
      <c r="AB4684">
        <v>28</v>
      </c>
      <c r="AC4684">
        <v>-0.54720000000003199</v>
      </c>
      <c r="AD4684">
        <v>-0.22556000000000001</v>
      </c>
      <c r="AE4684">
        <v>0.121500000000025</v>
      </c>
      <c r="AF4684">
        <v>0.105840593032702</v>
      </c>
      <c r="AG4684">
        <v>-0.22556000000000001</v>
      </c>
      <c r="AH4684">
        <v>0.47065539039877902</v>
      </c>
      <c r="AI4684">
        <v>115.05936899816599</v>
      </c>
      <c r="AJ4684">
        <v>77.326206196225101</v>
      </c>
      <c r="AK4684">
        <v>0.53253736136062901</v>
      </c>
      <c r="AL4684">
        <v>90.743641599251205</v>
      </c>
      <c r="AM4684">
        <v>86.156303283061305</v>
      </c>
      <c r="AN4684">
        <v>1.00000000229273</v>
      </c>
    </row>
    <row r="4685" spans="1:40" x14ac:dyDescent="0.25">
      <c r="A4685" t="str">
        <f>"20190312154929955"</f>
        <v>20190312154929955</v>
      </c>
      <c r="B4685" t="str">
        <f>"1552376969950944"</f>
        <v>1552376969950944</v>
      </c>
      <c r="C4685" t="s">
        <v>40</v>
      </c>
      <c r="D4685">
        <v>4.7875529999999999</v>
      </c>
      <c r="E4685">
        <v>0.53290150000000003</v>
      </c>
      <c r="F4685" t="s">
        <v>41</v>
      </c>
      <c r="G4685">
        <v>-338.04689999999999</v>
      </c>
      <c r="H4685">
        <v>0.89377669999999998</v>
      </c>
      <c r="I4685">
        <v>140.8211</v>
      </c>
      <c r="J4685">
        <v>-337.52140000000003</v>
      </c>
      <c r="K4685">
        <v>1.109764</v>
      </c>
      <c r="L4685">
        <v>140.7045</v>
      </c>
      <c r="M4685">
        <v>-0.99989700000000004</v>
      </c>
      <c r="N4685">
        <v>0</v>
      </c>
      <c r="O4685">
        <v>-2.5586839999999999E-3</v>
      </c>
      <c r="P4685">
        <v>-0.99756049999999996</v>
      </c>
      <c r="Q4685">
        <v>-2.706368E-2</v>
      </c>
      <c r="R4685">
        <v>6.4350939999999995E-2</v>
      </c>
      <c r="S4685">
        <v>-2.9582519999999999</v>
      </c>
      <c r="T4685">
        <v>-0.7944698</v>
      </c>
      <c r="U4685">
        <v>0.42639159999999998</v>
      </c>
      <c r="V4685">
        <v>6.6899349999999996E-2</v>
      </c>
      <c r="W4685">
        <v>-1.2992099999999999E-2</v>
      </c>
      <c r="X4685">
        <v>0.99767510000000004</v>
      </c>
      <c r="Y4685">
        <v>0.14023529999999901</v>
      </c>
      <c r="Z4685">
        <v>1.9084690000000001E-2</v>
      </c>
      <c r="AA4685">
        <v>0.98993430000000004</v>
      </c>
      <c r="AB4685">
        <v>28</v>
      </c>
      <c r="AC4685">
        <v>-0.525499999999965</v>
      </c>
      <c r="AD4685">
        <v>-0.21598729999999999</v>
      </c>
      <c r="AE4685">
        <v>0.11660000000000501</v>
      </c>
      <c r="AF4685">
        <v>0.101588145120612</v>
      </c>
      <c r="AG4685">
        <v>-0.21598729999999999</v>
      </c>
      <c r="AH4685">
        <v>0.45236663352689399</v>
      </c>
      <c r="AI4685">
        <v>114.978842047048</v>
      </c>
      <c r="AJ4685">
        <v>77.343048168334704</v>
      </c>
      <c r="AK4685">
        <v>0.51147457035398303</v>
      </c>
      <c r="AL4685">
        <v>90.744413468899097</v>
      </c>
      <c r="AM4685">
        <v>86.163760253345899</v>
      </c>
      <c r="AN4685">
        <v>0.99999996142642</v>
      </c>
    </row>
    <row r="4686" spans="1:40" x14ac:dyDescent="0.25">
      <c r="A4686" t="str">
        <f>"20190312154929978"</f>
        <v>20190312154929978</v>
      </c>
      <c r="B4686" t="str">
        <f>"1552376969970464"</f>
        <v>1552376969970464</v>
      </c>
      <c r="C4686" t="s">
        <v>40</v>
      </c>
      <c r="D4686">
        <v>4.8289530000000003</v>
      </c>
      <c r="E4686">
        <v>0.53291359999999999</v>
      </c>
      <c r="F4686" t="s">
        <v>41</v>
      </c>
      <c r="G4686">
        <v>-338.30220000000003</v>
      </c>
      <c r="H4686">
        <v>0.89986189999999999</v>
      </c>
      <c r="I4686">
        <v>140.81729999999999</v>
      </c>
      <c r="J4686">
        <v>-337.80439999999999</v>
      </c>
      <c r="K4686">
        <v>1.1097649999999999</v>
      </c>
      <c r="L4686">
        <v>140.70400000000001</v>
      </c>
      <c r="M4686">
        <v>-0.99989749999999999</v>
      </c>
      <c r="N4686">
        <v>0</v>
      </c>
      <c r="O4686">
        <v>-2.4110939999999999E-3</v>
      </c>
      <c r="P4686">
        <v>-0.99757430000000002</v>
      </c>
      <c r="Q4686">
        <v>-2.6960430000000001E-2</v>
      </c>
      <c r="R4686">
        <v>6.4180600000000004E-2</v>
      </c>
      <c r="S4686">
        <v>-2.9582820000000001</v>
      </c>
      <c r="T4686">
        <v>-0.79524229999999996</v>
      </c>
      <c r="U4686">
        <v>0.42578129999999997</v>
      </c>
      <c r="V4686">
        <v>6.6581879999999996E-2</v>
      </c>
      <c r="W4686">
        <v>-1.2891390000000001E-2</v>
      </c>
      <c r="X4686">
        <v>0.99769770000000002</v>
      </c>
      <c r="Y4686">
        <v>0.13989509999999999</v>
      </c>
      <c r="Z4686">
        <v>1.90192E-2</v>
      </c>
      <c r="AA4686">
        <v>0.98998359999999996</v>
      </c>
      <c r="AB4686">
        <v>28</v>
      </c>
      <c r="AC4686">
        <v>-0.49780000000003999</v>
      </c>
      <c r="AD4686">
        <v>-0.20990309999999901</v>
      </c>
      <c r="AE4686">
        <v>0.113299999999981</v>
      </c>
      <c r="AF4686">
        <v>9.7943500567528194E-2</v>
      </c>
      <c r="AG4686">
        <v>-0.20990309999999901</v>
      </c>
      <c r="AH4686">
        <v>0.42558393298207298</v>
      </c>
      <c r="AI4686">
        <v>115.67115942471</v>
      </c>
      <c r="AJ4686">
        <v>77.039666646847195</v>
      </c>
      <c r="AK4686">
        <v>0.484534750771832</v>
      </c>
      <c r="AL4686">
        <v>90.738642685913007</v>
      </c>
      <c r="AM4686">
        <v>86.181997337436897</v>
      </c>
      <c r="AN4686">
        <v>1.0000000176328701</v>
      </c>
    </row>
    <row r="4687" spans="1:40" x14ac:dyDescent="0.25">
      <c r="A4687" t="str">
        <f>"20190312154930001"</f>
        <v>20190312154930001</v>
      </c>
      <c r="B4687" t="str">
        <f>"1552376969990960"</f>
        <v>1552376969990960</v>
      </c>
      <c r="C4687" t="s">
        <v>40</v>
      </c>
      <c r="D4687">
        <v>4.7967620000000002</v>
      </c>
      <c r="E4687">
        <v>0.53291739999999999</v>
      </c>
      <c r="F4687" t="s">
        <v>41</v>
      </c>
      <c r="G4687">
        <v>-338.55779999999999</v>
      </c>
      <c r="H4687">
        <v>0.9072616</v>
      </c>
      <c r="I4687">
        <v>140.8126</v>
      </c>
      <c r="J4687">
        <v>-338.09010000000001</v>
      </c>
      <c r="K4687">
        <v>1.1097699999999999</v>
      </c>
      <c r="L4687">
        <v>140.70339999999999</v>
      </c>
      <c r="M4687">
        <v>-0.99989779999999995</v>
      </c>
      <c r="N4687">
        <v>0</v>
      </c>
      <c r="O4687">
        <v>-2.2617169999999999E-3</v>
      </c>
      <c r="P4687">
        <v>-0.9975543</v>
      </c>
      <c r="Q4687">
        <v>-2.7192290000000001E-2</v>
      </c>
      <c r="R4687">
        <v>6.4389859999999993E-2</v>
      </c>
      <c r="S4687">
        <v>-2.9584350000000001</v>
      </c>
      <c r="T4687">
        <v>-0.79515859999999905</v>
      </c>
      <c r="U4687">
        <v>0.42541499999999999</v>
      </c>
      <c r="V4687">
        <v>6.6642019999999996E-2</v>
      </c>
      <c r="W4687">
        <v>-1.31264E-2</v>
      </c>
      <c r="X4687">
        <v>0.99769059999999998</v>
      </c>
      <c r="Y4687">
        <v>0.1396357</v>
      </c>
      <c r="Z4687">
        <v>1.8943129999999999E-2</v>
      </c>
      <c r="AA4687">
        <v>0.9900217</v>
      </c>
      <c r="AB4687">
        <v>28</v>
      </c>
      <c r="AC4687">
        <v>-0.46769999999997902</v>
      </c>
      <c r="AD4687">
        <v>-0.20250840000000001</v>
      </c>
      <c r="AE4687">
        <v>0.10920000000001499</v>
      </c>
      <c r="AF4687">
        <v>9.36142737223227E-2</v>
      </c>
      <c r="AG4687">
        <v>-0.20250840000000001</v>
      </c>
      <c r="AH4687">
        <v>0.39689008613106103</v>
      </c>
      <c r="AI4687">
        <v>116.409483729551</v>
      </c>
      <c r="AJ4687">
        <v>76.728245496832798</v>
      </c>
      <c r="AK4687">
        <v>0.45529663383802699</v>
      </c>
      <c r="AL4687">
        <v>90.752108921669304</v>
      </c>
      <c r="AM4687">
        <v>86.178531830467193</v>
      </c>
      <c r="AN4687">
        <v>0.9999999972675</v>
      </c>
    </row>
    <row r="4688" spans="1:40" x14ac:dyDescent="0.25">
      <c r="A4688" t="str">
        <f>"20190312154930024"</f>
        <v>20190312154930024</v>
      </c>
      <c r="B4688" t="str">
        <f>"1552376970010480"</f>
        <v>1552376970010480</v>
      </c>
      <c r="C4688" t="s">
        <v>40</v>
      </c>
      <c r="D4688">
        <v>4.8211820000000003</v>
      </c>
      <c r="E4688">
        <v>0.5329275</v>
      </c>
      <c r="F4688" t="s">
        <v>41</v>
      </c>
      <c r="G4688">
        <v>-338.81349999999998</v>
      </c>
      <c r="H4688">
        <v>0.91511520000000002</v>
      </c>
      <c r="I4688">
        <v>140.80789999999999</v>
      </c>
      <c r="J4688">
        <v>-338.37240000000003</v>
      </c>
      <c r="K4688">
        <v>1.1097699999999999</v>
      </c>
      <c r="L4688">
        <v>140.703</v>
      </c>
      <c r="M4688">
        <v>-0.99989819999999996</v>
      </c>
      <c r="N4688">
        <v>0</v>
      </c>
      <c r="O4688">
        <v>-2.1142470000000001E-3</v>
      </c>
      <c r="P4688">
        <v>-0.99759260000000005</v>
      </c>
      <c r="Q4688">
        <v>-2.6683229999999999E-2</v>
      </c>
      <c r="R4688">
        <v>6.4011639999999995E-2</v>
      </c>
      <c r="S4688">
        <v>-2.9580989999999998</v>
      </c>
      <c r="T4688">
        <v>-0.79599889999999995</v>
      </c>
      <c r="U4688">
        <v>0.42628480000000002</v>
      </c>
      <c r="V4688">
        <v>6.6116930000000004E-2</v>
      </c>
      <c r="W4688">
        <v>-1.2619500000000001E-2</v>
      </c>
      <c r="X4688">
        <v>0.99773210000000001</v>
      </c>
      <c r="Y4688">
        <v>0.13977979999999901</v>
      </c>
      <c r="Z4688">
        <v>1.8944300000000001E-2</v>
      </c>
      <c r="AA4688">
        <v>0.99000140000000003</v>
      </c>
      <c r="AB4688">
        <v>28</v>
      </c>
      <c r="AC4688">
        <v>-0.44109999999994898</v>
      </c>
      <c r="AD4688">
        <v>-0.19465479999999999</v>
      </c>
      <c r="AE4688">
        <v>0.104899999999986</v>
      </c>
      <c r="AF4688">
        <v>8.9361646468623296E-2</v>
      </c>
      <c r="AG4688">
        <v>-0.19465479999999999</v>
      </c>
      <c r="AH4688">
        <v>0.37226306419412802</v>
      </c>
      <c r="AI4688">
        <v>116.951129142006</v>
      </c>
      <c r="AJ4688">
        <v>76.501572842729402</v>
      </c>
      <c r="AK4688">
        <v>0.42948315914110602</v>
      </c>
      <c r="AL4688">
        <v>90.723063266192895</v>
      </c>
      <c r="AM4688">
        <v>86.208711255611405</v>
      </c>
      <c r="AN4688">
        <v>1.00000002179164</v>
      </c>
    </row>
    <row r="4689" spans="1:40" x14ac:dyDescent="0.25">
      <c r="A4689" t="str">
        <f>"20190312154930046"</f>
        <v>20190312154930046</v>
      </c>
      <c r="B4689" t="str">
        <f>"1552376970040736"</f>
        <v>1552376970040736</v>
      </c>
      <c r="C4689" t="s">
        <v>40</v>
      </c>
      <c r="D4689">
        <v>4.8349630000000001</v>
      </c>
      <c r="E4689">
        <v>0.53293789999999996</v>
      </c>
      <c r="F4689" t="s">
        <v>41</v>
      </c>
      <c r="G4689">
        <v>-339.06889999999999</v>
      </c>
      <c r="H4689">
        <v>0.92270160000000001</v>
      </c>
      <c r="I4689">
        <v>140.80340000000001</v>
      </c>
      <c r="J4689">
        <v>-338.66539999999998</v>
      </c>
      <c r="K4689">
        <v>1.109774</v>
      </c>
      <c r="L4689">
        <v>140.70249999999999</v>
      </c>
      <c r="M4689">
        <v>-0.99989859999999997</v>
      </c>
      <c r="N4689">
        <v>0</v>
      </c>
      <c r="O4689">
        <v>-1.9612900000000001E-3</v>
      </c>
      <c r="P4689">
        <v>-0.99760570000000004</v>
      </c>
      <c r="Q4689">
        <v>-2.593496E-2</v>
      </c>
      <c r="R4689">
        <v>6.4114340000000006E-2</v>
      </c>
      <c r="S4689">
        <v>-2.9586790000000001</v>
      </c>
      <c r="T4689">
        <v>-0.79466519999999996</v>
      </c>
      <c r="U4689">
        <v>0.42533870000000001</v>
      </c>
      <c r="V4689">
        <v>6.606737E-2</v>
      </c>
      <c r="W4689">
        <v>-1.1874050000000001E-2</v>
      </c>
      <c r="X4689">
        <v>0.99774450000000003</v>
      </c>
      <c r="Y4689">
        <v>0.139329799999999</v>
      </c>
      <c r="Z4689">
        <v>1.881122E-2</v>
      </c>
      <c r="AA4689">
        <v>0.99006740000000004</v>
      </c>
      <c r="AB4689">
        <v>28</v>
      </c>
      <c r="AC4689">
        <v>-0.40350000000000802</v>
      </c>
      <c r="AD4689">
        <v>-0.1870724</v>
      </c>
      <c r="AE4689">
        <v>0.100900000000024</v>
      </c>
      <c r="AF4689">
        <v>8.4580776150875794E-2</v>
      </c>
      <c r="AG4689">
        <v>-0.1870724</v>
      </c>
      <c r="AH4689">
        <v>0.33544216180721897</v>
      </c>
      <c r="AI4689">
        <v>118.402904116787</v>
      </c>
      <c r="AJ4689">
        <v>75.848030584368701</v>
      </c>
      <c r="AK4689">
        <v>0.39328289367063102</v>
      </c>
      <c r="AL4689">
        <v>90.680348946358095</v>
      </c>
      <c r="AM4689">
        <v>86.211591800909204</v>
      </c>
      <c r="AN4689">
        <v>0.99999998886118402</v>
      </c>
    </row>
    <row r="4690" spans="1:40" x14ac:dyDescent="0.25">
      <c r="A4690" t="str">
        <f>"20190312154930068"</f>
        <v>20190312154930068</v>
      </c>
      <c r="B4690" t="str">
        <f>"1552376970060256"</f>
        <v>1552376970060256</v>
      </c>
      <c r="C4690" t="s">
        <v>40</v>
      </c>
      <c r="D4690">
        <v>4.8331030000000004</v>
      </c>
      <c r="E4690">
        <v>0.53298840000000003</v>
      </c>
      <c r="F4690" t="s">
        <v>41</v>
      </c>
      <c r="G4690">
        <v>-339.55130000000003</v>
      </c>
      <c r="H4690">
        <v>0.87246199999999996</v>
      </c>
      <c r="I4690">
        <v>140.83019999999999</v>
      </c>
      <c r="J4690">
        <v>-338.92989999999998</v>
      </c>
      <c r="K4690">
        <v>1.10978</v>
      </c>
      <c r="L4690">
        <v>140.7021</v>
      </c>
      <c r="M4690">
        <v>-0.99989890000000003</v>
      </c>
      <c r="N4690">
        <v>0</v>
      </c>
      <c r="O4690">
        <v>-1.8231160000000001E-3</v>
      </c>
      <c r="P4690">
        <v>-0.99764180000000002</v>
      </c>
      <c r="Q4690">
        <v>-2.491438E-2</v>
      </c>
      <c r="R4690">
        <v>6.3956040000000006E-2</v>
      </c>
      <c r="S4690">
        <v>-2.9591669999999999</v>
      </c>
      <c r="T4690">
        <v>-0.79271720000000001</v>
      </c>
      <c r="U4690">
        <v>0.42604059999999999</v>
      </c>
      <c r="V4690">
        <v>6.5771499999999997E-2</v>
      </c>
      <c r="W4690">
        <v>-1.085585E-2</v>
      </c>
      <c r="X4690">
        <v>0.99777570000000004</v>
      </c>
      <c r="Y4690">
        <v>0.139427</v>
      </c>
      <c r="Z4690">
        <v>1.8739929999999998E-2</v>
      </c>
      <c r="AA4690">
        <v>0.99005500000000002</v>
      </c>
      <c r="AB4690">
        <v>28</v>
      </c>
      <c r="AC4690">
        <v>-0.62140000000005102</v>
      </c>
      <c r="AD4690">
        <v>-0.237317999999999</v>
      </c>
      <c r="AE4690">
        <v>0.128099999999989</v>
      </c>
      <c r="AF4690">
        <v>0.113371189184477</v>
      </c>
      <c r="AG4690">
        <v>-0.237317999999999</v>
      </c>
      <c r="AH4690">
        <v>0.54492566203303505</v>
      </c>
      <c r="AI4690">
        <v>113.09220399089099</v>
      </c>
      <c r="AJ4690">
        <v>78.247330414218993</v>
      </c>
      <c r="AK4690">
        <v>0.605075893424324</v>
      </c>
      <c r="AL4690">
        <v>90.622006578506301</v>
      </c>
      <c r="AM4690">
        <v>86.228625975912493</v>
      </c>
      <c r="AN4690">
        <v>1.0000000436009799</v>
      </c>
    </row>
    <row r="4691" spans="1:40" x14ac:dyDescent="0.25">
      <c r="A4691" t="str">
        <f>"20190312154930088"</f>
        <v>20190312154930088</v>
      </c>
      <c r="B4691" t="str">
        <f>"1552376970080753"</f>
        <v>1552376970080753</v>
      </c>
      <c r="C4691" t="s">
        <v>40</v>
      </c>
      <c r="D4691">
        <v>4.8539180000000002</v>
      </c>
      <c r="E4691">
        <v>0.53299410000000003</v>
      </c>
      <c r="F4691" t="s">
        <v>41</v>
      </c>
      <c r="G4691">
        <v>-339.80399999999997</v>
      </c>
      <c r="H4691">
        <v>0.87641329999999995</v>
      </c>
      <c r="I4691">
        <v>140.82839999999999</v>
      </c>
      <c r="J4691">
        <v>-339.1986</v>
      </c>
      <c r="K4691">
        <v>1.109783</v>
      </c>
      <c r="L4691">
        <v>140.70179999999999</v>
      </c>
      <c r="M4691">
        <v>-0.99989910000000004</v>
      </c>
      <c r="N4691">
        <v>0</v>
      </c>
      <c r="O4691">
        <v>-1.6825620000000001E-3</v>
      </c>
      <c r="P4691">
        <v>-0.99767360000000005</v>
      </c>
      <c r="Q4691">
        <v>-2.4589920000000001E-2</v>
      </c>
      <c r="R4691">
        <v>6.3583749999999994E-2</v>
      </c>
      <c r="S4691">
        <v>-2.960083</v>
      </c>
      <c r="T4691">
        <v>-0.79028319999999996</v>
      </c>
      <c r="U4691">
        <v>0.42611690000000002</v>
      </c>
      <c r="V4691">
        <v>6.5259159999999997E-2</v>
      </c>
      <c r="W4691">
        <v>-1.053349E-2</v>
      </c>
      <c r="X4691">
        <v>0.9978127</v>
      </c>
      <c r="Y4691">
        <v>0.13931089999999999</v>
      </c>
      <c r="Z4691">
        <v>1.8626879999999998E-2</v>
      </c>
      <c r="AA4691">
        <v>0.99007350000000005</v>
      </c>
      <c r="AB4691">
        <v>28</v>
      </c>
      <c r="AC4691">
        <v>-0.60540000000003102</v>
      </c>
      <c r="AD4691">
        <v>-0.23336970000000001</v>
      </c>
      <c r="AE4691">
        <v>0.12659999999999599</v>
      </c>
      <c r="AF4691">
        <v>0.111713930908031</v>
      </c>
      <c r="AG4691">
        <v>-0.23336970000000001</v>
      </c>
      <c r="AH4691">
        <v>0.52976406469279802</v>
      </c>
      <c r="AI4691">
        <v>113.31782077405001</v>
      </c>
      <c r="AJ4691">
        <v>78.092219908847795</v>
      </c>
      <c r="AK4691">
        <v>0.58956881148585905</v>
      </c>
      <c r="AL4691">
        <v>90.603535712905298</v>
      </c>
      <c r="AM4691">
        <v>86.258058401985494</v>
      </c>
      <c r="AN4691">
        <v>0.99999994832838601</v>
      </c>
    </row>
    <row r="4692" spans="1:40" x14ac:dyDescent="0.25">
      <c r="A4692" t="str">
        <f>"20190312154930111"</f>
        <v>20190312154930111</v>
      </c>
      <c r="B4692" t="str">
        <f>"1552376970100273"</f>
        <v>1552376970100273</v>
      </c>
      <c r="C4692" t="s">
        <v>40</v>
      </c>
      <c r="D4692">
        <v>4.8690150000000001</v>
      </c>
      <c r="E4692">
        <v>0.53297950000000005</v>
      </c>
      <c r="F4692" t="s">
        <v>41</v>
      </c>
      <c r="G4692">
        <v>-340.05669999999998</v>
      </c>
      <c r="H4692">
        <v>0.88122800000000001</v>
      </c>
      <c r="I4692">
        <v>140.82499999999999</v>
      </c>
      <c r="J4692">
        <v>-339.48410000000001</v>
      </c>
      <c r="K4692">
        <v>1.1097809999999999</v>
      </c>
      <c r="L4692">
        <v>140.70150000000001</v>
      </c>
      <c r="M4692">
        <v>-0.99989930000000005</v>
      </c>
      <c r="N4692">
        <v>0</v>
      </c>
      <c r="O4692">
        <v>-1.533305E-3</v>
      </c>
      <c r="P4692">
        <v>-0.99766679999999996</v>
      </c>
      <c r="Q4692">
        <v>-2.486236E-2</v>
      </c>
      <c r="R4692">
        <v>6.3584740000000001E-2</v>
      </c>
      <c r="S4692">
        <v>-2.9605100000000002</v>
      </c>
      <c r="T4692">
        <v>-0.78848799999999997</v>
      </c>
      <c r="U4692">
        <v>0.42472840000000001</v>
      </c>
      <c r="V4692">
        <v>6.5111199999999994E-2</v>
      </c>
      <c r="W4692">
        <v>-1.080862E-2</v>
      </c>
      <c r="X4692">
        <v>0.99781949999999997</v>
      </c>
      <c r="Y4692">
        <v>0.13873540000000001</v>
      </c>
      <c r="Z4692">
        <v>1.8470150000000001E-2</v>
      </c>
      <c r="AA4692">
        <v>0.99015719999999996</v>
      </c>
      <c r="AB4692">
        <v>28</v>
      </c>
      <c r="AC4692">
        <v>-0.57259999999996503</v>
      </c>
      <c r="AD4692">
        <v>-0.22855299999999901</v>
      </c>
      <c r="AE4692">
        <v>0.123499999999978</v>
      </c>
      <c r="AF4692">
        <v>0.107944606125861</v>
      </c>
      <c r="AG4692">
        <v>-0.22855299999999901</v>
      </c>
      <c r="AH4692">
        <v>0.496780857018778</v>
      </c>
      <c r="AI4692">
        <v>114.207599084883</v>
      </c>
      <c r="AJ4692">
        <v>77.740868586939001</v>
      </c>
      <c r="AK4692">
        <v>0.55738651912382997</v>
      </c>
      <c r="AL4692">
        <v>90.619300351945697</v>
      </c>
      <c r="AM4692">
        <v>86.266543735086898</v>
      </c>
      <c r="AN4692">
        <v>1.0000000246059899</v>
      </c>
    </row>
    <row r="4693" spans="1:40" x14ac:dyDescent="0.25">
      <c r="A4693" t="str">
        <f>"20190312154930134"</f>
        <v>20190312154930134</v>
      </c>
      <c r="B4693" t="str">
        <f>"1552376970120768"</f>
        <v>1552376970120768</v>
      </c>
      <c r="C4693" t="s">
        <v>40</v>
      </c>
      <c r="D4693">
        <v>4.8745620000000001</v>
      </c>
      <c r="E4693">
        <v>0.53298990000000002</v>
      </c>
      <c r="F4693" t="s">
        <v>41</v>
      </c>
      <c r="G4693">
        <v>-340.31060000000002</v>
      </c>
      <c r="H4693">
        <v>0.88966889999999998</v>
      </c>
      <c r="I4693">
        <v>140.82050000000001</v>
      </c>
      <c r="J4693">
        <v>-339.77010000000001</v>
      </c>
      <c r="K4693">
        <v>1.1097870000000001</v>
      </c>
      <c r="L4693">
        <v>140.7012</v>
      </c>
      <c r="M4693">
        <v>-0.99989969999999995</v>
      </c>
      <c r="N4693">
        <v>0</v>
      </c>
      <c r="O4693">
        <v>-1.3838100000000001E-3</v>
      </c>
      <c r="P4693">
        <v>-0.99763690000000005</v>
      </c>
      <c r="Q4693">
        <v>-2.545E-2</v>
      </c>
      <c r="R4693">
        <v>6.3820299999999996E-2</v>
      </c>
      <c r="S4693">
        <v>-2.9602970000000002</v>
      </c>
      <c r="T4693">
        <v>-0.7883424</v>
      </c>
      <c r="U4693">
        <v>0.42492679999999999</v>
      </c>
      <c r="V4693">
        <v>6.5197240000000004E-2</v>
      </c>
      <c r="W4693">
        <v>-1.1399289999999999E-2</v>
      </c>
      <c r="X4693">
        <v>0.99780729999999995</v>
      </c>
      <c r="Y4693">
        <v>0.13867090000000001</v>
      </c>
      <c r="Z4693">
        <v>1.8420700000000002E-2</v>
      </c>
      <c r="AA4693">
        <v>0.99016720000000003</v>
      </c>
      <c r="AB4693">
        <v>28</v>
      </c>
      <c r="AC4693">
        <v>-0.54050000000000797</v>
      </c>
      <c r="AD4693">
        <v>-0.22011810000000001</v>
      </c>
      <c r="AE4693">
        <v>0.119300000000009</v>
      </c>
      <c r="AF4693">
        <v>0.103655143127658</v>
      </c>
      <c r="AG4693">
        <v>-0.22011810000000001</v>
      </c>
      <c r="AH4693">
        <v>0.46655070901979101</v>
      </c>
      <c r="AI4693">
        <v>114.729318902128</v>
      </c>
      <c r="AJ4693">
        <v>77.4738596457467</v>
      </c>
      <c r="AK4693">
        <v>0.52618051154646095</v>
      </c>
      <c r="AL4693">
        <v>90.653145341931094</v>
      </c>
      <c r="AM4693">
        <v>86.261578629783699</v>
      </c>
      <c r="AN4693">
        <v>1.0000000159247</v>
      </c>
    </row>
    <row r="4694" spans="1:40" x14ac:dyDescent="0.25">
      <c r="A4694" t="str">
        <f>"20190312154930155"</f>
        <v>20190312154930155</v>
      </c>
      <c r="B4694" t="str">
        <f>"1552376970151023"</f>
        <v>1552376970151023</v>
      </c>
      <c r="C4694" t="s">
        <v>40</v>
      </c>
      <c r="D4694">
        <v>4.8756110000000001</v>
      </c>
      <c r="E4694">
        <v>0.53300369999999997</v>
      </c>
      <c r="F4694" t="s">
        <v>41</v>
      </c>
      <c r="G4694">
        <v>-340.56420000000003</v>
      </c>
      <c r="H4694">
        <v>0.89796830000000005</v>
      </c>
      <c r="I4694">
        <v>140.81559999999999</v>
      </c>
      <c r="J4694">
        <v>-340.04340000000002</v>
      </c>
      <c r="K4694">
        <v>1.1097859999999999</v>
      </c>
      <c r="L4694">
        <v>140.70099999999999</v>
      </c>
      <c r="M4694">
        <v>-0.99989989999999995</v>
      </c>
      <c r="N4694">
        <v>0</v>
      </c>
      <c r="O4694">
        <v>-1.2408689999999999E-3</v>
      </c>
      <c r="P4694">
        <v>-0.997618</v>
      </c>
      <c r="Q4694">
        <v>-2.5822310000000001E-2</v>
      </c>
      <c r="R4694">
        <v>6.3969310000000001E-2</v>
      </c>
      <c r="S4694">
        <v>-2.959778</v>
      </c>
      <c r="T4694">
        <v>-0.78943669999999899</v>
      </c>
      <c r="U4694">
        <v>0.4255524</v>
      </c>
      <c r="V4694">
        <v>6.5203849999999994E-2</v>
      </c>
      <c r="W4694">
        <v>-1.1774410000000001E-2</v>
      </c>
      <c r="X4694">
        <v>0.99780250000000004</v>
      </c>
      <c r="Y4694">
        <v>0.1387467</v>
      </c>
      <c r="Z4694">
        <v>1.8420840000000001E-2</v>
      </c>
      <c r="AA4694">
        <v>0.99015660000000005</v>
      </c>
      <c r="AB4694">
        <v>28</v>
      </c>
      <c r="AC4694">
        <v>-0.52080000000000803</v>
      </c>
      <c r="AD4694">
        <v>-0.2118177</v>
      </c>
      <c r="AE4694">
        <v>0.114599999999995</v>
      </c>
      <c r="AF4694">
        <v>9.9540840929778704E-2</v>
      </c>
      <c r="AG4694">
        <v>-0.2118177</v>
      </c>
      <c r="AH4694">
        <v>0.44970388902202202</v>
      </c>
      <c r="AI4694">
        <v>114.69697709201</v>
      </c>
      <c r="AJ4694">
        <v>77.518959394543998</v>
      </c>
      <c r="AK4694">
        <v>0.50696025963366098</v>
      </c>
      <c r="AL4694">
        <v>90.674639585544995</v>
      </c>
      <c r="AM4694">
        <v>86.261182751428805</v>
      </c>
      <c r="AN4694">
        <v>1.00000000389596</v>
      </c>
    </row>
    <row r="4695" spans="1:40" x14ac:dyDescent="0.25">
      <c r="A4695" t="str">
        <f>"20190312154930178"</f>
        <v>20190312154930178</v>
      </c>
      <c r="B4695" t="str">
        <f>"1552376970170544"</f>
        <v>1552376970170544</v>
      </c>
      <c r="C4695" t="s">
        <v>40</v>
      </c>
      <c r="D4695">
        <v>4.9006949999999998</v>
      </c>
      <c r="E4695">
        <v>0.51916320000000005</v>
      </c>
      <c r="F4695" t="s">
        <v>41</v>
      </c>
      <c r="G4695">
        <v>-340.81639999999999</v>
      </c>
      <c r="H4695">
        <v>0.9035436</v>
      </c>
      <c r="I4695">
        <v>140.8125</v>
      </c>
      <c r="J4695">
        <v>-340.31670000000003</v>
      </c>
      <c r="K4695">
        <v>1.1097870000000001</v>
      </c>
      <c r="L4695">
        <v>140.70079999999999</v>
      </c>
      <c r="M4695">
        <v>-0.99990000000000001</v>
      </c>
      <c r="N4695">
        <v>0</v>
      </c>
      <c r="O4695">
        <v>-1.097811E-3</v>
      </c>
      <c r="P4695">
        <v>-0.99764059999999999</v>
      </c>
      <c r="Q4695">
        <v>-2.514255E-2</v>
      </c>
      <c r="R4695">
        <v>6.3884529999999995E-2</v>
      </c>
      <c r="S4695">
        <v>-2.9594119999999999</v>
      </c>
      <c r="T4695">
        <v>-0.78953119999999999</v>
      </c>
      <c r="U4695">
        <v>0.42605589999999999</v>
      </c>
      <c r="V4695">
        <v>6.4976350000000002E-2</v>
      </c>
      <c r="W4695">
        <v>-1.109691E-2</v>
      </c>
      <c r="X4695">
        <v>0.99782510000000002</v>
      </c>
      <c r="Y4695">
        <v>0.13878869999999999</v>
      </c>
      <c r="Z4695">
        <v>1.8393099999999999E-2</v>
      </c>
      <c r="AA4695">
        <v>0.99015120000000001</v>
      </c>
      <c r="AB4695">
        <v>28</v>
      </c>
      <c r="AC4695">
        <v>-0.49969999999996101</v>
      </c>
      <c r="AD4695">
        <v>-0.20624339999999999</v>
      </c>
      <c r="AE4695">
        <v>0.111700000000013</v>
      </c>
      <c r="AF4695">
        <v>9.6579267845635905E-2</v>
      </c>
      <c r="AG4695">
        <v>-0.20624339999999999</v>
      </c>
      <c r="AH4695">
        <v>0.42983879125972502</v>
      </c>
      <c r="AI4695">
        <v>115.08637208957801</v>
      </c>
      <c r="AJ4695">
        <v>77.336677021384901</v>
      </c>
      <c r="AK4695">
        <v>0.48644144713704301</v>
      </c>
      <c r="AL4695">
        <v>90.635819159113595</v>
      </c>
      <c r="AM4695">
        <v>86.2742750424961</v>
      </c>
      <c r="AN4695">
        <v>0.99999999883044</v>
      </c>
    </row>
    <row r="4696" spans="1:40" x14ac:dyDescent="0.25">
      <c r="A4696" t="str">
        <f>"20190312154930201"</f>
        <v>20190312154930201</v>
      </c>
      <c r="B4696" t="str">
        <f>"1552376970191040"</f>
        <v>1552376970191040</v>
      </c>
      <c r="C4696" t="s">
        <v>40</v>
      </c>
      <c r="D4696">
        <v>4.8794529999999998</v>
      </c>
      <c r="E4696">
        <v>0.50718949999999996</v>
      </c>
      <c r="F4696" t="s">
        <v>41</v>
      </c>
      <c r="G4696">
        <v>-341.08109999999999</v>
      </c>
      <c r="H4696">
        <v>0.93827640000000001</v>
      </c>
      <c r="I4696">
        <v>140.7834</v>
      </c>
      <c r="J4696">
        <v>-340.60539999999997</v>
      </c>
      <c r="K4696">
        <v>1.1097900000000001</v>
      </c>
      <c r="L4696">
        <v>140.70070000000001</v>
      </c>
      <c r="M4696">
        <v>-0.99990029999999996</v>
      </c>
      <c r="N4696">
        <v>0</v>
      </c>
      <c r="O4696">
        <v>-9.4664879999999997E-4</v>
      </c>
      <c r="P4696">
        <v>-0.99767830000000002</v>
      </c>
      <c r="Q4696">
        <v>-2.4464929999999999E-2</v>
      </c>
      <c r="R4696">
        <v>6.3560820000000004E-2</v>
      </c>
      <c r="S4696">
        <v>-2.969757</v>
      </c>
      <c r="T4696">
        <v>-0.66634110000000002</v>
      </c>
      <c r="U4696">
        <v>0.32022089999999998</v>
      </c>
      <c r="V4696">
        <v>6.4502249999999997E-2</v>
      </c>
      <c r="W4696">
        <v>-1.0421379999999999E-2</v>
      </c>
      <c r="X4696">
        <v>0.99786319999999995</v>
      </c>
      <c r="Y4696">
        <v>0.10552980000000001</v>
      </c>
      <c r="Z4696">
        <v>1.1870439999999999E-2</v>
      </c>
      <c r="AA4696">
        <v>0.99434529999999999</v>
      </c>
      <c r="AB4696">
        <v>28</v>
      </c>
      <c r="AC4696">
        <v>-0.475700000000017</v>
      </c>
      <c r="AD4696">
        <v>-0.17151359999999899</v>
      </c>
      <c r="AE4696">
        <v>8.2699999999988394E-2</v>
      </c>
      <c r="AF4696">
        <v>7.3833790916505604E-2</v>
      </c>
      <c r="AG4696">
        <v>-0.17151359999999899</v>
      </c>
      <c r="AH4696">
        <v>0.422330715719475</v>
      </c>
      <c r="AI4696">
        <v>111.80361579283699</v>
      </c>
      <c r="AJ4696">
        <v>80.083506828237404</v>
      </c>
      <c r="AK4696">
        <v>0.46177004786601999</v>
      </c>
      <c r="AL4696">
        <v>90.597111866034098</v>
      </c>
      <c r="AM4696">
        <v>86.301524891177095</v>
      </c>
      <c r="AN4696">
        <v>1.0000000556652</v>
      </c>
    </row>
    <row r="4697" spans="1:40" x14ac:dyDescent="0.25">
      <c r="A4697" t="str">
        <f>"20190312154930225"</f>
        <v>20190312154930225</v>
      </c>
      <c r="B4697" t="str">
        <f>"1552376970220320"</f>
        <v>1552376970220320</v>
      </c>
      <c r="C4697" t="s">
        <v>40</v>
      </c>
      <c r="D4697">
        <v>4.9190259999999997</v>
      </c>
      <c r="E4697">
        <v>0.49415579999999998</v>
      </c>
      <c r="F4697" t="s">
        <v>41</v>
      </c>
      <c r="G4697">
        <v>-341.351</v>
      </c>
      <c r="H4697">
        <v>0.98006979999999999</v>
      </c>
      <c r="I4697">
        <v>140.7585</v>
      </c>
      <c r="J4697">
        <v>-340.89389999999997</v>
      </c>
      <c r="K4697">
        <v>1.1097950000000001</v>
      </c>
      <c r="L4697">
        <v>140.70060000000001</v>
      </c>
      <c r="M4697">
        <v>-0.99990040000000002</v>
      </c>
      <c r="N4697">
        <v>0</v>
      </c>
      <c r="O4697">
        <v>-7.9560359999999997E-4</v>
      </c>
      <c r="P4697">
        <v>-0.99768009999999996</v>
      </c>
      <c r="Q4697">
        <v>-2.384087E-2</v>
      </c>
      <c r="R4697">
        <v>6.3767019999999994E-2</v>
      </c>
      <c r="S4697">
        <v>-2.9796140000000002</v>
      </c>
      <c r="T4697">
        <v>-0.51855470000000004</v>
      </c>
      <c r="U4697">
        <v>0.22955320000000001</v>
      </c>
      <c r="V4697">
        <v>6.4557879999999998E-2</v>
      </c>
      <c r="W4697">
        <v>-9.8001089999999996E-3</v>
      </c>
      <c r="X4697">
        <v>0.99786589999999997</v>
      </c>
      <c r="Y4697">
        <v>7.6452599999999996E-2</v>
      </c>
      <c r="Z4697">
        <v>6.7307499999999998E-3</v>
      </c>
      <c r="AA4697">
        <v>0.99705049999999995</v>
      </c>
      <c r="AB4697">
        <v>28</v>
      </c>
      <c r="AC4697">
        <v>-0.45710000000002499</v>
      </c>
      <c r="AD4697">
        <v>-0.12972520000000001</v>
      </c>
      <c r="AE4697">
        <v>5.7899999999989397E-2</v>
      </c>
      <c r="AF4697">
        <v>5.3984307462158203E-2</v>
      </c>
      <c r="AG4697">
        <v>-0.12972520000000001</v>
      </c>
      <c r="AH4697">
        <v>0.42348386858204501</v>
      </c>
      <c r="AI4697">
        <v>106.902427852182</v>
      </c>
      <c r="AJ4697">
        <v>82.735307671021204</v>
      </c>
      <c r="AK4697">
        <v>0.44618552185881499</v>
      </c>
      <c r="AL4697">
        <v>90.561513840199893</v>
      </c>
      <c r="AM4697">
        <v>86.298353992032105</v>
      </c>
      <c r="AN4697">
        <v>1.00000005819465</v>
      </c>
    </row>
    <row r="4698" spans="1:40" x14ac:dyDescent="0.25">
      <c r="A4698" t="str">
        <f>"20190312154930245"</f>
        <v>20190312154930245</v>
      </c>
      <c r="B4698" t="str">
        <f>"1552376970240816"</f>
        <v>1552376970240816</v>
      </c>
      <c r="C4698" t="s">
        <v>40</v>
      </c>
      <c r="D4698">
        <v>4.928776</v>
      </c>
      <c r="E4698">
        <v>0.489728</v>
      </c>
      <c r="F4698" t="s">
        <v>41</v>
      </c>
      <c r="G4698">
        <v>-341.62</v>
      </c>
      <c r="H4698">
        <v>1.0201960000000001</v>
      </c>
      <c r="I4698">
        <v>140.7329</v>
      </c>
      <c r="J4698">
        <v>-341.15570000000002</v>
      </c>
      <c r="K4698">
        <v>1.1097980000000001</v>
      </c>
      <c r="L4698">
        <v>140.70050000000001</v>
      </c>
      <c r="M4698">
        <v>-0.99990049999999997</v>
      </c>
      <c r="N4698">
        <v>0</v>
      </c>
      <c r="O4698">
        <v>-6.5826699999999895E-4</v>
      </c>
      <c r="P4698">
        <v>-0.99767309999999998</v>
      </c>
      <c r="Q4698">
        <v>-2.3755289999999998E-2</v>
      </c>
      <c r="R4698">
        <v>6.3908989999999999E-2</v>
      </c>
      <c r="S4698">
        <v>-2.9896850000000001</v>
      </c>
      <c r="T4698">
        <v>-0.36890269999999997</v>
      </c>
      <c r="U4698">
        <v>0.13246150000000001</v>
      </c>
      <c r="V4698">
        <v>6.4562820000000007E-2</v>
      </c>
      <c r="W4698">
        <v>-9.7171380000000002E-3</v>
      </c>
      <c r="X4698">
        <v>0.99786629999999998</v>
      </c>
      <c r="Y4698">
        <v>4.4578039999999999E-2</v>
      </c>
      <c r="Z4698">
        <v>2.8194520000000001E-3</v>
      </c>
      <c r="AA4698">
        <v>0.9990019</v>
      </c>
      <c r="AB4698">
        <v>28</v>
      </c>
      <c r="AC4698">
        <v>-0.46429999999998001</v>
      </c>
      <c r="AD4698">
        <v>-8.9602000000000098E-2</v>
      </c>
      <c r="AE4698">
        <v>3.2399999999995502E-2</v>
      </c>
      <c r="AF4698">
        <v>3.15368397304552E-2</v>
      </c>
      <c r="AG4698">
        <v>-8.9602000000000098E-2</v>
      </c>
      <c r="AH4698">
        <v>0.44768643451671197</v>
      </c>
      <c r="AI4698">
        <v>101.290637690048</v>
      </c>
      <c r="AJ4698">
        <v>85.970510456617603</v>
      </c>
      <c r="AK4698">
        <v>0.45765296275067502</v>
      </c>
      <c r="AL4698">
        <v>90.556759776984293</v>
      </c>
      <c r="AM4698">
        <v>86.298073007725193</v>
      </c>
      <c r="AN4698">
        <v>0.99999996658647605</v>
      </c>
    </row>
    <row r="4699" spans="1:40" x14ac:dyDescent="0.25">
      <c r="A4699" t="str">
        <f>"20190312154930268"</f>
        <v>20190312154930268</v>
      </c>
      <c r="B4699" t="str">
        <f>"1552376970260336"</f>
        <v>1552376970260336</v>
      </c>
      <c r="C4699" t="s">
        <v>40</v>
      </c>
      <c r="D4699">
        <v>4.9187390000000004</v>
      </c>
      <c r="E4699">
        <v>0.48713109999999998</v>
      </c>
      <c r="F4699" t="s">
        <v>41</v>
      </c>
      <c r="G4699">
        <v>-342.11070000000001</v>
      </c>
      <c r="H4699">
        <v>1.0070969999999999</v>
      </c>
      <c r="I4699">
        <v>140.73249999999999</v>
      </c>
      <c r="J4699">
        <v>-341.43490000000003</v>
      </c>
      <c r="K4699">
        <v>1.109788</v>
      </c>
      <c r="L4699">
        <v>140.70050000000001</v>
      </c>
      <c r="M4699">
        <v>-0.99990080000000003</v>
      </c>
      <c r="N4699">
        <v>0</v>
      </c>
      <c r="O4699">
        <v>-5.1210660000000001E-4</v>
      </c>
      <c r="P4699">
        <v>-0.99765119999999896</v>
      </c>
      <c r="Q4699">
        <v>-2.3855640000000001E-2</v>
      </c>
      <c r="R4699">
        <v>6.4213909999999999E-2</v>
      </c>
      <c r="S4699">
        <v>-2.9929809999999999</v>
      </c>
      <c r="T4699">
        <v>-0.3218935</v>
      </c>
      <c r="U4699">
        <v>9.9395750000000005E-2</v>
      </c>
      <c r="V4699">
        <v>6.4721749999999995E-2</v>
      </c>
      <c r="W4699">
        <v>-9.8207180000000008E-3</v>
      </c>
      <c r="X4699">
        <v>0.99785500000000005</v>
      </c>
      <c r="Y4699">
        <v>3.3507219999999997E-2</v>
      </c>
      <c r="Z4699">
        <v>1.851079E-3</v>
      </c>
      <c r="AA4699">
        <v>0.99943669999999996</v>
      </c>
      <c r="AB4699">
        <v>28</v>
      </c>
      <c r="AC4699">
        <v>-0.67579999999998097</v>
      </c>
      <c r="AD4699">
        <v>-0.102691</v>
      </c>
      <c r="AE4699">
        <v>3.1999999999982202E-2</v>
      </c>
      <c r="AF4699">
        <v>3.1617685126396997E-2</v>
      </c>
      <c r="AG4699">
        <v>-0.102691</v>
      </c>
      <c r="AH4699">
        <v>0.66056504099420399</v>
      </c>
      <c r="AI4699">
        <v>98.826485870137802</v>
      </c>
      <c r="AJ4699">
        <v>87.259651568452</v>
      </c>
      <c r="AK4699">
        <v>0.66924681013616105</v>
      </c>
      <c r="AL4699">
        <v>90.562694751803605</v>
      </c>
      <c r="AM4699">
        <v>86.288943746488698</v>
      </c>
      <c r="AN4699">
        <v>0.99999997622504799</v>
      </c>
    </row>
    <row r="4700" spans="1:40" x14ac:dyDescent="0.25">
      <c r="A4700" t="str">
        <f>"20190312154930290"</f>
        <v>20190312154930290</v>
      </c>
      <c r="B4700" t="str">
        <f>"1552376970280832"</f>
        <v>1552376970280832</v>
      </c>
      <c r="C4700" t="s">
        <v>40</v>
      </c>
      <c r="D4700">
        <v>4.9267180000000002</v>
      </c>
      <c r="E4700">
        <v>0.48515160000000002</v>
      </c>
      <c r="F4700" t="s">
        <v>41</v>
      </c>
      <c r="G4700">
        <v>-342.36470000000003</v>
      </c>
      <c r="H4700">
        <v>1.0188820000000001</v>
      </c>
      <c r="I4700">
        <v>140.726</v>
      </c>
      <c r="J4700">
        <v>-341.70760000000001</v>
      </c>
      <c r="K4700">
        <v>1.1097889999999999</v>
      </c>
      <c r="L4700">
        <v>140.70050000000001</v>
      </c>
      <c r="M4700">
        <v>-0.99990069999999998</v>
      </c>
      <c r="N4700">
        <v>0</v>
      </c>
      <c r="O4700">
        <v>-3.690454E-4</v>
      </c>
      <c r="P4700">
        <v>-0.99758829999999998</v>
      </c>
      <c r="Q4700">
        <v>-2.421427E-2</v>
      </c>
      <c r="R4700">
        <v>6.5047270000000004E-2</v>
      </c>
      <c r="S4700">
        <v>-2.9948730000000001</v>
      </c>
      <c r="T4700">
        <v>-0.29291689999999998</v>
      </c>
      <c r="U4700">
        <v>8.0795290000000006E-2</v>
      </c>
      <c r="V4700">
        <v>6.5412399999999996E-2</v>
      </c>
      <c r="W4700">
        <v>-1.01832E-2</v>
      </c>
      <c r="X4700">
        <v>0.99780639999999998</v>
      </c>
      <c r="Y4700">
        <v>2.720552E-2</v>
      </c>
      <c r="Z4700">
        <v>1.3630329999999901E-3</v>
      </c>
      <c r="AA4700">
        <v>0.99962899999999999</v>
      </c>
      <c r="AB4700">
        <v>28</v>
      </c>
      <c r="AC4700">
        <v>-0.65710000000001401</v>
      </c>
      <c r="AD4700">
        <v>-9.0906999999999794E-2</v>
      </c>
      <c r="AE4700">
        <v>2.5499999999993798E-2</v>
      </c>
      <c r="AF4700">
        <v>2.5259788075191102E-2</v>
      </c>
      <c r="AG4700">
        <v>-9.0906999999999794E-2</v>
      </c>
      <c r="AH4700">
        <v>0.64476852109363803</v>
      </c>
      <c r="AI4700">
        <v>98.0192583794352</v>
      </c>
      <c r="AJ4700">
        <v>87.756497946349199</v>
      </c>
      <c r="AK4700">
        <v>0.65163531621289505</v>
      </c>
      <c r="AL4700">
        <v>90.583464439508305</v>
      </c>
      <c r="AM4700">
        <v>86.249273102092005</v>
      </c>
      <c r="AN4700">
        <v>1.0000000457584699</v>
      </c>
    </row>
    <row r="4701" spans="1:40" x14ac:dyDescent="0.25">
      <c r="A4701" t="str">
        <f>"20190312154930313"</f>
        <v>20190312154930313</v>
      </c>
      <c r="B4701" t="str">
        <f>"1552376970300352"</f>
        <v>1552376970300352</v>
      </c>
      <c r="C4701" t="s">
        <v>40</v>
      </c>
      <c r="D4701">
        <v>4.9194079999999998</v>
      </c>
      <c r="E4701">
        <v>0.48373129999999998</v>
      </c>
      <c r="F4701" t="s">
        <v>41</v>
      </c>
      <c r="G4701">
        <v>-342.6164</v>
      </c>
      <c r="H4701">
        <v>1.0264629999999999</v>
      </c>
      <c r="I4701">
        <v>140.72149999999999</v>
      </c>
      <c r="J4701">
        <v>-341.9932</v>
      </c>
      <c r="K4701">
        <v>1.1097919999999999</v>
      </c>
      <c r="L4701">
        <v>140.70060000000001</v>
      </c>
      <c r="M4701">
        <v>-0.99990089999999998</v>
      </c>
      <c r="N4701">
        <v>0</v>
      </c>
      <c r="O4701">
        <v>-2.2002600000000001E-4</v>
      </c>
      <c r="P4701">
        <v>-0.99754799999999999</v>
      </c>
      <c r="Q4701">
        <v>-2.4624400000000001E-2</v>
      </c>
      <c r="R4701">
        <v>6.5511849999999996E-2</v>
      </c>
      <c r="S4701">
        <v>-2.9960939999999998</v>
      </c>
      <c r="T4701">
        <v>-0.27472390000000002</v>
      </c>
      <c r="U4701">
        <v>6.8359379999999997E-2</v>
      </c>
      <c r="V4701">
        <v>6.572828E-2</v>
      </c>
      <c r="W4701">
        <v>-1.059675E-2</v>
      </c>
      <c r="X4701">
        <v>0.99778129999999998</v>
      </c>
      <c r="Y4701">
        <v>2.2933140000000001E-2</v>
      </c>
      <c r="Z4701">
        <v>1.0692119999999999E-3</v>
      </c>
      <c r="AA4701">
        <v>0.99973639999999997</v>
      </c>
      <c r="AB4701">
        <v>28</v>
      </c>
      <c r="AC4701">
        <v>-0.62319999999999698</v>
      </c>
      <c r="AD4701">
        <v>-8.3329000000000195E-2</v>
      </c>
      <c r="AE4701">
        <v>2.0899999999983199E-2</v>
      </c>
      <c r="AF4701">
        <v>2.06680296264539E-2</v>
      </c>
      <c r="AG4701">
        <v>-8.3329000000000195E-2</v>
      </c>
      <c r="AH4701">
        <v>0.61226121094280805</v>
      </c>
      <c r="AI4701">
        <v>97.746000372580895</v>
      </c>
      <c r="AJ4701">
        <v>88.066607276898793</v>
      </c>
      <c r="AK4701">
        <v>0.61825130821923402</v>
      </c>
      <c r="AL4701">
        <v>90.607160408802997</v>
      </c>
      <c r="AM4701">
        <v>86.231118181266197</v>
      </c>
      <c r="AN4701">
        <v>1.0000000102660001</v>
      </c>
    </row>
    <row r="4702" spans="1:40" x14ac:dyDescent="0.25">
      <c r="A4702" t="str">
        <f>"20190312154930334"</f>
        <v>20190312154930334</v>
      </c>
      <c r="B4702" t="str">
        <f>"1552376970330608"</f>
        <v>1552376970330608</v>
      </c>
      <c r="C4702" t="s">
        <v>40</v>
      </c>
      <c r="D4702">
        <v>4.9074010000000001</v>
      </c>
      <c r="E4702">
        <v>0.4821336</v>
      </c>
      <c r="F4702" t="s">
        <v>41</v>
      </c>
      <c r="G4702">
        <v>-342.8673</v>
      </c>
      <c r="H4702">
        <v>1.033323</v>
      </c>
      <c r="I4702">
        <v>140.7182</v>
      </c>
      <c r="J4702">
        <v>-342.26209999999998</v>
      </c>
      <c r="K4702">
        <v>1.1097870000000001</v>
      </c>
      <c r="L4702">
        <v>140.70070000000001</v>
      </c>
      <c r="M4702">
        <v>-0.99990109999999999</v>
      </c>
      <c r="N4702">
        <v>0</v>
      </c>
      <c r="O4702" s="1">
        <v>-8.0194159999999996E-5</v>
      </c>
      <c r="P4702">
        <v>-0.99755899999999997</v>
      </c>
      <c r="Q4702">
        <v>-2.4102249999999999E-2</v>
      </c>
      <c r="R4702">
        <v>6.5540509999999996E-2</v>
      </c>
      <c r="S4702">
        <v>-2.9969790000000001</v>
      </c>
      <c r="T4702">
        <v>-0.26225910000000002</v>
      </c>
      <c r="U4702">
        <v>5.9066769999999998E-2</v>
      </c>
      <c r="V4702">
        <v>6.5617490000000001E-2</v>
      </c>
      <c r="W4702">
        <v>-1.0077060000000001E-2</v>
      </c>
      <c r="X4702">
        <v>0.99779399999999996</v>
      </c>
      <c r="Y4702">
        <v>1.9709540000000001E-2</v>
      </c>
      <c r="Z4702">
        <v>8.6764589999999999E-4</v>
      </c>
      <c r="AA4702">
        <v>0.99980539999999996</v>
      </c>
      <c r="AB4702">
        <v>28</v>
      </c>
      <c r="AC4702">
        <v>-0.60520000000002405</v>
      </c>
      <c r="AD4702">
        <v>-7.6464000000000004E-2</v>
      </c>
      <c r="AE4702">
        <v>1.7499999999984001E-2</v>
      </c>
      <c r="AF4702">
        <v>1.7273038036972201E-2</v>
      </c>
      <c r="AG4702">
        <v>-7.6464000000000004E-2</v>
      </c>
      <c r="AH4702">
        <v>0.59569738483735102</v>
      </c>
      <c r="AI4702">
        <v>97.311476436308197</v>
      </c>
      <c r="AJ4702">
        <v>88.339098045376502</v>
      </c>
      <c r="AK4702">
        <v>0.600833151083632</v>
      </c>
      <c r="AL4702">
        <v>90.577382760313697</v>
      </c>
      <c r="AM4702">
        <v>86.237500406530401</v>
      </c>
      <c r="AN4702">
        <v>1.00000003428407</v>
      </c>
    </row>
    <row r="4703" spans="1:40" x14ac:dyDescent="0.25">
      <c r="A4703" t="str">
        <f>"20190312154930356"</f>
        <v>20190312154930356</v>
      </c>
      <c r="B4703" t="str">
        <f>"1552376970350132"</f>
        <v>1552376970350132</v>
      </c>
      <c r="C4703" t="s">
        <v>40</v>
      </c>
      <c r="D4703">
        <v>4.9410069999999999</v>
      </c>
      <c r="E4703">
        <v>0.48131790000000002</v>
      </c>
      <c r="F4703" t="s">
        <v>41</v>
      </c>
      <c r="G4703">
        <v>-343.11930000000001</v>
      </c>
      <c r="H4703">
        <v>1.0394060000000001</v>
      </c>
      <c r="I4703">
        <v>140.71440000000001</v>
      </c>
      <c r="J4703">
        <v>-342.53989999999999</v>
      </c>
      <c r="K4703">
        <v>1.109796</v>
      </c>
      <c r="L4703">
        <v>140.70089999999999</v>
      </c>
      <c r="M4703">
        <v>-0.99990100000000004</v>
      </c>
      <c r="N4703">
        <v>0</v>
      </c>
      <c r="O4703" s="1">
        <v>6.3569580000000001E-5</v>
      </c>
      <c r="P4703">
        <v>-0.99755570000000005</v>
      </c>
      <c r="Q4703">
        <v>-2.4176920000000001E-2</v>
      </c>
      <c r="R4703">
        <v>6.5562640000000005E-2</v>
      </c>
      <c r="S4703">
        <v>-2.9983219999999999</v>
      </c>
      <c r="T4703">
        <v>-0.24622269999999999</v>
      </c>
      <c r="U4703">
        <v>4.7103880000000001E-2</v>
      </c>
      <c r="V4703">
        <v>6.5496330000000005E-2</v>
      </c>
      <c r="W4703">
        <v>-1.0154420000000001E-2</v>
      </c>
      <c r="X4703">
        <v>0.9978011</v>
      </c>
      <c r="Y4703">
        <v>1.559232E-2</v>
      </c>
      <c r="Z4703">
        <v>6.3389519999999995E-4</v>
      </c>
      <c r="AA4703">
        <v>0.99987820000000005</v>
      </c>
      <c r="AB4703">
        <v>28</v>
      </c>
      <c r="AC4703">
        <v>-0.57940000000002101</v>
      </c>
      <c r="AD4703">
        <v>-7.0389999999999897E-2</v>
      </c>
      <c r="AE4703">
        <v>1.35000000000218E-2</v>
      </c>
      <c r="AF4703">
        <v>1.32674524165551E-2</v>
      </c>
      <c r="AG4703">
        <v>-7.0389999999999897E-2</v>
      </c>
      <c r="AH4703">
        <v>0.57097820676603195</v>
      </c>
      <c r="AI4703">
        <v>97.026066613976198</v>
      </c>
      <c r="AJ4703">
        <v>88.6688944491667</v>
      </c>
      <c r="AK4703">
        <v>0.57545363844134201</v>
      </c>
      <c r="AL4703">
        <v>90.5818154326588</v>
      </c>
      <c r="AM4703">
        <v>86.244454454091098</v>
      </c>
      <c r="AN4703">
        <v>0.99999995832510602</v>
      </c>
    </row>
    <row r="4704" spans="1:40" x14ac:dyDescent="0.25">
      <c r="A4704" t="str">
        <f>"20190312154930379"</f>
        <v>20190312154930379</v>
      </c>
      <c r="B4704" t="str">
        <f>"1552376970370628"</f>
        <v>1552376970370628</v>
      </c>
      <c r="C4704" t="s">
        <v>40</v>
      </c>
      <c r="D4704">
        <v>4.8505440000000002</v>
      </c>
      <c r="E4704">
        <v>0.48058889999999999</v>
      </c>
      <c r="F4704" t="s">
        <v>41</v>
      </c>
      <c r="G4704">
        <v>-343.37020000000001</v>
      </c>
      <c r="H4704">
        <v>1.0436829999999999</v>
      </c>
      <c r="I4704">
        <v>140.7124</v>
      </c>
      <c r="J4704">
        <v>-342.80590000000001</v>
      </c>
      <c r="K4704">
        <v>1.109796</v>
      </c>
      <c r="L4704">
        <v>140.70099999999999</v>
      </c>
      <c r="M4704">
        <v>-0.99990109999999999</v>
      </c>
      <c r="N4704">
        <v>0</v>
      </c>
      <c r="O4704">
        <v>2.009545E-4</v>
      </c>
      <c r="P4704">
        <v>-0.99757169999999895</v>
      </c>
      <c r="Q4704">
        <v>-2.4350440000000001E-2</v>
      </c>
      <c r="R4704">
        <v>6.5252379999999999E-2</v>
      </c>
      <c r="S4704">
        <v>-2.9988709999999998</v>
      </c>
      <c r="T4704">
        <v>-0.23884259999999999</v>
      </c>
      <c r="U4704">
        <v>4.0893550000000001E-2</v>
      </c>
      <c r="V4704">
        <v>6.5048700000000001E-2</v>
      </c>
      <c r="W4704">
        <v>-1.033016E-2</v>
      </c>
      <c r="X4704">
        <v>0.99782859999999995</v>
      </c>
      <c r="Y4704">
        <v>1.3392329999999999E-2</v>
      </c>
      <c r="Z4704">
        <v>5.1646250000000004E-4</v>
      </c>
      <c r="AA4704">
        <v>0.99991019999999997</v>
      </c>
      <c r="AB4704">
        <v>28</v>
      </c>
      <c r="AC4704">
        <v>-0.56430000000000202</v>
      </c>
      <c r="AD4704">
        <v>-6.6113000000000005E-2</v>
      </c>
      <c r="AE4704">
        <v>1.14000000000089E-2</v>
      </c>
      <c r="AF4704">
        <v>1.11338259920795E-2</v>
      </c>
      <c r="AG4704">
        <v>-6.6113000000000005E-2</v>
      </c>
      <c r="AH4704">
        <v>0.55666445112124097</v>
      </c>
      <c r="AI4704">
        <v>96.771741450220603</v>
      </c>
      <c r="AJ4704">
        <v>88.854181915270601</v>
      </c>
      <c r="AK4704">
        <v>0.56068725863206004</v>
      </c>
      <c r="AL4704">
        <v>90.591885108580996</v>
      </c>
      <c r="AM4704">
        <v>86.270151264594006</v>
      </c>
      <c r="AN4704">
        <v>0.99999998027763704</v>
      </c>
    </row>
    <row r="4705" spans="1:40" x14ac:dyDescent="0.25">
      <c r="A4705" t="str">
        <f>"20190312154930403"</f>
        <v>20190312154930403</v>
      </c>
      <c r="B4705" t="str">
        <f>"1552376970390145"</f>
        <v>1552376970390145</v>
      </c>
      <c r="C4705" t="s">
        <v>40</v>
      </c>
      <c r="D4705">
        <v>4.9183620000000001</v>
      </c>
      <c r="E4705">
        <v>0.48005229999999999</v>
      </c>
      <c r="F4705" t="s">
        <v>42</v>
      </c>
      <c r="G4705">
        <v>-357.25420000000003</v>
      </c>
      <c r="H4705" s="1">
        <v>-1.4931809999999899E-6</v>
      </c>
      <c r="I4705">
        <v>140.8674</v>
      </c>
      <c r="J4705">
        <v>-343.1096</v>
      </c>
      <c r="K4705">
        <v>1.109801</v>
      </c>
      <c r="L4705">
        <v>140.7013</v>
      </c>
      <c r="M4705">
        <v>-0.99990109999999999</v>
      </c>
      <c r="N4705">
        <v>0</v>
      </c>
      <c r="O4705">
        <v>3.5700009999999998E-4</v>
      </c>
      <c r="P4705">
        <v>-0.9975676</v>
      </c>
      <c r="Q4705">
        <v>-2.4723749999999999E-2</v>
      </c>
      <c r="R4705">
        <v>6.5176020000000001E-2</v>
      </c>
      <c r="S4705">
        <v>-2.9994809999999998</v>
      </c>
      <c r="T4705">
        <v>-0.2303965</v>
      </c>
      <c r="U4705">
        <v>3.456116E-2</v>
      </c>
      <c r="V4705">
        <v>6.4816719999999994E-2</v>
      </c>
      <c r="W4705">
        <v>-1.0706429999999999E-2</v>
      </c>
      <c r="X4705">
        <v>0.9978397</v>
      </c>
      <c r="Y4705">
        <v>1.113286E-2</v>
      </c>
      <c r="Z4705">
        <v>3.9954310000000001E-4</v>
      </c>
      <c r="AA4705">
        <v>0.99993799999999999</v>
      </c>
      <c r="AB4705">
        <v>28</v>
      </c>
      <c r="AC4705">
        <v>-14.144600000000001</v>
      </c>
      <c r="AD4705">
        <v>-1.109802493181</v>
      </c>
      <c r="AE4705">
        <v>0.1661</v>
      </c>
      <c r="AF4705">
        <v>0.160064618777156</v>
      </c>
      <c r="AG4705">
        <v>-1.109802493181</v>
      </c>
      <c r="AH4705">
        <v>14.058126229848501</v>
      </c>
      <c r="AI4705">
        <v>94.513496305109797</v>
      </c>
      <c r="AJ4705">
        <v>89.347663360076197</v>
      </c>
      <c r="AK4705">
        <v>14.1027726121643</v>
      </c>
      <c r="AL4705">
        <v>90.613445002800603</v>
      </c>
      <c r="AM4705">
        <v>86.283456721843905</v>
      </c>
      <c r="AN4705">
        <v>0.99999995086549498</v>
      </c>
    </row>
    <row r="4706" spans="1:40" x14ac:dyDescent="0.25">
      <c r="A4706" t="str">
        <f>"20190312154930426"</f>
        <v>20190312154930426</v>
      </c>
      <c r="B4706" t="str">
        <f>"1552376970420400"</f>
        <v>1552376970420400</v>
      </c>
      <c r="C4706" t="s">
        <v>40</v>
      </c>
      <c r="D4706">
        <v>4.8962700000000003</v>
      </c>
      <c r="E4706">
        <v>0.47924899999999998</v>
      </c>
      <c r="F4706" t="s">
        <v>42</v>
      </c>
      <c r="G4706">
        <v>-357.81139999999999</v>
      </c>
      <c r="H4706" s="1">
        <v>-1.2491569999999999E-6</v>
      </c>
      <c r="I4706">
        <v>140.84880000000001</v>
      </c>
      <c r="J4706">
        <v>-343.37860000000001</v>
      </c>
      <c r="K4706">
        <v>1.109801</v>
      </c>
      <c r="L4706">
        <v>140.70150000000001</v>
      </c>
      <c r="M4706">
        <v>-0.99990100000000004</v>
      </c>
      <c r="N4706">
        <v>0</v>
      </c>
      <c r="O4706">
        <v>4.9474679999999996E-4</v>
      </c>
      <c r="P4706">
        <v>-0.9975503</v>
      </c>
      <c r="Q4706">
        <v>-2.4944790000000001E-2</v>
      </c>
      <c r="R4706">
        <v>6.5354549999999997E-2</v>
      </c>
      <c r="S4706">
        <v>-2.999695</v>
      </c>
      <c r="T4706">
        <v>-0.22643920000000001</v>
      </c>
      <c r="U4706">
        <v>3.0120850000000001E-2</v>
      </c>
      <c r="V4706">
        <v>6.4857799999999993E-2</v>
      </c>
      <c r="W4706">
        <v>-1.093036E-2</v>
      </c>
      <c r="X4706">
        <v>0.99783460000000002</v>
      </c>
      <c r="Y4706">
        <v>9.5203509999999998E-3</v>
      </c>
      <c r="Z4706">
        <v>3.2151709999999998E-4</v>
      </c>
      <c r="AA4706">
        <v>0.99995460000000003</v>
      </c>
      <c r="AB4706">
        <v>28</v>
      </c>
      <c r="AC4706">
        <v>-14.432799999999901</v>
      </c>
      <c r="AD4706">
        <v>-1.1098022491570001</v>
      </c>
      <c r="AE4706">
        <v>0.14730000000000101</v>
      </c>
      <c r="AF4706">
        <v>0.13933492651417601</v>
      </c>
      <c r="AG4706">
        <v>-1.1098022491570001</v>
      </c>
      <c r="AH4706">
        <v>14.348043461229301</v>
      </c>
      <c r="AI4706">
        <v>94.4227387777524</v>
      </c>
      <c r="AJ4706">
        <v>89.443613876085607</v>
      </c>
      <c r="AK4706">
        <v>14.391574841528101</v>
      </c>
      <c r="AL4706">
        <v>90.626276000052201</v>
      </c>
      <c r="AM4706">
        <v>86.281088878550904</v>
      </c>
      <c r="AN4706">
        <v>0.99999994797386305</v>
      </c>
    </row>
    <row r="4707" spans="1:40" x14ac:dyDescent="0.25">
      <c r="A4707" t="str">
        <f>"20190312154930447"</f>
        <v>20190312154930447</v>
      </c>
      <c r="B4707" t="str">
        <f>"1552376970440896"</f>
        <v>1552376970440896</v>
      </c>
      <c r="C4707" t="s">
        <v>40</v>
      </c>
      <c r="D4707">
        <v>4.8207000000000004</v>
      </c>
      <c r="E4707">
        <v>0.46063720000000002</v>
      </c>
      <c r="F4707" t="s">
        <v>41</v>
      </c>
      <c r="G4707">
        <v>-344.35070000000002</v>
      </c>
      <c r="H4707">
        <v>1.0383880000000001</v>
      </c>
      <c r="I4707">
        <v>140.7098</v>
      </c>
      <c r="J4707">
        <v>-343.65269999999998</v>
      </c>
      <c r="K4707">
        <v>1.109801</v>
      </c>
      <c r="L4707">
        <v>140.70179999999999</v>
      </c>
      <c r="M4707">
        <v>-0.99990109999999999</v>
      </c>
      <c r="N4707">
        <v>0</v>
      </c>
      <c r="O4707">
        <v>6.3243079999999996E-4</v>
      </c>
      <c r="P4707">
        <v>-0.99751129999999999</v>
      </c>
      <c r="Q4707">
        <v>-2.5139149999999999E-2</v>
      </c>
      <c r="R4707">
        <v>6.5875110000000001E-2</v>
      </c>
      <c r="S4707">
        <v>-3.0002140000000002</v>
      </c>
      <c r="T4707">
        <v>-0.22051870000000001</v>
      </c>
      <c r="U4707">
        <v>2.4490359999999999E-2</v>
      </c>
      <c r="V4707">
        <v>6.5240900000000004E-2</v>
      </c>
      <c r="W4707">
        <v>-1.1128040000000001E-2</v>
      </c>
      <c r="X4707">
        <v>0.99780749999999996</v>
      </c>
      <c r="Y4707">
        <v>7.5115690000000001E-3</v>
      </c>
      <c r="Z4707">
        <v>2.292521E-4</v>
      </c>
      <c r="AA4707">
        <v>0.99997170000000002</v>
      </c>
      <c r="AB4707">
        <v>28</v>
      </c>
      <c r="AC4707">
        <v>-0.69800000000003504</v>
      </c>
      <c r="AD4707">
        <v>-7.1413000000000101E-2</v>
      </c>
      <c r="AE4707">
        <v>8.0000000000097701E-3</v>
      </c>
      <c r="AF4707">
        <v>7.4802289811030896E-3</v>
      </c>
      <c r="AG4707">
        <v>-7.1413000000000101E-2</v>
      </c>
      <c r="AH4707">
        <v>0.69077516863108002</v>
      </c>
      <c r="AI4707">
        <v>95.901981418894195</v>
      </c>
      <c r="AJ4707">
        <v>89.379582795069496</v>
      </c>
      <c r="AK4707">
        <v>0.69449701510654904</v>
      </c>
      <c r="AL4707">
        <v>90.637602881225206</v>
      </c>
      <c r="AM4707">
        <v>86.259083011661303</v>
      </c>
      <c r="AN4707">
        <v>1.00000000768165</v>
      </c>
    </row>
    <row r="4708" spans="1:40" x14ac:dyDescent="0.25">
      <c r="A4708" t="str">
        <f>"20190312154930468"</f>
        <v>20190312154930468</v>
      </c>
      <c r="B4708" t="str">
        <f>"1552376970460416"</f>
        <v>1552376970460416</v>
      </c>
      <c r="C4708" t="s">
        <v>40</v>
      </c>
      <c r="D4708">
        <v>4.7736910000000004</v>
      </c>
      <c r="E4708">
        <v>0.45014660000000001</v>
      </c>
      <c r="F4708" t="s">
        <v>42</v>
      </c>
      <c r="G4708">
        <v>-366.86520000000002</v>
      </c>
      <c r="H4708" s="1">
        <v>-1.372141E-6</v>
      </c>
      <c r="I4708">
        <v>139.78540000000001</v>
      </c>
      <c r="J4708">
        <v>-343.90859999999998</v>
      </c>
      <c r="K4708">
        <v>1.109804</v>
      </c>
      <c r="L4708">
        <v>140.7021</v>
      </c>
      <c r="M4708">
        <v>-0.99990089999999998</v>
      </c>
      <c r="N4708">
        <v>0</v>
      </c>
      <c r="O4708">
        <v>7.5961970000000003E-4</v>
      </c>
      <c r="P4708">
        <v>-0.99748000000000003</v>
      </c>
      <c r="Q4708">
        <v>-2.494878E-2</v>
      </c>
      <c r="R4708">
        <v>6.6419210000000006E-2</v>
      </c>
      <c r="S4708">
        <v>-3.0117189999999998</v>
      </c>
      <c r="T4708">
        <v>-0.1439927</v>
      </c>
      <c r="U4708">
        <v>-0.1188965</v>
      </c>
      <c r="V4708">
        <v>6.5658279999999999E-2</v>
      </c>
      <c r="W4708">
        <v>-1.0940699999999999E-2</v>
      </c>
      <c r="X4708">
        <v>0.99778219999999995</v>
      </c>
      <c r="Y4708">
        <v>-4.0159649999999998E-2</v>
      </c>
      <c r="Z4708">
        <v>-9.9539830000000009E-4</v>
      </c>
      <c r="AA4708">
        <v>0.99919279999999999</v>
      </c>
      <c r="AB4708">
        <v>27</v>
      </c>
      <c r="AC4708">
        <v>-22.956600000000002</v>
      </c>
      <c r="AD4708">
        <v>-1.1098053721409999</v>
      </c>
      <c r="AE4708">
        <v>-0.91669999999999097</v>
      </c>
      <c r="AF4708">
        <v>-0.93196511016260797</v>
      </c>
      <c r="AG4708">
        <v>-1.1098053721409999</v>
      </c>
      <c r="AH4708">
        <v>22.902456695274601</v>
      </c>
      <c r="AI4708">
        <v>92.771973542156502</v>
      </c>
      <c r="AJ4708">
        <v>92.3302400969567</v>
      </c>
      <c r="AK4708">
        <v>22.948262452950999</v>
      </c>
      <c r="AL4708">
        <v>90.626868432702395</v>
      </c>
      <c r="AM4708">
        <v>86.235123841183693</v>
      </c>
      <c r="AN4708">
        <v>1.0000000136429401</v>
      </c>
    </row>
    <row r="4709" spans="1:40" x14ac:dyDescent="0.25">
      <c r="A4709" t="str">
        <f>"20190312154930483"</f>
        <v>20190312154930483</v>
      </c>
      <c r="B4709" t="str">
        <f>"1552376970470176"</f>
        <v>1552376970470176</v>
      </c>
      <c r="C4709" t="s">
        <v>40</v>
      </c>
      <c r="D4709">
        <v>4.80016</v>
      </c>
      <c r="E4709">
        <v>0.44679059999999998</v>
      </c>
      <c r="F4709" t="s">
        <v>42</v>
      </c>
      <c r="G4709">
        <v>-371.37259999999998</v>
      </c>
      <c r="H4709" s="1">
        <v>-3.8133820000000001E-6</v>
      </c>
      <c r="I4709">
        <v>138.8836</v>
      </c>
      <c r="J4709">
        <v>-344.09699999999998</v>
      </c>
      <c r="K4709">
        <v>1.1098059999999901</v>
      </c>
      <c r="L4709">
        <v>140.70240000000001</v>
      </c>
      <c r="M4709">
        <v>-0.99990080000000003</v>
      </c>
      <c r="N4709">
        <v>0</v>
      </c>
      <c r="O4709">
        <v>8.5145759999999903E-4</v>
      </c>
      <c r="P4709">
        <v>-0.99743660000000001</v>
      </c>
      <c r="Q4709">
        <v>-2.5281919999999999E-2</v>
      </c>
      <c r="R4709">
        <v>6.6940910000000006E-2</v>
      </c>
      <c r="S4709">
        <v>-3.0178219999999998</v>
      </c>
      <c r="T4709">
        <v>-0.1219488</v>
      </c>
      <c r="U4709">
        <v>-0.19981380000000001</v>
      </c>
      <c r="V4709">
        <v>6.6088240000000006E-2</v>
      </c>
      <c r="W4709">
        <v>-1.127618E-2</v>
      </c>
      <c r="X4709">
        <v>0.99775000000000003</v>
      </c>
      <c r="Y4709">
        <v>-6.6861249999999997E-2</v>
      </c>
      <c r="Z4709">
        <v>-1.3832499999999999E-3</v>
      </c>
      <c r="AA4709">
        <v>0.99776129999999996</v>
      </c>
      <c r="AB4709">
        <v>27</v>
      </c>
      <c r="AC4709">
        <v>-27.275600000000001</v>
      </c>
      <c r="AD4709">
        <v>-1.10980981338199</v>
      </c>
      <c r="AE4709">
        <v>-1.81880000000001</v>
      </c>
      <c r="AF4709">
        <v>-1.83899454021876</v>
      </c>
      <c r="AG4709">
        <v>-1.10980981338199</v>
      </c>
      <c r="AH4709">
        <v>27.229161007997899</v>
      </c>
      <c r="AI4709">
        <v>92.328678209912496</v>
      </c>
      <c r="AJ4709">
        <v>93.863756888883202</v>
      </c>
      <c r="AK4709">
        <v>27.313747233587399</v>
      </c>
      <c r="AL4709">
        <v>90.646091257446002</v>
      </c>
      <c r="AM4709">
        <v>86.210419397355594</v>
      </c>
      <c r="AN4709">
        <v>0.99999993510084195</v>
      </c>
    </row>
    <row r="4710" spans="1:40" x14ac:dyDescent="0.25">
      <c r="A4710" t="str">
        <f>"20190312154930496"</f>
        <v>20190312154930496</v>
      </c>
      <c r="B4710" t="str">
        <f>"1552376970490672"</f>
        <v>1552376970490672</v>
      </c>
      <c r="C4710" t="s">
        <v>40</v>
      </c>
      <c r="D4710">
        <v>4.7572769999999904</v>
      </c>
      <c r="E4710">
        <v>0.4430038</v>
      </c>
      <c r="F4710" t="s">
        <v>42</v>
      </c>
      <c r="G4710">
        <v>-373.31220000000002</v>
      </c>
      <c r="H4710" s="1">
        <v>-3.0441810000000001E-6</v>
      </c>
      <c r="I4710">
        <v>138.5291</v>
      </c>
      <c r="J4710">
        <v>-344.2473</v>
      </c>
      <c r="K4710">
        <v>1.1098059999999901</v>
      </c>
      <c r="L4710">
        <v>140.70259999999999</v>
      </c>
      <c r="M4710">
        <v>-0.99990089999999998</v>
      </c>
      <c r="N4710">
        <v>0</v>
      </c>
      <c r="O4710">
        <v>9.2254580000000004E-4</v>
      </c>
      <c r="P4710">
        <v>-0.99741100000000005</v>
      </c>
      <c r="Q4710">
        <v>-2.5070140000000001E-2</v>
      </c>
      <c r="R4710">
        <v>6.7403850000000001E-2</v>
      </c>
      <c r="S4710">
        <v>-3.0198969999999998</v>
      </c>
      <c r="T4710">
        <v>-0.1147181</v>
      </c>
      <c r="U4710">
        <v>-0.2246399</v>
      </c>
      <c r="V4710">
        <v>6.6480460000000005E-2</v>
      </c>
      <c r="W4710">
        <v>-1.106617E-2</v>
      </c>
      <c r="X4710">
        <v>0.99772640000000001</v>
      </c>
      <c r="Y4710">
        <v>-7.5047230000000006E-2</v>
      </c>
      <c r="Z4710">
        <v>-1.457936E-3</v>
      </c>
      <c r="AA4710">
        <v>0.99717889999999998</v>
      </c>
      <c r="AB4710">
        <v>27</v>
      </c>
      <c r="AC4710">
        <v>-29.064900000000002</v>
      </c>
      <c r="AD4710">
        <v>-1.10980904418099</v>
      </c>
      <c r="AE4710">
        <v>-2.17349999999999</v>
      </c>
      <c r="AF4710">
        <v>-2.19712981186087</v>
      </c>
      <c r="AG4710">
        <v>-1.10980904418099</v>
      </c>
      <c r="AH4710">
        <v>29.020805117893499</v>
      </c>
      <c r="AI4710">
        <v>92.183785456570305</v>
      </c>
      <c r="AJ4710">
        <v>94.329534257326898</v>
      </c>
      <c r="AK4710">
        <v>29.125009617431299</v>
      </c>
      <c r="AL4710">
        <v>90.634057752294595</v>
      </c>
      <c r="AM4710">
        <v>86.187905235695496</v>
      </c>
      <c r="AN4710">
        <v>1.00000004046861</v>
      </c>
    </row>
    <row r="4711" spans="1:40" x14ac:dyDescent="0.25">
      <c r="A4711" t="str">
        <f>"20190312154930510"</f>
        <v>20190312154930510</v>
      </c>
      <c r="B4711" t="str">
        <f>"1552376970500432"</f>
        <v>1552376970500432</v>
      </c>
      <c r="C4711" t="s">
        <v>40</v>
      </c>
      <c r="D4711">
        <v>4.7495190000000003</v>
      </c>
      <c r="E4711">
        <v>0.4418356</v>
      </c>
      <c r="F4711" t="s">
        <v>42</v>
      </c>
      <c r="G4711">
        <v>-376.4051</v>
      </c>
      <c r="H4711" s="1">
        <v>-1.8091280000000001E-6</v>
      </c>
      <c r="I4711">
        <v>138.01169999999999</v>
      </c>
      <c r="J4711">
        <v>-344.41800000000001</v>
      </c>
      <c r="K4711">
        <v>1.109812</v>
      </c>
      <c r="L4711">
        <v>140.7028</v>
      </c>
      <c r="M4711">
        <v>-0.99990089999999998</v>
      </c>
      <c r="N4711">
        <v>0</v>
      </c>
      <c r="O4711">
        <v>1.0008899999999999E-3</v>
      </c>
      <c r="P4711">
        <v>-0.9973902</v>
      </c>
      <c r="Q4711">
        <v>-2.5316789999999999E-2</v>
      </c>
      <c r="R4711">
        <v>6.7617490000000002E-2</v>
      </c>
      <c r="S4711">
        <v>-3.022278</v>
      </c>
      <c r="T4711">
        <v>-0.1043028</v>
      </c>
      <c r="U4711">
        <v>-0.25288389999999999</v>
      </c>
      <c r="V4711">
        <v>6.6615939999999998E-2</v>
      </c>
      <c r="W4711">
        <v>-1.131446E-2</v>
      </c>
      <c r="X4711">
        <v>0.99771449999999995</v>
      </c>
      <c r="Y4711">
        <v>-8.4328940000000005E-2</v>
      </c>
      <c r="Z4711">
        <v>-1.486659E-3</v>
      </c>
      <c r="AA4711">
        <v>0.99643680000000001</v>
      </c>
      <c r="AB4711">
        <v>27</v>
      </c>
      <c r="AC4711">
        <v>-31.987100000000002</v>
      </c>
      <c r="AD4711">
        <v>-1.1098138091280001</v>
      </c>
      <c r="AE4711">
        <v>-2.6911</v>
      </c>
      <c r="AF4711">
        <v>-2.7198662426857299</v>
      </c>
      <c r="AG4711">
        <v>-1.1098138091280001</v>
      </c>
      <c r="AH4711">
        <v>31.9462039942639</v>
      </c>
      <c r="AI4711">
        <v>91.982493562184402</v>
      </c>
      <c r="AJ4711">
        <v>94.866366928499801</v>
      </c>
      <c r="AK4711">
        <v>32.080980482400399</v>
      </c>
      <c r="AL4711">
        <v>90.648284662524105</v>
      </c>
      <c r="AM4711">
        <v>86.180114148711198</v>
      </c>
      <c r="AN4711">
        <v>0.99999996198871099</v>
      </c>
    </row>
    <row r="4712" spans="1:40" x14ac:dyDescent="0.25">
      <c r="A4712" t="str">
        <f>"20190312154930525"</f>
        <v>20190312154930525</v>
      </c>
      <c r="B4712" t="str">
        <f>"1552376970520193"</f>
        <v>1552376970520193</v>
      </c>
      <c r="C4712" t="s">
        <v>40</v>
      </c>
      <c r="D4712">
        <v>4.7030409999999998</v>
      </c>
      <c r="E4712">
        <v>0.44013069999999999</v>
      </c>
      <c r="F4712" t="s">
        <v>42</v>
      </c>
      <c r="G4712">
        <v>-376.8682</v>
      </c>
      <c r="H4712" s="1">
        <v>-1.63115E-6</v>
      </c>
      <c r="I4712">
        <v>137.89510000000001</v>
      </c>
      <c r="J4712">
        <v>-344.5994</v>
      </c>
      <c r="K4712">
        <v>1.109812</v>
      </c>
      <c r="L4712">
        <v>140.70310000000001</v>
      </c>
      <c r="M4712">
        <v>-0.99990080000000003</v>
      </c>
      <c r="N4712">
        <v>0</v>
      </c>
      <c r="O4712">
        <v>1.0798660000000001E-3</v>
      </c>
      <c r="P4712">
        <v>-0.99736539999999996</v>
      </c>
      <c r="Q4712">
        <v>-2.4671809999999999E-2</v>
      </c>
      <c r="R4712">
        <v>6.8220260000000005E-2</v>
      </c>
      <c r="S4712">
        <v>-3.0229490000000001</v>
      </c>
      <c r="T4712">
        <v>-0.10338650000000001</v>
      </c>
      <c r="U4712">
        <v>-0.26155089999999998</v>
      </c>
      <c r="V4712">
        <v>6.7140240000000004E-2</v>
      </c>
      <c r="W4712">
        <v>-1.067125E-2</v>
      </c>
      <c r="X4712">
        <v>0.99768650000000003</v>
      </c>
      <c r="Y4712">
        <v>-8.7224380000000004E-2</v>
      </c>
      <c r="Z4712">
        <v>-1.5252039999999901E-3</v>
      </c>
      <c r="AA4712">
        <v>0.9961875</v>
      </c>
      <c r="AB4712">
        <v>27</v>
      </c>
      <c r="AC4712">
        <v>-32.268799999999999</v>
      </c>
      <c r="AD4712">
        <v>-1.10981363115</v>
      </c>
      <c r="AE4712">
        <v>-2.8079999999999901</v>
      </c>
      <c r="AF4712">
        <v>-2.8395142649877698</v>
      </c>
      <c r="AG4712">
        <v>-1.10981363115</v>
      </c>
      <c r="AH4712">
        <v>32.227913905616198</v>
      </c>
      <c r="AI4712">
        <v>91.964676487787997</v>
      </c>
      <c r="AJ4712">
        <v>95.035173741448801</v>
      </c>
      <c r="AK4712">
        <v>32.371792694640298</v>
      </c>
      <c r="AL4712">
        <v>90.611429179845601</v>
      </c>
      <c r="AM4712">
        <v>86.150032117356204</v>
      </c>
      <c r="AN4712">
        <v>1.0000000198430301</v>
      </c>
    </row>
    <row r="4713" spans="1:40" x14ac:dyDescent="0.25">
      <c r="A4713" t="str">
        <f>"20190312154930548"</f>
        <v>20190312154930548</v>
      </c>
      <c r="B4713" t="str">
        <f>"1552376970540689"</f>
        <v>1552376970540689</v>
      </c>
      <c r="C4713" t="s">
        <v>40</v>
      </c>
      <c r="D4713">
        <v>4.6613959999999999</v>
      </c>
      <c r="E4713">
        <v>0.43895430000000002</v>
      </c>
      <c r="F4713" t="s">
        <v>42</v>
      </c>
      <c r="G4713">
        <v>-378.5736</v>
      </c>
      <c r="H4713" s="1">
        <v>-9.9898300000000005E-7</v>
      </c>
      <c r="I4713">
        <v>137.6337</v>
      </c>
      <c r="J4713">
        <v>-344.87689999999998</v>
      </c>
      <c r="K4713">
        <v>1.109823</v>
      </c>
      <c r="L4713">
        <v>140.70349999999999</v>
      </c>
      <c r="M4713">
        <v>-0.99990060000000003</v>
      </c>
      <c r="N4713">
        <v>0</v>
      </c>
      <c r="O4713">
        <v>1.1892230000000001E-3</v>
      </c>
      <c r="P4713">
        <v>-0.99736069999999999</v>
      </c>
      <c r="Q4713">
        <v>-2.4337350000000001E-2</v>
      </c>
      <c r="R4713">
        <v>6.8405309999999997E-2</v>
      </c>
      <c r="S4713">
        <v>-3.0241389999999999</v>
      </c>
      <c r="T4713">
        <v>-9.8787669999999994E-2</v>
      </c>
      <c r="U4713">
        <v>-0.27320860000000002</v>
      </c>
      <c r="V4713">
        <v>6.7216540000000005E-2</v>
      </c>
      <c r="W4713">
        <v>-1.033833E-2</v>
      </c>
      <c r="X4713">
        <v>0.99768480000000004</v>
      </c>
      <c r="Y4713">
        <v>-9.1111780000000003E-2</v>
      </c>
      <c r="Z4713">
        <v>-1.5234910000000001E-3</v>
      </c>
      <c r="AA4713">
        <v>0.99583949999999999</v>
      </c>
      <c r="AB4713">
        <v>27</v>
      </c>
      <c r="AC4713">
        <v>-33.6967</v>
      </c>
      <c r="AD4713">
        <v>-1.1098239989830001</v>
      </c>
      <c r="AE4713">
        <v>-3.0697999999999799</v>
      </c>
      <c r="AF4713">
        <v>-3.1065325713063499</v>
      </c>
      <c r="AG4713">
        <v>-1.1098239989830001</v>
      </c>
      <c r="AH4713">
        <v>33.656816090262701</v>
      </c>
      <c r="AI4713">
        <v>91.880639679536799</v>
      </c>
      <c r="AJ4713">
        <v>95.273473200852393</v>
      </c>
      <c r="AK4713">
        <v>33.818094613077697</v>
      </c>
      <c r="AL4713">
        <v>90.592353256719306</v>
      </c>
      <c r="AM4713">
        <v>86.145663541261897</v>
      </c>
      <c r="AN4713">
        <v>0.99999995223389904</v>
      </c>
    </row>
    <row r="4714" spans="1:40" x14ac:dyDescent="0.25">
      <c r="A4714" t="str">
        <f>"20190312154930563"</f>
        <v>20190312154930563</v>
      </c>
      <c r="B4714" t="str">
        <f>"1552376970560209"</f>
        <v>1552376970560209</v>
      </c>
      <c r="C4714" t="s">
        <v>40</v>
      </c>
      <c r="D4714">
        <v>4.6771989999999999</v>
      </c>
      <c r="E4714">
        <v>0.43811749999999999</v>
      </c>
      <c r="F4714" t="s">
        <v>42</v>
      </c>
      <c r="G4714">
        <v>-380.06049999999999</v>
      </c>
      <c r="H4714" s="1">
        <v>-4.6350209999999996E-6</v>
      </c>
      <c r="I4714">
        <v>137.42490000000001</v>
      </c>
      <c r="J4714">
        <v>-345.0702</v>
      </c>
      <c r="K4714">
        <v>1.109836</v>
      </c>
      <c r="L4714">
        <v>140.7038</v>
      </c>
      <c r="M4714">
        <v>-0.99990060000000003</v>
      </c>
      <c r="N4714">
        <v>0</v>
      </c>
      <c r="O4714">
        <v>1.2571679999999999E-3</v>
      </c>
      <c r="P4714">
        <v>-0.99734179999999995</v>
      </c>
      <c r="Q4714">
        <v>-2.4224829999999999E-2</v>
      </c>
      <c r="R4714">
        <v>6.8722210000000006E-2</v>
      </c>
      <c r="S4714">
        <v>-3.0249630000000001</v>
      </c>
      <c r="T4714">
        <v>-9.5419409999999996E-2</v>
      </c>
      <c r="U4714">
        <v>-0.2818756</v>
      </c>
      <c r="V4714">
        <v>6.7465979999999995E-2</v>
      </c>
      <c r="W4714">
        <v>-1.0226880000000001E-2</v>
      </c>
      <c r="X4714">
        <v>0.99766920000000003</v>
      </c>
      <c r="Y4714">
        <v>-9.3986029999999998E-2</v>
      </c>
      <c r="Z4714">
        <v>-1.5183429999999999E-3</v>
      </c>
      <c r="AA4714">
        <v>0.99557240000000002</v>
      </c>
      <c r="AB4714">
        <v>27</v>
      </c>
      <c r="AC4714">
        <v>-34.990299999999898</v>
      </c>
      <c r="AD4714">
        <v>-1.1098406350209999</v>
      </c>
      <c r="AE4714">
        <v>-3.2788999999999899</v>
      </c>
      <c r="AF4714">
        <v>-3.3195797918145198</v>
      </c>
      <c r="AG4714">
        <v>-1.1098406350209999</v>
      </c>
      <c r="AH4714">
        <v>34.951292640309397</v>
      </c>
      <c r="AI4714">
        <v>91.810611921923694</v>
      </c>
      <c r="AJ4714">
        <v>95.425524140700503</v>
      </c>
      <c r="AK4714">
        <v>35.126118679095697</v>
      </c>
      <c r="AL4714">
        <v>90.585967252698694</v>
      </c>
      <c r="AM4714">
        <v>86.131343177013505</v>
      </c>
      <c r="AN4714">
        <v>1.00000004008026</v>
      </c>
    </row>
    <row r="4715" spans="1:40" x14ac:dyDescent="0.25">
      <c r="A4715" t="str">
        <f>"20190312154930581"</f>
        <v>20190312154930581</v>
      </c>
      <c r="B4715" t="str">
        <f>"1552376970570945"</f>
        <v>1552376970570945</v>
      </c>
      <c r="C4715" t="s">
        <v>40</v>
      </c>
      <c r="D4715">
        <v>4.6447310000000002</v>
      </c>
      <c r="E4715">
        <v>0.43772179999999999</v>
      </c>
      <c r="F4715" t="s">
        <v>42</v>
      </c>
      <c r="G4715">
        <v>-382.54930000000002</v>
      </c>
      <c r="H4715" s="1">
        <v>-3.61725E-6</v>
      </c>
      <c r="I4715">
        <v>137.14349999999999</v>
      </c>
      <c r="J4715">
        <v>-345.28390000000002</v>
      </c>
      <c r="K4715">
        <v>1.109847</v>
      </c>
      <c r="L4715">
        <v>140.70419999999999</v>
      </c>
      <c r="M4715">
        <v>-0.99990060000000003</v>
      </c>
      <c r="N4715">
        <v>0</v>
      </c>
      <c r="O4715">
        <v>1.324083E-3</v>
      </c>
      <c r="P4715">
        <v>-0.9973457</v>
      </c>
      <c r="Q4715">
        <v>-2.4022129999999999E-2</v>
      </c>
      <c r="R4715">
        <v>6.8736350000000002E-2</v>
      </c>
      <c r="S4715">
        <v>-3.025604</v>
      </c>
      <c r="T4715">
        <v>-8.9595079999999994E-2</v>
      </c>
      <c r="U4715">
        <v>-0.28741460000000002</v>
      </c>
      <c r="V4715">
        <v>6.7413609999999999E-2</v>
      </c>
      <c r="W4715">
        <v>-1.00249E-2</v>
      </c>
      <c r="X4715">
        <v>0.99767479999999997</v>
      </c>
      <c r="Y4715">
        <v>-9.5844349999999995E-2</v>
      </c>
      <c r="Z4715">
        <v>-1.454707E-3</v>
      </c>
      <c r="AA4715">
        <v>0.99539520000000004</v>
      </c>
      <c r="AB4715">
        <v>27</v>
      </c>
      <c r="AC4715">
        <v>-37.2654</v>
      </c>
      <c r="AD4715">
        <v>-1.10985061725</v>
      </c>
      <c r="AE4715">
        <v>-3.56069999999999</v>
      </c>
      <c r="AF4715">
        <v>-3.6068739147690598</v>
      </c>
      <c r="AG4715">
        <v>-1.10985061725</v>
      </c>
      <c r="AH4715">
        <v>37.227930236060203</v>
      </c>
      <c r="AI4715">
        <v>91.699659827710803</v>
      </c>
      <c r="AJ4715">
        <v>95.533899897213999</v>
      </c>
      <c r="AK4715">
        <v>37.418713199288597</v>
      </c>
      <c r="AL4715">
        <v>90.574394052566106</v>
      </c>
      <c r="AM4715">
        <v>86.134358719079003</v>
      </c>
      <c r="AN4715">
        <v>1.0000000499941299</v>
      </c>
    </row>
    <row r="4716" spans="1:40" x14ac:dyDescent="0.25">
      <c r="A4716" t="str">
        <f>"20190312154930596"</f>
        <v>20190312154930596</v>
      </c>
      <c r="B4716" t="str">
        <f>"1552376970590465"</f>
        <v>1552376970590465</v>
      </c>
      <c r="C4716" t="s">
        <v>40</v>
      </c>
      <c r="D4716">
        <v>4.6116070000000002</v>
      </c>
      <c r="E4716">
        <v>0.43708209999999997</v>
      </c>
      <c r="F4716" t="s">
        <v>42</v>
      </c>
      <c r="G4716">
        <v>-383.56529999999998</v>
      </c>
      <c r="H4716" s="1">
        <v>-3.201625E-6</v>
      </c>
      <c r="I4716">
        <v>137.02930000000001</v>
      </c>
      <c r="J4716">
        <v>-345.4692</v>
      </c>
      <c r="K4716">
        <v>1.1098570000000001</v>
      </c>
      <c r="L4716">
        <v>140.7045</v>
      </c>
      <c r="M4716">
        <v>-0.99990060000000003</v>
      </c>
      <c r="N4716">
        <v>0</v>
      </c>
      <c r="O4716">
        <v>1.37415E-3</v>
      </c>
      <c r="P4716">
        <v>-0.99733899999999998</v>
      </c>
      <c r="Q4716">
        <v>-2.384126E-2</v>
      </c>
      <c r="R4716">
        <v>6.8897910000000007E-2</v>
      </c>
      <c r="S4716">
        <v>-3.0258790000000002</v>
      </c>
      <c r="T4716">
        <v>-8.7726120000000005E-2</v>
      </c>
      <c r="U4716">
        <v>-0.29046630000000001</v>
      </c>
      <c r="V4716">
        <v>6.7525399999999902E-2</v>
      </c>
      <c r="W4716">
        <v>-9.8448319999999995E-3</v>
      </c>
      <c r="X4716">
        <v>0.99766900000000003</v>
      </c>
      <c r="Y4716">
        <v>-9.6881780000000001E-2</v>
      </c>
      <c r="Z4716">
        <v>-1.4406270000000001E-3</v>
      </c>
      <c r="AA4716">
        <v>0.99529489999999998</v>
      </c>
      <c r="AB4716">
        <v>27</v>
      </c>
      <c r="AC4716">
        <v>-38.0960999999999</v>
      </c>
      <c r="AD4716">
        <v>-1.1098602016250001</v>
      </c>
      <c r="AE4716">
        <v>-3.6751999999999798</v>
      </c>
      <c r="AF4716">
        <v>-3.7244195180501798</v>
      </c>
      <c r="AG4716">
        <v>-1.1098602016250001</v>
      </c>
      <c r="AH4716">
        <v>38.059008843919102</v>
      </c>
      <c r="AI4716">
        <v>91.662424561494802</v>
      </c>
      <c r="AJ4716">
        <v>95.589116292143601</v>
      </c>
      <c r="AK4716">
        <v>38.256911069702099</v>
      </c>
      <c r="AL4716">
        <v>90.564076426079694</v>
      </c>
      <c r="AM4716">
        <v>86.127945481793105</v>
      </c>
      <c r="AN4716">
        <v>1.0000000169616301</v>
      </c>
    </row>
    <row r="4717" spans="1:40" x14ac:dyDescent="0.25">
      <c r="A4717" t="str">
        <f>"20190312154930615"</f>
        <v>20190312154930615</v>
      </c>
      <c r="B4717" t="str">
        <f>"1552376970610961"</f>
        <v>1552376970610961</v>
      </c>
      <c r="C4717" t="s">
        <v>40</v>
      </c>
      <c r="D4717">
        <v>4.6073440000000003</v>
      </c>
      <c r="E4717">
        <v>0.43653710000000001</v>
      </c>
      <c r="F4717" t="s">
        <v>42</v>
      </c>
      <c r="G4717">
        <v>-385.6397</v>
      </c>
      <c r="H4717" s="1">
        <v>-2.3541360000000002E-6</v>
      </c>
      <c r="I4717">
        <v>136.7902</v>
      </c>
      <c r="J4717">
        <v>-345.7054</v>
      </c>
      <c r="K4717">
        <v>1.109866</v>
      </c>
      <c r="L4717">
        <v>140.70490000000001</v>
      </c>
      <c r="M4717">
        <v>-0.99990049999999997</v>
      </c>
      <c r="N4717">
        <v>0</v>
      </c>
      <c r="O4717">
        <v>1.4287799999999999E-3</v>
      </c>
      <c r="P4717">
        <v>-0.9973474</v>
      </c>
      <c r="Q4717">
        <v>-2.379146E-2</v>
      </c>
      <c r="R4717">
        <v>6.8794179999999996E-2</v>
      </c>
      <c r="S4717">
        <v>-3.0263979999999999</v>
      </c>
      <c r="T4717">
        <v>-8.3615540000000002E-2</v>
      </c>
      <c r="U4717">
        <v>-0.29489140000000003</v>
      </c>
      <c r="V4717">
        <v>6.736752E-2</v>
      </c>
      <c r="W4717">
        <v>-9.7958139999999999E-3</v>
      </c>
      <c r="X4717">
        <v>0.99768009999999996</v>
      </c>
      <c r="Y4717">
        <v>-9.8364770000000004E-2</v>
      </c>
      <c r="Z4717">
        <v>-1.394759E-3</v>
      </c>
      <c r="AA4717">
        <v>0.99514939999999996</v>
      </c>
      <c r="AB4717">
        <v>27</v>
      </c>
      <c r="AC4717">
        <v>-39.9343</v>
      </c>
      <c r="AD4717">
        <v>-1.1098683541359999</v>
      </c>
      <c r="AE4717">
        <v>-3.9147000000000101</v>
      </c>
      <c r="AF4717">
        <v>-3.9687226284496999</v>
      </c>
      <c r="AG4717">
        <v>-1.1098683541359999</v>
      </c>
      <c r="AH4717">
        <v>39.898140835163602</v>
      </c>
      <c r="AI4717">
        <v>91.585595994466402</v>
      </c>
      <c r="AJ4717">
        <v>95.680603043047796</v>
      </c>
      <c r="AK4717">
        <v>40.110400261872599</v>
      </c>
      <c r="AL4717">
        <v>90.561267797397306</v>
      </c>
      <c r="AM4717">
        <v>86.137014073388897</v>
      </c>
      <c r="AN4717">
        <v>0.99999996132944002</v>
      </c>
    </row>
    <row r="4718" spans="1:40" x14ac:dyDescent="0.25">
      <c r="A4718" t="str">
        <f>"20190312154930637"</f>
        <v>20190312154930637</v>
      </c>
      <c r="B4718" t="str">
        <f>"1552376970630481"</f>
        <v>1552376970630481</v>
      </c>
      <c r="C4718" t="s">
        <v>40</v>
      </c>
      <c r="D4718">
        <v>4.7522679999999999</v>
      </c>
      <c r="E4718">
        <v>0.436199</v>
      </c>
      <c r="F4718" t="s">
        <v>42</v>
      </c>
      <c r="G4718">
        <v>-386.98750000000001</v>
      </c>
      <c r="H4718" s="1">
        <v>-1.808395E-6</v>
      </c>
      <c r="I4718">
        <v>136.62020000000001</v>
      </c>
      <c r="J4718">
        <v>-345.96960000000001</v>
      </c>
      <c r="K4718">
        <v>1.1098790000000001</v>
      </c>
      <c r="L4718">
        <v>140.70529999999999</v>
      </c>
      <c r="M4718">
        <v>-0.99990029999999996</v>
      </c>
      <c r="N4718">
        <v>0</v>
      </c>
      <c r="O4718">
        <v>1.477807E-3</v>
      </c>
      <c r="P4718">
        <v>-0.99734860000000003</v>
      </c>
      <c r="Q4718">
        <v>-2.3915160000000001E-2</v>
      </c>
      <c r="R4718">
        <v>6.8731390000000003E-2</v>
      </c>
      <c r="S4718">
        <v>-3.026672</v>
      </c>
      <c r="T4718">
        <v>-8.1372260000000002E-2</v>
      </c>
      <c r="U4718">
        <v>-0.29946899999999999</v>
      </c>
      <c r="V4718">
        <v>6.7256079999999996E-2</v>
      </c>
      <c r="W4718">
        <v>-9.9206899999999994E-3</v>
      </c>
      <c r="X4718">
        <v>0.99768639999999997</v>
      </c>
      <c r="Y4718">
        <v>-9.989692E-2</v>
      </c>
      <c r="Z4718">
        <v>-1.3789879999999901E-3</v>
      </c>
      <c r="AA4718">
        <v>0.99499680000000001</v>
      </c>
      <c r="AB4718">
        <v>27</v>
      </c>
      <c r="AC4718">
        <v>-41.017899999999997</v>
      </c>
      <c r="AD4718">
        <v>-1.109880808395</v>
      </c>
      <c r="AE4718">
        <v>-4.0850999999999802</v>
      </c>
      <c r="AF4718">
        <v>-4.1427147165556404</v>
      </c>
      <c r="AG4718">
        <v>-1.109880808395</v>
      </c>
      <c r="AH4718">
        <v>40.982106862865599</v>
      </c>
      <c r="AI4718">
        <v>91.543447968680795</v>
      </c>
      <c r="AJ4718">
        <v>95.772190123177097</v>
      </c>
      <c r="AK4718">
        <v>41.205909813410798</v>
      </c>
      <c r="AL4718">
        <v>90.568423004478802</v>
      </c>
      <c r="AM4718">
        <v>86.143409241560093</v>
      </c>
      <c r="AN4718">
        <v>0.99999997656600104</v>
      </c>
    </row>
    <row r="4719" spans="1:40" x14ac:dyDescent="0.25">
      <c r="A4719" t="str">
        <f>"20190312154930658"</f>
        <v>20190312154930658</v>
      </c>
      <c r="B4719" t="str">
        <f>"1552376970650977"</f>
        <v>1552376970650977</v>
      </c>
      <c r="C4719" t="s">
        <v>40</v>
      </c>
      <c r="D4719">
        <v>4.5817519999999998</v>
      </c>
      <c r="E4719">
        <v>0.4358416</v>
      </c>
      <c r="F4719" t="s">
        <v>42</v>
      </c>
      <c r="G4719">
        <v>-388.5471</v>
      </c>
      <c r="H4719" s="1">
        <v>-1.3216120000000001E-6</v>
      </c>
      <c r="I4719">
        <v>136.45490000000001</v>
      </c>
      <c r="J4719">
        <v>-346.22550000000001</v>
      </c>
      <c r="K4719">
        <v>1.1098859999999999</v>
      </c>
      <c r="L4719">
        <v>140.70570000000001</v>
      </c>
      <c r="M4719">
        <v>-0.99990040000000002</v>
      </c>
      <c r="N4719">
        <v>0</v>
      </c>
      <c r="O4719">
        <v>1.5159609999999999E-3</v>
      </c>
      <c r="P4719">
        <v>-0.99741080000000004</v>
      </c>
      <c r="Q4719">
        <v>-2.3681649999999999E-2</v>
      </c>
      <c r="R4719">
        <v>6.7904820000000005E-2</v>
      </c>
      <c r="S4719">
        <v>-3.0269469999999998</v>
      </c>
      <c r="T4719">
        <v>-7.8904390000000005E-2</v>
      </c>
      <c r="U4719">
        <v>-0.30216979999999999</v>
      </c>
      <c r="V4719">
        <v>6.6391510000000001E-2</v>
      </c>
      <c r="W4719">
        <v>-9.6877179999999997E-3</v>
      </c>
      <c r="X4719">
        <v>0.99774660000000004</v>
      </c>
      <c r="Y4719">
        <v>-0.10080699999999999</v>
      </c>
      <c r="Z4719">
        <v>-1.34982299999999E-3</v>
      </c>
      <c r="AA4719">
        <v>0.99490509999999999</v>
      </c>
      <c r="AB4719">
        <v>27</v>
      </c>
      <c r="AC4719">
        <v>-42.321599999999897</v>
      </c>
      <c r="AD4719">
        <v>-1.109887321612</v>
      </c>
      <c r="AE4719">
        <v>-4.2507999999999901</v>
      </c>
      <c r="AF4719">
        <v>-4.3120233310939797</v>
      </c>
      <c r="AG4719">
        <v>-1.109887321612</v>
      </c>
      <c r="AH4719">
        <v>42.2863145263766</v>
      </c>
      <c r="AI4719">
        <v>91.495742070746999</v>
      </c>
      <c r="AJ4719">
        <v>95.822444128916899</v>
      </c>
      <c r="AK4719">
        <v>42.520086915459402</v>
      </c>
      <c r="AL4719">
        <v>90.555074047666494</v>
      </c>
      <c r="AM4719">
        <v>86.193067609015799</v>
      </c>
      <c r="AN4719">
        <v>0.99999998114584299</v>
      </c>
    </row>
    <row r="4720" spans="1:40" x14ac:dyDescent="0.25">
      <c r="A4720" t="str">
        <f>"20190312154930676"</f>
        <v>20190312154930676</v>
      </c>
      <c r="B4720" t="str">
        <f>"1552376970670498"</f>
        <v>1552376970670498</v>
      </c>
      <c r="C4720" t="s">
        <v>40</v>
      </c>
      <c r="D4720">
        <v>4.6467369999999999</v>
      </c>
      <c r="E4720">
        <v>0.43539630000000001</v>
      </c>
      <c r="F4720" t="s">
        <v>42</v>
      </c>
      <c r="G4720">
        <v>-390.81259999999997</v>
      </c>
      <c r="H4720" s="1">
        <v>-4.5335720000000002E-6</v>
      </c>
      <c r="I4720">
        <v>136.17779999999999</v>
      </c>
      <c r="J4720">
        <v>-346.43220000000002</v>
      </c>
      <c r="K4720">
        <v>1.1098889999999999</v>
      </c>
      <c r="L4720">
        <v>140.70609999999999</v>
      </c>
      <c r="M4720">
        <v>-0.99990040000000002</v>
      </c>
      <c r="N4720">
        <v>0</v>
      </c>
      <c r="O4720">
        <v>1.542304E-3</v>
      </c>
      <c r="P4720">
        <v>-0.99743879999999996</v>
      </c>
      <c r="Q4720">
        <v>-2.348606E-2</v>
      </c>
      <c r="R4720">
        <v>6.7561049999999997E-2</v>
      </c>
      <c r="S4720">
        <v>-3.0269469999999998</v>
      </c>
      <c r="T4720">
        <v>-7.5348730000000003E-2</v>
      </c>
      <c r="U4720">
        <v>-0.3073883</v>
      </c>
      <c r="V4720">
        <v>6.6021529999999995E-2</v>
      </c>
      <c r="W4720">
        <v>-9.4931760000000007E-3</v>
      </c>
      <c r="X4720">
        <v>0.99777309999999997</v>
      </c>
      <c r="Y4720">
        <v>-0.1025335</v>
      </c>
      <c r="Z4720">
        <v>-1.310989E-3</v>
      </c>
      <c r="AA4720">
        <v>0.99472870000000002</v>
      </c>
      <c r="AB4720">
        <v>27</v>
      </c>
      <c r="AC4720">
        <v>-44.380399999999902</v>
      </c>
      <c r="AD4720">
        <v>-1.1098935335719999</v>
      </c>
      <c r="AE4720">
        <v>-4.5282999999999998</v>
      </c>
      <c r="AF4720">
        <v>-4.5939058459268702</v>
      </c>
      <c r="AG4720">
        <v>-1.1098935335719999</v>
      </c>
      <c r="AH4720">
        <v>44.345912917165698</v>
      </c>
      <c r="AI4720">
        <v>91.426076347932593</v>
      </c>
      <c r="AJ4720">
        <v>95.914319312513001</v>
      </c>
      <c r="AK4720">
        <v>44.597038321327503</v>
      </c>
      <c r="AL4720">
        <v>90.543927055851</v>
      </c>
      <c r="AM4720">
        <v>86.214320892650804</v>
      </c>
      <c r="AN4720">
        <v>1.00000006094885</v>
      </c>
    </row>
    <row r="4721" spans="1:40" x14ac:dyDescent="0.25">
      <c r="A4721" t="str">
        <f>"20190312154930693"</f>
        <v>20190312154930693</v>
      </c>
      <c r="B4721" t="str">
        <f>"1552376970680258"</f>
        <v>1552376970680258</v>
      </c>
      <c r="C4721" t="s">
        <v>40</v>
      </c>
      <c r="D4721">
        <v>4.5966940000000003</v>
      </c>
      <c r="E4721">
        <v>0.435253</v>
      </c>
      <c r="F4721" t="s">
        <v>42</v>
      </c>
      <c r="G4721">
        <v>-392.84320000000002</v>
      </c>
      <c r="H4721" s="1">
        <v>-3.7072529999999998E-6</v>
      </c>
      <c r="I4721">
        <v>135.92519999999999</v>
      </c>
      <c r="J4721">
        <v>-346.6465</v>
      </c>
      <c r="K4721">
        <v>1.109891</v>
      </c>
      <c r="L4721">
        <v>140.70650000000001</v>
      </c>
      <c r="M4721">
        <v>-0.99990040000000002</v>
      </c>
      <c r="N4721">
        <v>0</v>
      </c>
      <c r="O4721">
        <v>1.567059E-3</v>
      </c>
      <c r="P4721">
        <v>-0.99750439999999996</v>
      </c>
      <c r="Q4721">
        <v>-2.3188830000000001E-2</v>
      </c>
      <c r="R4721">
        <v>6.6689440000000003E-2</v>
      </c>
      <c r="S4721">
        <v>-3.0271300000000001</v>
      </c>
      <c r="T4721">
        <v>-7.2392109999999996E-2</v>
      </c>
      <c r="U4721">
        <v>-0.31182860000000001</v>
      </c>
      <c r="V4721">
        <v>6.5125130000000003E-2</v>
      </c>
      <c r="W4721">
        <v>-9.1967360000000005E-3</v>
      </c>
      <c r="X4721">
        <v>0.99783469999999996</v>
      </c>
      <c r="Y4721">
        <v>-0.1039981</v>
      </c>
      <c r="Z4721">
        <v>-1.277446E-3</v>
      </c>
      <c r="AA4721">
        <v>0.99457669999999998</v>
      </c>
      <c r="AB4721">
        <v>27</v>
      </c>
      <c r="AC4721">
        <v>-46.1967</v>
      </c>
      <c r="AD4721">
        <v>-1.1098947072530001</v>
      </c>
      <c r="AE4721">
        <v>-4.7813000000000097</v>
      </c>
      <c r="AF4721">
        <v>-4.8509238289859997</v>
      </c>
      <c r="AG4721">
        <v>-1.1098947072530001</v>
      </c>
      <c r="AH4721">
        <v>46.162786257152703</v>
      </c>
      <c r="AI4721">
        <v>91.369761506451596</v>
      </c>
      <c r="AJ4721">
        <v>95.998796306317104</v>
      </c>
      <c r="AK4721">
        <v>46.430228981552297</v>
      </c>
      <c r="AL4721">
        <v>90.526941599291106</v>
      </c>
      <c r="AM4721">
        <v>86.265803975778894</v>
      </c>
      <c r="AN4721">
        <v>0.99999997551733</v>
      </c>
    </row>
    <row r="4722" spans="1:40" x14ac:dyDescent="0.25">
      <c r="A4722" t="str">
        <f>"20190312154930715"</f>
        <v>20190312154930715</v>
      </c>
      <c r="B4722" t="str">
        <f>"1552376970710515"</f>
        <v>1552376970710515</v>
      </c>
      <c r="C4722" t="s">
        <v>40</v>
      </c>
      <c r="D4722">
        <v>4.631316</v>
      </c>
      <c r="E4722">
        <v>0.43489729999999999</v>
      </c>
      <c r="F4722" t="s">
        <v>42</v>
      </c>
      <c r="G4722">
        <v>-393.27330000000001</v>
      </c>
      <c r="H4722" s="1">
        <v>-3.5372670000000001E-6</v>
      </c>
      <c r="I4722">
        <v>135.8432</v>
      </c>
      <c r="J4722">
        <v>-346.91410000000002</v>
      </c>
      <c r="K4722">
        <v>1.1098920000000001</v>
      </c>
      <c r="L4722">
        <v>140.70689999999999</v>
      </c>
      <c r="M4722">
        <v>-0.99990040000000002</v>
      </c>
      <c r="N4722">
        <v>0</v>
      </c>
      <c r="O4722">
        <v>1.596486E-3</v>
      </c>
      <c r="P4722">
        <v>-0.99756409999999995</v>
      </c>
      <c r="Q4722">
        <v>-2.3445839999999999E-2</v>
      </c>
      <c r="R4722">
        <v>6.5698240000000005E-2</v>
      </c>
      <c r="S4722">
        <v>-3.0269170000000001</v>
      </c>
      <c r="T4722">
        <v>-7.2052119999999997E-2</v>
      </c>
      <c r="U4722">
        <v>-0.31570429999999999</v>
      </c>
      <c r="V4722">
        <v>6.4104519999999998E-2</v>
      </c>
      <c r="W4722">
        <v>-9.4552999999999998E-3</v>
      </c>
      <c r="X4722">
        <v>0.99789839999999996</v>
      </c>
      <c r="Y4722">
        <v>-0.1052942</v>
      </c>
      <c r="Z4722">
        <v>-1.287535E-3</v>
      </c>
      <c r="AA4722">
        <v>0.99444030000000005</v>
      </c>
      <c r="AB4722">
        <v>27</v>
      </c>
      <c r="AC4722">
        <v>-46.359199999999902</v>
      </c>
      <c r="AD4722">
        <v>-1.1098955372669901</v>
      </c>
      <c r="AE4722">
        <v>-4.8636999999999899</v>
      </c>
      <c r="AF4722">
        <v>-4.9349150840495399</v>
      </c>
      <c r="AG4722">
        <v>-1.1098955372669901</v>
      </c>
      <c r="AH4722">
        <v>46.325111687342499</v>
      </c>
      <c r="AI4722">
        <v>91.364758370584994</v>
      </c>
      <c r="AJ4722">
        <v>96.0806645605943</v>
      </c>
      <c r="AK4722">
        <v>46.600442356647001</v>
      </c>
      <c r="AL4722">
        <v>90.541756854243005</v>
      </c>
      <c r="AM4722">
        <v>86.324396800147397</v>
      </c>
      <c r="AN4722">
        <v>1.0000000044525399</v>
      </c>
    </row>
    <row r="4723" spans="1:40" x14ac:dyDescent="0.25">
      <c r="A4723" t="str">
        <f>"20190312154930738"</f>
        <v>20190312154930738</v>
      </c>
      <c r="B4723" t="str">
        <f>"1552376970731009"</f>
        <v>1552376970731009</v>
      </c>
      <c r="C4723" t="s">
        <v>40</v>
      </c>
      <c r="D4723">
        <v>4.6325029999999998</v>
      </c>
      <c r="E4723">
        <v>0.4345677</v>
      </c>
      <c r="F4723" t="s">
        <v>42</v>
      </c>
      <c r="G4723">
        <v>-393.6318</v>
      </c>
      <c r="H4723" s="1">
        <v>-3.4010670000000001E-6</v>
      </c>
      <c r="I4723">
        <v>135.7441</v>
      </c>
      <c r="J4723">
        <v>-347.18669999999997</v>
      </c>
      <c r="K4723">
        <v>1.1098920000000001</v>
      </c>
      <c r="L4723">
        <v>140.70740000000001</v>
      </c>
      <c r="M4723">
        <v>-0.99990040000000002</v>
      </c>
      <c r="N4723">
        <v>0</v>
      </c>
      <c r="O4723">
        <v>1.626176E-3</v>
      </c>
      <c r="P4723">
        <v>-0.99760190000000004</v>
      </c>
      <c r="Q4723">
        <v>-2.3411919999999999E-2</v>
      </c>
      <c r="R4723">
        <v>6.5134449999999997E-2</v>
      </c>
      <c r="S4723">
        <v>-3.0268250000000001</v>
      </c>
      <c r="T4723">
        <v>-7.1909790000000001E-2</v>
      </c>
      <c r="U4723">
        <v>-0.32153320000000002</v>
      </c>
      <c r="V4723">
        <v>6.3511079999999998E-2</v>
      </c>
      <c r="W4723">
        <v>-9.423641E-3</v>
      </c>
      <c r="X4723">
        <v>0.99793670000000001</v>
      </c>
      <c r="Y4723">
        <v>-0.1072203</v>
      </c>
      <c r="Z4723">
        <v>-1.308416E-3</v>
      </c>
      <c r="AA4723">
        <v>0.99423439999999996</v>
      </c>
      <c r="AB4723">
        <v>27</v>
      </c>
      <c r="AC4723">
        <v>-46.445099999999996</v>
      </c>
      <c r="AD4723">
        <v>-1.1098954010669999</v>
      </c>
      <c r="AE4723">
        <v>-4.9633000000000003</v>
      </c>
      <c r="AF4723">
        <v>-5.0359853709502396</v>
      </c>
      <c r="AG4723">
        <v>-1.1098954010669999</v>
      </c>
      <c r="AH4723">
        <v>46.410762347394098</v>
      </c>
      <c r="AI4723">
        <v>91.361953789036406</v>
      </c>
      <c r="AJ4723">
        <v>96.192878134542994</v>
      </c>
      <c r="AK4723">
        <v>46.696379711108499</v>
      </c>
      <c r="AL4723">
        <v>90.539942816490097</v>
      </c>
      <c r="AM4723">
        <v>86.358470658472697</v>
      </c>
      <c r="AN4723">
        <v>1.0000000597496701</v>
      </c>
    </row>
    <row r="4724" spans="1:40" x14ac:dyDescent="0.25">
      <c r="A4724" t="str">
        <f>"20190312154930760"</f>
        <v>20190312154930760</v>
      </c>
      <c r="B4724" t="str">
        <f>"1552376970750530"</f>
        <v>1552376970750530</v>
      </c>
      <c r="C4724" t="s">
        <v>40</v>
      </c>
      <c r="D4724">
        <v>4.6391109999999998</v>
      </c>
      <c r="E4724">
        <v>0.43430800000000003</v>
      </c>
      <c r="F4724" t="s">
        <v>42</v>
      </c>
      <c r="G4724">
        <v>-394.59730000000002</v>
      </c>
      <c r="H4724" s="1">
        <v>-3.0115840000000001E-6</v>
      </c>
      <c r="I4724">
        <v>135.60489999999999</v>
      </c>
      <c r="J4724">
        <v>-347.44499999999999</v>
      </c>
      <c r="K4724">
        <v>1.10989</v>
      </c>
      <c r="L4724">
        <v>140.7079</v>
      </c>
      <c r="M4724">
        <v>-0.99990040000000002</v>
      </c>
      <c r="N4724">
        <v>0</v>
      </c>
      <c r="O4724">
        <v>1.655164E-3</v>
      </c>
      <c r="P4724">
        <v>-0.99762059999999997</v>
      </c>
      <c r="Q4724">
        <v>-2.274493E-2</v>
      </c>
      <c r="R4724">
        <v>6.5083269999999999E-2</v>
      </c>
      <c r="S4724">
        <v>-3.0267940000000002</v>
      </c>
      <c r="T4724">
        <v>-7.0858240000000003E-2</v>
      </c>
      <c r="U4724">
        <v>-0.3257446</v>
      </c>
      <c r="V4724">
        <v>6.3430879999999995E-2</v>
      </c>
      <c r="W4724">
        <v>-8.7592299999999998E-3</v>
      </c>
      <c r="X4724">
        <v>0.99794780000000005</v>
      </c>
      <c r="Y4724">
        <v>-0.1086183</v>
      </c>
      <c r="Z4724">
        <v>-1.306198E-3</v>
      </c>
      <c r="AA4724">
        <v>0.99408269999999999</v>
      </c>
      <c r="AB4724">
        <v>27</v>
      </c>
      <c r="AC4724">
        <v>-47.152299999999997</v>
      </c>
      <c r="AD4724">
        <v>-1.109893011584</v>
      </c>
      <c r="AE4724">
        <v>-5.1029999999999998</v>
      </c>
      <c r="AF4724">
        <v>-5.1782096427643696</v>
      </c>
      <c r="AG4724">
        <v>-1.109893011584</v>
      </c>
      <c r="AH4724">
        <v>47.117984322185798</v>
      </c>
      <c r="AI4724">
        <v>91.341314936054005</v>
      </c>
      <c r="AJ4724">
        <v>96.271569063126805</v>
      </c>
      <c r="AK4724">
        <v>47.414661911557801</v>
      </c>
      <c r="AL4724">
        <v>90.5018733255</v>
      </c>
      <c r="AM4724">
        <v>86.363097073456004</v>
      </c>
      <c r="AN4724">
        <v>1.0000000060862999</v>
      </c>
    </row>
    <row r="4725" spans="1:40" x14ac:dyDescent="0.25">
      <c r="A4725" t="str">
        <f>"20190312154930782"</f>
        <v>20190312154930782</v>
      </c>
      <c r="B4725" t="str">
        <f>"1552376970771025"</f>
        <v>1552376970771025</v>
      </c>
      <c r="C4725" t="s">
        <v>40</v>
      </c>
      <c r="D4725">
        <v>4.6931640000000003</v>
      </c>
      <c r="E4725">
        <v>0.43416349999999998</v>
      </c>
      <c r="F4725" t="s">
        <v>42</v>
      </c>
      <c r="G4725">
        <v>-396.6617</v>
      </c>
      <c r="H4725" s="1">
        <v>-2.250442E-6</v>
      </c>
      <c r="I4725">
        <v>135.37540000000001</v>
      </c>
      <c r="J4725">
        <v>-347.7165</v>
      </c>
      <c r="K4725">
        <v>1.109896</v>
      </c>
      <c r="L4725">
        <v>140.70830000000001</v>
      </c>
      <c r="M4725">
        <v>-0.99990049999999997</v>
      </c>
      <c r="N4725">
        <v>0</v>
      </c>
      <c r="O4725">
        <v>1.68702E-3</v>
      </c>
      <c r="P4725">
        <v>-0.99759180000000003</v>
      </c>
      <c r="Q4725">
        <v>-2.244531E-2</v>
      </c>
      <c r="R4725">
        <v>6.5629770000000004E-2</v>
      </c>
      <c r="S4725">
        <v>-3.0270079999999999</v>
      </c>
      <c r="T4725">
        <v>-6.8262459999999997E-2</v>
      </c>
      <c r="U4725">
        <v>-0.3279572</v>
      </c>
      <c r="V4725">
        <v>6.3945909999999995E-2</v>
      </c>
      <c r="W4725">
        <v>-8.4630680000000007E-3</v>
      </c>
      <c r="X4725">
        <v>0.99791750000000001</v>
      </c>
      <c r="Y4725">
        <v>-0.1093626</v>
      </c>
      <c r="Z4725">
        <v>-1.2673059999999999E-3</v>
      </c>
      <c r="AA4725">
        <v>0.99400109999999997</v>
      </c>
      <c r="AB4725">
        <v>27</v>
      </c>
      <c r="AC4725">
        <v>-48.9452</v>
      </c>
      <c r="AD4725">
        <v>-1.1098982504420001</v>
      </c>
      <c r="AE4725">
        <v>-5.3328999999999898</v>
      </c>
      <c r="AF4725">
        <v>-5.4127213832938104</v>
      </c>
      <c r="AG4725">
        <v>-1.1098982504420001</v>
      </c>
      <c r="AH4725">
        <v>48.911276830681302</v>
      </c>
      <c r="AI4725">
        <v>91.292052090791003</v>
      </c>
      <c r="AJ4725">
        <v>96.314889784147397</v>
      </c>
      <c r="AK4725">
        <v>49.222377310599697</v>
      </c>
      <c r="AL4725">
        <v>90.484903857036599</v>
      </c>
      <c r="AM4725">
        <v>86.333536273466606</v>
      </c>
      <c r="AN4725">
        <v>1.00000001986597</v>
      </c>
    </row>
    <row r="4726" spans="1:40" x14ac:dyDescent="0.25">
      <c r="A4726" t="str">
        <f>"20190312154930805"</f>
        <v>20190312154930805</v>
      </c>
      <c r="B4726" t="str">
        <f>"1552376970800306"</f>
        <v>1552376970800306</v>
      </c>
      <c r="C4726" t="s">
        <v>40</v>
      </c>
      <c r="D4726">
        <v>4.6501099999999997</v>
      </c>
      <c r="E4726">
        <v>0.43408219999999997</v>
      </c>
      <c r="F4726" t="s">
        <v>42</v>
      </c>
      <c r="G4726">
        <v>-397.67849999999999</v>
      </c>
      <c r="H4726" s="1">
        <v>-1.9235790000000002E-6</v>
      </c>
      <c r="I4726">
        <v>135.30350000000001</v>
      </c>
      <c r="J4726">
        <v>-347.98570000000001</v>
      </c>
      <c r="K4726">
        <v>1.109904</v>
      </c>
      <c r="L4726">
        <v>140.7088</v>
      </c>
      <c r="M4726">
        <v>-0.99990040000000002</v>
      </c>
      <c r="N4726">
        <v>0</v>
      </c>
      <c r="O4726">
        <v>1.720547E-3</v>
      </c>
      <c r="P4726">
        <v>-0.99757150000000006</v>
      </c>
      <c r="Q4726">
        <v>-2.1457940000000002E-2</v>
      </c>
      <c r="R4726">
        <v>6.6265160000000004E-2</v>
      </c>
      <c r="S4726">
        <v>-3.0272830000000002</v>
      </c>
      <c r="T4726">
        <v>-6.7250610000000002E-2</v>
      </c>
      <c r="U4726">
        <v>-0.3274841</v>
      </c>
      <c r="V4726">
        <v>6.4547839999999995E-2</v>
      </c>
      <c r="W4726">
        <v>-7.4790739999999996E-3</v>
      </c>
      <c r="X4726">
        <v>0.99788659999999996</v>
      </c>
      <c r="Y4726">
        <v>-0.1092336</v>
      </c>
      <c r="Z4726">
        <v>-1.2477370000000001E-3</v>
      </c>
      <c r="AA4726">
        <v>0.99401530000000005</v>
      </c>
      <c r="AB4726">
        <v>27</v>
      </c>
      <c r="AC4726">
        <v>-49.692799999999899</v>
      </c>
      <c r="AD4726">
        <v>-1.1099059235789901</v>
      </c>
      <c r="AE4726">
        <v>-5.40529999999998</v>
      </c>
      <c r="AF4726">
        <v>-5.4880933679334003</v>
      </c>
      <c r="AG4726">
        <v>-1.1099059235789901</v>
      </c>
      <c r="AH4726">
        <v>49.658941890588501</v>
      </c>
      <c r="AI4726">
        <v>91.272634816811106</v>
      </c>
      <c r="AJ4726">
        <v>96.306491768390998</v>
      </c>
      <c r="AK4726">
        <v>49.973608731681502</v>
      </c>
      <c r="AL4726">
        <v>90.428523364237506</v>
      </c>
      <c r="AM4726">
        <v>86.2990046305204</v>
      </c>
      <c r="AN4726">
        <v>1.00000001332806</v>
      </c>
    </row>
    <row r="4727" spans="1:40" x14ac:dyDescent="0.25">
      <c r="A4727" t="str">
        <f>"20190312154930828"</f>
        <v>20190312154930828</v>
      </c>
      <c r="B4727" t="str">
        <f>"1552376970820802"</f>
        <v>1552376970820802</v>
      </c>
      <c r="C4727" t="s">
        <v>40</v>
      </c>
      <c r="D4727">
        <v>4.6307900000000002</v>
      </c>
      <c r="E4727">
        <v>0.43399919999999997</v>
      </c>
      <c r="F4727" t="s">
        <v>63</v>
      </c>
      <c r="G4727">
        <v>-400.17329999999998</v>
      </c>
      <c r="H4727" s="1">
        <v>-3.0681809999999998E-6</v>
      </c>
      <c r="I4727">
        <v>135.08619999999999</v>
      </c>
      <c r="J4727">
        <v>-348.26170000000002</v>
      </c>
      <c r="K4727">
        <v>1.10991</v>
      </c>
      <c r="L4727">
        <v>140.70930000000001</v>
      </c>
      <c r="M4727">
        <v>-0.99990020000000002</v>
      </c>
      <c r="N4727">
        <v>0</v>
      </c>
      <c r="O4727">
        <v>1.7562789999999999E-3</v>
      </c>
      <c r="P4727">
        <v>-0.9975695</v>
      </c>
      <c r="Q4727">
        <v>-2.1008530000000001E-2</v>
      </c>
      <c r="R4727">
        <v>6.6437419999999997E-2</v>
      </c>
      <c r="S4727">
        <v>-3.0275880000000002</v>
      </c>
      <c r="T4727">
        <v>-6.4389589999999997E-2</v>
      </c>
      <c r="U4727">
        <v>-0.32618709999999901</v>
      </c>
      <c r="V4727">
        <v>6.4684630000000007E-2</v>
      </c>
      <c r="W4727">
        <v>-7.0327849999999997E-3</v>
      </c>
      <c r="X4727">
        <v>0.99788100000000002</v>
      </c>
      <c r="Y4727">
        <v>-0.1088398</v>
      </c>
      <c r="Z4727">
        <v>-1.1911580000000001E-3</v>
      </c>
      <c r="AA4727">
        <v>0.99405860000000001</v>
      </c>
      <c r="AB4727">
        <v>27</v>
      </c>
      <c r="AC4727">
        <v>-51.9115999999999</v>
      </c>
      <c r="AD4727">
        <v>-1.1099130681810001</v>
      </c>
      <c r="AE4727">
        <v>-5.6231000000000204</v>
      </c>
      <c r="AF4727">
        <v>-5.7116907775442902</v>
      </c>
      <c r="AG4727">
        <v>-1.1099130681810001</v>
      </c>
      <c r="AH4727">
        <v>51.878202662165201</v>
      </c>
      <c r="AI4727">
        <v>91.218273717609705</v>
      </c>
      <c r="AJ4727">
        <v>96.282851111842405</v>
      </c>
      <c r="AK4727">
        <v>52.203479098752503</v>
      </c>
      <c r="AL4727">
        <v>90.402952210050103</v>
      </c>
      <c r="AM4727">
        <v>86.291162581025702</v>
      </c>
      <c r="AN4727">
        <v>1.0000000257920401</v>
      </c>
    </row>
    <row r="4728" spans="1:40" x14ac:dyDescent="0.25">
      <c r="A4728" t="str">
        <f>"20190312154930850"</f>
        <v>20190312154930850</v>
      </c>
      <c r="B4728" t="str">
        <f>"1552376970840321"</f>
        <v>1552376970840321</v>
      </c>
      <c r="C4728" t="s">
        <v>40</v>
      </c>
      <c r="D4728">
        <v>4.6873129999999996</v>
      </c>
      <c r="E4728">
        <v>0.43386479999999999</v>
      </c>
      <c r="F4728" t="s">
        <v>63</v>
      </c>
      <c r="G4728">
        <v>-402.43290000000002</v>
      </c>
      <c r="H4728" s="1">
        <v>-4.2295900000000003E-6</v>
      </c>
      <c r="I4728">
        <v>134.8717</v>
      </c>
      <c r="J4728">
        <v>-348.52789999999999</v>
      </c>
      <c r="K4728">
        <v>1.109915</v>
      </c>
      <c r="L4728">
        <v>140.7098</v>
      </c>
      <c r="M4728">
        <v>-0.99990029999999996</v>
      </c>
      <c r="N4728">
        <v>0</v>
      </c>
      <c r="O4728">
        <v>1.7909969999999999E-3</v>
      </c>
      <c r="P4728">
        <v>-0.99757059999999997</v>
      </c>
      <c r="Q4728">
        <v>-2.050484E-2</v>
      </c>
      <c r="R4728">
        <v>6.6575860000000001E-2</v>
      </c>
      <c r="S4728">
        <v>-3.0277400000000001</v>
      </c>
      <c r="T4728">
        <v>-6.2035439999999997E-2</v>
      </c>
      <c r="U4728">
        <v>-0.32627869999999998</v>
      </c>
      <c r="V4728">
        <v>6.4788239999999997E-2</v>
      </c>
      <c r="W4728">
        <v>-6.5320500000000002E-3</v>
      </c>
      <c r="X4728">
        <v>0.99787769999999998</v>
      </c>
      <c r="Y4728">
        <v>-0.1089005</v>
      </c>
      <c r="Z4728">
        <v>-1.1488869999999999E-3</v>
      </c>
      <c r="AA4728">
        <v>0.99405200000000005</v>
      </c>
      <c r="AB4728">
        <v>27</v>
      </c>
      <c r="AC4728">
        <v>-53.905000000000001</v>
      </c>
      <c r="AD4728">
        <v>-1.10991922959</v>
      </c>
      <c r="AE4728">
        <v>-5.8380999999999901</v>
      </c>
      <c r="AF4728">
        <v>-5.9321579612364701</v>
      </c>
      <c r="AG4728">
        <v>-1.10991922959</v>
      </c>
      <c r="AH4728">
        <v>53.871881765579303</v>
      </c>
      <c r="AI4728">
        <v>91.173205167765403</v>
      </c>
      <c r="AJ4728">
        <v>96.283867179963195</v>
      </c>
      <c r="AK4728">
        <v>54.208874400210803</v>
      </c>
      <c r="AL4728">
        <v>90.374261541634496</v>
      </c>
      <c r="AM4728">
        <v>86.285226241212001</v>
      </c>
      <c r="AN4728">
        <v>1.00000004393839</v>
      </c>
    </row>
    <row r="4729" spans="1:40" x14ac:dyDescent="0.25">
      <c r="A4729" t="str">
        <f>"20190312154930871"</f>
        <v>20190312154930871</v>
      </c>
      <c r="B4729" t="str">
        <f>"1552376970860819"</f>
        <v>1552376970860819</v>
      </c>
      <c r="C4729" t="s">
        <v>40</v>
      </c>
      <c r="D4729">
        <v>4.6352149999999996</v>
      </c>
      <c r="E4729">
        <v>0.43374420000000002</v>
      </c>
      <c r="F4729" t="s">
        <v>63</v>
      </c>
      <c r="G4729">
        <v>-404.81369999999998</v>
      </c>
      <c r="H4729" s="1">
        <v>-5.1751239999999996E-6</v>
      </c>
      <c r="I4729">
        <v>134.63550000000001</v>
      </c>
      <c r="J4729">
        <v>-348.78190000000001</v>
      </c>
      <c r="K4729">
        <v>1.109915</v>
      </c>
      <c r="L4729">
        <v>140.71029999999999</v>
      </c>
      <c r="M4729">
        <v>-0.99990029999999996</v>
      </c>
      <c r="N4729">
        <v>0</v>
      </c>
      <c r="O4729">
        <v>1.8244019999999999E-3</v>
      </c>
      <c r="P4729">
        <v>-0.99759580000000003</v>
      </c>
      <c r="Q4729">
        <v>-2.0272579999999998E-2</v>
      </c>
      <c r="R4729">
        <v>6.6270780000000001E-2</v>
      </c>
      <c r="S4729">
        <v>-3.0278930000000002</v>
      </c>
      <c r="T4729">
        <v>-5.9708120000000003E-2</v>
      </c>
      <c r="U4729">
        <v>-0.32676699999999997</v>
      </c>
      <c r="V4729">
        <v>6.4449909999999999E-2</v>
      </c>
      <c r="W4729">
        <v>-6.3022649999999996E-3</v>
      </c>
      <c r="X4729">
        <v>0.99790100000000004</v>
      </c>
      <c r="Y4729">
        <v>-0.1090885</v>
      </c>
      <c r="Z4729">
        <v>-1.108234E-3</v>
      </c>
      <c r="AA4729">
        <v>0.99403140000000001</v>
      </c>
      <c r="AB4729">
        <v>27</v>
      </c>
      <c r="AC4729">
        <v>-56.031799999999897</v>
      </c>
      <c r="AD4729">
        <v>-1.109920175124</v>
      </c>
      <c r="AE4729">
        <v>-6.0747999999999802</v>
      </c>
      <c r="AF4729">
        <v>-6.17462974369802</v>
      </c>
      <c r="AG4729">
        <v>-1.109920175124</v>
      </c>
      <c r="AH4729">
        <v>55.998904817862901</v>
      </c>
      <c r="AI4729">
        <v>91.128637579909295</v>
      </c>
      <c r="AJ4729">
        <v>96.292209447527497</v>
      </c>
      <c r="AK4729">
        <v>56.349226401672702</v>
      </c>
      <c r="AL4729">
        <v>90.361095591567704</v>
      </c>
      <c r="AM4729">
        <v>86.304657274288601</v>
      </c>
      <c r="AN4729">
        <v>0.99999995762206795</v>
      </c>
    </row>
    <row r="4730" spans="1:40" x14ac:dyDescent="0.25">
      <c r="A4730" t="str">
        <f>"20190312154930886"</f>
        <v>20190312154930886</v>
      </c>
      <c r="B4730" t="str">
        <f>"1552376970880337"</f>
        <v>1552376970880337</v>
      </c>
      <c r="C4730" t="s">
        <v>40</v>
      </c>
      <c r="D4730">
        <v>4.686617</v>
      </c>
      <c r="E4730">
        <v>0.43367470000000002</v>
      </c>
      <c r="F4730" t="s">
        <v>63</v>
      </c>
      <c r="G4730">
        <v>-406.3082</v>
      </c>
      <c r="H4730" s="1">
        <v>-6.0801590000000002E-6</v>
      </c>
      <c r="I4730">
        <v>134.46420000000001</v>
      </c>
      <c r="J4730">
        <v>-348.96039999999999</v>
      </c>
      <c r="K4730">
        <v>1.109918</v>
      </c>
      <c r="L4730">
        <v>140.7107</v>
      </c>
      <c r="M4730">
        <v>-0.99990020000000002</v>
      </c>
      <c r="N4730">
        <v>0</v>
      </c>
      <c r="O4730">
        <v>1.8480230000000001E-3</v>
      </c>
      <c r="P4730">
        <v>-0.99761509999999998</v>
      </c>
      <c r="Q4730">
        <v>-1.9996360000000001E-2</v>
      </c>
      <c r="R4730">
        <v>6.6063239999999995E-2</v>
      </c>
      <c r="S4730">
        <v>-3.0278930000000002</v>
      </c>
      <c r="T4730">
        <v>-5.8420659999999999E-2</v>
      </c>
      <c r="U4730">
        <v>-0.3287659</v>
      </c>
      <c r="V4730">
        <v>6.4218799999999895E-2</v>
      </c>
      <c r="W4730">
        <v>-6.0278689999999999E-3</v>
      </c>
      <c r="X4730">
        <v>0.99791770000000002</v>
      </c>
      <c r="Y4730">
        <v>-0.10976130000000001</v>
      </c>
      <c r="Z4730">
        <v>-1.091229E-3</v>
      </c>
      <c r="AA4730">
        <v>0.99395739999999999</v>
      </c>
      <c r="AB4730">
        <v>27</v>
      </c>
      <c r="AC4730">
        <v>-57.347799999999999</v>
      </c>
      <c r="AD4730">
        <v>-1.109924080159</v>
      </c>
      <c r="AE4730">
        <v>-6.2464999999999904</v>
      </c>
      <c r="AF4730">
        <v>-6.3501289944207402</v>
      </c>
      <c r="AG4730">
        <v>-1.109924080159</v>
      </c>
      <c r="AH4730">
        <v>57.314939530693898</v>
      </c>
      <c r="AI4730">
        <v>91.102668940058805</v>
      </c>
      <c r="AJ4730">
        <v>96.322221431529499</v>
      </c>
      <c r="AK4730">
        <v>57.676324112382503</v>
      </c>
      <c r="AL4730">
        <v>90.345373523051606</v>
      </c>
      <c r="AM4730">
        <v>86.317933280630001</v>
      </c>
      <c r="AN4730">
        <v>1.0000000627257</v>
      </c>
    </row>
    <row r="4731" spans="1:40" x14ac:dyDescent="0.25">
      <c r="A4731" t="str">
        <f>"20190312154930898"</f>
        <v>20190312154930898</v>
      </c>
      <c r="B4731" t="str">
        <f>"1552376970891073"</f>
        <v>1552376970891073</v>
      </c>
      <c r="C4731" t="s">
        <v>40</v>
      </c>
      <c r="D4731">
        <v>4.716475</v>
      </c>
      <c r="E4731">
        <v>0.43364979999999997</v>
      </c>
      <c r="F4731" t="s">
        <v>63</v>
      </c>
      <c r="G4731">
        <v>-406.98520000000002</v>
      </c>
      <c r="H4731" s="1">
        <v>-6.5066130000000002E-6</v>
      </c>
      <c r="I4731">
        <v>134.38839999999999</v>
      </c>
      <c r="J4731">
        <v>-349.11959999999999</v>
      </c>
      <c r="K4731">
        <v>1.109918</v>
      </c>
      <c r="L4731">
        <v>140.71100000000001</v>
      </c>
      <c r="M4731">
        <v>-0.99990029999999996</v>
      </c>
      <c r="N4731">
        <v>0</v>
      </c>
      <c r="O4731">
        <v>1.868899E-3</v>
      </c>
      <c r="P4731">
        <v>-0.99764260000000005</v>
      </c>
      <c r="Q4731">
        <v>-1.9233770000000001E-2</v>
      </c>
      <c r="R4731">
        <v>6.5873780000000007E-2</v>
      </c>
      <c r="S4731">
        <v>-3.027863</v>
      </c>
      <c r="T4731">
        <v>-5.7918310000000001E-2</v>
      </c>
      <c r="U4731">
        <v>-0.32991029999999999</v>
      </c>
      <c r="V4731">
        <v>6.400836E-2</v>
      </c>
      <c r="W4731">
        <v>-5.2666950000000001E-3</v>
      </c>
      <c r="X4731">
        <v>0.99793549999999998</v>
      </c>
      <c r="Y4731">
        <v>-0.11015469999999999</v>
      </c>
      <c r="Z4731">
        <v>-1.0859859999999999E-3</v>
      </c>
      <c r="AA4731">
        <v>0.99391379999999996</v>
      </c>
      <c r="AB4731">
        <v>27</v>
      </c>
      <c r="AC4731">
        <v>-57.865600000000001</v>
      </c>
      <c r="AD4731">
        <v>-1.1099245066129999</v>
      </c>
      <c r="AE4731">
        <v>-6.32260000000002</v>
      </c>
      <c r="AF4731">
        <v>-6.4284073158200696</v>
      </c>
      <c r="AG4731">
        <v>-1.1099245066129999</v>
      </c>
      <c r="AH4731">
        <v>57.832655063750998</v>
      </c>
      <c r="AI4731">
        <v>91.092757396853401</v>
      </c>
      <c r="AJ4731">
        <v>96.342693861479304</v>
      </c>
      <c r="AK4731">
        <v>58.199418766438498</v>
      </c>
      <c r="AL4731">
        <v>90.301760779917501</v>
      </c>
      <c r="AM4731">
        <v>86.330031378491597</v>
      </c>
      <c r="AN4731">
        <v>1.0000000351931799</v>
      </c>
    </row>
    <row r="4732" spans="1:40" x14ac:dyDescent="0.25">
      <c r="A4732" t="str">
        <f>"20190312154930916"</f>
        <v>20190312154930916</v>
      </c>
      <c r="B4732" t="str">
        <f>"1552376970910594"</f>
        <v>1552376970910594</v>
      </c>
      <c r="C4732" t="s">
        <v>40</v>
      </c>
      <c r="D4732">
        <v>4.6701600000000001</v>
      </c>
      <c r="E4732">
        <v>0.4336544</v>
      </c>
      <c r="F4732" t="s">
        <v>63</v>
      </c>
      <c r="G4732">
        <v>-409.483</v>
      </c>
      <c r="H4732" s="1">
        <v>-7.9791710000000005E-6</v>
      </c>
      <c r="I4732">
        <v>134.1198</v>
      </c>
      <c r="J4732">
        <v>-349.3227</v>
      </c>
      <c r="K4732">
        <v>1.1099159999999999</v>
      </c>
      <c r="L4732">
        <v>140.7114</v>
      </c>
      <c r="M4732">
        <v>-0.99990020000000002</v>
      </c>
      <c r="N4732">
        <v>0</v>
      </c>
      <c r="O4732">
        <v>1.895678E-3</v>
      </c>
      <c r="P4732">
        <v>-0.99768809999999997</v>
      </c>
      <c r="Q4732">
        <v>-1.876485E-2</v>
      </c>
      <c r="R4732">
        <v>6.531911E-2</v>
      </c>
      <c r="S4732">
        <v>-3.0278320000000001</v>
      </c>
      <c r="T4732">
        <v>-5.5673960000000002E-2</v>
      </c>
      <c r="U4732">
        <v>-0.33061220000000002</v>
      </c>
      <c r="V4732">
        <v>6.3427199999999906E-2</v>
      </c>
      <c r="W4732">
        <v>-4.7992640000000001E-3</v>
      </c>
      <c r="X4732">
        <v>0.9979749</v>
      </c>
      <c r="Y4732">
        <v>-0.1104116</v>
      </c>
      <c r="Z4732">
        <v>-1.046754E-3</v>
      </c>
      <c r="AA4732">
        <v>0.99388540000000003</v>
      </c>
      <c r="AB4732">
        <v>27</v>
      </c>
      <c r="AC4732">
        <v>-60.160299999999999</v>
      </c>
      <c r="AD4732">
        <v>-1.1099239791709901</v>
      </c>
      <c r="AE4732">
        <v>-6.5915999999999997</v>
      </c>
      <c r="AF4732">
        <v>-6.7033892433869502</v>
      </c>
      <c r="AG4732">
        <v>-1.1099239791709901</v>
      </c>
      <c r="AH4732">
        <v>60.127471585987998</v>
      </c>
      <c r="AI4732">
        <v>91.051022173030006</v>
      </c>
      <c r="AJ4732">
        <v>96.361425368362902</v>
      </c>
      <c r="AK4732">
        <v>60.510166070766097</v>
      </c>
      <c r="AL4732">
        <v>90.274978635315605</v>
      </c>
      <c r="AM4732">
        <v>86.363405994755297</v>
      </c>
      <c r="AN4732">
        <v>0.99999997183239497</v>
      </c>
    </row>
    <row r="4733" spans="1:40" x14ac:dyDescent="0.25">
      <c r="A4733" t="str">
        <f>"20190312154930938"</f>
        <v>20190312154930938</v>
      </c>
      <c r="B4733" t="str">
        <f>"1552376970930113"</f>
        <v>1552376970930113</v>
      </c>
      <c r="C4733" t="s">
        <v>40</v>
      </c>
      <c r="D4733">
        <v>4.7252720000000004</v>
      </c>
      <c r="E4733">
        <v>0.43363859999999899</v>
      </c>
      <c r="F4733" t="s">
        <v>63</v>
      </c>
      <c r="G4733">
        <v>-410.98439999999999</v>
      </c>
      <c r="H4733" s="1">
        <v>-8.1075270000000004E-6</v>
      </c>
      <c r="I4733">
        <v>133.9436</v>
      </c>
      <c r="J4733">
        <v>-349.58530000000002</v>
      </c>
      <c r="K4733">
        <v>1.1099139999999901</v>
      </c>
      <c r="L4733">
        <v>140.71190000000001</v>
      </c>
      <c r="M4733">
        <v>-0.99990020000000002</v>
      </c>
      <c r="N4733">
        <v>0</v>
      </c>
      <c r="O4733">
        <v>1.9302670000000001E-3</v>
      </c>
      <c r="P4733">
        <v>-0.99771829999999995</v>
      </c>
      <c r="Q4733">
        <v>-1.8485830000000002E-2</v>
      </c>
      <c r="R4733">
        <v>6.4934229999999996E-2</v>
      </c>
      <c r="S4733">
        <v>-3.027679</v>
      </c>
      <c r="T4733">
        <v>-5.4498909999999998E-2</v>
      </c>
      <c r="U4733">
        <v>-0.33230589999999999</v>
      </c>
      <c r="V4733">
        <v>6.3007579999999994E-2</v>
      </c>
      <c r="W4733">
        <v>-4.5224200000000001E-3</v>
      </c>
      <c r="X4733">
        <v>0.99800279999999997</v>
      </c>
      <c r="Y4733">
        <v>-0.1110015</v>
      </c>
      <c r="Z4733">
        <v>-1.030598E-3</v>
      </c>
      <c r="AA4733">
        <v>0.99381969999999997</v>
      </c>
      <c r="AB4733">
        <v>27</v>
      </c>
      <c r="AC4733">
        <v>-61.399099999999898</v>
      </c>
      <c r="AD4733">
        <v>-1.1099221075269901</v>
      </c>
      <c r="AE4733">
        <v>-6.7683000000000098</v>
      </c>
      <c r="AF4733">
        <v>-6.88459288763696</v>
      </c>
      <c r="AG4733">
        <v>-1.1099221075269901</v>
      </c>
      <c r="AH4733">
        <v>61.366106972917997</v>
      </c>
      <c r="AI4733">
        <v>91.0297309521617</v>
      </c>
      <c r="AJ4733">
        <v>96.401181274630403</v>
      </c>
      <c r="AK4733">
        <v>61.761060801486401</v>
      </c>
      <c r="AL4733">
        <v>90.259116462933207</v>
      </c>
      <c r="AM4733">
        <v>86.387501678409606</v>
      </c>
      <c r="AN4733">
        <v>0.999999998113976</v>
      </c>
    </row>
    <row r="4734" spans="1:40" x14ac:dyDescent="0.25">
      <c r="A4734" t="str">
        <f>"20190312154930954"</f>
        <v>20190312154930954</v>
      </c>
      <c r="B4734" t="str">
        <f>"1552376970950609"</f>
        <v>1552376970950609</v>
      </c>
      <c r="C4734" t="s">
        <v>40</v>
      </c>
      <c r="D4734">
        <v>4.7564029999999997</v>
      </c>
      <c r="E4734">
        <v>0.43359839999999999</v>
      </c>
      <c r="F4734" t="s">
        <v>63</v>
      </c>
      <c r="G4734">
        <v>-411.36529999999999</v>
      </c>
      <c r="H4734" s="1">
        <v>-8.0560959999999997E-6</v>
      </c>
      <c r="I4734">
        <v>133.9025</v>
      </c>
      <c r="J4734">
        <v>-349.77859999999998</v>
      </c>
      <c r="K4734">
        <v>1.1099139999999901</v>
      </c>
      <c r="L4734">
        <v>140.7123</v>
      </c>
      <c r="M4734">
        <v>-0.99990009999999996</v>
      </c>
      <c r="N4734">
        <v>0</v>
      </c>
      <c r="O4734">
        <v>1.955671E-3</v>
      </c>
      <c r="P4734">
        <v>-0.99772799999999995</v>
      </c>
      <c r="Q4734">
        <v>-1.857549E-2</v>
      </c>
      <c r="R4734">
        <v>6.4758200000000002E-2</v>
      </c>
      <c r="S4734">
        <v>-3.0275270000000001</v>
      </c>
      <c r="T4734">
        <v>-5.4391740000000001E-2</v>
      </c>
      <c r="U4734">
        <v>-0.33369450000000001</v>
      </c>
      <c r="V4734">
        <v>6.2806169999999995E-2</v>
      </c>
      <c r="W4734">
        <v>-4.6138100000000003E-3</v>
      </c>
      <c r="X4734">
        <v>0.99801510000000004</v>
      </c>
      <c r="Y4734">
        <v>-0.1114825</v>
      </c>
      <c r="Z4734">
        <v>-1.0333600000000001E-3</v>
      </c>
      <c r="AA4734">
        <v>0.99376589999999998</v>
      </c>
      <c r="AB4734">
        <v>27</v>
      </c>
      <c r="AC4734">
        <v>-61.5867</v>
      </c>
      <c r="AD4734">
        <v>-1.1099220560959999</v>
      </c>
      <c r="AE4734">
        <v>-6.8097999999999903</v>
      </c>
      <c r="AF4734">
        <v>-6.9280190853233199</v>
      </c>
      <c r="AG4734">
        <v>-1.1099220560959999</v>
      </c>
      <c r="AH4734">
        <v>61.553512295499203</v>
      </c>
      <c r="AI4734">
        <v>91.026555016099707</v>
      </c>
      <c r="AJ4734">
        <v>96.421773133866793</v>
      </c>
      <c r="AK4734">
        <v>61.952112565508003</v>
      </c>
      <c r="AL4734">
        <v>90.264352772811705</v>
      </c>
      <c r="AM4734">
        <v>86.399063218772497</v>
      </c>
      <c r="AN4734">
        <v>1.0000000210303901</v>
      </c>
    </row>
    <row r="4735" spans="1:40" x14ac:dyDescent="0.25">
      <c r="A4735" t="str">
        <f>"20190312154930972"</f>
        <v>20190312154930972</v>
      </c>
      <c r="B4735" t="str">
        <f>"1552376970960370"</f>
        <v>1552376970960370</v>
      </c>
      <c r="C4735" t="s">
        <v>40</v>
      </c>
      <c r="D4735">
        <v>4.7123019999999904</v>
      </c>
      <c r="E4735">
        <v>0.43357040000000002</v>
      </c>
      <c r="F4735" t="s">
        <v>63</v>
      </c>
      <c r="G4735">
        <v>-410.78960000000001</v>
      </c>
      <c r="H4735" s="1">
        <v>-8.136755E-6</v>
      </c>
      <c r="I4735">
        <v>133.97139999999999</v>
      </c>
      <c r="J4735">
        <v>-349.98419999999999</v>
      </c>
      <c r="K4735">
        <v>1.1099159999999999</v>
      </c>
      <c r="L4735">
        <v>140.71279999999999</v>
      </c>
      <c r="M4735">
        <v>-0.99990020000000002</v>
      </c>
      <c r="N4735">
        <v>0</v>
      </c>
      <c r="O4735">
        <v>1.982625E-3</v>
      </c>
      <c r="P4735">
        <v>-0.99773199999999995</v>
      </c>
      <c r="Q4735">
        <v>-1.8711789999999999E-2</v>
      </c>
      <c r="R4735">
        <v>6.4660040000000002E-2</v>
      </c>
      <c r="S4735">
        <v>-3.0275270000000001</v>
      </c>
      <c r="T4735">
        <v>-5.5077199999999903E-2</v>
      </c>
      <c r="U4735">
        <v>-0.3345032</v>
      </c>
      <c r="V4735">
        <v>6.2681120000000007E-2</v>
      </c>
      <c r="W4735">
        <v>-4.7520490000000004E-3</v>
      </c>
      <c r="X4735">
        <v>0.99802230000000003</v>
      </c>
      <c r="Y4735">
        <v>-0.111771</v>
      </c>
      <c r="Z4735">
        <v>-1.049471E-3</v>
      </c>
      <c r="AA4735">
        <v>0.99373339999999999</v>
      </c>
      <c r="AB4735">
        <v>27</v>
      </c>
      <c r="AC4735">
        <v>-60.805399999999999</v>
      </c>
      <c r="AD4735">
        <v>-1.1099241367549999</v>
      </c>
      <c r="AE4735">
        <v>-6.7413999999999898</v>
      </c>
      <c r="AF4735">
        <v>-6.8596949668467397</v>
      </c>
      <c r="AG4735">
        <v>-1.1099241367549999</v>
      </c>
      <c r="AH4735">
        <v>60.771910294542202</v>
      </c>
      <c r="AI4735">
        <v>91.039719448383906</v>
      </c>
      <c r="AJ4735">
        <v>96.440064292677405</v>
      </c>
      <c r="AK4735">
        <v>61.167903572669701</v>
      </c>
      <c r="AL4735">
        <v>90.272273374302799</v>
      </c>
      <c r="AM4735">
        <v>86.406239901147998</v>
      </c>
      <c r="AN4735">
        <v>1.0000000080357201</v>
      </c>
    </row>
    <row r="4736" spans="1:40" x14ac:dyDescent="0.25">
      <c r="A4736" t="str">
        <f>"20190312154930988"</f>
        <v>20190312154930988</v>
      </c>
      <c r="B4736" t="str">
        <f>"1552376970982817"</f>
        <v>1552376970982817</v>
      </c>
      <c r="C4736" t="s">
        <v>40</v>
      </c>
      <c r="D4736">
        <v>4.8078409999999998</v>
      </c>
      <c r="E4736">
        <v>0.43350369999999999</v>
      </c>
      <c r="F4736" t="s">
        <v>63</v>
      </c>
      <c r="G4736">
        <v>-410.32130000000001</v>
      </c>
      <c r="H4736" s="1">
        <v>-8.2053420000000008E-6</v>
      </c>
      <c r="I4736">
        <v>134.0342</v>
      </c>
      <c r="J4736">
        <v>-350.1832</v>
      </c>
      <c r="K4736">
        <v>1.109918</v>
      </c>
      <c r="L4736">
        <v>140.7132</v>
      </c>
      <c r="M4736">
        <v>-0.99990020000000002</v>
      </c>
      <c r="N4736">
        <v>0</v>
      </c>
      <c r="O4736">
        <v>2.0085649999999999E-3</v>
      </c>
      <c r="P4736">
        <v>-0.99772510000000003</v>
      </c>
      <c r="Q4736">
        <v>-1.8634870000000001E-2</v>
      </c>
      <c r="R4736">
        <v>6.4788949999999998E-2</v>
      </c>
      <c r="S4736">
        <v>-3.0275569999999998</v>
      </c>
      <c r="T4736">
        <v>-5.5693029999999998E-2</v>
      </c>
      <c r="U4736">
        <v>-0.33511350000000001</v>
      </c>
      <c r="V4736">
        <v>6.2784110000000004E-2</v>
      </c>
      <c r="W4736">
        <v>-4.6771790000000001E-3</v>
      </c>
      <c r="X4736">
        <v>0.99801620000000002</v>
      </c>
      <c r="Y4736">
        <v>-0.1119932</v>
      </c>
      <c r="Z4736">
        <v>-1.0636930000000001E-3</v>
      </c>
      <c r="AA4736">
        <v>0.99370840000000005</v>
      </c>
      <c r="AB4736">
        <v>27</v>
      </c>
      <c r="AC4736">
        <v>-60.138100000000001</v>
      </c>
      <c r="AD4736">
        <v>-1.109926205342</v>
      </c>
      <c r="AE4736">
        <v>-6.6790000000000003</v>
      </c>
      <c r="AF4736">
        <v>-6.7975023674667598</v>
      </c>
      <c r="AG4736">
        <v>-1.109926205342</v>
      </c>
      <c r="AH4736">
        <v>60.1043379868321</v>
      </c>
      <c r="AI4736">
        <v>91.051241206496201</v>
      </c>
      <c r="AJ4736">
        <v>96.452451548298399</v>
      </c>
      <c r="AK4736">
        <v>60.497681108058799</v>
      </c>
      <c r="AL4736">
        <v>90.267983586306798</v>
      </c>
      <c r="AM4736">
        <v>86.400328640493598</v>
      </c>
      <c r="AN4736">
        <v>1.0000000279671599</v>
      </c>
    </row>
    <row r="4737" spans="1:40" x14ac:dyDescent="0.25">
      <c r="A4737" t="str">
        <f>"20190312154931005"</f>
        <v>20190312154931005</v>
      </c>
      <c r="B4737" t="str">
        <f>"1552376971000386"</f>
        <v>1552376971000386</v>
      </c>
      <c r="C4737" t="s">
        <v>40</v>
      </c>
      <c r="D4737">
        <v>4.7615999999999996</v>
      </c>
      <c r="E4737">
        <v>0.43355369999999999</v>
      </c>
      <c r="F4737" t="s">
        <v>63</v>
      </c>
      <c r="G4737">
        <v>-409.53570000000002</v>
      </c>
      <c r="H4737" s="1">
        <v>-8.0217309999999996E-6</v>
      </c>
      <c r="I4737">
        <v>134.1421</v>
      </c>
      <c r="J4737">
        <v>-350.3802</v>
      </c>
      <c r="K4737">
        <v>1.1099190000000001</v>
      </c>
      <c r="L4737">
        <v>140.71360000000001</v>
      </c>
      <c r="M4737">
        <v>-0.99990020000000002</v>
      </c>
      <c r="N4737">
        <v>0</v>
      </c>
      <c r="O4737">
        <v>2.0342070000000001E-3</v>
      </c>
      <c r="P4737">
        <v>-0.9977241</v>
      </c>
      <c r="Q4737">
        <v>-1.8588179999999999E-2</v>
      </c>
      <c r="R4737">
        <v>6.4818639999999997E-2</v>
      </c>
      <c r="S4737">
        <v>-3.0275569999999998</v>
      </c>
      <c r="T4737">
        <v>-5.6617019999999997E-2</v>
      </c>
      <c r="U4737">
        <v>-0.33518979999999998</v>
      </c>
      <c r="V4737">
        <v>6.2788289999999997E-2</v>
      </c>
      <c r="W4737">
        <v>-4.6324309999999898E-3</v>
      </c>
      <c r="X4737">
        <v>0.99801609999999996</v>
      </c>
      <c r="Y4737">
        <v>-0.1120427</v>
      </c>
      <c r="Z4737">
        <v>-1.0822760000000001E-3</v>
      </c>
      <c r="AA4737">
        <v>0.9937028</v>
      </c>
      <c r="AB4737">
        <v>27</v>
      </c>
      <c r="AC4737">
        <v>-59.155500000000004</v>
      </c>
      <c r="AD4737">
        <v>-1.109927021731</v>
      </c>
      <c r="AE4737">
        <v>-6.5715000000000101</v>
      </c>
      <c r="AF4737">
        <v>-6.6895063932475596</v>
      </c>
      <c r="AG4737">
        <v>-1.109927021731</v>
      </c>
      <c r="AH4737">
        <v>59.121448775933302</v>
      </c>
      <c r="AI4737">
        <v>91.068708383992103</v>
      </c>
      <c r="AJ4737">
        <v>96.455479023447793</v>
      </c>
      <c r="AK4737">
        <v>59.509050901053499</v>
      </c>
      <c r="AL4737">
        <v>90.265419699176306</v>
      </c>
      <c r="AM4737">
        <v>86.400089254337203</v>
      </c>
      <c r="AN4737">
        <v>0.99999998231865095</v>
      </c>
    </row>
    <row r="4738" spans="1:40" x14ac:dyDescent="0.25">
      <c r="A4738" t="str">
        <f>"20190312154931029"</f>
        <v>20190312154931029</v>
      </c>
      <c r="B4738" t="str">
        <f>"1552376971019905"</f>
        <v>1552376971019905</v>
      </c>
      <c r="C4738" t="s">
        <v>40</v>
      </c>
      <c r="D4738">
        <v>4.9030290000000001</v>
      </c>
      <c r="E4738">
        <v>0.4595245</v>
      </c>
      <c r="F4738" t="s">
        <v>63</v>
      </c>
      <c r="G4738">
        <v>-409.40269999999998</v>
      </c>
      <c r="H4738" s="1">
        <v>-7.9585379999999906E-6</v>
      </c>
      <c r="I4738">
        <v>134.18700000000001</v>
      </c>
      <c r="J4738">
        <v>-350.6583</v>
      </c>
      <c r="K4738">
        <v>1.109926</v>
      </c>
      <c r="L4738">
        <v>140.71420000000001</v>
      </c>
      <c r="M4738">
        <v>-0.99990020000000002</v>
      </c>
      <c r="N4738">
        <v>0</v>
      </c>
      <c r="O4738">
        <v>2.0705820000000001E-3</v>
      </c>
      <c r="P4738">
        <v>-0.9977317</v>
      </c>
      <c r="Q4738">
        <v>-1.808943E-2</v>
      </c>
      <c r="R4738">
        <v>6.4842510000000006E-2</v>
      </c>
      <c r="S4738">
        <v>-3.0275270000000001</v>
      </c>
      <c r="T4738">
        <v>-5.6933159999999997E-2</v>
      </c>
      <c r="U4738">
        <v>-0.33477780000000001</v>
      </c>
      <c r="V4738">
        <v>6.2775890000000001E-2</v>
      </c>
      <c r="W4738">
        <v>-4.1364030000000003E-3</v>
      </c>
      <c r="X4738">
        <v>0.99801910000000005</v>
      </c>
      <c r="Y4738">
        <v>-0.1119462</v>
      </c>
      <c r="Z4738">
        <v>-1.0881139999999901E-3</v>
      </c>
      <c r="AA4738">
        <v>0.99371370000000003</v>
      </c>
      <c r="AB4738">
        <v>27</v>
      </c>
      <c r="AC4738">
        <v>-58.744399999999899</v>
      </c>
      <c r="AD4738">
        <v>-1.1099339585379999</v>
      </c>
      <c r="AE4738">
        <v>-6.5271999999999899</v>
      </c>
      <c r="AF4738">
        <v>-6.64648915945277</v>
      </c>
      <c r="AG4738">
        <v>-1.1099339585379999</v>
      </c>
      <c r="AH4738">
        <v>58.710054070549198</v>
      </c>
      <c r="AI4738">
        <v>91.076194803839996</v>
      </c>
      <c r="AJ4738">
        <v>96.458881846881894</v>
      </c>
      <c r="AK4738">
        <v>59.095500848252797</v>
      </c>
      <c r="AL4738">
        <v>90.236999104634293</v>
      </c>
      <c r="AM4738">
        <v>86.400809118896802</v>
      </c>
      <c r="AN4738">
        <v>1.00000002307994</v>
      </c>
    </row>
    <row r="4739" spans="1:40" x14ac:dyDescent="0.25">
      <c r="A4739" t="str">
        <f>"20190312154931051"</f>
        <v>20190312154931051</v>
      </c>
      <c r="B4739" t="str">
        <f>"1552376971040765"</f>
        <v>1552376971040765</v>
      </c>
      <c r="C4739" t="s">
        <v>40</v>
      </c>
      <c r="D4739">
        <v>4.9557719999999996</v>
      </c>
      <c r="E4739">
        <v>0.469329</v>
      </c>
      <c r="F4739" t="s">
        <v>42</v>
      </c>
      <c r="G4739">
        <v>-387.18079999999998</v>
      </c>
      <c r="H4739" s="1">
        <v>-1.2749379999999901E-6</v>
      </c>
      <c r="I4739">
        <v>139.1472</v>
      </c>
      <c r="J4739">
        <v>-350.92529999999999</v>
      </c>
      <c r="K4739">
        <v>1.1099330000000001</v>
      </c>
      <c r="L4739">
        <v>140.7148</v>
      </c>
      <c r="M4739">
        <v>-0.99990000000000001</v>
      </c>
      <c r="N4739">
        <v>0</v>
      </c>
      <c r="O4739">
        <v>2.1058230000000002E-3</v>
      </c>
      <c r="P4739">
        <v>-0.9977277</v>
      </c>
      <c r="Q4739">
        <v>-1.800032E-2</v>
      </c>
      <c r="R4739">
        <v>6.4927570000000004E-2</v>
      </c>
      <c r="S4739">
        <v>-3.01355</v>
      </c>
      <c r="T4739">
        <v>-9.1582780000000003E-2</v>
      </c>
      <c r="U4739">
        <v>-0.12928770000000001</v>
      </c>
      <c r="V4739">
        <v>6.2825770000000003E-2</v>
      </c>
      <c r="W4739">
        <v>-4.0500270000000003E-3</v>
      </c>
      <c r="X4739">
        <v>0.99801629999999997</v>
      </c>
      <c r="Y4739">
        <v>-4.4945020000000002E-2</v>
      </c>
      <c r="Z4739">
        <v>-7.4643530000000004E-4</v>
      </c>
      <c r="AA4739">
        <v>0.99898920000000002</v>
      </c>
      <c r="AB4739">
        <v>27</v>
      </c>
      <c r="AC4739">
        <v>-36.255499999999898</v>
      </c>
      <c r="AD4739">
        <v>-1.1099342749379999</v>
      </c>
      <c r="AE4739">
        <v>-1.5675999999999899</v>
      </c>
      <c r="AF4739">
        <v>-1.64241520517505</v>
      </c>
      <c r="AG4739">
        <v>-1.1099342749379999</v>
      </c>
      <c r="AH4739">
        <v>36.218236666364398</v>
      </c>
      <c r="AI4739">
        <v>91.753520641635006</v>
      </c>
      <c r="AJ4739">
        <v>92.596455329059395</v>
      </c>
      <c r="AK4739">
        <v>36.272443383671501</v>
      </c>
      <c r="AL4739">
        <v>90.232050086633294</v>
      </c>
      <c r="AM4739">
        <v>86.397946747757501</v>
      </c>
      <c r="AN4739">
        <v>1.00000000758024</v>
      </c>
    </row>
    <row r="4740" spans="1:40" x14ac:dyDescent="0.25">
      <c r="A4740" t="str">
        <f>"20190312154931072"</f>
        <v>20190312154931072</v>
      </c>
      <c r="B4740" t="str">
        <f>"1552376971060285"</f>
        <v>1552376971060285</v>
      </c>
      <c r="C4740" t="s">
        <v>40</v>
      </c>
      <c r="D4740">
        <v>5.0204040000000001</v>
      </c>
      <c r="E4740">
        <v>0.4721689</v>
      </c>
      <c r="F4740" t="s">
        <v>42</v>
      </c>
      <c r="G4740">
        <v>-387.49040000000002</v>
      </c>
      <c r="H4740" s="1">
        <v>-1.186378E-6</v>
      </c>
      <c r="I4740">
        <v>140.0951</v>
      </c>
      <c r="J4740">
        <v>-351.18209999999999</v>
      </c>
      <c r="K4740">
        <v>1.1099330000000001</v>
      </c>
      <c r="L4740">
        <v>140.71539999999999</v>
      </c>
      <c r="M4740">
        <v>-0.99990000000000001</v>
      </c>
      <c r="N4740">
        <v>0</v>
      </c>
      <c r="O4740">
        <v>2.1393359999999999E-3</v>
      </c>
      <c r="P4740">
        <v>-0.99771569999999998</v>
      </c>
      <c r="Q4740">
        <v>-1.760811E-2</v>
      </c>
      <c r="R4740">
        <v>6.5221440000000006E-2</v>
      </c>
      <c r="S4740">
        <v>-3.0085449999999998</v>
      </c>
      <c r="T4740">
        <v>-9.1324569999999994E-2</v>
      </c>
      <c r="U4740">
        <v>-5.0979610000000002E-2</v>
      </c>
      <c r="V4740">
        <v>6.3086379999999997E-2</v>
      </c>
      <c r="W4740">
        <v>-3.6606500000000001E-3</v>
      </c>
      <c r="X4740">
        <v>0.99800129999999998</v>
      </c>
      <c r="Y4740">
        <v>-1.9071939999999999E-2</v>
      </c>
      <c r="Z4740">
        <v>-3.5430420000000002E-4</v>
      </c>
      <c r="AA4740">
        <v>0.99981799999999998</v>
      </c>
      <c r="AB4740">
        <v>26</v>
      </c>
      <c r="AC4740">
        <v>-36.308300000000003</v>
      </c>
      <c r="AD4740">
        <v>-1.1099341863779999</v>
      </c>
      <c r="AE4740">
        <v>-0.62029999999998597</v>
      </c>
      <c r="AF4740">
        <v>-0.69733035401425003</v>
      </c>
      <c r="AG4740">
        <v>-1.1099341863779999</v>
      </c>
      <c r="AH4740">
        <v>36.273002247768503</v>
      </c>
      <c r="AI4740">
        <v>91.752349288981804</v>
      </c>
      <c r="AJ4740">
        <v>91.101347082705104</v>
      </c>
      <c r="AK4740">
        <v>36.296679126158899</v>
      </c>
      <c r="AL4740">
        <v>90.209740275611395</v>
      </c>
      <c r="AM4740">
        <v>86.382990296424197</v>
      </c>
      <c r="AN4740">
        <v>0.99999994325080599</v>
      </c>
    </row>
    <row r="4741" spans="1:40" x14ac:dyDescent="0.25">
      <c r="A4741" t="str">
        <f>"20190312154931089"</f>
        <v>20190312154931089</v>
      </c>
      <c r="B4741" t="str">
        <f>"1552376971080782"</f>
        <v>1552376971080782</v>
      </c>
      <c r="C4741" t="s">
        <v>40</v>
      </c>
      <c r="D4741">
        <v>5.0378449999999999</v>
      </c>
      <c r="E4741">
        <v>0.47330270000000002</v>
      </c>
      <c r="F4741" t="s">
        <v>42</v>
      </c>
      <c r="G4741">
        <v>-386.67649999999998</v>
      </c>
      <c r="H4741" s="1">
        <v>-1.613428E-6</v>
      </c>
      <c r="I4741">
        <v>140.3879</v>
      </c>
      <c r="J4741">
        <v>-351.3793</v>
      </c>
      <c r="K4741">
        <v>1.109937</v>
      </c>
      <c r="L4741">
        <v>140.7159</v>
      </c>
      <c r="M4741">
        <v>-0.99989989999999995</v>
      </c>
      <c r="N4741">
        <v>0</v>
      </c>
      <c r="O4741">
        <v>2.1650979999999998E-3</v>
      </c>
      <c r="P4741">
        <v>-0.99772669999999997</v>
      </c>
      <c r="Q4741">
        <v>-1.7462229999999999E-2</v>
      </c>
      <c r="R4741">
        <v>6.5089049999999996E-2</v>
      </c>
      <c r="S4741">
        <v>-3.0069889999999999</v>
      </c>
      <c r="T4741">
        <v>-9.4030859999999994E-2</v>
      </c>
      <c r="U4741">
        <v>-2.7740480000000001E-2</v>
      </c>
      <c r="V4741">
        <v>6.2928109999999995E-2</v>
      </c>
      <c r="W4741">
        <v>-3.5166429999999999E-3</v>
      </c>
      <c r="X4741">
        <v>0.99801189999999995</v>
      </c>
      <c r="Y4741">
        <v>-1.1383519999999999E-2</v>
      </c>
      <c r="Z4741">
        <v>-2.4563150000000001E-4</v>
      </c>
      <c r="AA4741">
        <v>0.99993520000000002</v>
      </c>
      <c r="AB4741">
        <v>26</v>
      </c>
      <c r="AC4741">
        <v>-35.297199999999897</v>
      </c>
      <c r="AD4741">
        <v>-1.109938613428</v>
      </c>
      <c r="AE4741">
        <v>-0.32800000000000201</v>
      </c>
      <c r="AF4741">
        <v>-0.40402912189018803</v>
      </c>
      <c r="AG4741">
        <v>-1.109938613428</v>
      </c>
      <c r="AH4741">
        <v>35.261542710195798</v>
      </c>
      <c r="AI4741">
        <v>91.802803618776295</v>
      </c>
      <c r="AJ4741">
        <v>90.6564701576159</v>
      </c>
      <c r="AK4741">
        <v>35.281320802371901</v>
      </c>
      <c r="AL4741">
        <v>90.201489210566805</v>
      </c>
      <c r="AM4741">
        <v>86.392078806758306</v>
      </c>
      <c r="AN4741">
        <v>1.0000000331738801</v>
      </c>
    </row>
    <row r="4742" spans="1:40" x14ac:dyDescent="0.25">
      <c r="A4742" t="str">
        <f>"20190312154931106"</f>
        <v>20190312154931106</v>
      </c>
      <c r="B4742" t="str">
        <f>"1552376971100302"</f>
        <v>1552376971100302</v>
      </c>
      <c r="C4742" t="s">
        <v>40</v>
      </c>
      <c r="D4742">
        <v>4.9916510000000001</v>
      </c>
      <c r="E4742">
        <v>0.47383510000000001</v>
      </c>
      <c r="F4742" t="s">
        <v>42</v>
      </c>
      <c r="G4742">
        <v>-383.69819999999999</v>
      </c>
      <c r="H4742" s="1">
        <v>-2.92284E-6</v>
      </c>
      <c r="I4742">
        <v>140.50729999999999</v>
      </c>
      <c r="J4742">
        <v>-351.56819999999999</v>
      </c>
      <c r="K4742">
        <v>1.1099410000000001</v>
      </c>
      <c r="L4742">
        <v>140.71629999999999</v>
      </c>
      <c r="M4742">
        <v>-0.99989980000000001</v>
      </c>
      <c r="N4742">
        <v>0</v>
      </c>
      <c r="O4742">
        <v>2.1897269999999998E-3</v>
      </c>
      <c r="P4742">
        <v>-0.99770309999999995</v>
      </c>
      <c r="Q4742">
        <v>-1.7164140000000001E-2</v>
      </c>
      <c r="R4742">
        <v>6.552827E-2</v>
      </c>
      <c r="S4742">
        <v>-3.006256</v>
      </c>
      <c r="T4742">
        <v>-0.10324510000000001</v>
      </c>
      <c r="U4742">
        <v>-1.9393919999999999E-2</v>
      </c>
      <c r="V4742">
        <v>6.334302E-2</v>
      </c>
      <c r="W4742">
        <v>-3.2209449999999998E-3</v>
      </c>
      <c r="X4742">
        <v>0.99798659999999995</v>
      </c>
      <c r="Y4742">
        <v>-8.6345529999999997E-3</v>
      </c>
      <c r="Z4742">
        <v>-2.2341209999999999E-4</v>
      </c>
      <c r="AA4742">
        <v>0.99996269999999998</v>
      </c>
      <c r="AB4742">
        <v>26</v>
      </c>
      <c r="AC4742">
        <v>-32.129999999999903</v>
      </c>
      <c r="AD4742">
        <v>-1.1099439228399901</v>
      </c>
      <c r="AE4742">
        <v>-0.20900000000000299</v>
      </c>
      <c r="AF4742">
        <v>-0.27902933361911503</v>
      </c>
      <c r="AG4742">
        <v>-1.1099439228399901</v>
      </c>
      <c r="AH4742">
        <v>32.091169752399701</v>
      </c>
      <c r="AI4742">
        <v>91.980836502786303</v>
      </c>
      <c r="AJ4742">
        <v>90.498168201236794</v>
      </c>
      <c r="AK4742">
        <v>32.1115712626804</v>
      </c>
      <c r="AL4742">
        <v>90.184546876737102</v>
      </c>
      <c r="AM4742">
        <v>86.368261986530399</v>
      </c>
      <c r="AN4742">
        <v>0.99999998322448602</v>
      </c>
    </row>
    <row r="4743" spans="1:40" x14ac:dyDescent="0.25">
      <c r="A4743" t="str">
        <f>"20190312154931128"</f>
        <v>20190312154931128</v>
      </c>
      <c r="B4743" t="str">
        <f>"1552376971120801"</f>
        <v>1552376971120801</v>
      </c>
      <c r="C4743" t="s">
        <v>40</v>
      </c>
      <c r="D4743">
        <v>5.0185750000000002</v>
      </c>
      <c r="E4743">
        <v>0.4741938</v>
      </c>
      <c r="F4743" t="s">
        <v>42</v>
      </c>
      <c r="G4743">
        <v>-383.52</v>
      </c>
      <c r="H4743" s="1">
        <v>-3.0154450000000001E-6</v>
      </c>
      <c r="I4743">
        <v>140.56799999999899</v>
      </c>
      <c r="J4743">
        <v>-351.83319999999998</v>
      </c>
      <c r="K4743">
        <v>1.109942</v>
      </c>
      <c r="L4743">
        <v>140.71690000000001</v>
      </c>
      <c r="M4743">
        <v>-0.99990000000000001</v>
      </c>
      <c r="N4743">
        <v>0</v>
      </c>
      <c r="O4743">
        <v>2.2242550000000001E-3</v>
      </c>
      <c r="P4743">
        <v>-0.99769030000000003</v>
      </c>
      <c r="Q4743">
        <v>-1.6315299999999901E-2</v>
      </c>
      <c r="R4743">
        <v>6.5938670000000005E-2</v>
      </c>
      <c r="S4743">
        <v>-3.0060730000000002</v>
      </c>
      <c r="T4743">
        <v>-0.1044253</v>
      </c>
      <c r="U4743">
        <v>-1.394653E-2</v>
      </c>
      <c r="V4743">
        <v>6.3718810000000001E-2</v>
      </c>
      <c r="W4743">
        <v>-2.3751570000000001E-3</v>
      </c>
      <c r="X4743">
        <v>0.99796499999999999</v>
      </c>
      <c r="Y4743">
        <v>-6.8583610000000003E-3</v>
      </c>
      <c r="Z4743">
        <v>-1.9633699999999999E-4</v>
      </c>
      <c r="AA4743">
        <v>0.99997650000000005</v>
      </c>
      <c r="AB4743">
        <v>26</v>
      </c>
      <c r="AC4743">
        <v>-31.686800000000002</v>
      </c>
      <c r="AD4743">
        <v>-1.1099450154449999</v>
      </c>
      <c r="AE4743">
        <v>-0.14890000000002601</v>
      </c>
      <c r="AF4743">
        <v>-0.219117177366112</v>
      </c>
      <c r="AG4743">
        <v>-1.1099450154449999</v>
      </c>
      <c r="AH4743">
        <v>31.6475595371564</v>
      </c>
      <c r="AI4743">
        <v>92.008609435115105</v>
      </c>
      <c r="AJ4743">
        <v>90.396690584119895</v>
      </c>
      <c r="AK4743">
        <v>31.667775654955399</v>
      </c>
      <c r="AL4743">
        <v>90.136086608623899</v>
      </c>
      <c r="AM4743">
        <v>86.3466955888303</v>
      </c>
      <c r="AN4743">
        <v>0.99999993467179304</v>
      </c>
    </row>
    <row r="4744" spans="1:40" x14ac:dyDescent="0.25">
      <c r="A4744" t="str">
        <f>"20190312154931143"</f>
        <v>20190312154931143</v>
      </c>
      <c r="B4744" t="str">
        <f>"1552376971130371"</f>
        <v>1552376971130371</v>
      </c>
      <c r="C4744" t="s">
        <v>40</v>
      </c>
      <c r="D4744">
        <v>5.0541349999999996</v>
      </c>
      <c r="E4744">
        <v>0.47434680000000001</v>
      </c>
      <c r="F4744" t="s">
        <v>42</v>
      </c>
      <c r="G4744">
        <v>-384.09030000000001</v>
      </c>
      <c r="H4744" s="1">
        <v>-2.7821969999999999E-6</v>
      </c>
      <c r="I4744">
        <v>140.61089999999999</v>
      </c>
      <c r="J4744">
        <v>-352.01929999999999</v>
      </c>
      <c r="K4744">
        <v>1.1099460000000001</v>
      </c>
      <c r="L4744">
        <v>140.7174</v>
      </c>
      <c r="M4744">
        <v>-0.99990000000000001</v>
      </c>
      <c r="N4744">
        <v>0</v>
      </c>
      <c r="O4744">
        <v>2.2485270000000002E-3</v>
      </c>
      <c r="P4744">
        <v>-0.99768630000000003</v>
      </c>
      <c r="Q4744">
        <v>-1.599716E-2</v>
      </c>
      <c r="R4744">
        <v>6.6078460000000006E-2</v>
      </c>
      <c r="S4744">
        <v>-3.00589</v>
      </c>
      <c r="T4744">
        <v>-0.1034307</v>
      </c>
      <c r="U4744">
        <v>-9.8724369999999995E-3</v>
      </c>
      <c r="V4744">
        <v>6.3834489999999994E-2</v>
      </c>
      <c r="W4744">
        <v>-2.0590449999999998E-3</v>
      </c>
      <c r="X4744">
        <v>0.99795840000000002</v>
      </c>
      <c r="Y4744">
        <v>-5.5284699999999997E-3</v>
      </c>
      <c r="Z4744">
        <v>-1.72442E-4</v>
      </c>
      <c r="AA4744">
        <v>0.99998469999999995</v>
      </c>
      <c r="AB4744">
        <v>26</v>
      </c>
      <c r="AC4744">
        <v>-32.070999999999998</v>
      </c>
      <c r="AD4744">
        <v>-1.10994878219699</v>
      </c>
      <c r="AE4744">
        <v>-0.106500000000011</v>
      </c>
      <c r="AF4744">
        <v>-0.17840557960419201</v>
      </c>
      <c r="AG4744">
        <v>-1.10994878219699</v>
      </c>
      <c r="AH4744">
        <v>32.032311842533304</v>
      </c>
      <c r="AI4744">
        <v>91.984526171172405</v>
      </c>
      <c r="AJ4744">
        <v>90.319108439977001</v>
      </c>
      <c r="AK4744">
        <v>32.052032959349603</v>
      </c>
      <c r="AL4744">
        <v>90.117974668745703</v>
      </c>
      <c r="AM4744">
        <v>86.340056972501202</v>
      </c>
      <c r="AN4744">
        <v>1.0000000249552099</v>
      </c>
    </row>
    <row r="4745" spans="1:40" x14ac:dyDescent="0.25">
      <c r="A4745" t="str">
        <f>"20190312154931156"</f>
        <v>20190312154931156</v>
      </c>
      <c r="B4745" t="str">
        <f>"1552376971150868"</f>
        <v>1552376971150868</v>
      </c>
      <c r="C4745" t="s">
        <v>40</v>
      </c>
      <c r="D4745">
        <v>4.9759589999999996</v>
      </c>
      <c r="E4745">
        <v>0.47503869999999998</v>
      </c>
      <c r="F4745" t="s">
        <v>42</v>
      </c>
      <c r="G4745">
        <v>-384.35640000000001</v>
      </c>
      <c r="H4745" s="1">
        <v>-2.6726130000000002E-6</v>
      </c>
      <c r="I4745">
        <v>140.62799999999999</v>
      </c>
      <c r="J4745">
        <v>-352.16750000000002</v>
      </c>
      <c r="K4745">
        <v>1.109942</v>
      </c>
      <c r="L4745">
        <v>140.71770000000001</v>
      </c>
      <c r="M4745">
        <v>-0.99990000000000001</v>
      </c>
      <c r="N4745">
        <v>0</v>
      </c>
      <c r="O4745">
        <v>2.267907E-3</v>
      </c>
      <c r="P4745">
        <v>-0.99769370000000002</v>
      </c>
      <c r="Q4745">
        <v>-1.5497789999999999E-2</v>
      </c>
      <c r="R4745">
        <v>6.6085899999999906E-2</v>
      </c>
      <c r="S4745">
        <v>-3.0058590000000001</v>
      </c>
      <c r="T4745">
        <v>-0.1031743</v>
      </c>
      <c r="U4745">
        <v>-8.3007810000000001E-3</v>
      </c>
      <c r="V4745">
        <v>6.3822779999999996E-2</v>
      </c>
      <c r="W4745">
        <v>-1.561141E-3</v>
      </c>
      <c r="X4745">
        <v>0.99795999999999996</v>
      </c>
      <c r="Y4745">
        <v>-5.025341E-3</v>
      </c>
      <c r="Z4745">
        <v>-1.640495E-4</v>
      </c>
      <c r="AA4745">
        <v>0.99998739999999997</v>
      </c>
      <c r="AB4745">
        <v>26</v>
      </c>
      <c r="AC4745">
        <v>-32.188899999999897</v>
      </c>
      <c r="AD4745">
        <v>-1.109944672613</v>
      </c>
      <c r="AE4745">
        <v>-8.9700000000021804E-2</v>
      </c>
      <c r="AF4745">
        <v>-0.16251508125618899</v>
      </c>
      <c r="AG4745">
        <v>-1.109944672613</v>
      </c>
      <c r="AH4745">
        <v>32.150386488410398</v>
      </c>
      <c r="AI4745">
        <v>91.977241736235399</v>
      </c>
      <c r="AJ4745">
        <v>90.289618569937105</v>
      </c>
      <c r="AK4745">
        <v>32.169950880939403</v>
      </c>
      <c r="AL4745">
        <v>90.089446829272205</v>
      </c>
      <c r="AM4745">
        <v>86.340732390472496</v>
      </c>
      <c r="AN4745">
        <v>0.99999997300407395</v>
      </c>
    </row>
    <row r="4746" spans="1:40" x14ac:dyDescent="0.25">
      <c r="A4746" t="str">
        <f>"20190312154931174"</f>
        <v>20190312154931174</v>
      </c>
      <c r="B4746" t="str">
        <f>"1552376971160627"</f>
        <v>1552376971160627</v>
      </c>
      <c r="C4746" t="s">
        <v>40</v>
      </c>
      <c r="D4746">
        <v>4.9888849999999998</v>
      </c>
      <c r="E4746">
        <v>0.4753484</v>
      </c>
      <c r="F4746" t="s">
        <v>42</v>
      </c>
      <c r="G4746">
        <v>-385.01479999999998</v>
      </c>
      <c r="H4746" s="1">
        <v>-2.4058520000000001E-6</v>
      </c>
      <c r="I4746">
        <v>140.68690000000001</v>
      </c>
      <c r="J4746">
        <v>-352.36860000000001</v>
      </c>
      <c r="K4746">
        <v>1.1099460000000001</v>
      </c>
      <c r="L4746">
        <v>140.7182</v>
      </c>
      <c r="M4746">
        <v>-0.99989969999999995</v>
      </c>
      <c r="N4746">
        <v>0</v>
      </c>
      <c r="O4746">
        <v>2.2943249999999998E-3</v>
      </c>
      <c r="P4746">
        <v>-0.99769819999999998</v>
      </c>
      <c r="Q4746">
        <v>-1.491545E-2</v>
      </c>
      <c r="R4746">
        <v>6.6149799999999995E-2</v>
      </c>
      <c r="S4746">
        <v>-3.0055540000000001</v>
      </c>
      <c r="T4746">
        <v>-0.1015612</v>
      </c>
      <c r="U4746">
        <v>-2.8076170000000001E-3</v>
      </c>
      <c r="V4746">
        <v>6.3860299999999995E-2</v>
      </c>
      <c r="W4746">
        <v>-9.8087840000000005E-4</v>
      </c>
      <c r="X4746">
        <v>0.99795840000000002</v>
      </c>
      <c r="Y4746">
        <v>-3.225538E-3</v>
      </c>
      <c r="Z4746">
        <v>-1.3199509999999999E-4</v>
      </c>
      <c r="AA4746">
        <v>0.99999479999999996</v>
      </c>
      <c r="AB4746">
        <v>26</v>
      </c>
      <c r="AC4746">
        <v>-32.646199999999901</v>
      </c>
      <c r="AD4746">
        <v>-1.1099484058519999</v>
      </c>
      <c r="AE4746">
        <v>-3.12999999999874E-2</v>
      </c>
      <c r="AF4746">
        <v>-0.10608559665761701</v>
      </c>
      <c r="AG4746">
        <v>-1.1099484058519999</v>
      </c>
      <c r="AH4746">
        <v>32.608348544855701</v>
      </c>
      <c r="AI4746">
        <v>91.949515431671102</v>
      </c>
      <c r="AJ4746">
        <v>90.186401206520003</v>
      </c>
      <c r="AK4746">
        <v>32.627406186214998</v>
      </c>
      <c r="AL4746">
        <v>90.056200199631803</v>
      </c>
      <c r="AM4746">
        <v>86.338581183806994</v>
      </c>
      <c r="AN4746">
        <v>1.0000000340845401</v>
      </c>
    </row>
    <row r="4747" spans="1:40" x14ac:dyDescent="0.25">
      <c r="A4747" t="str">
        <f>"20190312154931195"</f>
        <v>20190312154931195</v>
      </c>
      <c r="B4747" t="str">
        <f>"1552376971190884"</f>
        <v>1552376971190884</v>
      </c>
      <c r="C4747" t="s">
        <v>40</v>
      </c>
      <c r="D4747">
        <v>4.9491589999999999</v>
      </c>
      <c r="E4747">
        <v>0.47603509999999999</v>
      </c>
      <c r="F4747" t="s">
        <v>42</v>
      </c>
      <c r="G4747">
        <v>-385.892</v>
      </c>
      <c r="H4747" s="1">
        <v>-2.037748E-6</v>
      </c>
      <c r="I4747">
        <v>140.71780000000001</v>
      </c>
      <c r="J4747">
        <v>-352.62079999999997</v>
      </c>
      <c r="K4747">
        <v>1.109947</v>
      </c>
      <c r="L4747">
        <v>140.71879999999999</v>
      </c>
      <c r="M4747">
        <v>-0.99989980000000001</v>
      </c>
      <c r="N4747">
        <v>0</v>
      </c>
      <c r="O4747">
        <v>2.3273619999999999E-3</v>
      </c>
      <c r="P4747">
        <v>-0.99774459999999998</v>
      </c>
      <c r="Q4747">
        <v>-1.431559E-2</v>
      </c>
      <c r="R4747">
        <v>6.5583080000000002E-2</v>
      </c>
      <c r="S4747">
        <v>-3.0054319999999999</v>
      </c>
      <c r="T4747">
        <v>-9.9509120000000006E-2</v>
      </c>
      <c r="U4747" s="1">
        <v>-3.0517579999999999E-5</v>
      </c>
      <c r="V4747">
        <v>6.3260650000000002E-2</v>
      </c>
      <c r="W4747">
        <v>-3.83039E-4</v>
      </c>
      <c r="X4747">
        <v>0.99799700000000002</v>
      </c>
      <c r="Y4747">
        <v>-2.3351880000000002E-3</v>
      </c>
      <c r="Z4747">
        <v>-1.156929E-4</v>
      </c>
      <c r="AA4747">
        <v>0.99999729999999998</v>
      </c>
      <c r="AB4747">
        <v>26</v>
      </c>
      <c r="AC4747">
        <v>-33.2712</v>
      </c>
      <c r="AD4747">
        <v>-1.1099490377479999</v>
      </c>
      <c r="AE4747">
        <v>-9.9999999997635292E-4</v>
      </c>
      <c r="AF4747">
        <v>-7.8354470463433801E-2</v>
      </c>
      <c r="AG4747">
        <v>-1.1099490377479999</v>
      </c>
      <c r="AH4747">
        <v>33.234120186135698</v>
      </c>
      <c r="AI4747">
        <v>91.912841052818706</v>
      </c>
      <c r="AJ4747">
        <v>90.135083225321296</v>
      </c>
      <c r="AK4747">
        <v>33.252742305499403</v>
      </c>
      <c r="AL4747">
        <v>90.021946517873104</v>
      </c>
      <c r="AM4747">
        <v>86.373009707231901</v>
      </c>
      <c r="AN4747">
        <v>1.0000000342831401</v>
      </c>
    </row>
    <row r="4748" spans="1:40" x14ac:dyDescent="0.25">
      <c r="A4748" t="str">
        <f>"20190312154931209"</f>
        <v>20190312154931209</v>
      </c>
      <c r="B4748" t="str">
        <f>"1552376971200644"</f>
        <v>1552376971200644</v>
      </c>
      <c r="C4748" t="s">
        <v>40</v>
      </c>
      <c r="D4748">
        <v>4.936337</v>
      </c>
      <c r="E4748">
        <v>0.47619070000000002</v>
      </c>
      <c r="F4748" t="s">
        <v>42</v>
      </c>
      <c r="G4748">
        <v>-386.26060000000001</v>
      </c>
      <c r="H4748" s="1">
        <v>-1.890294E-6</v>
      </c>
      <c r="I4748">
        <v>140.75790000000001</v>
      </c>
      <c r="J4748">
        <v>-352.78960000000001</v>
      </c>
      <c r="K4748">
        <v>1.1099479999999999</v>
      </c>
      <c r="L4748">
        <v>140.7192</v>
      </c>
      <c r="M4748">
        <v>-0.99989989999999995</v>
      </c>
      <c r="N4748">
        <v>0</v>
      </c>
      <c r="O4748">
        <v>2.3494259999999999E-3</v>
      </c>
      <c r="P4748">
        <v>-0.9977528</v>
      </c>
      <c r="Q4748">
        <v>-1.4098370000000001E-2</v>
      </c>
      <c r="R4748">
        <v>6.5503049999999993E-2</v>
      </c>
      <c r="S4748">
        <v>-3.0051269999999999</v>
      </c>
      <c r="T4748">
        <v>-9.9154950000000006E-2</v>
      </c>
      <c r="U4748">
        <v>3.4942630000000001E-3</v>
      </c>
      <c r="V4748">
        <v>6.3158450000000005E-2</v>
      </c>
      <c r="W4748">
        <v>-1.675138E-4</v>
      </c>
      <c r="X4748">
        <v>0.99800350000000004</v>
      </c>
      <c r="Y4748">
        <v>-1.1849670000000001E-3</v>
      </c>
      <c r="Z4748" s="1">
        <v>-9.7050099999999994E-5</v>
      </c>
      <c r="AA4748">
        <v>0.99999930000000004</v>
      </c>
      <c r="AB4748">
        <v>26</v>
      </c>
      <c r="AC4748">
        <v>-33.470999999999997</v>
      </c>
      <c r="AD4748">
        <v>-1.1099498902939999</v>
      </c>
      <c r="AE4748">
        <v>3.8700000000005702E-2</v>
      </c>
      <c r="AF4748">
        <v>-3.99015206412556E-2</v>
      </c>
      <c r="AG4748">
        <v>-1.1099498902939999</v>
      </c>
      <c r="AH4748">
        <v>33.434231372841801</v>
      </c>
      <c r="AI4748">
        <v>91.901406096737901</v>
      </c>
      <c r="AJ4748">
        <v>90.0683786511498</v>
      </c>
      <c r="AK4748">
        <v>33.452674158922299</v>
      </c>
      <c r="AL4748">
        <v>90.009597833776397</v>
      </c>
      <c r="AM4748">
        <v>86.378877167078102</v>
      </c>
      <c r="AN4748">
        <v>1.0000000019397599</v>
      </c>
    </row>
    <row r="4749" spans="1:40" x14ac:dyDescent="0.25">
      <c r="A4749" t="str">
        <f>"20190312154931223"</f>
        <v>20190312154931223</v>
      </c>
      <c r="B4749" t="str">
        <f>"1552376971210404"</f>
        <v>1552376971210404</v>
      </c>
      <c r="C4749" t="s">
        <v>40</v>
      </c>
      <c r="D4749">
        <v>4.9581439999999999</v>
      </c>
      <c r="E4749">
        <v>0.47635230000000001</v>
      </c>
      <c r="F4749" t="s">
        <v>42</v>
      </c>
      <c r="G4749">
        <v>-386.21789999999999</v>
      </c>
      <c r="H4749" s="1">
        <v>-1.911621E-6</v>
      </c>
      <c r="I4749">
        <v>140.76920000000001</v>
      </c>
      <c r="J4749">
        <v>-352.9622</v>
      </c>
      <c r="K4749">
        <v>1.109952</v>
      </c>
      <c r="L4749">
        <v>140.71969999999999</v>
      </c>
      <c r="M4749">
        <v>-0.99989969999999995</v>
      </c>
      <c r="N4749">
        <v>0</v>
      </c>
      <c r="O4749">
        <v>2.3720270000000001E-3</v>
      </c>
      <c r="P4749">
        <v>-0.99777070000000001</v>
      </c>
      <c r="Q4749">
        <v>-1.3612910000000001E-2</v>
      </c>
      <c r="R4749">
        <v>6.5333020000000006E-2</v>
      </c>
      <c r="S4749">
        <v>-3.005096</v>
      </c>
      <c r="T4749">
        <v>-9.9781040000000001E-2</v>
      </c>
      <c r="U4749">
        <v>4.5013429999999997E-3</v>
      </c>
      <c r="V4749">
        <v>6.296591E-2</v>
      </c>
      <c r="W4749">
        <v>3.1644509999999998E-4</v>
      </c>
      <c r="X4749">
        <v>0.9980156</v>
      </c>
      <c r="Y4749">
        <v>-8.7257070000000005E-4</v>
      </c>
      <c r="Z4749" s="1">
        <v>-9.3228890000000004E-5</v>
      </c>
      <c r="AA4749">
        <v>0.99999959999999999</v>
      </c>
      <c r="AB4749">
        <v>26</v>
      </c>
      <c r="AC4749">
        <v>-33.255699999999898</v>
      </c>
      <c r="AD4749">
        <v>-1.109953911621</v>
      </c>
      <c r="AE4749">
        <v>4.9500000000023102E-2</v>
      </c>
      <c r="AF4749">
        <v>-2.9358543621431601E-2</v>
      </c>
      <c r="AG4749">
        <v>-1.109953911621</v>
      </c>
      <c r="AH4749">
        <v>33.2187189186062</v>
      </c>
      <c r="AI4749">
        <v>91.913740213254002</v>
      </c>
      <c r="AJ4749">
        <v>90.050637720506799</v>
      </c>
      <c r="AK4749">
        <v>33.237270438520802</v>
      </c>
      <c r="AL4749">
        <v>89.981869030510296</v>
      </c>
      <c r="AM4749">
        <v>86.389930659106795</v>
      </c>
      <c r="AN4749">
        <v>0.99999997190149403</v>
      </c>
    </row>
    <row r="4750" spans="1:40" x14ac:dyDescent="0.25">
      <c r="A4750" t="str">
        <f>"20190312154931241"</f>
        <v>20190312154931241</v>
      </c>
      <c r="B4750" t="str">
        <f>"1552376971230431"</f>
        <v>1552376971230431</v>
      </c>
      <c r="C4750" t="s">
        <v>40</v>
      </c>
      <c r="D4750">
        <v>4.9387489999999996</v>
      </c>
      <c r="E4750">
        <v>0.4766476</v>
      </c>
      <c r="F4750" t="s">
        <v>42</v>
      </c>
      <c r="G4750">
        <v>-386.63209999999998</v>
      </c>
      <c r="H4750" s="1">
        <v>-1.7363650000000001E-6</v>
      </c>
      <c r="I4750">
        <v>140.7784</v>
      </c>
      <c r="J4750">
        <v>-353.15379999999999</v>
      </c>
      <c r="K4750">
        <v>1.109953</v>
      </c>
      <c r="L4750">
        <v>140.7201</v>
      </c>
      <c r="M4750">
        <v>-0.99989980000000001</v>
      </c>
      <c r="N4750">
        <v>0</v>
      </c>
      <c r="O4750">
        <v>2.3969550000000001E-3</v>
      </c>
      <c r="P4750">
        <v>-0.99781189999999997</v>
      </c>
      <c r="Q4750">
        <v>-1.3273119999999999E-2</v>
      </c>
      <c r="R4750">
        <v>6.4773839999999999E-2</v>
      </c>
      <c r="S4750">
        <v>-3.0050050000000001</v>
      </c>
      <c r="T4750">
        <v>-9.9062559999999994E-2</v>
      </c>
      <c r="U4750">
        <v>5.2490230000000002E-3</v>
      </c>
      <c r="V4750">
        <v>6.2381880000000001E-2</v>
      </c>
      <c r="W4750">
        <v>6.5452260000000003E-4</v>
      </c>
      <c r="X4750">
        <v>0.9980521</v>
      </c>
      <c r="Y4750">
        <v>-6.4877709999999896E-4</v>
      </c>
      <c r="Z4750" s="1">
        <v>-8.9694579999999999E-5</v>
      </c>
      <c r="AA4750">
        <v>0.99999979999999999</v>
      </c>
      <c r="AB4750">
        <v>26</v>
      </c>
      <c r="AC4750">
        <v>-33.478299999999898</v>
      </c>
      <c r="AD4750">
        <v>-1.109954736365</v>
      </c>
      <c r="AE4750">
        <v>5.83000000000026E-2</v>
      </c>
      <c r="AF4750">
        <v>-2.1929851340325199E-2</v>
      </c>
      <c r="AG4750">
        <v>-1.109954736365</v>
      </c>
      <c r="AH4750">
        <v>33.4415840919186</v>
      </c>
      <c r="AI4750">
        <v>91.900997584029994</v>
      </c>
      <c r="AJ4750">
        <v>90.0375726144906</v>
      </c>
      <c r="AK4750">
        <v>33.4600063809321</v>
      </c>
      <c r="AL4750">
        <v>89.962498613277603</v>
      </c>
      <c r="AM4750">
        <v>86.423458403703606</v>
      </c>
      <c r="AN4750">
        <v>0.99999996083328802</v>
      </c>
    </row>
    <row r="4751" spans="1:40" x14ac:dyDescent="0.25">
      <c r="A4751" t="str">
        <f>"20190312154931263"</f>
        <v>20190312154931263</v>
      </c>
      <c r="B4751" t="str">
        <f>"1552376971250928"</f>
        <v>1552376971250928</v>
      </c>
      <c r="C4751" t="s">
        <v>40</v>
      </c>
      <c r="D4751">
        <v>4.9504839999999897</v>
      </c>
      <c r="E4751">
        <v>0.47690900000000003</v>
      </c>
      <c r="F4751" t="s">
        <v>42</v>
      </c>
      <c r="G4751">
        <v>-386.3768</v>
      </c>
      <c r="H4751" s="1">
        <v>-1.8473310000000001E-6</v>
      </c>
      <c r="I4751">
        <v>140.78380000000001</v>
      </c>
      <c r="J4751">
        <v>-353.41520000000003</v>
      </c>
      <c r="K4751">
        <v>1.109955</v>
      </c>
      <c r="L4751">
        <v>140.7208</v>
      </c>
      <c r="M4751">
        <v>-0.99989969999999995</v>
      </c>
      <c r="N4751">
        <v>0</v>
      </c>
      <c r="O4751">
        <v>2.4309449999999999E-3</v>
      </c>
      <c r="P4751">
        <v>-0.9978477</v>
      </c>
      <c r="Q4751">
        <v>-1.278672E-2</v>
      </c>
      <c r="R4751">
        <v>6.4315960000000005E-2</v>
      </c>
      <c r="S4751">
        <v>-3.004883</v>
      </c>
      <c r="T4751">
        <v>-0.1003911</v>
      </c>
      <c r="U4751">
        <v>5.7678219999999997E-3</v>
      </c>
      <c r="V4751">
        <v>6.1889850000000003E-2</v>
      </c>
      <c r="W4751">
        <v>1.138989E-3</v>
      </c>
      <c r="X4751">
        <v>0.99808229999999998</v>
      </c>
      <c r="Y4751">
        <v>-5.1006160000000001E-4</v>
      </c>
      <c r="Z4751" s="1">
        <v>-8.9719349999999997E-5</v>
      </c>
      <c r="AA4751">
        <v>0.99999990000000005</v>
      </c>
      <c r="AB4751">
        <v>26</v>
      </c>
      <c r="AC4751">
        <v>-32.961599999999898</v>
      </c>
      <c r="AD4751">
        <v>-1.109956847331</v>
      </c>
      <c r="AE4751">
        <v>6.3000000000016598E-2</v>
      </c>
      <c r="AF4751">
        <v>-1.71164145340948E-2</v>
      </c>
      <c r="AG4751">
        <v>-1.109956847331</v>
      </c>
      <c r="AH4751">
        <v>32.924321207118602</v>
      </c>
      <c r="AI4751">
        <v>91.930844906297494</v>
      </c>
      <c r="AJ4751">
        <v>90.029786437165399</v>
      </c>
      <c r="AK4751">
        <v>32.943029977889097</v>
      </c>
      <c r="AL4751">
        <v>89.934740720941804</v>
      </c>
      <c r="AM4751">
        <v>86.451702701405097</v>
      </c>
      <c r="AN4751">
        <v>0.99999996420112602</v>
      </c>
    </row>
    <row r="4752" spans="1:40" x14ac:dyDescent="0.25">
      <c r="A4752" t="str">
        <f>"20190312154931285"</f>
        <v>20190312154931285</v>
      </c>
      <c r="B4752" t="str">
        <f>"1552376971270447"</f>
        <v>1552376971270447</v>
      </c>
      <c r="C4752" t="s">
        <v>40</v>
      </c>
      <c r="D4752">
        <v>4.9488130000000004</v>
      </c>
      <c r="E4752">
        <v>0.47716950000000002</v>
      </c>
      <c r="F4752" t="s">
        <v>42</v>
      </c>
      <c r="G4752">
        <v>-386.59269999999998</v>
      </c>
      <c r="H4752" s="1">
        <v>-1.757044E-6</v>
      </c>
      <c r="I4752">
        <v>140.79249999999999</v>
      </c>
      <c r="J4752">
        <v>-353.66489999999999</v>
      </c>
      <c r="K4752">
        <v>1.109952</v>
      </c>
      <c r="L4752">
        <v>140.72149999999999</v>
      </c>
      <c r="M4752">
        <v>-0.99989969999999995</v>
      </c>
      <c r="N4752">
        <v>0</v>
      </c>
      <c r="O4752">
        <v>2.4627849999999999E-3</v>
      </c>
      <c r="P4752">
        <v>-0.99785639999999998</v>
      </c>
      <c r="Q4752">
        <v>-1.276746E-2</v>
      </c>
      <c r="R4752">
        <v>6.4186049999999994E-2</v>
      </c>
      <c r="S4752">
        <v>-3.004791</v>
      </c>
      <c r="T4752">
        <v>-0.1005259</v>
      </c>
      <c r="U4752">
        <v>6.5002439999999996E-3</v>
      </c>
      <c r="V4752">
        <v>6.1728360000000003E-2</v>
      </c>
      <c r="W4752">
        <v>1.1552019999999999E-3</v>
      </c>
      <c r="X4752">
        <v>0.99809230000000004</v>
      </c>
      <c r="Y4752">
        <v>-2.9819280000000002E-4</v>
      </c>
      <c r="Z4752" s="1">
        <v>-8.7364359999999997E-5</v>
      </c>
      <c r="AA4752">
        <v>0.99999990000000005</v>
      </c>
      <c r="AB4752">
        <v>26</v>
      </c>
      <c r="AC4752">
        <v>-32.927799999999898</v>
      </c>
      <c r="AD4752">
        <v>-1.1099537570439999</v>
      </c>
      <c r="AE4752">
        <v>7.0999999999997898E-2</v>
      </c>
      <c r="AF4752">
        <v>-1.00907300193254E-2</v>
      </c>
      <c r="AG4752">
        <v>-1.1099537570439999</v>
      </c>
      <c r="AH4752">
        <v>32.890502438096803</v>
      </c>
      <c r="AI4752">
        <v>91.932823533117102</v>
      </c>
      <c r="AJ4752">
        <v>90.017578211985693</v>
      </c>
      <c r="AK4752">
        <v>32.909227426301896</v>
      </c>
      <c r="AL4752">
        <v>89.933811785010107</v>
      </c>
      <c r="AM4752">
        <v>86.4609731259537</v>
      </c>
      <c r="AN4752">
        <v>0.99999998211962005</v>
      </c>
    </row>
    <row r="4753" spans="1:40" x14ac:dyDescent="0.25">
      <c r="A4753" t="str">
        <f>"20190312154931307"</f>
        <v>20190312154931307</v>
      </c>
      <c r="B4753" t="str">
        <f>"1552376971300707"</f>
        <v>1552376971300707</v>
      </c>
      <c r="C4753" t="s">
        <v>40</v>
      </c>
      <c r="D4753">
        <v>4.9406140000000001</v>
      </c>
      <c r="E4753">
        <v>0.47759010000000002</v>
      </c>
      <c r="F4753" t="s">
        <v>42</v>
      </c>
      <c r="G4753">
        <v>-386.34010000000001</v>
      </c>
      <c r="H4753" s="1">
        <v>-1.8698249999999999E-6</v>
      </c>
      <c r="I4753">
        <v>140.8092</v>
      </c>
      <c r="J4753">
        <v>-353.92899999999997</v>
      </c>
      <c r="K4753">
        <v>1.1099540000000001</v>
      </c>
      <c r="L4753">
        <v>140.72210000000001</v>
      </c>
      <c r="M4753">
        <v>-0.99989939999999999</v>
      </c>
      <c r="N4753">
        <v>0</v>
      </c>
      <c r="O4753">
        <v>2.4952720000000002E-3</v>
      </c>
      <c r="P4753">
        <v>-0.99785650000000004</v>
      </c>
      <c r="Q4753">
        <v>-1.2776869999999999E-2</v>
      </c>
      <c r="R4753">
        <v>6.4180780000000007E-2</v>
      </c>
      <c r="S4753">
        <v>-3.004578</v>
      </c>
      <c r="T4753">
        <v>-0.10206369999999999</v>
      </c>
      <c r="U4753">
        <v>8.0718990000000004E-3</v>
      </c>
      <c r="V4753">
        <v>6.169057E-2</v>
      </c>
      <c r="W4753">
        <v>1.1432809999999999E-3</v>
      </c>
      <c r="X4753">
        <v>0.9980947</v>
      </c>
      <c r="Y4753">
        <v>1.9233760000000001E-4</v>
      </c>
      <c r="Z4753" s="1">
        <v>-8.1480549999999997E-5</v>
      </c>
      <c r="AA4753">
        <v>1</v>
      </c>
      <c r="AB4753">
        <v>26</v>
      </c>
      <c r="AC4753">
        <v>-32.411099999999898</v>
      </c>
      <c r="AD4753">
        <v>-1.1099558698250001</v>
      </c>
      <c r="AE4753">
        <v>8.7099999999992406E-2</v>
      </c>
      <c r="AF4753">
        <v>6.2100504335771897E-3</v>
      </c>
      <c r="AG4753">
        <v>-1.1099558698250001</v>
      </c>
      <c r="AH4753">
        <v>32.373249371433197</v>
      </c>
      <c r="AI4753">
        <v>91.963685590271396</v>
      </c>
      <c r="AJ4753">
        <v>89.9890091454225</v>
      </c>
      <c r="AK4753">
        <v>32.392272465245298</v>
      </c>
      <c r="AL4753">
        <v>89.934494811718096</v>
      </c>
      <c r="AM4753">
        <v>86.463142693989695</v>
      </c>
      <c r="AN4753">
        <v>1.0000000318432201</v>
      </c>
    </row>
    <row r="4754" spans="1:40" x14ac:dyDescent="0.25">
      <c r="A4754" t="str">
        <f>"20190312154931322"</f>
        <v>20190312154931322</v>
      </c>
      <c r="B4754" t="str">
        <f>"1552376971310463"</f>
        <v>1552376971310463</v>
      </c>
      <c r="C4754" t="s">
        <v>40</v>
      </c>
      <c r="D4754">
        <v>4.9447190000000001</v>
      </c>
      <c r="E4754">
        <v>0.47773680000000002</v>
      </c>
      <c r="F4754" t="s">
        <v>42</v>
      </c>
      <c r="G4754">
        <v>-386.17410000000001</v>
      </c>
      <c r="H4754" s="1">
        <v>-1.9501959999999999E-6</v>
      </c>
      <c r="I4754">
        <v>140.84360000000001</v>
      </c>
      <c r="J4754">
        <v>-354.11200000000002</v>
      </c>
      <c r="K4754">
        <v>1.1099559999999999</v>
      </c>
      <c r="L4754">
        <v>140.7226</v>
      </c>
      <c r="M4754">
        <v>-0.9998996</v>
      </c>
      <c r="N4754">
        <v>0</v>
      </c>
      <c r="O4754">
        <v>2.516487E-3</v>
      </c>
      <c r="P4754">
        <v>-0.99783889999999997</v>
      </c>
      <c r="Q4754">
        <v>-1.2694560000000001E-2</v>
      </c>
      <c r="R4754">
        <v>6.4471429999999996E-2</v>
      </c>
      <c r="S4754">
        <v>-3.0044559999999998</v>
      </c>
      <c r="T4754">
        <v>-0.1034212</v>
      </c>
      <c r="U4754">
        <v>1.132202E-2</v>
      </c>
      <c r="V4754">
        <v>6.1960050000000003E-2</v>
      </c>
      <c r="W4754">
        <v>1.2233890000000001E-3</v>
      </c>
      <c r="X4754">
        <v>0.99807789999999996</v>
      </c>
      <c r="Y4754">
        <v>1.2524070000000001E-3</v>
      </c>
      <c r="Z4754" s="1">
        <v>-6.5057260000000002E-5</v>
      </c>
      <c r="AA4754">
        <v>0.99999919999999998</v>
      </c>
      <c r="AB4754">
        <v>26</v>
      </c>
      <c r="AC4754">
        <v>-32.062100000000001</v>
      </c>
      <c r="AD4754">
        <v>-1.109957950196</v>
      </c>
      <c r="AE4754">
        <v>0.121000000000009</v>
      </c>
      <c r="AF4754">
        <v>4.0259663500975797E-2</v>
      </c>
      <c r="AG4754">
        <v>-1.109957950196</v>
      </c>
      <c r="AH4754">
        <v>32.023923646634003</v>
      </c>
      <c r="AI4754">
        <v>91.985091151736199</v>
      </c>
      <c r="AJ4754">
        <v>89.927969239077697</v>
      </c>
      <c r="AK4754">
        <v>32.043178887512902</v>
      </c>
      <c r="AL4754">
        <v>89.929904957477206</v>
      </c>
      <c r="AM4754">
        <v>86.447672642767998</v>
      </c>
      <c r="AN4754">
        <v>1.00000001947252</v>
      </c>
    </row>
    <row r="4755" spans="1:40" x14ac:dyDescent="0.25">
      <c r="A4755" t="str">
        <f>"20190312154931340"</f>
        <v>20190312154931340</v>
      </c>
      <c r="B4755" t="str">
        <f>"1552376971330489"</f>
        <v>1552376971330489</v>
      </c>
      <c r="C4755" t="s">
        <v>40</v>
      </c>
      <c r="D4755">
        <v>4.9044150000000002</v>
      </c>
      <c r="E4755">
        <v>0.47798970000000002</v>
      </c>
      <c r="F4755" t="s">
        <v>42</v>
      </c>
      <c r="G4755">
        <v>-386.37380000000002</v>
      </c>
      <c r="H4755" s="1">
        <v>-1.8704689999999999E-6</v>
      </c>
      <c r="I4755">
        <v>140.86590000000001</v>
      </c>
      <c r="J4755">
        <v>-354.3116</v>
      </c>
      <c r="K4755">
        <v>1.1099570000000001</v>
      </c>
      <c r="L4755">
        <v>140.72309999999999</v>
      </c>
      <c r="M4755">
        <v>-0.99989950000000005</v>
      </c>
      <c r="N4755">
        <v>0</v>
      </c>
      <c r="O4755">
        <v>2.5387119999999998E-3</v>
      </c>
      <c r="P4755">
        <v>-0.99781569999999997</v>
      </c>
      <c r="Q4755">
        <v>-1.253254E-2</v>
      </c>
      <c r="R4755">
        <v>6.4858470000000001E-2</v>
      </c>
      <c r="S4755">
        <v>-3.0043639999999998</v>
      </c>
      <c r="T4755">
        <v>-0.10336430000000001</v>
      </c>
      <c r="U4755">
        <v>1.3351439999999999E-2</v>
      </c>
      <c r="V4755">
        <v>6.2324890000000001E-2</v>
      </c>
      <c r="W4755">
        <v>1.3831290000000001E-3</v>
      </c>
      <c r="X4755">
        <v>0.99805500000000003</v>
      </c>
      <c r="Y4755">
        <v>1.905398E-3</v>
      </c>
      <c r="Z4755" s="1">
        <v>-5.4558280000000001E-5</v>
      </c>
      <c r="AA4755">
        <v>0.99999819999999995</v>
      </c>
      <c r="AB4755">
        <v>26</v>
      </c>
      <c r="AC4755">
        <v>-32.062199999999997</v>
      </c>
      <c r="AD4755">
        <v>-1.10995887046899</v>
      </c>
      <c r="AE4755">
        <v>0.14280000000002199</v>
      </c>
      <c r="AF4755">
        <v>6.1321438596244102E-2</v>
      </c>
      <c r="AG4755">
        <v>-1.10995887046899</v>
      </c>
      <c r="AH4755">
        <v>32.024080086610901</v>
      </c>
      <c r="AI4755">
        <v>91.985081037750305</v>
      </c>
      <c r="AJ4755">
        <v>89.890287080174801</v>
      </c>
      <c r="AK4755">
        <v>32.043368649482403</v>
      </c>
      <c r="AL4755">
        <v>89.920752523996697</v>
      </c>
      <c r="AM4755">
        <v>86.426727698773504</v>
      </c>
      <c r="AN4755">
        <v>1.0000000439921699</v>
      </c>
    </row>
    <row r="4756" spans="1:40" x14ac:dyDescent="0.25">
      <c r="A4756" t="str">
        <f>"20190312154931355"</f>
        <v>20190312154931355</v>
      </c>
      <c r="B4756" t="str">
        <f>"1552376971350986"</f>
        <v>1552376971350986</v>
      </c>
      <c r="C4756" t="s">
        <v>40</v>
      </c>
      <c r="D4756">
        <v>4.9528740000000004</v>
      </c>
      <c r="E4756">
        <v>0.4781069</v>
      </c>
      <c r="F4756" t="s">
        <v>42</v>
      </c>
      <c r="G4756">
        <v>-386.48520000000002</v>
      </c>
      <c r="H4756" s="1">
        <v>-1.831802E-6</v>
      </c>
      <c r="I4756">
        <v>140.90020000000001</v>
      </c>
      <c r="J4756">
        <v>-354.49279999999999</v>
      </c>
      <c r="K4756">
        <v>1.1099650000000001</v>
      </c>
      <c r="L4756">
        <v>140.7236</v>
      </c>
      <c r="M4756">
        <v>-0.9998996</v>
      </c>
      <c r="N4756">
        <v>0</v>
      </c>
      <c r="O4756">
        <v>2.5563980000000001E-3</v>
      </c>
      <c r="P4756">
        <v>-0.99780709999999995</v>
      </c>
      <c r="Q4756">
        <v>-1.224897E-2</v>
      </c>
      <c r="R4756">
        <v>6.5050720000000006E-2</v>
      </c>
      <c r="S4756">
        <v>-3.0042110000000002</v>
      </c>
      <c r="T4756">
        <v>-0.10364279999999999</v>
      </c>
      <c r="U4756">
        <v>1.6540530000000001E-2</v>
      </c>
      <c r="V4756">
        <v>6.2499840000000001E-2</v>
      </c>
      <c r="W4756">
        <v>1.66494E-3</v>
      </c>
      <c r="X4756">
        <v>0.99804360000000003</v>
      </c>
      <c r="Y4756">
        <v>2.9488380000000001E-3</v>
      </c>
      <c r="Z4756" s="1">
        <v>-3.732433E-5</v>
      </c>
      <c r="AA4756">
        <v>0.99999559999999998</v>
      </c>
      <c r="AB4756">
        <v>26</v>
      </c>
      <c r="AC4756">
        <v>-31.9924</v>
      </c>
      <c r="AD4756">
        <v>-1.109966831802</v>
      </c>
      <c r="AE4756">
        <v>0.176600000000007</v>
      </c>
      <c r="AF4756">
        <v>9.4692191063352804E-2</v>
      </c>
      <c r="AG4756">
        <v>-1.109966831802</v>
      </c>
      <c r="AH4756">
        <v>31.9542840283111</v>
      </c>
      <c r="AI4756">
        <v>91.989422639510593</v>
      </c>
      <c r="AJ4756">
        <v>89.830212217718</v>
      </c>
      <c r="AK4756">
        <v>31.973696388449099</v>
      </c>
      <c r="AL4756">
        <v>89.904605922193298</v>
      </c>
      <c r="AM4756">
        <v>86.416682566768301</v>
      </c>
      <c r="AN4756">
        <v>1.0000000147630901</v>
      </c>
    </row>
    <row r="4757" spans="1:40" x14ac:dyDescent="0.25">
      <c r="A4757" t="str">
        <f>"20190312154931370"</f>
        <v>20190312154931370</v>
      </c>
      <c r="B4757" t="str">
        <f>"1552376971360745"</f>
        <v>1552376971360745</v>
      </c>
      <c r="C4757" t="s">
        <v>40</v>
      </c>
      <c r="D4757">
        <v>4.9573029999999996</v>
      </c>
      <c r="E4757">
        <v>0.49436970000000002</v>
      </c>
      <c r="F4757" t="s">
        <v>42</v>
      </c>
      <c r="G4757">
        <v>-386.88130000000001</v>
      </c>
      <c r="H4757" s="1">
        <v>-1.6663710000000001E-6</v>
      </c>
      <c r="I4757">
        <v>140.917</v>
      </c>
      <c r="J4757">
        <v>-354.66359999999997</v>
      </c>
      <c r="K4757">
        <v>1.109969</v>
      </c>
      <c r="L4757">
        <v>140.72409999999999</v>
      </c>
      <c r="M4757">
        <v>-0.9998996</v>
      </c>
      <c r="N4757">
        <v>0</v>
      </c>
      <c r="O4757">
        <v>2.570854E-3</v>
      </c>
      <c r="P4757">
        <v>-0.99778210000000001</v>
      </c>
      <c r="Q4757">
        <v>-1.2089320000000001E-2</v>
      </c>
      <c r="R4757">
        <v>6.546167E-2</v>
      </c>
      <c r="S4757">
        <v>-3.0041500000000001</v>
      </c>
      <c r="T4757">
        <v>-0.1029538</v>
      </c>
      <c r="U4757">
        <v>1.794434E-2</v>
      </c>
      <c r="V4757">
        <v>6.2896140000000003E-2</v>
      </c>
      <c r="W4757">
        <v>1.822773E-3</v>
      </c>
      <c r="X4757">
        <v>0.99801839999999997</v>
      </c>
      <c r="Y4757">
        <v>3.40151E-3</v>
      </c>
      <c r="Z4757" s="1">
        <v>-2.981803E-5</v>
      </c>
      <c r="AA4757">
        <v>0.99999420000000006</v>
      </c>
      <c r="AB4757">
        <v>26</v>
      </c>
      <c r="AC4757">
        <v>-32.217700000000001</v>
      </c>
      <c r="AD4757">
        <v>-1.1099706663710001</v>
      </c>
      <c r="AE4757">
        <v>0.19290000000000801</v>
      </c>
      <c r="AF4757">
        <v>0.109933834880142</v>
      </c>
      <c r="AG4757">
        <v>-1.1099706663710001</v>
      </c>
      <c r="AH4757">
        <v>32.179894787097702</v>
      </c>
      <c r="AI4757">
        <v>91.975490008970198</v>
      </c>
      <c r="AJ4757">
        <v>89.804265355658501</v>
      </c>
      <c r="AK4757">
        <v>32.199219692982197</v>
      </c>
      <c r="AL4757">
        <v>89.895562740882298</v>
      </c>
      <c r="AM4757">
        <v>86.393930361471305</v>
      </c>
      <c r="AN4757">
        <v>0.99999998683343405</v>
      </c>
    </row>
    <row r="4758" spans="1:40" x14ac:dyDescent="0.25">
      <c r="A4758" t="str">
        <f>"20190312154931384"</f>
        <v>20190312154931384</v>
      </c>
      <c r="B4758" t="str">
        <f>"1552376971370506"</f>
        <v>1552376971370506</v>
      </c>
      <c r="C4758" t="s">
        <v>40</v>
      </c>
      <c r="D4758">
        <v>4.9729950000000001</v>
      </c>
      <c r="E4758">
        <v>0.50052109999999905</v>
      </c>
      <c r="F4758" t="s">
        <v>42</v>
      </c>
      <c r="G4758">
        <v>-385.37299999999999</v>
      </c>
      <c r="H4758" s="1">
        <v>-2.6673840000000001E-6</v>
      </c>
      <c r="I4758">
        <v>142.2474</v>
      </c>
      <c r="J4758">
        <v>-354.83170000000001</v>
      </c>
      <c r="K4758">
        <v>1.1099810000000001</v>
      </c>
      <c r="L4758">
        <v>140.72450000000001</v>
      </c>
      <c r="M4758">
        <v>-0.99989950000000005</v>
      </c>
      <c r="N4758">
        <v>0</v>
      </c>
      <c r="O4758">
        <v>2.5824379999999998E-3</v>
      </c>
      <c r="P4758">
        <v>-0.99776010000000004</v>
      </c>
      <c r="Q4758">
        <v>-1.155547E-2</v>
      </c>
      <c r="R4758">
        <v>6.5888000000000002E-2</v>
      </c>
      <c r="S4758">
        <v>-2.9956049999999999</v>
      </c>
      <c r="T4758">
        <v>-0.1082743</v>
      </c>
      <c r="U4758">
        <v>0.1486053</v>
      </c>
      <c r="V4758">
        <v>6.3311199999999998E-2</v>
      </c>
      <c r="W4758">
        <v>2.3549220000000002E-3</v>
      </c>
      <c r="X4758">
        <v>0.99799110000000002</v>
      </c>
      <c r="Y4758">
        <v>4.6938300000000002E-2</v>
      </c>
      <c r="Z4758">
        <v>7.5422039999999905E-4</v>
      </c>
      <c r="AA4758">
        <v>0.99889749999999999</v>
      </c>
      <c r="AB4758">
        <v>26</v>
      </c>
      <c r="AC4758">
        <v>-30.5413</v>
      </c>
      <c r="AD4758">
        <v>-1.10998366738399</v>
      </c>
      <c r="AE4758">
        <v>1.5228999999999899</v>
      </c>
      <c r="AF4758">
        <v>1.4421161279333901</v>
      </c>
      <c r="AG4758">
        <v>-1.10998366738399</v>
      </c>
      <c r="AH4758">
        <v>30.504938374069301</v>
      </c>
      <c r="AI4758">
        <v>92.081580312865896</v>
      </c>
      <c r="AJ4758">
        <v>87.293366263614303</v>
      </c>
      <c r="AK4758">
        <v>30.559172565272</v>
      </c>
      <c r="AL4758">
        <v>89.865072789637296</v>
      </c>
      <c r="AM4758">
        <v>86.370097813857996</v>
      </c>
      <c r="AN4758">
        <v>1.0000000446911299</v>
      </c>
    </row>
    <row r="4759" spans="1:40" x14ac:dyDescent="0.25">
      <c r="A4759" t="str">
        <f>"20190312154931408"</f>
        <v>20190312154931408</v>
      </c>
      <c r="B4759" t="str">
        <f>"1552376971400765"</f>
        <v>1552376971400765</v>
      </c>
      <c r="C4759" t="s">
        <v>40</v>
      </c>
      <c r="D4759">
        <v>4.89147</v>
      </c>
      <c r="E4759">
        <v>0.51113929999999996</v>
      </c>
      <c r="F4759" t="s">
        <v>42</v>
      </c>
      <c r="G4759">
        <v>-383.77510000000001</v>
      </c>
      <c r="H4759" s="1">
        <v>-3.4582589999999999E-6</v>
      </c>
      <c r="I4759">
        <v>142.64340000000001</v>
      </c>
      <c r="J4759">
        <v>-355.1001</v>
      </c>
      <c r="K4759">
        <v>1.1099909999999999</v>
      </c>
      <c r="L4759">
        <v>140.7253</v>
      </c>
      <c r="M4759">
        <v>-0.9998996</v>
      </c>
      <c r="N4759">
        <v>0</v>
      </c>
      <c r="O4759">
        <v>2.5938060000000001E-3</v>
      </c>
      <c r="P4759">
        <v>-0.99775420000000004</v>
      </c>
      <c r="Q4759">
        <v>-1.1055580000000001E-2</v>
      </c>
      <c r="R4759">
        <v>6.6063769999999994E-2</v>
      </c>
      <c r="S4759">
        <v>-2.9923099999999998</v>
      </c>
      <c r="T4759">
        <v>-0.11475589999999999</v>
      </c>
      <c r="U4759">
        <v>0.19839480000000001</v>
      </c>
      <c r="V4759">
        <v>6.3475580000000004E-2</v>
      </c>
      <c r="W4759">
        <v>2.852739E-3</v>
      </c>
      <c r="X4759">
        <v>0.99797930000000001</v>
      </c>
      <c r="Y4759">
        <v>6.3523109999999994E-2</v>
      </c>
      <c r="Z4759">
        <v>1.116948E-3</v>
      </c>
      <c r="AA4759">
        <v>0.99797979999999997</v>
      </c>
      <c r="AB4759">
        <v>26</v>
      </c>
      <c r="AC4759">
        <v>-28.675000000000001</v>
      </c>
      <c r="AD4759">
        <v>-1.109994458259</v>
      </c>
      <c r="AE4759">
        <v>1.9180999999999999</v>
      </c>
      <c r="AF4759">
        <v>1.84096268628912</v>
      </c>
      <c r="AG4759">
        <v>-1.109994458259</v>
      </c>
      <c r="AH4759">
        <v>28.637159715214899</v>
      </c>
      <c r="AI4759">
        <v>92.215141617680402</v>
      </c>
      <c r="AJ4759">
        <v>86.321756458346997</v>
      </c>
      <c r="AK4759">
        <v>28.717732289726602</v>
      </c>
      <c r="AL4759">
        <v>89.836549871148605</v>
      </c>
      <c r="AM4759">
        <v>86.360655585560806</v>
      </c>
      <c r="AN4759">
        <v>0.99999998530231404</v>
      </c>
    </row>
    <row r="4760" spans="1:40" x14ac:dyDescent="0.25">
      <c r="A4760" t="str">
        <f>"20190312154931423"</f>
        <v>20190312154931423</v>
      </c>
      <c r="B4760" t="str">
        <f>"1552376971410521"</f>
        <v>1552376971410521</v>
      </c>
      <c r="C4760" t="s">
        <v>40</v>
      </c>
      <c r="D4760">
        <v>4.9235989999999896</v>
      </c>
      <c r="E4760">
        <v>0.51227210000000001</v>
      </c>
      <c r="F4760" t="s">
        <v>42</v>
      </c>
      <c r="G4760">
        <v>-388.3895</v>
      </c>
      <c r="H4760" s="1">
        <v>-1.8108249999999999E-6</v>
      </c>
      <c r="I4760">
        <v>143.89160000000001</v>
      </c>
      <c r="J4760">
        <v>-355.28890000000001</v>
      </c>
      <c r="K4760">
        <v>1.1099950000000001</v>
      </c>
      <c r="L4760">
        <v>140.72569999999999</v>
      </c>
      <c r="M4760">
        <v>-0.99989939999999999</v>
      </c>
      <c r="N4760">
        <v>0</v>
      </c>
      <c r="O4760">
        <v>2.5984659999999998E-3</v>
      </c>
      <c r="P4760">
        <v>-0.99775000000000003</v>
      </c>
      <c r="Q4760">
        <v>-1.0806710000000001E-2</v>
      </c>
      <c r="R4760">
        <v>6.6168340000000006E-2</v>
      </c>
      <c r="S4760">
        <v>-2.9868160000000001</v>
      </c>
      <c r="T4760">
        <v>-9.9591849999999996E-2</v>
      </c>
      <c r="U4760">
        <v>0.28410340000000001</v>
      </c>
      <c r="V4760">
        <v>6.3575389999999996E-2</v>
      </c>
      <c r="W4760">
        <v>3.0997389999999998E-3</v>
      </c>
      <c r="X4760">
        <v>0.99797219999999998</v>
      </c>
      <c r="Y4760">
        <v>9.2055109999999996E-2</v>
      </c>
      <c r="Z4760">
        <v>1.4444270000000001E-3</v>
      </c>
      <c r="AA4760">
        <v>0.99575290000000005</v>
      </c>
      <c r="AB4760">
        <v>26</v>
      </c>
      <c r="AC4760">
        <v>-33.100599999999901</v>
      </c>
      <c r="AD4760">
        <v>-1.109996810825</v>
      </c>
      <c r="AE4760">
        <v>3.1659000000000201</v>
      </c>
      <c r="AF4760">
        <v>3.0764419671593499</v>
      </c>
      <c r="AG4760">
        <v>-1.109996810825</v>
      </c>
      <c r="AH4760">
        <v>33.071862284195603</v>
      </c>
      <c r="AI4760">
        <v>91.914049496025697</v>
      </c>
      <c r="AJ4760">
        <v>84.685472087201902</v>
      </c>
      <c r="AK4760">
        <v>33.233186170485403</v>
      </c>
      <c r="AL4760">
        <v>89.8223977489058</v>
      </c>
      <c r="AM4760">
        <v>86.354922576593907</v>
      </c>
      <c r="AN4760">
        <v>0.99999997528417905</v>
      </c>
    </row>
    <row r="4761" spans="1:40" x14ac:dyDescent="0.25">
      <c r="A4761" t="str">
        <f>"20190312154931441"</f>
        <v>20190312154931441</v>
      </c>
      <c r="B4761" t="str">
        <f>"1552376971430549"</f>
        <v>1552376971430549</v>
      </c>
      <c r="C4761" t="s">
        <v>40</v>
      </c>
      <c r="D4761">
        <v>4.8990479999999996</v>
      </c>
      <c r="E4761">
        <v>0.51382050000000001</v>
      </c>
      <c r="F4761" t="s">
        <v>42</v>
      </c>
      <c r="G4761">
        <v>-388.65039999999999</v>
      </c>
      <c r="H4761" s="1">
        <v>-1.7291319999999999E-6</v>
      </c>
      <c r="I4761">
        <v>144.00530000000001</v>
      </c>
      <c r="J4761">
        <v>-355.4864</v>
      </c>
      <c r="K4761">
        <v>1.110001</v>
      </c>
      <c r="L4761">
        <v>140.72630000000001</v>
      </c>
      <c r="M4761">
        <v>-0.99989939999999999</v>
      </c>
      <c r="N4761">
        <v>0</v>
      </c>
      <c r="O4761">
        <v>2.6007500000000002E-3</v>
      </c>
      <c r="P4761">
        <v>-0.99777850000000001</v>
      </c>
      <c r="Q4761">
        <v>-1.0241200000000001E-2</v>
      </c>
      <c r="R4761">
        <v>6.5825949999999994E-2</v>
      </c>
      <c r="S4761">
        <v>-2.986237</v>
      </c>
      <c r="T4761">
        <v>-9.9357719999999997E-2</v>
      </c>
      <c r="U4761">
        <v>0.29356379999999999</v>
      </c>
      <c r="V4761">
        <v>6.323057E-2</v>
      </c>
      <c r="W4761">
        <v>3.6638339999999999E-3</v>
      </c>
      <c r="X4761">
        <v>0.9979922</v>
      </c>
      <c r="Y4761">
        <v>9.5194440000000005E-2</v>
      </c>
      <c r="Z4761">
        <v>1.4931020000000001E-3</v>
      </c>
      <c r="AA4761">
        <v>0.99545760000000005</v>
      </c>
      <c r="AB4761">
        <v>26</v>
      </c>
      <c r="AC4761">
        <v>-33.163999999999902</v>
      </c>
      <c r="AD4761">
        <v>-1.110002729132</v>
      </c>
      <c r="AE4761">
        <v>3.2789999999999901</v>
      </c>
      <c r="AF4761">
        <v>3.1891911510673898</v>
      </c>
      <c r="AG4761">
        <v>-1.110002729132</v>
      </c>
      <c r="AH4761">
        <v>33.135655710033099</v>
      </c>
      <c r="AI4761">
        <v>91.909800348460806</v>
      </c>
      <c r="AJ4761">
        <v>84.502414995118301</v>
      </c>
      <c r="AK4761">
        <v>33.307277366824401</v>
      </c>
      <c r="AL4761">
        <v>89.790077301099302</v>
      </c>
      <c r="AM4761">
        <v>86.374712325796196</v>
      </c>
      <c r="AN4761">
        <v>0.99999997996147205</v>
      </c>
    </row>
    <row r="4762" spans="1:40" x14ac:dyDescent="0.25">
      <c r="A4762" t="str">
        <f>"20190312154931464"</f>
        <v>20190312154931464</v>
      </c>
      <c r="B4762" t="str">
        <f>"1552376971460806"</f>
        <v>1552376971460806</v>
      </c>
      <c r="C4762" t="s">
        <v>40</v>
      </c>
      <c r="D4762">
        <v>4.8833780000000004</v>
      </c>
      <c r="E4762">
        <v>0.51495849999999999</v>
      </c>
      <c r="F4762" t="s">
        <v>42</v>
      </c>
      <c r="G4762">
        <v>-388.0378</v>
      </c>
      <c r="H4762" s="1">
        <v>-2.0030640000000002E-6</v>
      </c>
      <c r="I4762">
        <v>144.0472</v>
      </c>
      <c r="J4762">
        <v>-355.75220000000002</v>
      </c>
      <c r="K4762">
        <v>1.110001</v>
      </c>
      <c r="L4762">
        <v>140.7269</v>
      </c>
      <c r="M4762">
        <v>-0.99989969999999995</v>
      </c>
      <c r="N4762">
        <v>0</v>
      </c>
      <c r="O4762">
        <v>2.6004240000000001E-3</v>
      </c>
      <c r="P4762">
        <v>-0.99781759999999997</v>
      </c>
      <c r="Q4762">
        <v>-9.8340240000000002E-3</v>
      </c>
      <c r="R4762">
        <v>6.5292379999999997E-2</v>
      </c>
      <c r="S4762">
        <v>-2.985535</v>
      </c>
      <c r="T4762">
        <v>-0.1018068</v>
      </c>
      <c r="U4762">
        <v>0.30459589999999998</v>
      </c>
      <c r="V4762">
        <v>6.2697130000000004E-2</v>
      </c>
      <c r="W4762">
        <v>4.0691429999999999E-3</v>
      </c>
      <c r="X4762">
        <v>0.99802429999999998</v>
      </c>
      <c r="Y4762">
        <v>9.88541E-2</v>
      </c>
      <c r="Z4762">
        <v>1.5921900000000001E-3</v>
      </c>
      <c r="AA4762">
        <v>0.99510069999999995</v>
      </c>
      <c r="AB4762">
        <v>26</v>
      </c>
      <c r="AC4762">
        <v>-32.285599999999903</v>
      </c>
      <c r="AD4762">
        <v>-1.110003003064</v>
      </c>
      <c r="AE4762">
        <v>3.3203</v>
      </c>
      <c r="AF4762">
        <v>3.23254339232111</v>
      </c>
      <c r="AG4762">
        <v>-1.110003003064</v>
      </c>
      <c r="AH4762">
        <v>32.256396668814801</v>
      </c>
      <c r="AI4762">
        <v>91.961062336903893</v>
      </c>
      <c r="AJ4762">
        <v>84.277265715727793</v>
      </c>
      <c r="AK4762">
        <v>32.4369630129884</v>
      </c>
      <c r="AL4762">
        <v>89.766854635461598</v>
      </c>
      <c r="AM4762">
        <v>86.405331574827699</v>
      </c>
      <c r="AN4762">
        <v>0.99999999571274001</v>
      </c>
    </row>
    <row r="4763" spans="1:40" x14ac:dyDescent="0.25">
      <c r="A4763" t="str">
        <f>"20190312154931486"</f>
        <v>20190312154931486</v>
      </c>
      <c r="B4763" t="str">
        <f>"1552376971480327"</f>
        <v>1552376971480327</v>
      </c>
      <c r="C4763" t="s">
        <v>40</v>
      </c>
      <c r="D4763">
        <v>4.9124460000000001</v>
      </c>
      <c r="E4763">
        <v>0.5157368</v>
      </c>
      <c r="F4763" t="s">
        <v>42</v>
      </c>
      <c r="G4763">
        <v>-387.6925</v>
      </c>
      <c r="H4763" s="1">
        <v>-2.1558510000000001E-6</v>
      </c>
      <c r="I4763">
        <v>144.06460000000001</v>
      </c>
      <c r="J4763">
        <v>-355.9991</v>
      </c>
      <c r="K4763">
        <v>1.110001</v>
      </c>
      <c r="L4763">
        <v>140.7276</v>
      </c>
      <c r="M4763">
        <v>-0.9998996</v>
      </c>
      <c r="N4763">
        <v>0</v>
      </c>
      <c r="O4763">
        <v>2.5976810000000001E-3</v>
      </c>
      <c r="P4763">
        <v>-0.99784709999999999</v>
      </c>
      <c r="Q4763">
        <v>-9.3978380000000004E-3</v>
      </c>
      <c r="R4763">
        <v>6.4908209999999994E-2</v>
      </c>
      <c r="S4763">
        <v>-2.9851679999999998</v>
      </c>
      <c r="T4763">
        <v>-0.103742</v>
      </c>
      <c r="U4763">
        <v>0.31195070000000003</v>
      </c>
      <c r="V4763">
        <v>6.2315860000000001E-2</v>
      </c>
      <c r="W4763">
        <v>4.5035370000000002E-3</v>
      </c>
      <c r="X4763">
        <v>0.99804630000000005</v>
      </c>
      <c r="Y4763">
        <v>0.1012911</v>
      </c>
      <c r="Z4763">
        <v>1.664745E-3</v>
      </c>
      <c r="AA4763">
        <v>0.9948555</v>
      </c>
      <c r="AB4763">
        <v>26</v>
      </c>
      <c r="AC4763">
        <v>-31.6934</v>
      </c>
      <c r="AD4763">
        <v>-1.110003155851</v>
      </c>
      <c r="AE4763">
        <v>3.33700000000001</v>
      </c>
      <c r="AF4763">
        <v>3.2507077367698298</v>
      </c>
      <c r="AG4763">
        <v>-1.110003155851</v>
      </c>
      <c r="AH4763">
        <v>31.663548992360798</v>
      </c>
      <c r="AI4763">
        <v>91.997259809009094</v>
      </c>
      <c r="AJ4763">
        <v>84.138320306916697</v>
      </c>
      <c r="AK4763">
        <v>31.8493256221781</v>
      </c>
      <c r="AL4763">
        <v>89.741965460287602</v>
      </c>
      <c r="AM4763">
        <v>86.427213011437004</v>
      </c>
      <c r="AN4763">
        <v>0.99999998259836897</v>
      </c>
    </row>
    <row r="4764" spans="1:40" x14ac:dyDescent="0.25">
      <c r="A4764" t="str">
        <f>"20190312154931507"</f>
        <v>20190312154931507</v>
      </c>
      <c r="B4764" t="str">
        <f>"1552376971500826"</f>
        <v>1552376971500826</v>
      </c>
      <c r="C4764" t="s">
        <v>40</v>
      </c>
      <c r="D4764">
        <v>4.9212600000000002</v>
      </c>
      <c r="E4764">
        <v>0.51632500000000003</v>
      </c>
      <c r="F4764" t="s">
        <v>42</v>
      </c>
      <c r="G4764">
        <v>-388.07580000000002</v>
      </c>
      <c r="H4764" s="1">
        <v>-2.0100720000000001E-6</v>
      </c>
      <c r="I4764">
        <v>144.13480000000001</v>
      </c>
      <c r="J4764">
        <v>-356.2525</v>
      </c>
      <c r="K4764">
        <v>1.1100049999999999</v>
      </c>
      <c r="L4764">
        <v>140.72819999999999</v>
      </c>
      <c r="M4764">
        <v>-0.99989969999999995</v>
      </c>
      <c r="N4764">
        <v>0</v>
      </c>
      <c r="O4764">
        <v>2.5937019999999998E-3</v>
      </c>
      <c r="P4764">
        <v>-0.99787590000000004</v>
      </c>
      <c r="Q4764">
        <v>-9.1673710000000005E-3</v>
      </c>
      <c r="R4764">
        <v>6.4498719999999996E-2</v>
      </c>
      <c r="S4764">
        <v>-2.9848629999999998</v>
      </c>
      <c r="T4764">
        <v>-0.1032902</v>
      </c>
      <c r="U4764">
        <v>0.31706240000000002</v>
      </c>
      <c r="V4764">
        <v>6.1910319999999998E-2</v>
      </c>
      <c r="W4764">
        <v>4.7319390000000001E-3</v>
      </c>
      <c r="X4764">
        <v>0.99807049999999997</v>
      </c>
      <c r="Y4764">
        <v>0.1029899</v>
      </c>
      <c r="Z4764">
        <v>1.6869599999999999E-3</v>
      </c>
      <c r="AA4764">
        <v>0.99468089999999998</v>
      </c>
      <c r="AB4764">
        <v>26</v>
      </c>
      <c r="AC4764">
        <v>-31.8233</v>
      </c>
      <c r="AD4764">
        <v>-1.1100070100720001</v>
      </c>
      <c r="AE4764">
        <v>3.4066000000000201</v>
      </c>
      <c r="AF4764">
        <v>3.3200468509996202</v>
      </c>
      <c r="AG4764">
        <v>-1.1100070100720001</v>
      </c>
      <c r="AH4764">
        <v>31.793786236860999</v>
      </c>
      <c r="AI4764">
        <v>91.988733502849001</v>
      </c>
      <c r="AJ4764">
        <v>84.038529172111794</v>
      </c>
      <c r="AK4764">
        <v>31.985929249131601</v>
      </c>
      <c r="AL4764">
        <v>89.728878854852994</v>
      </c>
      <c r="AM4764">
        <v>86.450490248438598</v>
      </c>
      <c r="AN4764">
        <v>1.0000000009697201</v>
      </c>
    </row>
    <row r="4765" spans="1:40" x14ac:dyDescent="0.25">
      <c r="A4765" t="str">
        <f>"20190312154931523"</f>
        <v>20190312154931523</v>
      </c>
      <c r="B4765" t="str">
        <f>"1552376971520342"</f>
        <v>1552376971520342</v>
      </c>
      <c r="C4765" t="s">
        <v>40</v>
      </c>
      <c r="D4765">
        <v>4.8521519999999896</v>
      </c>
      <c r="E4765">
        <v>0.51664699999999997</v>
      </c>
      <c r="F4765" t="s">
        <v>42</v>
      </c>
      <c r="G4765">
        <v>-388.1146</v>
      </c>
      <c r="H4765" s="1">
        <v>-1.9972480000000002E-6</v>
      </c>
      <c r="I4765">
        <v>144.1491</v>
      </c>
      <c r="J4765">
        <v>-356.44409999999999</v>
      </c>
      <c r="K4765">
        <v>1.1100110000000001</v>
      </c>
      <c r="L4765">
        <v>140.7287</v>
      </c>
      <c r="M4765">
        <v>-0.99989969999999995</v>
      </c>
      <c r="N4765">
        <v>0</v>
      </c>
      <c r="O4765">
        <v>2.591154E-3</v>
      </c>
      <c r="P4765">
        <v>-0.997892</v>
      </c>
      <c r="Q4765">
        <v>-9.1254230000000006E-3</v>
      </c>
      <c r="R4765">
        <v>6.4251269999999999E-2</v>
      </c>
      <c r="S4765">
        <v>-2.9847109999999999</v>
      </c>
      <c r="T4765">
        <v>-0.1039809</v>
      </c>
      <c r="U4765">
        <v>0.3204651</v>
      </c>
      <c r="V4765">
        <v>6.1665169999999998E-2</v>
      </c>
      <c r="W4765">
        <v>4.7719930000000004E-3</v>
      </c>
      <c r="X4765">
        <v>0.99808549999999996</v>
      </c>
      <c r="Y4765">
        <v>0.1041175</v>
      </c>
      <c r="Z4765">
        <v>1.717884E-3</v>
      </c>
      <c r="AA4765">
        <v>0.99456350000000004</v>
      </c>
      <c r="AB4765">
        <v>26</v>
      </c>
      <c r="AC4765">
        <v>-31.670500000000001</v>
      </c>
      <c r="AD4765">
        <v>-1.110012997248</v>
      </c>
      <c r="AE4765">
        <v>3.4203999999999999</v>
      </c>
      <c r="AF4765">
        <v>3.3342687626359901</v>
      </c>
      <c r="AG4765">
        <v>-1.110012997248</v>
      </c>
      <c r="AH4765">
        <v>31.640837245906699</v>
      </c>
      <c r="AI4765">
        <v>91.9981521646217</v>
      </c>
      <c r="AJ4765">
        <v>83.984449341014496</v>
      </c>
      <c r="AK4765">
        <v>31.835390034637701</v>
      </c>
      <c r="AL4765">
        <v>89.726583907684301</v>
      </c>
      <c r="AM4765">
        <v>86.464562732606296</v>
      </c>
      <c r="AN4765">
        <v>1.0000000152092801</v>
      </c>
    </row>
    <row r="4766" spans="1:40" x14ac:dyDescent="0.25">
      <c r="A4766" t="str">
        <f>"20190312154931541"</f>
        <v>20190312154931541</v>
      </c>
      <c r="B4766" t="str">
        <f>"1552376971530553"</f>
        <v>1552376971530553</v>
      </c>
      <c r="C4766" t="s">
        <v>40</v>
      </c>
      <c r="D4766">
        <v>4.8876410000000003</v>
      </c>
      <c r="E4766">
        <v>0.51686719999999997</v>
      </c>
      <c r="F4766" t="s">
        <v>42</v>
      </c>
      <c r="G4766">
        <v>-389.31610000000001</v>
      </c>
      <c r="H4766" s="1">
        <v>-1.5161589999999999E-6</v>
      </c>
      <c r="I4766">
        <v>144.2783</v>
      </c>
      <c r="J4766">
        <v>-356.63929999999999</v>
      </c>
      <c r="K4766">
        <v>1.1100099999999999</v>
      </c>
      <c r="L4766">
        <v>140.72919999999999</v>
      </c>
      <c r="M4766">
        <v>-0.99989989999999995</v>
      </c>
      <c r="N4766">
        <v>0</v>
      </c>
      <c r="O4766">
        <v>2.5888460000000001E-3</v>
      </c>
      <c r="P4766">
        <v>-0.99790190000000001</v>
      </c>
      <c r="Q4766">
        <v>-9.1727070000000004E-3</v>
      </c>
      <c r="R4766">
        <v>6.4094200000000004E-2</v>
      </c>
      <c r="S4766">
        <v>-2.98468</v>
      </c>
      <c r="T4766">
        <v>-0.100786</v>
      </c>
      <c r="U4766">
        <v>0.32229609999999997</v>
      </c>
      <c r="V4766">
        <v>6.1510589999999997E-2</v>
      </c>
      <c r="W4766">
        <v>4.7224019999999997E-3</v>
      </c>
      <c r="X4766">
        <v>0.99809530000000002</v>
      </c>
      <c r="Y4766">
        <v>0.1047273</v>
      </c>
      <c r="Z4766">
        <v>1.675434E-3</v>
      </c>
      <c r="AA4766">
        <v>0.99449960000000004</v>
      </c>
      <c r="AB4766">
        <v>26</v>
      </c>
      <c r="AC4766">
        <v>-32.6768</v>
      </c>
      <c r="AD4766">
        <v>-1.1100115161589901</v>
      </c>
      <c r="AE4766">
        <v>3.5491000000000001</v>
      </c>
      <c r="AF4766">
        <v>3.4605380868530098</v>
      </c>
      <c r="AG4766">
        <v>-1.1100115161589901</v>
      </c>
      <c r="AH4766">
        <v>32.648644738514101</v>
      </c>
      <c r="AI4766">
        <v>91.936393461939005</v>
      </c>
      <c r="AJ4766">
        <v>83.949620737794106</v>
      </c>
      <c r="AK4766">
        <v>32.850288471766397</v>
      </c>
      <c r="AL4766">
        <v>89.729425301590297</v>
      </c>
      <c r="AM4766">
        <v>86.473437382345793</v>
      </c>
      <c r="AN4766">
        <v>1.0000000408224401</v>
      </c>
    </row>
    <row r="4767" spans="1:40" x14ac:dyDescent="0.25">
      <c r="A4767" t="str">
        <f>"20190312154931557"</f>
        <v>20190312154931557</v>
      </c>
      <c r="B4767" t="str">
        <f>"1552376971550073"</f>
        <v>1552376971550073</v>
      </c>
      <c r="C4767" t="s">
        <v>40</v>
      </c>
      <c r="D4767">
        <v>4.8546440000000004</v>
      </c>
      <c r="E4767">
        <v>0.51714780000000005</v>
      </c>
      <c r="F4767" t="s">
        <v>42</v>
      </c>
      <c r="G4767">
        <v>-389.73259999999999</v>
      </c>
      <c r="H4767" s="1">
        <v>-1.3482109999999999E-6</v>
      </c>
      <c r="I4767">
        <v>144.3185</v>
      </c>
      <c r="J4767">
        <v>-356.8331</v>
      </c>
      <c r="K4767">
        <v>1.1100139999999901</v>
      </c>
      <c r="L4767">
        <v>140.72970000000001</v>
      </c>
      <c r="M4767">
        <v>-0.99989989999999995</v>
      </c>
      <c r="N4767">
        <v>0</v>
      </c>
      <c r="O4767">
        <v>2.5874930000000002E-3</v>
      </c>
      <c r="P4767">
        <v>-0.9979209</v>
      </c>
      <c r="Q4767">
        <v>-9.149463E-3</v>
      </c>
      <c r="R4767">
        <v>6.3802029999999996E-2</v>
      </c>
      <c r="S4767">
        <v>-2.9845890000000002</v>
      </c>
      <c r="T4767">
        <v>-0.1001089</v>
      </c>
      <c r="U4767">
        <v>0.32371519999999998</v>
      </c>
      <c r="V4767">
        <v>6.121973E-2</v>
      </c>
      <c r="W4767">
        <v>4.7438599999999999E-3</v>
      </c>
      <c r="X4767">
        <v>0.99811300000000003</v>
      </c>
      <c r="Y4767">
        <v>0.1051998</v>
      </c>
      <c r="Z4767">
        <v>1.672137E-3</v>
      </c>
      <c r="AA4767">
        <v>0.99444969999999999</v>
      </c>
      <c r="AB4767">
        <v>26</v>
      </c>
      <c r="AC4767">
        <v>-32.899499999999897</v>
      </c>
      <c r="AD4767">
        <v>-1.11001534821099</v>
      </c>
      <c r="AE4767">
        <v>3.5887999999999902</v>
      </c>
      <c r="AF4767">
        <v>3.49971543561329</v>
      </c>
      <c r="AG4767">
        <v>-1.11001534821099</v>
      </c>
      <c r="AH4767">
        <v>32.871696967714101</v>
      </c>
      <c r="AI4767">
        <v>91.923175116476997</v>
      </c>
      <c r="AJ4767">
        <v>83.922844670321396</v>
      </c>
      <c r="AK4767">
        <v>33.076103212754099</v>
      </c>
      <c r="AL4767">
        <v>89.728195813107206</v>
      </c>
      <c r="AM4767">
        <v>86.490133445169803</v>
      </c>
      <c r="AN4767">
        <v>0.99999996015898496</v>
      </c>
    </row>
    <row r="4768" spans="1:40" x14ac:dyDescent="0.25">
      <c r="A4768" t="str">
        <f>"20190312154931575"</f>
        <v>20190312154931575</v>
      </c>
      <c r="B4768" t="str">
        <f>"1552376971570569"</f>
        <v>1552376971570569</v>
      </c>
      <c r="C4768" t="s">
        <v>40</v>
      </c>
      <c r="D4768">
        <v>4.8799349999999997</v>
      </c>
      <c r="E4768">
        <v>0.51738139999999999</v>
      </c>
      <c r="F4768" t="s">
        <v>42</v>
      </c>
      <c r="G4768">
        <v>-390.38310000000001</v>
      </c>
      <c r="H4768" s="1">
        <v>-4.9916510000000001E-6</v>
      </c>
      <c r="I4768">
        <v>144.3854</v>
      </c>
      <c r="J4768">
        <v>-357.0292</v>
      </c>
      <c r="K4768">
        <v>1.1100139999999901</v>
      </c>
      <c r="L4768">
        <v>140.7302</v>
      </c>
      <c r="M4768">
        <v>-0.99989989999999995</v>
      </c>
      <c r="N4768">
        <v>0</v>
      </c>
      <c r="O4768">
        <v>2.5864970000000001E-3</v>
      </c>
      <c r="P4768">
        <v>-0.99793679999999996</v>
      </c>
      <c r="Q4768">
        <v>-9.0169110000000007E-3</v>
      </c>
      <c r="R4768">
        <v>6.3569310000000004E-2</v>
      </c>
      <c r="S4768">
        <v>-2.9845280000000001</v>
      </c>
      <c r="T4768">
        <v>-9.8744869999999998E-2</v>
      </c>
      <c r="U4768">
        <v>0.32521060000000002</v>
      </c>
      <c r="V4768">
        <v>6.0987939999999997E-2</v>
      </c>
      <c r="W4768">
        <v>4.8745120000000001E-3</v>
      </c>
      <c r="X4768">
        <v>0.99812659999999997</v>
      </c>
      <c r="Y4768">
        <v>0.1056967</v>
      </c>
      <c r="Z4768">
        <v>1.6575819999999999E-3</v>
      </c>
      <c r="AA4768">
        <v>0.99439699999999998</v>
      </c>
      <c r="AB4768">
        <v>26</v>
      </c>
      <c r="AC4768">
        <v>-33.353900000000003</v>
      </c>
      <c r="AD4768">
        <v>-1.1100189916509999</v>
      </c>
      <c r="AE4768">
        <v>3.6551999999999998</v>
      </c>
      <c r="AF4768">
        <v>3.5650080545647298</v>
      </c>
      <c r="AG4768">
        <v>-1.1100189916509999</v>
      </c>
      <c r="AH4768">
        <v>33.326770096051497</v>
      </c>
      <c r="AI4768">
        <v>91.896838845754601</v>
      </c>
      <c r="AJ4768">
        <v>83.894214327075105</v>
      </c>
      <c r="AK4768">
        <v>33.535280371960702</v>
      </c>
      <c r="AL4768">
        <v>89.720709929082702</v>
      </c>
      <c r="AM4768">
        <v>86.503436985628198</v>
      </c>
      <c r="AN4768">
        <v>0.99999999966011999</v>
      </c>
    </row>
    <row r="4769" spans="1:40" x14ac:dyDescent="0.25">
      <c r="A4769" t="str">
        <f>"20190312154931597"</f>
        <v>20190312154931597</v>
      </c>
      <c r="B4769" t="str">
        <f>"1552376971591064"</f>
        <v>1552376971591064</v>
      </c>
      <c r="C4769" t="s">
        <v>40</v>
      </c>
      <c r="D4769">
        <v>4.9522519999999997</v>
      </c>
      <c r="E4769">
        <v>0.51763740000000003</v>
      </c>
      <c r="F4769" t="s">
        <v>42</v>
      </c>
      <c r="G4769">
        <v>-390.63389999999998</v>
      </c>
      <c r="H4769" s="1">
        <v>-4.9095210000000001E-6</v>
      </c>
      <c r="I4769">
        <v>144.40369999999999</v>
      </c>
      <c r="J4769">
        <v>-357.28469999999999</v>
      </c>
      <c r="K4769">
        <v>1.110009</v>
      </c>
      <c r="L4769">
        <v>140.73089999999999</v>
      </c>
      <c r="M4769">
        <v>-0.99990000000000001</v>
      </c>
      <c r="N4769">
        <v>0</v>
      </c>
      <c r="O4769">
        <v>2.5862229999999999E-3</v>
      </c>
      <c r="P4769">
        <v>-0.99795990000000001</v>
      </c>
      <c r="Q4769">
        <v>-9.0622040000000008E-3</v>
      </c>
      <c r="R4769">
        <v>6.3199389999999994E-2</v>
      </c>
      <c r="S4769">
        <v>-2.9845280000000001</v>
      </c>
      <c r="T4769">
        <v>-9.8583939999999995E-2</v>
      </c>
      <c r="U4769">
        <v>0.32626339999999998</v>
      </c>
      <c r="V4769">
        <v>6.0618140000000001E-2</v>
      </c>
      <c r="W4769">
        <v>4.8268290000000004E-3</v>
      </c>
      <c r="X4769">
        <v>0.99814930000000002</v>
      </c>
      <c r="Y4769">
        <v>0.1060436</v>
      </c>
      <c r="Z4769">
        <v>1.6605700000000001E-3</v>
      </c>
      <c r="AA4769">
        <v>0.99436009999999997</v>
      </c>
      <c r="AB4769">
        <v>26</v>
      </c>
      <c r="AC4769">
        <v>-33.349200000000003</v>
      </c>
      <c r="AD4769">
        <v>-1.110013909521</v>
      </c>
      <c r="AE4769">
        <v>3.6727999999999899</v>
      </c>
      <c r="AF4769">
        <v>3.5826094330288298</v>
      </c>
      <c r="AG4769">
        <v>-1.110013909521</v>
      </c>
      <c r="AH4769">
        <v>33.322114106053697</v>
      </c>
      <c r="AI4769">
        <v>91.896985844199506</v>
      </c>
      <c r="AJ4769">
        <v>83.863447070044899</v>
      </c>
      <c r="AK4769">
        <v>33.532529128084199</v>
      </c>
      <c r="AL4769">
        <v>89.723441979693703</v>
      </c>
      <c r="AM4769">
        <v>86.524665094343106</v>
      </c>
      <c r="AN4769">
        <v>0.99999994113287005</v>
      </c>
    </row>
    <row r="4770" spans="1:40" x14ac:dyDescent="0.25">
      <c r="A4770" t="str">
        <f>"20190312154931613"</f>
        <v>20190312154931613</v>
      </c>
      <c r="B4770" t="str">
        <f>"1552376971600825"</f>
        <v>1552376971600825</v>
      </c>
      <c r="C4770" t="s">
        <v>40</v>
      </c>
      <c r="D4770">
        <v>4.7963380000000004</v>
      </c>
      <c r="E4770">
        <v>0.51782519999999999</v>
      </c>
      <c r="F4770" t="s">
        <v>42</v>
      </c>
      <c r="G4770">
        <v>-390.9101</v>
      </c>
      <c r="H4770" s="1">
        <v>-4.8180159999999999E-6</v>
      </c>
      <c r="I4770">
        <v>144.41759999999999</v>
      </c>
      <c r="J4770">
        <v>-357.45890000000003</v>
      </c>
      <c r="K4770">
        <v>1.110007</v>
      </c>
      <c r="L4770">
        <v>140.7313</v>
      </c>
      <c r="M4770">
        <v>-0.99990000000000001</v>
      </c>
      <c r="N4770">
        <v>0</v>
      </c>
      <c r="O4770">
        <v>2.5862400000000001E-3</v>
      </c>
      <c r="P4770">
        <v>-0.99796779999999996</v>
      </c>
      <c r="Q4770">
        <v>-9.1207059999999993E-3</v>
      </c>
      <c r="R4770">
        <v>6.3066999999999998E-2</v>
      </c>
      <c r="S4770">
        <v>-2.9845579999999998</v>
      </c>
      <c r="T4770">
        <v>-9.8523739999999999E-2</v>
      </c>
      <c r="U4770">
        <v>0.32723999999999998</v>
      </c>
      <c r="V4770">
        <v>6.0485709999999998E-2</v>
      </c>
      <c r="W4770">
        <v>4.7667480000000003E-3</v>
      </c>
      <c r="X4770">
        <v>0.99815770000000004</v>
      </c>
      <c r="Y4770">
        <v>0.106363899999999</v>
      </c>
      <c r="Z4770">
        <v>1.6647789999999999E-3</v>
      </c>
      <c r="AA4770">
        <v>0.99432589999999998</v>
      </c>
      <c r="AB4770">
        <v>26</v>
      </c>
      <c r="AC4770">
        <v>-33.451199999999901</v>
      </c>
      <c r="AD4770">
        <v>-1.1100118180159999</v>
      </c>
      <c r="AE4770">
        <v>3.6862999999999801</v>
      </c>
      <c r="AF4770">
        <v>3.5958545399617599</v>
      </c>
      <c r="AG4770">
        <v>-1.1100118180159999</v>
      </c>
      <c r="AH4770">
        <v>33.4242603845722</v>
      </c>
      <c r="AI4770">
        <v>91.891175609334695</v>
      </c>
      <c r="AJ4770">
        <v>83.8596123607377</v>
      </c>
      <c r="AK4770">
        <v>33.635449727398999</v>
      </c>
      <c r="AL4770">
        <v>89.726884428369601</v>
      </c>
      <c r="AM4770">
        <v>86.532268081752903</v>
      </c>
      <c r="AN4770">
        <v>1.00000001853499</v>
      </c>
    </row>
    <row r="4771" spans="1:40" x14ac:dyDescent="0.25">
      <c r="A4771" t="str">
        <f>"20190312154931631"</f>
        <v>20190312154931631</v>
      </c>
      <c r="B4771" t="str">
        <f>"1552376971620346"</f>
        <v>1552376971620346</v>
      </c>
      <c r="C4771" t="s">
        <v>40</v>
      </c>
      <c r="D4771">
        <v>4.8400420000000004</v>
      </c>
      <c r="E4771">
        <v>0.5182639</v>
      </c>
      <c r="F4771" t="s">
        <v>42</v>
      </c>
      <c r="G4771">
        <v>-391.89690000000002</v>
      </c>
      <c r="H4771" s="1">
        <v>-4.5007120000000003E-6</v>
      </c>
      <c r="I4771">
        <v>144.52189999999999</v>
      </c>
      <c r="J4771">
        <v>-357.66699999999997</v>
      </c>
      <c r="K4771">
        <v>1.110009</v>
      </c>
      <c r="L4771">
        <v>140.7319</v>
      </c>
      <c r="M4771">
        <v>-0.99989980000000001</v>
      </c>
      <c r="N4771">
        <v>0</v>
      </c>
      <c r="O4771">
        <v>2.586559E-3</v>
      </c>
      <c r="P4771">
        <v>-0.99796890000000005</v>
      </c>
      <c r="Q4771">
        <v>-9.0556950000000008E-3</v>
      </c>
      <c r="R4771">
        <v>6.3056920000000002E-2</v>
      </c>
      <c r="S4771">
        <v>-2.984467</v>
      </c>
      <c r="T4771">
        <v>-9.6195939999999994E-2</v>
      </c>
      <c r="U4771">
        <v>0.32850649999999998</v>
      </c>
      <c r="V4771">
        <v>6.047541E-2</v>
      </c>
      <c r="W4771">
        <v>4.8292129999999997E-3</v>
      </c>
      <c r="X4771">
        <v>0.99815799999999999</v>
      </c>
      <c r="Y4771">
        <v>0.1067862</v>
      </c>
      <c r="Z4771">
        <v>1.6322509999999999E-3</v>
      </c>
      <c r="AA4771">
        <v>0.99428070000000002</v>
      </c>
      <c r="AB4771">
        <v>26</v>
      </c>
      <c r="AC4771">
        <v>-34.229900000000001</v>
      </c>
      <c r="AD4771">
        <v>-1.110013500712</v>
      </c>
      <c r="AE4771">
        <v>3.7899999999999898</v>
      </c>
      <c r="AF4771">
        <v>3.69759983031078</v>
      </c>
      <c r="AG4771">
        <v>-1.110013500712</v>
      </c>
      <c r="AH4771">
        <v>34.204056546695099</v>
      </c>
      <c r="AI4771">
        <v>91.847990208161406</v>
      </c>
      <c r="AJ4771">
        <v>83.830050109924102</v>
      </c>
      <c r="AK4771">
        <v>34.421241388514602</v>
      </c>
      <c r="AL4771">
        <v>89.723305399787705</v>
      </c>
      <c r="AM4771">
        <v>86.532858194305206</v>
      </c>
      <c r="AN4771">
        <v>0.99999999473843304</v>
      </c>
    </row>
    <row r="4772" spans="1:40" x14ac:dyDescent="0.25">
      <c r="A4772" t="str">
        <f>"20190312154931654"</f>
        <v>20190312154931654</v>
      </c>
      <c r="B4772" t="str">
        <f>"1552376971651108"</f>
        <v>1552376971651108</v>
      </c>
      <c r="C4772" t="s">
        <v>40</v>
      </c>
      <c r="D4772">
        <v>4.7858299999999998</v>
      </c>
      <c r="E4772">
        <v>0.51853130000000003</v>
      </c>
      <c r="F4772" t="s">
        <v>42</v>
      </c>
      <c r="G4772">
        <v>-393.78199999999998</v>
      </c>
      <c r="H4772" s="1">
        <v>-3.8997479999999997E-6</v>
      </c>
      <c r="I4772">
        <v>144.75049999999999</v>
      </c>
      <c r="J4772">
        <v>-357.92660000000001</v>
      </c>
      <c r="K4772">
        <v>1.110009</v>
      </c>
      <c r="L4772">
        <v>140.73249999999999</v>
      </c>
      <c r="M4772">
        <v>-0.99990000000000001</v>
      </c>
      <c r="N4772">
        <v>0</v>
      </c>
      <c r="O4772">
        <v>2.5864059999999999E-3</v>
      </c>
      <c r="P4772">
        <v>-0.9979614</v>
      </c>
      <c r="Q4772">
        <v>-8.8494730000000001E-3</v>
      </c>
      <c r="R4772">
        <v>6.3207169999999993E-2</v>
      </c>
      <c r="S4772">
        <v>-2.984283</v>
      </c>
      <c r="T4772">
        <v>-9.1723680000000002E-2</v>
      </c>
      <c r="U4772">
        <v>0.33207700000000001</v>
      </c>
      <c r="V4772">
        <v>6.0625800000000001E-2</v>
      </c>
      <c r="W4772">
        <v>5.0328209999999998E-3</v>
      </c>
      <c r="X4772">
        <v>0.99814789999999998</v>
      </c>
      <c r="Y4772">
        <v>0.1079724</v>
      </c>
      <c r="Z4772">
        <v>1.5745689999999901E-3</v>
      </c>
      <c r="AA4772">
        <v>0.9941527</v>
      </c>
      <c r="AB4772">
        <v>26</v>
      </c>
      <c r="AC4772">
        <v>-35.855399999999896</v>
      </c>
      <c r="AD4772">
        <v>-1.1100128997480001</v>
      </c>
      <c r="AE4772">
        <v>4.0179999999999998</v>
      </c>
      <c r="AF4772">
        <v>3.9215291892280999</v>
      </c>
      <c r="AG4772">
        <v>-1.1100128997480001</v>
      </c>
      <c r="AH4772">
        <v>35.831757966561902</v>
      </c>
      <c r="AI4772">
        <v>91.763842645909406</v>
      </c>
      <c r="AJ4772">
        <v>83.754244944929198</v>
      </c>
      <c r="AK4772">
        <v>36.062797988978097</v>
      </c>
      <c r="AL4772">
        <v>89.711639387121807</v>
      </c>
      <c r="AM4772">
        <v>86.524222147703398</v>
      </c>
      <c r="AN4772">
        <v>1.0000000235936299</v>
      </c>
    </row>
    <row r="4773" spans="1:40" x14ac:dyDescent="0.25">
      <c r="A4773" t="str">
        <f>"20190312154931677"</f>
        <v>20190312154931677</v>
      </c>
      <c r="B4773" t="str">
        <f>"1552376971670628"</f>
        <v>1552376971670628</v>
      </c>
      <c r="C4773" t="s">
        <v>40</v>
      </c>
      <c r="D4773">
        <v>4.8665250000000002</v>
      </c>
      <c r="E4773">
        <v>0.51867180000000002</v>
      </c>
      <c r="F4773" t="s">
        <v>42</v>
      </c>
      <c r="G4773">
        <v>-394.52170000000001</v>
      </c>
      <c r="H4773" s="1">
        <v>-3.6632899999999999E-6</v>
      </c>
      <c r="I4773">
        <v>144.8366</v>
      </c>
      <c r="J4773">
        <v>-358.18459999999999</v>
      </c>
      <c r="K4773">
        <v>1.110015</v>
      </c>
      <c r="L4773">
        <v>140.73320000000001</v>
      </c>
      <c r="M4773">
        <v>-0.99990020000000002</v>
      </c>
      <c r="N4773">
        <v>0</v>
      </c>
      <c r="O4773">
        <v>2.5866090000000001E-3</v>
      </c>
      <c r="P4773">
        <v>-0.99794349999999998</v>
      </c>
      <c r="Q4773">
        <v>-8.8207310000000001E-3</v>
      </c>
      <c r="R4773">
        <v>6.3493099999999997E-2</v>
      </c>
      <c r="S4773">
        <v>-2.9841310000000001</v>
      </c>
      <c r="T4773">
        <v>-9.0515490000000004E-2</v>
      </c>
      <c r="U4773">
        <v>0.334671</v>
      </c>
      <c r="V4773">
        <v>6.09115E-2</v>
      </c>
      <c r="W4773">
        <v>5.0585689999999997E-3</v>
      </c>
      <c r="X4773">
        <v>0.99813039999999997</v>
      </c>
      <c r="Y4773">
        <v>0.1088322</v>
      </c>
      <c r="Z4773">
        <v>1.566832E-3</v>
      </c>
      <c r="AA4773">
        <v>0.99405889999999997</v>
      </c>
      <c r="AB4773">
        <v>26</v>
      </c>
      <c r="AC4773">
        <v>-36.3371</v>
      </c>
      <c r="AD4773">
        <v>-1.11001866329</v>
      </c>
      <c r="AE4773">
        <v>4.1033999999999899</v>
      </c>
      <c r="AF4773">
        <v>4.00569641203138</v>
      </c>
      <c r="AG4773">
        <v>-1.11001866329</v>
      </c>
      <c r="AH4773">
        <v>36.314132829136497</v>
      </c>
      <c r="AI4773">
        <v>91.740273230280096</v>
      </c>
      <c r="AJ4773">
        <v>83.705332925930804</v>
      </c>
      <c r="AK4773">
        <v>36.551251528646503</v>
      </c>
      <c r="AL4773">
        <v>89.710164123626697</v>
      </c>
      <c r="AM4773">
        <v>86.507821856633399</v>
      </c>
      <c r="AN4773">
        <v>1.0000000476783599</v>
      </c>
    </row>
    <row r="4774" spans="1:40" x14ac:dyDescent="0.25">
      <c r="A4774" t="str">
        <f>"20190312154931698"</f>
        <v>20190312154931698</v>
      </c>
      <c r="B4774" t="str">
        <f>"1552376971690713"</f>
        <v>1552376971690713</v>
      </c>
      <c r="C4774" t="s">
        <v>40</v>
      </c>
      <c r="D4774">
        <v>4.7876690000000002</v>
      </c>
      <c r="E4774">
        <v>0.51871239999999996</v>
      </c>
      <c r="F4774" t="s">
        <v>42</v>
      </c>
      <c r="G4774">
        <v>-394.48989999999998</v>
      </c>
      <c r="H4774" s="1">
        <v>-3.6727020000000001E-6</v>
      </c>
      <c r="I4774">
        <v>144.82859999999999</v>
      </c>
      <c r="J4774">
        <v>-358.43169999999998</v>
      </c>
      <c r="K4774">
        <v>1.110015</v>
      </c>
      <c r="L4774">
        <v>140.73390000000001</v>
      </c>
      <c r="M4774">
        <v>-0.99990020000000002</v>
      </c>
      <c r="N4774">
        <v>0</v>
      </c>
      <c r="O4774">
        <v>2.5866299999999999E-3</v>
      </c>
      <c r="P4774">
        <v>-0.99795219999999996</v>
      </c>
      <c r="Q4774">
        <v>-8.3944850000000001E-3</v>
      </c>
      <c r="R4774">
        <v>6.3415849999999996E-2</v>
      </c>
      <c r="S4774">
        <v>-2.9839479999999998</v>
      </c>
      <c r="T4774">
        <v>-9.1233019999999998E-2</v>
      </c>
      <c r="U4774">
        <v>0.33660889999999999</v>
      </c>
      <c r="V4774">
        <v>6.0834409999999998E-2</v>
      </c>
      <c r="W4774">
        <v>5.4819949999999999E-3</v>
      </c>
      <c r="X4774">
        <v>0.99813280000000004</v>
      </c>
      <c r="Y4774">
        <v>0.1094753</v>
      </c>
      <c r="Z4774">
        <v>1.5890839999999999E-3</v>
      </c>
      <c r="AA4774">
        <v>0.99398819999999999</v>
      </c>
      <c r="AB4774">
        <v>26</v>
      </c>
      <c r="AC4774">
        <v>-36.058199999999999</v>
      </c>
      <c r="AD4774">
        <v>-1.1100186727020001</v>
      </c>
      <c r="AE4774">
        <v>4.09469999999998</v>
      </c>
      <c r="AF4774">
        <v>3.9976678823964802</v>
      </c>
      <c r="AG4774">
        <v>-1.1100186727020001</v>
      </c>
      <c r="AH4774">
        <v>36.034957721237703</v>
      </c>
      <c r="AI4774">
        <v>91.7536263406096</v>
      </c>
      <c r="AJ4774">
        <v>83.669571867712406</v>
      </c>
      <c r="AK4774">
        <v>36.273015699319501</v>
      </c>
      <c r="AL4774">
        <v>89.685903244323697</v>
      </c>
      <c r="AM4774">
        <v>86.512239029074905</v>
      </c>
      <c r="AN4774">
        <v>0.99999998207253404</v>
      </c>
    </row>
    <row r="4775" spans="1:40" x14ac:dyDescent="0.25">
      <c r="A4775" t="str">
        <f>"20190312154931720"</f>
        <v>20190312154931720</v>
      </c>
      <c r="B4775" t="str">
        <f>"1552376971711170"</f>
        <v>1552376971711170</v>
      </c>
      <c r="C4775" t="s">
        <v>40</v>
      </c>
      <c r="D4775">
        <v>4.8325250000000004</v>
      </c>
      <c r="E4775">
        <v>0.51889819999999998</v>
      </c>
      <c r="F4775" t="s">
        <v>42</v>
      </c>
      <c r="G4775">
        <v>-394.56760000000003</v>
      </c>
      <c r="H4775" s="1">
        <v>-3.6430999999999999E-6</v>
      </c>
      <c r="I4775">
        <v>144.8108</v>
      </c>
      <c r="J4775">
        <v>-358.68490000000003</v>
      </c>
      <c r="K4775">
        <v>1.1100190000000001</v>
      </c>
      <c r="L4775">
        <v>140.7345</v>
      </c>
      <c r="M4775">
        <v>-0.99990000000000001</v>
      </c>
      <c r="N4775">
        <v>0</v>
      </c>
      <c r="O4775">
        <v>2.5870070000000001E-3</v>
      </c>
      <c r="P4775">
        <v>-0.99796169999999995</v>
      </c>
      <c r="Q4775">
        <v>-7.8938120000000001E-3</v>
      </c>
      <c r="R4775">
        <v>6.3325870000000006E-2</v>
      </c>
      <c r="S4775">
        <v>-2.983978</v>
      </c>
      <c r="T4775">
        <v>-9.1661690000000004E-2</v>
      </c>
      <c r="U4775">
        <v>0.33666990000000002</v>
      </c>
      <c r="V4775">
        <v>6.0743900000000003E-2</v>
      </c>
      <c r="W4775">
        <v>5.9802809999999996E-3</v>
      </c>
      <c r="X4775">
        <v>0.99813540000000001</v>
      </c>
      <c r="Y4775">
        <v>0.1094934</v>
      </c>
      <c r="Z4775">
        <v>1.596795E-3</v>
      </c>
      <c r="AA4775">
        <v>0.99398620000000004</v>
      </c>
      <c r="AB4775">
        <v>25</v>
      </c>
      <c r="AC4775">
        <v>-35.8827</v>
      </c>
      <c r="AD4775">
        <v>-1.1100226431</v>
      </c>
      <c r="AE4775">
        <v>4.0762999999999998</v>
      </c>
      <c r="AF4775">
        <v>3.9796887093773599</v>
      </c>
      <c r="AG4775">
        <v>-1.1100226431</v>
      </c>
      <c r="AH4775">
        <v>35.859247706979602</v>
      </c>
      <c r="AI4775">
        <v>91.762211840317406</v>
      </c>
      <c r="AJ4775">
        <v>83.667182461134999</v>
      </c>
      <c r="AK4775">
        <v>36.096477925169701</v>
      </c>
      <c r="AL4775">
        <v>89.657353072323403</v>
      </c>
      <c r="AM4775">
        <v>86.517424420618298</v>
      </c>
      <c r="AN4775">
        <v>0.99999993094060202</v>
      </c>
    </row>
    <row r="4776" spans="1:40" x14ac:dyDescent="0.25">
      <c r="A4776" t="str">
        <f>"20190312154931742"</f>
        <v>20190312154931742</v>
      </c>
      <c r="B4776" t="str">
        <f>"1552376971730691"</f>
        <v>1552376971730691</v>
      </c>
      <c r="C4776" t="s">
        <v>40</v>
      </c>
      <c r="D4776">
        <v>4.7128449999999997</v>
      </c>
      <c r="E4776">
        <v>0.51909839999999996</v>
      </c>
      <c r="F4776" t="s">
        <v>42</v>
      </c>
      <c r="G4776">
        <v>-395.27949999999998</v>
      </c>
      <c r="H4776" s="1">
        <v>-3.4072679999999999E-6</v>
      </c>
      <c r="I4776">
        <v>144.87729999999999</v>
      </c>
      <c r="J4776">
        <v>-358.9357</v>
      </c>
      <c r="K4776">
        <v>1.1100219999999901</v>
      </c>
      <c r="L4776">
        <v>140.73519999999999</v>
      </c>
      <c r="M4776">
        <v>-0.99990009999999996</v>
      </c>
      <c r="N4776">
        <v>0</v>
      </c>
      <c r="O4776">
        <v>2.5872069999999998E-3</v>
      </c>
      <c r="P4776">
        <v>-0.99797340000000001</v>
      </c>
      <c r="Q4776">
        <v>-8.0336030000000003E-3</v>
      </c>
      <c r="R4776">
        <v>6.3124490000000005E-2</v>
      </c>
      <c r="S4776">
        <v>-2.9839479999999998</v>
      </c>
      <c r="T4776">
        <v>-9.0512159999999994E-2</v>
      </c>
      <c r="U4776">
        <v>0.33781430000000001</v>
      </c>
      <c r="V4776">
        <v>6.0542350000000002E-2</v>
      </c>
      <c r="W4776">
        <v>5.8377100000000003E-3</v>
      </c>
      <c r="X4776">
        <v>0.99814860000000005</v>
      </c>
      <c r="Y4776">
        <v>0.10987180000000001</v>
      </c>
      <c r="Z4776">
        <v>1.5824739999999999E-3</v>
      </c>
      <c r="AA4776">
        <v>0.99394450000000001</v>
      </c>
      <c r="AB4776">
        <v>25</v>
      </c>
      <c r="AC4776">
        <v>-36.343799999999902</v>
      </c>
      <c r="AD4776">
        <v>-1.11002540726799</v>
      </c>
      <c r="AE4776">
        <v>4.1420999999999903</v>
      </c>
      <c r="AF4776">
        <v>4.0443238069388903</v>
      </c>
      <c r="AG4776">
        <v>-1.11002540726799</v>
      </c>
      <c r="AH4776">
        <v>36.320948814617502</v>
      </c>
      <c r="AI4776">
        <v>91.739758899569594</v>
      </c>
      <c r="AJ4776">
        <v>83.646309772906804</v>
      </c>
      <c r="AK4776">
        <v>36.562276108773901</v>
      </c>
      <c r="AL4776">
        <v>89.665521969016694</v>
      </c>
      <c r="AM4776">
        <v>86.528997198052906</v>
      </c>
      <c r="AN4776">
        <v>1.00000004134176</v>
      </c>
    </row>
    <row r="4777" spans="1:40" x14ac:dyDescent="0.25">
      <c r="A4777" t="str">
        <f>"20190312154931758"</f>
        <v>20190312154931758</v>
      </c>
      <c r="B4777" t="str">
        <f>"1552376971751186"</f>
        <v>1552376971751186</v>
      </c>
      <c r="C4777" t="s">
        <v>40</v>
      </c>
      <c r="D4777">
        <v>4.6978569999999999</v>
      </c>
      <c r="E4777">
        <v>0.49149340000000002</v>
      </c>
      <c r="F4777" t="s">
        <v>42</v>
      </c>
      <c r="G4777">
        <v>-395.8707</v>
      </c>
      <c r="H4777" s="1">
        <v>-3.1676200000000001E-6</v>
      </c>
      <c r="I4777">
        <v>144.9299</v>
      </c>
      <c r="J4777">
        <v>-359.12119999999999</v>
      </c>
      <c r="K4777">
        <v>1.110026</v>
      </c>
      <c r="L4777">
        <v>140.73560000000001</v>
      </c>
      <c r="M4777">
        <v>-0.99990020000000002</v>
      </c>
      <c r="N4777">
        <v>0</v>
      </c>
      <c r="O4777">
        <v>2.5872209999999998E-3</v>
      </c>
      <c r="P4777">
        <v>-0.99796560000000001</v>
      </c>
      <c r="Q4777">
        <v>-8.2386430000000004E-3</v>
      </c>
      <c r="R4777">
        <v>6.3222239999999999E-2</v>
      </c>
      <c r="S4777">
        <v>-2.9839479999999998</v>
      </c>
      <c r="T4777">
        <v>-8.9677930000000003E-2</v>
      </c>
      <c r="U4777">
        <v>0.33889770000000002</v>
      </c>
      <c r="V4777">
        <v>6.0640079999999999E-2</v>
      </c>
      <c r="W4777">
        <v>5.6302890000000001E-3</v>
      </c>
      <c r="X4777">
        <v>0.99814380000000003</v>
      </c>
      <c r="Y4777">
        <v>0.1102288</v>
      </c>
      <c r="Z4777">
        <v>1.5732089999999999E-3</v>
      </c>
      <c r="AA4777">
        <v>0.99390500000000004</v>
      </c>
      <c r="AB4777">
        <v>25</v>
      </c>
      <c r="AC4777">
        <v>-36.749499999999998</v>
      </c>
      <c r="AD4777">
        <v>-1.11002916762</v>
      </c>
      <c r="AE4777">
        <v>4.1942999999999904</v>
      </c>
      <c r="AF4777">
        <v>4.0955091812463502</v>
      </c>
      <c r="AG4777">
        <v>-1.11002916762</v>
      </c>
      <c r="AH4777">
        <v>36.727152121446601</v>
      </c>
      <c r="AI4777">
        <v>91.720503888619106</v>
      </c>
      <c r="AJ4777">
        <v>83.637134002199801</v>
      </c>
      <c r="AK4777">
        <v>36.9714628214589</v>
      </c>
      <c r="AL4777">
        <v>89.677406492812494</v>
      </c>
      <c r="AM4777">
        <v>86.523391213870994</v>
      </c>
      <c r="AN4777">
        <v>0.99999998246753397</v>
      </c>
    </row>
    <row r="4778" spans="1:40" x14ac:dyDescent="0.25">
      <c r="A4778" t="str">
        <f>"20190312154931773"</f>
        <v>20190312154931773</v>
      </c>
      <c r="B4778" t="str">
        <f>"1552376971760946"</f>
        <v>1552376971760946</v>
      </c>
      <c r="C4778" t="s">
        <v>40</v>
      </c>
      <c r="D4778">
        <v>4.6721779999999997</v>
      </c>
      <c r="E4778">
        <v>0.48019489999999998</v>
      </c>
      <c r="F4778" t="s">
        <v>42</v>
      </c>
      <c r="G4778">
        <v>-399.41320000000002</v>
      </c>
      <c r="H4778" s="1">
        <v>-9.5971269999999895E-7</v>
      </c>
      <c r="I4778">
        <v>142.3434</v>
      </c>
      <c r="J4778">
        <v>-359.28789999999998</v>
      </c>
      <c r="K4778">
        <v>1.110026</v>
      </c>
      <c r="L4778">
        <v>140.73609999999999</v>
      </c>
      <c r="M4778">
        <v>-0.99990009999999996</v>
      </c>
      <c r="N4778">
        <v>0</v>
      </c>
      <c r="O4778">
        <v>2.587233E-3</v>
      </c>
      <c r="P4778">
        <v>-0.99798869999999895</v>
      </c>
      <c r="Q4778">
        <v>-7.9824159999999904E-3</v>
      </c>
      <c r="R4778">
        <v>6.2889099999999906E-2</v>
      </c>
      <c r="S4778">
        <v>-2.997925</v>
      </c>
      <c r="T4778">
        <v>-8.2591650000000003E-2</v>
      </c>
      <c r="U4778">
        <v>0.1196289</v>
      </c>
      <c r="V4778">
        <v>6.0306899999999997E-2</v>
      </c>
      <c r="W4778">
        <v>5.8849159999999996E-3</v>
      </c>
      <c r="X4778">
        <v>0.99816249999999995</v>
      </c>
      <c r="Y4778">
        <v>3.7273470000000003E-2</v>
      </c>
      <c r="Z4778">
        <v>4.4189210000000002E-4</v>
      </c>
      <c r="AA4778">
        <v>0.999305</v>
      </c>
      <c r="AB4778">
        <v>25</v>
      </c>
      <c r="AC4778">
        <v>-40.125300000000003</v>
      </c>
      <c r="AD4778">
        <v>-1.1100269597126999</v>
      </c>
      <c r="AE4778">
        <v>1.6073</v>
      </c>
      <c r="AF4778">
        <v>1.5023232119482099</v>
      </c>
      <c r="AG4778">
        <v>-1.1100269597126999</v>
      </c>
      <c r="AH4778">
        <v>40.098686264582803</v>
      </c>
      <c r="AI4778">
        <v>91.584567271412297</v>
      </c>
      <c r="AJ4778">
        <v>87.854380110403397</v>
      </c>
      <c r="AK4778">
        <v>40.142169535662802</v>
      </c>
      <c r="AL4778">
        <v>89.662817192497897</v>
      </c>
      <c r="AM4778">
        <v>86.542511194342495</v>
      </c>
      <c r="AN4778">
        <v>0.99999996541509195</v>
      </c>
    </row>
    <row r="4779" spans="1:40" x14ac:dyDescent="0.25">
      <c r="A4779" t="str">
        <f>"20190312154931787"</f>
        <v>20190312154931787</v>
      </c>
      <c r="B4779" t="str">
        <f>"1552376971780466"</f>
        <v>1552376971780466</v>
      </c>
      <c r="C4779" t="s">
        <v>40</v>
      </c>
      <c r="D4779">
        <v>4.7056259999999996</v>
      </c>
      <c r="E4779">
        <v>0.46603460000000002</v>
      </c>
      <c r="F4779" t="s">
        <v>63</v>
      </c>
      <c r="G4779">
        <v>-417.69709999999998</v>
      </c>
      <c r="H4779" s="1">
        <v>-1.0592720000000001E-5</v>
      </c>
      <c r="I4779">
        <v>141.3117</v>
      </c>
      <c r="J4779">
        <v>-359.4452</v>
      </c>
      <c r="K4779">
        <v>1.1100289999999999</v>
      </c>
      <c r="L4779">
        <v>140.73650000000001</v>
      </c>
      <c r="M4779">
        <v>-0.99990009999999996</v>
      </c>
      <c r="N4779">
        <v>0</v>
      </c>
      <c r="O4779">
        <v>2.5872439999999998E-3</v>
      </c>
      <c r="P4779">
        <v>-0.99803189999999997</v>
      </c>
      <c r="Q4779">
        <v>-8.100075E-3</v>
      </c>
      <c r="R4779">
        <v>6.2182710000000002E-2</v>
      </c>
      <c r="S4779">
        <v>-3.0037229999999999</v>
      </c>
      <c r="T4779">
        <v>-5.7084200000000002E-2</v>
      </c>
      <c r="U4779">
        <v>2.9602050000000001E-2</v>
      </c>
      <c r="V4779">
        <v>5.9600359999999998E-2</v>
      </c>
      <c r="W4779">
        <v>5.7666619999999997E-3</v>
      </c>
      <c r="X4779">
        <v>0.99820569999999997</v>
      </c>
      <c r="Y4779">
        <v>7.2663959999999996E-3</v>
      </c>
      <c r="Z4779" s="1">
        <v>1.9870989999999999E-5</v>
      </c>
      <c r="AA4779">
        <v>0.99997360000000002</v>
      </c>
      <c r="AB4779">
        <v>25</v>
      </c>
      <c r="AC4779">
        <v>-58.2518999999999</v>
      </c>
      <c r="AD4779">
        <v>-1.11003959272</v>
      </c>
      <c r="AE4779">
        <v>0.57519999999999505</v>
      </c>
      <c r="AF4779">
        <v>0.42431757715240098</v>
      </c>
      <c r="AG4779">
        <v>-1.11003959272</v>
      </c>
      <c r="AH4779">
        <v>58.232049843579198</v>
      </c>
      <c r="AI4779">
        <v>91.092030836147401</v>
      </c>
      <c r="AJ4779">
        <v>89.582512102116894</v>
      </c>
      <c r="AK4779">
        <v>58.244174492293901</v>
      </c>
      <c r="AL4779">
        <v>89.669592786945998</v>
      </c>
      <c r="AM4779">
        <v>86.583069219363907</v>
      </c>
      <c r="AN4779">
        <v>1.00000003840762</v>
      </c>
    </row>
    <row r="4780" spans="1:40" x14ac:dyDescent="0.25">
      <c r="A4780" t="str">
        <f>"20190312154931820"</f>
        <v>20190312154931820</v>
      </c>
      <c r="B4780" t="str">
        <f>"1552376971810722"</f>
        <v>1552376971810722</v>
      </c>
      <c r="C4780" t="s">
        <v>40</v>
      </c>
      <c r="D4780">
        <v>4.5877460000000001</v>
      </c>
      <c r="E4780">
        <v>0.45966010000000002</v>
      </c>
      <c r="F4780" t="s">
        <v>63</v>
      </c>
      <c r="G4780">
        <v>-405.63690000000003</v>
      </c>
      <c r="H4780" s="1">
        <v>-7.9011789999999906E-6</v>
      </c>
      <c r="I4780">
        <v>139.41919999999999</v>
      </c>
      <c r="J4780">
        <v>-359.81169999999997</v>
      </c>
      <c r="K4780">
        <v>1.110017</v>
      </c>
      <c r="L4780">
        <v>140.73740000000001</v>
      </c>
      <c r="M4780">
        <v>-0.99990029999999996</v>
      </c>
      <c r="N4780">
        <v>0</v>
      </c>
      <c r="O4780">
        <v>2.5870889999999999E-3</v>
      </c>
      <c r="P4780">
        <v>-0.9980772</v>
      </c>
      <c r="Q4780">
        <v>-8.0551670000000002E-3</v>
      </c>
      <c r="R4780">
        <v>6.1458699999999998E-2</v>
      </c>
      <c r="S4780">
        <v>-3.010742</v>
      </c>
      <c r="T4780">
        <v>-7.2351460000000006E-2</v>
      </c>
      <c r="U4780">
        <v>-8.5861209999999993E-2</v>
      </c>
      <c r="V4780">
        <v>5.8876409999999997E-2</v>
      </c>
      <c r="W4780">
        <v>5.8090989999999999E-3</v>
      </c>
      <c r="X4780">
        <v>0.99824840000000004</v>
      </c>
      <c r="Y4780">
        <v>-3.1083179999999998E-2</v>
      </c>
      <c r="Z4780">
        <v>-4.3550730000000001E-4</v>
      </c>
      <c r="AA4780">
        <v>0.99951670000000004</v>
      </c>
      <c r="AB4780">
        <v>25</v>
      </c>
      <c r="AC4780">
        <v>-45.825200000000002</v>
      </c>
      <c r="AD4780">
        <v>-1.110024901179</v>
      </c>
      <c r="AE4780">
        <v>-1.31820000000001</v>
      </c>
      <c r="AF4780">
        <v>-1.4359190468493599</v>
      </c>
      <c r="AG4780">
        <v>-1.110024901179</v>
      </c>
      <c r="AH4780">
        <v>45.7947878872884</v>
      </c>
      <c r="AI4780">
        <v>91.387845001210394</v>
      </c>
      <c r="AJ4780">
        <v>91.795950114811504</v>
      </c>
      <c r="AK4780">
        <v>45.830738772488502</v>
      </c>
      <c r="AL4780">
        <v>89.667161280086503</v>
      </c>
      <c r="AM4780">
        <v>86.624621279824794</v>
      </c>
      <c r="AN4780">
        <v>1.0000000226941099</v>
      </c>
    </row>
    <row r="4781" spans="1:40" x14ac:dyDescent="0.25">
      <c r="A4781" t="str">
        <f>"20190312154931844"</f>
        <v>20190312154931844</v>
      </c>
      <c r="B4781" t="str">
        <f>"1552376971830750"</f>
        <v>1552376971830750</v>
      </c>
      <c r="C4781" t="s">
        <v>40</v>
      </c>
      <c r="D4781">
        <v>4.5999829999999999</v>
      </c>
      <c r="E4781">
        <v>0.45773419999999998</v>
      </c>
      <c r="F4781" t="s">
        <v>63</v>
      </c>
      <c r="G4781">
        <v>-407.88850000000002</v>
      </c>
      <c r="H4781" s="1">
        <v>-8.9112009999999997E-6</v>
      </c>
      <c r="I4781">
        <v>138.5231</v>
      </c>
      <c r="J4781">
        <v>-360.07870000000003</v>
      </c>
      <c r="K4781">
        <v>1.1100179999999999</v>
      </c>
      <c r="L4781">
        <v>140.7381</v>
      </c>
      <c r="M4781">
        <v>-0.99990029999999996</v>
      </c>
      <c r="N4781">
        <v>0</v>
      </c>
      <c r="O4781">
        <v>2.5871069999999999E-3</v>
      </c>
      <c r="P4781">
        <v>-0.99809829999999999</v>
      </c>
      <c r="Q4781">
        <v>-7.5708609999999999E-3</v>
      </c>
      <c r="R4781">
        <v>6.1176849999999998E-2</v>
      </c>
      <c r="S4781">
        <v>-3.013763</v>
      </c>
      <c r="T4781">
        <v>-6.9583539999999999E-2</v>
      </c>
      <c r="U4781">
        <v>-0.13880919999999999</v>
      </c>
      <c r="V4781">
        <v>5.8594559999999997E-2</v>
      </c>
      <c r="W4781">
        <v>6.29022E-3</v>
      </c>
      <c r="X4781">
        <v>0.99826199999999998</v>
      </c>
      <c r="Y4781">
        <v>-4.8580499999999999E-2</v>
      </c>
      <c r="Z4781">
        <v>-6.2015550000000001E-4</v>
      </c>
      <c r="AA4781">
        <v>0.99881909999999896</v>
      </c>
      <c r="AB4781">
        <v>25</v>
      </c>
      <c r="AC4781">
        <v>-47.809800000000003</v>
      </c>
      <c r="AD4781">
        <v>-1.1100269112009999</v>
      </c>
      <c r="AE4781">
        <v>-2.2149999999999999</v>
      </c>
      <c r="AF4781">
        <v>-2.3374362649069602</v>
      </c>
      <c r="AG4781">
        <v>-1.1100269112009999</v>
      </c>
      <c r="AH4781">
        <v>47.778209051548103</v>
      </c>
      <c r="AI4781">
        <v>91.329319068438295</v>
      </c>
      <c r="AJ4781">
        <v>92.800827867463894</v>
      </c>
      <c r="AK4781">
        <v>47.848229102125799</v>
      </c>
      <c r="AL4781">
        <v>89.639594548855598</v>
      </c>
      <c r="AM4781">
        <v>86.640788280041804</v>
      </c>
      <c r="AN4781">
        <v>0.99999995498661998</v>
      </c>
    </row>
    <row r="4782" spans="1:40" x14ac:dyDescent="0.25">
      <c r="A4782" t="str">
        <f>"20190312154931866"</f>
        <v>20190312154931866</v>
      </c>
      <c r="B4782" t="str">
        <f>"1552376971861008"</f>
        <v>1552376971861008</v>
      </c>
      <c r="C4782" t="s">
        <v>40</v>
      </c>
      <c r="D4782">
        <v>4.6038199999999998</v>
      </c>
      <c r="E4782">
        <v>0.45599519999999999</v>
      </c>
      <c r="F4782" t="s">
        <v>63</v>
      </c>
      <c r="G4782">
        <v>-409.99430000000001</v>
      </c>
      <c r="H4782" s="1">
        <v>-1.004305E-5</v>
      </c>
      <c r="I4782">
        <v>138.17269999999999</v>
      </c>
      <c r="J4782">
        <v>-360.32900000000001</v>
      </c>
      <c r="K4782">
        <v>1.11002</v>
      </c>
      <c r="L4782">
        <v>140.73869999999999</v>
      </c>
      <c r="M4782">
        <v>-0.99990029999999996</v>
      </c>
      <c r="N4782">
        <v>0</v>
      </c>
      <c r="O4782">
        <v>2.5869450000000002E-3</v>
      </c>
      <c r="P4782">
        <v>-0.99811249999999996</v>
      </c>
      <c r="Q4782">
        <v>-6.1635429999999996E-3</v>
      </c>
      <c r="R4782">
        <v>6.1103459999999998E-2</v>
      </c>
      <c r="S4782">
        <v>-3.0146790000000001</v>
      </c>
      <c r="T4782">
        <v>-6.7040799999999998E-2</v>
      </c>
      <c r="U4782">
        <v>-0.15493770000000001</v>
      </c>
      <c r="V4782">
        <v>5.8521249999999997E-2</v>
      </c>
      <c r="W4782">
        <v>7.6954240000000002E-3</v>
      </c>
      <c r="X4782">
        <v>0.99825649999999999</v>
      </c>
      <c r="Y4782">
        <v>-5.3896390000000002E-2</v>
      </c>
      <c r="Z4782">
        <v>-6.5629849999999999E-4</v>
      </c>
      <c r="AA4782">
        <v>0.9985463</v>
      </c>
      <c r="AB4782">
        <v>25</v>
      </c>
      <c r="AC4782">
        <v>-49.665300000000002</v>
      </c>
      <c r="AD4782">
        <v>-1.1100300430500001</v>
      </c>
      <c r="AE4782">
        <v>-2.5659999999999998</v>
      </c>
      <c r="AF4782">
        <v>-2.6931434626081301</v>
      </c>
      <c r="AG4782">
        <v>-1.1100300430500001</v>
      </c>
      <c r="AH4782">
        <v>49.633767390442799</v>
      </c>
      <c r="AI4782">
        <v>91.279291648207206</v>
      </c>
      <c r="AJ4782">
        <v>93.105840930455599</v>
      </c>
      <c r="AK4782">
        <v>49.719171893498498</v>
      </c>
      <c r="AL4782">
        <v>89.559080330447102</v>
      </c>
      <c r="AM4782">
        <v>86.644963075114504</v>
      </c>
      <c r="AN4782">
        <v>0.99999999802217598</v>
      </c>
    </row>
    <row r="4783" spans="1:40" x14ac:dyDescent="0.25">
      <c r="A4783" t="str">
        <f>"20190312154931887"</f>
        <v>20190312154931887</v>
      </c>
      <c r="B4783" t="str">
        <f>"1552376971880525"</f>
        <v>1552376971880525</v>
      </c>
      <c r="C4783" t="s">
        <v>40</v>
      </c>
      <c r="D4783">
        <v>4.6291209999999996</v>
      </c>
      <c r="E4783">
        <v>0.45513900000000002</v>
      </c>
      <c r="F4783" t="s">
        <v>63</v>
      </c>
      <c r="G4783">
        <v>-413.5367</v>
      </c>
      <c r="H4783" s="1">
        <v>-9.5501849999999994E-6</v>
      </c>
      <c r="I4783">
        <v>137.75710000000001</v>
      </c>
      <c r="J4783">
        <v>-360.57440000000003</v>
      </c>
      <c r="K4783">
        <v>1.1100209999999999</v>
      </c>
      <c r="L4783">
        <v>140.73939999999999</v>
      </c>
      <c r="M4783">
        <v>-0.99990040000000002</v>
      </c>
      <c r="N4783">
        <v>0</v>
      </c>
      <c r="O4783">
        <v>2.5867830000000001E-3</v>
      </c>
      <c r="P4783">
        <v>-0.99815310000000002</v>
      </c>
      <c r="Q4783">
        <v>-5.9608999999999999E-3</v>
      </c>
      <c r="R4783">
        <v>6.0459100000000002E-2</v>
      </c>
      <c r="S4783">
        <v>-3.015625</v>
      </c>
      <c r="T4783">
        <v>-6.2912579999999996E-2</v>
      </c>
      <c r="U4783">
        <v>-0.16899110000000001</v>
      </c>
      <c r="V4783">
        <v>5.7877140000000001E-2</v>
      </c>
      <c r="W4783">
        <v>7.8961669999999904E-3</v>
      </c>
      <c r="X4783">
        <v>0.99829250000000003</v>
      </c>
      <c r="Y4783">
        <v>-5.8520250000000003E-2</v>
      </c>
      <c r="Z4783">
        <v>-6.6381000000000003E-4</v>
      </c>
      <c r="AA4783">
        <v>0.99828600000000001</v>
      </c>
      <c r="AB4783">
        <v>25</v>
      </c>
      <c r="AC4783">
        <v>-52.9622999999999</v>
      </c>
      <c r="AD4783">
        <v>-1.1100305501850001</v>
      </c>
      <c r="AE4783">
        <v>-2.98229999999998</v>
      </c>
      <c r="AF4783">
        <v>-3.1179398826464899</v>
      </c>
      <c r="AG4783">
        <v>-1.1100305501850001</v>
      </c>
      <c r="AH4783">
        <v>52.931229605281402</v>
      </c>
      <c r="AI4783">
        <v>91.1993059313196</v>
      </c>
      <c r="AJ4783">
        <v>93.371140299570499</v>
      </c>
      <c r="AK4783">
        <v>53.034599880277703</v>
      </c>
      <c r="AL4783">
        <v>89.547578261523597</v>
      </c>
      <c r="AM4783">
        <v>86.681926473822699</v>
      </c>
      <c r="AN4783">
        <v>1.00000001417206</v>
      </c>
    </row>
    <row r="4784" spans="1:40" x14ac:dyDescent="0.25">
      <c r="A4784" t="str">
        <f>"20190312154931909"</f>
        <v>20190312154931909</v>
      </c>
      <c r="B4784" t="str">
        <f>"1552376971901022"</f>
        <v>1552376971901022</v>
      </c>
      <c r="C4784" t="s">
        <v>40</v>
      </c>
      <c r="D4784">
        <v>4.5960340000000004</v>
      </c>
      <c r="E4784">
        <v>0.45457599999999998</v>
      </c>
      <c r="F4784" t="s">
        <v>63</v>
      </c>
      <c r="G4784">
        <v>-414.03820000000002</v>
      </c>
      <c r="H4784" s="1">
        <v>-9.4323900000000007E-6</v>
      </c>
      <c r="I4784">
        <v>137.58840000000001</v>
      </c>
      <c r="J4784">
        <v>-360.81670000000003</v>
      </c>
      <c r="K4784">
        <v>1.1100110000000001</v>
      </c>
      <c r="L4784">
        <v>140.74</v>
      </c>
      <c r="M4784">
        <v>-0.99990029999999996</v>
      </c>
      <c r="N4784">
        <v>0</v>
      </c>
      <c r="O4784">
        <v>2.5869780000000002E-3</v>
      </c>
      <c r="P4784">
        <v>-0.9982162</v>
      </c>
      <c r="Q4784">
        <v>-6.7175500000000001E-3</v>
      </c>
      <c r="R4784">
        <v>5.9323760000000003E-2</v>
      </c>
      <c r="S4784">
        <v>-3.01593</v>
      </c>
      <c r="T4784">
        <v>-6.2617539999999999E-2</v>
      </c>
      <c r="U4784">
        <v>-0.17774960000000001</v>
      </c>
      <c r="V4784">
        <v>5.6741260000000002E-2</v>
      </c>
      <c r="W4784">
        <v>7.1384939999999996E-3</v>
      </c>
      <c r="X4784">
        <v>0.99836340000000001</v>
      </c>
      <c r="Y4784">
        <v>-6.1403630000000001E-2</v>
      </c>
      <c r="Z4784">
        <v>-6.9048350000000004E-4</v>
      </c>
      <c r="AA4784">
        <v>0.99811280000000002</v>
      </c>
      <c r="AB4784">
        <v>25</v>
      </c>
      <c r="AC4784">
        <v>-53.221499999999899</v>
      </c>
      <c r="AD4784">
        <v>-1.11002043239</v>
      </c>
      <c r="AE4784">
        <v>-3.1516000000000002</v>
      </c>
      <c r="AF4784">
        <v>-3.2878603525774199</v>
      </c>
      <c r="AG4784">
        <v>-1.11002043239</v>
      </c>
      <c r="AH4784">
        <v>53.1901112030327</v>
      </c>
      <c r="AI4784">
        <v>91.193250971663005</v>
      </c>
      <c r="AJ4784">
        <v>93.537145135042394</v>
      </c>
      <c r="AK4784">
        <v>53.303190344006197</v>
      </c>
      <c r="AL4784">
        <v>89.590990949410596</v>
      </c>
      <c r="AM4784">
        <v>86.747135297687095</v>
      </c>
      <c r="AN4784">
        <v>1.00000000357126</v>
      </c>
    </row>
    <row r="4785" spans="1:40" x14ac:dyDescent="0.25">
      <c r="A4785" t="str">
        <f>"20190312154931933"</f>
        <v>20190312154931933</v>
      </c>
      <c r="B4785" t="str">
        <f>"1552376971930303"</f>
        <v>1552376971930303</v>
      </c>
      <c r="C4785" t="s">
        <v>40</v>
      </c>
      <c r="D4785">
        <v>4.6565629999999896</v>
      </c>
      <c r="E4785">
        <v>0.45414189999999999</v>
      </c>
      <c r="F4785" t="s">
        <v>63</v>
      </c>
      <c r="G4785">
        <v>-411.1866</v>
      </c>
      <c r="H4785" s="1">
        <v>-9.7050680000000004E-6</v>
      </c>
      <c r="I4785">
        <v>137.63910000000001</v>
      </c>
      <c r="J4785">
        <v>-361.0813</v>
      </c>
      <c r="K4785">
        <v>1.109998</v>
      </c>
      <c r="L4785">
        <v>140.7407</v>
      </c>
      <c r="M4785">
        <v>-0.99990029999999996</v>
      </c>
      <c r="N4785">
        <v>0</v>
      </c>
      <c r="O4785">
        <v>2.5868169999999999E-3</v>
      </c>
      <c r="P4785">
        <v>-0.99827719999999998</v>
      </c>
      <c r="Q4785">
        <v>-8.2901190000000003E-3</v>
      </c>
      <c r="R4785">
        <v>5.8084869999999997E-2</v>
      </c>
      <c r="S4785">
        <v>-3.0159609999999999</v>
      </c>
      <c r="T4785">
        <v>-6.6463830000000002E-2</v>
      </c>
      <c r="U4785">
        <v>-0.1856689</v>
      </c>
      <c r="V4785">
        <v>5.5502309999999999E-2</v>
      </c>
      <c r="W4785">
        <v>5.564009E-3</v>
      </c>
      <c r="X4785">
        <v>0.99844310000000003</v>
      </c>
      <c r="Y4785">
        <v>-6.4011659999999998E-2</v>
      </c>
      <c r="Z4785">
        <v>-7.6152429999999996E-4</v>
      </c>
      <c r="AA4785">
        <v>0.99794890000000003</v>
      </c>
      <c r="AB4785">
        <v>25</v>
      </c>
      <c r="AC4785">
        <v>-50.1053</v>
      </c>
      <c r="AD4785">
        <v>-1.110007705068</v>
      </c>
      <c r="AE4785">
        <v>-3.1015999999999901</v>
      </c>
      <c r="AF4785">
        <v>-3.2296363698520301</v>
      </c>
      <c r="AG4785">
        <v>-1.110007705068</v>
      </c>
      <c r="AH4785">
        <v>50.072627565786703</v>
      </c>
      <c r="AI4785">
        <v>91.267289766273606</v>
      </c>
      <c r="AJ4785">
        <v>93.690410870745296</v>
      </c>
      <c r="AK4785">
        <v>50.188949974359502</v>
      </c>
      <c r="AL4785">
        <v>89.681204136336504</v>
      </c>
      <c r="AM4785">
        <v>86.818267762828995</v>
      </c>
      <c r="AN4785">
        <v>1.00000004427454</v>
      </c>
    </row>
    <row r="4786" spans="1:40" x14ac:dyDescent="0.25">
      <c r="A4786" t="str">
        <f>"20190312154931954"</f>
        <v>20190312154931954</v>
      </c>
      <c r="B4786" t="str">
        <f>"1552376971950798"</f>
        <v>1552376971950798</v>
      </c>
      <c r="C4786" t="s">
        <v>40</v>
      </c>
      <c r="D4786">
        <v>4.7053560000000001</v>
      </c>
      <c r="E4786">
        <v>0.42032459999999999</v>
      </c>
      <c r="F4786" t="s">
        <v>63</v>
      </c>
      <c r="G4786">
        <v>-407.62709999999998</v>
      </c>
      <c r="H4786" s="1">
        <v>-8.4162419999999906E-6</v>
      </c>
      <c r="I4786">
        <v>137.76300000000001</v>
      </c>
      <c r="J4786">
        <v>-361.32089999999999</v>
      </c>
      <c r="K4786">
        <v>1.110004</v>
      </c>
      <c r="L4786">
        <v>140.7413</v>
      </c>
      <c r="M4786">
        <v>-0.99990040000000002</v>
      </c>
      <c r="N4786">
        <v>0</v>
      </c>
      <c r="O4786">
        <v>2.5866550000000002E-3</v>
      </c>
      <c r="P4786">
        <v>-0.99833070000000002</v>
      </c>
      <c r="Q4786">
        <v>-9.0877719999999992E-3</v>
      </c>
      <c r="R4786">
        <v>5.7036770000000001E-2</v>
      </c>
      <c r="S4786">
        <v>-3.0158390000000002</v>
      </c>
      <c r="T4786">
        <v>-7.1920629999999999E-2</v>
      </c>
      <c r="U4786">
        <v>-0.1929321</v>
      </c>
      <c r="V4786">
        <v>5.445415E-2</v>
      </c>
      <c r="W4786">
        <v>4.7648409999999997E-3</v>
      </c>
      <c r="X4786">
        <v>0.99850490000000003</v>
      </c>
      <c r="Y4786">
        <v>-6.6404340000000006E-2</v>
      </c>
      <c r="Z4786">
        <v>-8.5249380000000001E-4</v>
      </c>
      <c r="AA4786">
        <v>0.99779240000000002</v>
      </c>
      <c r="AB4786">
        <v>25</v>
      </c>
      <c r="AC4786">
        <v>-46.306199999999897</v>
      </c>
      <c r="AD4786">
        <v>-1.110012416242</v>
      </c>
      <c r="AE4786">
        <v>-2.9782999999999902</v>
      </c>
      <c r="AF4786">
        <v>-3.09630787153176</v>
      </c>
      <c r="AG4786">
        <v>-1.110012416242</v>
      </c>
      <c r="AH4786">
        <v>46.271861486245399</v>
      </c>
      <c r="AI4786">
        <v>91.371135684949394</v>
      </c>
      <c r="AJ4786">
        <v>93.828272466204893</v>
      </c>
      <c r="AK4786">
        <v>46.388623771370902</v>
      </c>
      <c r="AL4786">
        <v>89.7269936867105</v>
      </c>
      <c r="AM4786">
        <v>86.878427556934199</v>
      </c>
      <c r="AN4786">
        <v>0.999999996742993</v>
      </c>
    </row>
    <row r="4787" spans="1:40" x14ac:dyDescent="0.25">
      <c r="A4787" t="str">
        <f>"20190312154931977"</f>
        <v>20190312154931977</v>
      </c>
      <c r="B4787" t="str">
        <f>"1552376971970318"</f>
        <v>1552376971970318</v>
      </c>
      <c r="C4787" t="s">
        <v>40</v>
      </c>
      <c r="D4787">
        <v>4.6723530000000002</v>
      </c>
      <c r="E4787">
        <v>0.4118542</v>
      </c>
      <c r="F4787" t="s">
        <v>42</v>
      </c>
      <c r="G4787">
        <v>-397.71460000000002</v>
      </c>
      <c r="H4787" s="1">
        <v>-1.9540479999999999E-6</v>
      </c>
      <c r="I4787">
        <v>135.14269999999999</v>
      </c>
      <c r="J4787">
        <v>-361.5754</v>
      </c>
      <c r="K4787">
        <v>1.1100030000000001</v>
      </c>
      <c r="L4787">
        <v>140.74199999999999</v>
      </c>
      <c r="M4787">
        <v>-0.99990049999999997</v>
      </c>
      <c r="N4787">
        <v>0</v>
      </c>
      <c r="O4787">
        <v>2.586554E-3</v>
      </c>
      <c r="P4787">
        <v>-0.99834999999999996</v>
      </c>
      <c r="Q4787">
        <v>-1.027088E-2</v>
      </c>
      <c r="R4787">
        <v>5.649701E-2</v>
      </c>
      <c r="S4787">
        <v>-3.0307919999999999</v>
      </c>
      <c r="T4787">
        <v>-9.2439060000000003E-2</v>
      </c>
      <c r="U4787">
        <v>-0.46623229999999999</v>
      </c>
      <c r="V4787">
        <v>5.3914530000000002E-2</v>
      </c>
      <c r="W4787">
        <v>3.5799109999999999E-3</v>
      </c>
      <c r="X4787">
        <v>0.99853910000000001</v>
      </c>
      <c r="Y4787">
        <v>-0.1545282</v>
      </c>
      <c r="Z4787">
        <v>-2.4206599999999998E-3</v>
      </c>
      <c r="AA4787">
        <v>0.98798540000000001</v>
      </c>
      <c r="AB4787">
        <v>25</v>
      </c>
      <c r="AC4787">
        <v>-36.139200000000002</v>
      </c>
      <c r="AD4787">
        <v>-1.1100049540479999</v>
      </c>
      <c r="AE4787">
        <v>-5.5993000000000199</v>
      </c>
      <c r="AF4787">
        <v>-5.6875264569079098</v>
      </c>
      <c r="AG4787">
        <v>-1.1100049540479999</v>
      </c>
      <c r="AH4787">
        <v>36.091344656389602</v>
      </c>
      <c r="AI4787">
        <v>91.740140179854507</v>
      </c>
      <c r="AJ4787">
        <v>98.955422240979402</v>
      </c>
      <c r="AK4787">
        <v>36.553593904051901</v>
      </c>
      <c r="AL4787">
        <v>89.794885763015799</v>
      </c>
      <c r="AM4787">
        <v>86.909406536736896</v>
      </c>
      <c r="AN4787">
        <v>0.99999996326834795</v>
      </c>
    </row>
    <row r="4788" spans="1:40" x14ac:dyDescent="0.25">
      <c r="A4788" t="str">
        <f>"20190312154931999"</f>
        <v>20190312154931999</v>
      </c>
      <c r="B4788" t="str">
        <f>"1552376971990814"</f>
        <v>1552376971990814</v>
      </c>
      <c r="C4788" t="s">
        <v>40</v>
      </c>
      <c r="D4788">
        <v>4.6789949999999996</v>
      </c>
      <c r="E4788">
        <v>0.40877409999999997</v>
      </c>
      <c r="F4788" t="s">
        <v>42</v>
      </c>
      <c r="G4788">
        <v>-392.66180000000003</v>
      </c>
      <c r="H4788" s="1">
        <v>-3.9042279999999997E-6</v>
      </c>
      <c r="I4788">
        <v>135.2534</v>
      </c>
      <c r="J4788">
        <v>-361.82389999999998</v>
      </c>
      <c r="K4788">
        <v>1.110012</v>
      </c>
      <c r="L4788">
        <v>140.74260000000001</v>
      </c>
      <c r="M4788">
        <v>-0.99990060000000003</v>
      </c>
      <c r="N4788">
        <v>0</v>
      </c>
      <c r="O4788">
        <v>2.5863919999999999E-3</v>
      </c>
      <c r="P4788">
        <v>-0.99831080000000005</v>
      </c>
      <c r="Q4788">
        <v>-9.7929590000000004E-3</v>
      </c>
      <c r="R4788">
        <v>5.727115E-2</v>
      </c>
      <c r="S4788">
        <v>-3.0341490000000002</v>
      </c>
      <c r="T4788">
        <v>-0.10834100000000001</v>
      </c>
      <c r="U4788">
        <v>-0.53569029999999995</v>
      </c>
      <c r="V4788">
        <v>5.4688840000000002E-2</v>
      </c>
      <c r="W4788">
        <v>4.0543609999999898E-3</v>
      </c>
      <c r="X4788">
        <v>0.99849520000000003</v>
      </c>
      <c r="Y4788">
        <v>-0.17630079999999901</v>
      </c>
      <c r="Z4788">
        <v>-3.2141090000000001E-3</v>
      </c>
      <c r="AA4788">
        <v>0.98433110000000001</v>
      </c>
      <c r="AB4788">
        <v>25</v>
      </c>
      <c r="AC4788">
        <v>-30.837900000000001</v>
      </c>
      <c r="AD4788">
        <v>-1.110015904228</v>
      </c>
      <c r="AE4788">
        <v>-5.4892000000000101</v>
      </c>
      <c r="AF4788">
        <v>-5.5619631393781797</v>
      </c>
      <c r="AG4788">
        <v>-1.110015904228</v>
      </c>
      <c r="AH4788">
        <v>30.784936623045098</v>
      </c>
      <c r="AI4788">
        <v>92.032153310659595</v>
      </c>
      <c r="AJ4788">
        <v>100.241240467437</v>
      </c>
      <c r="AK4788">
        <v>31.303033274051</v>
      </c>
      <c r="AL4788">
        <v>89.767701586348593</v>
      </c>
      <c r="AM4788">
        <v>86.864970387012406</v>
      </c>
      <c r="AN4788">
        <v>0.99999998574335103</v>
      </c>
    </row>
    <row r="4789" spans="1:40" x14ac:dyDescent="0.25">
      <c r="A4789" t="str">
        <f>"20190312154932022"</f>
        <v>20190312154932022</v>
      </c>
      <c r="B4789" t="str">
        <f>"1552376972010334"</f>
        <v>1552376972010334</v>
      </c>
      <c r="C4789" t="s">
        <v>40</v>
      </c>
      <c r="D4789">
        <v>4.6653129999999896</v>
      </c>
      <c r="E4789">
        <v>0.40689409999999998</v>
      </c>
      <c r="F4789" t="s">
        <v>42</v>
      </c>
      <c r="G4789">
        <v>-391.77960000000002</v>
      </c>
      <c r="H4789" s="1">
        <v>-4.2856600000000001E-6</v>
      </c>
      <c r="I4789">
        <v>135.23679999999999</v>
      </c>
      <c r="J4789">
        <v>-362.07130000000001</v>
      </c>
      <c r="K4789">
        <v>1.1100289999999999</v>
      </c>
      <c r="L4789">
        <v>140.7432</v>
      </c>
      <c r="M4789">
        <v>-0.99990069999999998</v>
      </c>
      <c r="N4789">
        <v>0</v>
      </c>
      <c r="O4789">
        <v>2.586241E-3</v>
      </c>
      <c r="P4789">
        <v>-0.9982683</v>
      </c>
      <c r="Q4789">
        <v>-7.0353949999999998E-3</v>
      </c>
      <c r="R4789">
        <v>5.8407059999999997E-2</v>
      </c>
      <c r="S4789">
        <v>-3.0359799999999999</v>
      </c>
      <c r="T4789">
        <v>-0.11249919999999999</v>
      </c>
      <c r="U4789">
        <v>-0.55799869999999996</v>
      </c>
      <c r="V4789">
        <v>5.5825159999999999E-2</v>
      </c>
      <c r="W4789">
        <v>6.8071009999999899E-3</v>
      </c>
      <c r="X4789">
        <v>0.99841740000000001</v>
      </c>
      <c r="Y4789">
        <v>-0.1831873</v>
      </c>
      <c r="Z4789">
        <v>-3.459738E-3</v>
      </c>
      <c r="AA4789">
        <v>0.9830719</v>
      </c>
      <c r="AB4789">
        <v>25</v>
      </c>
      <c r="AC4789">
        <v>-29.708300000000001</v>
      </c>
      <c r="AD4789">
        <v>-1.1100332856599999</v>
      </c>
      <c r="AE4789">
        <v>-5.50640000000001</v>
      </c>
      <c r="AF4789">
        <v>-5.57569608995935</v>
      </c>
      <c r="AG4789">
        <v>-1.1100332856599999</v>
      </c>
      <c r="AH4789">
        <v>29.653933558917998</v>
      </c>
      <c r="AI4789">
        <v>92.106862386781202</v>
      </c>
      <c r="AJ4789">
        <v>100.64873962684101</v>
      </c>
      <c r="AK4789">
        <v>30.193978477497598</v>
      </c>
      <c r="AL4789">
        <v>89.609978847396803</v>
      </c>
      <c r="AM4789">
        <v>86.799716176981406</v>
      </c>
      <c r="AN4789">
        <v>1.0000000448679001</v>
      </c>
    </row>
    <row r="4790" spans="1:40" x14ac:dyDescent="0.25">
      <c r="A4790" t="str">
        <f>"20190312154932045"</f>
        <v>20190312154932045</v>
      </c>
      <c r="B4790" t="str">
        <f>"1552376972040589"</f>
        <v>1552376972040589</v>
      </c>
      <c r="C4790" t="s">
        <v>40</v>
      </c>
      <c r="D4790">
        <v>4.6853680000000004</v>
      </c>
      <c r="E4790">
        <v>0.40527299999999999</v>
      </c>
      <c r="F4790" t="s">
        <v>42</v>
      </c>
      <c r="G4790">
        <v>-393.71879999999999</v>
      </c>
      <c r="H4790" s="1">
        <v>-3.5295080000000001E-6</v>
      </c>
      <c r="I4790">
        <v>134.80969999999999</v>
      </c>
      <c r="J4790">
        <v>-362.33229999999998</v>
      </c>
      <c r="K4790">
        <v>1.1100399999999999</v>
      </c>
      <c r="L4790">
        <v>140.7439</v>
      </c>
      <c r="M4790">
        <v>-0.99990080000000003</v>
      </c>
      <c r="N4790">
        <v>0</v>
      </c>
      <c r="O4790">
        <v>2.5861389999999999E-3</v>
      </c>
      <c r="P4790">
        <v>-0.99831590000000003</v>
      </c>
      <c r="Q4790">
        <v>-3.2923430000000001E-3</v>
      </c>
      <c r="R4790">
        <v>5.7921960000000002E-2</v>
      </c>
      <c r="S4790">
        <v>-3.037811</v>
      </c>
      <c r="T4790">
        <v>-0.1065511</v>
      </c>
      <c r="U4790">
        <v>-0.56954959999999999</v>
      </c>
      <c r="V4790">
        <v>5.5340189999999997E-2</v>
      </c>
      <c r="W4790">
        <v>1.0539639999999999E-2</v>
      </c>
      <c r="X4790">
        <v>0.99841199999999997</v>
      </c>
      <c r="Y4790">
        <v>-0.18670500000000001</v>
      </c>
      <c r="Z4790">
        <v>-3.334994E-3</v>
      </c>
      <c r="AA4790">
        <v>0.98241040000000002</v>
      </c>
      <c r="AB4790">
        <v>25</v>
      </c>
      <c r="AC4790">
        <v>-31.386500000000002</v>
      </c>
      <c r="AD4790">
        <v>-1.110043529508</v>
      </c>
      <c r="AE4790">
        <v>-5.9341999999999997</v>
      </c>
      <c r="AF4790">
        <v>-6.0081021086396103</v>
      </c>
      <c r="AG4790">
        <v>-1.110043529508</v>
      </c>
      <c r="AH4790">
        <v>31.3332073792599</v>
      </c>
      <c r="AI4790">
        <v>91.992700049892093</v>
      </c>
      <c r="AJ4790">
        <v>100.854638753834</v>
      </c>
      <c r="AK4790">
        <v>31.923335857283899</v>
      </c>
      <c r="AL4790">
        <v>89.396111972669701</v>
      </c>
      <c r="AM4790">
        <v>86.827443844069705</v>
      </c>
      <c r="AN4790">
        <v>1.0000000711922801</v>
      </c>
    </row>
    <row r="4791" spans="1:40" x14ac:dyDescent="0.25">
      <c r="A4791" t="str">
        <f>"20190312154932067"</f>
        <v>20190312154932067</v>
      </c>
      <c r="B4791" t="str">
        <f>"1552376972061086"</f>
        <v>1552376972061086</v>
      </c>
      <c r="C4791" t="s">
        <v>40</v>
      </c>
      <c r="D4791">
        <v>4.6521619999999997</v>
      </c>
      <c r="E4791">
        <v>0.40462789999999998</v>
      </c>
      <c r="F4791" t="s">
        <v>42</v>
      </c>
      <c r="G4791">
        <v>-397.18819999999999</v>
      </c>
      <c r="H4791" s="1">
        <v>-2.4254180000000002E-6</v>
      </c>
      <c r="I4791">
        <v>134.0444</v>
      </c>
      <c r="J4791">
        <v>-362.57440000000003</v>
      </c>
      <c r="K4791">
        <v>1.1100319999999999</v>
      </c>
      <c r="L4791">
        <v>140.74449999999999</v>
      </c>
      <c r="M4791">
        <v>-0.99990109999999999</v>
      </c>
      <c r="N4791">
        <v>0</v>
      </c>
      <c r="O4791">
        <v>2.58625E-3</v>
      </c>
      <c r="P4791">
        <v>-0.99844350000000004</v>
      </c>
      <c r="Q4791">
        <v>-1.683861E-3</v>
      </c>
      <c r="R4791">
        <v>5.5749960000000001E-2</v>
      </c>
      <c r="S4791">
        <v>-3.038605</v>
      </c>
      <c r="T4791">
        <v>-9.6769209999999994E-2</v>
      </c>
      <c r="U4791">
        <v>-0.58403019999999894</v>
      </c>
      <c r="V4791">
        <v>5.316775E-2</v>
      </c>
      <c r="W4791">
        <v>1.21336E-2</v>
      </c>
      <c r="X4791">
        <v>0.99851190000000001</v>
      </c>
      <c r="Y4791">
        <v>-0.19119330000000001</v>
      </c>
      <c r="Z4791">
        <v>-3.097682E-3</v>
      </c>
      <c r="AA4791">
        <v>0.98154750000000002</v>
      </c>
      <c r="AB4791">
        <v>25</v>
      </c>
      <c r="AC4791">
        <v>-34.613799999999898</v>
      </c>
      <c r="AD4791">
        <v>-1.1100344254179999</v>
      </c>
      <c r="AE4791">
        <v>-6.7000999999999902</v>
      </c>
      <c r="AF4791">
        <v>-6.7828822989980901</v>
      </c>
      <c r="AG4791">
        <v>-1.1100344254179999</v>
      </c>
      <c r="AH4791">
        <v>34.562093466710998</v>
      </c>
      <c r="AI4791">
        <v>91.805131949536602</v>
      </c>
      <c r="AJ4791">
        <v>101.10330298221599</v>
      </c>
      <c r="AK4791">
        <v>35.2388702076179</v>
      </c>
      <c r="AL4791">
        <v>89.304778886888002</v>
      </c>
      <c r="AM4791">
        <v>86.952050765053002</v>
      </c>
      <c r="AN4791">
        <v>1.00000002416531</v>
      </c>
    </row>
    <row r="4792" spans="1:40" x14ac:dyDescent="0.25">
      <c r="A4792" t="str">
        <f>"20190312154932088"</f>
        <v>20190312154932088</v>
      </c>
      <c r="B4792" t="str">
        <f>"1552376972080605"</f>
        <v>1552376972080605</v>
      </c>
      <c r="C4792" t="s">
        <v>40</v>
      </c>
      <c r="D4792">
        <v>4.6677140000000001</v>
      </c>
      <c r="E4792">
        <v>0.40419149999999998</v>
      </c>
      <c r="F4792" t="s">
        <v>42</v>
      </c>
      <c r="G4792">
        <v>-397.94380000000001</v>
      </c>
      <c r="H4792" s="1">
        <v>-2.231954E-6</v>
      </c>
      <c r="I4792">
        <v>133.80510000000001</v>
      </c>
      <c r="J4792">
        <v>-362.81659999999999</v>
      </c>
      <c r="K4792">
        <v>1.1100300000000001</v>
      </c>
      <c r="L4792">
        <v>140.74520000000001</v>
      </c>
      <c r="M4792">
        <v>-0.99990120000000005</v>
      </c>
      <c r="N4792">
        <v>0</v>
      </c>
      <c r="O4792">
        <v>2.5861819999999998E-3</v>
      </c>
      <c r="P4792">
        <v>-0.99859900000000001</v>
      </c>
      <c r="Q4792">
        <v>-1.4239400000000001E-3</v>
      </c>
      <c r="R4792">
        <v>5.2896400000000003E-2</v>
      </c>
      <c r="S4792">
        <v>-3.03775</v>
      </c>
      <c r="T4792">
        <v>-9.5336909999999997E-2</v>
      </c>
      <c r="U4792">
        <v>-0.59599299999999999</v>
      </c>
      <c r="V4792">
        <v>5.0313919999999998E-2</v>
      </c>
      <c r="W4792">
        <v>1.2379630000000001E-2</v>
      </c>
      <c r="X4792">
        <v>0.99865669999999995</v>
      </c>
      <c r="Y4792">
        <v>-0.1949688</v>
      </c>
      <c r="Z4792">
        <v>-3.1102349999999998E-3</v>
      </c>
      <c r="AA4792">
        <v>0.98080449999999997</v>
      </c>
      <c r="AB4792">
        <v>25</v>
      </c>
      <c r="AC4792">
        <v>-35.127200000000002</v>
      </c>
      <c r="AD4792">
        <v>-1.1100322319539999</v>
      </c>
      <c r="AE4792">
        <v>-6.9401000000000002</v>
      </c>
      <c r="AF4792">
        <v>-7.0241800739427704</v>
      </c>
      <c r="AG4792">
        <v>-1.1100322319539999</v>
      </c>
      <c r="AH4792">
        <v>35.075422550318898</v>
      </c>
      <c r="AI4792">
        <v>91.777369125979206</v>
      </c>
      <c r="AJ4792">
        <v>101.324217937782</v>
      </c>
      <c r="AK4792">
        <v>35.789056209274001</v>
      </c>
      <c r="AL4792">
        <v>89.290681312830401</v>
      </c>
      <c r="AM4792">
        <v>87.115785781582304</v>
      </c>
      <c r="AN4792">
        <v>0.99999997511979599</v>
      </c>
    </row>
    <row r="4793" spans="1:40" x14ac:dyDescent="0.25">
      <c r="A4793" t="str">
        <f>"20190312154932110"</f>
        <v>20190312154932110</v>
      </c>
      <c r="B4793" t="str">
        <f>"1552376972101102"</f>
        <v>1552376972101102</v>
      </c>
      <c r="C4793" t="s">
        <v>40</v>
      </c>
      <c r="D4793">
        <v>4.6484430000000003</v>
      </c>
      <c r="E4793">
        <v>0.40386840000000002</v>
      </c>
      <c r="F4793" t="s">
        <v>42</v>
      </c>
      <c r="G4793">
        <v>-397.45010000000002</v>
      </c>
      <c r="H4793" s="1">
        <v>-2.399542E-6</v>
      </c>
      <c r="I4793">
        <v>133.80670000000001</v>
      </c>
      <c r="J4793">
        <v>-363.06180000000001</v>
      </c>
      <c r="K4793">
        <v>1.1100300000000001</v>
      </c>
      <c r="L4793">
        <v>140.7458</v>
      </c>
      <c r="M4793">
        <v>-0.99990140000000005</v>
      </c>
      <c r="N4793">
        <v>0</v>
      </c>
      <c r="O4793">
        <v>2.5862839999999999E-3</v>
      </c>
      <c r="P4793">
        <v>-0.99873279999999998</v>
      </c>
      <c r="Q4793">
        <v>-1.2124530000000001E-3</v>
      </c>
      <c r="R4793">
        <v>5.0314690000000002E-2</v>
      </c>
      <c r="S4793">
        <v>-3.0362849999999999</v>
      </c>
      <c r="T4793">
        <v>-9.7315550000000001E-2</v>
      </c>
      <c r="U4793">
        <v>-0.60827640000000005</v>
      </c>
      <c r="V4793">
        <v>4.773173E-2</v>
      </c>
      <c r="W4793">
        <v>1.257846E-2</v>
      </c>
      <c r="X4793">
        <v>0.99878100000000003</v>
      </c>
      <c r="Y4793">
        <v>-0.19886860000000001</v>
      </c>
      <c r="Z4793">
        <v>-3.2368879999999998E-3</v>
      </c>
      <c r="AA4793">
        <v>0.98002080000000003</v>
      </c>
      <c r="AB4793">
        <v>25</v>
      </c>
      <c r="AC4793">
        <v>-34.388300000000001</v>
      </c>
      <c r="AD4793">
        <v>-1.1100323995419901</v>
      </c>
      <c r="AE4793">
        <v>-6.9390999999999901</v>
      </c>
      <c r="AF4793">
        <v>-7.0209938157901703</v>
      </c>
      <c r="AG4793">
        <v>-1.1100323995419901</v>
      </c>
      <c r="AH4793">
        <v>34.335860025143603</v>
      </c>
      <c r="AI4793">
        <v>91.814138782948604</v>
      </c>
      <c r="AJ4793">
        <v>101.55652653219499</v>
      </c>
      <c r="AK4793">
        <v>35.063910360307098</v>
      </c>
      <c r="AL4793">
        <v>89.2792883312963</v>
      </c>
      <c r="AM4793">
        <v>87.263917196648407</v>
      </c>
      <c r="AN4793">
        <v>1.0000000108328799</v>
      </c>
    </row>
    <row r="4794" spans="1:40" x14ac:dyDescent="0.25">
      <c r="A4794" t="str">
        <f>"20190312154932133"</f>
        <v>20190312154932133</v>
      </c>
      <c r="B4794" t="str">
        <f>"1552376972120622"</f>
        <v>1552376972120622</v>
      </c>
      <c r="C4794" t="s">
        <v>40</v>
      </c>
      <c r="D4794">
        <v>4.6639489999999997</v>
      </c>
      <c r="E4794">
        <v>0.40370739999999999</v>
      </c>
      <c r="F4794" t="s">
        <v>42</v>
      </c>
      <c r="G4794">
        <v>-397.68459999999999</v>
      </c>
      <c r="H4794" s="1">
        <v>-2.3522839999999999E-6</v>
      </c>
      <c r="I4794">
        <v>133.68440000000001</v>
      </c>
      <c r="J4794">
        <v>-363.31319999999999</v>
      </c>
      <c r="K4794">
        <v>1.110034</v>
      </c>
      <c r="L4794">
        <v>140.7465</v>
      </c>
      <c r="M4794">
        <v>-0.99990159999999995</v>
      </c>
      <c r="N4794">
        <v>0</v>
      </c>
      <c r="O4794">
        <v>2.5862049999999998E-3</v>
      </c>
      <c r="P4794">
        <v>-0.99882979999999999</v>
      </c>
      <c r="Q4794">
        <v>-8.5107420000000002E-4</v>
      </c>
      <c r="R4794">
        <v>4.8359930000000002E-2</v>
      </c>
      <c r="S4794">
        <v>-3.0348510000000002</v>
      </c>
      <c r="T4794">
        <v>-9.7299700000000003E-2</v>
      </c>
      <c r="U4794">
        <v>-0.61895749999999905</v>
      </c>
      <c r="V4794">
        <v>4.5776890000000001E-2</v>
      </c>
      <c r="W4794">
        <v>1.292652E-2</v>
      </c>
      <c r="X4794">
        <v>0.99886799999999998</v>
      </c>
      <c r="Y4794">
        <v>-0.20226859999999999</v>
      </c>
      <c r="Z4794">
        <v>-3.2906749999999999E-3</v>
      </c>
      <c r="AA4794">
        <v>0.97932459999999999</v>
      </c>
      <c r="AB4794">
        <v>25</v>
      </c>
      <c r="AC4794">
        <v>-34.371399999999902</v>
      </c>
      <c r="AD4794">
        <v>-1.110036352284</v>
      </c>
      <c r="AE4794">
        <v>-7.0620999999999796</v>
      </c>
      <c r="AF4794">
        <v>-7.1438271831380602</v>
      </c>
      <c r="AG4794">
        <v>-1.110036352284</v>
      </c>
      <c r="AH4794">
        <v>34.318675098229903</v>
      </c>
      <c r="AI4794">
        <v>91.813732024146802</v>
      </c>
      <c r="AJ4794">
        <v>101.75885329761699</v>
      </c>
      <c r="AK4794">
        <v>35.071896270715101</v>
      </c>
      <c r="AL4794">
        <v>89.259344295564404</v>
      </c>
      <c r="AM4794">
        <v>87.376040988802401</v>
      </c>
      <c r="AN4794">
        <v>0.99999995000068997</v>
      </c>
    </row>
    <row r="4795" spans="1:40" x14ac:dyDescent="0.25">
      <c r="A4795" t="str">
        <f>"20190312154932154"</f>
        <v>20190312154932154</v>
      </c>
      <c r="B4795" t="str">
        <f>"1552376972150877"</f>
        <v>1552376972150877</v>
      </c>
      <c r="C4795" t="s">
        <v>40</v>
      </c>
      <c r="D4795">
        <v>4.6890239999999999</v>
      </c>
      <c r="E4795">
        <v>0.40358379999999999</v>
      </c>
      <c r="F4795" t="s">
        <v>42</v>
      </c>
      <c r="G4795">
        <v>-397.68380000000002</v>
      </c>
      <c r="H4795" s="1">
        <v>-2.3612689999999999E-6</v>
      </c>
      <c r="I4795">
        <v>133.65170000000001</v>
      </c>
      <c r="J4795">
        <v>-363.55419999999998</v>
      </c>
      <c r="K4795">
        <v>1.110031</v>
      </c>
      <c r="L4795">
        <v>140.74709999999999</v>
      </c>
      <c r="M4795">
        <v>-0.99990179999999995</v>
      </c>
      <c r="N4795">
        <v>0</v>
      </c>
      <c r="O4795">
        <v>2.5825760000000001E-3</v>
      </c>
      <c r="P4795">
        <v>-0.99884459999999997</v>
      </c>
      <c r="Q4795">
        <v>-2.412722E-3</v>
      </c>
      <c r="R4795">
        <v>4.7998859999999997E-2</v>
      </c>
      <c r="S4795">
        <v>-3.0337519999999998</v>
      </c>
      <c r="T4795">
        <v>-9.7978350000000006E-2</v>
      </c>
      <c r="U4795">
        <v>-0.62622069999999996</v>
      </c>
      <c r="V4795">
        <v>4.5419199999999903E-2</v>
      </c>
      <c r="W4795">
        <v>1.135164E-2</v>
      </c>
      <c r="X4795">
        <v>0.99890350000000006</v>
      </c>
      <c r="Y4795">
        <v>-0.20458119999999999</v>
      </c>
      <c r="Z4795">
        <v>-3.3508320000000002E-3</v>
      </c>
      <c r="AA4795">
        <v>0.97884389999999999</v>
      </c>
      <c r="AB4795">
        <v>25</v>
      </c>
      <c r="AC4795">
        <v>-34.129600000000003</v>
      </c>
      <c r="AD4795">
        <v>-1.1100333612690001</v>
      </c>
      <c r="AE4795">
        <v>-7.0953999999999802</v>
      </c>
      <c r="AF4795">
        <v>-7.1762503386312098</v>
      </c>
      <c r="AG4795">
        <v>-1.1100333612690001</v>
      </c>
      <c r="AH4795">
        <v>34.076606689117902</v>
      </c>
      <c r="AI4795">
        <v>91.825712967028807</v>
      </c>
      <c r="AJ4795">
        <v>101.89224492730401</v>
      </c>
      <c r="AK4795">
        <v>34.841725939319801</v>
      </c>
      <c r="AL4795">
        <v>89.349584957088595</v>
      </c>
      <c r="AM4795">
        <v>87.396608072314194</v>
      </c>
      <c r="AN4795">
        <v>0.99999998288578895</v>
      </c>
    </row>
    <row r="4796" spans="1:40" x14ac:dyDescent="0.25">
      <c r="A4796" t="str">
        <f>"20190312154932178"</f>
        <v>20190312154932178</v>
      </c>
      <c r="B4796" t="str">
        <f>"1552376972170397"</f>
        <v>1552376972170397</v>
      </c>
      <c r="C4796" t="s">
        <v>40</v>
      </c>
      <c r="D4796">
        <v>4.7206020000000004</v>
      </c>
      <c r="E4796">
        <v>0.40365499999999999</v>
      </c>
      <c r="F4796" t="s">
        <v>42</v>
      </c>
      <c r="G4796">
        <v>-395.3329</v>
      </c>
      <c r="H4796" s="1">
        <v>-3.0255620000000001E-6</v>
      </c>
      <c r="I4796">
        <v>134.1618</v>
      </c>
      <c r="J4796">
        <v>-363.80279999999999</v>
      </c>
      <c r="K4796">
        <v>1.1100289999999999</v>
      </c>
      <c r="L4796">
        <v>140.74770000000001</v>
      </c>
      <c r="M4796">
        <v>-0.99990210000000002</v>
      </c>
      <c r="N4796">
        <v>0</v>
      </c>
      <c r="O4796">
        <v>2.5637009999999998E-3</v>
      </c>
      <c r="P4796">
        <v>-0.99880119999999895</v>
      </c>
      <c r="Q4796">
        <v>-4.3531840000000004E-3</v>
      </c>
      <c r="R4796">
        <v>4.876022E-2</v>
      </c>
      <c r="S4796">
        <v>-3.033417</v>
      </c>
      <c r="T4796">
        <v>-0.10595789999999999</v>
      </c>
      <c r="U4796">
        <v>-0.62858579999999997</v>
      </c>
      <c r="V4796">
        <v>4.6199329999999997E-2</v>
      </c>
      <c r="W4796">
        <v>9.3986250000000007E-3</v>
      </c>
      <c r="X4796">
        <v>0.998888</v>
      </c>
      <c r="Y4796">
        <v>-0.20529810000000001</v>
      </c>
      <c r="Z4796">
        <v>-3.6354149999999999E-3</v>
      </c>
      <c r="AA4796">
        <v>0.97869280000000003</v>
      </c>
      <c r="AB4796">
        <v>25</v>
      </c>
      <c r="AC4796">
        <v>-31.530100000000001</v>
      </c>
      <c r="AD4796">
        <v>-1.110032025562</v>
      </c>
      <c r="AE4796">
        <v>-6.5858999999999996</v>
      </c>
      <c r="AF4796">
        <v>-6.6588116761385896</v>
      </c>
      <c r="AG4796">
        <v>-1.110032025562</v>
      </c>
      <c r="AH4796">
        <v>31.475729582691201</v>
      </c>
      <c r="AI4796">
        <v>91.976072418038598</v>
      </c>
      <c r="AJ4796">
        <v>101.945020943266</v>
      </c>
      <c r="AK4796">
        <v>32.191512806930298</v>
      </c>
      <c r="AL4796">
        <v>89.461490512156402</v>
      </c>
      <c r="AM4796">
        <v>87.351913731160394</v>
      </c>
      <c r="AN4796">
        <v>0.99999997439416899</v>
      </c>
    </row>
    <row r="4797" spans="1:40" x14ac:dyDescent="0.25">
      <c r="A4797" t="str">
        <f>"20190312154932200"</f>
        <v>20190312154932200</v>
      </c>
      <c r="B4797" t="str">
        <f>"1552376972190894"</f>
        <v>1552376972190894</v>
      </c>
      <c r="C4797" t="s">
        <v>40</v>
      </c>
      <c r="D4797">
        <v>4.7164020000000004</v>
      </c>
      <c r="E4797">
        <v>0.40370709999999999</v>
      </c>
      <c r="F4797" t="s">
        <v>42</v>
      </c>
      <c r="G4797">
        <v>-393.57139999999998</v>
      </c>
      <c r="H4797" s="1">
        <v>-3.6289550000000001E-6</v>
      </c>
      <c r="I4797">
        <v>134.6054</v>
      </c>
      <c r="J4797">
        <v>-364.05079999999998</v>
      </c>
      <c r="K4797">
        <v>1.110034</v>
      </c>
      <c r="L4797">
        <v>140.7483</v>
      </c>
      <c r="M4797">
        <v>-0.99990239999999997</v>
      </c>
      <c r="N4797">
        <v>0</v>
      </c>
      <c r="O4797">
        <v>2.5136389999999998E-3</v>
      </c>
      <c r="P4797">
        <v>-0.99872430000000001</v>
      </c>
      <c r="Q4797">
        <v>-6.1691250000000001E-3</v>
      </c>
      <c r="R4797">
        <v>5.01196E-2</v>
      </c>
      <c r="S4797">
        <v>-3.0336910000000001</v>
      </c>
      <c r="T4797">
        <v>-0.1131223</v>
      </c>
      <c r="U4797">
        <v>-0.625946</v>
      </c>
      <c r="V4797">
        <v>4.7608549999999999E-2</v>
      </c>
      <c r="W4797">
        <v>7.5724039999999996E-3</v>
      </c>
      <c r="X4797">
        <v>0.99883739999999999</v>
      </c>
      <c r="Y4797">
        <v>-0.2043983</v>
      </c>
      <c r="Z4797">
        <v>-3.8626200000000002E-3</v>
      </c>
      <c r="AA4797">
        <v>0.97888019999999998</v>
      </c>
      <c r="AB4797">
        <v>25</v>
      </c>
      <c r="AC4797">
        <v>-29.520600000000002</v>
      </c>
      <c r="AD4797">
        <v>-1.110037628955</v>
      </c>
      <c r="AE4797">
        <v>-6.1428999999999903</v>
      </c>
      <c r="AF4797">
        <v>-6.2086774958695896</v>
      </c>
      <c r="AG4797">
        <v>-1.110037628955</v>
      </c>
      <c r="AH4797">
        <v>29.465131971781702</v>
      </c>
      <c r="AI4797">
        <v>92.111163832365804</v>
      </c>
      <c r="AJ4797">
        <v>101.898883429503</v>
      </c>
      <c r="AK4797">
        <v>30.132604631859</v>
      </c>
      <c r="AL4797">
        <v>89.566129078039907</v>
      </c>
      <c r="AM4797">
        <v>87.271121307828594</v>
      </c>
      <c r="AN4797">
        <v>1.0000000334871</v>
      </c>
    </row>
    <row r="4798" spans="1:40" x14ac:dyDescent="0.25">
      <c r="A4798" t="str">
        <f>"20190312154932223"</f>
        <v>20190312154932223</v>
      </c>
      <c r="B4798" t="str">
        <f>"1552376972210414"</f>
        <v>1552376972210414</v>
      </c>
      <c r="C4798" t="s">
        <v>40</v>
      </c>
      <c r="D4798">
        <v>4.7260350000000004</v>
      </c>
      <c r="E4798">
        <v>0.40373910000000002</v>
      </c>
      <c r="F4798" t="s">
        <v>42</v>
      </c>
      <c r="G4798">
        <v>-391.8605</v>
      </c>
      <c r="H4798" s="1">
        <v>-4.2836550000000004E-6</v>
      </c>
      <c r="I4798">
        <v>135.05250000000001</v>
      </c>
      <c r="J4798">
        <v>-364.30160000000001</v>
      </c>
      <c r="K4798">
        <v>1.1100620000000001</v>
      </c>
      <c r="L4798">
        <v>140.74889999999999</v>
      </c>
      <c r="M4798">
        <v>-0.99990270000000003</v>
      </c>
      <c r="N4798">
        <v>0</v>
      </c>
      <c r="O4798">
        <v>2.4180550000000001E-3</v>
      </c>
      <c r="P4798">
        <v>-0.99862629999999997</v>
      </c>
      <c r="Q4798">
        <v>-7.7801399999999996E-3</v>
      </c>
      <c r="R4798">
        <v>5.1818860000000001E-2</v>
      </c>
      <c r="S4798">
        <v>-3.0342410000000002</v>
      </c>
      <c r="T4798">
        <v>-0.1211135</v>
      </c>
      <c r="U4798">
        <v>-0.62144469999999996</v>
      </c>
      <c r="V4798">
        <v>4.9403160000000002E-2</v>
      </c>
      <c r="W4798">
        <v>5.9531019999999896E-3</v>
      </c>
      <c r="X4798">
        <v>0.99876120000000002</v>
      </c>
      <c r="Y4798">
        <v>-0.20285719999999999</v>
      </c>
      <c r="Z4798">
        <v>-4.1009530000000001E-3</v>
      </c>
      <c r="AA4798">
        <v>0.97919979999999995</v>
      </c>
      <c r="AB4798">
        <v>25</v>
      </c>
      <c r="AC4798">
        <v>-27.558899999999898</v>
      </c>
      <c r="AD4798">
        <v>-1.1100662836549999</v>
      </c>
      <c r="AE4798">
        <v>-5.6963999999999801</v>
      </c>
      <c r="AF4798">
        <v>-5.7540753332919001</v>
      </c>
      <c r="AG4798">
        <v>-1.1100662836549999</v>
      </c>
      <c r="AH4798">
        <v>27.502250909194199</v>
      </c>
      <c r="AI4798">
        <v>92.262425572180305</v>
      </c>
      <c r="AJ4798">
        <v>101.817077896622</v>
      </c>
      <c r="AK4798">
        <v>28.1196627854528</v>
      </c>
      <c r="AL4798">
        <v>89.658910373589507</v>
      </c>
      <c r="AM4798">
        <v>87.168204591789902</v>
      </c>
      <c r="AN4798">
        <v>1.0000000231334201</v>
      </c>
    </row>
    <row r="4799" spans="1:40" x14ac:dyDescent="0.25">
      <c r="A4799" t="str">
        <f>"20190312154932246"</f>
        <v>20190312154932246</v>
      </c>
      <c r="B4799" t="str">
        <f>"1552376972240672"</f>
        <v>1552376972240672</v>
      </c>
      <c r="C4799" t="s">
        <v>40</v>
      </c>
      <c r="D4799">
        <v>4.7775840000000001</v>
      </c>
      <c r="E4799">
        <v>0.40370650000000002</v>
      </c>
      <c r="F4799" t="s">
        <v>42</v>
      </c>
      <c r="G4799">
        <v>-390.54390000000001</v>
      </c>
      <c r="H4799" s="1">
        <v>-4.7828449999999999E-6</v>
      </c>
      <c r="I4799">
        <v>135.42250000000001</v>
      </c>
      <c r="J4799">
        <v>-364.55009999999999</v>
      </c>
      <c r="K4799">
        <v>1.110104</v>
      </c>
      <c r="L4799">
        <v>140.74930000000001</v>
      </c>
      <c r="M4799">
        <v>-0.99990310000000004</v>
      </c>
      <c r="N4799">
        <v>0</v>
      </c>
      <c r="O4799">
        <v>2.2668599999999999E-3</v>
      </c>
      <c r="P4799">
        <v>-0.99858150000000001</v>
      </c>
      <c r="Q4799">
        <v>-7.6433439999999998E-3</v>
      </c>
      <c r="R4799">
        <v>5.2697090000000002E-2</v>
      </c>
      <c r="S4799">
        <v>-3.0350649999999999</v>
      </c>
      <c r="T4799">
        <v>-0.12838540000000001</v>
      </c>
      <c r="U4799">
        <v>-0.61601260000000002</v>
      </c>
      <c r="V4799">
        <v>5.0431919999999998E-2</v>
      </c>
      <c r="W4799">
        <v>6.084707E-3</v>
      </c>
      <c r="X4799">
        <v>0.99870899999999996</v>
      </c>
      <c r="Y4799">
        <v>-0.2009563</v>
      </c>
      <c r="Z4799">
        <v>-4.3004749999999998E-3</v>
      </c>
      <c r="AA4799">
        <v>0.97959079999999998</v>
      </c>
      <c r="AB4799">
        <v>25</v>
      </c>
      <c r="AC4799">
        <v>-25.9938</v>
      </c>
      <c r="AD4799">
        <v>-1.110108782845</v>
      </c>
      <c r="AE4799">
        <v>-5.3267999999999898</v>
      </c>
      <c r="AF4799">
        <v>-5.3763057333078796</v>
      </c>
      <c r="AG4799">
        <v>-1.110108782845</v>
      </c>
      <c r="AH4799">
        <v>25.936259297699898</v>
      </c>
      <c r="AI4799">
        <v>92.399888633153495</v>
      </c>
      <c r="AJ4799">
        <v>101.710939600687</v>
      </c>
      <c r="AK4799">
        <v>26.5108760927525</v>
      </c>
      <c r="AL4799">
        <v>89.651369830052403</v>
      </c>
      <c r="AM4799">
        <v>87.109184102623104</v>
      </c>
      <c r="AN4799">
        <v>1.0000000344475799</v>
      </c>
    </row>
    <row r="4800" spans="1:40" x14ac:dyDescent="0.25">
      <c r="A4800" t="str">
        <f>"20190312154932268"</f>
        <v>20190312154932268</v>
      </c>
      <c r="B4800" t="str">
        <f>"1552376972261166"</f>
        <v>1552376972261166</v>
      </c>
      <c r="C4800" t="s">
        <v>40</v>
      </c>
      <c r="D4800">
        <v>4.7618049999999998</v>
      </c>
      <c r="E4800">
        <v>0.38429679999999999</v>
      </c>
      <c r="F4800" t="s">
        <v>42</v>
      </c>
      <c r="G4800">
        <v>-390.3931</v>
      </c>
      <c r="H4800" s="1">
        <v>-4.829291E-6</v>
      </c>
      <c r="I4800">
        <v>135.52529999999999</v>
      </c>
      <c r="J4800">
        <v>-364.80340000000001</v>
      </c>
      <c r="K4800">
        <v>1.1101529999999999</v>
      </c>
      <c r="L4800">
        <v>140.74969999999999</v>
      </c>
      <c r="M4800">
        <v>-0.99990369999999995</v>
      </c>
      <c r="N4800">
        <v>0</v>
      </c>
      <c r="O4800">
        <v>2.0441790000000001E-3</v>
      </c>
      <c r="P4800">
        <v>-0.99858729999999996</v>
      </c>
      <c r="Q4800">
        <v>-6.88435E-3</v>
      </c>
      <c r="R4800">
        <v>5.2689670000000001E-2</v>
      </c>
      <c r="S4800">
        <v>-3.0356450000000001</v>
      </c>
      <c r="T4800">
        <v>-0.13039919999999999</v>
      </c>
      <c r="U4800">
        <v>-0.61363219999999996</v>
      </c>
      <c r="V4800">
        <v>5.0645969999999998E-2</v>
      </c>
      <c r="W4800">
        <v>6.8400010000000001E-3</v>
      </c>
      <c r="X4800">
        <v>0.99869319999999895</v>
      </c>
      <c r="Y4800">
        <v>-0.1999592</v>
      </c>
      <c r="Z4800">
        <v>-4.3367309999999999E-3</v>
      </c>
      <c r="AA4800">
        <v>0.97979459999999996</v>
      </c>
      <c r="AB4800">
        <v>25</v>
      </c>
      <c r="AC4800">
        <v>-25.589700000000001</v>
      </c>
      <c r="AD4800">
        <v>-1.1101578292909999</v>
      </c>
      <c r="AE4800">
        <v>-5.2244000000000002</v>
      </c>
      <c r="AF4800">
        <v>-5.2671873143803296</v>
      </c>
      <c r="AG4800">
        <v>-1.1101578292909999</v>
      </c>
      <c r="AH4800">
        <v>25.532833815687098</v>
      </c>
      <c r="AI4800">
        <v>92.438351846849002</v>
      </c>
      <c r="AJ4800">
        <v>101.656079838137</v>
      </c>
      <c r="AK4800">
        <v>26.094085829363699</v>
      </c>
      <c r="AL4800">
        <v>89.6080937367622</v>
      </c>
      <c r="AM4800">
        <v>87.096889603944106</v>
      </c>
      <c r="AN4800">
        <v>0.99999995380857898</v>
      </c>
    </row>
    <row r="4801" spans="1:40" x14ac:dyDescent="0.25">
      <c r="A4801" t="str">
        <f>"20190312154932289"</f>
        <v>20190312154932289</v>
      </c>
      <c r="B4801" t="str">
        <f>"1552376972280687"</f>
        <v>1552376972280687</v>
      </c>
      <c r="C4801" t="s">
        <v>40</v>
      </c>
      <c r="D4801">
        <v>4.7578389999999997</v>
      </c>
      <c r="E4801">
        <v>0.3823858</v>
      </c>
      <c r="F4801" t="s">
        <v>42</v>
      </c>
      <c r="G4801">
        <v>-384.762</v>
      </c>
      <c r="H4801" s="1">
        <v>-2.9237200000000002E-6</v>
      </c>
      <c r="I4801">
        <v>135.70189999999999</v>
      </c>
      <c r="J4801">
        <v>-365.03230000000002</v>
      </c>
      <c r="K4801">
        <v>1.1101909999999999</v>
      </c>
      <c r="L4801">
        <v>140.7499</v>
      </c>
      <c r="M4801">
        <v>-0.99990440000000003</v>
      </c>
      <c r="N4801">
        <v>0</v>
      </c>
      <c r="O4801">
        <v>1.7953610000000001E-3</v>
      </c>
      <c r="P4801">
        <v>-0.99862150000000005</v>
      </c>
      <c r="Q4801">
        <v>-6.4522980000000004E-3</v>
      </c>
      <c r="R4801">
        <v>5.2096299999999998E-2</v>
      </c>
      <c r="S4801">
        <v>-3.043701</v>
      </c>
      <c r="T4801">
        <v>-0.16930020000000001</v>
      </c>
      <c r="U4801">
        <v>-0.7697754</v>
      </c>
      <c r="V4801">
        <v>5.0300299999999999E-2</v>
      </c>
      <c r="W4801">
        <v>7.2691450000000003E-3</v>
      </c>
      <c r="X4801">
        <v>0.99870769999999998</v>
      </c>
      <c r="Y4801">
        <v>-0.24656719999999999</v>
      </c>
      <c r="Z4801">
        <v>-6.8444200000000004E-3</v>
      </c>
      <c r="AA4801">
        <v>0.96910149999999995</v>
      </c>
      <c r="AB4801">
        <v>25</v>
      </c>
      <c r="AC4801">
        <v>-19.729699999999902</v>
      </c>
      <c r="AD4801">
        <v>-1.11019392372</v>
      </c>
      <c r="AE4801">
        <v>-5.048</v>
      </c>
      <c r="AF4801">
        <v>-5.06835503506605</v>
      </c>
      <c r="AG4801">
        <v>-1.11019392372</v>
      </c>
      <c r="AH4801">
        <v>19.662172497505601</v>
      </c>
      <c r="AI4801">
        <v>93.129595876058602</v>
      </c>
      <c r="AJ4801">
        <v>104.454572708291</v>
      </c>
      <c r="AK4801">
        <v>20.3352349539268</v>
      </c>
      <c r="AL4801">
        <v>89.583505009202199</v>
      </c>
      <c r="AM4801">
        <v>87.116712218846303</v>
      </c>
      <c r="AN4801">
        <v>1.0000000153441999</v>
      </c>
    </row>
    <row r="4802" spans="1:40" x14ac:dyDescent="0.25">
      <c r="A4802" t="str">
        <f>"20190312154932311"</f>
        <v>20190312154932311</v>
      </c>
      <c r="B4802" t="str">
        <f>"1552376972301182"</f>
        <v>1552376972301182</v>
      </c>
      <c r="C4802" t="s">
        <v>40</v>
      </c>
      <c r="D4802">
        <v>4.7557850000000004</v>
      </c>
      <c r="E4802">
        <v>0.38143169999999998</v>
      </c>
      <c r="F4802" t="s">
        <v>42</v>
      </c>
      <c r="G4802">
        <v>-385.50420000000003</v>
      </c>
      <c r="H4802" s="1">
        <v>-2.6481550000000001E-6</v>
      </c>
      <c r="I4802">
        <v>135.46039999999999</v>
      </c>
      <c r="J4802">
        <v>-365.28449999999998</v>
      </c>
      <c r="K4802">
        <v>1.11022</v>
      </c>
      <c r="L4802">
        <v>140.75</v>
      </c>
      <c r="M4802">
        <v>-0.99990500000000004</v>
      </c>
      <c r="N4802">
        <v>0</v>
      </c>
      <c r="O4802">
        <v>1.468947E-3</v>
      </c>
      <c r="P4802">
        <v>-0.99865959999999998</v>
      </c>
      <c r="Q4802">
        <v>-6.2945429999999997E-3</v>
      </c>
      <c r="R4802">
        <v>5.1376640000000001E-2</v>
      </c>
      <c r="S4802">
        <v>-3.044098</v>
      </c>
      <c r="T4802">
        <v>-0.16508210000000001</v>
      </c>
      <c r="U4802">
        <v>-0.7865143</v>
      </c>
      <c r="V4802">
        <v>4.990584E-2</v>
      </c>
      <c r="W4802">
        <v>7.4236349999999996E-3</v>
      </c>
      <c r="X4802">
        <v>0.99872629999999996</v>
      </c>
      <c r="Y4802">
        <v>-0.25123250000000003</v>
      </c>
      <c r="Z4802">
        <v>-6.7757929999999996E-3</v>
      </c>
      <c r="AA4802">
        <v>0.96790310000000002</v>
      </c>
      <c r="AB4802">
        <v>25</v>
      </c>
      <c r="AC4802">
        <v>-20.2197</v>
      </c>
      <c r="AD4802">
        <v>-1.1102226481549999</v>
      </c>
      <c r="AE4802">
        <v>-5.2896000000000001</v>
      </c>
      <c r="AF4802">
        <v>-5.30433115110963</v>
      </c>
      <c r="AG4802">
        <v>-1.1102226481549999</v>
      </c>
      <c r="AH4802">
        <v>20.1550344530365</v>
      </c>
      <c r="AI4802">
        <v>93.049276692445105</v>
      </c>
      <c r="AJ4802">
        <v>104.744559065863</v>
      </c>
      <c r="AK4802">
        <v>20.870887309652101</v>
      </c>
      <c r="AL4802">
        <v>89.574653123120001</v>
      </c>
      <c r="AM4802">
        <v>87.139338732362603</v>
      </c>
      <c r="AN4802">
        <v>0.99999996276720304</v>
      </c>
    </row>
    <row r="4803" spans="1:40" x14ac:dyDescent="0.25">
      <c r="A4803" t="str">
        <f>"20190312154932334"</f>
        <v>20190312154932334</v>
      </c>
      <c r="B4803" t="str">
        <f>"1552376972330462"</f>
        <v>1552376972330462</v>
      </c>
      <c r="C4803" t="s">
        <v>40</v>
      </c>
      <c r="D4803">
        <v>4.7932810000000003</v>
      </c>
      <c r="E4803">
        <v>0.38134560000000001</v>
      </c>
      <c r="F4803" t="s">
        <v>42</v>
      </c>
      <c r="G4803">
        <v>-385.46280000000002</v>
      </c>
      <c r="H4803" s="1">
        <v>-2.6643710000000001E-6</v>
      </c>
      <c r="I4803">
        <v>135.4692</v>
      </c>
      <c r="J4803">
        <v>-365.52820000000003</v>
      </c>
      <c r="K4803">
        <v>1.110239</v>
      </c>
      <c r="L4803">
        <v>140.75</v>
      </c>
      <c r="M4803">
        <v>-0.9999055</v>
      </c>
      <c r="N4803">
        <v>0</v>
      </c>
      <c r="O4803">
        <v>1.109009E-3</v>
      </c>
      <c r="P4803">
        <v>-0.99870820000000005</v>
      </c>
      <c r="Q4803">
        <v>-7.0203499999999999E-3</v>
      </c>
      <c r="R4803">
        <v>5.0327249999999997E-2</v>
      </c>
      <c r="S4803">
        <v>-3.0439449999999999</v>
      </c>
      <c r="T4803">
        <v>-0.16748009999999999</v>
      </c>
      <c r="U4803">
        <v>-0.79661559999999998</v>
      </c>
      <c r="V4803">
        <v>4.921582E-2</v>
      </c>
      <c r="W4803">
        <v>6.697906E-3</v>
      </c>
      <c r="X4803">
        <v>0.99876569999999998</v>
      </c>
      <c r="Y4803">
        <v>-0.25389040000000002</v>
      </c>
      <c r="Z4803">
        <v>-6.923986E-3</v>
      </c>
      <c r="AA4803">
        <v>0.96720819999999996</v>
      </c>
      <c r="AB4803">
        <v>25</v>
      </c>
      <c r="AC4803">
        <v>-19.9345999999999</v>
      </c>
      <c r="AD4803">
        <v>-1.110241664371</v>
      </c>
      <c r="AE4803">
        <v>-5.2807999999999904</v>
      </c>
      <c r="AF4803">
        <v>-5.2875807167590398</v>
      </c>
      <c r="AG4803">
        <v>-1.110241664371</v>
      </c>
      <c r="AH4803">
        <v>19.871135341820501</v>
      </c>
      <c r="AI4803">
        <v>93.090584513824197</v>
      </c>
      <c r="AJ4803">
        <v>104.90075508450001</v>
      </c>
      <c r="AK4803">
        <v>20.592551230056401</v>
      </c>
      <c r="AL4803">
        <v>89.616235381802497</v>
      </c>
      <c r="AM4803">
        <v>87.178938254642702</v>
      </c>
      <c r="AN4803">
        <v>0.99999999118977301</v>
      </c>
    </row>
    <row r="4804" spans="1:40" x14ac:dyDescent="0.25">
      <c r="A4804" t="str">
        <f>"20190312154932350"</f>
        <v>20190312154932350</v>
      </c>
      <c r="B4804" t="str">
        <f>"1552376972341199"</f>
        <v>1552376972341199</v>
      </c>
      <c r="C4804" t="s">
        <v>40</v>
      </c>
      <c r="D4804">
        <v>4.7719699999999996</v>
      </c>
      <c r="E4804">
        <v>0.38099529999999998</v>
      </c>
      <c r="F4804" t="s">
        <v>42</v>
      </c>
      <c r="G4804">
        <v>-384.12880000000001</v>
      </c>
      <c r="H4804" s="1">
        <v>-3.1682820000000002E-6</v>
      </c>
      <c r="I4804">
        <v>135.8545</v>
      </c>
      <c r="J4804">
        <v>-365.70240000000001</v>
      </c>
      <c r="K4804">
        <v>1.110257</v>
      </c>
      <c r="L4804">
        <v>140.7499</v>
      </c>
      <c r="M4804">
        <v>-0.99990570000000001</v>
      </c>
      <c r="N4804">
        <v>0</v>
      </c>
      <c r="O4804">
        <v>8.3186679999999995E-4</v>
      </c>
      <c r="P4804">
        <v>-0.998722</v>
      </c>
      <c r="Q4804">
        <v>-7.65636099999999E-3</v>
      </c>
      <c r="R4804">
        <v>4.995782E-2</v>
      </c>
      <c r="S4804">
        <v>-3.0429689999999998</v>
      </c>
      <c r="T4804">
        <v>-0.18163070000000001</v>
      </c>
      <c r="U4804">
        <v>-0.8008575</v>
      </c>
      <c r="V4804">
        <v>4.9123409999999999E-2</v>
      </c>
      <c r="W4804">
        <v>6.0661100000000004E-3</v>
      </c>
      <c r="X4804">
        <v>0.9987743</v>
      </c>
      <c r="Y4804">
        <v>-0.25489479999999998</v>
      </c>
      <c r="Z4804">
        <v>-7.5222709999999996E-3</v>
      </c>
      <c r="AA4804">
        <v>0.96693960000000001</v>
      </c>
      <c r="AB4804">
        <v>25</v>
      </c>
      <c r="AC4804">
        <v>-18.426400000000001</v>
      </c>
      <c r="AD4804">
        <v>-1.1102601682819999</v>
      </c>
      <c r="AE4804">
        <v>-4.8953999999999898</v>
      </c>
      <c r="AF4804">
        <v>-4.8941312660493104</v>
      </c>
      <c r="AG4804">
        <v>-1.1102601682819999</v>
      </c>
      <c r="AH4804">
        <v>18.360058990974899</v>
      </c>
      <c r="AI4804">
        <v>93.344056654968298</v>
      </c>
      <c r="AJ4804">
        <v>104.925926661907</v>
      </c>
      <c r="AK4804">
        <v>19.033574668008999</v>
      </c>
      <c r="AL4804">
        <v>89.652435368960397</v>
      </c>
      <c r="AM4804">
        <v>87.184250890104394</v>
      </c>
      <c r="AN4804">
        <v>1.00000000472052</v>
      </c>
    </row>
    <row r="4805" spans="1:40" x14ac:dyDescent="0.25">
      <c r="A4805" t="str">
        <f>"20190312154932363"</f>
        <v>20190312154932363</v>
      </c>
      <c r="B4805" t="str">
        <f>"1552376972360719"</f>
        <v>1552376972360719</v>
      </c>
      <c r="C4805" t="s">
        <v>40</v>
      </c>
      <c r="D4805">
        <v>4.7838190000000003</v>
      </c>
      <c r="E4805">
        <v>0.38125969999999998</v>
      </c>
      <c r="F4805" t="s">
        <v>42</v>
      </c>
      <c r="G4805">
        <v>-384.04640000000001</v>
      </c>
      <c r="H4805" s="1">
        <v>-3.19591E-6</v>
      </c>
      <c r="I4805">
        <v>135.898</v>
      </c>
      <c r="J4805">
        <v>-365.85250000000002</v>
      </c>
      <c r="K4805">
        <v>1.1102730000000001</v>
      </c>
      <c r="L4805">
        <v>140.74979999999999</v>
      </c>
      <c r="M4805">
        <v>-0.99990579999999996</v>
      </c>
      <c r="N4805">
        <v>0</v>
      </c>
      <c r="O4805">
        <v>5.820647E-4</v>
      </c>
      <c r="P4805">
        <v>-0.99873259999999997</v>
      </c>
      <c r="Q4805">
        <v>-7.807741E-3</v>
      </c>
      <c r="R4805">
        <v>4.9720569999999999E-2</v>
      </c>
      <c r="S4805">
        <v>-3.0426639999999998</v>
      </c>
      <c r="T4805">
        <v>-0.18415580000000001</v>
      </c>
      <c r="U4805">
        <v>-0.80474849999999998</v>
      </c>
      <c r="V4805">
        <v>4.9135390000000001E-2</v>
      </c>
      <c r="W4805">
        <v>5.921155E-3</v>
      </c>
      <c r="X4805">
        <v>0.99877459999999996</v>
      </c>
      <c r="Y4805">
        <v>-0.25581999999999999</v>
      </c>
      <c r="Z4805">
        <v>-7.6388369999999999E-3</v>
      </c>
      <c r="AA4805">
        <v>0.96669419999999995</v>
      </c>
      <c r="AB4805">
        <v>24</v>
      </c>
      <c r="AC4805">
        <v>-18.1938999999999</v>
      </c>
      <c r="AD4805">
        <v>-1.11027619591</v>
      </c>
      <c r="AE4805">
        <v>-4.8517999999999901</v>
      </c>
      <c r="AF4805">
        <v>-4.8455434052340101</v>
      </c>
      <c r="AG4805">
        <v>-1.11027619591</v>
      </c>
      <c r="AH4805">
        <v>18.128045710922802</v>
      </c>
      <c r="AI4805">
        <v>93.386189890921401</v>
      </c>
      <c r="AJ4805">
        <v>104.965044576046</v>
      </c>
      <c r="AK4805">
        <v>18.797288246460401</v>
      </c>
      <c r="AL4805">
        <v>89.660740834410404</v>
      </c>
      <c r="AM4805">
        <v>87.183566147777398</v>
      </c>
      <c r="AN4805">
        <v>1.00000002411607</v>
      </c>
    </row>
    <row r="4806" spans="1:40" x14ac:dyDescent="0.25">
      <c r="A4806" t="str">
        <f>"20190312154932379"</f>
        <v>20190312154932379</v>
      </c>
      <c r="B4806" t="str">
        <f>"1552376972370478"</f>
        <v>1552376972370478</v>
      </c>
      <c r="C4806" t="s">
        <v>40</v>
      </c>
      <c r="D4806">
        <v>4.7739209999999996</v>
      </c>
      <c r="E4806">
        <v>0.3811312</v>
      </c>
      <c r="F4806" t="s">
        <v>42</v>
      </c>
      <c r="G4806">
        <v>-383.72059999999999</v>
      </c>
      <c r="H4806" s="1">
        <v>-3.3120070000000002E-6</v>
      </c>
      <c r="I4806">
        <v>136.03149999999999</v>
      </c>
      <c r="J4806">
        <v>-366.0095</v>
      </c>
      <c r="K4806">
        <v>1.110285</v>
      </c>
      <c r="L4806">
        <v>140.74959999999999</v>
      </c>
      <c r="M4806">
        <v>-0.99990590000000001</v>
      </c>
      <c r="N4806">
        <v>0</v>
      </c>
      <c r="O4806">
        <v>3.0879129999999999E-4</v>
      </c>
      <c r="P4806">
        <v>-0.99875829999999999</v>
      </c>
      <c r="Q4806">
        <v>-8.5003349999999995E-3</v>
      </c>
      <c r="R4806">
        <v>4.9090229999999999E-2</v>
      </c>
      <c r="S4806">
        <v>-3.0423279999999999</v>
      </c>
      <c r="T4806">
        <v>-0.18904319999999999</v>
      </c>
      <c r="U4806">
        <v>-0.80334469999999902</v>
      </c>
      <c r="V4806">
        <v>4.877824E-2</v>
      </c>
      <c r="W4806">
        <v>5.2359499999999996E-3</v>
      </c>
      <c r="X4806">
        <v>0.99879589999999996</v>
      </c>
      <c r="Y4806">
        <v>-0.25514320000000001</v>
      </c>
      <c r="Z4806">
        <v>-7.8051519999999897E-3</v>
      </c>
      <c r="AA4806">
        <v>0.96687179999999995</v>
      </c>
      <c r="AB4806">
        <v>24</v>
      </c>
      <c r="AC4806">
        <v>-17.711099999999899</v>
      </c>
      <c r="AD4806">
        <v>-1.110288312007</v>
      </c>
      <c r="AE4806">
        <v>-4.71809999999999</v>
      </c>
      <c r="AF4806">
        <v>-4.7062996217232502</v>
      </c>
      <c r="AG4806">
        <v>-1.110288312007</v>
      </c>
      <c r="AH4806">
        <v>17.6448944143849</v>
      </c>
      <c r="AI4806">
        <v>93.479218604839403</v>
      </c>
      <c r="AJ4806">
        <v>104.93443187413</v>
      </c>
      <c r="AK4806">
        <v>18.295471985166301</v>
      </c>
      <c r="AL4806">
        <v>89.700000789751797</v>
      </c>
      <c r="AM4806">
        <v>87.204064865137099</v>
      </c>
      <c r="AN4806">
        <v>0.999999990863355</v>
      </c>
    </row>
    <row r="4807" spans="1:40" x14ac:dyDescent="0.25">
      <c r="A4807" t="str">
        <f>"20190312154932400"</f>
        <v>20190312154932400</v>
      </c>
      <c r="B4807" t="str">
        <f>"1552376972390975"</f>
        <v>1552376972390975</v>
      </c>
      <c r="C4807" t="s">
        <v>40</v>
      </c>
      <c r="D4807">
        <v>4.9259829999999996</v>
      </c>
      <c r="E4807">
        <v>0.3818261</v>
      </c>
      <c r="F4807" t="s">
        <v>42</v>
      </c>
      <c r="G4807">
        <v>-383.56099999999998</v>
      </c>
      <c r="H4807" s="1">
        <v>-3.3689489999999999E-6</v>
      </c>
      <c r="I4807">
        <v>136.09639999999999</v>
      </c>
      <c r="J4807">
        <v>-366.25259999999997</v>
      </c>
      <c r="K4807">
        <v>1.1103019999999999</v>
      </c>
      <c r="L4807">
        <v>140.7492</v>
      </c>
      <c r="M4807">
        <v>-0.99990559999999995</v>
      </c>
      <c r="N4807">
        <v>0</v>
      </c>
      <c r="O4807">
        <v>-1.2681270000000001E-4</v>
      </c>
      <c r="P4807">
        <v>-0.99876889999999996</v>
      </c>
      <c r="Q4807">
        <v>-9.3057810000000008E-3</v>
      </c>
      <c r="R4807">
        <v>4.872203E-2</v>
      </c>
      <c r="S4807">
        <v>-3.041687</v>
      </c>
      <c r="T4807">
        <v>-0.1924138</v>
      </c>
      <c r="U4807">
        <v>-0.80638120000000002</v>
      </c>
      <c r="V4807">
        <v>4.8845569999999998E-2</v>
      </c>
      <c r="W4807">
        <v>4.4405950000000003E-3</v>
      </c>
      <c r="X4807">
        <v>0.99879649999999998</v>
      </c>
      <c r="Y4807">
        <v>-0.25565759999999998</v>
      </c>
      <c r="Z4807">
        <v>-7.9335919999999997E-3</v>
      </c>
      <c r="AA4807">
        <v>0.96673480000000001</v>
      </c>
      <c r="AB4807">
        <v>24</v>
      </c>
      <c r="AC4807">
        <v>-17.308399999999999</v>
      </c>
      <c r="AD4807">
        <v>-1.1103053689489999</v>
      </c>
      <c r="AE4807">
        <v>-4.6528000000000098</v>
      </c>
      <c r="AF4807">
        <v>-4.6328254867310896</v>
      </c>
      <c r="AG4807">
        <v>-1.1103053689489999</v>
      </c>
      <c r="AH4807">
        <v>17.242817378927001</v>
      </c>
      <c r="AI4807">
        <v>93.558460285352893</v>
      </c>
      <c r="AJ4807">
        <v>105.03913859204999</v>
      </c>
      <c r="AK4807">
        <v>17.888840129137801</v>
      </c>
      <c r="AL4807">
        <v>89.745571819046901</v>
      </c>
      <c r="AM4807">
        <v>87.200213371564701</v>
      </c>
      <c r="AN4807">
        <v>1.00000002850241</v>
      </c>
    </row>
    <row r="4808" spans="1:40" x14ac:dyDescent="0.25">
      <c r="A4808" t="str">
        <f>"20190312154932416"</f>
        <v>20190312154932416</v>
      </c>
      <c r="B4808" t="str">
        <f>"1552376972410494"</f>
        <v>1552376972410494</v>
      </c>
      <c r="C4808" t="s">
        <v>40</v>
      </c>
      <c r="D4808">
        <v>5.1084100000000001</v>
      </c>
      <c r="E4808">
        <v>0.42148829999999998</v>
      </c>
      <c r="F4808" t="s">
        <v>42</v>
      </c>
      <c r="G4808">
        <v>-383.25349999999997</v>
      </c>
      <c r="H4808" s="1">
        <v>-3.4709960000000002E-6</v>
      </c>
      <c r="I4808">
        <v>136.26480000000001</v>
      </c>
      <c r="J4808">
        <v>-366.42779999999999</v>
      </c>
      <c r="K4808">
        <v>1.110312</v>
      </c>
      <c r="L4808">
        <v>140.74879999999999</v>
      </c>
      <c r="M4808">
        <v>-0.99990570000000001</v>
      </c>
      <c r="N4808">
        <v>0</v>
      </c>
      <c r="O4808">
        <v>-4.5053070000000001E-4</v>
      </c>
      <c r="P4808">
        <v>-0.99876770000000004</v>
      </c>
      <c r="Q4808">
        <v>-9.4699390000000001E-3</v>
      </c>
      <c r="R4808">
        <v>4.871988E-2</v>
      </c>
      <c r="S4808">
        <v>-3.0410159999999999</v>
      </c>
      <c r="T4808">
        <v>-0.19860510000000001</v>
      </c>
      <c r="U4808">
        <v>-0.80212399999999995</v>
      </c>
      <c r="V4808">
        <v>4.9166790000000002E-2</v>
      </c>
      <c r="W4808">
        <v>4.2827630000000002E-3</v>
      </c>
      <c r="X4808">
        <v>0.99878140000000004</v>
      </c>
      <c r="Y4808">
        <v>-0.25410440000000001</v>
      </c>
      <c r="Z4808">
        <v>-8.1209590000000005E-3</v>
      </c>
      <c r="AA4808">
        <v>0.96714270000000002</v>
      </c>
      <c r="AB4808">
        <v>24</v>
      </c>
      <c r="AC4808">
        <v>-16.825699999999902</v>
      </c>
      <c r="AD4808">
        <v>-1.1103154709959999</v>
      </c>
      <c r="AE4808">
        <v>-4.4839999999999796</v>
      </c>
      <c r="AF4808">
        <v>-4.4582917043108301</v>
      </c>
      <c r="AG4808">
        <v>-1.1103154709959999</v>
      </c>
      <c r="AH4808">
        <v>16.759577161282699</v>
      </c>
      <c r="AI4808">
        <v>93.663252065173495</v>
      </c>
      <c r="AJ4808">
        <v>104.896529597751</v>
      </c>
      <c r="AK4808">
        <v>17.377934054163301</v>
      </c>
      <c r="AL4808">
        <v>89.7546150053318</v>
      </c>
      <c r="AM4808">
        <v>87.181788361179699</v>
      </c>
      <c r="AN4808">
        <v>1.0000000001418801</v>
      </c>
    </row>
    <row r="4809" spans="1:40" x14ac:dyDescent="0.25">
      <c r="A4809" t="str">
        <f>"20190312154932435"</f>
        <v>20190312154932435</v>
      </c>
      <c r="B4809" t="str">
        <f>"1552376972430990"</f>
        <v>1552376972430990</v>
      </c>
      <c r="C4809" t="s">
        <v>40</v>
      </c>
      <c r="D4809">
        <v>5.0366070000000001</v>
      </c>
      <c r="E4809">
        <v>0.43822179999999999</v>
      </c>
      <c r="F4809" t="s">
        <v>42</v>
      </c>
      <c r="G4809">
        <v>-381.53190000000001</v>
      </c>
      <c r="H4809" s="1">
        <v>-3.8454810000000004E-6</v>
      </c>
      <c r="I4809">
        <v>138.31739999999999</v>
      </c>
      <c r="J4809">
        <v>-366.63350000000003</v>
      </c>
      <c r="K4809">
        <v>1.110322</v>
      </c>
      <c r="L4809">
        <v>140.7483</v>
      </c>
      <c r="M4809">
        <v>-0.99990520000000005</v>
      </c>
      <c r="N4809">
        <v>0</v>
      </c>
      <c r="O4809">
        <v>-8.3849710000000004E-4</v>
      </c>
      <c r="P4809">
        <v>-0.9987473</v>
      </c>
      <c r="Q4809">
        <v>-9.6311409999999993E-3</v>
      </c>
      <c r="R4809">
        <v>4.9103430000000003E-2</v>
      </c>
      <c r="S4809">
        <v>-3.0253299999999999</v>
      </c>
      <c r="T4809">
        <v>-0.22239519999999999</v>
      </c>
      <c r="U4809">
        <v>-0.48699949999999997</v>
      </c>
      <c r="V4809">
        <v>4.9938040000000003E-2</v>
      </c>
      <c r="W4809">
        <v>4.1282699999999999E-3</v>
      </c>
      <c r="X4809">
        <v>0.99874379999999996</v>
      </c>
      <c r="Y4809">
        <v>-0.15768760000000001</v>
      </c>
      <c r="Z4809">
        <v>-5.6900419999999898E-3</v>
      </c>
      <c r="AA4809">
        <v>0.98747269999999998</v>
      </c>
      <c r="AB4809">
        <v>24</v>
      </c>
      <c r="AC4809">
        <v>-14.898399999999899</v>
      </c>
      <c r="AD4809">
        <v>-1.1103258454809899</v>
      </c>
      <c r="AE4809">
        <v>-2.4308999999999998</v>
      </c>
      <c r="AF4809">
        <v>-2.4053921260830999</v>
      </c>
      <c r="AG4809">
        <v>-1.1103258454809899</v>
      </c>
      <c r="AH4809">
        <v>14.820253206303899</v>
      </c>
      <c r="AI4809">
        <v>94.229425959317098</v>
      </c>
      <c r="AJ4809">
        <v>99.218966501959102</v>
      </c>
      <c r="AK4809">
        <v>15.0551864771688</v>
      </c>
      <c r="AL4809">
        <v>89.763466883818694</v>
      </c>
      <c r="AM4809">
        <v>87.137546132824696</v>
      </c>
      <c r="AN4809">
        <v>1.00000001424533</v>
      </c>
    </row>
    <row r="4810" spans="1:40" x14ac:dyDescent="0.25">
      <c r="A4810" t="str">
        <f>"20190312154932458"</f>
        <v>20190312154932458</v>
      </c>
      <c r="B4810" t="str">
        <f>"1552376972450511"</f>
        <v>1552376972450511</v>
      </c>
      <c r="C4810" t="s">
        <v>40</v>
      </c>
      <c r="D4810">
        <v>4.9171469999999999</v>
      </c>
      <c r="E4810">
        <v>0.51669370000000003</v>
      </c>
      <c r="F4810" t="s">
        <v>42</v>
      </c>
      <c r="G4810">
        <v>-378.73610000000002</v>
      </c>
      <c r="H4810" s="1">
        <v>-5.7600309999999999E-7</v>
      </c>
      <c r="I4810">
        <v>139.3261</v>
      </c>
      <c r="J4810">
        <v>-366.87189999999998</v>
      </c>
      <c r="K4810">
        <v>1.1103289999999999</v>
      </c>
      <c r="L4810">
        <v>140.7475</v>
      </c>
      <c r="M4810">
        <v>-0.99990480000000004</v>
      </c>
      <c r="N4810">
        <v>0</v>
      </c>
      <c r="O4810">
        <v>-1.2988050000000001E-3</v>
      </c>
      <c r="P4810">
        <v>-0.99874600000000002</v>
      </c>
      <c r="Q4810">
        <v>-9.6643730000000004E-3</v>
      </c>
      <c r="R4810">
        <v>4.912702E-2</v>
      </c>
      <c r="S4810">
        <v>-3.0185240000000002</v>
      </c>
      <c r="T4810">
        <v>-0.2769278</v>
      </c>
      <c r="U4810">
        <v>-0.35469060000000002</v>
      </c>
      <c r="V4810">
        <v>5.042133E-2</v>
      </c>
      <c r="W4810">
        <v>4.1034740000000002E-3</v>
      </c>
      <c r="X4810">
        <v>0.99871960000000004</v>
      </c>
      <c r="Y4810">
        <v>-0.1149408</v>
      </c>
      <c r="Z4810">
        <v>-5.1250130000000003E-3</v>
      </c>
      <c r="AA4810">
        <v>0.99335910000000005</v>
      </c>
      <c r="AB4810">
        <v>24</v>
      </c>
      <c r="AC4810">
        <v>-11.8642</v>
      </c>
      <c r="AD4810">
        <v>-1.1103295760031</v>
      </c>
      <c r="AE4810">
        <v>-1.4214</v>
      </c>
      <c r="AF4810">
        <v>-1.39395197503673</v>
      </c>
      <c r="AG4810">
        <v>-1.1103295760031</v>
      </c>
      <c r="AH4810">
        <v>11.764455997518199</v>
      </c>
      <c r="AI4810">
        <v>95.354370453546593</v>
      </c>
      <c r="AJ4810">
        <v>96.757381315836696</v>
      </c>
      <c r="AK4810">
        <v>11.898670463274399</v>
      </c>
      <c r="AL4810">
        <v>89.764887597273102</v>
      </c>
      <c r="AM4810">
        <v>87.109820727808199</v>
      </c>
      <c r="AN4810">
        <v>0.99999999422099795</v>
      </c>
    </row>
    <row r="4811" spans="1:40" x14ac:dyDescent="0.25">
      <c r="A4811" t="str">
        <f>"20190312154932479"</f>
        <v>20190312154932479</v>
      </c>
      <c r="B4811" t="str">
        <f>"1552376972471006"</f>
        <v>1552376972471006</v>
      </c>
      <c r="C4811" t="s">
        <v>40</v>
      </c>
      <c r="D4811">
        <v>4.920261</v>
      </c>
      <c r="E4811">
        <v>0.52714280000000002</v>
      </c>
      <c r="F4811" t="s">
        <v>41</v>
      </c>
      <c r="G4811">
        <v>-367.63389999999998</v>
      </c>
      <c r="H4811">
        <v>0.94696639999999999</v>
      </c>
      <c r="I4811">
        <v>140.81299999999999</v>
      </c>
      <c r="J4811">
        <v>-367.11079999999998</v>
      </c>
      <c r="K4811">
        <v>1.1103350000000001</v>
      </c>
      <c r="L4811">
        <v>140.7467</v>
      </c>
      <c r="M4811">
        <v>-0.99990389999999996</v>
      </c>
      <c r="N4811">
        <v>0</v>
      </c>
      <c r="O4811">
        <v>-1.768831E-3</v>
      </c>
      <c r="P4811">
        <v>-0.99874289999999999</v>
      </c>
      <c r="Q4811">
        <v>-9.9216830000000006E-3</v>
      </c>
      <c r="R4811">
        <v>4.913696E-2</v>
      </c>
      <c r="S4811">
        <v>-2.984985</v>
      </c>
      <c r="T4811">
        <v>-0.63996149999999996</v>
      </c>
      <c r="U4811">
        <v>0.2566833</v>
      </c>
      <c r="V4811">
        <v>5.0900969999999997E-2</v>
      </c>
      <c r="W4811">
        <v>3.853137E-3</v>
      </c>
      <c r="X4811">
        <v>0.99869629999999998</v>
      </c>
      <c r="Y4811">
        <v>8.5469580000000003E-2</v>
      </c>
      <c r="Z4811">
        <v>9.4173369999999996E-3</v>
      </c>
      <c r="AA4811">
        <v>0.99629630000000002</v>
      </c>
      <c r="AB4811">
        <v>24</v>
      </c>
      <c r="AC4811">
        <v>-0.52309999999999901</v>
      </c>
      <c r="AD4811">
        <v>-0.163368599999999</v>
      </c>
      <c r="AE4811">
        <v>6.6299999999983997E-2</v>
      </c>
      <c r="AF4811">
        <v>6.1337219982244798E-2</v>
      </c>
      <c r="AG4811">
        <v>-0.163368599999999</v>
      </c>
      <c r="AH4811">
        <v>0.47717563342703501</v>
      </c>
      <c r="AI4811">
        <v>108.756041957067</v>
      </c>
      <c r="AJ4811">
        <v>82.675239100309099</v>
      </c>
      <c r="AK4811">
        <v>0.50808280738242095</v>
      </c>
      <c r="AL4811">
        <v>89.779230971807493</v>
      </c>
      <c r="AM4811">
        <v>87.082306818834397</v>
      </c>
      <c r="AN4811">
        <v>1.0000000275226799</v>
      </c>
    </row>
    <row r="4812" spans="1:40" x14ac:dyDescent="0.25">
      <c r="A4812" t="str">
        <f>"20190312154932502"</f>
        <v>20190312154932502</v>
      </c>
      <c r="B4812" t="str">
        <f>"1552376972490526"</f>
        <v>1552376972490526</v>
      </c>
      <c r="C4812" t="s">
        <v>40</v>
      </c>
      <c r="D4812">
        <v>4.9116289999999996</v>
      </c>
      <c r="E4812">
        <v>0.5310047</v>
      </c>
      <c r="F4812" t="s">
        <v>41</v>
      </c>
      <c r="G4812">
        <v>-367.8433</v>
      </c>
      <c r="H4812">
        <v>0.93112850000000003</v>
      </c>
      <c r="I4812">
        <v>140.8297</v>
      </c>
      <c r="J4812">
        <v>-367.35340000000002</v>
      </c>
      <c r="K4812">
        <v>1.110336</v>
      </c>
      <c r="L4812">
        <v>140.7457</v>
      </c>
      <c r="M4812">
        <v>-0.99990299999999999</v>
      </c>
      <c r="N4812">
        <v>0</v>
      </c>
      <c r="O4812">
        <v>-2.252511E-3</v>
      </c>
      <c r="P4812">
        <v>-0.99877289999999996</v>
      </c>
      <c r="Q4812">
        <v>-1.022436E-2</v>
      </c>
      <c r="R4812">
        <v>4.846263E-2</v>
      </c>
      <c r="S4812">
        <v>-2.9799500000000001</v>
      </c>
      <c r="T4812">
        <v>-0.7291666</v>
      </c>
      <c r="U4812">
        <v>0.33639530000000001</v>
      </c>
      <c r="V4812">
        <v>5.0709869999999997E-2</v>
      </c>
      <c r="W4812">
        <v>3.5565459999999998E-3</v>
      </c>
      <c r="X4812">
        <v>0.99870709999999996</v>
      </c>
      <c r="Y4812">
        <v>0.1111089</v>
      </c>
      <c r="Z4812">
        <v>1.3897039999999999E-2</v>
      </c>
      <c r="AA4812">
        <v>0.99371109999999896</v>
      </c>
      <c r="AB4812">
        <v>24</v>
      </c>
      <c r="AC4812">
        <v>-0.48989999999997702</v>
      </c>
      <c r="AD4812">
        <v>-0.17920749999999899</v>
      </c>
      <c r="AE4812">
        <v>8.40000000000031E-2</v>
      </c>
      <c r="AF4812">
        <v>7.5313337110966994E-2</v>
      </c>
      <c r="AG4812">
        <v>-0.17920749999999899</v>
      </c>
      <c r="AH4812">
        <v>0.43337469953837898</v>
      </c>
      <c r="AI4812">
        <v>112.16647449556299</v>
      </c>
      <c r="AJ4812">
        <v>80.141402096648306</v>
      </c>
      <c r="AK4812">
        <v>0.47497479617661897</v>
      </c>
      <c r="AL4812">
        <v>89.796224496135196</v>
      </c>
      <c r="AM4812">
        <v>87.093273415501898</v>
      </c>
      <c r="AN4812">
        <v>1.0000000057626299</v>
      </c>
    </row>
    <row r="4813" spans="1:40" x14ac:dyDescent="0.25">
      <c r="A4813" t="str">
        <f>"20190312154932517"</f>
        <v>20190312154932517</v>
      </c>
      <c r="B4813" t="str">
        <f>"1552376972511022"</f>
        <v>1552376972511022</v>
      </c>
      <c r="C4813" t="s">
        <v>40</v>
      </c>
      <c r="D4813">
        <v>4.8923920000000001</v>
      </c>
      <c r="E4813">
        <v>0.53308869999999997</v>
      </c>
      <c r="F4813" t="s">
        <v>41</v>
      </c>
      <c r="G4813">
        <v>-368.05869999999999</v>
      </c>
      <c r="H4813">
        <v>0.92840060000000002</v>
      </c>
      <c r="I4813">
        <v>140.8322</v>
      </c>
      <c r="J4813">
        <v>-367.5249</v>
      </c>
      <c r="K4813">
        <v>1.1103379999999901</v>
      </c>
      <c r="L4813">
        <v>140.7449</v>
      </c>
      <c r="M4813">
        <v>-0.99990210000000002</v>
      </c>
      <c r="N4813">
        <v>0</v>
      </c>
      <c r="O4813">
        <v>-2.5961949999999999E-3</v>
      </c>
      <c r="P4813">
        <v>-0.9987897</v>
      </c>
      <c r="Q4813">
        <v>-1.0350440000000001E-2</v>
      </c>
      <c r="R4813">
        <v>4.808983E-2</v>
      </c>
      <c r="S4813">
        <v>-2.97818</v>
      </c>
      <c r="T4813">
        <v>-0.76831890000000003</v>
      </c>
      <c r="U4813">
        <v>0.36361690000000002</v>
      </c>
      <c r="V4813">
        <v>5.0680570000000001E-2</v>
      </c>
      <c r="W4813">
        <v>3.434E-3</v>
      </c>
      <c r="X4813">
        <v>0.99870899999999996</v>
      </c>
      <c r="Y4813">
        <v>0.1198201</v>
      </c>
      <c r="Z4813">
        <v>1.580995E-2</v>
      </c>
      <c r="AA4813">
        <v>0.99266969999999999</v>
      </c>
      <c r="AB4813">
        <v>24</v>
      </c>
      <c r="AC4813">
        <v>-0.53379999999998495</v>
      </c>
      <c r="AD4813">
        <v>-0.181937399999999</v>
      </c>
      <c r="AE4813">
        <v>8.7299999999999003E-2</v>
      </c>
      <c r="AF4813">
        <v>7.9671500375221499E-2</v>
      </c>
      <c r="AG4813">
        <v>-0.181937399999999</v>
      </c>
      <c r="AH4813">
        <v>0.47933828509658799</v>
      </c>
      <c r="AI4813">
        <v>110.52704530665901</v>
      </c>
      <c r="AJ4813">
        <v>80.563058021896595</v>
      </c>
      <c r="AK4813">
        <v>0.51885832078722305</v>
      </c>
      <c r="AL4813">
        <v>89.803245904406694</v>
      </c>
      <c r="AM4813">
        <v>87.094955552306402</v>
      </c>
      <c r="AN4813">
        <v>0.99999998960626202</v>
      </c>
    </row>
    <row r="4814" spans="1:40" x14ac:dyDescent="0.25">
      <c r="A4814" t="str">
        <f>"20190312154932535"</f>
        <v>20190312154932535</v>
      </c>
      <c r="B4814" t="str">
        <f>"1552376972530543"</f>
        <v>1552376972530543</v>
      </c>
      <c r="C4814" t="s">
        <v>40</v>
      </c>
      <c r="D4814">
        <v>5.0708489999999999</v>
      </c>
      <c r="E4814">
        <v>0.53483150000000002</v>
      </c>
      <c r="F4814" t="s">
        <v>41</v>
      </c>
      <c r="G4814">
        <v>-368.26830000000001</v>
      </c>
      <c r="H4814">
        <v>0.9135103</v>
      </c>
      <c r="I4814">
        <v>140.83969999999999</v>
      </c>
      <c r="J4814">
        <v>-367.71019999999999</v>
      </c>
      <c r="K4814">
        <v>1.1103369999999999</v>
      </c>
      <c r="L4814">
        <v>140.744</v>
      </c>
      <c r="M4814">
        <v>-0.99990089999999998</v>
      </c>
      <c r="N4814">
        <v>0</v>
      </c>
      <c r="O4814">
        <v>-2.9682250000000001E-3</v>
      </c>
      <c r="P4814">
        <v>-0.99881730000000002</v>
      </c>
      <c r="Q4814">
        <v>-9.6779680000000003E-3</v>
      </c>
      <c r="R4814">
        <v>4.7649810000000001E-2</v>
      </c>
      <c r="S4814">
        <v>-2.9772639999999999</v>
      </c>
      <c r="T4814">
        <v>-0.78830250000000002</v>
      </c>
      <c r="U4814">
        <v>0.3783417</v>
      </c>
      <c r="V4814">
        <v>5.0611349999999999E-2</v>
      </c>
      <c r="W4814">
        <v>4.1082430000000001E-3</v>
      </c>
      <c r="X4814">
        <v>0.99870999999999999</v>
      </c>
      <c r="Y4814">
        <v>0.1246773</v>
      </c>
      <c r="Z4814">
        <v>1.6934069999999999E-2</v>
      </c>
      <c r="AA4814">
        <v>0.99205290000000002</v>
      </c>
      <c r="AB4814">
        <v>24</v>
      </c>
      <c r="AC4814">
        <v>-0.55810000000002402</v>
      </c>
      <c r="AD4814">
        <v>-0.19682669999999999</v>
      </c>
      <c r="AE4814">
        <v>9.5699999999993596E-2</v>
      </c>
      <c r="AF4814">
        <v>8.6861254082886197E-2</v>
      </c>
      <c r="AG4814">
        <v>-0.19682669999999999</v>
      </c>
      <c r="AH4814">
        <v>0.497680945629635</v>
      </c>
      <c r="AI4814">
        <v>111.28580710160701</v>
      </c>
      <c r="AJ4814">
        <v>80.099773827520494</v>
      </c>
      <c r="AK4814">
        <v>0.54219180271980205</v>
      </c>
      <c r="AL4814">
        <v>89.764614358700697</v>
      </c>
      <c r="AM4814">
        <v>87.098919406589303</v>
      </c>
      <c r="AN4814">
        <v>1.0000000252546799</v>
      </c>
    </row>
    <row r="4815" spans="1:40" x14ac:dyDescent="0.25">
      <c r="A4815" t="str">
        <f>"20190312154932557"</f>
        <v>20190312154932557</v>
      </c>
      <c r="B4815" t="str">
        <f>"1552376972551038"</f>
        <v>1552376972551038</v>
      </c>
      <c r="C4815" t="s">
        <v>40</v>
      </c>
      <c r="D4815">
        <v>4.9295489999999997</v>
      </c>
      <c r="E4815">
        <v>0.53555200000000003</v>
      </c>
      <c r="F4815" t="s">
        <v>41</v>
      </c>
      <c r="G4815">
        <v>-368.48079999999999</v>
      </c>
      <c r="H4815">
        <v>0.90474339999999998</v>
      </c>
      <c r="I4815">
        <v>140.84559999999999</v>
      </c>
      <c r="J4815">
        <v>-367.952</v>
      </c>
      <c r="K4815">
        <v>1.110328</v>
      </c>
      <c r="L4815">
        <v>140.74270000000001</v>
      </c>
      <c r="M4815">
        <v>-0.99989939999999999</v>
      </c>
      <c r="N4815">
        <v>0</v>
      </c>
      <c r="O4815">
        <v>-3.4532230000000001E-3</v>
      </c>
      <c r="P4815">
        <v>-0.99886109999999995</v>
      </c>
      <c r="Q4815">
        <v>-8.9619629999999999E-3</v>
      </c>
      <c r="R4815">
        <v>4.6867180000000001E-2</v>
      </c>
      <c r="S4815">
        <v>-2.9772029999999998</v>
      </c>
      <c r="T4815">
        <v>-0.79434159999999998</v>
      </c>
      <c r="U4815">
        <v>0.39132689999999998</v>
      </c>
      <c r="V4815">
        <v>5.0312910000000002E-2</v>
      </c>
      <c r="W4815">
        <v>4.8244450000000001E-3</v>
      </c>
      <c r="X4815">
        <v>0.99872179999999999</v>
      </c>
      <c r="Y4815">
        <v>0.12918070000000001</v>
      </c>
      <c r="Z4815">
        <v>1.7770029999999999E-2</v>
      </c>
      <c r="AA4815">
        <v>0.99146179999999995</v>
      </c>
      <c r="AB4815">
        <v>24</v>
      </c>
      <c r="AC4815">
        <v>-0.52879999999998895</v>
      </c>
      <c r="AD4815">
        <v>-0.20558459999999901</v>
      </c>
      <c r="AE4815">
        <v>0.102899999999976</v>
      </c>
      <c r="AF4815">
        <v>9.1412963875831907E-2</v>
      </c>
      <c r="AG4815">
        <v>-0.20558459999999901</v>
      </c>
      <c r="AH4815">
        <v>0.46126630673938102</v>
      </c>
      <c r="AI4815">
        <v>113.614635589201</v>
      </c>
      <c r="AJ4815">
        <v>78.7904648982948</v>
      </c>
      <c r="AK4815">
        <v>0.51321337030002701</v>
      </c>
      <c r="AL4815">
        <v>89.723578576602094</v>
      </c>
      <c r="AM4815">
        <v>87.116031262940993</v>
      </c>
      <c r="AN4815">
        <v>0.99999994898873101</v>
      </c>
    </row>
    <row r="4816" spans="1:40" x14ac:dyDescent="0.25">
      <c r="A4816" t="str">
        <f>"20190312154932579"</f>
        <v>20190312154932579</v>
      </c>
      <c r="B4816" t="str">
        <f>"1552376972570559"</f>
        <v>1552376972570559</v>
      </c>
      <c r="C4816" t="s">
        <v>40</v>
      </c>
      <c r="D4816">
        <v>5.0588860000000002</v>
      </c>
      <c r="E4816">
        <v>0.53636439999999996</v>
      </c>
      <c r="F4816" t="s">
        <v>41</v>
      </c>
      <c r="G4816">
        <v>-368.69850000000002</v>
      </c>
      <c r="H4816">
        <v>0.9091901</v>
      </c>
      <c r="I4816">
        <v>140.8416</v>
      </c>
      <c r="J4816">
        <v>-368.18830000000003</v>
      </c>
      <c r="K4816">
        <v>1.1103229999999999</v>
      </c>
      <c r="L4816">
        <v>140.7414</v>
      </c>
      <c r="M4816">
        <v>-0.9998977</v>
      </c>
      <c r="N4816">
        <v>0</v>
      </c>
      <c r="O4816">
        <v>-3.926021E-3</v>
      </c>
      <c r="P4816">
        <v>-0.99888569999999999</v>
      </c>
      <c r="Q4816">
        <v>-8.204055E-3</v>
      </c>
      <c r="R4816">
        <v>4.64795E-2</v>
      </c>
      <c r="S4816">
        <v>-2.977722</v>
      </c>
      <c r="T4816">
        <v>-0.80227299999999901</v>
      </c>
      <c r="U4816">
        <v>0.3942871</v>
      </c>
      <c r="V4816">
        <v>5.03971E-2</v>
      </c>
      <c r="W4816">
        <v>5.5778379999999999E-3</v>
      </c>
      <c r="X4816">
        <v>0.99871370000000004</v>
      </c>
      <c r="Y4816">
        <v>0.1304469</v>
      </c>
      <c r="Z4816">
        <v>1.8228910000000001E-2</v>
      </c>
      <c r="AA4816">
        <v>0.99128769999999999</v>
      </c>
      <c r="AB4816">
        <v>24</v>
      </c>
      <c r="AC4816">
        <v>-0.51019999999999699</v>
      </c>
      <c r="AD4816">
        <v>-0.201132899999999</v>
      </c>
      <c r="AE4816">
        <v>0.1002</v>
      </c>
      <c r="AF4816">
        <v>8.8899500673841697E-2</v>
      </c>
      <c r="AG4816">
        <v>-0.201132899999999</v>
      </c>
      <c r="AH4816">
        <v>0.44344524191241502</v>
      </c>
      <c r="AI4816">
        <v>113.975676733529</v>
      </c>
      <c r="AJ4816">
        <v>78.663924052548595</v>
      </c>
      <c r="AK4816">
        <v>0.49497600674904302</v>
      </c>
      <c r="AL4816">
        <v>89.680411772109593</v>
      </c>
      <c r="AM4816">
        <v>87.111190215131202</v>
      </c>
      <c r="AN4816">
        <v>1.0000000172664201</v>
      </c>
    </row>
    <row r="4817" spans="1:40" x14ac:dyDescent="0.25">
      <c r="A4817" t="str">
        <f>"20190312154932596"</f>
        <v>20190312154932596</v>
      </c>
      <c r="B4817" t="str">
        <f>"1552376972591054"</f>
        <v>1552376972591054</v>
      </c>
      <c r="C4817" t="s">
        <v>40</v>
      </c>
      <c r="D4817">
        <v>4.9491610000000001</v>
      </c>
      <c r="E4817">
        <v>0.53670649999999998</v>
      </c>
      <c r="F4817" t="s">
        <v>41</v>
      </c>
      <c r="G4817">
        <v>-368.916</v>
      </c>
      <c r="H4817">
        <v>0.91348620000000003</v>
      </c>
      <c r="I4817">
        <v>140.839</v>
      </c>
      <c r="J4817">
        <v>-368.36970000000002</v>
      </c>
      <c r="K4817">
        <v>1.1103240000000001</v>
      </c>
      <c r="L4817">
        <v>140.74019999999999</v>
      </c>
      <c r="M4817">
        <v>-0.99989629999999996</v>
      </c>
      <c r="N4817">
        <v>0</v>
      </c>
      <c r="O4817">
        <v>-4.2878320000000001E-3</v>
      </c>
      <c r="P4817">
        <v>-0.99890900000000005</v>
      </c>
      <c r="Q4817">
        <v>-8.0112410000000005E-3</v>
      </c>
      <c r="R4817">
        <v>4.600725E-2</v>
      </c>
      <c r="S4817">
        <v>-2.978119</v>
      </c>
      <c r="T4817">
        <v>-0.80562469999999997</v>
      </c>
      <c r="U4817">
        <v>0.39927669999999998</v>
      </c>
      <c r="V4817">
        <v>5.0286089999999999E-2</v>
      </c>
      <c r="W4817">
        <v>5.7623709999999996E-3</v>
      </c>
      <c r="X4817">
        <v>0.9987182</v>
      </c>
      <c r="Y4817">
        <v>0.13230510000000001</v>
      </c>
      <c r="Z4817">
        <v>1.863983E-2</v>
      </c>
      <c r="AA4817">
        <v>0.99103379999999996</v>
      </c>
      <c r="AB4817">
        <v>24</v>
      </c>
      <c r="AC4817">
        <v>-0.54629999999997303</v>
      </c>
      <c r="AD4817">
        <v>-0.19683780000000001</v>
      </c>
      <c r="AE4817">
        <v>9.8800000000011295E-2</v>
      </c>
      <c r="AF4817">
        <v>8.9846910261011007E-2</v>
      </c>
      <c r="AG4817">
        <v>-0.19683780000000001</v>
      </c>
      <c r="AH4817">
        <v>0.484911986565492</v>
      </c>
      <c r="AI4817">
        <v>111.75849469901701</v>
      </c>
      <c r="AJ4817">
        <v>79.502994558862895</v>
      </c>
      <c r="AK4817">
        <v>0.530996442085238</v>
      </c>
      <c r="AL4817">
        <v>89.669838624424003</v>
      </c>
      <c r="AM4817">
        <v>87.117555636962805</v>
      </c>
      <c r="AN4817">
        <v>0.99999996938913405</v>
      </c>
    </row>
    <row r="4818" spans="1:40" x14ac:dyDescent="0.25">
      <c r="A4818" t="str">
        <f>"20190312154932613"</f>
        <v>20190312154932613</v>
      </c>
      <c r="B4818" t="str">
        <f>"1552376972600814"</f>
        <v>1552376972600814</v>
      </c>
      <c r="C4818" t="s">
        <v>40</v>
      </c>
      <c r="D4818">
        <v>4.9388959999999997</v>
      </c>
      <c r="E4818">
        <v>0.5368098</v>
      </c>
      <c r="F4818" t="s">
        <v>41</v>
      </c>
      <c r="G4818">
        <v>-369.12729999999999</v>
      </c>
      <c r="H4818">
        <v>0.90403460000000002</v>
      </c>
      <c r="I4818">
        <v>140.8425</v>
      </c>
      <c r="J4818">
        <v>-368.55599999999998</v>
      </c>
      <c r="K4818">
        <v>1.1103149999999999</v>
      </c>
      <c r="L4818">
        <v>140.739</v>
      </c>
      <c r="M4818">
        <v>-0.99989479999999997</v>
      </c>
      <c r="N4818">
        <v>0</v>
      </c>
      <c r="O4818">
        <v>-4.658667E-3</v>
      </c>
      <c r="P4818">
        <v>-0.99891260000000004</v>
      </c>
      <c r="Q4818">
        <v>-7.8213080000000008E-3</v>
      </c>
      <c r="R4818">
        <v>4.5959319999999998E-2</v>
      </c>
      <c r="S4818">
        <v>-2.9783330000000001</v>
      </c>
      <c r="T4818">
        <v>-0.8109653</v>
      </c>
      <c r="U4818">
        <v>0.40022279999999999</v>
      </c>
      <c r="V4818">
        <v>5.0608399999999998E-2</v>
      </c>
      <c r="W4818">
        <v>5.9387969999999896E-3</v>
      </c>
      <c r="X4818">
        <v>0.9987009</v>
      </c>
      <c r="Y4818">
        <v>0.13287639999999901</v>
      </c>
      <c r="Z4818">
        <v>1.8932299999999999E-2</v>
      </c>
      <c r="AA4818">
        <v>0.99095180000000005</v>
      </c>
      <c r="AB4818">
        <v>24</v>
      </c>
      <c r="AC4818">
        <v>-0.57130000000000702</v>
      </c>
      <c r="AD4818">
        <v>-0.2062804</v>
      </c>
      <c r="AE4818">
        <v>0.103499999999996</v>
      </c>
      <c r="AF4818">
        <v>9.4261943834724193E-2</v>
      </c>
      <c r="AG4818">
        <v>-0.2062804</v>
      </c>
      <c r="AH4818">
        <v>0.50683395703936995</v>
      </c>
      <c r="AI4818">
        <v>111.808156172975</v>
      </c>
      <c r="AJ4818">
        <v>79.464394269780101</v>
      </c>
      <c r="AK4818">
        <v>0.55526352076094998</v>
      </c>
      <c r="AL4818">
        <v>89.659729990719697</v>
      </c>
      <c r="AM4818">
        <v>87.099061826479499</v>
      </c>
      <c r="AN4818">
        <v>0.99999998356058795</v>
      </c>
    </row>
    <row r="4819" spans="1:40" x14ac:dyDescent="0.25">
      <c r="A4819" t="str">
        <f>"20190312154932635"</f>
        <v>20190312154932635</v>
      </c>
      <c r="B4819" t="str">
        <f>"1552376972631169"</f>
        <v>1552376972631169</v>
      </c>
      <c r="C4819" t="s">
        <v>40</v>
      </c>
      <c r="D4819">
        <v>4.9211710000000002</v>
      </c>
      <c r="E4819">
        <v>0.53719640000000002</v>
      </c>
      <c r="F4819" t="s">
        <v>41</v>
      </c>
      <c r="G4819">
        <v>-369.33949999999999</v>
      </c>
      <c r="H4819">
        <v>0.8966385</v>
      </c>
      <c r="I4819">
        <v>140.84460000000001</v>
      </c>
      <c r="J4819">
        <v>-368.78899999999999</v>
      </c>
      <c r="K4819">
        <v>1.1103050000000001</v>
      </c>
      <c r="L4819">
        <v>140.73740000000001</v>
      </c>
      <c r="M4819">
        <v>-0.99989300000000003</v>
      </c>
      <c r="N4819">
        <v>0</v>
      </c>
      <c r="O4819">
        <v>-5.1240259999999899E-3</v>
      </c>
      <c r="P4819">
        <v>-0.99891039999999998</v>
      </c>
      <c r="Q4819">
        <v>-8.8658350000000007E-3</v>
      </c>
      <c r="R4819">
        <v>4.5821710000000002E-2</v>
      </c>
      <c r="S4819">
        <v>-2.9784549999999999</v>
      </c>
      <c r="T4819">
        <v>-0.81228199999999995</v>
      </c>
      <c r="U4819">
        <v>0.40121459999999998</v>
      </c>
      <c r="V4819">
        <v>5.0936460000000003E-2</v>
      </c>
      <c r="W4819">
        <v>4.8602070000000001E-3</v>
      </c>
      <c r="X4819">
        <v>0.99869010000000003</v>
      </c>
      <c r="Y4819">
        <v>0.1335983</v>
      </c>
      <c r="Z4819">
        <v>1.9181230000000001E-2</v>
      </c>
      <c r="AA4819">
        <v>0.99084989999999995</v>
      </c>
      <c r="AB4819">
        <v>24</v>
      </c>
      <c r="AC4819">
        <v>-0.55049999999999899</v>
      </c>
      <c r="AD4819">
        <v>-0.21366649999999901</v>
      </c>
      <c r="AE4819">
        <v>0.107200000000005</v>
      </c>
      <c r="AF4819">
        <v>9.6075073151878604E-2</v>
      </c>
      <c r="AG4819">
        <v>-0.21366649999999901</v>
      </c>
      <c r="AH4819">
        <v>0.48024023567691199</v>
      </c>
      <c r="AI4819">
        <v>113.570255923216</v>
      </c>
      <c r="AJ4819">
        <v>78.686967194809299</v>
      </c>
      <c r="AK4819">
        <v>0.53433554707356401</v>
      </c>
      <c r="AL4819">
        <v>89.721529563423402</v>
      </c>
      <c r="AM4819">
        <v>87.0802579215609</v>
      </c>
      <c r="AN4819">
        <v>1.00000003020371</v>
      </c>
    </row>
    <row r="4820" spans="1:40" x14ac:dyDescent="0.25">
      <c r="A4820" t="str">
        <f>"20190312154932659"</f>
        <v>20190312154932659</v>
      </c>
      <c r="B4820" t="str">
        <f>"1552376972650689"</f>
        <v>1552376972650689</v>
      </c>
      <c r="C4820" t="s">
        <v>40</v>
      </c>
      <c r="D4820">
        <v>4.9339300000000001</v>
      </c>
      <c r="E4820">
        <v>0.53743299999999905</v>
      </c>
      <c r="F4820" t="s">
        <v>41</v>
      </c>
      <c r="G4820">
        <v>-369.55540000000002</v>
      </c>
      <c r="H4820">
        <v>0.89890939999999997</v>
      </c>
      <c r="I4820">
        <v>140.84180000000001</v>
      </c>
      <c r="J4820">
        <v>-369.04090000000002</v>
      </c>
      <c r="K4820">
        <v>1.110287</v>
      </c>
      <c r="L4820">
        <v>140.7355</v>
      </c>
      <c r="M4820">
        <v>-0.99989119999999998</v>
      </c>
      <c r="N4820">
        <v>0</v>
      </c>
      <c r="O4820">
        <v>-5.6320229999999999E-3</v>
      </c>
      <c r="P4820">
        <v>-0.99891640000000004</v>
      </c>
      <c r="Q4820">
        <v>-9.8909029999999995E-3</v>
      </c>
      <c r="R4820">
        <v>4.5481319999999999E-2</v>
      </c>
      <c r="S4820">
        <v>-2.9774479999999999</v>
      </c>
      <c r="T4820">
        <v>-0.82133289999999903</v>
      </c>
      <c r="U4820">
        <v>0.40423579999999998</v>
      </c>
      <c r="V4820">
        <v>5.1104280000000002E-2</v>
      </c>
      <c r="W4820">
        <v>3.7687369999999999E-3</v>
      </c>
      <c r="X4820">
        <v>0.99868619999999997</v>
      </c>
      <c r="Y4820">
        <v>0.1349525</v>
      </c>
      <c r="Z4820">
        <v>1.9711989999999999E-2</v>
      </c>
      <c r="AA4820">
        <v>0.99065599999999998</v>
      </c>
      <c r="AB4820">
        <v>24</v>
      </c>
      <c r="AC4820">
        <v>-0.51449999999999796</v>
      </c>
      <c r="AD4820">
        <v>-0.211377599999999</v>
      </c>
      <c r="AE4820">
        <v>0.106300000000004</v>
      </c>
      <c r="AF4820">
        <v>9.3982389489367907E-2</v>
      </c>
      <c r="AG4820">
        <v>-0.211377599999999</v>
      </c>
      <c r="AH4820">
        <v>0.44229446907248499</v>
      </c>
      <c r="AI4820">
        <v>115.054887420735</v>
      </c>
      <c r="AJ4820">
        <v>78.003743373118496</v>
      </c>
      <c r="AK4820">
        <v>0.49913683162836497</v>
      </c>
      <c r="AL4820">
        <v>89.784066762143695</v>
      </c>
      <c r="AM4820">
        <v>87.070643575396801</v>
      </c>
      <c r="AN4820">
        <v>0.99999998844166604</v>
      </c>
    </row>
    <row r="4821" spans="1:40" x14ac:dyDescent="0.25">
      <c r="A4821" t="str">
        <f>"20190312154932681"</f>
        <v>20190312154932681</v>
      </c>
      <c r="B4821" t="str">
        <f>"1552376972671186"</f>
        <v>1552376972671186</v>
      </c>
      <c r="C4821" t="s">
        <v>40</v>
      </c>
      <c r="D4821">
        <v>4.8949160000000003</v>
      </c>
      <c r="E4821">
        <v>0.53745369999999903</v>
      </c>
      <c r="F4821" t="s">
        <v>41</v>
      </c>
      <c r="G4821">
        <v>-369.77339999999998</v>
      </c>
      <c r="H4821">
        <v>0.90664389999999995</v>
      </c>
      <c r="I4821">
        <v>140.83539999999999</v>
      </c>
      <c r="J4821">
        <v>-369.28500000000003</v>
      </c>
      <c r="K4821">
        <v>1.1102749999999999</v>
      </c>
      <c r="L4821">
        <v>140.7336</v>
      </c>
      <c r="M4821">
        <v>-0.99988960000000005</v>
      </c>
      <c r="N4821">
        <v>0</v>
      </c>
      <c r="O4821">
        <v>-6.1339799999999998E-3</v>
      </c>
      <c r="P4821">
        <v>-0.99894059999999996</v>
      </c>
      <c r="Q4821">
        <v>-1.0185700000000001E-2</v>
      </c>
      <c r="R4821">
        <v>4.4875749999999999E-2</v>
      </c>
      <c r="S4821">
        <v>-2.9766240000000002</v>
      </c>
      <c r="T4821">
        <v>-0.82763149999999996</v>
      </c>
      <c r="U4821">
        <v>0.4046631</v>
      </c>
      <c r="V4821">
        <v>5.1000289999999997E-2</v>
      </c>
      <c r="W4821">
        <v>3.378687E-3</v>
      </c>
      <c r="X4821">
        <v>0.99869289999999999</v>
      </c>
      <c r="Y4821">
        <v>0.1355056</v>
      </c>
      <c r="Z4821">
        <v>2.007434E-2</v>
      </c>
      <c r="AA4821">
        <v>0.99057320000000004</v>
      </c>
      <c r="AB4821">
        <v>24</v>
      </c>
      <c r="AC4821">
        <v>-0.48839999999995598</v>
      </c>
      <c r="AD4821">
        <v>-0.20363109999999901</v>
      </c>
      <c r="AE4821">
        <v>0.101799999999997</v>
      </c>
      <c r="AF4821">
        <v>8.9828960128858104E-2</v>
      </c>
      <c r="AG4821">
        <v>-0.20363109999999901</v>
      </c>
      <c r="AH4821">
        <v>0.41811038161742198</v>
      </c>
      <c r="AI4821">
        <v>115.461999553293</v>
      </c>
      <c r="AJ4821">
        <v>77.8746039566241</v>
      </c>
      <c r="AK4821">
        <v>0.47365721590756799</v>
      </c>
      <c r="AL4821">
        <v>89.806415121801294</v>
      </c>
      <c r="AM4821">
        <v>87.076613630331295</v>
      </c>
      <c r="AN4821">
        <v>0.99999997680816799</v>
      </c>
    </row>
    <row r="4822" spans="1:40" x14ac:dyDescent="0.25">
      <c r="A4822" t="str">
        <f>"20190312154932704"</f>
        <v>20190312154932704</v>
      </c>
      <c r="B4822" t="str">
        <f>"1552376972690705"</f>
        <v>1552376972690705</v>
      </c>
      <c r="C4822" t="s">
        <v>40</v>
      </c>
      <c r="D4822">
        <v>4.8958209999999998</v>
      </c>
      <c r="E4822">
        <v>0.53765989999999997</v>
      </c>
      <c r="F4822" t="s">
        <v>41</v>
      </c>
      <c r="G4822">
        <v>-369.99099999999999</v>
      </c>
      <c r="H4822">
        <v>0.91351439999999995</v>
      </c>
      <c r="I4822">
        <v>140.82939999999999</v>
      </c>
      <c r="J4822">
        <v>-369.52670000000001</v>
      </c>
      <c r="K4822">
        <v>1.110271</v>
      </c>
      <c r="L4822">
        <v>140.73140000000001</v>
      </c>
      <c r="M4822">
        <v>-0.99988790000000005</v>
      </c>
      <c r="N4822">
        <v>0</v>
      </c>
      <c r="O4822">
        <v>-6.6561519999999898E-3</v>
      </c>
      <c r="P4822">
        <v>-0.99896459999999998</v>
      </c>
      <c r="Q4822">
        <v>-1.014254E-2</v>
      </c>
      <c r="R4822">
        <v>4.4353169999999997E-2</v>
      </c>
      <c r="S4822">
        <v>-2.9766539999999999</v>
      </c>
      <c r="T4822">
        <v>-0.82966459999999997</v>
      </c>
      <c r="U4822">
        <v>0.40237430000000002</v>
      </c>
      <c r="V4822">
        <v>5.0999450000000002E-2</v>
      </c>
      <c r="W4822">
        <v>3.2938099999999999E-3</v>
      </c>
      <c r="X4822">
        <v>0.99869319999999895</v>
      </c>
      <c r="Y4822">
        <v>0.13523760000000001</v>
      </c>
      <c r="Z4822">
        <v>2.0228400000000001E-2</v>
      </c>
      <c r="AA4822">
        <v>0.99060669999999995</v>
      </c>
      <c r="AB4822">
        <v>24</v>
      </c>
      <c r="AC4822">
        <v>-0.46429999999998001</v>
      </c>
      <c r="AD4822">
        <v>-0.196756599999999</v>
      </c>
      <c r="AE4822">
        <v>9.7999999999984697E-2</v>
      </c>
      <c r="AF4822">
        <v>8.6258769033041999E-2</v>
      </c>
      <c r="AG4822">
        <v>-0.196756599999999</v>
      </c>
      <c r="AH4822">
        <v>0.39562130439920001</v>
      </c>
      <c r="AI4822">
        <v>115.916035036617</v>
      </c>
      <c r="AJ4822">
        <v>77.700086422100696</v>
      </c>
      <c r="AK4822">
        <v>0.45018879525503502</v>
      </c>
      <c r="AL4822">
        <v>89.811278237875101</v>
      </c>
      <c r="AM4822">
        <v>87.076662573056197</v>
      </c>
      <c r="AN4822">
        <v>0.999999950405427</v>
      </c>
    </row>
    <row r="4823" spans="1:40" x14ac:dyDescent="0.25">
      <c r="A4823" t="str">
        <f>"20190312154932726"</f>
        <v>20190312154932726</v>
      </c>
      <c r="B4823" t="str">
        <f>"1552376972720962"</f>
        <v>1552376972720962</v>
      </c>
      <c r="C4823" t="s">
        <v>40</v>
      </c>
      <c r="D4823">
        <v>4.7968270000000004</v>
      </c>
      <c r="E4823">
        <v>0.49985940000000001</v>
      </c>
      <c r="F4823" t="s">
        <v>41</v>
      </c>
      <c r="G4823">
        <v>-370.20859999999999</v>
      </c>
      <c r="H4823">
        <v>0.91971420000000004</v>
      </c>
      <c r="I4823">
        <v>140.8235</v>
      </c>
      <c r="J4823">
        <v>-369.76060000000001</v>
      </c>
      <c r="K4823">
        <v>1.1102590000000001</v>
      </c>
      <c r="L4823">
        <v>140.72929999999999</v>
      </c>
      <c r="M4823">
        <v>-0.99988630000000001</v>
      </c>
      <c r="N4823">
        <v>0</v>
      </c>
      <c r="O4823">
        <v>-7.2054119999999996E-3</v>
      </c>
      <c r="P4823">
        <v>-0.99899740000000004</v>
      </c>
      <c r="Q4823">
        <v>-1.065259E-2</v>
      </c>
      <c r="R4823">
        <v>4.3488970000000002E-2</v>
      </c>
      <c r="S4823">
        <v>-2.9768370000000002</v>
      </c>
      <c r="T4823">
        <v>-0.83182389999999995</v>
      </c>
      <c r="U4823">
        <v>0.40206910000000001</v>
      </c>
      <c r="V4823">
        <v>5.0684600000000003E-2</v>
      </c>
      <c r="W4823">
        <v>2.6367320000000001E-3</v>
      </c>
      <c r="X4823">
        <v>0.99871120000000002</v>
      </c>
      <c r="Y4823">
        <v>0.13561210000000001</v>
      </c>
      <c r="Z4823">
        <v>2.0479190000000001E-2</v>
      </c>
      <c r="AA4823">
        <v>0.99055029999999999</v>
      </c>
      <c r="AB4823">
        <v>24</v>
      </c>
      <c r="AC4823">
        <v>-0.44799999999997903</v>
      </c>
      <c r="AD4823">
        <v>-0.19054479999999999</v>
      </c>
      <c r="AE4823">
        <v>9.42000000000007E-2</v>
      </c>
      <c r="AF4823">
        <v>8.3039980043047606E-2</v>
      </c>
      <c r="AG4823">
        <v>-0.19054479999999999</v>
      </c>
      <c r="AH4823">
        <v>0.38125992487906901</v>
      </c>
      <c r="AI4823">
        <v>116.02755350778</v>
      </c>
      <c r="AJ4823">
        <v>77.712643311669098</v>
      </c>
      <c r="AK4823">
        <v>0.43423736528698598</v>
      </c>
      <c r="AL4823">
        <v>89.848926205261193</v>
      </c>
      <c r="AM4823">
        <v>87.094731334621301</v>
      </c>
      <c r="AN4823">
        <v>0.99999997101911897</v>
      </c>
    </row>
    <row r="4824" spans="1:40" x14ac:dyDescent="0.25">
      <c r="A4824" t="str">
        <f>"20190312154932747"</f>
        <v>20190312154932747</v>
      </c>
      <c r="B4824" t="str">
        <f>"1552376972740593"</f>
        <v>1552376972740593</v>
      </c>
      <c r="C4824" t="s">
        <v>40</v>
      </c>
      <c r="D4824">
        <v>3.7766850000000001</v>
      </c>
      <c r="E4824">
        <v>0.49213240000000003</v>
      </c>
      <c r="F4824" t="s">
        <v>41</v>
      </c>
      <c r="G4824">
        <v>-370.64640000000003</v>
      </c>
      <c r="H4824">
        <v>0.93763859999999999</v>
      </c>
      <c r="I4824">
        <v>140.7611</v>
      </c>
      <c r="J4824">
        <v>-369.99369999999999</v>
      </c>
      <c r="K4824">
        <v>1.110255</v>
      </c>
      <c r="L4824">
        <v>140.7269</v>
      </c>
      <c r="M4824">
        <v>-0.99988359999999998</v>
      </c>
      <c r="N4824">
        <v>0</v>
      </c>
      <c r="O4824">
        <v>-7.8109729999999997E-3</v>
      </c>
      <c r="P4824">
        <v>-0.99899020000000005</v>
      </c>
      <c r="Q4824">
        <v>-1.173329E-2</v>
      </c>
      <c r="R4824">
        <v>4.3370489999999998E-2</v>
      </c>
      <c r="S4824">
        <v>-2.9921259999999998</v>
      </c>
      <c r="T4824">
        <v>-0.58320830000000001</v>
      </c>
      <c r="U4824">
        <v>0.1071777</v>
      </c>
      <c r="V4824">
        <v>5.117157E-2</v>
      </c>
      <c r="W4824">
        <v>1.408402E-3</v>
      </c>
      <c r="X4824">
        <v>0.99868889999999999</v>
      </c>
      <c r="Y4824">
        <v>4.2653950000000003E-2</v>
      </c>
      <c r="Z4824">
        <v>5.6248779999999998E-3</v>
      </c>
      <c r="AA4824">
        <v>0.99907409999999996</v>
      </c>
      <c r="AB4824">
        <v>24</v>
      </c>
      <c r="AC4824">
        <v>-0.65270000000003803</v>
      </c>
      <c r="AD4824">
        <v>-0.1726164</v>
      </c>
      <c r="AE4824">
        <v>3.4199999999998398E-2</v>
      </c>
      <c r="AF4824">
        <v>3.6735316724777901E-2</v>
      </c>
      <c r="AG4824">
        <v>-0.1726164</v>
      </c>
      <c r="AH4824">
        <v>0.60987402372336297</v>
      </c>
      <c r="AI4824">
        <v>105.776264658088</v>
      </c>
      <c r="AJ4824">
        <v>86.552995280510103</v>
      </c>
      <c r="AK4824">
        <v>0.63489544797262099</v>
      </c>
      <c r="AL4824">
        <v>89.9193044841617</v>
      </c>
      <c r="AM4824">
        <v>87.066801082337307</v>
      </c>
      <c r="AN4824">
        <v>1.00000001607783</v>
      </c>
    </row>
    <row r="4825" spans="1:40" x14ac:dyDescent="0.25">
      <c r="A4825" t="str">
        <f>"20190312154932927"</f>
        <v>20190312154932927</v>
      </c>
      <c r="B4825" t="str">
        <f>"1552376972921153"</f>
        <v>1552376972921153</v>
      </c>
      <c r="C4825" t="s">
        <v>40</v>
      </c>
      <c r="D4825">
        <v>4.2404510000000002</v>
      </c>
      <c r="E4825">
        <v>0.37158439999999998</v>
      </c>
      <c r="F4825" t="s">
        <v>42</v>
      </c>
      <c r="G4825">
        <v>-394.01690000000002</v>
      </c>
      <c r="H4825" s="1">
        <v>-3.6025619999999998E-6</v>
      </c>
      <c r="I4825">
        <v>133.67689999999999</v>
      </c>
      <c r="J4825">
        <v>-371.91579999999999</v>
      </c>
      <c r="K4825">
        <v>1.110773</v>
      </c>
      <c r="L4825">
        <v>140.69749999999999</v>
      </c>
      <c r="M4825">
        <v>-0.99979669999999998</v>
      </c>
      <c r="N4825">
        <v>0</v>
      </c>
      <c r="O4825">
        <v>-1.583323E-2</v>
      </c>
      <c r="P4825">
        <v>-0.99957980000000002</v>
      </c>
      <c r="Q4825">
        <v>-1.444605E-2</v>
      </c>
      <c r="R4825">
        <v>2.513468E-2</v>
      </c>
      <c r="S4825">
        <v>-3.0286249999999999</v>
      </c>
      <c r="T4825">
        <v>-0.1505717</v>
      </c>
      <c r="U4825">
        <v>-0.95245360000000001</v>
      </c>
      <c r="V4825">
        <v>4.0963769999999997E-2</v>
      </c>
      <c r="W4825">
        <v>-1.8746909999999999E-3</v>
      </c>
      <c r="X4825">
        <v>0.99915889999999996</v>
      </c>
      <c r="Y4825">
        <v>-0.28455419999999998</v>
      </c>
      <c r="Z4825">
        <v>-6.1350190000000002E-3</v>
      </c>
      <c r="AA4825">
        <v>0.9586403</v>
      </c>
      <c r="AB4825">
        <v>24</v>
      </c>
      <c r="AC4825">
        <v>-22.101099999999999</v>
      </c>
      <c r="AD4825">
        <v>-1.1107766025620001</v>
      </c>
      <c r="AE4825">
        <v>-7.0206</v>
      </c>
      <c r="AF4825">
        <v>-6.6544924552875004</v>
      </c>
      <c r="AG4825">
        <v>-1.1107766025620001</v>
      </c>
      <c r="AH4825">
        <v>22.1586550422663</v>
      </c>
      <c r="AI4825">
        <v>92.748667130067403</v>
      </c>
      <c r="AJ4825">
        <v>106.715601441652</v>
      </c>
      <c r="AK4825">
        <v>23.162946439959399</v>
      </c>
      <c r="AL4825">
        <v>90.107411942294604</v>
      </c>
      <c r="AM4825">
        <v>87.652287899736294</v>
      </c>
      <c r="AN4825">
        <v>1.00000002618408</v>
      </c>
    </row>
    <row r="4826" spans="1:40" x14ac:dyDescent="0.25">
      <c r="A4826" t="str">
        <f>"20190312154932948"</f>
        <v>20190312154932948</v>
      </c>
      <c r="B4826" t="str">
        <f>"1552376972940676"</f>
        <v>1552376972940676</v>
      </c>
      <c r="C4826" t="s">
        <v>40</v>
      </c>
      <c r="D4826">
        <v>4.1780970000000002</v>
      </c>
      <c r="E4826">
        <v>0.371278</v>
      </c>
      <c r="F4826" t="s">
        <v>42</v>
      </c>
      <c r="G4826">
        <v>-392.05970000000002</v>
      </c>
      <c r="H4826" s="1">
        <v>-4.3253790000000002E-6</v>
      </c>
      <c r="I4826">
        <v>134.33539999999999</v>
      </c>
      <c r="J4826">
        <v>-372.14789999999999</v>
      </c>
      <c r="K4826">
        <v>1.11091299999999</v>
      </c>
      <c r="L4826">
        <v>140.69210000000001</v>
      </c>
      <c r="M4826">
        <v>-0.99976960000000004</v>
      </c>
      <c r="N4826">
        <v>0</v>
      </c>
      <c r="O4826">
        <v>-1.7437029999999999E-2</v>
      </c>
      <c r="P4826">
        <v>-0.99968809999999997</v>
      </c>
      <c r="Q4826">
        <v>-1.4730679999999999E-2</v>
      </c>
      <c r="R4826">
        <v>2.0169759999999998E-2</v>
      </c>
      <c r="S4826">
        <v>-3.0228579999999998</v>
      </c>
      <c r="T4826">
        <v>-0.1666869</v>
      </c>
      <c r="U4826">
        <v>-0.95471189999999995</v>
      </c>
      <c r="V4826">
        <v>3.7605319999999998E-2</v>
      </c>
      <c r="W4826">
        <v>-2.1167500000000001E-3</v>
      </c>
      <c r="X4826">
        <v>0.99929040000000002</v>
      </c>
      <c r="Y4826">
        <v>-0.28412490000000001</v>
      </c>
      <c r="Z4826">
        <v>-6.7046409999999999E-3</v>
      </c>
      <c r="AA4826">
        <v>0.95876380000000005</v>
      </c>
      <c r="AB4826">
        <v>24</v>
      </c>
      <c r="AC4826">
        <v>-19.911799999999999</v>
      </c>
      <c r="AD4826">
        <v>-1.1109173253789999</v>
      </c>
      <c r="AE4826">
        <v>-6.3567000000000098</v>
      </c>
      <c r="AF4826">
        <v>-5.9915782841716103</v>
      </c>
      <c r="AG4826">
        <v>-1.1109173253789999</v>
      </c>
      <c r="AH4826">
        <v>19.963229915441701</v>
      </c>
      <c r="AI4826">
        <v>93.050941938432899</v>
      </c>
      <c r="AJ4826">
        <v>106.706114527686</v>
      </c>
      <c r="AK4826">
        <v>20.872558451133202</v>
      </c>
      <c r="AL4826">
        <v>90.121280935233997</v>
      </c>
      <c r="AM4826">
        <v>87.844860831700501</v>
      </c>
      <c r="AN4826">
        <v>0.99999997212751202</v>
      </c>
    </row>
    <row r="4827" spans="1:40" x14ac:dyDescent="0.25">
      <c r="A4827" t="str">
        <f>"20190312154932970"</f>
        <v>20190312154932970</v>
      </c>
      <c r="B4827" t="str">
        <f>"1552376972961169"</f>
        <v>1552376972961169</v>
      </c>
      <c r="C4827" t="s">
        <v>40</v>
      </c>
      <c r="D4827">
        <v>4.5512600000000001</v>
      </c>
      <c r="E4827">
        <v>0.37719940000000002</v>
      </c>
      <c r="F4827" t="s">
        <v>42</v>
      </c>
      <c r="G4827">
        <v>-391.46769999999998</v>
      </c>
      <c r="H4827" s="1">
        <v>-4.5567020000000004E-6</v>
      </c>
      <c r="I4827">
        <v>134.46299999999999</v>
      </c>
      <c r="J4827">
        <v>-372.38940000000002</v>
      </c>
      <c r="K4827">
        <v>1.111056</v>
      </c>
      <c r="L4827">
        <v>140.6859</v>
      </c>
      <c r="M4827">
        <v>-0.99973509999999999</v>
      </c>
      <c r="N4827">
        <v>0</v>
      </c>
      <c r="O4827">
        <v>-1.928069E-2</v>
      </c>
      <c r="P4827">
        <v>-0.99978149999999999</v>
      </c>
      <c r="Q4827">
        <v>-1.394111E-2</v>
      </c>
      <c r="R4827">
        <v>1.55862E-2</v>
      </c>
      <c r="S4827">
        <v>-3.0179749999999999</v>
      </c>
      <c r="T4827">
        <v>-0.1735381</v>
      </c>
      <c r="U4827">
        <v>-0.97305299999999995</v>
      </c>
      <c r="V4827">
        <v>3.4865069999999998E-2</v>
      </c>
      <c r="W4827">
        <v>-1.267025E-3</v>
      </c>
      <c r="X4827">
        <v>0.99939120000000004</v>
      </c>
      <c r="Y4827">
        <v>-0.28805310000000001</v>
      </c>
      <c r="Z4827">
        <v>-6.991181E-3</v>
      </c>
      <c r="AA4827">
        <v>0.95758889999999997</v>
      </c>
      <c r="AB4827">
        <v>24</v>
      </c>
      <c r="AC4827">
        <v>-19.078299999999899</v>
      </c>
      <c r="AD4827">
        <v>-1.111060556702</v>
      </c>
      <c r="AE4827">
        <v>-6.2229000000000099</v>
      </c>
      <c r="AF4827">
        <v>-5.8359815696757602</v>
      </c>
      <c r="AG4827">
        <v>-1.111060556702</v>
      </c>
      <c r="AH4827">
        <v>19.136084484038701</v>
      </c>
      <c r="AI4827">
        <v>93.178700888240598</v>
      </c>
      <c r="AJ4827">
        <v>106.960269940559</v>
      </c>
      <c r="AK4827">
        <v>20.037037351428001</v>
      </c>
      <c r="AL4827">
        <v>90.072595206308705</v>
      </c>
      <c r="AM4827">
        <v>88.001972050603001</v>
      </c>
      <c r="AN4827">
        <v>0.99999997454794698</v>
      </c>
    </row>
    <row r="4828" spans="1:40" x14ac:dyDescent="0.25">
      <c r="A4828" t="str">
        <f>"20190312154932985"</f>
        <v>20190312154932985</v>
      </c>
      <c r="B4828" t="str">
        <f>"1552376972980689"</f>
        <v>1552376972980689</v>
      </c>
      <c r="C4828" t="s">
        <v>40</v>
      </c>
      <c r="D4828">
        <v>4.6122940000000003</v>
      </c>
      <c r="E4828">
        <v>0.38091849999999999</v>
      </c>
      <c r="F4828" t="s">
        <v>42</v>
      </c>
      <c r="G4828">
        <v>-392.99189999999999</v>
      </c>
      <c r="H4828" s="1">
        <v>-3.938558E-6</v>
      </c>
      <c r="I4828">
        <v>134.26150000000001</v>
      </c>
      <c r="J4828">
        <v>-372.5419</v>
      </c>
      <c r="K4828">
        <v>1.111145</v>
      </c>
      <c r="L4828">
        <v>140.68170000000001</v>
      </c>
      <c r="M4828">
        <v>-0.99970979999999998</v>
      </c>
      <c r="N4828">
        <v>0</v>
      </c>
      <c r="O4828">
        <v>-2.052464E-2</v>
      </c>
      <c r="P4828">
        <v>-0.99982139999999997</v>
      </c>
      <c r="Q4828">
        <v>-1.3356949999999999E-2</v>
      </c>
      <c r="R4828">
        <v>1.337144E-2</v>
      </c>
      <c r="S4828">
        <v>-3.0130620000000001</v>
      </c>
      <c r="T4828">
        <v>-0.162489299999999</v>
      </c>
      <c r="U4828">
        <v>-0.93952939999999996</v>
      </c>
      <c r="V4828">
        <v>3.3893220000000002E-2</v>
      </c>
      <c r="W4828">
        <v>-6.3839859999999997E-4</v>
      </c>
      <c r="X4828">
        <v>0.99942520000000001</v>
      </c>
      <c r="Y4828">
        <v>-0.27768409999999999</v>
      </c>
      <c r="Z4828">
        <v>-6.2292619999999898E-3</v>
      </c>
      <c r="AA4828">
        <v>0.96065219999999996</v>
      </c>
      <c r="AB4828">
        <v>24</v>
      </c>
      <c r="AC4828">
        <v>-20.4499999999999</v>
      </c>
      <c r="AD4828">
        <v>-1.111148938558</v>
      </c>
      <c r="AE4828">
        <v>-6.4201999999999897</v>
      </c>
      <c r="AF4828">
        <v>-5.9830063145142001</v>
      </c>
      <c r="AG4828">
        <v>-1.111148938558</v>
      </c>
      <c r="AH4828">
        <v>20.5223224328568</v>
      </c>
      <c r="AI4828">
        <v>92.975528724509203</v>
      </c>
      <c r="AJ4828">
        <v>106.25333184495</v>
      </c>
      <c r="AK4828">
        <v>21.4055304667115</v>
      </c>
      <c r="AL4828">
        <v>90.036577549954202</v>
      </c>
      <c r="AM4828">
        <v>88.057689042685297</v>
      </c>
      <c r="AN4828">
        <v>0.99999994415488802</v>
      </c>
    </row>
    <row r="4829" spans="1:40" x14ac:dyDescent="0.25">
      <c r="A4829" t="str">
        <f>"20190312154933004"</f>
        <v>20190312154933004</v>
      </c>
      <c r="B4829" t="str">
        <f>"1552376973001184"</f>
        <v>1552376973001184</v>
      </c>
      <c r="C4829" t="s">
        <v>40</v>
      </c>
      <c r="D4829">
        <v>4.5385439999999999</v>
      </c>
      <c r="E4829">
        <v>0.38345509999999999</v>
      </c>
      <c r="F4829" t="s">
        <v>42</v>
      </c>
      <c r="G4829">
        <v>-391.78640000000001</v>
      </c>
      <c r="H4829" s="1">
        <v>-4.3570470000000002E-6</v>
      </c>
      <c r="I4829">
        <v>134.81780000000001</v>
      </c>
      <c r="J4829">
        <v>-372.74549999999999</v>
      </c>
      <c r="K4829">
        <v>1.111278</v>
      </c>
      <c r="L4829">
        <v>140.6756</v>
      </c>
      <c r="M4829">
        <v>-0.99966980000000005</v>
      </c>
      <c r="N4829">
        <v>0</v>
      </c>
      <c r="O4829">
        <v>-2.2345739999999999E-2</v>
      </c>
      <c r="P4829">
        <v>-0.99987539999999997</v>
      </c>
      <c r="Q4829">
        <v>-1.2620859999999999E-2</v>
      </c>
      <c r="R4829">
        <v>9.4981790000000007E-3</v>
      </c>
      <c r="S4829">
        <v>-3.010437</v>
      </c>
      <c r="T4829">
        <v>-0.17381859999999999</v>
      </c>
      <c r="U4829">
        <v>-0.91728209999999999</v>
      </c>
      <c r="V4829">
        <v>3.1840239999999999E-2</v>
      </c>
      <c r="W4829">
        <v>1.7387070000000001E-4</v>
      </c>
      <c r="X4829">
        <v>0.99949290000000002</v>
      </c>
      <c r="Y4829">
        <v>-0.269644299999999</v>
      </c>
      <c r="Z4829">
        <v>-6.3461979999999999E-3</v>
      </c>
      <c r="AA4829">
        <v>0.96293910000000005</v>
      </c>
      <c r="AB4829">
        <v>24</v>
      </c>
      <c r="AC4829">
        <v>-19.040900000000001</v>
      </c>
      <c r="AD4829">
        <v>-1.1112823570469901</v>
      </c>
      <c r="AE4829">
        <v>-5.8577999999999903</v>
      </c>
      <c r="AF4829">
        <v>-5.4139730571425799</v>
      </c>
      <c r="AG4829">
        <v>-1.1112823570469901</v>
      </c>
      <c r="AH4829">
        <v>19.107594648165801</v>
      </c>
      <c r="AI4829">
        <v>93.202725574099603</v>
      </c>
      <c r="AJ4829">
        <v>105.819623004782</v>
      </c>
      <c r="AK4829">
        <v>19.890857849252399</v>
      </c>
      <c r="AL4829">
        <v>89.990037942102205</v>
      </c>
      <c r="AM4829">
        <v>88.175380110964497</v>
      </c>
      <c r="AN4829">
        <v>0.99999994413234194</v>
      </c>
    </row>
    <row r="4830" spans="1:40" x14ac:dyDescent="0.25">
      <c r="A4830" t="str">
        <f>"20190312154933027"</f>
        <v>20190312154933027</v>
      </c>
      <c r="B4830" t="str">
        <f>"1552376973020708"</f>
        <v>1552376973020708</v>
      </c>
      <c r="C4830" t="s">
        <v>40</v>
      </c>
      <c r="D4830">
        <v>4.5492689999999998</v>
      </c>
      <c r="E4830">
        <v>0.38521519999999998</v>
      </c>
      <c r="F4830" t="s">
        <v>42</v>
      </c>
      <c r="G4830">
        <v>-392.73020000000002</v>
      </c>
      <c r="H4830" s="1">
        <v>-3.9847109999999901E-6</v>
      </c>
      <c r="I4830">
        <v>134.6344</v>
      </c>
      <c r="J4830">
        <v>-372.98390000000001</v>
      </c>
      <c r="K4830">
        <v>1.11145</v>
      </c>
      <c r="L4830">
        <v>140.66759999999999</v>
      </c>
      <c r="M4830">
        <v>-0.99961290000000003</v>
      </c>
      <c r="N4830">
        <v>0</v>
      </c>
      <c r="O4830">
        <v>-2.4707179999999999E-2</v>
      </c>
      <c r="P4830">
        <v>-0.99991980000000003</v>
      </c>
      <c r="Q4830">
        <v>-1.167381E-2</v>
      </c>
      <c r="R4830">
        <v>4.9325549999999999E-3</v>
      </c>
      <c r="S4830">
        <v>-3.0068969999999999</v>
      </c>
      <c r="T4830">
        <v>-0.16720370000000001</v>
      </c>
      <c r="U4830">
        <v>-0.90893550000000001</v>
      </c>
      <c r="V4830">
        <v>2.963383E-2</v>
      </c>
      <c r="W4830">
        <v>1.231972E-3</v>
      </c>
      <c r="X4830">
        <v>0.99956009999999995</v>
      </c>
      <c r="Y4830">
        <v>-0.26527230000000002</v>
      </c>
      <c r="Z4830">
        <v>-5.8673769999999896E-3</v>
      </c>
      <c r="AA4830">
        <v>0.96415569999999895</v>
      </c>
      <c r="AB4830">
        <v>24</v>
      </c>
      <c r="AC4830">
        <v>-19.746300000000002</v>
      </c>
      <c r="AD4830">
        <v>-1.1114539847110001</v>
      </c>
      <c r="AE4830">
        <v>-6.0331999999999901</v>
      </c>
      <c r="AF4830">
        <v>-5.5274258966072702</v>
      </c>
      <c r="AG4830">
        <v>-1.1114539847110001</v>
      </c>
      <c r="AH4830">
        <v>19.8318800527239</v>
      </c>
      <c r="AI4830">
        <v>93.090178848509495</v>
      </c>
      <c r="AJ4830">
        <v>105.573906817832</v>
      </c>
      <c r="AK4830">
        <v>20.617740745005101</v>
      </c>
      <c r="AL4830">
        <v>89.9294131887183</v>
      </c>
      <c r="AM4830">
        <v>88.301856781926901</v>
      </c>
      <c r="AN4830">
        <v>1.0000000375737399</v>
      </c>
    </row>
    <row r="4831" spans="1:40" x14ac:dyDescent="0.25">
      <c r="A4831" t="str">
        <f>"20190312154933049"</f>
        <v>20190312154933049</v>
      </c>
      <c r="B4831" t="str">
        <f>"1552376973041201"</f>
        <v>1552376973041201</v>
      </c>
      <c r="C4831" t="s">
        <v>40</v>
      </c>
      <c r="D4831">
        <v>4.5930619999999998</v>
      </c>
      <c r="E4831">
        <v>0.3867932</v>
      </c>
      <c r="F4831" t="s">
        <v>42</v>
      </c>
      <c r="G4831">
        <v>-393.93470000000002</v>
      </c>
      <c r="H4831" s="1">
        <v>-3.5227530000000002E-6</v>
      </c>
      <c r="I4831">
        <v>134.32570000000001</v>
      </c>
      <c r="J4831">
        <v>-373.21499999999997</v>
      </c>
      <c r="K4831">
        <v>1.111637</v>
      </c>
      <c r="L4831">
        <v>140.6591</v>
      </c>
      <c r="M4831">
        <v>-0.99954469999999995</v>
      </c>
      <c r="N4831">
        <v>0</v>
      </c>
      <c r="O4831">
        <v>-2.7272729999999999E-2</v>
      </c>
      <c r="P4831">
        <v>-0.99993350000000003</v>
      </c>
      <c r="Q4831">
        <v>-1.1535989999999999E-2</v>
      </c>
      <c r="R4831">
        <v>5.0101729999999997E-4</v>
      </c>
      <c r="S4831">
        <v>-3.002869</v>
      </c>
      <c r="T4831">
        <v>-0.1593041</v>
      </c>
      <c r="U4831">
        <v>-0.90898129999999999</v>
      </c>
      <c r="V4831">
        <v>2.776822E-2</v>
      </c>
      <c r="W4831">
        <v>1.4861259999999999E-3</v>
      </c>
      <c r="X4831">
        <v>0.99961330000000004</v>
      </c>
      <c r="Y4831">
        <v>-0.26320529999999998</v>
      </c>
      <c r="Z4831">
        <v>-5.411356E-3</v>
      </c>
      <c r="AA4831">
        <v>0.96472469999999999</v>
      </c>
      <c r="AB4831">
        <v>24</v>
      </c>
      <c r="AC4831">
        <v>-20.7197</v>
      </c>
      <c r="AD4831">
        <v>-1.111640522753</v>
      </c>
      <c r="AE4831">
        <v>-6.3333999999999797</v>
      </c>
      <c r="AF4831">
        <v>-5.7507749743703203</v>
      </c>
      <c r="AG4831">
        <v>-1.111640522753</v>
      </c>
      <c r="AH4831">
        <v>20.8299003047679</v>
      </c>
      <c r="AI4831">
        <v>92.944871055451202</v>
      </c>
      <c r="AJ4831">
        <v>105.433907551856</v>
      </c>
      <c r="AK4831">
        <v>21.637742584757799</v>
      </c>
      <c r="AL4831">
        <v>89.914851222401197</v>
      </c>
      <c r="AM4831">
        <v>88.408791923049407</v>
      </c>
      <c r="AN4831">
        <v>1.00000001607467</v>
      </c>
    </row>
    <row r="4832" spans="1:40" x14ac:dyDescent="0.25">
      <c r="A4832" t="str">
        <f>"20190312154933072"</f>
        <v>20190312154933072</v>
      </c>
      <c r="B4832" t="str">
        <f>"1552376973060720"</f>
        <v>1552376973060720</v>
      </c>
      <c r="C4832" t="s">
        <v>40</v>
      </c>
      <c r="D4832">
        <v>4.5994159999999997</v>
      </c>
      <c r="E4832">
        <v>0.38834770000000002</v>
      </c>
      <c r="F4832" t="s">
        <v>42</v>
      </c>
      <c r="G4832">
        <v>-394.3546</v>
      </c>
      <c r="H4832" s="1">
        <v>-3.356755E-6</v>
      </c>
      <c r="I4832">
        <v>134.24590000000001</v>
      </c>
      <c r="J4832">
        <v>-373.4597</v>
      </c>
      <c r="K4832">
        <v>1.1118440000000001</v>
      </c>
      <c r="L4832">
        <v>140.64920000000001</v>
      </c>
      <c r="M4832">
        <v>-0.9994577</v>
      </c>
      <c r="N4832">
        <v>0</v>
      </c>
      <c r="O4832">
        <v>-3.0244980000000001E-2</v>
      </c>
      <c r="P4832">
        <v>-0.99992020000000004</v>
      </c>
      <c r="Q4832">
        <v>-1.2166379999999999E-2</v>
      </c>
      <c r="R4832">
        <v>-3.415773E-3</v>
      </c>
      <c r="S4832">
        <v>-2.99884</v>
      </c>
      <c r="T4832">
        <v>-0.15769610000000001</v>
      </c>
      <c r="U4832">
        <v>-0.90975950000000005</v>
      </c>
      <c r="V4832">
        <v>2.6826889999999999E-2</v>
      </c>
      <c r="W4832">
        <v>9.7638759999999999E-4</v>
      </c>
      <c r="X4832">
        <v>0.99963959999999996</v>
      </c>
      <c r="Y4832">
        <v>-0.26093660000000002</v>
      </c>
      <c r="Z4832">
        <v>-5.1527839999999997E-3</v>
      </c>
      <c r="AA4832">
        <v>0.96534219999999904</v>
      </c>
      <c r="AB4832">
        <v>24</v>
      </c>
      <c r="AC4832">
        <v>-20.8949</v>
      </c>
      <c r="AD4832">
        <v>-1.111847356755</v>
      </c>
      <c r="AE4832">
        <v>-6.4032999999999998</v>
      </c>
      <c r="AF4832">
        <v>-5.7534585859816003</v>
      </c>
      <c r="AG4832">
        <v>-1.111847356755</v>
      </c>
      <c r="AH4832">
        <v>21.024603881239798</v>
      </c>
      <c r="AI4832">
        <v>92.919997583196803</v>
      </c>
      <c r="AJ4832">
        <v>105.304507437022</v>
      </c>
      <c r="AK4832">
        <v>21.825958366320901</v>
      </c>
      <c r="AL4832">
        <v>89.944057101490301</v>
      </c>
      <c r="AM4832">
        <v>88.462747239502406</v>
      </c>
      <c r="AN4832">
        <v>0.99999998262398804</v>
      </c>
    </row>
    <row r="4833" spans="1:40" x14ac:dyDescent="0.25">
      <c r="A4833" t="str">
        <f>"20190312154933094"</f>
        <v>20190312154933094</v>
      </c>
      <c r="B4833" t="str">
        <f>"1552376973090977"</f>
        <v>1552376973090977</v>
      </c>
      <c r="C4833" t="s">
        <v>40</v>
      </c>
      <c r="D4833">
        <v>4.6134339999999998</v>
      </c>
      <c r="E4833">
        <v>0.39004339999999998</v>
      </c>
      <c r="F4833" t="s">
        <v>42</v>
      </c>
      <c r="G4833">
        <v>-394.31509999999997</v>
      </c>
      <c r="H4833" s="1">
        <v>-3.3611030000000002E-6</v>
      </c>
      <c r="I4833">
        <v>134.3169</v>
      </c>
      <c r="J4833">
        <v>-373.69819999999999</v>
      </c>
      <c r="K4833">
        <v>1.1120219999999901</v>
      </c>
      <c r="L4833">
        <v>140.63849999999999</v>
      </c>
      <c r="M4833">
        <v>-0.99935660000000004</v>
      </c>
      <c r="N4833">
        <v>0</v>
      </c>
      <c r="O4833">
        <v>-3.3380859999999998E-2</v>
      </c>
      <c r="P4833">
        <v>-0.99989349999999999</v>
      </c>
      <c r="Q4833">
        <v>-1.293185E-2</v>
      </c>
      <c r="R4833">
        <v>-6.8006580000000002E-3</v>
      </c>
      <c r="S4833">
        <v>-2.9951780000000001</v>
      </c>
      <c r="T4833">
        <v>-0.1596795</v>
      </c>
      <c r="U4833">
        <v>-0.90940860000000001</v>
      </c>
      <c r="V4833">
        <v>2.6582160000000001E-2</v>
      </c>
      <c r="W4833">
        <v>3.2169030000000001E-4</v>
      </c>
      <c r="X4833">
        <v>0.99964660000000005</v>
      </c>
      <c r="Y4833">
        <v>-0.25813059999999999</v>
      </c>
      <c r="Z4833">
        <v>-4.987638E-3</v>
      </c>
      <c r="AA4833">
        <v>0.96609719999999999</v>
      </c>
      <c r="AB4833">
        <v>24</v>
      </c>
      <c r="AC4833">
        <v>-20.616899999999902</v>
      </c>
      <c r="AD4833">
        <v>-1.11202536110299</v>
      </c>
      <c r="AE4833">
        <v>-6.3215999999999797</v>
      </c>
      <c r="AF4833">
        <v>-5.6148759714852998</v>
      </c>
      <c r="AG4833">
        <v>-1.11202536110299</v>
      </c>
      <c r="AH4833">
        <v>20.7612376701918</v>
      </c>
      <c r="AI4833">
        <v>92.959843038371005</v>
      </c>
      <c r="AJ4833">
        <v>105.133601679108</v>
      </c>
      <c r="AK4833">
        <v>21.535840410281001</v>
      </c>
      <c r="AL4833">
        <v>89.981568503546796</v>
      </c>
      <c r="AM4833">
        <v>88.476774949086803</v>
      </c>
      <c r="AN4833">
        <v>1.0000000198032299</v>
      </c>
    </row>
    <row r="4834" spans="1:40" x14ac:dyDescent="0.25">
      <c r="A4834" t="str">
        <f>"20190312154933116"</f>
        <v>20190312154933116</v>
      </c>
      <c r="B4834" t="str">
        <f>"1552376973110497"</f>
        <v>1552376973110497</v>
      </c>
      <c r="C4834" t="s">
        <v>40</v>
      </c>
      <c r="D4834">
        <v>4.6208970000000003</v>
      </c>
      <c r="E4834">
        <v>0.39108690000000002</v>
      </c>
      <c r="F4834" t="s">
        <v>42</v>
      </c>
      <c r="G4834">
        <v>-393.78960000000001</v>
      </c>
      <c r="H4834" s="1">
        <v>-3.5445480000000002E-6</v>
      </c>
      <c r="I4834">
        <v>134.55359999999999</v>
      </c>
      <c r="J4834">
        <v>-373.92669999999998</v>
      </c>
      <c r="K4834">
        <v>1.1121730000000001</v>
      </c>
      <c r="L4834">
        <v>140.62729999999999</v>
      </c>
      <c r="M4834">
        <v>-0.99924230000000003</v>
      </c>
      <c r="N4834">
        <v>0</v>
      </c>
      <c r="O4834">
        <v>-3.6610759999999999E-2</v>
      </c>
      <c r="P4834">
        <v>-0.99985769999999996</v>
      </c>
      <c r="Q4834">
        <v>-1.386945E-2</v>
      </c>
      <c r="R4834">
        <v>-9.6175500000000008E-3</v>
      </c>
      <c r="S4834">
        <v>-2.9920040000000001</v>
      </c>
      <c r="T4834">
        <v>-0.1656021</v>
      </c>
      <c r="U4834">
        <v>-0.90614320000000004</v>
      </c>
      <c r="V4834">
        <v>2.7000909999999999E-2</v>
      </c>
      <c r="W4834">
        <v>-5.1427560000000001E-4</v>
      </c>
      <c r="X4834">
        <v>0.9996353</v>
      </c>
      <c r="Y4834">
        <v>-0.25431279999999901</v>
      </c>
      <c r="Z4834">
        <v>-4.9009359999999998E-3</v>
      </c>
      <c r="AA4834">
        <v>0.96710960000000001</v>
      </c>
      <c r="AB4834">
        <v>24</v>
      </c>
      <c r="AC4834">
        <v>-19.8629</v>
      </c>
      <c r="AD4834">
        <v>-1.1121765445480001</v>
      </c>
      <c r="AE4834">
        <v>-6.0736999999999997</v>
      </c>
      <c r="AF4834">
        <v>-5.3270948734920598</v>
      </c>
      <c r="AG4834">
        <v>-1.1121765445480001</v>
      </c>
      <c r="AH4834">
        <v>20.0145800282096</v>
      </c>
      <c r="AI4834">
        <v>93.073762889795006</v>
      </c>
      <c r="AJ4834">
        <v>104.904349296406</v>
      </c>
      <c r="AK4834">
        <v>20.741222002645799</v>
      </c>
      <c r="AL4834">
        <v>90.0294658219984</v>
      </c>
      <c r="AM4834">
        <v>88.452773605905307</v>
      </c>
      <c r="AN4834">
        <v>1.0000000233131501</v>
      </c>
    </row>
    <row r="4835" spans="1:40" x14ac:dyDescent="0.25">
      <c r="A4835" t="str">
        <f>"20190312154933138"</f>
        <v>20190312154933138</v>
      </c>
      <c r="B4835" t="str">
        <f>"1552376973130604"</f>
        <v>1552376973130604</v>
      </c>
      <c r="C4835" t="s">
        <v>40</v>
      </c>
      <c r="D4835">
        <v>4.6277369999999998</v>
      </c>
      <c r="E4835">
        <v>0.39184550000000001</v>
      </c>
      <c r="F4835" t="s">
        <v>42</v>
      </c>
      <c r="G4835">
        <v>-393.3467</v>
      </c>
      <c r="H4835" s="1">
        <v>-3.7014280000000002E-6</v>
      </c>
      <c r="I4835">
        <v>134.74029999999999</v>
      </c>
      <c r="J4835">
        <v>-374.1653</v>
      </c>
      <c r="K4835">
        <v>1.112303</v>
      </c>
      <c r="L4835">
        <v>140.61449999999999</v>
      </c>
      <c r="M4835">
        <v>-0.99910299999999996</v>
      </c>
      <c r="N4835">
        <v>0</v>
      </c>
      <c r="O4835">
        <v>-4.0204709999999998E-2</v>
      </c>
      <c r="P4835">
        <v>-0.99980329999999995</v>
      </c>
      <c r="Q4835">
        <v>-1.494474E-2</v>
      </c>
      <c r="R4835">
        <v>-1.304642E-2</v>
      </c>
      <c r="S4835">
        <v>-2.9893489999999998</v>
      </c>
      <c r="T4835">
        <v>-0.17119909999999999</v>
      </c>
      <c r="U4835">
        <v>-0.90617369999999997</v>
      </c>
      <c r="V4835">
        <v>2.7173570000000001E-2</v>
      </c>
      <c r="W4835">
        <v>-1.492864E-3</v>
      </c>
      <c r="X4835">
        <v>0.99962960000000001</v>
      </c>
      <c r="Y4835">
        <v>-0.25106899999999999</v>
      </c>
      <c r="Z4835">
        <v>-4.7793619999999997E-3</v>
      </c>
      <c r="AA4835">
        <v>0.96795739999999997</v>
      </c>
      <c r="AB4835">
        <v>24</v>
      </c>
      <c r="AC4835">
        <v>-19.1814</v>
      </c>
      <c r="AD4835">
        <v>-1.1123067014279999</v>
      </c>
      <c r="AE4835">
        <v>-5.8742000000000001</v>
      </c>
      <c r="AF4835">
        <v>-5.0825731451442699</v>
      </c>
      <c r="AG4835">
        <v>-1.1123067014279999</v>
      </c>
      <c r="AH4835">
        <v>19.342613419794599</v>
      </c>
      <c r="AI4835">
        <v>93.183366820152102</v>
      </c>
      <c r="AJ4835">
        <v>104.722538964465</v>
      </c>
      <c r="AK4835">
        <v>20.030139037994701</v>
      </c>
      <c r="AL4835">
        <v>90.085534839694802</v>
      </c>
      <c r="AM4835">
        <v>88.442875694049107</v>
      </c>
      <c r="AN4835">
        <v>0.99999998437281301</v>
      </c>
    </row>
    <row r="4836" spans="1:40" x14ac:dyDescent="0.25">
      <c r="A4836" t="str">
        <f>"20190312154933160"</f>
        <v>20190312154933160</v>
      </c>
      <c r="B4836" t="str">
        <f>"1552376973151086"</f>
        <v>1552376973151086</v>
      </c>
      <c r="C4836" t="s">
        <v>40</v>
      </c>
      <c r="D4836">
        <v>4.7077150000000003</v>
      </c>
      <c r="E4836">
        <v>0.3924822</v>
      </c>
      <c r="F4836" t="s">
        <v>42</v>
      </c>
      <c r="G4836">
        <v>-392.89089999999999</v>
      </c>
      <c r="H4836" s="1">
        <v>-3.8673820000000004E-6</v>
      </c>
      <c r="I4836">
        <v>134.90719999999999</v>
      </c>
      <c r="J4836">
        <v>-374.39159999999998</v>
      </c>
      <c r="K4836">
        <v>1.1124050000000001</v>
      </c>
      <c r="L4836">
        <v>140.60140000000001</v>
      </c>
      <c r="M4836">
        <v>-0.99895089999999997</v>
      </c>
      <c r="N4836">
        <v>0</v>
      </c>
      <c r="O4836">
        <v>-4.3796090000000003E-2</v>
      </c>
      <c r="P4836">
        <v>-0.99973579999999995</v>
      </c>
      <c r="Q4836">
        <v>-1.6196329999999998E-2</v>
      </c>
      <c r="R4836">
        <v>-1.6318909999999999E-2</v>
      </c>
      <c r="S4836">
        <v>-2.9860229999999999</v>
      </c>
      <c r="T4836">
        <v>-0.17737069999999999</v>
      </c>
      <c r="U4836">
        <v>-0.91008</v>
      </c>
      <c r="V4836">
        <v>2.7501640000000001E-2</v>
      </c>
      <c r="W4836">
        <v>-2.6601900000000002E-3</v>
      </c>
      <c r="X4836">
        <v>0.99961820000000001</v>
      </c>
      <c r="Y4836">
        <v>-0.2490329</v>
      </c>
      <c r="Z4836">
        <v>-4.6890070000000002E-3</v>
      </c>
      <c r="AA4836">
        <v>0.96848369999999995</v>
      </c>
      <c r="AB4836">
        <v>24</v>
      </c>
      <c r="AC4836">
        <v>-18.499300000000002</v>
      </c>
      <c r="AD4836">
        <v>-1.1124088673819901</v>
      </c>
      <c r="AE4836">
        <v>-5.6942000000000199</v>
      </c>
      <c r="AF4836">
        <v>-4.8624054442467299</v>
      </c>
      <c r="AG4836">
        <v>-1.1124088673819901</v>
      </c>
      <c r="AH4836">
        <v>18.669288377145602</v>
      </c>
      <c r="AI4836">
        <v>93.300097955123803</v>
      </c>
      <c r="AJ4836">
        <v>104.598333284337</v>
      </c>
      <c r="AK4836">
        <v>19.324149883021899</v>
      </c>
      <c r="AL4836">
        <v>90.152417842321597</v>
      </c>
      <c r="AM4836">
        <v>88.424067792581099</v>
      </c>
      <c r="AN4836">
        <v>0.99999998129238199</v>
      </c>
    </row>
    <row r="4837" spans="1:40" x14ac:dyDescent="0.25">
      <c r="A4837" t="str">
        <f>"20190312154933173"</f>
        <v>20190312154933173</v>
      </c>
      <c r="B4837" t="str">
        <f>"1552376973170606"</f>
        <v>1552376973170606</v>
      </c>
      <c r="C4837" t="s">
        <v>40</v>
      </c>
      <c r="D4837">
        <v>4.8114929999999996</v>
      </c>
      <c r="E4837">
        <v>0.39230510000000002</v>
      </c>
      <c r="F4837" t="s">
        <v>42</v>
      </c>
      <c r="G4837">
        <v>-392.60129999999998</v>
      </c>
      <c r="H4837" s="1">
        <v>-3.9717639999999997E-6</v>
      </c>
      <c r="I4837">
        <v>135.01900000000001</v>
      </c>
      <c r="J4837">
        <v>-374.53339999999997</v>
      </c>
      <c r="K4837">
        <v>1.11246</v>
      </c>
      <c r="L4837">
        <v>140.59270000000001</v>
      </c>
      <c r="M4837">
        <v>-0.99884589999999995</v>
      </c>
      <c r="N4837">
        <v>0</v>
      </c>
      <c r="O4837">
        <v>-4.6117489999999997E-2</v>
      </c>
      <c r="P4837">
        <v>-0.99968749999999995</v>
      </c>
      <c r="Q4837">
        <v>-1.6645340000000002E-2</v>
      </c>
      <c r="R4837">
        <v>-1.8658549999999999E-2</v>
      </c>
      <c r="S4837">
        <v>-2.9828800000000002</v>
      </c>
      <c r="T4837">
        <v>-0.18222070000000001</v>
      </c>
      <c r="U4837">
        <v>-0.91441349999999999</v>
      </c>
      <c r="V4837">
        <v>2.7487810000000001E-2</v>
      </c>
      <c r="W4837">
        <v>-3.0628349999999999E-3</v>
      </c>
      <c r="X4837">
        <v>0.99961750000000005</v>
      </c>
      <c r="Y4837">
        <v>-0.2483399</v>
      </c>
      <c r="Z4837">
        <v>-4.6622490000000003E-3</v>
      </c>
      <c r="AA4837">
        <v>0.96866169999999996</v>
      </c>
      <c r="AB4837">
        <v>24</v>
      </c>
      <c r="AC4837">
        <v>-18.067900000000002</v>
      </c>
      <c r="AD4837">
        <v>-1.1124639717639999</v>
      </c>
      <c r="AE4837">
        <v>-5.5736999999999997</v>
      </c>
      <c r="AF4837">
        <v>-4.71811517208595</v>
      </c>
      <c r="AG4837">
        <v>-1.1124639717639999</v>
      </c>
      <c r="AH4837">
        <v>18.2425922522288</v>
      </c>
      <c r="AI4837">
        <v>93.378767385171997</v>
      </c>
      <c r="AJ4837">
        <v>104.500765497187</v>
      </c>
      <c r="AK4837">
        <v>18.875655192512401</v>
      </c>
      <c r="AL4837">
        <v>90.1754877838342</v>
      </c>
      <c r="AM4837">
        <v>88.424858794145194</v>
      </c>
      <c r="AN4837">
        <v>1.0000000534815401</v>
      </c>
    </row>
    <row r="4838" spans="1:40" x14ac:dyDescent="0.25">
      <c r="A4838" t="str">
        <f>"20190312154933195"</f>
        <v>20190312154933195</v>
      </c>
      <c r="B4838" t="str">
        <f>"1552376973191102"</f>
        <v>1552376973191102</v>
      </c>
      <c r="C4838" t="s">
        <v>40</v>
      </c>
      <c r="D4838">
        <v>4.7682769999999897</v>
      </c>
      <c r="E4838">
        <v>0.37518499999999999</v>
      </c>
      <c r="F4838" t="s">
        <v>42</v>
      </c>
      <c r="G4838">
        <v>-392.18360000000001</v>
      </c>
      <c r="H4838" s="1">
        <v>-4.1318349999999999E-6</v>
      </c>
      <c r="I4838">
        <v>135.1268</v>
      </c>
      <c r="J4838">
        <v>-374.75119999999998</v>
      </c>
      <c r="K4838">
        <v>1.112525</v>
      </c>
      <c r="L4838">
        <v>140.57849999999999</v>
      </c>
      <c r="M4838">
        <v>-0.99867059999999996</v>
      </c>
      <c r="N4838">
        <v>0</v>
      </c>
      <c r="O4838">
        <v>-4.9753260000000001E-2</v>
      </c>
      <c r="P4838">
        <v>-0.99960819999999995</v>
      </c>
      <c r="Q4838">
        <v>-1.698129E-2</v>
      </c>
      <c r="R4838">
        <v>-2.2255560000000001E-2</v>
      </c>
      <c r="S4838">
        <v>-2.9806210000000002</v>
      </c>
      <c r="T4838">
        <v>-0.18786349999999999</v>
      </c>
      <c r="U4838">
        <v>-0.92300420000000005</v>
      </c>
      <c r="V4838">
        <v>2.7531759999999999E-2</v>
      </c>
      <c r="W4838">
        <v>-3.3347390000000002E-3</v>
      </c>
      <c r="X4838">
        <v>0.99961540000000004</v>
      </c>
      <c r="Y4838">
        <v>-0.24755550000000001</v>
      </c>
      <c r="Z4838">
        <v>-4.5610340000000003E-3</v>
      </c>
      <c r="AA4838">
        <v>0.96886300000000003</v>
      </c>
      <c r="AB4838">
        <v>24</v>
      </c>
      <c r="AC4838">
        <v>-17.432400000000001</v>
      </c>
      <c r="AD4838">
        <v>-1.1125291318349999</v>
      </c>
      <c r="AE4838">
        <v>-5.4516999999999802</v>
      </c>
      <c r="AF4838">
        <v>-4.5606292087648104</v>
      </c>
      <c r="AG4838">
        <v>-1.1125291318349999</v>
      </c>
      <c r="AH4838">
        <v>17.616711669944099</v>
      </c>
      <c r="AI4838">
        <v>93.498507695032899</v>
      </c>
      <c r="AJ4838">
        <v>104.514137237352</v>
      </c>
      <c r="AK4838">
        <v>18.231445085647</v>
      </c>
      <c r="AL4838">
        <v>90.191066818279396</v>
      </c>
      <c r="AM4838">
        <v>88.422338274843597</v>
      </c>
      <c r="AN4838">
        <v>1.0000000331050201</v>
      </c>
    </row>
    <row r="4839" spans="1:40" x14ac:dyDescent="0.25">
      <c r="A4839" t="str">
        <f>"20190312154933216"</f>
        <v>20190312154933216</v>
      </c>
      <c r="B4839" t="str">
        <f>"1552376973210625"</f>
        <v>1552376973210625</v>
      </c>
      <c r="C4839" t="s">
        <v>40</v>
      </c>
      <c r="D4839">
        <v>4.7829370000000004</v>
      </c>
      <c r="E4839">
        <v>0.37486930000000002</v>
      </c>
      <c r="F4839" t="s">
        <v>42</v>
      </c>
      <c r="G4839">
        <v>-389.20319999999998</v>
      </c>
      <c r="H4839" s="1">
        <v>-1.3874170000000001E-6</v>
      </c>
      <c r="I4839">
        <v>135.36840000000001</v>
      </c>
      <c r="J4839">
        <v>-374.98239999999998</v>
      </c>
      <c r="K4839">
        <v>1.1125590000000001</v>
      </c>
      <c r="L4839">
        <v>140.5625</v>
      </c>
      <c r="M4839">
        <v>-0.99846690000000005</v>
      </c>
      <c r="N4839">
        <v>0</v>
      </c>
      <c r="O4839">
        <v>-5.3672049999999999E-2</v>
      </c>
      <c r="P4839">
        <v>-0.9994845</v>
      </c>
      <c r="Q4839">
        <v>-1.7469309999999998E-2</v>
      </c>
      <c r="R4839">
        <v>-2.694415E-2</v>
      </c>
      <c r="S4839">
        <v>-2.9733890000000001</v>
      </c>
      <c r="T4839">
        <v>-0.2288934</v>
      </c>
      <c r="U4839">
        <v>-1.071915</v>
      </c>
      <c r="V4839">
        <v>2.6768509999999999E-2</v>
      </c>
      <c r="W4839">
        <v>-3.7701560000000002E-3</v>
      </c>
      <c r="X4839">
        <v>0.99963460000000004</v>
      </c>
      <c r="Y4839">
        <v>-0.28754370000000001</v>
      </c>
      <c r="Z4839">
        <v>-6.7254849999999998E-3</v>
      </c>
      <c r="AA4839">
        <v>0.95774389999999998</v>
      </c>
      <c r="AB4839">
        <v>24</v>
      </c>
      <c r="AC4839">
        <v>-14.220799999999899</v>
      </c>
      <c r="AD4839">
        <v>-1.112560387417</v>
      </c>
      <c r="AE4839">
        <v>-5.1940999999999899</v>
      </c>
      <c r="AF4839">
        <v>-4.3995240066415802</v>
      </c>
      <c r="AG4839">
        <v>-1.112560387417</v>
      </c>
      <c r="AH4839">
        <v>14.4013313430753</v>
      </c>
      <c r="AI4839">
        <v>94.225520644481904</v>
      </c>
      <c r="AJ4839">
        <v>106.987610953654</v>
      </c>
      <c r="AK4839">
        <v>15.099402191931601</v>
      </c>
      <c r="AL4839">
        <v>90.216014527770497</v>
      </c>
      <c r="AM4839">
        <v>88.466083301452301</v>
      </c>
      <c r="AN4839">
        <v>1.00000005036052</v>
      </c>
    </row>
    <row r="4840" spans="1:40" x14ac:dyDescent="0.25">
      <c r="A4840" t="str">
        <f>"20190312154933238"</f>
        <v>20190312154933238</v>
      </c>
      <c r="B4840" t="str">
        <f>"1552376973230704"</f>
        <v>1552376973230704</v>
      </c>
      <c r="C4840" t="s">
        <v>40</v>
      </c>
      <c r="D4840">
        <v>4.7676259999999999</v>
      </c>
      <c r="E4840">
        <v>0.3751969</v>
      </c>
      <c r="F4840" t="s">
        <v>42</v>
      </c>
      <c r="G4840">
        <v>-389.27089999999998</v>
      </c>
      <c r="H4840" s="1">
        <v>-1.3759309999999901E-6</v>
      </c>
      <c r="I4840">
        <v>135.32509999999999</v>
      </c>
      <c r="J4840">
        <v>-375.20800000000003</v>
      </c>
      <c r="K4840">
        <v>1.1125579999999999</v>
      </c>
      <c r="L4840">
        <v>140.54599999999999</v>
      </c>
      <c r="M4840">
        <v>-0.99825209999999998</v>
      </c>
      <c r="N4840">
        <v>0</v>
      </c>
      <c r="O4840">
        <v>-5.7518760000000002E-2</v>
      </c>
      <c r="P4840">
        <v>-0.99925790000000003</v>
      </c>
      <c r="Q4840">
        <v>-1.8892519999999999E-2</v>
      </c>
      <c r="R4840">
        <v>-3.35699E-2</v>
      </c>
      <c r="S4840">
        <v>-2.9681700000000002</v>
      </c>
      <c r="T4840">
        <v>-0.2311155</v>
      </c>
      <c r="U4840">
        <v>-1.0879669999999999</v>
      </c>
      <c r="V4840">
        <v>2.4000179999999999E-2</v>
      </c>
      <c r="W4840">
        <v>-5.1638020000000003E-3</v>
      </c>
      <c r="X4840">
        <v>0.99969859999999999</v>
      </c>
      <c r="Y4840">
        <v>-0.28895910000000002</v>
      </c>
      <c r="Z4840">
        <v>-6.5612090000000001E-3</v>
      </c>
      <c r="AA4840">
        <v>0.95731900000000003</v>
      </c>
      <c r="AB4840">
        <v>24</v>
      </c>
      <c r="AC4840">
        <v>-14.0628999999999</v>
      </c>
      <c r="AD4840">
        <v>-1.112559375931</v>
      </c>
      <c r="AE4840">
        <v>-5.2209000000000003</v>
      </c>
      <c r="AF4840">
        <v>-4.3792108684578004</v>
      </c>
      <c r="AG4840">
        <v>-1.112559375931</v>
      </c>
      <c r="AH4840">
        <v>14.2614924203158</v>
      </c>
      <c r="AI4840">
        <v>94.264927418501699</v>
      </c>
      <c r="AJ4840">
        <v>107.0699105244</v>
      </c>
      <c r="AK4840">
        <v>14.960128416899201</v>
      </c>
      <c r="AL4840">
        <v>90.295865380995195</v>
      </c>
      <c r="AM4840">
        <v>88.624740568050697</v>
      </c>
      <c r="AN4840">
        <v>0.99999998216654296</v>
      </c>
    </row>
    <row r="4841" spans="1:40" x14ac:dyDescent="0.25">
      <c r="A4841" t="str">
        <f>"20190312154933260"</f>
        <v>20190312154933260</v>
      </c>
      <c r="B4841" t="str">
        <f>"1552376973251181"</f>
        <v>1552376973251181</v>
      </c>
      <c r="C4841" t="s">
        <v>40</v>
      </c>
      <c r="D4841">
        <v>4.8390009999999997</v>
      </c>
      <c r="E4841">
        <v>0.37555699999999997</v>
      </c>
      <c r="F4841" t="s">
        <v>42</v>
      </c>
      <c r="G4841">
        <v>-389.32909999999998</v>
      </c>
      <c r="H4841" s="1">
        <v>-1.3682169999999999E-6</v>
      </c>
      <c r="I4841">
        <v>135.27959999999999</v>
      </c>
      <c r="J4841">
        <v>-375.44060000000002</v>
      </c>
      <c r="K4841">
        <v>1.11253</v>
      </c>
      <c r="L4841">
        <v>140.52799999999999</v>
      </c>
      <c r="M4841">
        <v>-0.99801499999999999</v>
      </c>
      <c r="N4841">
        <v>0</v>
      </c>
      <c r="O4841">
        <v>-6.1485360000000003E-2</v>
      </c>
      <c r="P4841">
        <v>-0.99895679999999998</v>
      </c>
      <c r="Q4841">
        <v>-2.070746E-2</v>
      </c>
      <c r="R4841">
        <v>-4.0700449999999999E-2</v>
      </c>
      <c r="S4841">
        <v>-2.9607239999999999</v>
      </c>
      <c r="T4841">
        <v>-0.23326649999999999</v>
      </c>
      <c r="U4841">
        <v>-1.1041719999999999</v>
      </c>
      <c r="V4841">
        <v>2.0847629999999999E-2</v>
      </c>
      <c r="W4841">
        <v>-6.9583290000000001E-3</v>
      </c>
      <c r="X4841">
        <v>0.99975840000000005</v>
      </c>
      <c r="Y4841">
        <v>-0.29053459999999998</v>
      </c>
      <c r="Z4841">
        <v>-6.3918200000000003E-3</v>
      </c>
      <c r="AA4841">
        <v>0.95684309999999995</v>
      </c>
      <c r="AB4841">
        <v>24</v>
      </c>
      <c r="AC4841">
        <v>-13.888499999999899</v>
      </c>
      <c r="AD4841">
        <v>-1.1125313682169999</v>
      </c>
      <c r="AE4841">
        <v>-5.2484000000000002</v>
      </c>
      <c r="AF4841">
        <v>-4.3599686499769099</v>
      </c>
      <c r="AG4841">
        <v>-1.1125313682169999</v>
      </c>
      <c r="AH4841">
        <v>14.1057452905443</v>
      </c>
      <c r="AI4841">
        <v>94.309285063091096</v>
      </c>
      <c r="AJ4841">
        <v>107.17594445452499</v>
      </c>
      <c r="AK4841">
        <v>14.806049536448301</v>
      </c>
      <c r="AL4841">
        <v>90.398686121351204</v>
      </c>
      <c r="AM4841">
        <v>88.8054032620079</v>
      </c>
      <c r="AN4841">
        <v>0.99999995019482302</v>
      </c>
    </row>
    <row r="4842" spans="1:40" x14ac:dyDescent="0.25">
      <c r="A4842" t="str">
        <f>"20190312154933284"</f>
        <v>20190312154933284</v>
      </c>
      <c r="B4842" t="str">
        <f>"1552376973280463"</f>
        <v>1552376973280463</v>
      </c>
      <c r="C4842" t="s">
        <v>40</v>
      </c>
      <c r="D4842">
        <v>4.8073750000000004</v>
      </c>
      <c r="E4842">
        <v>0.37608629999999998</v>
      </c>
      <c r="F4842" t="s">
        <v>42</v>
      </c>
      <c r="G4842">
        <v>-389.03609999999998</v>
      </c>
      <c r="H4842" s="1">
        <v>-1.4466020000000001E-6</v>
      </c>
      <c r="I4842">
        <v>135.3597</v>
      </c>
      <c r="J4842">
        <v>-375.68700000000001</v>
      </c>
      <c r="K4842">
        <v>1.112474</v>
      </c>
      <c r="L4842">
        <v>140.50810000000001</v>
      </c>
      <c r="M4842">
        <v>-0.99774879999999999</v>
      </c>
      <c r="N4842">
        <v>0</v>
      </c>
      <c r="O4842">
        <v>-6.5658049999999996E-2</v>
      </c>
      <c r="P4842">
        <v>-0.99857390000000001</v>
      </c>
      <c r="Q4842">
        <v>-2.327624E-2</v>
      </c>
      <c r="R4842">
        <v>-4.8049550000000003E-2</v>
      </c>
      <c r="S4842">
        <v>-2.9523929999999998</v>
      </c>
      <c r="T4842">
        <v>-0.2415969</v>
      </c>
      <c r="U4842">
        <v>-1.1223299999999901</v>
      </c>
      <c r="V4842">
        <v>1.7683959999999999E-2</v>
      </c>
      <c r="W4842">
        <v>-9.5116139999999998E-3</v>
      </c>
      <c r="X4842">
        <v>0.99979839999999998</v>
      </c>
      <c r="Y4842">
        <v>-0.2925295</v>
      </c>
      <c r="Z4842">
        <v>-6.3818529999999998E-3</v>
      </c>
      <c r="AA4842">
        <v>0.95623519999999895</v>
      </c>
      <c r="AB4842">
        <v>24</v>
      </c>
      <c r="AC4842">
        <v>-13.3491</v>
      </c>
      <c r="AD4842">
        <v>-1.1124754466019999</v>
      </c>
      <c r="AE4842">
        <v>-5.1483999999999996</v>
      </c>
      <c r="AF4842">
        <v>-4.2351263540305801</v>
      </c>
      <c r="AG4842">
        <v>-1.1124754466019999</v>
      </c>
      <c r="AH4842">
        <v>13.576275710586501</v>
      </c>
      <c r="AI4842">
        <v>94.472842814069594</v>
      </c>
      <c r="AJ4842">
        <v>107.325338567054</v>
      </c>
      <c r="AK4842">
        <v>14.2649626366058</v>
      </c>
      <c r="AL4842">
        <v>90.544983547051004</v>
      </c>
      <c r="AM4842">
        <v>88.986685083892695</v>
      </c>
      <c r="AN4842">
        <v>1.00000001694236</v>
      </c>
    </row>
    <row r="4843" spans="1:40" x14ac:dyDescent="0.25">
      <c r="A4843" t="str">
        <f>"20190312154933306"</f>
        <v>20190312154933306</v>
      </c>
      <c r="B4843" t="str">
        <f>"1552376973300959"</f>
        <v>1552376973300959</v>
      </c>
      <c r="C4843" t="s">
        <v>40</v>
      </c>
      <c r="D4843">
        <v>4.8361470000000004</v>
      </c>
      <c r="E4843">
        <v>0.37681239999999999</v>
      </c>
      <c r="F4843" t="s">
        <v>42</v>
      </c>
      <c r="G4843">
        <v>-388.63929999999999</v>
      </c>
      <c r="H4843" s="1">
        <v>-1.546457E-6</v>
      </c>
      <c r="I4843">
        <v>135.49189999999999</v>
      </c>
      <c r="J4843">
        <v>-375.91500000000002</v>
      </c>
      <c r="K4843">
        <v>1.1124259999999999</v>
      </c>
      <c r="L4843">
        <v>140.48859999999999</v>
      </c>
      <c r="M4843">
        <v>-0.99749010000000005</v>
      </c>
      <c r="N4843">
        <v>0</v>
      </c>
      <c r="O4843">
        <v>-6.9472649999999997E-2</v>
      </c>
      <c r="P4843">
        <v>-0.99819849999999999</v>
      </c>
      <c r="Q4843">
        <v>-2.5245480000000001E-2</v>
      </c>
      <c r="R4843">
        <v>-5.4430880000000001E-2</v>
      </c>
      <c r="S4843">
        <v>-2.9435419999999999</v>
      </c>
      <c r="T4843">
        <v>-0.25282130000000003</v>
      </c>
      <c r="U4843">
        <v>-1.1399539999999999</v>
      </c>
      <c r="V4843">
        <v>1.512487E-2</v>
      </c>
      <c r="W4843">
        <v>-1.1470259999999999E-2</v>
      </c>
      <c r="X4843">
        <v>0.99981980000000004</v>
      </c>
      <c r="Y4843">
        <v>-0.29475689999999999</v>
      </c>
      <c r="Z4843">
        <v>-6.4684419999999996E-3</v>
      </c>
      <c r="AA4843">
        <v>0.95555040000000002</v>
      </c>
      <c r="AB4843">
        <v>24</v>
      </c>
      <c r="AC4843">
        <v>-12.7242999999999</v>
      </c>
      <c r="AD4843">
        <v>-1.1124275464569999</v>
      </c>
      <c r="AE4843">
        <v>-4.9966999999999997</v>
      </c>
      <c r="AF4843">
        <v>-4.0735760289710399</v>
      </c>
      <c r="AG4843">
        <v>-1.1124275464569999</v>
      </c>
      <c r="AH4843">
        <v>12.954928738394401</v>
      </c>
      <c r="AI4843">
        <v>94.682921164164199</v>
      </c>
      <c r="AJ4843">
        <v>107.455346960127</v>
      </c>
      <c r="AK4843">
        <v>13.625773201062801</v>
      </c>
      <c r="AL4843">
        <v>90.657211912479696</v>
      </c>
      <c r="AM4843">
        <v>89.133318703050904</v>
      </c>
      <c r="AN4843">
        <v>0.999999980514512</v>
      </c>
    </row>
    <row r="4844" spans="1:40" x14ac:dyDescent="0.25">
      <c r="A4844" t="str">
        <f>"20190312154933328"</f>
        <v>20190312154933328</v>
      </c>
      <c r="B4844" t="str">
        <f>"1552376973320478"</f>
        <v>1552376973320478</v>
      </c>
      <c r="C4844" t="s">
        <v>40</v>
      </c>
      <c r="D4844">
        <v>4.8959039999999998</v>
      </c>
      <c r="E4844">
        <v>0.3775133</v>
      </c>
      <c r="F4844" t="s">
        <v>42</v>
      </c>
      <c r="G4844">
        <v>-388.40379999999999</v>
      </c>
      <c r="H4844" s="1">
        <v>-1.6024520000000001E-6</v>
      </c>
      <c r="I4844">
        <v>135.58269999999999</v>
      </c>
      <c r="J4844">
        <v>-376.14190000000002</v>
      </c>
      <c r="K4844">
        <v>1.112387</v>
      </c>
      <c r="L4844">
        <v>140.4684</v>
      </c>
      <c r="M4844">
        <v>-0.99722180000000005</v>
      </c>
      <c r="N4844">
        <v>0</v>
      </c>
      <c r="O4844">
        <v>-7.3217470000000007E-2</v>
      </c>
      <c r="P4844">
        <v>-0.99791240000000003</v>
      </c>
      <c r="Q4844">
        <v>-2.5857270000000002E-2</v>
      </c>
      <c r="R4844">
        <v>-5.918176E-2</v>
      </c>
      <c r="S4844">
        <v>-2.935883</v>
      </c>
      <c r="T4844">
        <v>-0.2615131</v>
      </c>
      <c r="U4844">
        <v>-1.1532750000000001</v>
      </c>
      <c r="V4844">
        <v>1.4121170000000001E-2</v>
      </c>
      <c r="W4844">
        <v>-1.206613E-2</v>
      </c>
      <c r="X4844">
        <v>0.99982749999999998</v>
      </c>
      <c r="Y4844">
        <v>-0.2957284</v>
      </c>
      <c r="Z4844">
        <v>-6.4245429999999996E-3</v>
      </c>
      <c r="AA4844">
        <v>0.95525040000000006</v>
      </c>
      <c r="AB4844">
        <v>23</v>
      </c>
      <c r="AC4844">
        <v>-12.261899999999899</v>
      </c>
      <c r="AD4844">
        <v>-1.112388602452</v>
      </c>
      <c r="AE4844">
        <v>-4.8857000000000097</v>
      </c>
      <c r="AF4844">
        <v>-3.94668377981733</v>
      </c>
      <c r="AG4844">
        <v>-1.112388602452</v>
      </c>
      <c r="AH4844">
        <v>12.497969619984101</v>
      </c>
      <c r="AI4844">
        <v>94.851308441392007</v>
      </c>
      <c r="AJ4844">
        <v>107.52538716631901</v>
      </c>
      <c r="AK4844">
        <v>13.153439317637901</v>
      </c>
      <c r="AL4844">
        <v>90.691355090733296</v>
      </c>
      <c r="AM4844">
        <v>89.1908307667278</v>
      </c>
      <c r="AN4844">
        <v>1.0000000143457899</v>
      </c>
    </row>
    <row r="4845" spans="1:40" x14ac:dyDescent="0.25">
      <c r="A4845" t="str">
        <f>"20190312154933349"</f>
        <v>20190312154933349</v>
      </c>
      <c r="B4845" t="str">
        <f>"1552376973340974"</f>
        <v>1552376973340974</v>
      </c>
      <c r="C4845" t="s">
        <v>40</v>
      </c>
      <c r="D4845">
        <v>4.8320360000000004</v>
      </c>
      <c r="E4845">
        <v>0.37798660000000001</v>
      </c>
      <c r="F4845" t="s">
        <v>42</v>
      </c>
      <c r="G4845">
        <v>-388.35239999999999</v>
      </c>
      <c r="H4845" s="1">
        <v>-1.6081009999999999E-6</v>
      </c>
      <c r="I4845">
        <v>135.62729999999999</v>
      </c>
      <c r="J4845">
        <v>-376.36750000000001</v>
      </c>
      <c r="K4845">
        <v>1.1123559999999999</v>
      </c>
      <c r="L4845">
        <v>140.44749999999999</v>
      </c>
      <c r="M4845">
        <v>-0.99694439999999995</v>
      </c>
      <c r="N4845">
        <v>0</v>
      </c>
      <c r="O4845">
        <v>-7.6899529999999994E-2</v>
      </c>
      <c r="P4845">
        <v>-0.99773809999999996</v>
      </c>
      <c r="Q4845">
        <v>-2.6117890000000001E-2</v>
      </c>
      <c r="R4845">
        <v>-6.1942980000000002E-2</v>
      </c>
      <c r="S4845">
        <v>-2.9304809999999999</v>
      </c>
      <c r="T4845">
        <v>-0.26697219999999999</v>
      </c>
      <c r="U4845">
        <v>-1.16185</v>
      </c>
      <c r="V4845">
        <v>1.504611E-2</v>
      </c>
      <c r="W4845">
        <v>-1.230331E-2</v>
      </c>
      <c r="X4845">
        <v>0.99981109999999895</v>
      </c>
      <c r="Y4845">
        <v>-0.29520030000000003</v>
      </c>
      <c r="Z4845">
        <v>-6.2233770000000004E-3</v>
      </c>
      <c r="AA4845">
        <v>0.95541509999999996</v>
      </c>
      <c r="AB4845">
        <v>23</v>
      </c>
      <c r="AC4845">
        <v>-11.9848999999999</v>
      </c>
      <c r="AD4845">
        <v>-1.11235760810099</v>
      </c>
      <c r="AE4845">
        <v>-4.8201999999999998</v>
      </c>
      <c r="AF4845">
        <v>-3.85561500564283</v>
      </c>
      <c r="AG4845">
        <v>-1.11235760810099</v>
      </c>
      <c r="AH4845">
        <v>12.229430268306899</v>
      </c>
      <c r="AI4845">
        <v>94.957898524550004</v>
      </c>
      <c r="AJ4845">
        <v>107.498680878954</v>
      </c>
      <c r="AK4845">
        <v>12.870977865236901</v>
      </c>
      <c r="AL4845">
        <v>90.704945525200699</v>
      </c>
      <c r="AM4845">
        <v>89.137823603542301</v>
      </c>
      <c r="AN4845">
        <v>0.99999999627314795</v>
      </c>
    </row>
    <row r="4846" spans="1:40" x14ac:dyDescent="0.25">
      <c r="A4846" t="str">
        <f>"20190312154933373"</f>
        <v>20190312154933373</v>
      </c>
      <c r="B4846" t="str">
        <f>"1552376973370253"</f>
        <v>1552376973370253</v>
      </c>
      <c r="C4846" t="s">
        <v>40</v>
      </c>
      <c r="D4846">
        <v>4.7647459999999997</v>
      </c>
      <c r="E4846">
        <v>0.37910939999999999</v>
      </c>
      <c r="F4846" t="s">
        <v>42</v>
      </c>
      <c r="G4846">
        <v>-388.4828</v>
      </c>
      <c r="H4846" s="1">
        <v>-1.565779E-6</v>
      </c>
      <c r="I4846">
        <v>135.61959999999999</v>
      </c>
      <c r="J4846">
        <v>-376.60320000000002</v>
      </c>
      <c r="K4846">
        <v>1.1123289999999999</v>
      </c>
      <c r="L4846">
        <v>140.42490000000001</v>
      </c>
      <c r="M4846">
        <v>-0.99664280000000005</v>
      </c>
      <c r="N4846">
        <v>0</v>
      </c>
      <c r="O4846">
        <v>-8.0712560000000003E-2</v>
      </c>
      <c r="P4846">
        <v>-0.99763460000000004</v>
      </c>
      <c r="Q4846">
        <v>-2.5157530000000001E-2</v>
      </c>
      <c r="R4846">
        <v>-6.3972580000000001E-2</v>
      </c>
      <c r="S4846">
        <v>-2.9273380000000002</v>
      </c>
      <c r="T4846">
        <v>-0.26877269999999998</v>
      </c>
      <c r="U4846">
        <v>-1.166534</v>
      </c>
      <c r="V4846">
        <v>1.6831530000000001E-2</v>
      </c>
      <c r="W4846">
        <v>-1.1316720000000001E-2</v>
      </c>
      <c r="X4846">
        <v>0.99979430000000002</v>
      </c>
      <c r="Y4846">
        <v>-0.29322700000000002</v>
      </c>
      <c r="Z4846">
        <v>-5.8493740000000001E-3</v>
      </c>
      <c r="AA4846">
        <v>0.95602489999999996</v>
      </c>
      <c r="AB4846">
        <v>23</v>
      </c>
      <c r="AC4846">
        <v>-11.8795999999999</v>
      </c>
      <c r="AD4846">
        <v>-1.1123305657789999</v>
      </c>
      <c r="AE4846">
        <v>-4.8053000000000097</v>
      </c>
      <c r="AF4846">
        <v>-3.80204955962959</v>
      </c>
      <c r="AG4846">
        <v>-1.1123305657789999</v>
      </c>
      <c r="AH4846">
        <v>12.1372712430314</v>
      </c>
      <c r="AI4846">
        <v>94.998104936052599</v>
      </c>
      <c r="AJ4846">
        <v>107.393377105982</v>
      </c>
      <c r="AK4846">
        <v>12.767388666769801</v>
      </c>
      <c r="AL4846">
        <v>90.6484141311104</v>
      </c>
      <c r="AM4846">
        <v>89.035517065435101</v>
      </c>
      <c r="AN4846">
        <v>1.00000000543309</v>
      </c>
    </row>
    <row r="4847" spans="1:40" x14ac:dyDescent="0.25">
      <c r="A4847" t="str">
        <f>"20190312154933394"</f>
        <v>20190312154933394</v>
      </c>
      <c r="B4847" t="str">
        <f>"1552376973390749"</f>
        <v>1552376973390749</v>
      </c>
      <c r="C4847" t="s">
        <v>40</v>
      </c>
      <c r="D4847">
        <v>4.8094460000000003</v>
      </c>
      <c r="E4847">
        <v>0.37946730000000001</v>
      </c>
      <c r="F4847" t="s">
        <v>42</v>
      </c>
      <c r="G4847">
        <v>-389.15280000000001</v>
      </c>
      <c r="H4847" s="1">
        <v>-1.386783E-6</v>
      </c>
      <c r="I4847">
        <v>135.43530000000001</v>
      </c>
      <c r="J4847">
        <v>-376.82940000000002</v>
      </c>
      <c r="K4847">
        <v>1.112311</v>
      </c>
      <c r="L4847">
        <v>140.4023</v>
      </c>
      <c r="M4847">
        <v>-0.99634149999999999</v>
      </c>
      <c r="N4847">
        <v>0</v>
      </c>
      <c r="O4847">
        <v>-8.434548E-2</v>
      </c>
      <c r="P4847">
        <v>-0.99754120000000002</v>
      </c>
      <c r="Q4847">
        <v>-2.2917139999999999E-2</v>
      </c>
      <c r="R4847">
        <v>-6.6228999999999996E-2</v>
      </c>
      <c r="S4847">
        <v>-2.925964</v>
      </c>
      <c r="T4847">
        <v>-0.25934259999999998</v>
      </c>
      <c r="U4847">
        <v>-1.1633150000000001</v>
      </c>
      <c r="V4847">
        <v>1.8205430000000002E-2</v>
      </c>
      <c r="W4847">
        <v>-9.0555029999999995E-3</v>
      </c>
      <c r="X4847">
        <v>0.99979320000000005</v>
      </c>
      <c r="Y4847">
        <v>-0.28906379999999998</v>
      </c>
      <c r="Z4847">
        <v>-5.1644789999999996E-3</v>
      </c>
      <c r="AA4847">
        <v>0.95729589999999998</v>
      </c>
      <c r="AB4847">
        <v>23</v>
      </c>
      <c r="AC4847">
        <v>-12.3233999999999</v>
      </c>
      <c r="AD4847">
        <v>-1.112312386783</v>
      </c>
      <c r="AE4847">
        <v>-4.9669999999999801</v>
      </c>
      <c r="AF4847">
        <v>-3.8825650648533401</v>
      </c>
      <c r="AG4847">
        <v>-1.112312386783</v>
      </c>
      <c r="AH4847">
        <v>12.610085626478201</v>
      </c>
      <c r="AI4847">
        <v>94.818796587271606</v>
      </c>
      <c r="AJ4847">
        <v>107.113265787494</v>
      </c>
      <c r="AK4847">
        <v>13.2410652832664</v>
      </c>
      <c r="AL4847">
        <v>90.518849225018201</v>
      </c>
      <c r="AM4847">
        <v>88.956805229100596</v>
      </c>
      <c r="AN4847">
        <v>0.99999994129115199</v>
      </c>
    </row>
    <row r="4848" spans="1:40" x14ac:dyDescent="0.25">
      <c r="A4848" t="str">
        <f>"20190312154933417"</f>
        <v>20190312154933417</v>
      </c>
      <c r="B4848" t="str">
        <f>"1552376973410269"</f>
        <v>1552376973410269</v>
      </c>
      <c r="C4848" t="s">
        <v>40</v>
      </c>
      <c r="D4848">
        <v>4.7120100000000003</v>
      </c>
      <c r="E4848">
        <v>0.38723360000000001</v>
      </c>
      <c r="F4848" t="s">
        <v>42</v>
      </c>
      <c r="G4848">
        <v>-389.73379999999997</v>
      </c>
      <c r="H4848" s="1">
        <v>-1.237667E-6</v>
      </c>
      <c r="I4848">
        <v>135.2527</v>
      </c>
      <c r="J4848">
        <v>-377.06229999999999</v>
      </c>
      <c r="K4848">
        <v>1.11229</v>
      </c>
      <c r="L4848">
        <v>140.37809999999999</v>
      </c>
      <c r="M4848">
        <v>-0.99601980000000001</v>
      </c>
      <c r="N4848">
        <v>0</v>
      </c>
      <c r="O4848">
        <v>-8.8063489999999994E-2</v>
      </c>
      <c r="P4848">
        <v>-0.99740890000000004</v>
      </c>
      <c r="Q4848">
        <v>-2.0329130000000001E-2</v>
      </c>
      <c r="R4848">
        <v>-6.9010859999999993E-2</v>
      </c>
      <c r="S4848">
        <v>-2.9241640000000002</v>
      </c>
      <c r="T4848">
        <v>-0.2520539</v>
      </c>
      <c r="U4848">
        <v>-1.166901</v>
      </c>
      <c r="V4848">
        <v>1.9137990000000001E-2</v>
      </c>
      <c r="W4848">
        <v>-6.4552619999999998E-3</v>
      </c>
      <c r="X4848">
        <v>0.99979600000000002</v>
      </c>
      <c r="Y4848">
        <v>-0.2867632</v>
      </c>
      <c r="Z4848">
        <v>-4.621572E-3</v>
      </c>
      <c r="AA4848">
        <v>0.95799029999999996</v>
      </c>
      <c r="AB4848">
        <v>23</v>
      </c>
      <c r="AC4848">
        <v>-12.671499999999901</v>
      </c>
      <c r="AD4848">
        <v>-1.112291237667</v>
      </c>
      <c r="AE4848">
        <v>-5.1253999999999804</v>
      </c>
      <c r="AF4848">
        <v>-3.9632374496329899</v>
      </c>
      <c r="AG4848">
        <v>-1.112291237667</v>
      </c>
      <c r="AH4848">
        <v>12.987662020961499</v>
      </c>
      <c r="AI4848">
        <v>94.682824971333005</v>
      </c>
      <c r="AJ4848">
        <v>106.969779884972</v>
      </c>
      <c r="AK4848">
        <v>13.6243828355743</v>
      </c>
      <c r="AL4848">
        <v>90.369861841678699</v>
      </c>
      <c r="AM4848">
        <v>88.903384132383906</v>
      </c>
      <c r="AN4848">
        <v>0.99999998734236395</v>
      </c>
    </row>
    <row r="4849" spans="1:40" x14ac:dyDescent="0.25">
      <c r="A4849" t="str">
        <f>"20190312154933439"</f>
        <v>20190312154933439</v>
      </c>
      <c r="B4849" t="str">
        <f>"1552376973430765"</f>
        <v>1552376973430765</v>
      </c>
      <c r="C4849" t="s">
        <v>40</v>
      </c>
      <c r="D4849">
        <v>4.6829390000000002</v>
      </c>
      <c r="E4849">
        <v>0.38637379999999999</v>
      </c>
      <c r="F4849" t="s">
        <v>42</v>
      </c>
      <c r="G4849">
        <v>-392.62560000000002</v>
      </c>
      <c r="H4849" s="1">
        <v>-4.0592890000000002E-6</v>
      </c>
      <c r="I4849">
        <v>134.46690000000001</v>
      </c>
      <c r="J4849">
        <v>-377.28800000000001</v>
      </c>
      <c r="K4849">
        <v>1.1122510000000001</v>
      </c>
      <c r="L4849">
        <v>140.35399999999899</v>
      </c>
      <c r="M4849">
        <v>-0.99569700000000005</v>
      </c>
      <c r="N4849">
        <v>0</v>
      </c>
      <c r="O4849">
        <v>-9.1643230000000006E-2</v>
      </c>
      <c r="P4849">
        <v>-0.99708799999999997</v>
      </c>
      <c r="Q4849">
        <v>-1.976895E-2</v>
      </c>
      <c r="R4849">
        <v>-7.3654549999999999E-2</v>
      </c>
      <c r="S4849">
        <v>-2.9266359999999998</v>
      </c>
      <c r="T4849">
        <v>-0.20916509999999999</v>
      </c>
      <c r="U4849">
        <v>-1.111572</v>
      </c>
      <c r="V4849">
        <v>1.8074059999999999E-2</v>
      </c>
      <c r="W4849">
        <v>-5.9181609999999999E-3</v>
      </c>
      <c r="X4849">
        <v>0.99981920000000002</v>
      </c>
      <c r="Y4849">
        <v>-0.26750089999999999</v>
      </c>
      <c r="Z4849">
        <v>-2.937098E-3</v>
      </c>
      <c r="AA4849">
        <v>0.96355310000000005</v>
      </c>
      <c r="AB4849">
        <v>23</v>
      </c>
      <c r="AC4849">
        <v>-15.3376</v>
      </c>
      <c r="AD4849">
        <v>-1.1122550592889999</v>
      </c>
      <c r="AE4849">
        <v>-5.88709999999997</v>
      </c>
      <c r="AF4849">
        <v>-4.4362677341677603</v>
      </c>
      <c r="AG4849">
        <v>-1.1122550592889999</v>
      </c>
      <c r="AH4849">
        <v>15.7404616831671</v>
      </c>
      <c r="AI4849">
        <v>93.890840463659202</v>
      </c>
      <c r="AJ4849">
        <v>105.739878654777</v>
      </c>
      <c r="AK4849">
        <v>16.391452550807799</v>
      </c>
      <c r="AL4849">
        <v>90.339087605336502</v>
      </c>
      <c r="AM4849">
        <v>88.964358181463695</v>
      </c>
      <c r="AN4849">
        <v>1.0000000644815701</v>
      </c>
    </row>
    <row r="4850" spans="1:40" x14ac:dyDescent="0.25">
      <c r="A4850" t="str">
        <f>"20190312154933462"</f>
        <v>20190312154933462</v>
      </c>
      <c r="B4850" t="str">
        <f>"1552376973450854"</f>
        <v>1552376973450854</v>
      </c>
      <c r="C4850" t="s">
        <v>40</v>
      </c>
      <c r="D4850">
        <v>4.696332</v>
      </c>
      <c r="E4850">
        <v>0.38633139999999999</v>
      </c>
      <c r="F4850" t="s">
        <v>42</v>
      </c>
      <c r="G4850">
        <v>-393.03320000000002</v>
      </c>
      <c r="H4850" s="1">
        <v>-3.9219139999999996E-6</v>
      </c>
      <c r="I4850">
        <v>134.25550000000001</v>
      </c>
      <c r="J4850">
        <v>-377.5301</v>
      </c>
      <c r="K4850">
        <v>1.1121840000000001</v>
      </c>
      <c r="L4850">
        <v>140.3272</v>
      </c>
      <c r="M4850">
        <v>-0.99534049999999996</v>
      </c>
      <c r="N4850">
        <v>0</v>
      </c>
      <c r="O4850">
        <v>-9.5447959999999998E-2</v>
      </c>
      <c r="P4850">
        <v>-0.99665060000000005</v>
      </c>
      <c r="Q4850">
        <v>-2.0874790000000001E-2</v>
      </c>
      <c r="R4850">
        <v>-7.9070020000000005E-2</v>
      </c>
      <c r="S4850">
        <v>-2.9211119999999999</v>
      </c>
      <c r="T4850">
        <v>-0.20635000000000001</v>
      </c>
      <c r="U4850">
        <v>-1.1313930000000001</v>
      </c>
      <c r="V4850">
        <v>1.6467800000000001E-2</v>
      </c>
      <c r="W4850">
        <v>-7.1025180000000004E-3</v>
      </c>
      <c r="X4850">
        <v>0.99983920000000004</v>
      </c>
      <c r="Y4850">
        <v>-0.27013359999999997</v>
      </c>
      <c r="Z4850">
        <v>-2.7334659999999999E-3</v>
      </c>
      <c r="AA4850">
        <v>0.96281899999999998</v>
      </c>
      <c r="AB4850">
        <v>23</v>
      </c>
      <c r="AC4850">
        <v>-15.5031</v>
      </c>
      <c r="AD4850">
        <v>-1.1121879219140001</v>
      </c>
      <c r="AE4850">
        <v>-6.0716999999999901</v>
      </c>
      <c r="AF4850">
        <v>-4.5438211090766103</v>
      </c>
      <c r="AG4850">
        <v>-1.1121879219140001</v>
      </c>
      <c r="AH4850">
        <v>15.940761489609301</v>
      </c>
      <c r="AI4850">
        <v>93.838646977883997</v>
      </c>
      <c r="AJ4850">
        <v>105.909892476846</v>
      </c>
      <c r="AK4850">
        <v>16.6129813433216</v>
      </c>
      <c r="AL4850">
        <v>90.406947714609302</v>
      </c>
      <c r="AM4850">
        <v>89.056398136473803</v>
      </c>
      <c r="AN4850">
        <v>1.0000000300277001</v>
      </c>
    </row>
    <row r="4851" spans="1:40" x14ac:dyDescent="0.25">
      <c r="A4851" t="str">
        <f>"20190312154933485"</f>
        <v>20190312154933485</v>
      </c>
      <c r="B4851" t="str">
        <f>"1552376973481110"</f>
        <v>1552376973481110</v>
      </c>
      <c r="C4851" t="s">
        <v>40</v>
      </c>
      <c r="D4851">
        <v>4.6807559999999997</v>
      </c>
      <c r="E4851">
        <v>0.38624340000000001</v>
      </c>
      <c r="F4851" t="s">
        <v>42</v>
      </c>
      <c r="G4851">
        <v>-392.536</v>
      </c>
      <c r="H4851" s="1">
        <v>-4.1059650000000003E-6</v>
      </c>
      <c r="I4851">
        <v>134.4205</v>
      </c>
      <c r="J4851">
        <v>-377.75540000000001</v>
      </c>
      <c r="K4851">
        <v>1.112104</v>
      </c>
      <c r="L4851">
        <v>140.3015</v>
      </c>
      <c r="M4851">
        <v>-0.99500189999999999</v>
      </c>
      <c r="N4851">
        <v>0</v>
      </c>
      <c r="O4851">
        <v>-9.8930359999999995E-2</v>
      </c>
      <c r="P4851">
        <v>-0.9961776</v>
      </c>
      <c r="Q4851">
        <v>-2.2806460000000001E-2</v>
      </c>
      <c r="R4851">
        <v>-8.4323250000000002E-2</v>
      </c>
      <c r="S4851">
        <v>-2.9145509999999999</v>
      </c>
      <c r="T4851">
        <v>-0.21601719999999999</v>
      </c>
      <c r="U4851">
        <v>-1.147232</v>
      </c>
      <c r="V4851">
        <v>1.470169E-2</v>
      </c>
      <c r="W4851">
        <v>-9.1589930000000007E-3</v>
      </c>
      <c r="X4851">
        <v>0.99985000000000002</v>
      </c>
      <c r="Y4851">
        <v>-0.27200020000000003</v>
      </c>
      <c r="Z4851">
        <v>-2.6861659999999998E-3</v>
      </c>
      <c r="AA4851">
        <v>0.96229339999999997</v>
      </c>
      <c r="AB4851">
        <v>23</v>
      </c>
      <c r="AC4851">
        <v>-14.7805999999999</v>
      </c>
      <c r="AD4851">
        <v>-1.112108105965</v>
      </c>
      <c r="AE4851">
        <v>-5.8810000000000002</v>
      </c>
      <c r="AF4851">
        <v>-4.3684095256823197</v>
      </c>
      <c r="AG4851">
        <v>-1.112108105965</v>
      </c>
      <c r="AH4851">
        <v>15.2155756863127</v>
      </c>
      <c r="AI4851">
        <v>94.018546359602993</v>
      </c>
      <c r="AJ4851">
        <v>106.018834199295</v>
      </c>
      <c r="AK4851">
        <v>15.869263678234599</v>
      </c>
      <c r="AL4851">
        <v>90.524778967752894</v>
      </c>
      <c r="AM4851">
        <v>89.157589548106102</v>
      </c>
      <c r="AN4851">
        <v>1.0000000246708101</v>
      </c>
    </row>
    <row r="4852" spans="1:40" x14ac:dyDescent="0.25">
      <c r="A4852" t="str">
        <f>"20190312154933508"</f>
        <v>20190312154933508</v>
      </c>
      <c r="B4852" t="str">
        <f>"1552376973500630"</f>
        <v>1552376973500630</v>
      </c>
      <c r="C4852" t="s">
        <v>40</v>
      </c>
      <c r="D4852">
        <v>4.6625969999999999</v>
      </c>
      <c r="E4852">
        <v>0.3865479</v>
      </c>
      <c r="F4852" t="s">
        <v>42</v>
      </c>
      <c r="G4852">
        <v>-392.12169999999998</v>
      </c>
      <c r="H4852" s="1">
        <v>-4.2594240000000001E-6</v>
      </c>
      <c r="I4852">
        <v>134.55719999999999</v>
      </c>
      <c r="J4852">
        <v>-377.99200000000002</v>
      </c>
      <c r="K4852">
        <v>1.1120019999999999</v>
      </c>
      <c r="L4852">
        <v>140.27369999999999</v>
      </c>
      <c r="M4852">
        <v>-0.99464330000000001</v>
      </c>
      <c r="N4852">
        <v>0</v>
      </c>
      <c r="O4852">
        <v>-0.1024935</v>
      </c>
      <c r="P4852">
        <v>-0.99567439999999996</v>
      </c>
      <c r="Q4852">
        <v>-2.381803E-2</v>
      </c>
      <c r="R4852">
        <v>-8.9809399999999998E-2</v>
      </c>
      <c r="S4852">
        <v>-2.9079280000000001</v>
      </c>
      <c r="T4852">
        <v>-0.2251059</v>
      </c>
      <c r="U4852">
        <v>-1.162704</v>
      </c>
      <c r="V4852">
        <v>1.2777760000000001E-2</v>
      </c>
      <c r="W4852">
        <v>-1.0336339999999999E-2</v>
      </c>
      <c r="X4852">
        <v>0.99986489999999995</v>
      </c>
      <c r="Y4852">
        <v>-0.27369209999999999</v>
      </c>
      <c r="Z4852">
        <v>-2.6039219999999998E-3</v>
      </c>
      <c r="AA4852">
        <v>0.9618139</v>
      </c>
      <c r="AB4852">
        <v>23</v>
      </c>
      <c r="AC4852">
        <v>-14.1297</v>
      </c>
      <c r="AD4852">
        <v>-1.1120062594240001</v>
      </c>
      <c r="AE4852">
        <v>-5.7164999999999901</v>
      </c>
      <c r="AF4852">
        <v>-4.2156194028857898</v>
      </c>
      <c r="AG4852">
        <v>-1.1120062594240001</v>
      </c>
      <c r="AH4852">
        <v>14.563716457979501</v>
      </c>
      <c r="AI4852">
        <v>94.194775179671396</v>
      </c>
      <c r="AJ4852">
        <v>106.143637263927</v>
      </c>
      <c r="AK4852">
        <v>15.2022972586187</v>
      </c>
      <c r="AL4852">
        <v>90.5922392246584</v>
      </c>
      <c r="AM4852">
        <v>89.267829215199995</v>
      </c>
      <c r="AN4852">
        <v>0.99999996466360996</v>
      </c>
    </row>
    <row r="4853" spans="1:40" x14ac:dyDescent="0.25">
      <c r="A4853" t="str">
        <f>"20190312154933529"</f>
        <v>20190312154933529</v>
      </c>
      <c r="B4853" t="str">
        <f>"1552376973521127"</f>
        <v>1552376973521127</v>
      </c>
      <c r="C4853" t="s">
        <v>40</v>
      </c>
      <c r="D4853">
        <v>4.6304509999999999</v>
      </c>
      <c r="E4853">
        <v>0.38704070000000002</v>
      </c>
      <c r="F4853" t="s">
        <v>42</v>
      </c>
      <c r="G4853">
        <v>-392.08</v>
      </c>
      <c r="H4853" s="1">
        <v>-4.2760129999999999E-6</v>
      </c>
      <c r="I4853">
        <v>134.56460000000001</v>
      </c>
      <c r="J4853">
        <v>-378.21159999999998</v>
      </c>
      <c r="K4853">
        <v>1.1119000000000001</v>
      </c>
      <c r="L4853">
        <v>140.2473</v>
      </c>
      <c r="M4853">
        <v>-0.99430790000000002</v>
      </c>
      <c r="N4853">
        <v>0</v>
      </c>
      <c r="O4853">
        <v>-0.10571469999999999</v>
      </c>
      <c r="P4853">
        <v>-0.99520280000000005</v>
      </c>
      <c r="Q4853">
        <v>-2.4668329999999999E-2</v>
      </c>
      <c r="R4853">
        <v>-9.4671610000000003E-2</v>
      </c>
      <c r="S4853">
        <v>-2.9015200000000001</v>
      </c>
      <c r="T4853">
        <v>-0.2290258</v>
      </c>
      <c r="U4853">
        <v>-1.175827</v>
      </c>
      <c r="V4853">
        <v>1.113375E-2</v>
      </c>
      <c r="W4853">
        <v>-1.134917E-2</v>
      </c>
      <c r="X4853">
        <v>0.99987360000000003</v>
      </c>
      <c r="Y4853">
        <v>-0.27504010000000001</v>
      </c>
      <c r="Z4853">
        <v>-2.4631589999999999E-3</v>
      </c>
      <c r="AA4853">
        <v>0.9614296</v>
      </c>
      <c r="AB4853">
        <v>23</v>
      </c>
      <c r="AC4853">
        <v>-13.868399999999999</v>
      </c>
      <c r="AD4853">
        <v>-1.111904276013</v>
      </c>
      <c r="AE4853">
        <v>-5.6826999999999801</v>
      </c>
      <c r="AF4853">
        <v>-4.1617224753567301</v>
      </c>
      <c r="AG4853">
        <v>-1.111904276013</v>
      </c>
      <c r="AH4853">
        <v>14.3126960083264</v>
      </c>
      <c r="AI4853">
        <v>94.266193574363598</v>
      </c>
      <c r="AJ4853">
        <v>106.212919199445</v>
      </c>
      <c r="AK4853">
        <v>14.946890382539999</v>
      </c>
      <c r="AL4853">
        <v>90.650273508581705</v>
      </c>
      <c r="AM4853">
        <v>89.362028838803298</v>
      </c>
      <c r="AN4853">
        <v>0.999999990012855</v>
      </c>
    </row>
    <row r="4854" spans="1:40" x14ac:dyDescent="0.25">
      <c r="A4854" t="str">
        <f>"20190312154933551"</f>
        <v>20190312154933551</v>
      </c>
      <c r="B4854" t="str">
        <f>"1552376973541153"</f>
        <v>1552376973541153</v>
      </c>
      <c r="C4854" t="s">
        <v>40</v>
      </c>
      <c r="D4854">
        <v>4.6270210000000001</v>
      </c>
      <c r="E4854">
        <v>0.3875286</v>
      </c>
      <c r="F4854" t="s">
        <v>42</v>
      </c>
      <c r="G4854">
        <v>-392.1696</v>
      </c>
      <c r="H4854" s="1">
        <v>-4.2437100000000004E-6</v>
      </c>
      <c r="I4854">
        <v>134.53</v>
      </c>
      <c r="J4854">
        <v>-378.43799999999999</v>
      </c>
      <c r="K4854">
        <v>1.111802</v>
      </c>
      <c r="L4854">
        <v>140.21940000000001</v>
      </c>
      <c r="M4854">
        <v>-0.99396059999999997</v>
      </c>
      <c r="N4854">
        <v>0</v>
      </c>
      <c r="O4854">
        <v>-0.1089524</v>
      </c>
      <c r="P4854">
        <v>-0.99467470000000002</v>
      </c>
      <c r="Q4854">
        <v>-2.5498219999999999E-2</v>
      </c>
      <c r="R4854">
        <v>-9.9861430000000001E-2</v>
      </c>
      <c r="S4854">
        <v>-2.895905</v>
      </c>
      <c r="T4854">
        <v>-0.23069039999999999</v>
      </c>
      <c r="U4854">
        <v>-1.186172</v>
      </c>
      <c r="V4854">
        <v>9.1753800000000003E-3</v>
      </c>
      <c r="W4854">
        <v>-1.234289E-2</v>
      </c>
      <c r="X4854">
        <v>0.99988169999999998</v>
      </c>
      <c r="Y4854">
        <v>-0.27550330000000001</v>
      </c>
      <c r="Z4854">
        <v>-2.2580439999999998E-3</v>
      </c>
      <c r="AA4854">
        <v>0.96129750000000003</v>
      </c>
      <c r="AB4854">
        <v>23</v>
      </c>
      <c r="AC4854">
        <v>-13.731599999999901</v>
      </c>
      <c r="AD4854">
        <v>-1.11180624371</v>
      </c>
      <c r="AE4854">
        <v>-5.6894</v>
      </c>
      <c r="AF4854">
        <v>-4.1361633297185003</v>
      </c>
      <c r="AG4854">
        <v>-1.11180624371</v>
      </c>
      <c r="AH4854">
        <v>14.1903711211884</v>
      </c>
      <c r="AI4854">
        <v>94.301642520040005</v>
      </c>
      <c r="AJ4854">
        <v>106.25017615205201</v>
      </c>
      <c r="AK4854">
        <v>14.8226378479243</v>
      </c>
      <c r="AL4854">
        <v>90.707213479938702</v>
      </c>
      <c r="AM4854">
        <v>89.474242008915994</v>
      </c>
      <c r="AN4854">
        <v>0.99999997426329301</v>
      </c>
    </row>
    <row r="4855" spans="1:40" x14ac:dyDescent="0.25">
      <c r="A4855" t="str">
        <f>"20190312154933574"</f>
        <v>20190312154933574</v>
      </c>
      <c r="B4855" t="str">
        <f>"1552376973570434"</f>
        <v>1552376973570434</v>
      </c>
      <c r="C4855" t="s">
        <v>40</v>
      </c>
      <c r="D4855">
        <v>4.636266</v>
      </c>
      <c r="E4855">
        <v>0.38798899999999997</v>
      </c>
      <c r="F4855" t="s">
        <v>42</v>
      </c>
      <c r="G4855">
        <v>-392.30700000000002</v>
      </c>
      <c r="H4855" s="1">
        <v>-4.1949350000000002E-6</v>
      </c>
      <c r="I4855">
        <v>134.47280000000001</v>
      </c>
      <c r="J4855">
        <v>-378.66950000000003</v>
      </c>
      <c r="K4855">
        <v>1.1117250000000001</v>
      </c>
      <c r="L4855">
        <v>140.19030000000001</v>
      </c>
      <c r="M4855">
        <v>-0.99360420000000005</v>
      </c>
      <c r="N4855">
        <v>0</v>
      </c>
      <c r="O4855">
        <v>-0.1121717</v>
      </c>
      <c r="P4855">
        <v>-0.99416230000000005</v>
      </c>
      <c r="Q4855">
        <v>-2.530574E-2</v>
      </c>
      <c r="R4855">
        <v>-0.1048872</v>
      </c>
      <c r="S4855">
        <v>-2.8898929999999998</v>
      </c>
      <c r="T4855">
        <v>-0.2316684</v>
      </c>
      <c r="U4855">
        <v>-1.1974180000000001</v>
      </c>
      <c r="V4855">
        <v>7.3599659999999999E-3</v>
      </c>
      <c r="W4855">
        <v>-1.230671E-2</v>
      </c>
      <c r="X4855">
        <v>0.99989720000000004</v>
      </c>
      <c r="Y4855">
        <v>-0.27629009999999998</v>
      </c>
      <c r="Z4855">
        <v>-2.0573520000000001E-3</v>
      </c>
      <c r="AA4855">
        <v>0.96107209999999998</v>
      </c>
      <c r="AB4855">
        <v>23</v>
      </c>
      <c r="AC4855">
        <v>-13.6374999999999</v>
      </c>
      <c r="AD4855">
        <v>-1.1117291949349899</v>
      </c>
      <c r="AE4855">
        <v>-5.7175000000000002</v>
      </c>
      <c r="AF4855">
        <v>-4.1282067678324399</v>
      </c>
      <c r="AG4855">
        <v>-1.1117291949349899</v>
      </c>
      <c r="AH4855">
        <v>14.1130449509259</v>
      </c>
      <c r="AI4855">
        <v>94.3236261069368</v>
      </c>
      <c r="AJ4855">
        <v>106.30472576327</v>
      </c>
      <c r="AK4855">
        <v>14.746391786050699</v>
      </c>
      <c r="AL4855">
        <v>90.705140330711004</v>
      </c>
      <c r="AM4855">
        <v>89.578269272518796</v>
      </c>
      <c r="AN4855">
        <v>1.0000000173891901</v>
      </c>
    </row>
    <row r="4856" spans="1:40" x14ac:dyDescent="0.25">
      <c r="A4856" t="str">
        <f>"20190312154933596"</f>
        <v>20190312154933596</v>
      </c>
      <c r="B4856" t="str">
        <f>"1552376973590929"</f>
        <v>1552376973590929</v>
      </c>
      <c r="C4856" t="s">
        <v>40</v>
      </c>
      <c r="D4856">
        <v>4.6618050000000002</v>
      </c>
      <c r="E4856">
        <v>0.3950748</v>
      </c>
      <c r="F4856" t="s">
        <v>42</v>
      </c>
      <c r="G4856">
        <v>-392.70049999999998</v>
      </c>
      <c r="H4856" s="1">
        <v>-4.0548249999999998E-6</v>
      </c>
      <c r="I4856">
        <v>134.3108</v>
      </c>
      <c r="J4856">
        <v>-378.90219999999999</v>
      </c>
      <c r="K4856">
        <v>1.1116729999999999</v>
      </c>
      <c r="L4856">
        <v>140.16030000000001</v>
      </c>
      <c r="M4856">
        <v>-0.99324659999999998</v>
      </c>
      <c r="N4856">
        <v>0</v>
      </c>
      <c r="O4856">
        <v>-0.1153125</v>
      </c>
      <c r="P4856">
        <v>-0.99373699999999998</v>
      </c>
      <c r="Q4856">
        <v>-2.3223089999999998E-2</v>
      </c>
      <c r="R4856">
        <v>-0.10930719999999999</v>
      </c>
      <c r="S4856">
        <v>-2.884277</v>
      </c>
      <c r="T4856">
        <v>-0.22853180000000001</v>
      </c>
      <c r="U4856">
        <v>-1.208588</v>
      </c>
      <c r="V4856">
        <v>6.0699209999999998E-3</v>
      </c>
      <c r="W4856">
        <v>-1.0367929999999999E-2</v>
      </c>
      <c r="X4856">
        <v>0.99992780000000003</v>
      </c>
      <c r="Y4856">
        <v>-0.27710129999999999</v>
      </c>
      <c r="Z4856">
        <v>-1.8284239999999999E-3</v>
      </c>
      <c r="AA4856">
        <v>0.960839</v>
      </c>
      <c r="AB4856">
        <v>23</v>
      </c>
      <c r="AC4856">
        <v>-13.7982999999999</v>
      </c>
      <c r="AD4856">
        <v>-1.1116770548249999</v>
      </c>
      <c r="AE4856">
        <v>-5.8494999999999999</v>
      </c>
      <c r="AF4856">
        <v>-4.1961383851983296</v>
      </c>
      <c r="AG4856">
        <v>-1.1116770548249999</v>
      </c>
      <c r="AH4856">
        <v>14.302124119883</v>
      </c>
      <c r="AI4856">
        <v>94.265467194081197</v>
      </c>
      <c r="AJ4856">
        <v>106.35130189629299</v>
      </c>
      <c r="AK4856">
        <v>14.946376067880101</v>
      </c>
      <c r="AL4856">
        <v>90.594049291290801</v>
      </c>
      <c r="AM4856">
        <v>89.6521983051679</v>
      </c>
      <c r="AN4856">
        <v>0.99999997156313503</v>
      </c>
    </row>
    <row r="4857" spans="1:40" x14ac:dyDescent="0.25">
      <c r="A4857" t="str">
        <f>"20190312154933618"</f>
        <v>20190312154933618</v>
      </c>
      <c r="B4857" t="str">
        <f>"1552376973610449"</f>
        <v>1552376973610449</v>
      </c>
      <c r="C4857" t="s">
        <v>40</v>
      </c>
      <c r="D4857">
        <v>4.602773</v>
      </c>
      <c r="E4857">
        <v>0.39497310000000002</v>
      </c>
      <c r="F4857" t="s">
        <v>42</v>
      </c>
      <c r="G4857">
        <v>-394.26920000000001</v>
      </c>
      <c r="H4857" s="1">
        <v>-3.444616E-6</v>
      </c>
      <c r="I4857">
        <v>133.9571</v>
      </c>
      <c r="J4857">
        <v>-379.12470000000002</v>
      </c>
      <c r="K4857">
        <v>1.111637</v>
      </c>
      <c r="L4857">
        <v>140.131</v>
      </c>
      <c r="M4857">
        <v>-0.99290449999999997</v>
      </c>
      <c r="N4857">
        <v>0</v>
      </c>
      <c r="O4857">
        <v>-0.1182338</v>
      </c>
      <c r="P4857">
        <v>-0.99344690000000002</v>
      </c>
      <c r="Q4857">
        <v>-2.0970240000000001E-2</v>
      </c>
      <c r="R4857">
        <v>-0.1123561</v>
      </c>
      <c r="S4857">
        <v>-2.8858950000000001</v>
      </c>
      <c r="T4857">
        <v>-0.20877100000000001</v>
      </c>
      <c r="U4857">
        <v>-1.1649320000000001</v>
      </c>
      <c r="V4857">
        <v>5.9381159999999898E-3</v>
      </c>
      <c r="W4857">
        <v>-8.2375150000000008E-3</v>
      </c>
      <c r="X4857">
        <v>0.99994839999999996</v>
      </c>
      <c r="Y4857">
        <v>-0.26172519999999999</v>
      </c>
      <c r="Z4857">
        <v>-9.385385E-4</v>
      </c>
      <c r="AA4857">
        <v>0.96514200000000006</v>
      </c>
      <c r="AB4857">
        <v>23</v>
      </c>
      <c r="AC4857">
        <v>-15.144499999999899</v>
      </c>
      <c r="AD4857">
        <v>-1.111640444616</v>
      </c>
      <c r="AE4857">
        <v>-6.1738999999999997</v>
      </c>
      <c r="AF4857">
        <v>-4.3198933736207801</v>
      </c>
      <c r="AG4857">
        <v>-1.111640444616</v>
      </c>
      <c r="AH4857">
        <v>15.6957630120971</v>
      </c>
      <c r="AI4857">
        <v>93.906386893425605</v>
      </c>
      <c r="AJ4857">
        <v>105.388327346879</v>
      </c>
      <c r="AK4857">
        <v>16.317297563306099</v>
      </c>
      <c r="AL4857">
        <v>90.471980199863694</v>
      </c>
      <c r="AM4857">
        <v>89.659757457717006</v>
      </c>
      <c r="AN4857">
        <v>0.99999996026878102</v>
      </c>
    </row>
    <row r="4858" spans="1:40" x14ac:dyDescent="0.25">
      <c r="A4858" t="str">
        <f>"20190312154933640"</f>
        <v>20190312154933640</v>
      </c>
      <c r="B4858" t="str">
        <f>"1552376973630946"</f>
        <v>1552376973630946</v>
      </c>
      <c r="C4858" t="s">
        <v>40</v>
      </c>
      <c r="D4858">
        <v>4.6733580000000003</v>
      </c>
      <c r="E4858">
        <v>0.39529340000000002</v>
      </c>
      <c r="F4858" t="s">
        <v>42</v>
      </c>
      <c r="G4858">
        <v>-395.30290000000002</v>
      </c>
      <c r="H4858" s="1">
        <v>-3.2017260000000001E-6</v>
      </c>
      <c r="I4858">
        <v>133.53809999999999</v>
      </c>
      <c r="J4858">
        <v>-379.35860000000002</v>
      </c>
      <c r="K4858">
        <v>1.111602</v>
      </c>
      <c r="L4858">
        <v>140.09960000000001</v>
      </c>
      <c r="M4858">
        <v>-0.99254330000000002</v>
      </c>
      <c r="N4858">
        <v>0</v>
      </c>
      <c r="O4858">
        <v>-0.12124219999999999</v>
      </c>
      <c r="P4858">
        <v>-0.99317999999999995</v>
      </c>
      <c r="Q4858">
        <v>-1.903293E-2</v>
      </c>
      <c r="R4858">
        <v>-0.11502900000000001</v>
      </c>
      <c r="S4858">
        <v>-2.8827509999999998</v>
      </c>
      <c r="T4858">
        <v>-0.19808049999999999</v>
      </c>
      <c r="U4858">
        <v>-1.1747590000000001</v>
      </c>
      <c r="V4858">
        <v>6.273285E-3</v>
      </c>
      <c r="W4858">
        <v>-6.4185609999999997E-3</v>
      </c>
      <c r="X4858">
        <v>0.99995970000000001</v>
      </c>
      <c r="Y4858">
        <v>-0.26202799999999998</v>
      </c>
      <c r="Z4858">
        <v>-7.0611199999999995E-4</v>
      </c>
      <c r="AA4858">
        <v>0.96506000000000003</v>
      </c>
      <c r="AB4858">
        <v>23</v>
      </c>
      <c r="AC4858">
        <v>-15.944299999999901</v>
      </c>
      <c r="AD4858">
        <v>-1.1116052017260001</v>
      </c>
      <c r="AE4858">
        <v>-6.5615000000000201</v>
      </c>
      <c r="AF4858">
        <v>-4.56085505070733</v>
      </c>
      <c r="AG4858">
        <v>-1.1116052017260001</v>
      </c>
      <c r="AH4858">
        <v>16.5534460902552</v>
      </c>
      <c r="AI4858">
        <v>93.704167107787598</v>
      </c>
      <c r="AJ4858">
        <v>105.404106142145</v>
      </c>
      <c r="AK4858">
        <v>17.206209413495198</v>
      </c>
      <c r="AL4858">
        <v>90.367758989550097</v>
      </c>
      <c r="AM4858">
        <v>89.6405574756036</v>
      </c>
      <c r="AN4858">
        <v>0.999999976827045</v>
      </c>
    </row>
    <row r="4859" spans="1:40" x14ac:dyDescent="0.25">
      <c r="A4859" t="str">
        <f>"20190312154933664"</f>
        <v>20190312154933664</v>
      </c>
      <c r="B4859" t="str">
        <f>"1552376973660225"</f>
        <v>1552376973660225</v>
      </c>
      <c r="C4859" t="s">
        <v>40</v>
      </c>
      <c r="D4859">
        <v>4.6166839999999896</v>
      </c>
      <c r="E4859">
        <v>0.39595639999999999</v>
      </c>
      <c r="F4859" t="s">
        <v>42</v>
      </c>
      <c r="G4859">
        <v>-396.17590000000001</v>
      </c>
      <c r="H4859" s="1">
        <v>-2.99231E-6</v>
      </c>
      <c r="I4859">
        <v>133.20859999999999</v>
      </c>
      <c r="J4859">
        <v>-379.58920000000001</v>
      </c>
      <c r="K4859">
        <v>1.1115809999999999</v>
      </c>
      <c r="L4859">
        <v>140.06799999999899</v>
      </c>
      <c r="M4859">
        <v>-0.99218260000000003</v>
      </c>
      <c r="N4859">
        <v>0</v>
      </c>
      <c r="O4859">
        <v>-0.12417060000000001</v>
      </c>
      <c r="P4859">
        <v>-0.99299610000000005</v>
      </c>
      <c r="Q4859">
        <v>-1.748663E-2</v>
      </c>
      <c r="R4859">
        <v>-0.1168468</v>
      </c>
      <c r="S4859">
        <v>-2.8802490000000001</v>
      </c>
      <c r="T4859">
        <v>-0.1903813</v>
      </c>
      <c r="U4859">
        <v>-1.180191</v>
      </c>
      <c r="V4859">
        <v>7.390102E-3</v>
      </c>
      <c r="W4859">
        <v>-4.9828470000000003E-3</v>
      </c>
      <c r="X4859">
        <v>0.99996030000000002</v>
      </c>
      <c r="Y4859">
        <v>-0.2610615</v>
      </c>
      <c r="Z4859">
        <v>-4.6597609999999998E-4</v>
      </c>
      <c r="AA4859">
        <v>0.96532209999999996</v>
      </c>
      <c r="AB4859">
        <v>23</v>
      </c>
      <c r="AC4859">
        <v>-16.5867</v>
      </c>
      <c r="AD4859">
        <v>-1.1115839923099999</v>
      </c>
      <c r="AE4859">
        <v>-6.8593999999999902</v>
      </c>
      <c r="AF4859">
        <v>-4.7284305839624903</v>
      </c>
      <c r="AG4859">
        <v>-1.1115839923099999</v>
      </c>
      <c r="AH4859">
        <v>17.243979705317201</v>
      </c>
      <c r="AI4859">
        <v>93.557347513337703</v>
      </c>
      <c r="AJ4859">
        <v>105.334034502154</v>
      </c>
      <c r="AK4859">
        <v>17.915035887117298</v>
      </c>
      <c r="AL4859">
        <v>90.285497278218301</v>
      </c>
      <c r="AM4859">
        <v>89.576569243581901</v>
      </c>
      <c r="AN4859">
        <v>1.00000002197394</v>
      </c>
    </row>
    <row r="4860" spans="1:40" x14ac:dyDescent="0.25">
      <c r="A4860" t="str">
        <f>"20190312154933687"</f>
        <v>20190312154933687</v>
      </c>
      <c r="B4860" t="str">
        <f>"1552376973680729"</f>
        <v>1552376973680729</v>
      </c>
      <c r="C4860" t="s">
        <v>40</v>
      </c>
      <c r="D4860">
        <v>4.6306339999999997</v>
      </c>
      <c r="E4860">
        <v>0.396283</v>
      </c>
      <c r="F4860" t="s">
        <v>42</v>
      </c>
      <c r="G4860">
        <v>-396.82819999999998</v>
      </c>
      <c r="H4860" s="1">
        <v>-2.8258539999999999E-6</v>
      </c>
      <c r="I4860">
        <v>132.9999</v>
      </c>
      <c r="J4860">
        <v>-379.8218</v>
      </c>
      <c r="K4860">
        <v>1.111559</v>
      </c>
      <c r="L4860">
        <v>140.03550000000001</v>
      </c>
      <c r="M4860">
        <v>-0.99181260000000004</v>
      </c>
      <c r="N4860">
        <v>0</v>
      </c>
      <c r="O4860">
        <v>-0.12710339999999901</v>
      </c>
      <c r="P4860">
        <v>-0.99278379999999999</v>
      </c>
      <c r="Q4860">
        <v>-1.6283519999999999E-2</v>
      </c>
      <c r="R4860">
        <v>-0.1188091</v>
      </c>
      <c r="S4860">
        <v>-2.8790279999999999</v>
      </c>
      <c r="T4860">
        <v>-0.18564220000000001</v>
      </c>
      <c r="U4860">
        <v>-1.1804049999999999</v>
      </c>
      <c r="V4860">
        <v>8.3677170000000002E-3</v>
      </c>
      <c r="W4860">
        <v>-3.8914069999999999E-3</v>
      </c>
      <c r="X4860">
        <v>0.9999574</v>
      </c>
      <c r="Y4860">
        <v>-0.25843379999999999</v>
      </c>
      <c r="Z4860">
        <v>-1.949361E-4</v>
      </c>
      <c r="AA4860">
        <v>0.96602889999999997</v>
      </c>
      <c r="AB4860">
        <v>23</v>
      </c>
      <c r="AC4860">
        <v>-17.0063999999999</v>
      </c>
      <c r="AD4860">
        <v>-1.1115618258540001</v>
      </c>
      <c r="AE4860">
        <v>-7.0356000000000103</v>
      </c>
      <c r="AF4860">
        <v>-4.7992859539584201</v>
      </c>
      <c r="AG4860">
        <v>-1.1115618258540001</v>
      </c>
      <c r="AH4860">
        <v>17.698205533293599</v>
      </c>
      <c r="AI4860">
        <v>93.468868268015399</v>
      </c>
      <c r="AJ4860">
        <v>105.17222956175</v>
      </c>
      <c r="AK4860">
        <v>18.371042280155599</v>
      </c>
      <c r="AL4860">
        <v>90.222961764253597</v>
      </c>
      <c r="AM4860">
        <v>89.520555897704696</v>
      </c>
      <c r="AN4860">
        <v>0.99999998177549498</v>
      </c>
    </row>
    <row r="4861" spans="1:40" x14ac:dyDescent="0.25">
      <c r="A4861" t="str">
        <f>"20190312154933709"</f>
        <v>20190312154933709</v>
      </c>
      <c r="B4861" t="str">
        <f>"1552376973700242"</f>
        <v>1552376973700242</v>
      </c>
      <c r="C4861" t="s">
        <v>40</v>
      </c>
      <c r="D4861">
        <v>4.5752449999999998</v>
      </c>
      <c r="E4861">
        <v>0.40110620000000002</v>
      </c>
      <c r="F4861" t="s">
        <v>42</v>
      </c>
      <c r="G4861">
        <v>-397.27499999999998</v>
      </c>
      <c r="H4861" s="1">
        <v>-2.71235E-6</v>
      </c>
      <c r="I4861">
        <v>132.85499999999999</v>
      </c>
      <c r="J4861">
        <v>-380.05380000000002</v>
      </c>
      <c r="K4861">
        <v>1.1115520000000001</v>
      </c>
      <c r="L4861">
        <v>140.00229999999999</v>
      </c>
      <c r="M4861">
        <v>-0.99143530000000002</v>
      </c>
      <c r="N4861">
        <v>0</v>
      </c>
      <c r="O4861">
        <v>-0.1300239</v>
      </c>
      <c r="P4861">
        <v>-0.99251719999999999</v>
      </c>
      <c r="Q4861">
        <v>-1.422261E-2</v>
      </c>
      <c r="R4861">
        <v>-0.1212753</v>
      </c>
      <c r="S4861">
        <v>-2.8771360000000001</v>
      </c>
      <c r="T4861">
        <v>-0.1832396</v>
      </c>
      <c r="U4861">
        <v>-1.18367</v>
      </c>
      <c r="V4861">
        <v>8.82379199999999E-3</v>
      </c>
      <c r="W4861">
        <v>-1.9424259999999999E-3</v>
      </c>
      <c r="X4861">
        <v>0.99995919999999905</v>
      </c>
      <c r="Y4861">
        <v>-0.25676339999999997</v>
      </c>
      <c r="Z4861" s="1">
        <v>3.365148E-5</v>
      </c>
      <c r="AA4861">
        <v>0.96647430000000001</v>
      </c>
      <c r="AB4861">
        <v>23</v>
      </c>
      <c r="AC4861">
        <v>-17.2211999999999</v>
      </c>
      <c r="AD4861">
        <v>-1.11155471235</v>
      </c>
      <c r="AE4861">
        <v>-7.1473000000000004</v>
      </c>
      <c r="AF4861">
        <v>-4.8301149541772297</v>
      </c>
      <c r="AG4861">
        <v>-1.11155471235</v>
      </c>
      <c r="AH4861">
        <v>17.9406136950251</v>
      </c>
      <c r="AI4861">
        <v>93.423761303395906</v>
      </c>
      <c r="AJ4861">
        <v>105.068338461709</v>
      </c>
      <c r="AK4861">
        <v>18.612661929537001</v>
      </c>
      <c r="AL4861">
        <v>90.111292879910195</v>
      </c>
      <c r="AM4861">
        <v>89.494426453162603</v>
      </c>
      <c r="AN4861">
        <v>1.0000000169943299</v>
      </c>
    </row>
    <row r="4862" spans="1:40" x14ac:dyDescent="0.25">
      <c r="A4862" t="str">
        <f>"20190312154933732"</f>
        <v>20190312154933732</v>
      </c>
      <c r="B4862" t="str">
        <f>"1552376973720737"</f>
        <v>1552376973720737</v>
      </c>
      <c r="C4862" t="s">
        <v>40</v>
      </c>
      <c r="D4862">
        <v>4.6188729999999998</v>
      </c>
      <c r="E4862">
        <v>0.40128649999999999</v>
      </c>
      <c r="F4862" t="s">
        <v>63</v>
      </c>
      <c r="G4862">
        <v>-401.22179999999997</v>
      </c>
      <c r="H4862" s="1">
        <v>-1.7844999999999901E-6</v>
      </c>
      <c r="I4862">
        <v>131.5378</v>
      </c>
      <c r="J4862">
        <v>-380.28370000000001</v>
      </c>
      <c r="K4862">
        <v>1.111553</v>
      </c>
      <c r="L4862">
        <v>139.96870000000001</v>
      </c>
      <c r="M4862">
        <v>-0.9910523</v>
      </c>
      <c r="N4862">
        <v>0</v>
      </c>
      <c r="O4862">
        <v>-0.13292200000000001</v>
      </c>
      <c r="P4862">
        <v>-0.99224040000000002</v>
      </c>
      <c r="Q4862">
        <v>-1.285944E-2</v>
      </c>
      <c r="R4862">
        <v>-0.1236675</v>
      </c>
      <c r="S4862">
        <v>-2.8797609999999998</v>
      </c>
      <c r="T4862">
        <v>-0.1512194</v>
      </c>
      <c r="U4862">
        <v>-1.151535</v>
      </c>
      <c r="V4862">
        <v>9.3334390000000007E-3</v>
      </c>
      <c r="W4862">
        <v>-6.8371929999999897E-4</v>
      </c>
      <c r="X4862">
        <v>0.99995619999999996</v>
      </c>
      <c r="Y4862">
        <v>-0.24443190000000001</v>
      </c>
      <c r="Z4862">
        <v>4.8412379999999999E-4</v>
      </c>
      <c r="AA4862">
        <v>0.96966629999999998</v>
      </c>
      <c r="AB4862">
        <v>23</v>
      </c>
      <c r="AC4862">
        <v>-20.938099999999899</v>
      </c>
      <c r="AD4862">
        <v>-1.1115547845</v>
      </c>
      <c r="AE4862">
        <v>-8.4308999999999994</v>
      </c>
      <c r="AF4862">
        <v>-5.5592567451266897</v>
      </c>
      <c r="AG4862">
        <v>-1.1115547845</v>
      </c>
      <c r="AH4862">
        <v>21.8200967656465</v>
      </c>
      <c r="AI4862">
        <v>92.826101251208698</v>
      </c>
      <c r="AJ4862">
        <v>104.293549292172</v>
      </c>
      <c r="AK4862">
        <v>22.5445672493255</v>
      </c>
      <c r="AL4862">
        <v>90.039174233656993</v>
      </c>
      <c r="AM4862">
        <v>89.465225442771199</v>
      </c>
      <c r="AN4862">
        <v>0.99999999123704297</v>
      </c>
    </row>
    <row r="4863" spans="1:40" x14ac:dyDescent="0.25">
      <c r="A4863" t="str">
        <f>"20190312154933752"</f>
        <v>20190312154933752</v>
      </c>
      <c r="B4863" t="str">
        <f>"1552376973740768"</f>
        <v>1552376973740768</v>
      </c>
      <c r="C4863" t="s">
        <v>40</v>
      </c>
      <c r="D4863">
        <v>4.6504029999999998</v>
      </c>
      <c r="E4863">
        <v>0.39399050000000002</v>
      </c>
      <c r="F4863" t="s">
        <v>63</v>
      </c>
      <c r="G4863">
        <v>-401.45229999999998</v>
      </c>
      <c r="H4863" s="1">
        <v>-1.8733060000000001E-6</v>
      </c>
      <c r="I4863">
        <v>131.45740000000001</v>
      </c>
      <c r="J4863">
        <v>-380.50439999999998</v>
      </c>
      <c r="K4863">
        <v>1.1115539999999999</v>
      </c>
      <c r="L4863">
        <v>139.9359</v>
      </c>
      <c r="M4863">
        <v>-0.99067559999999999</v>
      </c>
      <c r="N4863">
        <v>0</v>
      </c>
      <c r="O4863">
        <v>-0.13570979999999999</v>
      </c>
      <c r="P4863">
        <v>-0.99186779999999997</v>
      </c>
      <c r="Q4863">
        <v>-1.257891E-2</v>
      </c>
      <c r="R4863">
        <v>-0.1266514</v>
      </c>
      <c r="S4863">
        <v>-2.8772890000000002</v>
      </c>
      <c r="T4863">
        <v>-0.1510851</v>
      </c>
      <c r="U4863">
        <v>-1.156876</v>
      </c>
      <c r="V4863">
        <v>9.1387299999999994E-3</v>
      </c>
      <c r="W4863">
        <v>-5.0306020000000001E-4</v>
      </c>
      <c r="X4863">
        <v>0.99995809999999996</v>
      </c>
      <c r="Y4863">
        <v>-0.24354590000000001</v>
      </c>
      <c r="Z4863">
        <v>6.4413809999999997E-4</v>
      </c>
      <c r="AA4863">
        <v>0.96988920000000001</v>
      </c>
      <c r="AB4863">
        <v>23</v>
      </c>
      <c r="AC4863">
        <v>-20.947900000000001</v>
      </c>
      <c r="AD4863">
        <v>-1.111555873306</v>
      </c>
      <c r="AE4863">
        <v>-8.4784999999999897</v>
      </c>
      <c r="AF4863">
        <v>-5.5435979784776697</v>
      </c>
      <c r="AG4863">
        <v>-1.111555873306</v>
      </c>
      <c r="AH4863">
        <v>21.851906645704702</v>
      </c>
      <c r="AI4863">
        <v>92.822728442912407</v>
      </c>
      <c r="AJ4863">
        <v>104.235024826391</v>
      </c>
      <c r="AK4863">
        <v>22.571505467271201</v>
      </c>
      <c r="AL4863">
        <v>90.028823227931596</v>
      </c>
      <c r="AM4863">
        <v>89.476381978476297</v>
      </c>
      <c r="AN4863">
        <v>0.999999985605593</v>
      </c>
    </row>
    <row r="4864" spans="1:40" x14ac:dyDescent="0.25">
      <c r="A4864" t="str">
        <f>"20190312154933774"</f>
        <v>20190312154933774</v>
      </c>
      <c r="B4864" t="str">
        <f>"1552376973771022"</f>
        <v>1552376973771022</v>
      </c>
      <c r="C4864" t="s">
        <v>40</v>
      </c>
      <c r="D4864">
        <v>4.608333</v>
      </c>
      <c r="E4864">
        <v>0.38841819999999999</v>
      </c>
      <c r="F4864" t="s">
        <v>42</v>
      </c>
      <c r="G4864">
        <v>-399.56360000000001</v>
      </c>
      <c r="H4864" s="1">
        <v>-2.214972E-6</v>
      </c>
      <c r="I4864">
        <v>131.79730000000001</v>
      </c>
      <c r="J4864">
        <v>-380.73090000000002</v>
      </c>
      <c r="K4864">
        <v>1.111556</v>
      </c>
      <c r="L4864">
        <v>139.9015</v>
      </c>
      <c r="M4864">
        <v>-0.99027880000000001</v>
      </c>
      <c r="N4864">
        <v>0</v>
      </c>
      <c r="O4864">
        <v>-0.1385836</v>
      </c>
      <c r="P4864">
        <v>-0.9914596</v>
      </c>
      <c r="Q4864">
        <v>-1.164839E-2</v>
      </c>
      <c r="R4864">
        <v>-0.12989319999999999</v>
      </c>
      <c r="S4864">
        <v>-2.8662109999999998</v>
      </c>
      <c r="T4864">
        <v>-0.16716110000000001</v>
      </c>
      <c r="U4864">
        <v>-1.2239070000000001</v>
      </c>
      <c r="V4864">
        <v>8.768919E-3</v>
      </c>
      <c r="W4864">
        <v>3.231207E-4</v>
      </c>
      <c r="X4864">
        <v>0.99996149999999995</v>
      </c>
      <c r="Y4864">
        <v>-0.2612836</v>
      </c>
      <c r="Z4864">
        <v>3.7119539999999997E-4</v>
      </c>
      <c r="AA4864">
        <v>0.96526199999999995</v>
      </c>
      <c r="AB4864">
        <v>23</v>
      </c>
      <c r="AC4864">
        <v>-18.8326999999999</v>
      </c>
      <c r="AD4864">
        <v>-1.111558214972</v>
      </c>
      <c r="AE4864">
        <v>-8.1041999999999899</v>
      </c>
      <c r="AF4864">
        <v>-5.4000272438758996</v>
      </c>
      <c r="AG4864">
        <v>-1.111558214972</v>
      </c>
      <c r="AH4864">
        <v>19.716188327163302</v>
      </c>
      <c r="AI4864">
        <v>93.112413022259005</v>
      </c>
      <c r="AJ4864">
        <v>105.317000651744</v>
      </c>
      <c r="AK4864">
        <v>20.472516651648998</v>
      </c>
      <c r="AL4864">
        <v>89.981486547292903</v>
      </c>
      <c r="AM4864">
        <v>89.497571485044602</v>
      </c>
      <c r="AN4864">
        <v>0.99999999991483202</v>
      </c>
    </row>
    <row r="4865" spans="1:40" x14ac:dyDescent="0.25">
      <c r="A4865" t="str">
        <f>"20190312154933798"</f>
        <v>20190312154933798</v>
      </c>
      <c r="B4865" t="str">
        <f>"1552376973790542"</f>
        <v>1552376973790542</v>
      </c>
      <c r="C4865" t="s">
        <v>40</v>
      </c>
      <c r="D4865">
        <v>4.6228829999999999</v>
      </c>
      <c r="E4865">
        <v>0.38667980000000002</v>
      </c>
      <c r="F4865" t="s">
        <v>63</v>
      </c>
      <c r="G4865">
        <v>-400.12689999999998</v>
      </c>
      <c r="H4865" s="1">
        <v>-9.9549079999999991E-7</v>
      </c>
      <c r="I4865">
        <v>131.2269</v>
      </c>
      <c r="J4865">
        <v>-380.96609999999998</v>
      </c>
      <c r="K4865">
        <v>1.1115630000000001</v>
      </c>
      <c r="L4865">
        <v>139.86510000000001</v>
      </c>
      <c r="M4865">
        <v>-0.98985639999999997</v>
      </c>
      <c r="N4865">
        <v>0</v>
      </c>
      <c r="O4865">
        <v>-0.14157890000000001</v>
      </c>
      <c r="P4865">
        <v>-0.99096600000000001</v>
      </c>
      <c r="Q4865">
        <v>-1.045454E-2</v>
      </c>
      <c r="R4865">
        <v>-0.13370560000000001</v>
      </c>
      <c r="S4865">
        <v>-2.856506</v>
      </c>
      <c r="T4865">
        <v>-0.16370179999999901</v>
      </c>
      <c r="U4865">
        <v>-1.2775270000000001</v>
      </c>
      <c r="V4865">
        <v>7.944965E-3</v>
      </c>
      <c r="W4865">
        <v>1.4045869999999999E-3</v>
      </c>
      <c r="X4865">
        <v>0.99996750000000001</v>
      </c>
      <c r="Y4865">
        <v>-0.2747193</v>
      </c>
      <c r="Z4865">
        <v>1.5400399999999901E-4</v>
      </c>
      <c r="AA4865">
        <v>0.96152439999999995</v>
      </c>
      <c r="AB4865">
        <v>23</v>
      </c>
      <c r="AC4865">
        <v>-19.160799999999899</v>
      </c>
      <c r="AD4865">
        <v>-1.1115639954908001</v>
      </c>
      <c r="AE4865">
        <v>-8.6382000000000101</v>
      </c>
      <c r="AF4865">
        <v>-5.8219366683840796</v>
      </c>
      <c r="AG4865">
        <v>-1.1115639954908001</v>
      </c>
      <c r="AH4865">
        <v>20.1345223270954</v>
      </c>
      <c r="AI4865">
        <v>93.035797674228206</v>
      </c>
      <c r="AJ4865">
        <v>106.127329278839</v>
      </c>
      <c r="AK4865">
        <v>20.988794877911701</v>
      </c>
      <c r="AL4865">
        <v>89.919523070357897</v>
      </c>
      <c r="AM4865">
        <v>89.544781820845202</v>
      </c>
      <c r="AN4865">
        <v>1.0000000481948601</v>
      </c>
    </row>
    <row r="4866" spans="1:40" x14ac:dyDescent="0.25">
      <c r="A4866" t="str">
        <f>"20190312154933818"</f>
        <v>20190312154933818</v>
      </c>
      <c r="B4866" t="str">
        <f>"1552376973811038"</f>
        <v>1552376973811038</v>
      </c>
      <c r="C4866" t="s">
        <v>40</v>
      </c>
      <c r="D4866">
        <v>4.6354829999999998</v>
      </c>
      <c r="E4866">
        <v>0.3856792</v>
      </c>
      <c r="F4866" t="s">
        <v>63</v>
      </c>
      <c r="G4866">
        <v>-400.20240000000001</v>
      </c>
      <c r="H4866" s="1">
        <v>-9.5827969999999899E-7</v>
      </c>
      <c r="I4866">
        <v>131.07560000000001</v>
      </c>
      <c r="J4866">
        <v>-381.18869999999998</v>
      </c>
      <c r="K4866">
        <v>1.1115649999999999</v>
      </c>
      <c r="L4866">
        <v>139.83000000000001</v>
      </c>
      <c r="M4866">
        <v>-0.98944690000000002</v>
      </c>
      <c r="N4866">
        <v>0</v>
      </c>
      <c r="O4866">
        <v>-0.1444223</v>
      </c>
      <c r="P4866">
        <v>-0.99049370000000003</v>
      </c>
      <c r="Q4866">
        <v>-8.8296609999999904E-3</v>
      </c>
      <c r="R4866">
        <v>-0.137274799999999</v>
      </c>
      <c r="S4866">
        <v>-2.849945</v>
      </c>
      <c r="T4866">
        <v>-0.16468360000000001</v>
      </c>
      <c r="U4866">
        <v>-1.3022</v>
      </c>
      <c r="V4866">
        <v>7.2108279999999999E-3</v>
      </c>
      <c r="W4866">
        <v>2.917588E-3</v>
      </c>
      <c r="X4866">
        <v>0.99996969999999996</v>
      </c>
      <c r="Y4866">
        <v>-0.27968219999999999</v>
      </c>
      <c r="Z4866">
        <v>1.7017590000000001E-4</v>
      </c>
      <c r="AA4866">
        <v>0.96009259999999996</v>
      </c>
      <c r="AB4866">
        <v>23</v>
      </c>
      <c r="AC4866">
        <v>-19.0137</v>
      </c>
      <c r="AD4866">
        <v>-1.1115659582797</v>
      </c>
      <c r="AE4866">
        <v>-8.7544000000000004</v>
      </c>
      <c r="AF4866">
        <v>-5.8997801039807101</v>
      </c>
      <c r="AG4866">
        <v>-1.1115659582797</v>
      </c>
      <c r="AH4866">
        <v>20.022291516430901</v>
      </c>
      <c r="AI4866">
        <v>93.048275956283106</v>
      </c>
      <c r="AJ4866">
        <v>106.41816734915599</v>
      </c>
      <c r="AK4866">
        <v>20.902993606751</v>
      </c>
      <c r="AL4866">
        <v>89.832834276497195</v>
      </c>
      <c r="AM4866">
        <v>89.586844631129594</v>
      </c>
      <c r="AN4866">
        <v>0.99999995463913505</v>
      </c>
    </row>
    <row r="4867" spans="1:40" x14ac:dyDescent="0.25">
      <c r="A4867" t="str">
        <f>"20190312154933842"</f>
        <v>20190312154933842</v>
      </c>
      <c r="B4867" t="str">
        <f>"1552376973830560"</f>
        <v>1552376973830560</v>
      </c>
      <c r="C4867" t="s">
        <v>40</v>
      </c>
      <c r="D4867">
        <v>4.6438220000000001</v>
      </c>
      <c r="E4867">
        <v>0.38491609999999998</v>
      </c>
      <c r="F4867" t="s">
        <v>63</v>
      </c>
      <c r="G4867">
        <v>-400.72579999999999</v>
      </c>
      <c r="H4867" s="1">
        <v>-1.0892150000000001E-6</v>
      </c>
      <c r="I4867">
        <v>130.75980000000001</v>
      </c>
      <c r="J4867">
        <v>-381.42099999999999</v>
      </c>
      <c r="K4867">
        <v>1.1115600000000001</v>
      </c>
      <c r="L4867">
        <v>139.79259999999999</v>
      </c>
      <c r="M4867">
        <v>-0.9890099</v>
      </c>
      <c r="N4867">
        <v>0</v>
      </c>
      <c r="O4867">
        <v>-0.147395</v>
      </c>
      <c r="P4867">
        <v>-0.99000189999999999</v>
      </c>
      <c r="Q4867">
        <v>-8.1066139999999998E-3</v>
      </c>
      <c r="R4867">
        <v>-0.14082210000000001</v>
      </c>
      <c r="S4867">
        <v>-2.8443299999999998</v>
      </c>
      <c r="T4867">
        <v>-0.16182829999999901</v>
      </c>
      <c r="U4867">
        <v>-1.3204959999999999</v>
      </c>
      <c r="V4867">
        <v>6.6316569999999896E-3</v>
      </c>
      <c r="W4867">
        <v>3.5155389999999998E-3</v>
      </c>
      <c r="X4867">
        <v>0.99997179999999997</v>
      </c>
      <c r="Y4867">
        <v>-0.28261170000000002</v>
      </c>
      <c r="Z4867">
        <v>2.4416900000000003E-4</v>
      </c>
      <c r="AA4867">
        <v>0.95923440000000004</v>
      </c>
      <c r="AB4867">
        <v>23</v>
      </c>
      <c r="AC4867">
        <v>-19.3048</v>
      </c>
      <c r="AD4867">
        <v>-1.1115610892150001</v>
      </c>
      <c r="AE4867">
        <v>-9.0327999999999804</v>
      </c>
      <c r="AF4867">
        <v>-6.0719906609365397</v>
      </c>
      <c r="AG4867">
        <v>-1.1115610892150001</v>
      </c>
      <c r="AH4867">
        <v>20.369993070034699</v>
      </c>
      <c r="AI4867">
        <v>92.993537452623698</v>
      </c>
      <c r="AJ4867">
        <v>106.598532701209</v>
      </c>
      <c r="AK4867">
        <v>21.284765827107901</v>
      </c>
      <c r="AL4867">
        <v>89.798574031505197</v>
      </c>
      <c r="AM4867">
        <v>89.620028897862099</v>
      </c>
      <c r="AN4867">
        <v>0.99999996934213198</v>
      </c>
    </row>
    <row r="4868" spans="1:40" x14ac:dyDescent="0.25">
      <c r="A4868" t="str">
        <f>"20190312154933864"</f>
        <v>20190312154933864</v>
      </c>
      <c r="B4868" t="str">
        <f>"1552376973860815"</f>
        <v>1552376973860815</v>
      </c>
      <c r="C4868" t="s">
        <v>40</v>
      </c>
      <c r="D4868">
        <v>4.656523</v>
      </c>
      <c r="E4868">
        <v>0.38459719999999997</v>
      </c>
      <c r="F4868" t="s">
        <v>63</v>
      </c>
      <c r="G4868">
        <v>-400.86529999999999</v>
      </c>
      <c r="H4868" s="1">
        <v>-1.103298E-6</v>
      </c>
      <c r="I4868">
        <v>130.63630000000001</v>
      </c>
      <c r="J4868">
        <v>-381.65309999999999</v>
      </c>
      <c r="K4868">
        <v>1.1115469999999901</v>
      </c>
      <c r="L4868">
        <v>139.75470000000001</v>
      </c>
      <c r="M4868">
        <v>-0.98856370000000005</v>
      </c>
      <c r="N4868">
        <v>0</v>
      </c>
      <c r="O4868">
        <v>-0.15036849999999999</v>
      </c>
      <c r="P4868">
        <v>-0.98953959999999996</v>
      </c>
      <c r="Q4868">
        <v>-7.0521150000000003E-3</v>
      </c>
      <c r="R4868">
        <v>-0.14409179999999999</v>
      </c>
      <c r="S4868">
        <v>-2.8388059999999999</v>
      </c>
      <c r="T4868">
        <v>-0.1622845</v>
      </c>
      <c r="U4868">
        <v>-1.336792</v>
      </c>
      <c r="V4868">
        <v>6.3324169999999999E-3</v>
      </c>
      <c r="W4868">
        <v>4.4367809999999999E-3</v>
      </c>
      <c r="X4868">
        <v>0.99997009999999997</v>
      </c>
      <c r="Y4868">
        <v>-0.28495609999999999</v>
      </c>
      <c r="Z4868">
        <v>3.3795739999999998E-4</v>
      </c>
      <c r="AA4868">
        <v>0.95854050000000002</v>
      </c>
      <c r="AB4868">
        <v>23</v>
      </c>
      <c r="AC4868">
        <v>-19.212199999999999</v>
      </c>
      <c r="AD4868">
        <v>-1.1115481032979999</v>
      </c>
      <c r="AE4868">
        <v>-9.1183999999999994</v>
      </c>
      <c r="AF4868">
        <v>-6.1089218437485098</v>
      </c>
      <c r="AG4868">
        <v>-1.1115481032979999</v>
      </c>
      <c r="AH4868">
        <v>20.309454264044501</v>
      </c>
      <c r="AI4868">
        <v>93.000180841798596</v>
      </c>
      <c r="AJ4868">
        <v>106.740867815952</v>
      </c>
      <c r="AK4868">
        <v>21.2374291707421</v>
      </c>
      <c r="AL4868">
        <v>89.745790338198304</v>
      </c>
      <c r="AM4868">
        <v>89.637173233080503</v>
      </c>
      <c r="AN4868">
        <v>0.99999999271235596</v>
      </c>
    </row>
    <row r="4869" spans="1:40" x14ac:dyDescent="0.25">
      <c r="A4869" t="str">
        <f>"20190312154933877"</f>
        <v>20190312154933877</v>
      </c>
      <c r="B4869" t="str">
        <f>"1552376973870575"</f>
        <v>1552376973870575</v>
      </c>
      <c r="C4869" t="s">
        <v>40</v>
      </c>
      <c r="D4869">
        <v>4.6662650000000001</v>
      </c>
      <c r="E4869">
        <v>0.38455450000000002</v>
      </c>
      <c r="F4869" t="s">
        <v>63</v>
      </c>
      <c r="G4869">
        <v>-401.01139999999998</v>
      </c>
      <c r="H4869" s="1">
        <v>-1.1351229999999999E-6</v>
      </c>
      <c r="I4869">
        <v>130.5393</v>
      </c>
      <c r="J4869">
        <v>-381.78640000000001</v>
      </c>
      <c r="K4869">
        <v>1.1115459999999999</v>
      </c>
      <c r="L4869">
        <v>139.73240000000001</v>
      </c>
      <c r="M4869">
        <v>-0.98830320000000005</v>
      </c>
      <c r="N4869">
        <v>0</v>
      </c>
      <c r="O4869">
        <v>-0.1520763</v>
      </c>
      <c r="P4869">
        <v>-0.98923899999999998</v>
      </c>
      <c r="Q4869">
        <v>-6.541664E-3</v>
      </c>
      <c r="R4869">
        <v>-0.14616319999999999</v>
      </c>
      <c r="S4869">
        <v>-2.8341059999999998</v>
      </c>
      <c r="T4869">
        <v>-0.16273379999999901</v>
      </c>
      <c r="U4869">
        <v>-1.3491519999999999</v>
      </c>
      <c r="V4869">
        <v>5.9647959999999996E-3</v>
      </c>
      <c r="W4869">
        <v>4.869267E-3</v>
      </c>
      <c r="X4869">
        <v>0.99997040000000004</v>
      </c>
      <c r="Y4869">
        <v>-0.28732360000000001</v>
      </c>
      <c r="Z4869">
        <v>3.6461600000000001E-4</v>
      </c>
      <c r="AA4869">
        <v>0.9578335</v>
      </c>
      <c r="AB4869">
        <v>23</v>
      </c>
      <c r="AC4869">
        <v>-19.224999999999898</v>
      </c>
      <c r="AD4869">
        <v>-1.111547135123</v>
      </c>
      <c r="AE4869">
        <v>-9.19310000000001</v>
      </c>
      <c r="AF4869">
        <v>-6.1455818721541098</v>
      </c>
      <c r="AG4869">
        <v>-1.111547135123</v>
      </c>
      <c r="AH4869">
        <v>20.3441517482396</v>
      </c>
      <c r="AI4869">
        <v>92.994006013356298</v>
      </c>
      <c r="AJ4869">
        <v>106.808569548897</v>
      </c>
      <c r="AK4869">
        <v>21.281170642996798</v>
      </c>
      <c r="AL4869">
        <v>89.721010461582594</v>
      </c>
      <c r="AM4869">
        <v>89.658236300599199</v>
      </c>
      <c r="AN4869">
        <v>1.00000004471429</v>
      </c>
    </row>
    <row r="4870" spans="1:40" x14ac:dyDescent="0.25">
      <c r="A4870" t="str">
        <f>"20190312154933898"</f>
        <v>20190312154933898</v>
      </c>
      <c r="B4870" t="str">
        <f>"1552376973891070"</f>
        <v>1552376973891070</v>
      </c>
      <c r="C4870" t="s">
        <v>40</v>
      </c>
      <c r="D4870">
        <v>4.6481779999999997</v>
      </c>
      <c r="E4870">
        <v>0.38452540000000002</v>
      </c>
      <c r="F4870" t="s">
        <v>63</v>
      </c>
      <c r="G4870">
        <v>-401.2029</v>
      </c>
      <c r="H4870" s="1">
        <v>-1.1894579999999999E-6</v>
      </c>
      <c r="I4870">
        <v>130.4358</v>
      </c>
      <c r="J4870">
        <v>-382.00470000000001</v>
      </c>
      <c r="K4870">
        <v>1.111542</v>
      </c>
      <c r="L4870">
        <v>139.69560000000001</v>
      </c>
      <c r="M4870">
        <v>-0.98787009999999997</v>
      </c>
      <c r="N4870">
        <v>0</v>
      </c>
      <c r="O4870">
        <v>-0.1548746</v>
      </c>
      <c r="P4870">
        <v>-0.9887726</v>
      </c>
      <c r="Q4870">
        <v>-5.3677880000000001E-3</v>
      </c>
      <c r="R4870">
        <v>-0.14933279999999999</v>
      </c>
      <c r="S4870">
        <v>-2.8312379999999999</v>
      </c>
      <c r="T4870">
        <v>-0.1620809</v>
      </c>
      <c r="U4870">
        <v>-1.355591</v>
      </c>
      <c r="V4870">
        <v>5.5880829999999998E-3</v>
      </c>
      <c r="W4870">
        <v>5.9202019999999899E-3</v>
      </c>
      <c r="X4870">
        <v>0.99996689999999999</v>
      </c>
      <c r="Y4870">
        <v>-0.2867673</v>
      </c>
      <c r="Z4870">
        <v>5.2593829999999999E-4</v>
      </c>
      <c r="AA4870">
        <v>0.95800010000000002</v>
      </c>
      <c r="AB4870">
        <v>23</v>
      </c>
      <c r="AC4870">
        <v>-19.1981999999999</v>
      </c>
      <c r="AD4870">
        <v>-1.1115431894579999</v>
      </c>
      <c r="AE4870">
        <v>-9.2598000000000091</v>
      </c>
      <c r="AF4870">
        <v>-6.1578102074379197</v>
      </c>
      <c r="AG4870">
        <v>-1.1115431894579999</v>
      </c>
      <c r="AH4870">
        <v>20.345396039194402</v>
      </c>
      <c r="AI4870">
        <v>92.993330362907699</v>
      </c>
      <c r="AJ4870">
        <v>106.83915179893999</v>
      </c>
      <c r="AK4870">
        <v>21.285894268377</v>
      </c>
      <c r="AL4870">
        <v>89.6607954430484</v>
      </c>
      <c r="AM4870">
        <v>89.679819163355305</v>
      </c>
      <c r="AN4870">
        <v>1.00000003827947</v>
      </c>
    </row>
    <row r="4871" spans="1:40" x14ac:dyDescent="0.25">
      <c r="A4871" t="str">
        <f>"20190312154933921"</f>
        <v>20190312154933921</v>
      </c>
      <c r="B4871" t="str">
        <f>"1552376973910590"</f>
        <v>1552376973910590</v>
      </c>
      <c r="C4871" t="s">
        <v>40</v>
      </c>
      <c r="D4871">
        <v>4.6537040000000003</v>
      </c>
      <c r="E4871">
        <v>0.38447559999999997</v>
      </c>
      <c r="F4871" t="s">
        <v>63</v>
      </c>
      <c r="G4871">
        <v>-401.55939999999998</v>
      </c>
      <c r="H4871" s="1">
        <v>-1.296348E-6</v>
      </c>
      <c r="I4871">
        <v>130.25409999999999</v>
      </c>
      <c r="J4871">
        <v>-382.23430000000002</v>
      </c>
      <c r="K4871">
        <v>1.1115459999999999</v>
      </c>
      <c r="L4871">
        <v>139.65629999999999</v>
      </c>
      <c r="M4871">
        <v>-0.98740539999999999</v>
      </c>
      <c r="N4871">
        <v>0</v>
      </c>
      <c r="O4871">
        <v>-0.15781809999999999</v>
      </c>
      <c r="P4871">
        <v>-0.98827390000000004</v>
      </c>
      <c r="Q4871">
        <v>-3.76809E-3</v>
      </c>
      <c r="R4871">
        <v>-0.152645899999999</v>
      </c>
      <c r="S4871">
        <v>-2.827026</v>
      </c>
      <c r="T4871">
        <v>-0.160695799999999</v>
      </c>
      <c r="U4871">
        <v>-1.36496</v>
      </c>
      <c r="V4871">
        <v>5.210938E-3</v>
      </c>
      <c r="W4871">
        <v>7.3997940000000003E-3</v>
      </c>
      <c r="X4871">
        <v>0.99995909999999999</v>
      </c>
      <c r="Y4871">
        <v>-0.28705249999999999</v>
      </c>
      <c r="Z4871">
        <v>6.6779090000000001E-4</v>
      </c>
      <c r="AA4871">
        <v>0.95791470000000001</v>
      </c>
      <c r="AB4871">
        <v>24</v>
      </c>
      <c r="AC4871">
        <v>-19.3250999999999</v>
      </c>
      <c r="AD4871">
        <v>-1.111547296348</v>
      </c>
      <c r="AE4871">
        <v>-9.4021999999999899</v>
      </c>
      <c r="AF4871">
        <v>-6.2176859877302197</v>
      </c>
      <c r="AG4871">
        <v>-1.111547296348</v>
      </c>
      <c r="AH4871">
        <v>20.5119487479902</v>
      </c>
      <c r="AI4871">
        <v>92.968700309792396</v>
      </c>
      <c r="AJ4871">
        <v>106.863371943533</v>
      </c>
      <c r="AK4871">
        <v>21.462413607845001</v>
      </c>
      <c r="AL4871">
        <v>89.576019189006502</v>
      </c>
      <c r="AM4871">
        <v>89.701425736181903</v>
      </c>
      <c r="AN4871">
        <v>1.00000005624944</v>
      </c>
    </row>
    <row r="4872" spans="1:40" x14ac:dyDescent="0.25">
      <c r="A4872" t="str">
        <f>"20190312154933942"</f>
        <v>20190312154933942</v>
      </c>
      <c r="B4872" t="str">
        <f>"1552376973931086"</f>
        <v>1552376973931086</v>
      </c>
      <c r="C4872" t="s">
        <v>40</v>
      </c>
      <c r="D4872">
        <v>4.6827969999999999</v>
      </c>
      <c r="E4872">
        <v>0.38444159999999999</v>
      </c>
      <c r="F4872" t="s">
        <v>63</v>
      </c>
      <c r="G4872">
        <v>-402.06810000000002</v>
      </c>
      <c r="H4872" s="1">
        <v>-1.4477889999999901E-6</v>
      </c>
      <c r="I4872">
        <v>129.99279999999999</v>
      </c>
      <c r="J4872">
        <v>-382.46319999999997</v>
      </c>
      <c r="K4872">
        <v>1.1115489999999999</v>
      </c>
      <c r="L4872">
        <v>139.6163</v>
      </c>
      <c r="M4872">
        <v>-0.98693260000000005</v>
      </c>
      <c r="N4872">
        <v>0</v>
      </c>
      <c r="O4872">
        <v>-0.16075519999999999</v>
      </c>
      <c r="P4872">
        <v>-0.98770170000000002</v>
      </c>
      <c r="Q4872">
        <v>-1.395484E-3</v>
      </c>
      <c r="R4872">
        <v>-0.15634419999999999</v>
      </c>
      <c r="S4872">
        <v>-2.82254</v>
      </c>
      <c r="T4872">
        <v>-0.1581835</v>
      </c>
      <c r="U4872">
        <v>-1.3751979999999999</v>
      </c>
      <c r="V4872">
        <v>4.433172E-3</v>
      </c>
      <c r="W4872">
        <v>9.6613500000000008E-3</v>
      </c>
      <c r="X4872">
        <v>0.99994349999999999</v>
      </c>
      <c r="Y4872">
        <v>-0.28761880000000001</v>
      </c>
      <c r="Z4872">
        <v>7.9364799999999999E-4</v>
      </c>
      <c r="AA4872">
        <v>0.9577447</v>
      </c>
      <c r="AB4872">
        <v>24</v>
      </c>
      <c r="AC4872">
        <v>-19.604900000000001</v>
      </c>
      <c r="AD4872">
        <v>-1.1115504477889999</v>
      </c>
      <c r="AE4872">
        <v>-9.6234999999999999</v>
      </c>
      <c r="AF4872">
        <v>-6.3301449634357301</v>
      </c>
      <c r="AG4872">
        <v>-1.1115504477889999</v>
      </c>
      <c r="AH4872">
        <v>20.843022836087801</v>
      </c>
      <c r="AI4872">
        <v>92.9211651320242</v>
      </c>
      <c r="AJ4872">
        <v>106.893835208786</v>
      </c>
      <c r="AK4872">
        <v>21.8114162905981</v>
      </c>
      <c r="AL4872">
        <v>89.446436808036097</v>
      </c>
      <c r="AM4872">
        <v>89.745985266849004</v>
      </c>
      <c r="AN4872">
        <v>0.999999998945026</v>
      </c>
    </row>
    <row r="4873" spans="1:40" x14ac:dyDescent="0.25">
      <c r="A4873" t="str">
        <f>"20190312154933965"</f>
        <v>20190312154933965</v>
      </c>
      <c r="B4873" t="str">
        <f>"1552376973961343"</f>
        <v>1552376973961343</v>
      </c>
      <c r="C4873" t="s">
        <v>40</v>
      </c>
      <c r="D4873">
        <v>4.7115179999999999</v>
      </c>
      <c r="E4873">
        <v>0.384434</v>
      </c>
      <c r="F4873" t="s">
        <v>63</v>
      </c>
      <c r="G4873">
        <v>-402.7894</v>
      </c>
      <c r="H4873">
        <v>1.076103E-2</v>
      </c>
      <c r="I4873">
        <v>129.6163</v>
      </c>
      <c r="J4873">
        <v>-382.68950000000001</v>
      </c>
      <c r="K4873">
        <v>1.111553</v>
      </c>
      <c r="L4873">
        <v>139.5761</v>
      </c>
      <c r="M4873">
        <v>-0.98645590000000005</v>
      </c>
      <c r="N4873">
        <v>0</v>
      </c>
      <c r="O4873">
        <v>-0.16366140000000001</v>
      </c>
      <c r="P4873">
        <v>-0.98708960000000001</v>
      </c>
      <c r="Q4873">
        <v>8.9543499999999998E-4</v>
      </c>
      <c r="R4873">
        <v>-0.16016639999999999</v>
      </c>
      <c r="S4873">
        <v>-2.8177189999999999</v>
      </c>
      <c r="T4873">
        <v>-0.1525965</v>
      </c>
      <c r="U4873">
        <v>-1.3862460000000001</v>
      </c>
      <c r="V4873">
        <v>3.497202E-3</v>
      </c>
      <c r="W4873">
        <v>1.185229E-2</v>
      </c>
      <c r="X4873">
        <v>0.99992360000000002</v>
      </c>
      <c r="Y4873">
        <v>-0.28848439999999997</v>
      </c>
      <c r="Z4873">
        <v>8.8794579999999996E-4</v>
      </c>
      <c r="AA4873">
        <v>0.95748420000000001</v>
      </c>
      <c r="AB4873">
        <v>24</v>
      </c>
      <c r="AC4873">
        <v>-20.099899999999899</v>
      </c>
      <c r="AD4873">
        <v>-1.10079197</v>
      </c>
      <c r="AE4873">
        <v>-9.9597999999999995</v>
      </c>
      <c r="AF4873">
        <v>-6.5200163136026204</v>
      </c>
      <c r="AG4873">
        <v>-1.10079197</v>
      </c>
      <c r="AH4873">
        <v>21.407433830668602</v>
      </c>
      <c r="AI4873">
        <v>92.816116711410501</v>
      </c>
      <c r="AJ4873">
        <v>106.93905061974699</v>
      </c>
      <c r="AK4873">
        <v>22.405369421308698</v>
      </c>
      <c r="AL4873">
        <v>89.320897875593104</v>
      </c>
      <c r="AM4873">
        <v>89.799610592553293</v>
      </c>
      <c r="AN4873">
        <v>0.99999995651851503</v>
      </c>
    </row>
    <row r="4874" spans="1:40" x14ac:dyDescent="0.25">
      <c r="A4874" t="str">
        <f>"20190312154933988"</f>
        <v>20190312154933988</v>
      </c>
      <c r="B4874" t="str">
        <f>"1552376973980862"</f>
        <v>1552376973980862</v>
      </c>
      <c r="C4874" t="s">
        <v>40</v>
      </c>
      <c r="D4874">
        <v>4.6929639999999999</v>
      </c>
      <c r="E4874">
        <v>0.38444</v>
      </c>
      <c r="F4874" t="s">
        <v>63</v>
      </c>
      <c r="G4874">
        <v>-402.73250000000002</v>
      </c>
      <c r="H4874">
        <v>4.477602E-2</v>
      </c>
      <c r="I4874">
        <v>129.6163</v>
      </c>
      <c r="J4874">
        <v>-382.93209999999999</v>
      </c>
      <c r="K4874">
        <v>1.1115619999999999</v>
      </c>
      <c r="L4874">
        <v>139.53219999999999</v>
      </c>
      <c r="M4874">
        <v>-0.98593439999999999</v>
      </c>
      <c r="N4874">
        <v>0</v>
      </c>
      <c r="O4874">
        <v>-0.16678119999999999</v>
      </c>
      <c r="P4874">
        <v>-0.98650329999999997</v>
      </c>
      <c r="Q4874">
        <v>2.8210359999999999E-3</v>
      </c>
      <c r="R4874">
        <v>-0.16371830000000001</v>
      </c>
      <c r="S4874">
        <v>-2.8125610000000001</v>
      </c>
      <c r="T4874">
        <v>-0.1496961</v>
      </c>
      <c r="U4874">
        <v>-1.3976139999999999</v>
      </c>
      <c r="V4874">
        <v>3.051836E-3</v>
      </c>
      <c r="W4874">
        <v>1.368463E-2</v>
      </c>
      <c r="X4874">
        <v>0.9999017</v>
      </c>
      <c r="Y4874">
        <v>-0.28926740000000001</v>
      </c>
      <c r="Z4874">
        <v>1.0036330000000001E-3</v>
      </c>
      <c r="AA4874">
        <v>0.95724779999999998</v>
      </c>
      <c r="AB4874">
        <v>24</v>
      </c>
      <c r="AC4874">
        <v>-19.8004</v>
      </c>
      <c r="AD4874">
        <v>-1.0667859799999999</v>
      </c>
      <c r="AE4874">
        <v>-9.9158999999999899</v>
      </c>
      <c r="AF4874">
        <v>-6.4594818855340002</v>
      </c>
      <c r="AG4874">
        <v>-1.0667859799999999</v>
      </c>
      <c r="AH4874">
        <v>21.127892482990099</v>
      </c>
      <c r="AI4874">
        <v>92.7644114253293</v>
      </c>
      <c r="AJ4874">
        <v>107.000091560448</v>
      </c>
      <c r="AK4874">
        <v>22.1190139773331</v>
      </c>
      <c r="AL4874">
        <v>89.215903979722896</v>
      </c>
      <c r="AM4874">
        <v>89.825126030282703</v>
      </c>
      <c r="AN4874">
        <v>0.99999999623204805</v>
      </c>
    </row>
    <row r="4875" spans="1:40" x14ac:dyDescent="0.25">
      <c r="A4875" t="str">
        <f>"20190312154934009"</f>
        <v>20190312154934009</v>
      </c>
      <c r="B4875" t="str">
        <f>"1552376974000382"</f>
        <v>1552376974000382</v>
      </c>
      <c r="C4875" t="s">
        <v>40</v>
      </c>
      <c r="D4875">
        <v>4.7220959999999996</v>
      </c>
      <c r="E4875">
        <v>0.38443699999999997</v>
      </c>
      <c r="F4875" t="s">
        <v>63</v>
      </c>
      <c r="G4875">
        <v>-402.76150000000001</v>
      </c>
      <c r="H4875">
        <v>7.8124260000000001E-2</v>
      </c>
      <c r="I4875">
        <v>129.5882</v>
      </c>
      <c r="J4875">
        <v>-383.14620000000002</v>
      </c>
      <c r="K4875">
        <v>1.111569</v>
      </c>
      <c r="L4875">
        <v>139.49279999999999</v>
      </c>
      <c r="M4875">
        <v>-0.98546529999999999</v>
      </c>
      <c r="N4875">
        <v>0</v>
      </c>
      <c r="O4875">
        <v>-0.1695345</v>
      </c>
      <c r="P4875">
        <v>-0.98599709999999996</v>
      </c>
      <c r="Q4875">
        <v>4.5398859999999999E-3</v>
      </c>
      <c r="R4875">
        <v>-0.16670119999999999</v>
      </c>
      <c r="S4875">
        <v>-2.8077999999999999</v>
      </c>
      <c r="T4875">
        <v>-0.14633270000000001</v>
      </c>
      <c r="U4875">
        <v>-1.4080509999999999</v>
      </c>
      <c r="V4875">
        <v>2.8115150000000001E-3</v>
      </c>
      <c r="W4875">
        <v>1.5330969999999999E-2</v>
      </c>
      <c r="X4875">
        <v>0.9998785</v>
      </c>
      <c r="Y4875">
        <v>-0.29009570000000001</v>
      </c>
      <c r="Z4875">
        <v>1.092125E-3</v>
      </c>
      <c r="AA4875">
        <v>0.95699699999999999</v>
      </c>
      <c r="AB4875">
        <v>24</v>
      </c>
      <c r="AC4875">
        <v>-19.615299999999898</v>
      </c>
      <c r="AD4875">
        <v>-1.03344474</v>
      </c>
      <c r="AE4875">
        <v>-9.9045999999999808</v>
      </c>
      <c r="AF4875">
        <v>-6.4213405031273698</v>
      </c>
      <c r="AG4875">
        <v>-1.03344474</v>
      </c>
      <c r="AH4875">
        <v>20.964220263470999</v>
      </c>
      <c r="AI4875">
        <v>92.698590614664795</v>
      </c>
      <c r="AJ4875">
        <v>107.029826031767</v>
      </c>
      <c r="AK4875">
        <v>21.949946540779202</v>
      </c>
      <c r="AL4875">
        <v>89.121565691426298</v>
      </c>
      <c r="AM4875">
        <v>89.838892906497705</v>
      </c>
      <c r="AN4875">
        <v>0.99999997900999205</v>
      </c>
    </row>
    <row r="4876" spans="1:40" x14ac:dyDescent="0.25">
      <c r="A4876" t="str">
        <f>"20190312154934031"</f>
        <v>20190312154934031</v>
      </c>
      <c r="B4876" t="str">
        <f>"1552376974020879"</f>
        <v>1552376974020879</v>
      </c>
      <c r="C4876" t="s">
        <v>40</v>
      </c>
      <c r="D4876">
        <v>4.6886349999999997</v>
      </c>
      <c r="E4876">
        <v>0.38456059999999997</v>
      </c>
      <c r="F4876" t="s">
        <v>63</v>
      </c>
      <c r="G4876">
        <v>-403.35050000000001</v>
      </c>
      <c r="H4876">
        <v>7.9986979999999999E-2</v>
      </c>
      <c r="I4876">
        <v>129.28129999999999</v>
      </c>
      <c r="J4876">
        <v>-383.38119999999998</v>
      </c>
      <c r="K4876">
        <v>1.11158</v>
      </c>
      <c r="L4876">
        <v>139.44880000000001</v>
      </c>
      <c r="M4876">
        <v>-0.98494079999999995</v>
      </c>
      <c r="N4876">
        <v>0</v>
      </c>
      <c r="O4876">
        <v>-0.17255989999999999</v>
      </c>
      <c r="P4876">
        <v>-0.98548279999999999</v>
      </c>
      <c r="Q4876">
        <v>6.0424099999999998E-3</v>
      </c>
      <c r="R4876">
        <v>-0.1696674</v>
      </c>
      <c r="S4876">
        <v>-2.8036799999999999</v>
      </c>
      <c r="T4876">
        <v>-0.1431491</v>
      </c>
      <c r="U4876">
        <v>-1.4170229999999999</v>
      </c>
      <c r="V4876">
        <v>2.864512E-3</v>
      </c>
      <c r="W4876">
        <v>1.676416E-2</v>
      </c>
      <c r="X4876">
        <v>0.9998553</v>
      </c>
      <c r="Y4876">
        <v>-0.29017159999999997</v>
      </c>
      <c r="Z4876">
        <v>1.2077889999999999E-3</v>
      </c>
      <c r="AA4876">
        <v>0.95697390000000004</v>
      </c>
      <c r="AB4876">
        <v>24</v>
      </c>
      <c r="AC4876">
        <v>-19.9693</v>
      </c>
      <c r="AD4876">
        <v>-1.0315930200000001</v>
      </c>
      <c r="AE4876">
        <v>-10.1675</v>
      </c>
      <c r="AF4876">
        <v>-6.5549702832656296</v>
      </c>
      <c r="AG4876">
        <v>-1.0315930200000001</v>
      </c>
      <c r="AH4876">
        <v>21.3790023565467</v>
      </c>
      <c r="AI4876">
        <v>92.641346981494493</v>
      </c>
      <c r="AJ4876">
        <v>107.045951478443</v>
      </c>
      <c r="AK4876">
        <v>22.3851191941128</v>
      </c>
      <c r="AL4876">
        <v>89.039439323547199</v>
      </c>
      <c r="AM4876">
        <v>89.835852248887406</v>
      </c>
      <c r="AN4876">
        <v>0.99999993171379398</v>
      </c>
    </row>
    <row r="4877" spans="1:40" x14ac:dyDescent="0.25">
      <c r="A4877" t="str">
        <f>"20190312154934055"</f>
        <v>20190312154934055</v>
      </c>
      <c r="B4877" t="str">
        <f>"1552376974051135"</f>
        <v>1552376974051135</v>
      </c>
      <c r="C4877" t="s">
        <v>40</v>
      </c>
      <c r="D4877">
        <v>4.6894159999999996</v>
      </c>
      <c r="E4877">
        <v>0.3889707</v>
      </c>
      <c r="F4877" t="s">
        <v>63</v>
      </c>
      <c r="G4877">
        <v>-403.73500000000001</v>
      </c>
      <c r="H4877">
        <v>7.9986970000000004E-2</v>
      </c>
      <c r="I4877">
        <v>129.09219999999999</v>
      </c>
      <c r="J4877">
        <v>-383.61660000000001</v>
      </c>
      <c r="K4877">
        <v>1.111585</v>
      </c>
      <c r="L4877">
        <v>139.4041</v>
      </c>
      <c r="M4877">
        <v>-0.98440550000000004</v>
      </c>
      <c r="N4877">
        <v>0</v>
      </c>
      <c r="O4877">
        <v>-0.17559240000000001</v>
      </c>
      <c r="P4877">
        <v>-0.98503969999999996</v>
      </c>
      <c r="Q4877">
        <v>6.3137209999999996E-3</v>
      </c>
      <c r="R4877">
        <v>-0.1722129</v>
      </c>
      <c r="S4877">
        <v>-2.7997740000000002</v>
      </c>
      <c r="T4877">
        <v>-0.1419011</v>
      </c>
      <c r="U4877">
        <v>-1.424606</v>
      </c>
      <c r="V4877">
        <v>3.3591620000000002E-3</v>
      </c>
      <c r="W4877">
        <v>1.6977269999999999E-2</v>
      </c>
      <c r="X4877">
        <v>0.99985020000000002</v>
      </c>
      <c r="Y4877">
        <v>-0.28982859999999899</v>
      </c>
      <c r="Z4877">
        <v>1.3459360000000001E-3</v>
      </c>
      <c r="AA4877">
        <v>0.95707759999999997</v>
      </c>
      <c r="AB4877">
        <v>24</v>
      </c>
      <c r="AC4877">
        <v>-20.118400000000001</v>
      </c>
      <c r="AD4877">
        <v>-1.0315980300000001</v>
      </c>
      <c r="AE4877">
        <v>-10.3119</v>
      </c>
      <c r="AF4877">
        <v>-6.6050740597180102</v>
      </c>
      <c r="AG4877">
        <v>-1.0315980300000001</v>
      </c>
      <c r="AH4877">
        <v>21.571660508945001</v>
      </c>
      <c r="AI4877">
        <v>92.618106955630495</v>
      </c>
      <c r="AJ4877">
        <v>107.024179244116</v>
      </c>
      <c r="AK4877">
        <v>22.583793634884199</v>
      </c>
      <c r="AL4877">
        <v>89.027227315472601</v>
      </c>
      <c r="AM4877">
        <v>89.807506083248597</v>
      </c>
      <c r="AN4877">
        <v>0.99999996705301697</v>
      </c>
    </row>
    <row r="4878" spans="1:40" x14ac:dyDescent="0.25">
      <c r="A4878" t="str">
        <f>"20190312154934076"</f>
        <v>20190312154934076</v>
      </c>
      <c r="B4878" t="str">
        <f>"1552376974070655"</f>
        <v>1552376974070655</v>
      </c>
      <c r="C4878" t="s">
        <v>40</v>
      </c>
      <c r="D4878">
        <v>4.6807879999999997</v>
      </c>
      <c r="E4878">
        <v>0.38875179999999998</v>
      </c>
      <c r="F4878" t="s">
        <v>42</v>
      </c>
      <c r="G4878">
        <v>-398.5335</v>
      </c>
      <c r="H4878" s="1">
        <v>-2.5249000000000002E-6</v>
      </c>
      <c r="I4878">
        <v>131.94990000000001</v>
      </c>
      <c r="J4878">
        <v>-383.85070000000002</v>
      </c>
      <c r="K4878">
        <v>1.111585</v>
      </c>
      <c r="L4878">
        <v>139.3588</v>
      </c>
      <c r="M4878">
        <v>-0.98386320000000005</v>
      </c>
      <c r="N4878">
        <v>0</v>
      </c>
      <c r="O4878">
        <v>-0.17860870000000001</v>
      </c>
      <c r="P4878">
        <v>-0.98470659999999999</v>
      </c>
      <c r="Q4878">
        <v>6.473843E-3</v>
      </c>
      <c r="R4878">
        <v>-0.1741009</v>
      </c>
      <c r="S4878">
        <v>-2.802063</v>
      </c>
      <c r="T4878">
        <v>-0.2088062</v>
      </c>
      <c r="U4878">
        <v>-1.4002079999999999</v>
      </c>
      <c r="V4878">
        <v>4.5059949999999996E-3</v>
      </c>
      <c r="W4878">
        <v>1.7091220000000001E-2</v>
      </c>
      <c r="X4878">
        <v>0.99984379999999995</v>
      </c>
      <c r="Y4878">
        <v>-0.27981139999999999</v>
      </c>
      <c r="Z4878">
        <v>2.5407479999999998E-3</v>
      </c>
      <c r="AA4878">
        <v>0.96005169999999995</v>
      </c>
      <c r="AB4878">
        <v>24</v>
      </c>
      <c r="AC4878">
        <v>-14.682799999999901</v>
      </c>
      <c r="AD4878">
        <v>-1.1115875249</v>
      </c>
      <c r="AE4878">
        <v>-7.4088999999999796</v>
      </c>
      <c r="AF4878">
        <v>-4.6459058724483402</v>
      </c>
      <c r="AG4878">
        <v>-1.1115875249</v>
      </c>
      <c r="AH4878">
        <v>15.6983295841224</v>
      </c>
      <c r="AI4878">
        <v>93.884320165275199</v>
      </c>
      <c r="AJ4878">
        <v>106.486070102854</v>
      </c>
      <c r="AK4878">
        <v>16.409071269663499</v>
      </c>
      <c r="AL4878">
        <v>89.020697564718105</v>
      </c>
      <c r="AM4878">
        <v>89.741786918958596</v>
      </c>
      <c r="AN4878">
        <v>1.0000000190952301</v>
      </c>
    </row>
    <row r="4879" spans="1:40" x14ac:dyDescent="0.25">
      <c r="A4879" t="str">
        <f>"20190312154934099"</f>
        <v>20190312154934099</v>
      </c>
      <c r="B4879" t="str">
        <f>"1552376974091150"</f>
        <v>1552376974091150</v>
      </c>
      <c r="C4879" t="s">
        <v>40</v>
      </c>
      <c r="D4879">
        <v>4.6597739999999996</v>
      </c>
      <c r="E4879">
        <v>0.38890360000000002</v>
      </c>
      <c r="F4879" t="s">
        <v>42</v>
      </c>
      <c r="G4879">
        <v>-398.75560000000002</v>
      </c>
      <c r="H4879" s="1">
        <v>-2.4715750000000001E-6</v>
      </c>
      <c r="I4879">
        <v>131.8663</v>
      </c>
      <c r="J4879">
        <v>-384.08609999999999</v>
      </c>
      <c r="K4879">
        <v>1.111591</v>
      </c>
      <c r="L4879">
        <v>139.3125</v>
      </c>
      <c r="M4879">
        <v>-0.98330839999999997</v>
      </c>
      <c r="N4879">
        <v>0</v>
      </c>
      <c r="O4879">
        <v>-0.18164050000000001</v>
      </c>
      <c r="P4879">
        <v>-0.98438159999999997</v>
      </c>
      <c r="Q4879">
        <v>6.6629439999999996E-3</v>
      </c>
      <c r="R4879">
        <v>-0.1759233</v>
      </c>
      <c r="S4879">
        <v>-2.799194</v>
      </c>
      <c r="T4879">
        <v>-0.20876059999999999</v>
      </c>
      <c r="U4879">
        <v>-1.4071039999999999</v>
      </c>
      <c r="V4879">
        <v>5.7362649999999999E-3</v>
      </c>
      <c r="W4879">
        <v>1.724092E-2</v>
      </c>
      <c r="X4879">
        <v>0.99983489999999997</v>
      </c>
      <c r="Y4879">
        <v>-0.2791438</v>
      </c>
      <c r="Z4879">
        <v>2.7700590000000001E-3</v>
      </c>
      <c r="AA4879">
        <v>0.96024529999999997</v>
      </c>
      <c r="AB4879">
        <v>24</v>
      </c>
      <c r="AC4879">
        <v>-14.669499999999999</v>
      </c>
      <c r="AD4879">
        <v>-1.111593471575</v>
      </c>
      <c r="AE4879">
        <v>-7.4462000000000002</v>
      </c>
      <c r="AF4879">
        <v>-4.6364267763424598</v>
      </c>
      <c r="AG4879">
        <v>-1.111593471575</v>
      </c>
      <c r="AH4879">
        <v>15.706343091025101</v>
      </c>
      <c r="AI4879">
        <v>93.8831590235405</v>
      </c>
      <c r="AJ4879">
        <v>106.446312828651</v>
      </c>
      <c r="AK4879">
        <v>16.4140581999524</v>
      </c>
      <c r="AL4879">
        <v>89.012119094570906</v>
      </c>
      <c r="AM4879">
        <v>89.671285560561699</v>
      </c>
      <c r="AN4879">
        <v>0.99999999065830303</v>
      </c>
    </row>
    <row r="4880" spans="1:40" x14ac:dyDescent="0.25">
      <c r="A4880" t="str">
        <f>"20190312154934122"</f>
        <v>20190312154934122</v>
      </c>
      <c r="B4880" t="str">
        <f>"1552376974110671"</f>
        <v>1552376974110671</v>
      </c>
      <c r="C4880" t="s">
        <v>40</v>
      </c>
      <c r="D4880">
        <v>4.6275110000000002</v>
      </c>
      <c r="E4880">
        <v>0.38890740000000001</v>
      </c>
      <c r="F4880" t="s">
        <v>42</v>
      </c>
      <c r="G4880">
        <v>-398.6388</v>
      </c>
      <c r="H4880" s="1">
        <v>-2.484613E-6</v>
      </c>
      <c r="I4880">
        <v>131.9667</v>
      </c>
      <c r="J4880">
        <v>-384.31810000000002</v>
      </c>
      <c r="K4880">
        <v>1.111585</v>
      </c>
      <c r="L4880">
        <v>139.2662</v>
      </c>
      <c r="M4880">
        <v>-0.98275239999999997</v>
      </c>
      <c r="N4880">
        <v>0</v>
      </c>
      <c r="O4880">
        <v>-0.18462719999999999</v>
      </c>
      <c r="P4880">
        <v>-0.9840044</v>
      </c>
      <c r="Q4880">
        <v>7.1412919999999996E-3</v>
      </c>
      <c r="R4880">
        <v>-0.17800060000000001</v>
      </c>
      <c r="S4880">
        <v>-2.7967219999999999</v>
      </c>
      <c r="T4880">
        <v>-0.2136258</v>
      </c>
      <c r="U4880">
        <v>-1.411697</v>
      </c>
      <c r="V4880">
        <v>6.660671E-3</v>
      </c>
      <c r="W4880">
        <v>1.7685269999999999E-2</v>
      </c>
      <c r="X4880">
        <v>0.99982139999999997</v>
      </c>
      <c r="Y4880">
        <v>-0.27782390000000001</v>
      </c>
      <c r="Z4880">
        <v>3.0903409999999999E-3</v>
      </c>
      <c r="AA4880">
        <v>0.96062700000000001</v>
      </c>
      <c r="AB4880">
        <v>24</v>
      </c>
      <c r="AC4880">
        <v>-14.320699999999899</v>
      </c>
      <c r="AD4880">
        <v>-1.1115874846130001</v>
      </c>
      <c r="AE4880">
        <v>-7.2994999999999903</v>
      </c>
      <c r="AF4880">
        <v>-4.5082998576836104</v>
      </c>
      <c r="AG4880">
        <v>-1.1115874846130001</v>
      </c>
      <c r="AH4880">
        <v>15.3488352449406</v>
      </c>
      <c r="AI4880">
        <v>93.974878473338407</v>
      </c>
      <c r="AJ4880">
        <v>106.36870590493299</v>
      </c>
      <c r="AK4880">
        <v>16.035807984603299</v>
      </c>
      <c r="AL4880">
        <v>88.986655823405101</v>
      </c>
      <c r="AM4880">
        <v>89.618309138441305</v>
      </c>
      <c r="AN4880">
        <v>0.99999998260555101</v>
      </c>
    </row>
    <row r="4881" spans="1:40" x14ac:dyDescent="0.25">
      <c r="A4881" t="str">
        <f>"20190312154934143"</f>
        <v>20190312154934143</v>
      </c>
      <c r="B4881" t="str">
        <f>"1552376974131167"</f>
        <v>1552376974131167</v>
      </c>
      <c r="C4881" t="s">
        <v>40</v>
      </c>
      <c r="D4881">
        <v>4.5747390000000001</v>
      </c>
      <c r="E4881">
        <v>0.4030203</v>
      </c>
      <c r="F4881" t="s">
        <v>42</v>
      </c>
      <c r="G4881">
        <v>-398.91059999999999</v>
      </c>
      <c r="H4881" s="1">
        <v>-2.419658E-6</v>
      </c>
      <c r="I4881">
        <v>131.86320000000001</v>
      </c>
      <c r="J4881">
        <v>-384.54489999999998</v>
      </c>
      <c r="K4881">
        <v>1.1115900000000001</v>
      </c>
      <c r="L4881">
        <v>139.22020000000001</v>
      </c>
      <c r="M4881">
        <v>-0.98220019999999997</v>
      </c>
      <c r="N4881">
        <v>0</v>
      </c>
      <c r="O4881">
        <v>-0.18754509999999999</v>
      </c>
      <c r="P4881">
        <v>-0.98360429999999999</v>
      </c>
      <c r="Q4881">
        <v>7.7865240000000004E-3</v>
      </c>
      <c r="R4881">
        <v>-0.18017340000000001</v>
      </c>
      <c r="S4881">
        <v>-2.7939150000000001</v>
      </c>
      <c r="T4881">
        <v>-0.21282789999999999</v>
      </c>
      <c r="U4881">
        <v>-1.417389</v>
      </c>
      <c r="V4881">
        <v>7.4179279999999998E-3</v>
      </c>
      <c r="W4881">
        <v>1.8305539999999999E-2</v>
      </c>
      <c r="X4881">
        <v>0.9998049</v>
      </c>
      <c r="Y4881">
        <v>-0.27692689999999998</v>
      </c>
      <c r="Z4881">
        <v>3.313809E-3</v>
      </c>
      <c r="AA4881">
        <v>0.96088530000000005</v>
      </c>
      <c r="AB4881">
        <v>24</v>
      </c>
      <c r="AC4881">
        <v>-14.3657</v>
      </c>
      <c r="AD4881">
        <v>-1.11159241965799</v>
      </c>
      <c r="AE4881">
        <v>-7.3569999999999904</v>
      </c>
      <c r="AF4881">
        <v>-4.51068283772823</v>
      </c>
      <c r="AG4881">
        <v>-1.11159241965799</v>
      </c>
      <c r="AH4881">
        <v>15.4174810867855</v>
      </c>
      <c r="AI4881">
        <v>93.958482534169505</v>
      </c>
      <c r="AJ4881">
        <v>106.307859665455</v>
      </c>
      <c r="AK4881">
        <v>16.102193031739699</v>
      </c>
      <c r="AL4881">
        <v>88.951111208743001</v>
      </c>
      <c r="AM4881">
        <v>89.574908895972897</v>
      </c>
      <c r="AN4881">
        <v>0.99999997825725695</v>
      </c>
    </row>
    <row r="4882" spans="1:40" x14ac:dyDescent="0.25">
      <c r="A4882" t="str">
        <f>"20190312154934166"</f>
        <v>20190312154934166</v>
      </c>
      <c r="B4882" t="str">
        <f>"1552376974160447"</f>
        <v>1552376974160447</v>
      </c>
      <c r="C4882" t="s">
        <v>40</v>
      </c>
      <c r="D4882">
        <v>4.5609820000000001</v>
      </c>
      <c r="E4882">
        <v>0.4044333</v>
      </c>
      <c r="F4882" t="s">
        <v>63</v>
      </c>
      <c r="G4882">
        <v>-400.45310000000001</v>
      </c>
      <c r="H4882" s="1">
        <v>-1.482376E-6</v>
      </c>
      <c r="I4882">
        <v>131.7945</v>
      </c>
      <c r="J4882">
        <v>-384.77910000000003</v>
      </c>
      <c r="K4882">
        <v>1.1115999999999999</v>
      </c>
      <c r="L4882">
        <v>139.172</v>
      </c>
      <c r="M4882">
        <v>-0.98162039999999995</v>
      </c>
      <c r="N4882">
        <v>0</v>
      </c>
      <c r="O4882">
        <v>-0.19055649999999999</v>
      </c>
      <c r="P4882">
        <v>-0.98302929999999999</v>
      </c>
      <c r="Q4882">
        <v>7.6054169999999997E-3</v>
      </c>
      <c r="R4882">
        <v>-0.1832918</v>
      </c>
      <c r="S4882">
        <v>-2.8111570000000001</v>
      </c>
      <c r="T4882">
        <v>-0.19643060000000001</v>
      </c>
      <c r="U4882">
        <v>-1.3122100000000001</v>
      </c>
      <c r="V4882">
        <v>7.3146080000000002E-3</v>
      </c>
      <c r="W4882">
        <v>1.8104820000000001E-2</v>
      </c>
      <c r="X4882">
        <v>0.99980930000000001</v>
      </c>
      <c r="Y4882">
        <v>-0.2424375</v>
      </c>
      <c r="Z4882">
        <v>4.4129909999999998E-3</v>
      </c>
      <c r="AA4882">
        <v>0.97015700000000005</v>
      </c>
      <c r="AB4882">
        <v>24</v>
      </c>
      <c r="AC4882">
        <v>-15.6739999999999</v>
      </c>
      <c r="AD4882">
        <v>-1.1116014823760001</v>
      </c>
      <c r="AE4882">
        <v>-7.3774999999999897</v>
      </c>
      <c r="AF4882">
        <v>-4.2379057242359801</v>
      </c>
      <c r="AG4882">
        <v>-1.1116014823760001</v>
      </c>
      <c r="AH4882">
        <v>16.7238094216126</v>
      </c>
      <c r="AI4882">
        <v>93.686566550726894</v>
      </c>
      <c r="AJ4882">
        <v>104.21974029374201</v>
      </c>
      <c r="AK4882">
        <v>17.2881839518659</v>
      </c>
      <c r="AL4882">
        <v>88.962613507454193</v>
      </c>
      <c r="AM4882">
        <v>89.580831374331098</v>
      </c>
      <c r="AN4882">
        <v>0.99999996218195697</v>
      </c>
    </row>
    <row r="4883" spans="1:40" x14ac:dyDescent="0.25">
      <c r="A4883" t="str">
        <f>"20190312154934187"</f>
        <v>20190312154934187</v>
      </c>
      <c r="B4883" t="str">
        <f>"1552376974180943"</f>
        <v>1552376974180943</v>
      </c>
      <c r="C4883" t="s">
        <v>40</v>
      </c>
      <c r="D4883">
        <v>4.5228169999999999</v>
      </c>
      <c r="E4883">
        <v>0.40449649999999998</v>
      </c>
      <c r="F4883" t="s">
        <v>63</v>
      </c>
      <c r="G4883">
        <v>-400.88080000000002</v>
      </c>
      <c r="H4883" s="1">
        <v>-1.656463E-6</v>
      </c>
      <c r="I4883">
        <v>131.66290000000001</v>
      </c>
      <c r="J4883">
        <v>-385.0093</v>
      </c>
      <c r="K4883">
        <v>1.111599</v>
      </c>
      <c r="L4883">
        <v>139.12379999999999</v>
      </c>
      <c r="M4883">
        <v>-0.9810411</v>
      </c>
      <c r="N4883">
        <v>0</v>
      </c>
      <c r="O4883">
        <v>-0.19351760000000001</v>
      </c>
      <c r="P4883">
        <v>-0.98239140000000003</v>
      </c>
      <c r="Q4883">
        <v>7.2733030000000001E-3</v>
      </c>
      <c r="R4883">
        <v>-0.18669330000000001</v>
      </c>
      <c r="S4883">
        <v>-2.8090519999999999</v>
      </c>
      <c r="T4883">
        <v>-0.1939256</v>
      </c>
      <c r="U4883">
        <v>-1.309998</v>
      </c>
      <c r="V4883">
        <v>6.8725009999999996E-3</v>
      </c>
      <c r="W4883">
        <v>1.7757740000000001E-2</v>
      </c>
      <c r="X4883">
        <v>0.99981869999999995</v>
      </c>
      <c r="Y4883">
        <v>-0.23917430000000001</v>
      </c>
      <c r="Z4883">
        <v>4.6549809999999999E-3</v>
      </c>
      <c r="AA4883">
        <v>0.97096550000000004</v>
      </c>
      <c r="AB4883">
        <v>24</v>
      </c>
      <c r="AC4883">
        <v>-15.871499999999999</v>
      </c>
      <c r="AD4883">
        <v>-1.1116006564630001</v>
      </c>
      <c r="AE4883">
        <v>-7.4608999999999801</v>
      </c>
      <c r="AF4883">
        <v>-4.2312680697352896</v>
      </c>
      <c r="AG4883">
        <v>-1.1116006564630001</v>
      </c>
      <c r="AH4883">
        <v>16.947253844076201</v>
      </c>
      <c r="AI4883">
        <v>93.641294407869097</v>
      </c>
      <c r="AJ4883">
        <v>104.018596911092</v>
      </c>
      <c r="AK4883">
        <v>17.5028197257746</v>
      </c>
      <c r="AL4883">
        <v>88.982502964478698</v>
      </c>
      <c r="AM4883">
        <v>89.606169497948301</v>
      </c>
      <c r="AN4883">
        <v>1.00000000073479</v>
      </c>
    </row>
    <row r="4884" spans="1:40" x14ac:dyDescent="0.25">
      <c r="A4884" t="str">
        <f>"20190312154934211"</f>
        <v>20190312154934211</v>
      </c>
      <c r="B4884" t="str">
        <f>"1552376974200463"</f>
        <v>1552376974200463</v>
      </c>
      <c r="C4884" t="s">
        <v>40</v>
      </c>
      <c r="D4884">
        <v>4.5109149999999998</v>
      </c>
      <c r="E4884">
        <v>0.40467160000000002</v>
      </c>
      <c r="F4884" t="s">
        <v>63</v>
      </c>
      <c r="G4884">
        <v>-401.35750000000002</v>
      </c>
      <c r="H4884" s="1">
        <v>-1.807957E-6</v>
      </c>
      <c r="I4884">
        <v>131.43610000000001</v>
      </c>
      <c r="J4884">
        <v>-385.24119999999999</v>
      </c>
      <c r="K4884">
        <v>1.1116010000000001</v>
      </c>
      <c r="L4884">
        <v>139.0745</v>
      </c>
      <c r="M4884">
        <v>-0.98044830000000005</v>
      </c>
      <c r="N4884">
        <v>0</v>
      </c>
      <c r="O4884">
        <v>-0.1964998</v>
      </c>
      <c r="P4884">
        <v>-0.98167979999999999</v>
      </c>
      <c r="Q4884">
        <v>6.7371389999999996E-3</v>
      </c>
      <c r="R4884">
        <v>-0.19041849999999999</v>
      </c>
      <c r="S4884">
        <v>-2.8045650000000002</v>
      </c>
      <c r="T4884">
        <v>-0.1906967</v>
      </c>
      <c r="U4884">
        <v>-1.318832</v>
      </c>
      <c r="V4884">
        <v>6.1228180000000004E-3</v>
      </c>
      <c r="W4884">
        <v>1.7207549999999999E-2</v>
      </c>
      <c r="X4884">
        <v>0.99983319999999998</v>
      </c>
      <c r="Y4884">
        <v>-0.2393325</v>
      </c>
      <c r="Z4884">
        <v>4.7608529999999998E-3</v>
      </c>
      <c r="AA4884">
        <v>0.97092599999999996</v>
      </c>
      <c r="AB4884">
        <v>24</v>
      </c>
      <c r="AC4884">
        <v>-16.116299999999999</v>
      </c>
      <c r="AD4884">
        <v>-1.1116028079569999</v>
      </c>
      <c r="AE4884">
        <v>-7.6383999999999901</v>
      </c>
      <c r="AF4884">
        <v>-4.3057154533239501</v>
      </c>
      <c r="AG4884">
        <v>-1.1116028079569999</v>
      </c>
      <c r="AH4884">
        <v>17.236127741788099</v>
      </c>
      <c r="AI4884">
        <v>93.580320923631703</v>
      </c>
      <c r="AJ4884">
        <v>104.025866957944</v>
      </c>
      <c r="AK4884">
        <v>17.800532180215502</v>
      </c>
      <c r="AL4884">
        <v>89.014031355775302</v>
      </c>
      <c r="AM4884">
        <v>89.649134230674505</v>
      </c>
      <c r="AN4884">
        <v>1.00000000824975</v>
      </c>
    </row>
    <row r="4885" spans="1:40" x14ac:dyDescent="0.25">
      <c r="A4885" t="str">
        <f>"20190312154934233"</f>
        <v>20190312154934233</v>
      </c>
      <c r="B4885" t="str">
        <f>"1552376974220959"</f>
        <v>1552376974220959</v>
      </c>
      <c r="C4885" t="s">
        <v>40</v>
      </c>
      <c r="D4885">
        <v>4.4847039999999998</v>
      </c>
      <c r="E4885">
        <v>0.40500370000000002</v>
      </c>
      <c r="F4885" t="s">
        <v>63</v>
      </c>
      <c r="G4885">
        <v>-401.67439999999999</v>
      </c>
      <c r="H4885" s="1">
        <v>-1.905606E-6</v>
      </c>
      <c r="I4885">
        <v>131.27959999999999</v>
      </c>
      <c r="J4885">
        <v>-385.4794</v>
      </c>
      <c r="K4885">
        <v>1.11161</v>
      </c>
      <c r="L4885">
        <v>139.0231</v>
      </c>
      <c r="M4885">
        <v>-0.97982999999999998</v>
      </c>
      <c r="N4885">
        <v>0</v>
      </c>
      <c r="O4885">
        <v>-0.19956099999999999</v>
      </c>
      <c r="P4885">
        <v>-0.98099650000000005</v>
      </c>
      <c r="Q4885">
        <v>6.4964480000000002E-3</v>
      </c>
      <c r="R4885">
        <v>-0.1939178</v>
      </c>
      <c r="S4885">
        <v>-2.7997130000000001</v>
      </c>
      <c r="T4885">
        <v>-0.18938360000000001</v>
      </c>
      <c r="U4885">
        <v>-1.3280179999999999</v>
      </c>
      <c r="V4885">
        <v>5.6817179999999997E-3</v>
      </c>
      <c r="W4885">
        <v>1.696249E-2</v>
      </c>
      <c r="X4885">
        <v>0.99983999999999995</v>
      </c>
      <c r="Y4885">
        <v>-0.23955789999999999</v>
      </c>
      <c r="Z4885">
        <v>4.9132949999999998E-3</v>
      </c>
      <c r="AA4885">
        <v>0.97086969999999995</v>
      </c>
      <c r="AB4885">
        <v>24</v>
      </c>
      <c r="AC4885">
        <v>-16.194999999999901</v>
      </c>
      <c r="AD4885">
        <v>-1.1116119056059901</v>
      </c>
      <c r="AE4885">
        <v>-7.7435000000000098</v>
      </c>
      <c r="AF4885">
        <v>-4.3390209993890299</v>
      </c>
      <c r="AG4885">
        <v>-1.1116119056059901</v>
      </c>
      <c r="AH4885">
        <v>17.3480689094031</v>
      </c>
      <c r="AI4885">
        <v>93.557049862686</v>
      </c>
      <c r="AJ4885">
        <v>104.04247190473301</v>
      </c>
      <c r="AK4885">
        <v>17.916982981161201</v>
      </c>
      <c r="AL4885">
        <v>89.028074317430494</v>
      </c>
      <c r="AM4885">
        <v>89.674412948343601</v>
      </c>
      <c r="AN4885">
        <v>1.0000000167932099</v>
      </c>
    </row>
    <row r="4886" spans="1:40" x14ac:dyDescent="0.25">
      <c r="A4886" t="str">
        <f>"20190312154934255"</f>
        <v>20190312154934255</v>
      </c>
      <c r="B4886" t="str">
        <f>"1552376974251216"</f>
        <v>1552376974251216</v>
      </c>
      <c r="C4886" t="s">
        <v>40</v>
      </c>
      <c r="D4886">
        <v>4.4786669999999997</v>
      </c>
      <c r="E4886">
        <v>0.40532390000000001</v>
      </c>
      <c r="F4886" t="s">
        <v>63</v>
      </c>
      <c r="G4886">
        <v>-401.81040000000002</v>
      </c>
      <c r="H4886" s="1">
        <v>-1.9523389999999999E-6</v>
      </c>
      <c r="I4886">
        <v>131.22149999999999</v>
      </c>
      <c r="J4886">
        <v>-385.709</v>
      </c>
      <c r="K4886">
        <v>1.1116200000000001</v>
      </c>
      <c r="L4886">
        <v>138.97290000000001</v>
      </c>
      <c r="M4886">
        <v>-0.97922430000000005</v>
      </c>
      <c r="N4886">
        <v>0</v>
      </c>
      <c r="O4886">
        <v>-0.20251189999999999</v>
      </c>
      <c r="P4886">
        <v>-0.98030280000000003</v>
      </c>
      <c r="Q4886">
        <v>6.669711E-3</v>
      </c>
      <c r="R4886">
        <v>-0.19738910000000001</v>
      </c>
      <c r="S4886">
        <v>-2.7953800000000002</v>
      </c>
      <c r="T4886">
        <v>-0.19027479999999999</v>
      </c>
      <c r="U4886">
        <v>-1.3354029999999999</v>
      </c>
      <c r="V4886">
        <v>5.153304E-3</v>
      </c>
      <c r="W4886">
        <v>1.7136510000000001E-2</v>
      </c>
      <c r="X4886">
        <v>0.9998399</v>
      </c>
      <c r="Y4886">
        <v>-0.2393112</v>
      </c>
      <c r="Z4886">
        <v>5.1308810000000003E-3</v>
      </c>
      <c r="AA4886">
        <v>0.97092940000000005</v>
      </c>
      <c r="AB4886">
        <v>24</v>
      </c>
      <c r="AC4886">
        <v>-16.101400000000002</v>
      </c>
      <c r="AD4886">
        <v>-1.1116219523389901</v>
      </c>
      <c r="AE4886">
        <v>-7.7514000000000101</v>
      </c>
      <c r="AF4886">
        <v>-4.3131793508559104</v>
      </c>
      <c r="AG4886">
        <v>-1.1116219523389901</v>
      </c>
      <c r="AH4886">
        <v>17.270744984432501</v>
      </c>
      <c r="AI4886">
        <v>93.573281999046102</v>
      </c>
      <c r="AJ4886">
        <v>104.02217046606999</v>
      </c>
      <c r="AK4886">
        <v>17.835858594272199</v>
      </c>
      <c r="AL4886">
        <v>89.018102260766895</v>
      </c>
      <c r="AM4886">
        <v>89.704692766077002</v>
      </c>
      <c r="AN4886">
        <v>1.0000000210745501</v>
      </c>
    </row>
    <row r="4887" spans="1:40" x14ac:dyDescent="0.25">
      <c r="A4887" t="str">
        <f>"20190312154934288"</f>
        <v>20190312154934288</v>
      </c>
      <c r="B4887" t="str">
        <f>"1552376974280513"</f>
        <v>1552376974280513</v>
      </c>
      <c r="C4887" t="s">
        <v>40</v>
      </c>
      <c r="D4887">
        <v>4.3134430000000004</v>
      </c>
      <c r="E4887">
        <v>0.40516150000000001</v>
      </c>
      <c r="F4887" t="s">
        <v>63</v>
      </c>
      <c r="G4887">
        <v>-401.8784</v>
      </c>
      <c r="H4887" s="1">
        <v>-1.9764249999999999E-6</v>
      </c>
      <c r="I4887">
        <v>131.19380000000001</v>
      </c>
      <c r="J4887">
        <v>-386.0532</v>
      </c>
      <c r="K4887">
        <v>1.1116299999999999</v>
      </c>
      <c r="L4887">
        <v>138.8963</v>
      </c>
      <c r="M4887">
        <v>-0.97829869999999997</v>
      </c>
      <c r="N4887">
        <v>0</v>
      </c>
      <c r="O4887">
        <v>-0.20693639999999999</v>
      </c>
      <c r="P4887">
        <v>-0.97927169999999997</v>
      </c>
      <c r="Q4887">
        <v>7.3092649999999997E-3</v>
      </c>
      <c r="R4887">
        <v>-0.20241970000000001</v>
      </c>
      <c r="S4887">
        <v>-2.7911990000000002</v>
      </c>
      <c r="T4887">
        <v>-0.19188949999999999</v>
      </c>
      <c r="U4887">
        <v>-1.3428500000000001</v>
      </c>
      <c r="V4887">
        <v>4.5350829999999996E-3</v>
      </c>
      <c r="W4887">
        <v>1.77810999999999E-2</v>
      </c>
      <c r="X4887">
        <v>0.99983160000000004</v>
      </c>
      <c r="Y4887">
        <v>-0.2376028</v>
      </c>
      <c r="Z4887">
        <v>5.5100879999999998E-3</v>
      </c>
      <c r="AA4887">
        <v>0.97134679999999995</v>
      </c>
      <c r="AB4887">
        <v>24</v>
      </c>
      <c r="AC4887">
        <v>-15.825199999999899</v>
      </c>
      <c r="AD4887">
        <v>-1.111631976425</v>
      </c>
      <c r="AE4887">
        <v>-7.7024999999999801</v>
      </c>
      <c r="AF4887">
        <v>-4.2438383479249397</v>
      </c>
      <c r="AG4887">
        <v>-1.111631976425</v>
      </c>
      <c r="AH4887">
        <v>17.008778809049801</v>
      </c>
      <c r="AI4887">
        <v>93.628399646875494</v>
      </c>
      <c r="AJ4887">
        <v>104.009747024478</v>
      </c>
      <c r="AK4887">
        <v>17.565433275314</v>
      </c>
      <c r="AL4887">
        <v>88.981164304040306</v>
      </c>
      <c r="AM4887">
        <v>89.740116902004999</v>
      </c>
      <c r="AN4887">
        <v>0.99999998142679303</v>
      </c>
    </row>
    <row r="4888" spans="1:40" x14ac:dyDescent="0.25">
      <c r="A4888" t="str">
        <f>"20190312154934311"</f>
        <v>20190312154934311</v>
      </c>
      <c r="B4888" t="str">
        <f>"1552376974300991"</f>
        <v>1552376974300991</v>
      </c>
      <c r="C4888" t="s">
        <v>40</v>
      </c>
      <c r="D4888">
        <v>4.293952</v>
      </c>
      <c r="E4888">
        <v>0.4039645</v>
      </c>
      <c r="F4888" t="s">
        <v>63</v>
      </c>
      <c r="G4888">
        <v>-402.5027</v>
      </c>
      <c r="H4888" s="1">
        <v>-2.1605420000000002E-6</v>
      </c>
      <c r="I4888">
        <v>130.8698</v>
      </c>
      <c r="J4888">
        <v>-386.29340000000002</v>
      </c>
      <c r="K4888">
        <v>1.111637</v>
      </c>
      <c r="L4888">
        <v>138.84180000000001</v>
      </c>
      <c r="M4888">
        <v>-0.97764059999999997</v>
      </c>
      <c r="N4888">
        <v>0</v>
      </c>
      <c r="O4888">
        <v>-0.21002299999999999</v>
      </c>
      <c r="P4888">
        <v>-0.97852640000000002</v>
      </c>
      <c r="Q4888">
        <v>7.1688419999999999E-3</v>
      </c>
      <c r="R4888">
        <v>-0.2059974</v>
      </c>
      <c r="S4888">
        <v>-2.7840880000000001</v>
      </c>
      <c r="T4888">
        <v>-0.18814420000000001</v>
      </c>
      <c r="U4888">
        <v>-1.35849</v>
      </c>
      <c r="V4888">
        <v>4.037161E-3</v>
      </c>
      <c r="W4888">
        <v>1.7643789999999999E-2</v>
      </c>
      <c r="X4888">
        <v>0.99983619999999995</v>
      </c>
      <c r="Y4888">
        <v>-0.2399259</v>
      </c>
      <c r="Z4888">
        <v>5.5221169999999896E-3</v>
      </c>
      <c r="AA4888">
        <v>0.97077550000000001</v>
      </c>
      <c r="AB4888">
        <v>24</v>
      </c>
      <c r="AC4888">
        <v>-16.209299999999899</v>
      </c>
      <c r="AD4888">
        <v>-1.111639160542</v>
      </c>
      <c r="AE4888">
        <v>-7.9720000000000004</v>
      </c>
      <c r="AF4888">
        <v>-4.3731029054245099</v>
      </c>
      <c r="AG4888">
        <v>-1.111639160542</v>
      </c>
      <c r="AH4888">
        <v>17.456020384520102</v>
      </c>
      <c r="AI4888">
        <v>93.534857821094803</v>
      </c>
      <c r="AJ4888">
        <v>104.06434512906</v>
      </c>
      <c r="AK4888">
        <v>18.0297647879684</v>
      </c>
      <c r="AL4888">
        <v>88.989032855423204</v>
      </c>
      <c r="AM4888">
        <v>89.768651075625002</v>
      </c>
      <c r="AN4888">
        <v>1.0000000144124701</v>
      </c>
    </row>
    <row r="4889" spans="1:40" x14ac:dyDescent="0.25">
      <c r="A4889" t="str">
        <f>"20190312154934333"</f>
        <v>20190312154934333</v>
      </c>
      <c r="B4889" t="str">
        <f>"1552376974320511"</f>
        <v>1552376974320511</v>
      </c>
      <c r="C4889" t="s">
        <v>40</v>
      </c>
      <c r="D4889">
        <v>4.2953749999999999</v>
      </c>
      <c r="E4889">
        <v>0.40276699999999999</v>
      </c>
      <c r="F4889" t="s">
        <v>63</v>
      </c>
      <c r="G4889">
        <v>-403.28039999999999</v>
      </c>
      <c r="H4889" s="1">
        <v>-2.3631120000000002E-6</v>
      </c>
      <c r="I4889">
        <v>130.41569999999999</v>
      </c>
      <c r="J4889">
        <v>-386.52370000000002</v>
      </c>
      <c r="K4889">
        <v>1.111634</v>
      </c>
      <c r="L4889">
        <v>138.78880000000001</v>
      </c>
      <c r="M4889">
        <v>-0.97700019999999999</v>
      </c>
      <c r="N4889">
        <v>0</v>
      </c>
      <c r="O4889">
        <v>-0.21298210000000001</v>
      </c>
      <c r="P4889">
        <v>-0.97797599999999996</v>
      </c>
      <c r="Q4889">
        <v>6.9967419999999898E-3</v>
      </c>
      <c r="R4889">
        <v>-0.20860129999999999</v>
      </c>
      <c r="S4889">
        <v>-2.777161</v>
      </c>
      <c r="T4889">
        <v>-0.1817394</v>
      </c>
      <c r="U4889">
        <v>-1.3775630000000001</v>
      </c>
      <c r="V4889">
        <v>4.404135E-3</v>
      </c>
      <c r="W4889">
        <v>1.7481219999999999E-2</v>
      </c>
      <c r="X4889">
        <v>0.99983750000000005</v>
      </c>
      <c r="Y4889">
        <v>-0.24330750000000001</v>
      </c>
      <c r="Z4889">
        <v>5.4073589999999996E-3</v>
      </c>
      <c r="AA4889">
        <v>0.96993410000000002</v>
      </c>
      <c r="AB4889">
        <v>24</v>
      </c>
      <c r="AC4889">
        <v>-16.756699999999899</v>
      </c>
      <c r="AD4889">
        <v>-1.1116363631119901</v>
      </c>
      <c r="AE4889">
        <v>-8.3731000000000204</v>
      </c>
      <c r="AF4889">
        <v>-4.59571058864754</v>
      </c>
      <c r="AG4889">
        <v>-1.1116363631119901</v>
      </c>
      <c r="AH4889">
        <v>18.091897809806301</v>
      </c>
      <c r="AI4889">
        <v>93.4080850265793</v>
      </c>
      <c r="AJ4889">
        <v>104.252837801656</v>
      </c>
      <c r="AK4889">
        <v>18.6995469886004</v>
      </c>
      <c r="AL4889">
        <v>88.998348860516302</v>
      </c>
      <c r="AM4889">
        <v>89.747622272710402</v>
      </c>
      <c r="AN4889">
        <v>1.0000000079320099</v>
      </c>
    </row>
    <row r="4890" spans="1:40" x14ac:dyDescent="0.25">
      <c r="A4890" t="str">
        <f>"20190312154934354"</f>
        <v>20190312154934354</v>
      </c>
      <c r="B4890" t="str">
        <f>"1552376974350769"</f>
        <v>1552376974350769</v>
      </c>
      <c r="C4890" t="s">
        <v>40</v>
      </c>
      <c r="D4890">
        <v>4.3871330000000004</v>
      </c>
      <c r="E4890">
        <v>0.4013951</v>
      </c>
      <c r="F4890" t="s">
        <v>63</v>
      </c>
      <c r="G4890">
        <v>-404.22480000000002</v>
      </c>
      <c r="H4890" s="1">
        <v>-2.6205000000000002E-6</v>
      </c>
      <c r="I4890">
        <v>129.88579999999999</v>
      </c>
      <c r="J4890">
        <v>-386.75400000000002</v>
      </c>
      <c r="K4890">
        <v>1.1116379999999999</v>
      </c>
      <c r="L4890">
        <v>138.73509999999999</v>
      </c>
      <c r="M4890">
        <v>-0.97635039999999995</v>
      </c>
      <c r="N4890">
        <v>0</v>
      </c>
      <c r="O4890">
        <v>-0.21594060000000001</v>
      </c>
      <c r="P4890">
        <v>-0.97736310000000004</v>
      </c>
      <c r="Q4890">
        <v>7.0758949999999996E-3</v>
      </c>
      <c r="R4890">
        <v>-0.2114518</v>
      </c>
      <c r="S4890">
        <v>-2.7714840000000001</v>
      </c>
      <c r="T4890">
        <v>-0.17405100000000001</v>
      </c>
      <c r="U4890">
        <v>-1.393967</v>
      </c>
      <c r="V4890">
        <v>4.5170169999999999E-3</v>
      </c>
      <c r="W4890">
        <v>1.7574179999999998E-2</v>
      </c>
      <c r="X4890">
        <v>0.99983540000000004</v>
      </c>
      <c r="Y4890">
        <v>-0.2457568</v>
      </c>
      <c r="Z4890">
        <v>5.2753879999999998E-3</v>
      </c>
      <c r="AA4890">
        <v>0.96931710000000004</v>
      </c>
      <c r="AB4890">
        <v>24</v>
      </c>
      <c r="AC4890">
        <v>-17.470799999999901</v>
      </c>
      <c r="AD4890">
        <v>-1.1116406205</v>
      </c>
      <c r="AE4890">
        <v>-8.8492999999999995</v>
      </c>
      <c r="AF4890">
        <v>-4.8519962923995799</v>
      </c>
      <c r="AG4890">
        <v>-1.1116406205</v>
      </c>
      <c r="AH4890">
        <v>18.908662004547399</v>
      </c>
      <c r="AI4890">
        <v>93.259196499359206</v>
      </c>
      <c r="AJ4890">
        <v>104.39169055105801</v>
      </c>
      <c r="AK4890">
        <v>19.552879882329801</v>
      </c>
      <c r="AL4890">
        <v>88.993021860016398</v>
      </c>
      <c r="AM4890">
        <v>89.7411531444546</v>
      </c>
      <c r="AN4890">
        <v>1.0000000411692</v>
      </c>
    </row>
    <row r="4891" spans="1:40" x14ac:dyDescent="0.25">
      <c r="A4891" t="str">
        <f>"20190312154934378"</f>
        <v>20190312154934378</v>
      </c>
      <c r="B4891" t="str">
        <f>"1552376974371262"</f>
        <v>1552376974371262</v>
      </c>
      <c r="C4891" t="s">
        <v>40</v>
      </c>
      <c r="D4891">
        <v>4.37934</v>
      </c>
      <c r="E4891">
        <v>0.40079490000000001</v>
      </c>
      <c r="F4891" t="s">
        <v>63</v>
      </c>
      <c r="G4891">
        <v>-404.62310000000002</v>
      </c>
      <c r="H4891">
        <v>5.7665559999999998E-2</v>
      </c>
      <c r="I4891">
        <v>129.6087</v>
      </c>
      <c r="J4891">
        <v>-386.98950000000002</v>
      </c>
      <c r="K4891">
        <v>1.11164</v>
      </c>
      <c r="L4891">
        <v>138.67949999999999</v>
      </c>
      <c r="M4891">
        <v>-0.9756764</v>
      </c>
      <c r="N4891">
        <v>0</v>
      </c>
      <c r="O4891">
        <v>-0.2189651</v>
      </c>
      <c r="P4891">
        <v>-0.97664589999999996</v>
      </c>
      <c r="Q4891">
        <v>6.9626569999999997E-3</v>
      </c>
      <c r="R4891">
        <v>-0.2147435</v>
      </c>
      <c r="S4891">
        <v>-2.7651370000000002</v>
      </c>
      <c r="T4891">
        <v>-0.1630955</v>
      </c>
      <c r="U4891">
        <v>-1.4122619999999999</v>
      </c>
      <c r="V4891">
        <v>4.247107E-3</v>
      </c>
      <c r="W4891">
        <v>1.7476450000000001E-2</v>
      </c>
      <c r="X4891">
        <v>0.99983820000000001</v>
      </c>
      <c r="Y4891">
        <v>-0.2487509</v>
      </c>
      <c r="Z4891">
        <v>5.0224730000000004E-3</v>
      </c>
      <c r="AA4891">
        <v>0.96855449999999998</v>
      </c>
      <c r="AB4891">
        <v>24</v>
      </c>
      <c r="AC4891">
        <v>-17.633600000000001</v>
      </c>
      <c r="AD4891">
        <v>-1.05397444</v>
      </c>
      <c r="AE4891">
        <v>-9.0707999999999895</v>
      </c>
      <c r="AF4891">
        <v>-4.9752414020599902</v>
      </c>
      <c r="AG4891">
        <v>-1.05397444</v>
      </c>
      <c r="AH4891">
        <v>19.137865336148099</v>
      </c>
      <c r="AI4891">
        <v>93.051037169660901</v>
      </c>
      <c r="AJ4891">
        <v>104.57252356586901</v>
      </c>
      <c r="AK4891">
        <v>19.802065012353701</v>
      </c>
      <c r="AL4891">
        <v>88.998622140316002</v>
      </c>
      <c r="AM4891">
        <v>89.7566207785827</v>
      </c>
      <c r="AN4891">
        <v>0.999999945200854</v>
      </c>
    </row>
    <row r="4892" spans="1:40" x14ac:dyDescent="0.25">
      <c r="A4892" t="str">
        <f>"20190312154934399"</f>
        <v>20190312154934399</v>
      </c>
      <c r="B4892" t="str">
        <f>"1552376974390783"</f>
        <v>1552376974390783</v>
      </c>
      <c r="C4892" t="s">
        <v>40</v>
      </c>
      <c r="D4892">
        <v>4.3214259999999998</v>
      </c>
      <c r="E4892">
        <v>0.40045969999999997</v>
      </c>
      <c r="F4892" t="s">
        <v>63</v>
      </c>
      <c r="G4892">
        <v>-404.83580000000001</v>
      </c>
      <c r="H4892">
        <v>7.9986730000000006E-2</v>
      </c>
      <c r="I4892">
        <v>129.4588</v>
      </c>
      <c r="J4892">
        <v>-387.221</v>
      </c>
      <c r="K4892">
        <v>1.1116440000000001</v>
      </c>
      <c r="L4892">
        <v>138.624</v>
      </c>
      <c r="M4892">
        <v>-0.9750048</v>
      </c>
      <c r="N4892">
        <v>0</v>
      </c>
      <c r="O4892">
        <v>-0.22193560000000001</v>
      </c>
      <c r="P4892">
        <v>-0.97591119999999998</v>
      </c>
      <c r="Q4892">
        <v>6.3876159999999996E-3</v>
      </c>
      <c r="R4892">
        <v>-0.21807509999999999</v>
      </c>
      <c r="S4892">
        <v>-2.7593990000000002</v>
      </c>
      <c r="T4892">
        <v>-0.15951379999999901</v>
      </c>
      <c r="U4892">
        <v>-1.4256899999999999</v>
      </c>
      <c r="V4892">
        <v>3.88369E-3</v>
      </c>
      <c r="W4892">
        <v>1.691577E-2</v>
      </c>
      <c r="X4892">
        <v>0.9998494</v>
      </c>
      <c r="Y4892">
        <v>-0.25034709999999999</v>
      </c>
      <c r="Z4892">
        <v>5.025608E-3</v>
      </c>
      <c r="AA4892">
        <v>0.96814310000000003</v>
      </c>
      <c r="AB4892">
        <v>24</v>
      </c>
      <c r="AC4892">
        <v>-17.614799999999999</v>
      </c>
      <c r="AD4892">
        <v>-1.03165727</v>
      </c>
      <c r="AE4892">
        <v>-9.1652000000000005</v>
      </c>
      <c r="AF4892">
        <v>-5.0135065036314002</v>
      </c>
      <c r="AG4892">
        <v>-1.03165727</v>
      </c>
      <c r="AH4892">
        <v>19.157942928148199</v>
      </c>
      <c r="AI4892">
        <v>92.982173323005</v>
      </c>
      <c r="AJ4892">
        <v>104.665057757125</v>
      </c>
      <c r="AK4892">
        <v>19.829935487108401</v>
      </c>
      <c r="AL4892">
        <v>89.030751567800294</v>
      </c>
      <c r="AM4892">
        <v>89.777448556897497</v>
      </c>
      <c r="AN4892">
        <v>1.0000000245015299</v>
      </c>
    </row>
    <row r="4893" spans="1:40" x14ac:dyDescent="0.25">
      <c r="A4893" t="str">
        <f>"20190312154934422"</f>
        <v>20190312154934422</v>
      </c>
      <c r="B4893" t="str">
        <f>"1552376974411278"</f>
        <v>1552376974411278</v>
      </c>
      <c r="C4893" t="s">
        <v>40</v>
      </c>
      <c r="D4893">
        <v>4.323563</v>
      </c>
      <c r="E4893">
        <v>0.4001402</v>
      </c>
      <c r="F4893" t="s">
        <v>63</v>
      </c>
      <c r="G4893">
        <v>-405.0335</v>
      </c>
      <c r="H4893">
        <v>7.9986769999999999E-2</v>
      </c>
      <c r="I4893">
        <v>129.32399999999899</v>
      </c>
      <c r="J4893">
        <v>-387.46620000000001</v>
      </c>
      <c r="K4893">
        <v>1.1116410000000001</v>
      </c>
      <c r="L4893">
        <v>138.56450000000001</v>
      </c>
      <c r="M4893">
        <v>-0.9742845</v>
      </c>
      <c r="N4893">
        <v>0</v>
      </c>
      <c r="O4893">
        <v>-0.22507540000000001</v>
      </c>
      <c r="P4893">
        <v>-0.97508260000000002</v>
      </c>
      <c r="Q4893">
        <v>6.492963E-3</v>
      </c>
      <c r="R4893">
        <v>-0.22174659999999999</v>
      </c>
      <c r="S4893">
        <v>-2.7537539999999998</v>
      </c>
      <c r="T4893">
        <v>-0.15949079999999999</v>
      </c>
      <c r="U4893">
        <v>-1.4377439999999999</v>
      </c>
      <c r="V4893">
        <v>3.3405209999999999E-3</v>
      </c>
      <c r="W4893">
        <v>1.7032579999999999E-2</v>
      </c>
      <c r="X4893">
        <v>0.9998494</v>
      </c>
      <c r="Y4893">
        <v>-0.25137599999999999</v>
      </c>
      <c r="Z4893">
        <v>5.1628000000000004E-3</v>
      </c>
      <c r="AA4893">
        <v>0.96787570000000001</v>
      </c>
      <c r="AB4893">
        <v>24</v>
      </c>
      <c r="AC4893">
        <v>-17.5672999999999</v>
      </c>
      <c r="AD4893">
        <v>-1.03165422999999</v>
      </c>
      <c r="AE4893">
        <v>-9.2405000000000204</v>
      </c>
      <c r="AF4893">
        <v>-5.0355858098363804</v>
      </c>
      <c r="AG4893">
        <v>-1.03165422999999</v>
      </c>
      <c r="AH4893">
        <v>19.144704707830002</v>
      </c>
      <c r="AI4893">
        <v>92.983247505013793</v>
      </c>
      <c r="AJ4893">
        <v>104.73658099832301</v>
      </c>
      <c r="AK4893">
        <v>19.8227433330634</v>
      </c>
      <c r="AL4893">
        <v>89.024057903857198</v>
      </c>
      <c r="AM4893">
        <v>89.808574128739593</v>
      </c>
      <c r="AN4893">
        <v>1.0000000452711799</v>
      </c>
    </row>
    <row r="4894" spans="1:40" x14ac:dyDescent="0.25">
      <c r="A4894" t="str">
        <f>"20190312154934444"</f>
        <v>20190312154934444</v>
      </c>
      <c r="B4894" t="str">
        <f>"1552376974440559"</f>
        <v>1552376974440559</v>
      </c>
      <c r="C4894" t="s">
        <v>40</v>
      </c>
      <c r="D4894">
        <v>4.3842540000000003</v>
      </c>
      <c r="E4894">
        <v>0.39995530000000001</v>
      </c>
      <c r="F4894" t="s">
        <v>63</v>
      </c>
      <c r="G4894">
        <v>-405.58980000000003</v>
      </c>
      <c r="H4894">
        <v>7.9986849999999998E-2</v>
      </c>
      <c r="I4894">
        <v>128.99860000000001</v>
      </c>
      <c r="J4894">
        <v>-387.68950000000001</v>
      </c>
      <c r="K4894">
        <v>1.1116429999999999</v>
      </c>
      <c r="L4894">
        <v>138.5095</v>
      </c>
      <c r="M4894">
        <v>-0.97362170000000003</v>
      </c>
      <c r="N4894">
        <v>0</v>
      </c>
      <c r="O4894">
        <v>-0.22792580000000001</v>
      </c>
      <c r="P4894">
        <v>-0.97418649999999996</v>
      </c>
      <c r="Q4894">
        <v>6.2480080000000002E-3</v>
      </c>
      <c r="R4894">
        <v>-0.2256592</v>
      </c>
      <c r="S4894">
        <v>-2.7478639999999999</v>
      </c>
      <c r="T4894">
        <v>-0.156418</v>
      </c>
      <c r="U4894">
        <v>-1.4503629999999901</v>
      </c>
      <c r="V4894">
        <v>2.2545310000000002E-3</v>
      </c>
      <c r="W4894">
        <v>1.6795149999999998E-2</v>
      </c>
      <c r="X4894">
        <v>0.99985639999999998</v>
      </c>
      <c r="Y4894">
        <v>-0.25287969999999999</v>
      </c>
      <c r="Z4894">
        <v>5.1713820000000004E-3</v>
      </c>
      <c r="AA4894">
        <v>0.96748389999999995</v>
      </c>
      <c r="AB4894">
        <v>24</v>
      </c>
      <c r="AC4894">
        <v>-17.900300000000001</v>
      </c>
      <c r="AD4894">
        <v>-1.0316561500000001</v>
      </c>
      <c r="AE4894">
        <v>-9.5108999999999906</v>
      </c>
      <c r="AF4894">
        <v>-5.1669807028538397</v>
      </c>
      <c r="AG4894">
        <v>-1.0316561500000001</v>
      </c>
      <c r="AH4894">
        <v>19.546352161823499</v>
      </c>
      <c r="AI4894">
        <v>92.921111854950894</v>
      </c>
      <c r="AJ4894">
        <v>104.80715582251899</v>
      </c>
      <c r="AK4894">
        <v>20.2440580622937</v>
      </c>
      <c r="AL4894">
        <v>89.037663533582602</v>
      </c>
      <c r="AM4894">
        <v>89.870806555664004</v>
      </c>
      <c r="AN4894">
        <v>0.99999999029725595</v>
      </c>
    </row>
    <row r="4895" spans="1:40" x14ac:dyDescent="0.25">
      <c r="A4895" t="str">
        <f>"20190312154934467"</f>
        <v>20190312154934467</v>
      </c>
      <c r="B4895" t="str">
        <f>"1552376974461055"</f>
        <v>1552376974461055</v>
      </c>
      <c r="C4895" t="s">
        <v>40</v>
      </c>
      <c r="D4895">
        <v>4.336735</v>
      </c>
      <c r="E4895">
        <v>0.39989160000000001</v>
      </c>
      <c r="F4895" t="s">
        <v>63</v>
      </c>
      <c r="G4895">
        <v>-406.005</v>
      </c>
      <c r="H4895">
        <v>7.9986909999999994E-2</v>
      </c>
      <c r="I4895">
        <v>128.73830000000001</v>
      </c>
      <c r="J4895">
        <v>-387.93200000000002</v>
      </c>
      <c r="K4895">
        <v>1.111639</v>
      </c>
      <c r="L4895">
        <v>138.44899999999899</v>
      </c>
      <c r="M4895">
        <v>-0.97289440000000005</v>
      </c>
      <c r="N4895">
        <v>0</v>
      </c>
      <c r="O4895">
        <v>-0.23100979999999999</v>
      </c>
      <c r="P4895">
        <v>-0.97328060000000005</v>
      </c>
      <c r="Q4895">
        <v>6.4323210000000004E-3</v>
      </c>
      <c r="R4895">
        <v>-0.22952980000000001</v>
      </c>
      <c r="S4895">
        <v>-2.7416689999999999</v>
      </c>
      <c r="T4895">
        <v>-0.15442919999999999</v>
      </c>
      <c r="U4895">
        <v>-1.4626619999999999</v>
      </c>
      <c r="V4895">
        <v>1.4473120000000001E-3</v>
      </c>
      <c r="W4895">
        <v>1.6989190000000001E-2</v>
      </c>
      <c r="X4895">
        <v>0.99985460000000004</v>
      </c>
      <c r="Y4895">
        <v>-0.25410349999999998</v>
      </c>
      <c r="Z4895">
        <v>5.231973E-3</v>
      </c>
      <c r="AA4895">
        <v>0.96716290000000005</v>
      </c>
      <c r="AB4895">
        <v>24</v>
      </c>
      <c r="AC4895">
        <v>-18.073</v>
      </c>
      <c r="AD4895">
        <v>-1.0316520899999999</v>
      </c>
      <c r="AE4895">
        <v>-9.7106999999999708</v>
      </c>
      <c r="AF4895">
        <v>-5.2594398031043497</v>
      </c>
      <c r="AG4895">
        <v>-1.0316520899999999</v>
      </c>
      <c r="AH4895">
        <v>19.777480891238099</v>
      </c>
      <c r="AI4895">
        <v>92.885889218253993</v>
      </c>
      <c r="AJ4895">
        <v>104.892042966082</v>
      </c>
      <c r="AK4895">
        <v>20.490845845903198</v>
      </c>
      <c r="AL4895">
        <v>89.026544258215694</v>
      </c>
      <c r="AM4895">
        <v>89.917063129658402</v>
      </c>
      <c r="AN4895">
        <v>0.99999997421501996</v>
      </c>
    </row>
    <row r="4896" spans="1:40" x14ac:dyDescent="0.25">
      <c r="A4896" t="str">
        <f>"20190312154934489"</f>
        <v>20190312154934489</v>
      </c>
      <c r="B4896" t="str">
        <f>"1552376974480576"</f>
        <v>1552376974480576</v>
      </c>
      <c r="C4896" t="s">
        <v>40</v>
      </c>
      <c r="D4896">
        <v>4.3609109999999998</v>
      </c>
      <c r="E4896">
        <v>0.39986470000000002</v>
      </c>
      <c r="F4896" t="s">
        <v>63</v>
      </c>
      <c r="G4896">
        <v>-406.34399999999999</v>
      </c>
      <c r="H4896">
        <v>7.9986970000000004E-2</v>
      </c>
      <c r="I4896">
        <v>128.52940000000001</v>
      </c>
      <c r="J4896">
        <v>-388.15550000000002</v>
      </c>
      <c r="K4896">
        <v>1.111634</v>
      </c>
      <c r="L4896">
        <v>138.39259999999999</v>
      </c>
      <c r="M4896">
        <v>-0.97221860000000004</v>
      </c>
      <c r="N4896">
        <v>0</v>
      </c>
      <c r="O4896">
        <v>-0.23383680000000001</v>
      </c>
      <c r="P4896">
        <v>-0.97243999999999997</v>
      </c>
      <c r="Q4896">
        <v>6.5345780000000001E-3</v>
      </c>
      <c r="R4896">
        <v>-0.23306180000000001</v>
      </c>
      <c r="S4896">
        <v>-2.73584</v>
      </c>
      <c r="T4896">
        <v>-0.1532935</v>
      </c>
      <c r="U4896">
        <v>-1.4739530000000001</v>
      </c>
      <c r="V4896">
        <v>7.2292609999999996E-4</v>
      </c>
      <c r="W4896">
        <v>1.7098849999999999E-2</v>
      </c>
      <c r="X4896">
        <v>0.99985360000000001</v>
      </c>
      <c r="Y4896">
        <v>-0.25524859999999999</v>
      </c>
      <c r="Z4896">
        <v>5.30803E-3</v>
      </c>
      <c r="AA4896">
        <v>0.96686090000000002</v>
      </c>
      <c r="AB4896">
        <v>24</v>
      </c>
      <c r="AC4896">
        <v>-18.188499999999902</v>
      </c>
      <c r="AD4896">
        <v>-1.03164703</v>
      </c>
      <c r="AE4896">
        <v>-9.8631999999999707</v>
      </c>
      <c r="AF4896">
        <v>-5.3231093505115696</v>
      </c>
      <c r="AG4896">
        <v>-1.03164703</v>
      </c>
      <c r="AH4896">
        <v>19.941115155427202</v>
      </c>
      <c r="AI4896">
        <v>92.861515127532201</v>
      </c>
      <c r="AJ4896">
        <v>104.94611259486599</v>
      </c>
      <c r="AK4896">
        <v>20.6651363991149</v>
      </c>
      <c r="AL4896">
        <v>89.020260371532203</v>
      </c>
      <c r="AM4896">
        <v>89.958573327923204</v>
      </c>
      <c r="AN4896">
        <v>1.00000005736321</v>
      </c>
    </row>
    <row r="4897" spans="1:40" x14ac:dyDescent="0.25">
      <c r="A4897" t="str">
        <f>"20190312154934512"</f>
        <v>20190312154934512</v>
      </c>
      <c r="B4897" t="str">
        <f>"1552376974501071"</f>
        <v>1552376974501071</v>
      </c>
      <c r="C4897" t="s">
        <v>40</v>
      </c>
      <c r="D4897">
        <v>4.3236080000000001</v>
      </c>
      <c r="E4897">
        <v>0.39985569999999998</v>
      </c>
      <c r="F4897" t="s">
        <v>63</v>
      </c>
      <c r="G4897">
        <v>-406.48950000000002</v>
      </c>
      <c r="H4897">
        <v>7.9987020000000006E-2</v>
      </c>
      <c r="I4897">
        <v>128.4263</v>
      </c>
      <c r="J4897">
        <v>-388.39830000000001</v>
      </c>
      <c r="K4897">
        <v>1.1116220000000001</v>
      </c>
      <c r="L4897">
        <v>138.3305</v>
      </c>
      <c r="M4897">
        <v>-0.97147799999999995</v>
      </c>
      <c r="N4897">
        <v>0</v>
      </c>
      <c r="O4897">
        <v>-0.23689460000000001</v>
      </c>
      <c r="P4897">
        <v>-0.97145780000000004</v>
      </c>
      <c r="Q4897">
        <v>6.9240630000000003E-3</v>
      </c>
      <c r="R4897">
        <v>-0.2371125</v>
      </c>
      <c r="S4897">
        <v>-2.7303160000000002</v>
      </c>
      <c r="T4897">
        <v>-0.15363350000000001</v>
      </c>
      <c r="U4897">
        <v>-1.484192</v>
      </c>
      <c r="V4897">
        <v>-3.0018660000000002E-4</v>
      </c>
      <c r="W4897">
        <v>1.749409E-2</v>
      </c>
      <c r="X4897">
        <v>0.99984689999999998</v>
      </c>
      <c r="Y4897">
        <v>-0.25582860000000002</v>
      </c>
      <c r="Z4897">
        <v>5.4609460000000004E-3</v>
      </c>
      <c r="AA4897">
        <v>0.96670679999999998</v>
      </c>
      <c r="AB4897">
        <v>24</v>
      </c>
      <c r="AC4897">
        <v>-18.091200000000001</v>
      </c>
      <c r="AD4897">
        <v>-1.03163498</v>
      </c>
      <c r="AE4897">
        <v>-9.9041999999999994</v>
      </c>
      <c r="AF4897">
        <v>-5.32298459310769</v>
      </c>
      <c r="AG4897">
        <v>-1.03163498</v>
      </c>
      <c r="AH4897">
        <v>19.8728445416352</v>
      </c>
      <c r="AI4897">
        <v>92.870644156511602</v>
      </c>
      <c r="AJ4897">
        <v>104.994813436684</v>
      </c>
      <c r="AK4897">
        <v>20.599232652854401</v>
      </c>
      <c r="AL4897">
        <v>88.9976113214219</v>
      </c>
      <c r="AM4897">
        <v>90.017202058364703</v>
      </c>
      <c r="AN4897">
        <v>0.99999997836826604</v>
      </c>
    </row>
    <row r="4898" spans="1:40" x14ac:dyDescent="0.25">
      <c r="A4898" t="str">
        <f>"20190312154934535"</f>
        <v>20190312154934535</v>
      </c>
      <c r="B4898" t="str">
        <f>"1552376974531328"</f>
        <v>1552376974531328</v>
      </c>
      <c r="C4898" t="s">
        <v>40</v>
      </c>
      <c r="D4898">
        <v>4.352284</v>
      </c>
      <c r="E4898">
        <v>0.3999798</v>
      </c>
      <c r="F4898" t="s">
        <v>63</v>
      </c>
      <c r="G4898">
        <v>-406.89409999999998</v>
      </c>
      <c r="H4898">
        <v>7.9987100000000005E-2</v>
      </c>
      <c r="I4898">
        <v>128.1772</v>
      </c>
      <c r="J4898">
        <v>-388.63729999999998</v>
      </c>
      <c r="K4898">
        <v>1.1116170000000001</v>
      </c>
      <c r="L4898">
        <v>138.26859999999999</v>
      </c>
      <c r="M4898">
        <v>-0.97074340000000003</v>
      </c>
      <c r="N4898">
        <v>0</v>
      </c>
      <c r="O4898">
        <v>-0.23988660000000001</v>
      </c>
      <c r="P4898">
        <v>-0.97069850000000002</v>
      </c>
      <c r="Q4898">
        <v>6.6948290000000002E-3</v>
      </c>
      <c r="R4898">
        <v>-0.2402079</v>
      </c>
      <c r="S4898">
        <v>-2.7242130000000002</v>
      </c>
      <c r="T4898">
        <v>-0.15194730000000001</v>
      </c>
      <c r="U4898">
        <v>-1.495468</v>
      </c>
      <c r="V4898">
        <v>-4.0555309999999999E-4</v>
      </c>
      <c r="W4898">
        <v>1.727573E-2</v>
      </c>
      <c r="X4898">
        <v>0.99985069999999998</v>
      </c>
      <c r="Y4898">
        <v>-0.2568414</v>
      </c>
      <c r="Z4898">
        <v>5.5265969999999899E-3</v>
      </c>
      <c r="AA4898">
        <v>0.96643780000000001</v>
      </c>
      <c r="AB4898">
        <v>24</v>
      </c>
      <c r="AC4898">
        <v>-18.256799999999998</v>
      </c>
      <c r="AD4898">
        <v>-1.0316299</v>
      </c>
      <c r="AE4898">
        <v>-10.091399999999901</v>
      </c>
      <c r="AF4898">
        <v>-5.4036846780795802</v>
      </c>
      <c r="AG4898">
        <v>-1.0316299</v>
      </c>
      <c r="AH4898">
        <v>20.095436172174999</v>
      </c>
      <c r="AI4898">
        <v>92.838141020121796</v>
      </c>
      <c r="AJ4898">
        <v>105.050874091466</v>
      </c>
      <c r="AK4898">
        <v>20.834841571287399</v>
      </c>
      <c r="AL4898">
        <v>89.010124359240194</v>
      </c>
      <c r="AM4898">
        <v>90.023239949448595</v>
      </c>
      <c r="AN4898">
        <v>1.0000000188054099</v>
      </c>
    </row>
    <row r="4899" spans="1:40" x14ac:dyDescent="0.25">
      <c r="A4899" t="str">
        <f>"20190312154934556"</f>
        <v>20190312154934556</v>
      </c>
      <c r="B4899" t="str">
        <f>"1552376974550847"</f>
        <v>1552376974550847</v>
      </c>
      <c r="C4899" t="s">
        <v>40</v>
      </c>
      <c r="D4899">
        <v>4.4146619999999999</v>
      </c>
      <c r="E4899">
        <v>0.41749789999999998</v>
      </c>
      <c r="F4899" t="s">
        <v>63</v>
      </c>
      <c r="G4899">
        <v>-407.08030000000002</v>
      </c>
      <c r="H4899">
        <v>7.9987139999999998E-2</v>
      </c>
      <c r="I4899">
        <v>128.07490000000001</v>
      </c>
      <c r="J4899">
        <v>-388.86759999999998</v>
      </c>
      <c r="K4899">
        <v>1.111613</v>
      </c>
      <c r="L4899">
        <v>138.20830000000001</v>
      </c>
      <c r="M4899">
        <v>-0.97003139999999999</v>
      </c>
      <c r="N4899">
        <v>0</v>
      </c>
      <c r="O4899">
        <v>-0.2427483</v>
      </c>
      <c r="P4899">
        <v>-0.969943</v>
      </c>
      <c r="Q4899">
        <v>6.8605819999999996E-3</v>
      </c>
      <c r="R4899">
        <v>-0.24323629999999999</v>
      </c>
      <c r="S4899">
        <v>-2.7196349999999998</v>
      </c>
      <c r="T4899">
        <v>-0.15212579999999901</v>
      </c>
      <c r="U4899">
        <v>-1.5031890000000001</v>
      </c>
      <c r="V4899">
        <v>-5.7766380000000002E-4</v>
      </c>
      <c r="W4899">
        <v>1.7456900000000001E-2</v>
      </c>
      <c r="X4899">
        <v>0.9998475</v>
      </c>
      <c r="Y4899">
        <v>-0.25678450000000003</v>
      </c>
      <c r="Z4899">
        <v>5.6795719999999999E-3</v>
      </c>
      <c r="AA4899">
        <v>0.96645199999999998</v>
      </c>
      <c r="AB4899">
        <v>24</v>
      </c>
      <c r="AC4899">
        <v>-18.212700000000002</v>
      </c>
      <c r="AD4899">
        <v>-1.0316258599999999</v>
      </c>
      <c r="AE4899">
        <v>-10.1333999999999</v>
      </c>
      <c r="AF4899">
        <v>-5.39569859797178</v>
      </c>
      <c r="AG4899">
        <v>-1.0316258599999999</v>
      </c>
      <c r="AH4899">
        <v>20.078694341069099</v>
      </c>
      <c r="AI4899">
        <v>92.840615882739698</v>
      </c>
      <c r="AJ4899">
        <v>105.04160178850201</v>
      </c>
      <c r="AK4899">
        <v>20.8166227260153</v>
      </c>
      <c r="AL4899">
        <v>88.999742548765198</v>
      </c>
      <c r="AM4899">
        <v>90.033102742202999</v>
      </c>
      <c r="AN4899">
        <v>1.00000005015466</v>
      </c>
    </row>
    <row r="4900" spans="1:40" x14ac:dyDescent="0.25">
      <c r="A4900" t="str">
        <f>"20190312154934579"</f>
        <v>20190312154934579</v>
      </c>
      <c r="B4900" t="str">
        <f>"1552376974570367"</f>
        <v>1552376974570367</v>
      </c>
      <c r="C4900" t="s">
        <v>40</v>
      </c>
      <c r="D4900">
        <v>4.4074799999999996</v>
      </c>
      <c r="E4900">
        <v>0.42131600000000002</v>
      </c>
      <c r="F4900" t="s">
        <v>63</v>
      </c>
      <c r="G4900">
        <v>-414.48180000000002</v>
      </c>
      <c r="H4900" s="1">
        <v>-4.2119479999999999E-6</v>
      </c>
      <c r="I4900">
        <v>125.398</v>
      </c>
      <c r="J4900">
        <v>-389.09800000000001</v>
      </c>
      <c r="K4900">
        <v>1.111605</v>
      </c>
      <c r="L4900">
        <v>138.1472</v>
      </c>
      <c r="M4900">
        <v>-0.96931639999999997</v>
      </c>
      <c r="N4900">
        <v>0</v>
      </c>
      <c r="O4900">
        <v>-0.24558720000000001</v>
      </c>
      <c r="P4900">
        <v>-0.96924880000000002</v>
      </c>
      <c r="Q4900">
        <v>6.7810379999999996E-3</v>
      </c>
      <c r="R4900">
        <v>-0.2459894</v>
      </c>
      <c r="S4900">
        <v>-2.7490230000000002</v>
      </c>
      <c r="T4900">
        <v>-0.1193031</v>
      </c>
      <c r="U4900">
        <v>-1.3748469999999999</v>
      </c>
      <c r="V4900">
        <v>-4.8898599999999996E-4</v>
      </c>
      <c r="W4900">
        <v>1.7394920000000001E-2</v>
      </c>
      <c r="X4900">
        <v>0.99984859999999998</v>
      </c>
      <c r="Y4900">
        <v>-0.21395939999999999</v>
      </c>
      <c r="Z4900">
        <v>5.4584209999999998E-3</v>
      </c>
      <c r="AA4900">
        <v>0.97682729999999995</v>
      </c>
      <c r="AB4900">
        <v>24</v>
      </c>
      <c r="AC4900">
        <v>-25.383800000000001</v>
      </c>
      <c r="AD4900">
        <v>-1.1116092119480001</v>
      </c>
      <c r="AE4900">
        <v>-12.7492</v>
      </c>
      <c r="AF4900">
        <v>-6.1150524859557196</v>
      </c>
      <c r="AG4900">
        <v>-1.1116092119480001</v>
      </c>
      <c r="AH4900">
        <v>27.695123244965899</v>
      </c>
      <c r="AI4900">
        <v>92.244464843914599</v>
      </c>
      <c r="AJ4900">
        <v>102.451071117425</v>
      </c>
      <c r="AK4900">
        <v>28.383963667886999</v>
      </c>
      <c r="AL4900">
        <v>89.003294252875094</v>
      </c>
      <c r="AM4900">
        <v>90.028021074197895</v>
      </c>
      <c r="AN4900">
        <v>1.0000000226355299</v>
      </c>
    </row>
    <row r="4901" spans="1:40" x14ac:dyDescent="0.25">
      <c r="A4901" t="str">
        <f>"20190312154934601"</f>
        <v>20190312154934601</v>
      </c>
      <c r="B4901" t="str">
        <f>"1552376974590863"</f>
        <v>1552376974590863</v>
      </c>
      <c r="C4901" t="s">
        <v>40</v>
      </c>
      <c r="D4901">
        <v>4.4185780000000001</v>
      </c>
      <c r="E4901">
        <v>0.42143619999999998</v>
      </c>
      <c r="F4901" t="s">
        <v>63</v>
      </c>
      <c r="G4901">
        <v>-418.50420000000003</v>
      </c>
      <c r="H4901" s="1">
        <v>-2.798316E-6</v>
      </c>
      <c r="I4901">
        <v>123.7004</v>
      </c>
      <c r="J4901">
        <v>-389.33010000000002</v>
      </c>
      <c r="K4901">
        <v>1.111585</v>
      </c>
      <c r="L4901">
        <v>138.08500000000001</v>
      </c>
      <c r="M4901">
        <v>-0.9685935</v>
      </c>
      <c r="N4901">
        <v>0</v>
      </c>
      <c r="O4901">
        <v>-0.24842220000000001</v>
      </c>
      <c r="P4901">
        <v>-0.96859689999999998</v>
      </c>
      <c r="Q4901">
        <v>6.29518E-3</v>
      </c>
      <c r="R4901">
        <v>-0.2485569</v>
      </c>
      <c r="S4901">
        <v>-2.7526860000000002</v>
      </c>
      <c r="T4901">
        <v>-0.10405639999999899</v>
      </c>
      <c r="U4901">
        <v>-1.3523559999999999</v>
      </c>
      <c r="V4901">
        <v>-2.0865E-4</v>
      </c>
      <c r="W4901">
        <v>1.6926259999999999E-2</v>
      </c>
      <c r="X4901">
        <v>0.99985670000000004</v>
      </c>
      <c r="Y4901">
        <v>-0.20416400000000001</v>
      </c>
      <c r="Z4901">
        <v>5.0369050000000004E-3</v>
      </c>
      <c r="AA4901">
        <v>0.97892369999999995</v>
      </c>
      <c r="AB4901">
        <v>24</v>
      </c>
      <c r="AC4901">
        <v>-29.174099999999999</v>
      </c>
      <c r="AD4901">
        <v>-1.1115877983159901</v>
      </c>
      <c r="AE4901">
        <v>-14.384600000000001</v>
      </c>
      <c r="AF4901">
        <v>-6.6779151113465502</v>
      </c>
      <c r="AG4901">
        <v>-1.1115877983159901</v>
      </c>
      <c r="AH4901">
        <v>31.795964290843401</v>
      </c>
      <c r="AI4901">
        <v>91.959529871571505</v>
      </c>
      <c r="AJ4901">
        <v>101.861095282167</v>
      </c>
      <c r="AK4901">
        <v>32.508668426318302</v>
      </c>
      <c r="AL4901">
        <v>89.030150406999894</v>
      </c>
      <c r="AM4901">
        <v>90.011956477585102</v>
      </c>
      <c r="AN4901">
        <v>0.99999998117364897</v>
      </c>
    </row>
    <row r="4902" spans="1:40" x14ac:dyDescent="0.25">
      <c r="A4902" t="str">
        <f>"20190312154934623"</f>
        <v>20190312154934623</v>
      </c>
      <c r="B4902" t="str">
        <f>"1552376974610383"</f>
        <v>1552376974610383</v>
      </c>
      <c r="C4902" t="s">
        <v>40</v>
      </c>
      <c r="D4902">
        <v>4.4507339999999997</v>
      </c>
      <c r="E4902">
        <v>0.42214269999999998</v>
      </c>
      <c r="F4902" t="s">
        <v>63</v>
      </c>
      <c r="G4902">
        <v>-418.5093</v>
      </c>
      <c r="H4902" s="1">
        <v>-2.7757329999999998E-6</v>
      </c>
      <c r="I4902">
        <v>123.66589999999999</v>
      </c>
      <c r="J4902">
        <v>-389.5641</v>
      </c>
      <c r="K4902">
        <v>1.111572</v>
      </c>
      <c r="L4902">
        <v>138.02160000000001</v>
      </c>
      <c r="M4902">
        <v>-0.96786249999999996</v>
      </c>
      <c r="N4902">
        <v>0</v>
      </c>
      <c r="O4902">
        <v>-0.2512548</v>
      </c>
      <c r="P4902">
        <v>-0.96786819999999896</v>
      </c>
      <c r="Q4902">
        <v>5.722675E-3</v>
      </c>
      <c r="R4902">
        <v>-0.25139309999999998</v>
      </c>
      <c r="S4902">
        <v>-2.7493289999999999</v>
      </c>
      <c r="T4902">
        <v>-0.1047362</v>
      </c>
      <c r="U4902">
        <v>-1.3585969999999901</v>
      </c>
      <c r="V4902">
        <v>-2.086519E-4</v>
      </c>
      <c r="W4902">
        <v>1.6367960000000001E-2</v>
      </c>
      <c r="X4902">
        <v>0.99986600000000003</v>
      </c>
      <c r="Y4902">
        <v>-0.20356270000000001</v>
      </c>
      <c r="Z4902">
        <v>5.1797550000000003E-3</v>
      </c>
      <c r="AA4902">
        <v>0.97904820000000004</v>
      </c>
      <c r="AB4902">
        <v>24</v>
      </c>
      <c r="AC4902">
        <v>-28.9452</v>
      </c>
      <c r="AD4902">
        <v>-1.1115747757329999</v>
      </c>
      <c r="AE4902">
        <v>-14.355700000000001</v>
      </c>
      <c r="AF4902">
        <v>-6.6142692851451397</v>
      </c>
      <c r="AG4902">
        <v>-1.1115747757329999</v>
      </c>
      <c r="AH4902">
        <v>31.586315880933402</v>
      </c>
      <c r="AI4902">
        <v>91.972748439150706</v>
      </c>
      <c r="AJ4902">
        <v>101.827014328953</v>
      </c>
      <c r="AK4902">
        <v>32.290548270175996</v>
      </c>
      <c r="AL4902">
        <v>89.062143079373996</v>
      </c>
      <c r="AM4902">
        <v>90.011956475251495</v>
      </c>
      <c r="AN4902">
        <v>0.99999998580308802</v>
      </c>
    </row>
    <row r="4903" spans="1:40" x14ac:dyDescent="0.25">
      <c r="A4903" t="str">
        <f>"20190312154934645"</f>
        <v>20190312154934645</v>
      </c>
      <c r="B4903" t="str">
        <f>"1552376974640639"</f>
        <v>1552376974640639</v>
      </c>
      <c r="C4903" t="s">
        <v>40</v>
      </c>
      <c r="D4903">
        <v>4.4345109999999996</v>
      </c>
      <c r="E4903">
        <v>0.42368149999999899</v>
      </c>
      <c r="F4903" t="s">
        <v>63</v>
      </c>
      <c r="G4903">
        <v>-419.21660000000003</v>
      </c>
      <c r="H4903" s="1">
        <v>-2.4634610000000002E-6</v>
      </c>
      <c r="I4903">
        <v>123.3296</v>
      </c>
      <c r="J4903">
        <v>-389.79750000000001</v>
      </c>
      <c r="K4903">
        <v>1.111551</v>
      </c>
      <c r="L4903">
        <v>137.95769999999999</v>
      </c>
      <c r="M4903">
        <v>-0.96713269999999996</v>
      </c>
      <c r="N4903">
        <v>0</v>
      </c>
      <c r="O4903">
        <v>-0.25404880000000002</v>
      </c>
      <c r="P4903">
        <v>-0.96726690000000004</v>
      </c>
      <c r="Q4903">
        <v>4.9125890000000002E-3</v>
      </c>
      <c r="R4903">
        <v>-0.25371490000000002</v>
      </c>
      <c r="S4903">
        <v>-2.7467039999999998</v>
      </c>
      <c r="T4903">
        <v>-0.102964899999999</v>
      </c>
      <c r="U4903">
        <v>-1.360916</v>
      </c>
      <c r="V4903">
        <v>2.8550130000000001E-4</v>
      </c>
      <c r="W4903">
        <v>1.557365E-2</v>
      </c>
      <c r="X4903">
        <v>0.99987870000000001</v>
      </c>
      <c r="Y4903">
        <v>-0.20177200000000001</v>
      </c>
      <c r="Z4903">
        <v>5.2207579999999998E-3</v>
      </c>
      <c r="AA4903">
        <v>0.97941860000000003</v>
      </c>
      <c r="AB4903">
        <v>24</v>
      </c>
      <c r="AC4903">
        <v>-29.4191</v>
      </c>
      <c r="AD4903">
        <v>-1.111553463461</v>
      </c>
      <c r="AE4903">
        <v>-14.6280999999999</v>
      </c>
      <c r="AF4903">
        <v>-6.6661756272134403</v>
      </c>
      <c r="AG4903">
        <v>-1.111553463461</v>
      </c>
      <c r="AH4903">
        <v>32.133471503684603</v>
      </c>
      <c r="AI4903">
        <v>91.9399010068759</v>
      </c>
      <c r="AJ4903">
        <v>101.719923072637</v>
      </c>
      <c r="AK4903">
        <v>32.836465087964299</v>
      </c>
      <c r="AL4903">
        <v>89.107659525269398</v>
      </c>
      <c r="AM4903">
        <v>89.983639996440601</v>
      </c>
      <c r="AN4903">
        <v>1.0000000173995001</v>
      </c>
    </row>
    <row r="4904" spans="1:40" x14ac:dyDescent="0.25">
      <c r="A4904" t="str">
        <f>"20190312154934667"</f>
        <v>20190312154934667</v>
      </c>
      <c r="B4904" t="str">
        <f>"1552376974661137"</f>
        <v>1552376974661137</v>
      </c>
      <c r="C4904" t="s">
        <v>40</v>
      </c>
      <c r="D4904">
        <v>4.458202</v>
      </c>
      <c r="E4904">
        <v>0.42455809999999999</v>
      </c>
      <c r="F4904" t="s">
        <v>63</v>
      </c>
      <c r="G4904">
        <v>-419.42700000000002</v>
      </c>
      <c r="H4904" s="1">
        <v>-2.4362629999999999E-6</v>
      </c>
      <c r="I4904">
        <v>123.3329</v>
      </c>
      <c r="J4904">
        <v>-390.03129999999999</v>
      </c>
      <c r="K4904">
        <v>1.111534</v>
      </c>
      <c r="L4904">
        <v>137.8929</v>
      </c>
      <c r="M4904">
        <v>-0.96640110000000001</v>
      </c>
      <c r="N4904">
        <v>0</v>
      </c>
      <c r="O4904">
        <v>-0.25681710000000002</v>
      </c>
      <c r="P4904">
        <v>-0.96662740000000003</v>
      </c>
      <c r="Q4904">
        <v>4.471002E-3</v>
      </c>
      <c r="R4904">
        <v>-0.25614720000000002</v>
      </c>
      <c r="S4904">
        <v>-2.7464599999999999</v>
      </c>
      <c r="T4904">
        <v>-0.10303370000000001</v>
      </c>
      <c r="U4904">
        <v>-1.355621</v>
      </c>
      <c r="V4904">
        <v>6.3633980000000004E-4</v>
      </c>
      <c r="W4904">
        <v>1.514598E-2</v>
      </c>
      <c r="X4904">
        <v>0.99988509999999997</v>
      </c>
      <c r="Y4904">
        <v>-0.19748679999999999</v>
      </c>
      <c r="Z4904">
        <v>5.3960199999999996E-3</v>
      </c>
      <c r="AA4904">
        <v>0.98029069999999996</v>
      </c>
      <c r="AB4904">
        <v>24</v>
      </c>
      <c r="AC4904">
        <v>-29.395699999999898</v>
      </c>
      <c r="AD4904">
        <v>-1.111536436263</v>
      </c>
      <c r="AE4904">
        <v>-14.56</v>
      </c>
      <c r="AF4904">
        <v>-6.5143735842650399</v>
      </c>
      <c r="AG4904">
        <v>-1.111536436263</v>
      </c>
      <c r="AH4904">
        <v>32.112255260472097</v>
      </c>
      <c r="AI4904">
        <v>91.942905593054604</v>
      </c>
      <c r="AJ4904">
        <v>101.467548495671</v>
      </c>
      <c r="AK4904">
        <v>32.785202673740301</v>
      </c>
      <c r="AL4904">
        <v>89.132166095143404</v>
      </c>
      <c r="AM4904">
        <v>89.963536230358898</v>
      </c>
      <c r="AN4904">
        <v>1.0000000094202499</v>
      </c>
    </row>
    <row r="4905" spans="1:40" x14ac:dyDescent="0.25">
      <c r="A4905" t="str">
        <f>"20190312154934690"</f>
        <v>20190312154934690</v>
      </c>
      <c r="B4905" t="str">
        <f>"1552376974680655"</f>
        <v>1552376974680655</v>
      </c>
      <c r="C4905" t="s">
        <v>40</v>
      </c>
      <c r="D4905">
        <v>4.4254220000000002</v>
      </c>
      <c r="E4905">
        <v>0.4252204</v>
      </c>
      <c r="F4905" t="s">
        <v>63</v>
      </c>
      <c r="G4905">
        <v>-418.98750000000001</v>
      </c>
      <c r="H4905" s="1">
        <v>-2.6612290000000002E-6</v>
      </c>
      <c r="I4905">
        <v>123.59059999999999</v>
      </c>
      <c r="J4905">
        <v>-390.26929999999999</v>
      </c>
      <c r="K4905">
        <v>1.111523</v>
      </c>
      <c r="L4905">
        <v>137.8262</v>
      </c>
      <c r="M4905">
        <v>-0.96565509999999999</v>
      </c>
      <c r="N4905">
        <v>0</v>
      </c>
      <c r="O4905">
        <v>-0.25960739999999999</v>
      </c>
      <c r="P4905">
        <v>-0.96601519999999996</v>
      </c>
      <c r="Q4905">
        <v>4.5929889999999996E-3</v>
      </c>
      <c r="R4905">
        <v>-0.25844519999999999</v>
      </c>
      <c r="S4905">
        <v>-2.7447810000000001</v>
      </c>
      <c r="T4905">
        <v>-0.1053634</v>
      </c>
      <c r="U4905">
        <v>-1.355728</v>
      </c>
      <c r="V4905">
        <v>1.1468450000000001E-3</v>
      </c>
      <c r="W4905">
        <v>1.5281380000000001E-2</v>
      </c>
      <c r="X4905">
        <v>0.99988259999999995</v>
      </c>
      <c r="Y4905">
        <v>-0.1949274</v>
      </c>
      <c r="Z4905">
        <v>5.6629369999999998E-3</v>
      </c>
      <c r="AA4905">
        <v>0.98080129999999999</v>
      </c>
      <c r="AB4905">
        <v>24</v>
      </c>
      <c r="AC4905">
        <v>-28.7182</v>
      </c>
      <c r="AD4905">
        <v>-1.1115256612289901</v>
      </c>
      <c r="AE4905">
        <v>-14.2356</v>
      </c>
      <c r="AF4905">
        <v>-6.2840249645217403</v>
      </c>
      <c r="AG4905">
        <v>-1.1115256612289901</v>
      </c>
      <c r="AH4905">
        <v>31.391588369305701</v>
      </c>
      <c r="AI4905">
        <v>91.988486098022406</v>
      </c>
      <c r="AJ4905">
        <v>101.319948393037</v>
      </c>
      <c r="AK4905">
        <v>32.033674147656399</v>
      </c>
      <c r="AL4905">
        <v>89.124407362180307</v>
      </c>
      <c r="AM4905">
        <v>89.934282935375805</v>
      </c>
      <c r="AN4905">
        <v>1.0000000248054499</v>
      </c>
    </row>
    <row r="4906" spans="1:40" x14ac:dyDescent="0.25">
      <c r="A4906" t="str">
        <f>"20190312154934713"</f>
        <v>20190312154934713</v>
      </c>
      <c r="B4906" t="str">
        <f>"1552376974701151"</f>
        <v>1552376974701151</v>
      </c>
      <c r="C4906" t="s">
        <v>40</v>
      </c>
      <c r="D4906">
        <v>4.4485299999999999</v>
      </c>
      <c r="E4906">
        <v>0.42561310000000002</v>
      </c>
      <c r="F4906" t="s">
        <v>63</v>
      </c>
      <c r="G4906">
        <v>-418.95769999999999</v>
      </c>
      <c r="H4906" s="1">
        <v>-2.690955E-6</v>
      </c>
      <c r="I4906">
        <v>123.63079999999999</v>
      </c>
      <c r="J4906">
        <v>-390.51190000000003</v>
      </c>
      <c r="K4906">
        <v>1.11151</v>
      </c>
      <c r="L4906">
        <v>137.7576</v>
      </c>
      <c r="M4906">
        <v>-0.96489279999999999</v>
      </c>
      <c r="N4906">
        <v>0</v>
      </c>
      <c r="O4906">
        <v>-0.26242659999999901</v>
      </c>
      <c r="P4906">
        <v>-0.96545789999999998</v>
      </c>
      <c r="Q4906">
        <v>4.8554710000000001E-3</v>
      </c>
      <c r="R4906">
        <v>-0.26051350000000001</v>
      </c>
      <c r="S4906">
        <v>-2.74295</v>
      </c>
      <c r="T4906">
        <v>-0.1062751</v>
      </c>
      <c r="U4906">
        <v>-1.357254</v>
      </c>
      <c r="V4906">
        <v>1.924388E-3</v>
      </c>
      <c r="W4906">
        <v>1.5557440000000001E-2</v>
      </c>
      <c r="X4906">
        <v>0.99987709999999996</v>
      </c>
      <c r="Y4906">
        <v>-0.1927642</v>
      </c>
      <c r="Z4906">
        <v>5.8514650000000001E-3</v>
      </c>
      <c r="AA4906">
        <v>0.98122770000000004</v>
      </c>
      <c r="AB4906">
        <v>25</v>
      </c>
      <c r="AC4906">
        <v>-28.445799999999899</v>
      </c>
      <c r="AD4906">
        <v>-1.1115126909549999</v>
      </c>
      <c r="AE4906">
        <v>-14.126799999999999</v>
      </c>
      <c r="AF4906">
        <v>-6.15872201494218</v>
      </c>
      <c r="AG4906">
        <v>-1.1115126909549999</v>
      </c>
      <c r="AH4906">
        <v>31.118061799455901</v>
      </c>
      <c r="AI4906">
        <v>92.006797389111597</v>
      </c>
      <c r="AJ4906">
        <v>101.19500325660999</v>
      </c>
      <c r="AK4906">
        <v>31.7411261217092</v>
      </c>
      <c r="AL4906">
        <v>89.108588365605598</v>
      </c>
      <c r="AM4906">
        <v>89.889727273076005</v>
      </c>
      <c r="AN4906">
        <v>0.99999997615646796</v>
      </c>
    </row>
    <row r="4907" spans="1:40" x14ac:dyDescent="0.25">
      <c r="A4907" t="str">
        <f>"20190312154934736"</f>
        <v>20190312154934736</v>
      </c>
      <c r="B4907" t="str">
        <f>"1552376974731408"</f>
        <v>1552376974731408</v>
      </c>
      <c r="C4907" t="s">
        <v>40</v>
      </c>
      <c r="D4907">
        <v>4.4976440000000002</v>
      </c>
      <c r="E4907">
        <v>0.42617430000000001</v>
      </c>
      <c r="F4907" t="s">
        <v>63</v>
      </c>
      <c r="G4907">
        <v>-419.41370000000001</v>
      </c>
      <c r="H4907" s="1">
        <v>-2.4905539999999999E-6</v>
      </c>
      <c r="I4907">
        <v>123.41540000000001</v>
      </c>
      <c r="J4907">
        <v>-390.74759999999998</v>
      </c>
      <c r="K4907">
        <v>1.1114949999999999</v>
      </c>
      <c r="L4907">
        <v>137.6902</v>
      </c>
      <c r="M4907">
        <v>-0.96415039999999996</v>
      </c>
      <c r="N4907">
        <v>0</v>
      </c>
      <c r="O4907">
        <v>-0.26514070000000001</v>
      </c>
      <c r="P4907">
        <v>-0.96489049999999998</v>
      </c>
      <c r="Q4907">
        <v>4.7495979999999998E-3</v>
      </c>
      <c r="R4907">
        <v>-0.2626098</v>
      </c>
      <c r="S4907">
        <v>-2.7408450000000002</v>
      </c>
      <c r="T4907">
        <v>-0.1054078</v>
      </c>
      <c r="U4907">
        <v>-1.360107</v>
      </c>
      <c r="V4907">
        <v>2.5675939999999999E-3</v>
      </c>
      <c r="W4907">
        <v>1.546352E-2</v>
      </c>
      <c r="X4907">
        <v>0.99987720000000002</v>
      </c>
      <c r="Y4907">
        <v>-0.19112409999999999</v>
      </c>
      <c r="Z4907">
        <v>5.9288880000000002E-3</v>
      </c>
      <c r="AA4907">
        <v>0.98154799999999998</v>
      </c>
      <c r="AB4907">
        <v>25</v>
      </c>
      <c r="AC4907">
        <v>-28.6661</v>
      </c>
      <c r="AD4907">
        <v>-1.111497490554</v>
      </c>
      <c r="AE4907">
        <v>-14.274800000000001</v>
      </c>
      <c r="AF4907">
        <v>-6.1554414911838196</v>
      </c>
      <c r="AG4907">
        <v>-1.111497490554</v>
      </c>
      <c r="AH4907">
        <v>31.3872481863032</v>
      </c>
      <c r="AI4907">
        <v>91.990252675217903</v>
      </c>
      <c r="AJ4907">
        <v>101.095619912801</v>
      </c>
      <c r="AK4907">
        <v>32.004440868908901</v>
      </c>
      <c r="AL4907">
        <v>89.113970310626996</v>
      </c>
      <c r="AM4907">
        <v>89.852869956086806</v>
      </c>
      <c r="AN4907">
        <v>1.0000000640347799</v>
      </c>
    </row>
    <row r="4908" spans="1:40" x14ac:dyDescent="0.25">
      <c r="A4908" t="str">
        <f>"20190312154934757"</f>
        <v>20190312154934757</v>
      </c>
      <c r="B4908" t="str">
        <f>"1552376974750928"</f>
        <v>1552376974750928</v>
      </c>
      <c r="C4908" t="s">
        <v>40</v>
      </c>
      <c r="D4908">
        <v>4.4953310000000002</v>
      </c>
      <c r="E4908">
        <v>0.42664809999999997</v>
      </c>
      <c r="F4908" t="s">
        <v>63</v>
      </c>
      <c r="G4908">
        <v>-418.9538</v>
      </c>
      <c r="H4908" s="1">
        <v>-2.7142460000000002E-6</v>
      </c>
      <c r="I4908">
        <v>123.6666</v>
      </c>
      <c r="J4908">
        <v>-390.97390000000001</v>
      </c>
      <c r="K4908">
        <v>1.111491</v>
      </c>
      <c r="L4908">
        <v>137.62479999999999</v>
      </c>
      <c r="M4908">
        <v>-0.96343639999999997</v>
      </c>
      <c r="N4908">
        <v>0</v>
      </c>
      <c r="O4908">
        <v>-0.26772360000000001</v>
      </c>
      <c r="P4908">
        <v>-0.96431069999999997</v>
      </c>
      <c r="Q4908">
        <v>5.4759789999999997E-3</v>
      </c>
      <c r="R4908">
        <v>-0.26471729999999999</v>
      </c>
      <c r="S4908">
        <v>-2.7390439999999998</v>
      </c>
      <c r="T4908">
        <v>-0.107935199999999</v>
      </c>
      <c r="U4908">
        <v>-1.361801</v>
      </c>
      <c r="V4908">
        <v>3.0588270000000001E-3</v>
      </c>
      <c r="W4908">
        <v>1.6199180000000001E-2</v>
      </c>
      <c r="X4908">
        <v>0.99986410000000003</v>
      </c>
      <c r="Y4908">
        <v>-0.18924150000000001</v>
      </c>
      <c r="Z4908">
        <v>6.1990830000000002E-3</v>
      </c>
      <c r="AA4908">
        <v>0.98191099999999998</v>
      </c>
      <c r="AB4908">
        <v>25</v>
      </c>
      <c r="AC4908">
        <v>-27.979899999999901</v>
      </c>
      <c r="AD4908">
        <v>-1.111493714246</v>
      </c>
      <c r="AE4908">
        <v>-13.9581999999999</v>
      </c>
      <c r="AF4908">
        <v>-5.9497810270010199</v>
      </c>
      <c r="AG4908">
        <v>-1.111493714246</v>
      </c>
      <c r="AH4908">
        <v>30.656811571500601</v>
      </c>
      <c r="AI4908">
        <v>92.038405617904701</v>
      </c>
      <c r="AJ4908">
        <v>100.98325163989701</v>
      </c>
      <c r="AK4908">
        <v>31.248606501355599</v>
      </c>
      <c r="AL4908">
        <v>89.071814751276804</v>
      </c>
      <c r="AM4908">
        <v>89.824718848671907</v>
      </c>
      <c r="AN4908">
        <v>0.99999999416204899</v>
      </c>
    </row>
    <row r="4909" spans="1:40" x14ac:dyDescent="0.25">
      <c r="A4909" t="str">
        <f>"20190312154934780"</f>
        <v>20190312154934780</v>
      </c>
      <c r="B4909" t="str">
        <f>"1552376974770448"</f>
        <v>1552376974770448</v>
      </c>
      <c r="C4909" t="s">
        <v>40</v>
      </c>
      <c r="D4909">
        <v>4.498462</v>
      </c>
      <c r="E4909">
        <v>0.42701719999999999</v>
      </c>
      <c r="F4909" t="s">
        <v>63</v>
      </c>
      <c r="G4909">
        <v>-419.69619999999998</v>
      </c>
      <c r="H4909" s="1">
        <v>-2.3836649999999998E-6</v>
      </c>
      <c r="I4909">
        <v>123.3091</v>
      </c>
      <c r="J4909">
        <v>-391.2054</v>
      </c>
      <c r="K4909">
        <v>1.111478</v>
      </c>
      <c r="L4909">
        <v>137.5573</v>
      </c>
      <c r="M4909">
        <v>-0.96270480000000003</v>
      </c>
      <c r="N4909">
        <v>0</v>
      </c>
      <c r="O4909">
        <v>-0.27034180000000002</v>
      </c>
      <c r="P4909">
        <v>-0.96356280000000005</v>
      </c>
      <c r="Q4909">
        <v>5.9291550000000002E-3</v>
      </c>
      <c r="R4909">
        <v>-0.2674164</v>
      </c>
      <c r="S4909">
        <v>-2.7371219999999998</v>
      </c>
      <c r="T4909">
        <v>-0.1059208</v>
      </c>
      <c r="U4909">
        <v>-1.3642270000000001</v>
      </c>
      <c r="V4909">
        <v>2.9750919999999999E-3</v>
      </c>
      <c r="W4909">
        <v>1.665879E-2</v>
      </c>
      <c r="X4909">
        <v>0.99985679999999999</v>
      </c>
      <c r="Y4909">
        <v>-0.18754470000000001</v>
      </c>
      <c r="Z4909">
        <v>6.2068640000000003E-3</v>
      </c>
      <c r="AA4909">
        <v>0.98223640000000001</v>
      </c>
      <c r="AB4909">
        <v>25</v>
      </c>
      <c r="AC4909">
        <v>-28.490799999999901</v>
      </c>
      <c r="AD4909">
        <v>-1.111480383665</v>
      </c>
      <c r="AE4909">
        <v>-14.248199999999899</v>
      </c>
      <c r="AF4909">
        <v>-6.0075876575808502</v>
      </c>
      <c r="AG4909">
        <v>-1.111480383665</v>
      </c>
      <c r="AH4909">
        <v>31.243871493116099</v>
      </c>
      <c r="AI4909">
        <v>92.000780933310594</v>
      </c>
      <c r="AJ4909">
        <v>100.884025357753</v>
      </c>
      <c r="AK4909">
        <v>31.835609056293301</v>
      </c>
      <c r="AL4909">
        <v>89.045477482413006</v>
      </c>
      <c r="AM4909">
        <v>89.829515874475703</v>
      </c>
      <c r="AN4909">
        <v>0.99999999348145596</v>
      </c>
    </row>
    <row r="4910" spans="1:40" x14ac:dyDescent="0.25">
      <c r="A4910" t="str">
        <f>"20190312154934802"</f>
        <v>20190312154934802</v>
      </c>
      <c r="B4910" t="str">
        <f>"1552376974790943"</f>
        <v>1552376974790943</v>
      </c>
      <c r="C4910" t="s">
        <v>40</v>
      </c>
      <c r="D4910">
        <v>4.5061689999999999</v>
      </c>
      <c r="E4910">
        <v>0.42730240000000003</v>
      </c>
      <c r="F4910" t="s">
        <v>63</v>
      </c>
      <c r="G4910">
        <v>-420.14589999999998</v>
      </c>
      <c r="H4910" s="1">
        <v>-2.2410639999999999E-6</v>
      </c>
      <c r="I4910">
        <v>123.0633</v>
      </c>
      <c r="J4910">
        <v>-391.44760000000002</v>
      </c>
      <c r="K4910">
        <v>1.111461</v>
      </c>
      <c r="L4910">
        <v>137.48599999999999</v>
      </c>
      <c r="M4910">
        <v>-0.96194009999999996</v>
      </c>
      <c r="N4910">
        <v>0</v>
      </c>
      <c r="O4910">
        <v>-0.27305049999999997</v>
      </c>
      <c r="P4910">
        <v>-0.96280149999999998</v>
      </c>
      <c r="Q4910">
        <v>5.6002810000000004E-3</v>
      </c>
      <c r="R4910">
        <v>-0.27015270000000002</v>
      </c>
      <c r="S4910">
        <v>-2.7340390000000001</v>
      </c>
      <c r="T4910">
        <v>-0.1050029</v>
      </c>
      <c r="U4910">
        <v>-1.3692629999999999</v>
      </c>
      <c r="V4910">
        <v>2.9516920000000001E-3</v>
      </c>
      <c r="W4910">
        <v>1.633602E-2</v>
      </c>
      <c r="X4910">
        <v>0.99986220000000003</v>
      </c>
      <c r="Y4910">
        <v>-0.18667039999999999</v>
      </c>
      <c r="Z4910">
        <v>6.2644279999999998E-3</v>
      </c>
      <c r="AA4910">
        <v>0.98240260000000001</v>
      </c>
      <c r="AB4910">
        <v>25</v>
      </c>
      <c r="AC4910">
        <v>-28.6982999999999</v>
      </c>
      <c r="AD4910">
        <v>-1.111463241064</v>
      </c>
      <c r="AE4910">
        <v>-14.422699999999899</v>
      </c>
      <c r="AF4910">
        <v>-6.0308126051570499</v>
      </c>
      <c r="AG4910">
        <v>-1.111463241064</v>
      </c>
      <c r="AH4910">
        <v>31.508248560588399</v>
      </c>
      <c r="AI4910">
        <v>91.984297273816196</v>
      </c>
      <c r="AJ4910">
        <v>100.835601188808</v>
      </c>
      <c r="AK4910">
        <v>32.099466951502102</v>
      </c>
      <c r="AL4910">
        <v>89.063973363206998</v>
      </c>
      <c r="AM4910">
        <v>89.830857689450198</v>
      </c>
      <c r="AN4910">
        <v>0.99999999851197097</v>
      </c>
    </row>
    <row r="4911" spans="1:40" x14ac:dyDescent="0.25">
      <c r="A4911" t="str">
        <f>"20190312154934824"</f>
        <v>20190312154934824</v>
      </c>
      <c r="B4911" t="str">
        <f>"1552376974821200"</f>
        <v>1552376974821200</v>
      </c>
      <c r="C4911" t="s">
        <v>40</v>
      </c>
      <c r="D4911">
        <v>4.7312349999999999</v>
      </c>
      <c r="E4911">
        <v>0.42767260000000001</v>
      </c>
      <c r="F4911" t="s">
        <v>63</v>
      </c>
      <c r="G4911">
        <v>-420.09769999999997</v>
      </c>
      <c r="H4911" s="1">
        <v>-2.2305460000000001E-6</v>
      </c>
      <c r="I4911">
        <v>123.0669</v>
      </c>
      <c r="J4911">
        <v>-391.6748</v>
      </c>
      <c r="K4911">
        <v>1.1114459999999999</v>
      </c>
      <c r="L4911">
        <v>137.41849999999999</v>
      </c>
      <c r="M4911">
        <v>-0.96122339999999995</v>
      </c>
      <c r="N4911">
        <v>0</v>
      </c>
      <c r="O4911">
        <v>-0.2755629</v>
      </c>
      <c r="P4911">
        <v>-0.96209080000000002</v>
      </c>
      <c r="Q4911">
        <v>5.0329850000000002E-3</v>
      </c>
      <c r="R4911">
        <v>-0.27268360000000003</v>
      </c>
      <c r="S4911">
        <v>-2.730896</v>
      </c>
      <c r="T4911">
        <v>-0.1059432</v>
      </c>
      <c r="U4911">
        <v>-1.3744050000000001</v>
      </c>
      <c r="V4911">
        <v>2.9388130000000002E-3</v>
      </c>
      <c r="W4911">
        <v>1.57739E-2</v>
      </c>
      <c r="X4911">
        <v>0.99987130000000002</v>
      </c>
      <c r="Y4911">
        <v>-0.1860358</v>
      </c>
      <c r="Z4911">
        <v>6.4217500000000004E-3</v>
      </c>
      <c r="AA4911">
        <v>0.98252200000000001</v>
      </c>
      <c r="AB4911">
        <v>25</v>
      </c>
      <c r="AC4911">
        <v>-28.422899999999899</v>
      </c>
      <c r="AD4911">
        <v>-1.1114482305459901</v>
      </c>
      <c r="AE4911">
        <v>-14.3515999999999</v>
      </c>
      <c r="AF4911">
        <v>-5.95588184318449</v>
      </c>
      <c r="AG4911">
        <v>-1.1114482305459901</v>
      </c>
      <c r="AH4911">
        <v>31.2392543501491</v>
      </c>
      <c r="AI4911">
        <v>92.001619377765905</v>
      </c>
      <c r="AJ4911">
        <v>100.794116289299</v>
      </c>
      <c r="AK4911">
        <v>31.8213585199072</v>
      </c>
      <c r="AL4911">
        <v>89.096184651518996</v>
      </c>
      <c r="AM4911">
        <v>89.831597229756895</v>
      </c>
      <c r="AN4911">
        <v>1.0000000345533699</v>
      </c>
    </row>
    <row r="4912" spans="1:40" x14ac:dyDescent="0.25">
      <c r="A4912" t="str">
        <f>"20190312154934847"</f>
        <v>20190312154934847</v>
      </c>
      <c r="B4912" t="str">
        <f>"1552376974840719"</f>
        <v>1552376974840719</v>
      </c>
      <c r="C4912" t="s">
        <v>40</v>
      </c>
      <c r="D4912">
        <v>4.5255080000000003</v>
      </c>
      <c r="E4912">
        <v>0.4278458</v>
      </c>
      <c r="F4912" t="s">
        <v>63</v>
      </c>
      <c r="G4912">
        <v>-419.95299999999997</v>
      </c>
      <c r="H4912" s="1">
        <v>-2.2304630000000001E-6</v>
      </c>
      <c r="I4912">
        <v>123.12430000000001</v>
      </c>
      <c r="J4912">
        <v>-391.91759999999999</v>
      </c>
      <c r="K4912">
        <v>1.111423</v>
      </c>
      <c r="L4912">
        <v>137.34559999999999</v>
      </c>
      <c r="M4912">
        <v>-0.96045959999999997</v>
      </c>
      <c r="N4912">
        <v>0</v>
      </c>
      <c r="O4912">
        <v>-0.27821279999999998</v>
      </c>
      <c r="P4912">
        <v>-0.96148900000000004</v>
      </c>
      <c r="Q4912">
        <v>4.5973749999999999E-3</v>
      </c>
      <c r="R4912">
        <v>-0.27480579999999999</v>
      </c>
      <c r="S4912">
        <v>-2.7279360000000001</v>
      </c>
      <c r="T4912">
        <v>-0.10721899999999999</v>
      </c>
      <c r="U4912">
        <v>-1.378922</v>
      </c>
      <c r="V4912">
        <v>3.4936329999999999E-3</v>
      </c>
      <c r="W4912">
        <v>1.5345269999999999E-2</v>
      </c>
      <c r="X4912">
        <v>0.99987610000000005</v>
      </c>
      <c r="Y4912">
        <v>-0.18505379999999999</v>
      </c>
      <c r="Z4912">
        <v>6.6127410000000001E-3</v>
      </c>
      <c r="AA4912">
        <v>0.98270610000000003</v>
      </c>
      <c r="AB4912">
        <v>25</v>
      </c>
      <c r="AC4912">
        <v>-28.035399999999999</v>
      </c>
      <c r="AD4912">
        <v>-1.1114252304629999</v>
      </c>
      <c r="AE4912">
        <v>-14.2212999999999</v>
      </c>
      <c r="AF4912">
        <v>-5.8521987639286897</v>
      </c>
      <c r="AG4912">
        <v>-1.1114252304629999</v>
      </c>
      <c r="AH4912">
        <v>30.846634968101402</v>
      </c>
      <c r="AI4912">
        <v>92.027380634248601</v>
      </c>
      <c r="AJ4912">
        <v>100.742437938517</v>
      </c>
      <c r="AK4912">
        <v>31.416530446100101</v>
      </c>
      <c r="AL4912">
        <v>89.120746239038695</v>
      </c>
      <c r="AM4912">
        <v>89.799805584431596</v>
      </c>
      <c r="AN4912">
        <v>0.99999994906705902</v>
      </c>
    </row>
    <row r="4913" spans="1:40" x14ac:dyDescent="0.25">
      <c r="A4913" t="str">
        <f>"20190312154934869"</f>
        <v>20190312154934869</v>
      </c>
      <c r="B4913" t="str">
        <f>"1552376974861215"</f>
        <v>1552376974861215</v>
      </c>
      <c r="C4913" t="s">
        <v>40</v>
      </c>
      <c r="D4913">
        <v>4.5260300000000004</v>
      </c>
      <c r="E4913">
        <v>0.42812800000000001</v>
      </c>
      <c r="F4913" t="s">
        <v>63</v>
      </c>
      <c r="G4913">
        <v>-420.01459999999997</v>
      </c>
      <c r="H4913" s="1">
        <v>-2.2172269999999998E-6</v>
      </c>
      <c r="I4913">
        <v>123.0808</v>
      </c>
      <c r="J4913">
        <v>-392.1431</v>
      </c>
      <c r="K4913">
        <v>1.1114010000000001</v>
      </c>
      <c r="L4913">
        <v>137.2773</v>
      </c>
      <c r="M4913">
        <v>-0.95975330000000003</v>
      </c>
      <c r="N4913">
        <v>0</v>
      </c>
      <c r="O4913">
        <v>-0.2806401</v>
      </c>
      <c r="P4913">
        <v>-0.96100209999999997</v>
      </c>
      <c r="Q4913">
        <v>4.4623780000000004E-3</v>
      </c>
      <c r="R4913">
        <v>-0.27650609999999998</v>
      </c>
      <c r="S4913">
        <v>-2.7252200000000002</v>
      </c>
      <c r="T4913">
        <v>-0.1078008</v>
      </c>
      <c r="U4913">
        <v>-1.383591</v>
      </c>
      <c r="V4913">
        <v>4.2543340000000002E-3</v>
      </c>
      <c r="W4913">
        <v>1.5216540000000001E-2</v>
      </c>
      <c r="X4913">
        <v>0.99987519999999996</v>
      </c>
      <c r="Y4913">
        <v>-0.18430550000000001</v>
      </c>
      <c r="Z4913">
        <v>6.7501890000000002E-3</v>
      </c>
      <c r="AA4913">
        <v>0.98284579999999999</v>
      </c>
      <c r="AB4913">
        <v>25</v>
      </c>
      <c r="AC4913">
        <v>-27.871499999999902</v>
      </c>
      <c r="AD4913">
        <v>-1.1114032172270001</v>
      </c>
      <c r="AE4913">
        <v>-14.1965</v>
      </c>
      <c r="AF4913">
        <v>-5.7962920982608699</v>
      </c>
      <c r="AG4913">
        <v>-1.1114032172270001</v>
      </c>
      <c r="AH4913">
        <v>30.696878649915899</v>
      </c>
      <c r="AI4913">
        <v>92.037555855757404</v>
      </c>
      <c r="AJ4913">
        <v>100.692893310579</v>
      </c>
      <c r="AK4913">
        <v>31.259087927309899</v>
      </c>
      <c r="AL4913">
        <v>89.128122856107595</v>
      </c>
      <c r="AM4913">
        <v>89.756215663832293</v>
      </c>
      <c r="AN4913">
        <v>1.0000000290111899</v>
      </c>
    </row>
    <row r="4914" spans="1:40" x14ac:dyDescent="0.25">
      <c r="A4914" t="str">
        <f>"20190312154934891"</f>
        <v>20190312154934891</v>
      </c>
      <c r="B4914" t="str">
        <f>"1552376974880736"</f>
        <v>1552376974880736</v>
      </c>
      <c r="C4914" t="s">
        <v>40</v>
      </c>
      <c r="D4914">
        <v>4.522913</v>
      </c>
      <c r="E4914">
        <v>0.42833870000000002</v>
      </c>
      <c r="F4914" t="s">
        <v>63</v>
      </c>
      <c r="G4914">
        <v>-419.70010000000002</v>
      </c>
      <c r="H4914" s="1">
        <v>-2.3461669999999998E-6</v>
      </c>
      <c r="I4914">
        <v>123.251</v>
      </c>
      <c r="J4914">
        <v>-392.38569999999999</v>
      </c>
      <c r="K4914">
        <v>1.1113789999999999</v>
      </c>
      <c r="L4914">
        <v>137.20320000000001</v>
      </c>
      <c r="M4914">
        <v>-0.95899520000000005</v>
      </c>
      <c r="N4914">
        <v>0</v>
      </c>
      <c r="O4914">
        <v>-0.283219</v>
      </c>
      <c r="P4914">
        <v>-0.96041620000000005</v>
      </c>
      <c r="Q4914">
        <v>4.6966040000000001E-3</v>
      </c>
      <c r="R4914">
        <v>-0.2785299</v>
      </c>
      <c r="S4914">
        <v>-2.7234189999999998</v>
      </c>
      <c r="T4914">
        <v>-0.10983850000000001</v>
      </c>
      <c r="U4914">
        <v>-1.3862000000000001</v>
      </c>
      <c r="V4914">
        <v>4.8352150000000003E-3</v>
      </c>
      <c r="W4914">
        <v>1.5456839999999999E-2</v>
      </c>
      <c r="X4914">
        <v>0.99986889999999995</v>
      </c>
      <c r="Y4914">
        <v>-0.18267820000000001</v>
      </c>
      <c r="Z4914">
        <v>7.0026029999999996E-3</v>
      </c>
      <c r="AA4914">
        <v>0.98314780000000002</v>
      </c>
      <c r="AB4914">
        <v>25</v>
      </c>
      <c r="AC4914">
        <v>-27.314399999999999</v>
      </c>
      <c r="AD4914">
        <v>-1.1113813461669999</v>
      </c>
      <c r="AE4914">
        <v>-13.952199999999999</v>
      </c>
      <c r="AF4914">
        <v>-5.63705960053354</v>
      </c>
      <c r="AG4914">
        <v>-1.1113813461669999</v>
      </c>
      <c r="AH4914">
        <v>30.108112046414298</v>
      </c>
      <c r="AI4914">
        <v>92.077926750067604</v>
      </c>
      <c r="AJ4914">
        <v>100.60455891471101</v>
      </c>
      <c r="AK4914">
        <v>30.6514277063241</v>
      </c>
      <c r="AL4914">
        <v>89.114353084330304</v>
      </c>
      <c r="AM4914">
        <v>89.722928422894398</v>
      </c>
      <c r="AN4914">
        <v>1.00000005519704</v>
      </c>
    </row>
    <row r="4915" spans="1:40" x14ac:dyDescent="0.25">
      <c r="A4915" t="str">
        <f>"20190312154934914"</f>
        <v>20190312154934914</v>
      </c>
      <c r="B4915" t="str">
        <f>"1552376974901231"</f>
        <v>1552376974901231</v>
      </c>
      <c r="C4915" t="s">
        <v>40</v>
      </c>
      <c r="D4915">
        <v>4.5268360000000003</v>
      </c>
      <c r="E4915">
        <v>0.42845929999999999</v>
      </c>
      <c r="F4915" t="s">
        <v>63</v>
      </c>
      <c r="G4915">
        <v>-419.83879999999999</v>
      </c>
      <c r="H4915" s="1">
        <v>-2.2803079999999998E-6</v>
      </c>
      <c r="I4915">
        <v>123.1778</v>
      </c>
      <c r="J4915">
        <v>-392.62549999999999</v>
      </c>
      <c r="K4915">
        <v>1.1113569999999999</v>
      </c>
      <c r="L4915">
        <v>137.1292</v>
      </c>
      <c r="M4915">
        <v>-0.95824730000000002</v>
      </c>
      <c r="N4915">
        <v>0</v>
      </c>
      <c r="O4915">
        <v>-0.28573870000000001</v>
      </c>
      <c r="P4915">
        <v>-0.95969380000000004</v>
      </c>
      <c r="Q4915">
        <v>4.1064750000000001E-3</v>
      </c>
      <c r="R4915">
        <v>-0.28101779999999998</v>
      </c>
      <c r="S4915">
        <v>-2.721069</v>
      </c>
      <c r="T4915">
        <v>-0.1101565</v>
      </c>
      <c r="U4915">
        <v>-1.3901520000000001</v>
      </c>
      <c r="V4915">
        <v>4.8760929999999997E-3</v>
      </c>
      <c r="W4915">
        <v>1.486992E-2</v>
      </c>
      <c r="X4915">
        <v>0.99987760000000003</v>
      </c>
      <c r="Y4915">
        <v>-0.1815725</v>
      </c>
      <c r="Z4915">
        <v>7.1364210000000004E-3</v>
      </c>
      <c r="AA4915">
        <v>0.98335159999999999</v>
      </c>
      <c r="AB4915">
        <v>25</v>
      </c>
      <c r="AC4915">
        <v>-27.2133</v>
      </c>
      <c r="AD4915">
        <v>-1.1113592803079999</v>
      </c>
      <c r="AE4915">
        <v>-13.9513999999999</v>
      </c>
      <c r="AF4915">
        <v>-5.5859441409703097</v>
      </c>
      <c r="AG4915">
        <v>-1.1113592803079999</v>
      </c>
      <c r="AH4915">
        <v>30.0256079546016</v>
      </c>
      <c r="AI4915">
        <v>92.084036153306002</v>
      </c>
      <c r="AJ4915">
        <v>100.53878630173701</v>
      </c>
      <c r="AK4915">
        <v>30.5610049644871</v>
      </c>
      <c r="AL4915">
        <v>89.147984986587304</v>
      </c>
      <c r="AM4915">
        <v>89.720588465327793</v>
      </c>
      <c r="AN4915">
        <v>1.00000005289275</v>
      </c>
    </row>
    <row r="4916" spans="1:40" x14ac:dyDescent="0.25">
      <c r="A4916" t="str">
        <f>"20190312154934937"</f>
        <v>20190312154934937</v>
      </c>
      <c r="B4916" t="str">
        <f>"1552376974930511"</f>
        <v>1552376974930511</v>
      </c>
      <c r="C4916" t="s">
        <v>40</v>
      </c>
      <c r="D4916">
        <v>4.5320359999999997</v>
      </c>
      <c r="E4916">
        <v>0.41927490000000001</v>
      </c>
      <c r="F4916" t="s">
        <v>63</v>
      </c>
      <c r="G4916">
        <v>-419.4418</v>
      </c>
      <c r="H4916" s="1">
        <v>-2.444137E-6</v>
      </c>
      <c r="I4916">
        <v>123.3485</v>
      </c>
      <c r="J4916">
        <v>-392.85989999999998</v>
      </c>
      <c r="K4916">
        <v>1.11134</v>
      </c>
      <c r="L4916">
        <v>137.05629999999999</v>
      </c>
      <c r="M4916">
        <v>-0.95751810000000004</v>
      </c>
      <c r="N4916">
        <v>0</v>
      </c>
      <c r="O4916">
        <v>-0.2881727</v>
      </c>
      <c r="P4916">
        <v>-0.95885290000000001</v>
      </c>
      <c r="Q4916">
        <v>3.1589420000000001E-3</v>
      </c>
      <c r="R4916">
        <v>-0.28388530000000001</v>
      </c>
      <c r="S4916">
        <v>-2.7175289999999999</v>
      </c>
      <c r="T4916">
        <v>-0.1126236</v>
      </c>
      <c r="U4916">
        <v>-1.396515</v>
      </c>
      <c r="V4916">
        <v>4.4333000000000003E-3</v>
      </c>
      <c r="W4916">
        <v>1.3923019999999999E-2</v>
      </c>
      <c r="X4916">
        <v>0.99989320000000004</v>
      </c>
      <c r="Y4916">
        <v>-0.1814201</v>
      </c>
      <c r="Z4916">
        <v>7.3916310000000001E-3</v>
      </c>
      <c r="AA4916">
        <v>0.98337790000000003</v>
      </c>
      <c r="AB4916">
        <v>25</v>
      </c>
      <c r="AC4916">
        <v>-26.581900000000001</v>
      </c>
      <c r="AD4916">
        <v>-1.1113424441369999</v>
      </c>
      <c r="AE4916">
        <v>-13.707799999999899</v>
      </c>
      <c r="AF4916">
        <v>-5.4580683671460797</v>
      </c>
      <c r="AG4916">
        <v>-1.1113424441369999</v>
      </c>
      <c r="AH4916">
        <v>29.3640191511216</v>
      </c>
      <c r="AI4916">
        <v>92.130978140188503</v>
      </c>
      <c r="AJ4916">
        <v>100.529744352772</v>
      </c>
      <c r="AK4916">
        <v>29.887643149569602</v>
      </c>
      <c r="AL4916">
        <v>89.202243906783096</v>
      </c>
      <c r="AM4916">
        <v>89.745965154211703</v>
      </c>
      <c r="AN4916">
        <v>0.99999995802052399</v>
      </c>
    </row>
    <row r="4917" spans="1:40" x14ac:dyDescent="0.25">
      <c r="A4917" t="str">
        <f>"20190312154934958"</f>
        <v>20190312154934958</v>
      </c>
      <c r="B4917" t="str">
        <f>"1552376974951007"</f>
        <v>1552376974951007</v>
      </c>
      <c r="C4917" t="s">
        <v>40</v>
      </c>
      <c r="D4917">
        <v>4.4942669999999998</v>
      </c>
      <c r="E4917">
        <v>0.41921989999999998</v>
      </c>
      <c r="F4917" t="s">
        <v>63</v>
      </c>
      <c r="G4917">
        <v>-413.16129999999998</v>
      </c>
      <c r="H4917" s="1">
        <v>-4.5782690000000001E-6</v>
      </c>
      <c r="I4917">
        <v>125.92359999999999</v>
      </c>
      <c r="J4917">
        <v>-393.08569999999997</v>
      </c>
      <c r="K4917">
        <v>1.1113200000000001</v>
      </c>
      <c r="L4917">
        <v>136.9855</v>
      </c>
      <c r="M4917">
        <v>-0.95681780000000005</v>
      </c>
      <c r="N4917">
        <v>0</v>
      </c>
      <c r="O4917">
        <v>-0.29048980000000002</v>
      </c>
      <c r="P4917">
        <v>-0.95800300000000005</v>
      </c>
      <c r="Q4917">
        <v>2.1351069999999998E-3</v>
      </c>
      <c r="R4917">
        <v>-0.28675020000000001</v>
      </c>
      <c r="S4917">
        <v>-2.6921689999999998</v>
      </c>
      <c r="T4917">
        <v>-0.14737520000000001</v>
      </c>
      <c r="U4917">
        <v>-1.4763029999999999</v>
      </c>
      <c r="V4917">
        <v>3.87032E-3</v>
      </c>
      <c r="W4917">
        <v>1.289934E-2</v>
      </c>
      <c r="X4917">
        <v>0.9999093</v>
      </c>
      <c r="Y4917">
        <v>-0.20544960000000001</v>
      </c>
      <c r="Z4917">
        <v>9.1693899999999995E-3</v>
      </c>
      <c r="AA4917">
        <v>0.97862479999999996</v>
      </c>
      <c r="AB4917">
        <v>25</v>
      </c>
      <c r="AC4917">
        <v>-20.075600000000001</v>
      </c>
      <c r="AD4917">
        <v>-1.111324578269</v>
      </c>
      <c r="AE4917">
        <v>-11.0619</v>
      </c>
      <c r="AF4917">
        <v>-4.7415939473790596</v>
      </c>
      <c r="AG4917">
        <v>-1.111324578269</v>
      </c>
      <c r="AH4917">
        <v>22.370767344092702</v>
      </c>
      <c r="AI4917">
        <v>92.782265593725498</v>
      </c>
      <c r="AJ4917">
        <v>101.967013923403</v>
      </c>
      <c r="AK4917">
        <v>22.894737103614201</v>
      </c>
      <c r="AL4917">
        <v>89.260901754558603</v>
      </c>
      <c r="AM4917">
        <v>89.778227991345204</v>
      </c>
      <c r="AN4917">
        <v>0.99999999028791398</v>
      </c>
    </row>
    <row r="4918" spans="1:40" x14ac:dyDescent="0.25">
      <c r="A4918" t="str">
        <f>"20190312154934982"</f>
        <v>20190312154934982</v>
      </c>
      <c r="B4918" t="str">
        <f>"1552376974970528"</f>
        <v>1552376974970528</v>
      </c>
      <c r="C4918" t="s">
        <v>40</v>
      </c>
      <c r="D4918">
        <v>4.4936199999999999</v>
      </c>
      <c r="E4918">
        <v>0.4192574</v>
      </c>
      <c r="F4918" t="s">
        <v>63</v>
      </c>
      <c r="G4918">
        <v>-411.74079999999998</v>
      </c>
      <c r="H4918" s="1">
        <v>-5.0371950000000003E-6</v>
      </c>
      <c r="I4918">
        <v>126.6758</v>
      </c>
      <c r="J4918">
        <v>-393.3372</v>
      </c>
      <c r="K4918">
        <v>1.1112979999999999</v>
      </c>
      <c r="L4918">
        <v>136.90600000000001</v>
      </c>
      <c r="M4918">
        <v>-0.95604029999999995</v>
      </c>
      <c r="N4918">
        <v>0</v>
      </c>
      <c r="O4918">
        <v>-0.29303849999999998</v>
      </c>
      <c r="P4918">
        <v>-0.95706950000000002</v>
      </c>
      <c r="Q4918">
        <v>2.2066249999999998E-3</v>
      </c>
      <c r="R4918">
        <v>-0.28985100000000003</v>
      </c>
      <c r="S4918">
        <v>-2.6873170000000002</v>
      </c>
      <c r="T4918">
        <v>-0.16009000000000001</v>
      </c>
      <c r="U4918">
        <v>-1.4851379999999901</v>
      </c>
      <c r="V4918">
        <v>3.2974520000000002E-3</v>
      </c>
      <c r="W4918">
        <v>1.297134E-2</v>
      </c>
      <c r="X4918">
        <v>0.99991039999999998</v>
      </c>
      <c r="Y4918">
        <v>-0.20607230000000001</v>
      </c>
      <c r="Z4918">
        <v>1.00803E-2</v>
      </c>
      <c r="AA4918">
        <v>0.97848489999999999</v>
      </c>
      <c r="AB4918">
        <v>25</v>
      </c>
      <c r="AC4918">
        <v>-18.403599999999901</v>
      </c>
      <c r="AD4918">
        <v>-1.1113030371949999</v>
      </c>
      <c r="AE4918">
        <v>-10.2302</v>
      </c>
      <c r="AF4918">
        <v>-4.3755846516935497</v>
      </c>
      <c r="AG4918">
        <v>-1.1113030371949999</v>
      </c>
      <c r="AH4918">
        <v>20.536407608886599</v>
      </c>
      <c r="AI4918">
        <v>93.029598682016498</v>
      </c>
      <c r="AJ4918">
        <v>102.02785577816</v>
      </c>
      <c r="AK4918">
        <v>21.026763254551302</v>
      </c>
      <c r="AL4918">
        <v>89.256776096981795</v>
      </c>
      <c r="AM4918">
        <v>89.811053672537895</v>
      </c>
      <c r="AN4918">
        <v>0.99999996843962302</v>
      </c>
    </row>
    <row r="4919" spans="1:40" x14ac:dyDescent="0.25">
      <c r="A4919" t="str">
        <f>"20190312154935004"</f>
        <v>20190312154935004</v>
      </c>
      <c r="B4919" t="str">
        <f>"1552376974991023"</f>
        <v>1552376974991023</v>
      </c>
      <c r="C4919" t="s">
        <v>40</v>
      </c>
      <c r="D4919">
        <v>4.5277729999999998</v>
      </c>
      <c r="E4919">
        <v>0.41968440000000001</v>
      </c>
      <c r="F4919" t="s">
        <v>63</v>
      </c>
      <c r="G4919">
        <v>-412.06169999999997</v>
      </c>
      <c r="H4919" s="1">
        <v>-4.9247259999999999E-6</v>
      </c>
      <c r="I4919">
        <v>126.4806</v>
      </c>
      <c r="J4919">
        <v>-393.5625</v>
      </c>
      <c r="K4919">
        <v>1.1112740000000001</v>
      </c>
      <c r="L4919">
        <v>136.83420000000001</v>
      </c>
      <c r="M4919">
        <v>-0.9553469</v>
      </c>
      <c r="N4919">
        <v>0</v>
      </c>
      <c r="O4919">
        <v>-0.29529090000000002</v>
      </c>
      <c r="P4919">
        <v>-0.95632969999999895</v>
      </c>
      <c r="Q4919">
        <v>2.0140969999999998E-3</v>
      </c>
      <c r="R4919">
        <v>-0.292282599999999</v>
      </c>
      <c r="S4919">
        <v>-2.682617</v>
      </c>
      <c r="T4919">
        <v>-0.15921389999999999</v>
      </c>
      <c r="U4919">
        <v>-1.493622</v>
      </c>
      <c r="V4919">
        <v>3.1138540000000001E-3</v>
      </c>
      <c r="W4919">
        <v>1.277967E-2</v>
      </c>
      <c r="X4919">
        <v>0.99991350000000001</v>
      </c>
      <c r="Y4919">
        <v>-0.2068574</v>
      </c>
      <c r="Z4919">
        <v>1.012558E-2</v>
      </c>
      <c r="AA4919">
        <v>0.97831869999999999</v>
      </c>
      <c r="AB4919">
        <v>25</v>
      </c>
      <c r="AC4919">
        <v>-18.499199999999899</v>
      </c>
      <c r="AD4919">
        <v>-1.111278924726</v>
      </c>
      <c r="AE4919">
        <v>-10.3536</v>
      </c>
      <c r="AF4919">
        <v>-4.4167535444907902</v>
      </c>
      <c r="AG4919">
        <v>-1.111278924726</v>
      </c>
      <c r="AH4919">
        <v>20.674863560149699</v>
      </c>
      <c r="AI4919">
        <v>93.0089363092399</v>
      </c>
      <c r="AJ4919">
        <v>102.05878546010101</v>
      </c>
      <c r="AK4919">
        <v>21.170560596075799</v>
      </c>
      <c r="AL4919">
        <v>89.267758921526294</v>
      </c>
      <c r="AM4919">
        <v>89.821574450694897</v>
      </c>
      <c r="AN4919">
        <v>1.0000000117671399</v>
      </c>
    </row>
    <row r="4920" spans="1:40" x14ac:dyDescent="0.25">
      <c r="A4920" t="str">
        <f>"20190312154935026"</f>
        <v>20190312154935026</v>
      </c>
      <c r="B4920" t="str">
        <f>"1552376975021280"</f>
        <v>1552376975021280</v>
      </c>
      <c r="C4920" t="s">
        <v>40</v>
      </c>
      <c r="D4920">
        <v>4.5689460000000004</v>
      </c>
      <c r="E4920">
        <v>0.41967660000000001</v>
      </c>
      <c r="F4920" t="s">
        <v>63</v>
      </c>
      <c r="G4920">
        <v>-412.48469999999998</v>
      </c>
      <c r="H4920" s="1">
        <v>-4.7899090000000001E-6</v>
      </c>
      <c r="I4920">
        <v>126.2619</v>
      </c>
      <c r="J4920">
        <v>-393.7921</v>
      </c>
      <c r="K4920">
        <v>1.111256</v>
      </c>
      <c r="L4920">
        <v>136.7604</v>
      </c>
      <c r="M4920">
        <v>-0.95464369999999998</v>
      </c>
      <c r="N4920">
        <v>0</v>
      </c>
      <c r="O4920">
        <v>-0.2975565</v>
      </c>
      <c r="P4920">
        <v>-0.95567170000000001</v>
      </c>
      <c r="Q4920">
        <v>2.158456E-3</v>
      </c>
      <c r="R4920">
        <v>-0.294427299999999</v>
      </c>
      <c r="S4920">
        <v>-2.6797179999999998</v>
      </c>
      <c r="T4920">
        <v>-0.15737660000000001</v>
      </c>
      <c r="U4920">
        <v>-1.497223</v>
      </c>
      <c r="V4920">
        <v>3.2429770000000002E-3</v>
      </c>
      <c r="W4920">
        <v>1.292604E-2</v>
      </c>
      <c r="X4920">
        <v>0.9999112</v>
      </c>
      <c r="Y4920">
        <v>-0.2059899</v>
      </c>
      <c r="Z4920">
        <v>1.0153189999999999E-2</v>
      </c>
      <c r="AA4920">
        <v>0.97850139999999997</v>
      </c>
      <c r="AB4920">
        <v>25</v>
      </c>
      <c r="AC4920">
        <v>-18.692599999999899</v>
      </c>
      <c r="AD4920">
        <v>-1.1112607899089999</v>
      </c>
      <c r="AE4920">
        <v>-10.4985</v>
      </c>
      <c r="AF4920">
        <v>-4.44852799596375</v>
      </c>
      <c r="AG4920">
        <v>-1.1112607899089999</v>
      </c>
      <c r="AH4920">
        <v>20.913691987321101</v>
      </c>
      <c r="AI4920">
        <v>92.975145942158704</v>
      </c>
      <c r="AJ4920">
        <v>102.00834967710099</v>
      </c>
      <c r="AK4920">
        <v>21.410437043988601</v>
      </c>
      <c r="AL4920">
        <v>89.259371839572495</v>
      </c>
      <c r="AM4920">
        <v>89.814175255094</v>
      </c>
      <c r="AN4920">
        <v>1.0000000036476699</v>
      </c>
    </row>
    <row r="4921" spans="1:40" x14ac:dyDescent="0.25">
      <c r="A4921" t="str">
        <f>"20190312154935048"</f>
        <v>20190312154935048</v>
      </c>
      <c r="B4921" t="str">
        <f>"1552376975040803"</f>
        <v>1552376975040803</v>
      </c>
      <c r="C4921" t="s">
        <v>40</v>
      </c>
      <c r="D4921">
        <v>4.5206140000000001</v>
      </c>
      <c r="E4921">
        <v>0.41976859999999999</v>
      </c>
      <c r="F4921" t="s">
        <v>63</v>
      </c>
      <c r="G4921">
        <v>-412.43779999999998</v>
      </c>
      <c r="H4921" s="1">
        <v>-4.805157E-6</v>
      </c>
      <c r="I4921">
        <v>126.28700000000001</v>
      </c>
      <c r="J4921">
        <v>-394.03390000000002</v>
      </c>
      <c r="K4921">
        <v>1.1112310000000001</v>
      </c>
      <c r="L4921">
        <v>136.68209999999999</v>
      </c>
      <c r="M4921">
        <v>-0.95390830000000004</v>
      </c>
      <c r="N4921">
        <v>0</v>
      </c>
      <c r="O4921">
        <v>-0.2999057</v>
      </c>
      <c r="P4921">
        <v>-0.95519920000000003</v>
      </c>
      <c r="Q4921">
        <v>2.2653420000000001E-3</v>
      </c>
      <c r="R4921">
        <v>-0.29595470000000001</v>
      </c>
      <c r="S4921">
        <v>-2.6763309999999998</v>
      </c>
      <c r="T4921">
        <v>-0.15950599999999901</v>
      </c>
      <c r="U4921">
        <v>-1.5033110000000001</v>
      </c>
      <c r="V4921">
        <v>4.1059099999999999E-3</v>
      </c>
      <c r="W4921">
        <v>1.303809E-2</v>
      </c>
      <c r="X4921">
        <v>0.99990659999999998</v>
      </c>
      <c r="Y4921">
        <v>-0.20580780000000001</v>
      </c>
      <c r="Z4921">
        <v>1.04209E-2</v>
      </c>
      <c r="AA4921">
        <v>0.97853699999999999</v>
      </c>
      <c r="AB4921">
        <v>25</v>
      </c>
      <c r="AC4921">
        <v>-18.403899999999901</v>
      </c>
      <c r="AD4921">
        <v>-1.1112358051569999</v>
      </c>
      <c r="AE4921">
        <v>-10.3950999999999</v>
      </c>
      <c r="AF4921">
        <v>-4.3846724431243604</v>
      </c>
      <c r="AG4921">
        <v>-1.1112358051569999</v>
      </c>
      <c r="AH4921">
        <v>20.617390680016001</v>
      </c>
      <c r="AI4921">
        <v>93.017781494720595</v>
      </c>
      <c r="AJ4921">
        <v>102.006143904545</v>
      </c>
      <c r="AK4921">
        <v>21.107747295734001</v>
      </c>
      <c r="AL4921">
        <v>89.252951325754495</v>
      </c>
      <c r="AM4921">
        <v>89.764728033765905</v>
      </c>
      <c r="AN4921">
        <v>1.0000000295056599</v>
      </c>
    </row>
    <row r="4922" spans="1:40" x14ac:dyDescent="0.25">
      <c r="A4922" t="str">
        <f>"20190312154935070"</f>
        <v>20190312154935070</v>
      </c>
      <c r="B4922" t="str">
        <f>"1552376975061296"</f>
        <v>1552376975061296</v>
      </c>
      <c r="C4922" t="s">
        <v>40</v>
      </c>
      <c r="D4922">
        <v>4.4915330000000004</v>
      </c>
      <c r="E4922">
        <v>0.41999629999999999</v>
      </c>
      <c r="F4922" t="s">
        <v>63</v>
      </c>
      <c r="G4922">
        <v>-412.24930000000001</v>
      </c>
      <c r="H4922" s="1">
        <v>-4.876483E-6</v>
      </c>
      <c r="I4922">
        <v>126.41679999999999</v>
      </c>
      <c r="J4922">
        <v>-394.26069999999999</v>
      </c>
      <c r="K4922">
        <v>1.111216</v>
      </c>
      <c r="L4922">
        <v>136.608</v>
      </c>
      <c r="M4922">
        <v>-0.95322099999999998</v>
      </c>
      <c r="N4922">
        <v>0</v>
      </c>
      <c r="O4922">
        <v>-0.3020834</v>
      </c>
      <c r="P4922">
        <v>-0.95476620000000001</v>
      </c>
      <c r="Q4922">
        <v>1.3062729999999999E-3</v>
      </c>
      <c r="R4922">
        <v>-0.29735620000000001</v>
      </c>
      <c r="S4922">
        <v>-2.6741640000000002</v>
      </c>
      <c r="T4922">
        <v>-0.16313859999999999</v>
      </c>
      <c r="U4922">
        <v>-1.5070190000000001</v>
      </c>
      <c r="V4922">
        <v>4.9271970000000003E-3</v>
      </c>
      <c r="W4922">
        <v>1.208306E-2</v>
      </c>
      <c r="X4922">
        <v>0.99991490000000005</v>
      </c>
      <c r="Y4922">
        <v>-0.20495089999999999</v>
      </c>
      <c r="Z4922">
        <v>1.0799949999999999E-2</v>
      </c>
      <c r="AA4922">
        <v>0.97871269999999999</v>
      </c>
      <c r="AB4922">
        <v>25</v>
      </c>
      <c r="AC4922">
        <v>-17.988600000000002</v>
      </c>
      <c r="AD4922">
        <v>-1.1112208764830001</v>
      </c>
      <c r="AE4922">
        <v>-10.1912</v>
      </c>
      <c r="AF4922">
        <v>-4.2683250164595101</v>
      </c>
      <c r="AG4922">
        <v>-1.1112208764830001</v>
      </c>
      <c r="AH4922">
        <v>20.1686074265832</v>
      </c>
      <c r="AI4922">
        <v>93.085410170634006</v>
      </c>
      <c r="AJ4922">
        <v>101.94931312447601</v>
      </c>
      <c r="AK4922">
        <v>20.645244871642799</v>
      </c>
      <c r="AL4922">
        <v>89.307674840454695</v>
      </c>
      <c r="AM4922">
        <v>89.717670665752294</v>
      </c>
      <c r="AN4922">
        <v>1.0000000424256199</v>
      </c>
    </row>
    <row r="4923" spans="1:40" x14ac:dyDescent="0.25">
      <c r="A4923" t="str">
        <f>"20190312154935093"</f>
        <v>20190312154935093</v>
      </c>
      <c r="B4923" t="str">
        <f>"1552376975080816"</f>
        <v>1552376975080816</v>
      </c>
      <c r="C4923" t="s">
        <v>40</v>
      </c>
      <c r="D4923">
        <v>4.5026809999999999</v>
      </c>
      <c r="E4923">
        <v>0.41998760000000002</v>
      </c>
      <c r="F4923" t="s">
        <v>63</v>
      </c>
      <c r="G4923">
        <v>-411.83659999999998</v>
      </c>
      <c r="H4923" s="1">
        <v>-5.0258999999999996E-6</v>
      </c>
      <c r="I4923">
        <v>126.68170000000001</v>
      </c>
      <c r="J4923">
        <v>-394.50450000000001</v>
      </c>
      <c r="K4923">
        <v>1.1112070000000001</v>
      </c>
      <c r="L4923">
        <v>136.52789999999999</v>
      </c>
      <c r="M4923">
        <v>-0.95248390000000005</v>
      </c>
      <c r="N4923">
        <v>0</v>
      </c>
      <c r="O4923">
        <v>-0.30439899999999998</v>
      </c>
      <c r="P4923">
        <v>-0.95407940000000002</v>
      </c>
      <c r="Q4923">
        <v>6.7966249999999999E-4</v>
      </c>
      <c r="R4923">
        <v>-0.29955330000000002</v>
      </c>
      <c r="S4923">
        <v>-2.6723020000000002</v>
      </c>
      <c r="T4923">
        <v>-0.1689541</v>
      </c>
      <c r="U4923">
        <v>-1.5092319999999999</v>
      </c>
      <c r="V4923">
        <v>5.05829E-3</v>
      </c>
      <c r="W4923">
        <v>1.1458919999999999E-2</v>
      </c>
      <c r="X4923">
        <v>0.99992159999999997</v>
      </c>
      <c r="Y4923">
        <v>-0.20349220000000001</v>
      </c>
      <c r="Z4923">
        <v>1.1357280000000001E-2</v>
      </c>
      <c r="AA4923">
        <v>0.97901070000000001</v>
      </c>
      <c r="AB4923">
        <v>25</v>
      </c>
      <c r="AC4923">
        <v>-17.332099999999901</v>
      </c>
      <c r="AD4923">
        <v>-1.1112120259</v>
      </c>
      <c r="AE4923">
        <v>-9.8461999999999801</v>
      </c>
      <c r="AF4923">
        <v>-4.0900003779512701</v>
      </c>
      <c r="AG4923">
        <v>-1.1112120259</v>
      </c>
      <c r="AH4923">
        <v>19.446416675917</v>
      </c>
      <c r="AI4923">
        <v>93.200580599296202</v>
      </c>
      <c r="AJ4923">
        <v>101.877422942913</v>
      </c>
      <c r="AK4923">
        <v>19.902914781296001</v>
      </c>
      <c r="AL4923">
        <v>89.343437909767303</v>
      </c>
      <c r="AM4923">
        <v>89.710161080220701</v>
      </c>
      <c r="AN4923">
        <v>1.00000004964592</v>
      </c>
    </row>
    <row r="4924" spans="1:40" x14ac:dyDescent="0.25">
      <c r="A4924" t="str">
        <f>"20190312154935110"</f>
        <v>20190312154935110</v>
      </c>
      <c r="B4924" t="str">
        <f>"1552376975101312"</f>
        <v>1552376975101312</v>
      </c>
      <c r="C4924" t="s">
        <v>40</v>
      </c>
      <c r="D4924">
        <v>4.5244249999999999</v>
      </c>
      <c r="E4924">
        <v>0.4200373</v>
      </c>
      <c r="F4924" t="s">
        <v>63</v>
      </c>
      <c r="G4924">
        <v>-411.58409999999998</v>
      </c>
      <c r="H4924" s="1">
        <v>-5.1118949999999998E-6</v>
      </c>
      <c r="I4924">
        <v>126.8282</v>
      </c>
      <c r="J4924">
        <v>-394.67829999999998</v>
      </c>
      <c r="K4924">
        <v>1.1112010000000001</v>
      </c>
      <c r="L4924">
        <v>136.47040000000001</v>
      </c>
      <c r="M4924">
        <v>-0.95195940000000001</v>
      </c>
      <c r="N4924">
        <v>0</v>
      </c>
      <c r="O4924">
        <v>-0.30603560000000002</v>
      </c>
      <c r="P4924">
        <v>-0.95353290000000002</v>
      </c>
      <c r="Q4924">
        <v>4.7048929999999998E-4</v>
      </c>
      <c r="R4924">
        <v>-0.30128939999999999</v>
      </c>
      <c r="S4924">
        <v>-2.6686709999999998</v>
      </c>
      <c r="T4924">
        <v>-0.17362569999999999</v>
      </c>
      <c r="U4924">
        <v>-1.5155639999999999</v>
      </c>
      <c r="V4924">
        <v>4.9578369999999997E-3</v>
      </c>
      <c r="W4924">
        <v>1.1250090000000001E-2</v>
      </c>
      <c r="X4924">
        <v>0.99992440000000005</v>
      </c>
      <c r="Y4924">
        <v>-0.2041471</v>
      </c>
      <c r="Z4924">
        <v>1.174828E-2</v>
      </c>
      <c r="AA4924">
        <v>0.97886969999999995</v>
      </c>
      <c r="AB4924">
        <v>25</v>
      </c>
      <c r="AC4924">
        <v>-16.905799999999999</v>
      </c>
      <c r="AD4924">
        <v>-1.1112061118950001</v>
      </c>
      <c r="AE4924">
        <v>-9.6422000000000097</v>
      </c>
      <c r="AF4924">
        <v>-3.99242272337169</v>
      </c>
      <c r="AG4924">
        <v>-1.1112061118950001</v>
      </c>
      <c r="AH4924">
        <v>18.983706717299501</v>
      </c>
      <c r="AI4924">
        <v>93.278415194969398</v>
      </c>
      <c r="AJ4924">
        <v>101.87667209307099</v>
      </c>
      <c r="AK4924">
        <v>19.430783282041102</v>
      </c>
      <c r="AL4924">
        <v>89.355403710209302</v>
      </c>
      <c r="AM4924">
        <v>89.715917715521002</v>
      </c>
      <c r="AN4924">
        <v>0.99999997519404304</v>
      </c>
    </row>
    <row r="4925" spans="1:40" x14ac:dyDescent="0.25">
      <c r="A4925" t="str">
        <f>"20190312154935126"</f>
        <v>20190312154935126</v>
      </c>
      <c r="B4925" t="str">
        <f>"1552376975120831"</f>
        <v>1552376975120831</v>
      </c>
      <c r="C4925" t="s">
        <v>40</v>
      </c>
      <c r="D4925">
        <v>4.4956060000000004</v>
      </c>
      <c r="E4925">
        <v>0.42002279999999997</v>
      </c>
      <c r="F4925" t="s">
        <v>63</v>
      </c>
      <c r="G4925">
        <v>-411.07940000000002</v>
      </c>
      <c r="H4925" s="1">
        <v>-5.2826890000000002E-6</v>
      </c>
      <c r="I4925">
        <v>127.1178</v>
      </c>
      <c r="J4925">
        <v>-394.8571</v>
      </c>
      <c r="K4925">
        <v>1.111199</v>
      </c>
      <c r="L4925">
        <v>136.4109</v>
      </c>
      <c r="M4925">
        <v>-0.95142020000000005</v>
      </c>
      <c r="N4925">
        <v>0</v>
      </c>
      <c r="O4925">
        <v>-0.30770730000000002</v>
      </c>
      <c r="P4925">
        <v>-0.95294979999999996</v>
      </c>
      <c r="Q4925">
        <v>9.7955760000000003E-4</v>
      </c>
      <c r="R4925">
        <v>-0.30312630000000002</v>
      </c>
      <c r="S4925">
        <v>-2.665924</v>
      </c>
      <c r="T4925">
        <v>-0.180622</v>
      </c>
      <c r="U4925">
        <v>-1.5202329999999999</v>
      </c>
      <c r="V4925">
        <v>4.7853269999999998E-3</v>
      </c>
      <c r="W4925">
        <v>1.1759789999999999E-2</v>
      </c>
      <c r="X4925">
        <v>0.99991940000000001</v>
      </c>
      <c r="Y4925">
        <v>-0.2041695</v>
      </c>
      <c r="Z4925">
        <v>1.232202E-2</v>
      </c>
      <c r="AA4925">
        <v>0.97885800000000001</v>
      </c>
      <c r="AB4925">
        <v>25</v>
      </c>
      <c r="AC4925">
        <v>-16.222300000000001</v>
      </c>
      <c r="AD4925">
        <v>-1.1112042826890001</v>
      </c>
      <c r="AE4925">
        <v>-9.2930999999999901</v>
      </c>
      <c r="AF4925">
        <v>-3.8365922694258798</v>
      </c>
      <c r="AG4925">
        <v>-1.1112042826890001</v>
      </c>
      <c r="AH4925">
        <v>18.230434984833799</v>
      </c>
      <c r="AI4925">
        <v>93.413460529441906</v>
      </c>
      <c r="AJ4925">
        <v>101.884462630003</v>
      </c>
      <c r="AK4925">
        <v>18.6628769201305</v>
      </c>
      <c r="AL4925">
        <v>89.326198133621006</v>
      </c>
      <c r="AM4925">
        <v>89.725800952016399</v>
      </c>
      <c r="AN4925">
        <v>0.99999999925585004</v>
      </c>
    </row>
    <row r="4926" spans="1:40" x14ac:dyDescent="0.25">
      <c r="A4926" t="str">
        <f>"20190312154935149"</f>
        <v>20190312154935149</v>
      </c>
      <c r="B4926" t="str">
        <f>"1552376975141327"</f>
        <v>1552376975141327</v>
      </c>
      <c r="C4926" t="s">
        <v>40</v>
      </c>
      <c r="D4926">
        <v>4.5757349999999999</v>
      </c>
      <c r="E4926">
        <v>0.41975089999999998</v>
      </c>
      <c r="F4926" t="s">
        <v>63</v>
      </c>
      <c r="G4926">
        <v>-411.2</v>
      </c>
      <c r="H4926" s="1">
        <v>-5.2415830000000001E-6</v>
      </c>
      <c r="I4926">
        <v>127.04770000000001</v>
      </c>
      <c r="J4926">
        <v>-395.09660000000002</v>
      </c>
      <c r="K4926">
        <v>1.111192</v>
      </c>
      <c r="L4926">
        <v>136.33070000000001</v>
      </c>
      <c r="M4926">
        <v>-0.95069729999999997</v>
      </c>
      <c r="N4926">
        <v>0</v>
      </c>
      <c r="O4926">
        <v>-0.30993349999999997</v>
      </c>
      <c r="P4926">
        <v>-0.95226279999999996</v>
      </c>
      <c r="Q4926">
        <v>1.2956949999999999E-3</v>
      </c>
      <c r="R4926">
        <v>-0.30527710000000002</v>
      </c>
      <c r="S4926">
        <v>-2.6629640000000001</v>
      </c>
      <c r="T4926">
        <v>-0.18106259999999999</v>
      </c>
      <c r="U4926">
        <v>-1.525665</v>
      </c>
      <c r="V4926">
        <v>4.8674199999999999E-3</v>
      </c>
      <c r="W4926">
        <v>1.207782E-2</v>
      </c>
      <c r="X4926">
        <v>0.9999152</v>
      </c>
      <c r="Y4926">
        <v>-0.2038556</v>
      </c>
      <c r="Z4926">
        <v>1.2496200000000001E-2</v>
      </c>
      <c r="AA4926">
        <v>0.97892120000000005</v>
      </c>
      <c r="AB4926">
        <v>25</v>
      </c>
      <c r="AC4926">
        <v>-16.103399999999901</v>
      </c>
      <c r="AD4926">
        <v>-1.111197241583</v>
      </c>
      <c r="AE4926">
        <v>-9.2829999999999995</v>
      </c>
      <c r="AF4926">
        <v>-3.8209065368600301</v>
      </c>
      <c r="AG4926">
        <v>-1.111197241583</v>
      </c>
      <c r="AH4926">
        <v>18.122856041182999</v>
      </c>
      <c r="AI4926">
        <v>93.433388000969302</v>
      </c>
      <c r="AJ4926">
        <v>101.905514529504</v>
      </c>
      <c r="AK4926">
        <v>18.554568094206999</v>
      </c>
      <c r="AL4926">
        <v>89.307975053430297</v>
      </c>
      <c r="AM4926">
        <v>89.721095928567706</v>
      </c>
      <c r="AN4926">
        <v>0.99999998635222398</v>
      </c>
    </row>
    <row r="4927" spans="1:40" x14ac:dyDescent="0.25">
      <c r="A4927" t="str">
        <f>"20190312154935170"</f>
        <v>20190312154935170</v>
      </c>
      <c r="B4927" t="str">
        <f>"1552376975160848"</f>
        <v>1552376975160848</v>
      </c>
      <c r="C4927" t="s">
        <v>40</v>
      </c>
      <c r="D4927">
        <v>4.5431660000000003</v>
      </c>
      <c r="E4927">
        <v>0.41961140000000002</v>
      </c>
      <c r="F4927" t="s">
        <v>63</v>
      </c>
      <c r="G4927">
        <v>-411.33</v>
      </c>
      <c r="H4927" s="1">
        <v>-5.1954490000000001E-6</v>
      </c>
      <c r="I4927">
        <v>126.967</v>
      </c>
      <c r="J4927">
        <v>-395.32440000000003</v>
      </c>
      <c r="K4927">
        <v>1.111189</v>
      </c>
      <c r="L4927">
        <v>136.25380000000001</v>
      </c>
      <c r="M4927">
        <v>-0.95000669999999998</v>
      </c>
      <c r="N4927">
        <v>0</v>
      </c>
      <c r="O4927">
        <v>-0.31204399999999999</v>
      </c>
      <c r="P4927">
        <v>-0.9513971</v>
      </c>
      <c r="Q4927">
        <v>1.156397E-3</v>
      </c>
      <c r="R4927">
        <v>-0.30796459999999998</v>
      </c>
      <c r="S4927">
        <v>-2.6589969999999998</v>
      </c>
      <c r="T4927">
        <v>-0.1820116</v>
      </c>
      <c r="U4927">
        <v>-1.533752</v>
      </c>
      <c r="V4927">
        <v>4.2651549999999996E-3</v>
      </c>
      <c r="W4927">
        <v>1.1937639999999999E-2</v>
      </c>
      <c r="X4927">
        <v>0.99991969999999997</v>
      </c>
      <c r="Y4927">
        <v>-0.20455200000000001</v>
      </c>
      <c r="Z4927">
        <v>1.266815E-2</v>
      </c>
      <c r="AA4927">
        <v>0.97877369999999997</v>
      </c>
      <c r="AB4927">
        <v>25</v>
      </c>
      <c r="AC4927">
        <v>-16.005599999999902</v>
      </c>
      <c r="AD4927">
        <v>-1.1111941954490001</v>
      </c>
      <c r="AE4927">
        <v>-9.2867999999999995</v>
      </c>
      <c r="AF4927">
        <v>-3.8145375521254201</v>
      </c>
      <c r="AG4927">
        <v>-1.1111941954490001</v>
      </c>
      <c r="AH4927">
        <v>18.039317534253101</v>
      </c>
      <c r="AI4927">
        <v>93.448806503198298</v>
      </c>
      <c r="AJ4927">
        <v>101.939702281629</v>
      </c>
      <c r="AK4927">
        <v>18.4716655009283</v>
      </c>
      <c r="AL4927">
        <v>89.316007400340695</v>
      </c>
      <c r="AM4927">
        <v>89.755606476808197</v>
      </c>
      <c r="AN4927">
        <v>1.0000000526220101</v>
      </c>
    </row>
    <row r="4928" spans="1:40" x14ac:dyDescent="0.25">
      <c r="A4928" t="str">
        <f>"20190312154935193"</f>
        <v>20190312154935193</v>
      </c>
      <c r="B4928" t="str">
        <f>"1552376975180368"</f>
        <v>1552376975180368</v>
      </c>
      <c r="C4928" t="s">
        <v>40</v>
      </c>
      <c r="D4928">
        <v>4.5108750000000004</v>
      </c>
      <c r="E4928">
        <v>0.4196416</v>
      </c>
      <c r="F4928" t="s">
        <v>63</v>
      </c>
      <c r="G4928">
        <v>-411.32279999999997</v>
      </c>
      <c r="H4928" s="1">
        <v>-5.1919579999999997E-6</v>
      </c>
      <c r="I4928">
        <v>126.95399999999999</v>
      </c>
      <c r="J4928">
        <v>-395.56060000000002</v>
      </c>
      <c r="K4928">
        <v>1.111186</v>
      </c>
      <c r="L4928">
        <v>136.17339999999999</v>
      </c>
      <c r="M4928">
        <v>-0.94928599999999996</v>
      </c>
      <c r="N4928">
        <v>0</v>
      </c>
      <c r="O4928">
        <v>-0.3142296</v>
      </c>
      <c r="P4928">
        <v>-0.95062599999999997</v>
      </c>
      <c r="Q4928">
        <v>1.2162679999999999E-3</v>
      </c>
      <c r="R4928">
        <v>-0.31033719999999998</v>
      </c>
      <c r="S4928">
        <v>-2.6540530000000002</v>
      </c>
      <c r="T4928">
        <v>-0.1843408</v>
      </c>
      <c r="U4928">
        <v>-1.54277</v>
      </c>
      <c r="V4928">
        <v>4.0718500000000001E-3</v>
      </c>
      <c r="W4928">
        <v>1.1998669999999999E-2</v>
      </c>
      <c r="X4928">
        <v>0.99991969999999997</v>
      </c>
      <c r="Y4928">
        <v>-0.2055834</v>
      </c>
      <c r="Z4928">
        <v>1.293418E-2</v>
      </c>
      <c r="AA4928">
        <v>0.97855409999999998</v>
      </c>
      <c r="AB4928">
        <v>25</v>
      </c>
      <c r="AC4928">
        <v>-15.762199999999901</v>
      </c>
      <c r="AD4928">
        <v>-1.111191191958</v>
      </c>
      <c r="AE4928">
        <v>-9.2193999999999896</v>
      </c>
      <c r="AF4928">
        <v>-3.78510136565574</v>
      </c>
      <c r="AG4928">
        <v>-1.111191191958</v>
      </c>
      <c r="AH4928">
        <v>17.794983858366301</v>
      </c>
      <c r="AI4928">
        <v>93.495150140873704</v>
      </c>
      <c r="AJ4928">
        <v>102.008196526847</v>
      </c>
      <c r="AK4928">
        <v>18.226990665847499</v>
      </c>
      <c r="AL4928">
        <v>89.312510336818704</v>
      </c>
      <c r="AM4928">
        <v>89.766682734374896</v>
      </c>
      <c r="AN4928">
        <v>0.99999997724613998</v>
      </c>
    </row>
    <row r="4929" spans="1:40" x14ac:dyDescent="0.25">
      <c r="A4929" t="str">
        <f>"20190312154935216"</f>
        <v>20190312154935216</v>
      </c>
      <c r="B4929" t="str">
        <f>"1552376975210624"</f>
        <v>1552376975210624</v>
      </c>
      <c r="C4929" t="s">
        <v>40</v>
      </c>
      <c r="D4929">
        <v>4.4914579999999997</v>
      </c>
      <c r="E4929">
        <v>0.41981079999999998</v>
      </c>
      <c r="F4929" t="s">
        <v>63</v>
      </c>
      <c r="G4929">
        <v>-411.29790000000003</v>
      </c>
      <c r="H4929" s="1">
        <v>-5.202618E-6</v>
      </c>
      <c r="I4929">
        <v>126.9748</v>
      </c>
      <c r="J4929">
        <v>-395.80099999999999</v>
      </c>
      <c r="K4929">
        <v>1.1111879999999901</v>
      </c>
      <c r="L4929">
        <v>136.09100000000001</v>
      </c>
      <c r="M4929">
        <v>-0.94854740000000004</v>
      </c>
      <c r="N4929">
        <v>0</v>
      </c>
      <c r="O4929">
        <v>-0.31645210000000001</v>
      </c>
      <c r="P4929">
        <v>-0.94981899999999997</v>
      </c>
      <c r="Q4929">
        <v>9.6336190000000002E-4</v>
      </c>
      <c r="R4929">
        <v>-0.31279879999999999</v>
      </c>
      <c r="S4929">
        <v>-2.6503909999999999</v>
      </c>
      <c r="T4929">
        <v>-0.18714069999999999</v>
      </c>
      <c r="U4929">
        <v>-1.5491790000000001</v>
      </c>
      <c r="V4929">
        <v>3.824441E-3</v>
      </c>
      <c r="W4929">
        <v>1.174644E-2</v>
      </c>
      <c r="X4929">
        <v>0.99992369999999997</v>
      </c>
      <c r="Y4929">
        <v>-0.2056529</v>
      </c>
      <c r="Z4929">
        <v>1.3267899999999999E-2</v>
      </c>
      <c r="AA4929">
        <v>0.97853509999999999</v>
      </c>
      <c r="AB4929">
        <v>25</v>
      </c>
      <c r="AC4929">
        <v>-15.4969</v>
      </c>
      <c r="AD4929">
        <v>-1.11119320261799</v>
      </c>
      <c r="AE4929">
        <v>-9.1161999999999992</v>
      </c>
      <c r="AF4929">
        <v>-3.7290941923613801</v>
      </c>
      <c r="AG4929">
        <v>-1.11119320261799</v>
      </c>
      <c r="AH4929">
        <v>17.518488669770999</v>
      </c>
      <c r="AI4929">
        <v>93.550065262999198</v>
      </c>
      <c r="AJ4929">
        <v>102.016973255178</v>
      </c>
      <c r="AK4929">
        <v>17.9454266904396</v>
      </c>
      <c r="AL4929">
        <v>89.326963089323996</v>
      </c>
      <c r="AM4929">
        <v>89.780860019805999</v>
      </c>
      <c r="AN4929">
        <v>1.00000000551166</v>
      </c>
    </row>
    <row r="4930" spans="1:40" x14ac:dyDescent="0.25">
      <c r="A4930" t="str">
        <f>"20190312154935237"</f>
        <v>20190312154935237</v>
      </c>
      <c r="B4930" t="str">
        <f>"1552376975231120"</f>
        <v>1552376975231120</v>
      </c>
      <c r="C4930" t="s">
        <v>40</v>
      </c>
      <c r="D4930">
        <v>4.4564009999999996</v>
      </c>
      <c r="E4930">
        <v>0.41991889999999998</v>
      </c>
      <c r="F4930" t="s">
        <v>63</v>
      </c>
      <c r="G4930">
        <v>-410.91930000000002</v>
      </c>
      <c r="H4930" s="1">
        <v>-5.3367659999999998E-6</v>
      </c>
      <c r="I4930">
        <v>127.2093</v>
      </c>
      <c r="J4930">
        <v>-396.03070000000002</v>
      </c>
      <c r="K4930">
        <v>1.111194</v>
      </c>
      <c r="L4930">
        <v>136.01169999999999</v>
      </c>
      <c r="M4930">
        <v>-0.94783589999999995</v>
      </c>
      <c r="N4930">
        <v>0</v>
      </c>
      <c r="O4930">
        <v>-0.31857639999999998</v>
      </c>
      <c r="P4930">
        <v>-0.94904529999999998</v>
      </c>
      <c r="Q4930">
        <v>1.034793E-3</v>
      </c>
      <c r="R4930">
        <v>-0.31513740000000001</v>
      </c>
      <c r="S4930">
        <v>-2.6466059999999998</v>
      </c>
      <c r="T4930">
        <v>-0.194525</v>
      </c>
      <c r="U4930">
        <v>-1.5548249999999999</v>
      </c>
      <c r="V4930">
        <v>3.6009940000000002E-3</v>
      </c>
      <c r="W4930">
        <v>1.181891E-2</v>
      </c>
      <c r="X4930">
        <v>0.99992360000000002</v>
      </c>
      <c r="Y4930">
        <v>-0.2056415</v>
      </c>
      <c r="Z4930">
        <v>1.393164E-2</v>
      </c>
      <c r="AA4930">
        <v>0.97852819999999996</v>
      </c>
      <c r="AB4930">
        <v>25</v>
      </c>
      <c r="AC4930">
        <v>-14.888599999999901</v>
      </c>
      <c r="AD4930">
        <v>-1.111199336766</v>
      </c>
      <c r="AE4930">
        <v>-8.8023999999999898</v>
      </c>
      <c r="AF4930">
        <v>-3.58548406902973</v>
      </c>
      <c r="AG4930">
        <v>-1.111199336766</v>
      </c>
      <c r="AH4930">
        <v>16.847630031307599</v>
      </c>
      <c r="AI4930">
        <v>93.691098806529794</v>
      </c>
      <c r="AJ4930">
        <v>102.014347761994</v>
      </c>
      <c r="AK4930">
        <v>17.260738618237401</v>
      </c>
      <c r="AL4930">
        <v>89.322810524681103</v>
      </c>
      <c r="AM4930">
        <v>89.793663369561102</v>
      </c>
      <c r="AN4930">
        <v>0.99999992981416497</v>
      </c>
    </row>
    <row r="4931" spans="1:40" x14ac:dyDescent="0.25">
      <c r="A4931" t="str">
        <f>"20190312154935259"</f>
        <v>20190312154935259</v>
      </c>
      <c r="B4931" t="str">
        <f>"1552376975251146"</f>
        <v>1552376975251146</v>
      </c>
      <c r="C4931" t="s">
        <v>40</v>
      </c>
      <c r="D4931">
        <v>4.3987350000000003</v>
      </c>
      <c r="E4931">
        <v>0.41994039999999999</v>
      </c>
      <c r="F4931" t="s">
        <v>63</v>
      </c>
      <c r="G4931">
        <v>-410.8954</v>
      </c>
      <c r="H4931" s="1">
        <v>-5.349057E-6</v>
      </c>
      <c r="I4931">
        <v>127.2351</v>
      </c>
      <c r="J4931">
        <v>-396.26479999999998</v>
      </c>
      <c r="K4931">
        <v>1.111192</v>
      </c>
      <c r="L4931">
        <v>135.93039999999999</v>
      </c>
      <c r="M4931">
        <v>-0.94710490000000003</v>
      </c>
      <c r="N4931">
        <v>0</v>
      </c>
      <c r="O4931">
        <v>-0.32074320000000001</v>
      </c>
      <c r="P4931">
        <v>-0.9482836</v>
      </c>
      <c r="Q4931">
        <v>1.1313930000000001E-3</v>
      </c>
      <c r="R4931">
        <v>-0.3174227</v>
      </c>
      <c r="S4931">
        <v>-2.6430359999999999</v>
      </c>
      <c r="T4931">
        <v>-0.19757910000000001</v>
      </c>
      <c r="U4931">
        <v>-1.5605469999999999</v>
      </c>
      <c r="V4931">
        <v>3.4787500000000001E-3</v>
      </c>
      <c r="W4931">
        <v>1.1916660000000001E-2</v>
      </c>
      <c r="X4931">
        <v>0.99992289999999995</v>
      </c>
      <c r="Y4931">
        <v>-0.20556340000000001</v>
      </c>
      <c r="Z4931">
        <v>1.4297310000000001E-2</v>
      </c>
      <c r="AA4931">
        <v>0.9785393</v>
      </c>
      <c r="AB4931">
        <v>25</v>
      </c>
      <c r="AC4931">
        <v>-14.630599999999999</v>
      </c>
      <c r="AD4931">
        <v>-1.111197349057</v>
      </c>
      <c r="AE4931">
        <v>-8.69529999999998</v>
      </c>
      <c r="AF4931">
        <v>-3.5278630638871098</v>
      </c>
      <c r="AG4931">
        <v>-1.111197349057</v>
      </c>
      <c r="AH4931">
        <v>16.575978483817401</v>
      </c>
      <c r="AI4931">
        <v>93.751402685016799</v>
      </c>
      <c r="AJ4931">
        <v>102.01498073469701</v>
      </c>
      <c r="AK4931">
        <v>16.983628588793</v>
      </c>
      <c r="AL4931">
        <v>89.317209486096303</v>
      </c>
      <c r="AM4931">
        <v>89.800667742647704</v>
      </c>
      <c r="AN4931">
        <v>0.99999995721576296</v>
      </c>
    </row>
    <row r="4932" spans="1:40" x14ac:dyDescent="0.25">
      <c r="A4932" t="str">
        <f>"20190312154935282"</f>
        <v>20190312154935282</v>
      </c>
      <c r="B4932" t="str">
        <f>"1552376975270667"</f>
        <v>1552376975270667</v>
      </c>
      <c r="C4932" t="s">
        <v>40</v>
      </c>
      <c r="D4932">
        <v>4.3978849999999996</v>
      </c>
      <c r="E4932">
        <v>0.420018</v>
      </c>
      <c r="F4932" t="s">
        <v>63</v>
      </c>
      <c r="G4932">
        <v>-410.98</v>
      </c>
      <c r="H4932" s="1">
        <v>-5.3231489999999998E-6</v>
      </c>
      <c r="I4932">
        <v>127.1944</v>
      </c>
      <c r="J4932">
        <v>-396.5052</v>
      </c>
      <c r="K4932">
        <v>1.111199</v>
      </c>
      <c r="L4932">
        <v>135.84620000000001</v>
      </c>
      <c r="M4932">
        <v>-0.94634810000000003</v>
      </c>
      <c r="N4932">
        <v>0</v>
      </c>
      <c r="O4932">
        <v>-0.32296920000000001</v>
      </c>
      <c r="P4932">
        <v>-0.94746609999999998</v>
      </c>
      <c r="Q4932">
        <v>8.5596929999999895E-4</v>
      </c>
      <c r="R4932">
        <v>-0.3198549</v>
      </c>
      <c r="S4932">
        <v>-2.6393740000000001</v>
      </c>
      <c r="T4932">
        <v>-0.19930899999999999</v>
      </c>
      <c r="U4932">
        <v>-1.56691</v>
      </c>
      <c r="V4932">
        <v>3.2649189999999998E-3</v>
      </c>
      <c r="W4932">
        <v>1.16425E-2</v>
      </c>
      <c r="X4932">
        <v>0.99992689999999995</v>
      </c>
      <c r="Y4932">
        <v>-0.2056105</v>
      </c>
      <c r="Z4932">
        <v>1.4569739999999999E-2</v>
      </c>
      <c r="AA4932">
        <v>0.97852550000000005</v>
      </c>
      <c r="AB4932">
        <v>25</v>
      </c>
      <c r="AC4932">
        <v>-14.4748</v>
      </c>
      <c r="AD4932">
        <v>-1.1112043231489901</v>
      </c>
      <c r="AE4932">
        <v>-8.6517999999999997</v>
      </c>
      <c r="AF4932">
        <v>-3.4977165696348602</v>
      </c>
      <c r="AG4932">
        <v>-1.1112043231489901</v>
      </c>
      <c r="AH4932">
        <v>16.422116150969401</v>
      </c>
      <c r="AI4932">
        <v>93.786350560265603</v>
      </c>
      <c r="AJ4932">
        <v>102.02365862019001</v>
      </c>
      <c r="AK4932">
        <v>16.827201048457599</v>
      </c>
      <c r="AL4932">
        <v>89.332918820493106</v>
      </c>
      <c r="AM4932">
        <v>89.812920910148506</v>
      </c>
      <c r="AN4932">
        <v>1.0000000064229599</v>
      </c>
    </row>
    <row r="4933" spans="1:40" x14ac:dyDescent="0.25">
      <c r="A4933" t="str">
        <f>"20190312154935316"</f>
        <v>20190312154935316</v>
      </c>
      <c r="B4933" t="str">
        <f>"1552376975310682"</f>
        <v>1552376975310682</v>
      </c>
      <c r="C4933" t="s">
        <v>40</v>
      </c>
      <c r="D4933">
        <v>4.3549899999999999</v>
      </c>
      <c r="E4933">
        <v>0.4200624</v>
      </c>
      <c r="F4933" t="s">
        <v>63</v>
      </c>
      <c r="G4933">
        <v>-410.9606</v>
      </c>
      <c r="H4933" s="1">
        <v>-5.333858E-6</v>
      </c>
      <c r="I4933">
        <v>127.2175</v>
      </c>
      <c r="J4933">
        <v>-396.86040000000003</v>
      </c>
      <c r="K4933">
        <v>1.1112010000000001</v>
      </c>
      <c r="L4933">
        <v>135.72059999999999</v>
      </c>
      <c r="M4933">
        <v>-0.94521809999999995</v>
      </c>
      <c r="N4933">
        <v>0</v>
      </c>
      <c r="O4933">
        <v>-0.32626189999999999</v>
      </c>
      <c r="P4933">
        <v>-0.94640150000000001</v>
      </c>
      <c r="Q4933">
        <v>1.30765E-3</v>
      </c>
      <c r="R4933">
        <v>-0.32299050000000001</v>
      </c>
      <c r="S4933">
        <v>-2.6354679999999999</v>
      </c>
      <c r="T4933">
        <v>-0.20259170000000001</v>
      </c>
      <c r="U4933">
        <v>-1.573151</v>
      </c>
      <c r="V4933">
        <v>3.43312E-3</v>
      </c>
      <c r="W4933">
        <v>1.209784E-2</v>
      </c>
      <c r="X4933">
        <v>0.9999209</v>
      </c>
      <c r="Y4933">
        <v>-0.20456569999999999</v>
      </c>
      <c r="Z4933">
        <v>1.506833E-2</v>
      </c>
      <c r="AA4933">
        <v>0.97873679999999996</v>
      </c>
      <c r="AB4933">
        <v>25</v>
      </c>
      <c r="AC4933">
        <v>-14.1001999999999</v>
      </c>
      <c r="AD4933">
        <v>-1.1112063338580001</v>
      </c>
      <c r="AE4933">
        <v>-8.5030999999999892</v>
      </c>
      <c r="AF4933">
        <v>-3.4215421508219701</v>
      </c>
      <c r="AG4933">
        <v>-1.1112063338580001</v>
      </c>
      <c r="AH4933">
        <v>16.0299285423038</v>
      </c>
      <c r="AI4933">
        <v>93.878352935252195</v>
      </c>
      <c r="AJ4933">
        <v>102.04881093826199</v>
      </c>
      <c r="AK4933">
        <v>16.428643866053701</v>
      </c>
      <c r="AL4933">
        <v>89.306827900333104</v>
      </c>
      <c r="AM4933">
        <v>89.803281925957293</v>
      </c>
      <c r="AN4933">
        <v>0.99999997515120398</v>
      </c>
    </row>
    <row r="4934" spans="1:40" x14ac:dyDescent="0.25">
      <c r="A4934" t="str">
        <f>"20190312154935338"</f>
        <v>20190312154935338</v>
      </c>
      <c r="B4934" t="str">
        <f>"1552376975331178"</f>
        <v>1552376975331178</v>
      </c>
      <c r="C4934" t="s">
        <v>40</v>
      </c>
      <c r="D4934">
        <v>4.3616970000000004</v>
      </c>
      <c r="E4934">
        <v>0.42008079999999998</v>
      </c>
      <c r="F4934" t="s">
        <v>63</v>
      </c>
      <c r="G4934">
        <v>-411.11559999999997</v>
      </c>
      <c r="H4934" s="1">
        <v>-5.2878800000000001E-6</v>
      </c>
      <c r="I4934">
        <v>127.1472</v>
      </c>
      <c r="J4934">
        <v>-397.09210000000002</v>
      </c>
      <c r="K4934">
        <v>1.1112040000000001</v>
      </c>
      <c r="L4934">
        <v>135.6379</v>
      </c>
      <c r="M4934">
        <v>-0.94447329999999996</v>
      </c>
      <c r="N4934">
        <v>0</v>
      </c>
      <c r="O4934">
        <v>-0.32841160000000003</v>
      </c>
      <c r="P4934">
        <v>-0.94581199999999999</v>
      </c>
      <c r="Q4934">
        <v>1.189217E-3</v>
      </c>
      <c r="R4934">
        <v>-0.32471299999999997</v>
      </c>
      <c r="S4934">
        <v>-2.6303100000000001</v>
      </c>
      <c r="T4934">
        <v>-0.20503540000000001</v>
      </c>
      <c r="U4934">
        <v>-1.5819240000000001</v>
      </c>
      <c r="V4934">
        <v>3.8878509999999999E-3</v>
      </c>
      <c r="W4934">
        <v>1.1982929999999999E-2</v>
      </c>
      <c r="X4934">
        <v>0.9999207</v>
      </c>
      <c r="Y4934">
        <v>-0.20559160000000001</v>
      </c>
      <c r="Z4934">
        <v>1.53644E-2</v>
      </c>
      <c r="AA4934">
        <v>0.97851730000000003</v>
      </c>
      <c r="AB4934">
        <v>25</v>
      </c>
      <c r="AC4934">
        <v>-14.023499999999901</v>
      </c>
      <c r="AD4934">
        <v>-1.11120928788</v>
      </c>
      <c r="AE4934">
        <v>-8.4907000000000004</v>
      </c>
      <c r="AF4934">
        <v>-3.3983435643542799</v>
      </c>
      <c r="AG4934">
        <v>-1.11120928788</v>
      </c>
      <c r="AH4934">
        <v>15.960862876497099</v>
      </c>
      <c r="AI4934">
        <v>93.895513637198604</v>
      </c>
      <c r="AJ4934">
        <v>102.019772967278</v>
      </c>
      <c r="AK4934">
        <v>16.356425918433398</v>
      </c>
      <c r="AL4934">
        <v>89.313412291420406</v>
      </c>
      <c r="AM4934">
        <v>89.777226002869</v>
      </c>
      <c r="AN4934">
        <v>1.0000000561426301</v>
      </c>
    </row>
    <row r="4935" spans="1:40" x14ac:dyDescent="0.25">
      <c r="A4935" t="str">
        <f>"20190312154935360"</f>
        <v>20190312154935360</v>
      </c>
      <c r="B4935" t="str">
        <f>"1552376975350699"</f>
        <v>1552376975350699</v>
      </c>
      <c r="C4935" t="s">
        <v>40</v>
      </c>
      <c r="D4935">
        <v>4.3072599999999897</v>
      </c>
      <c r="E4935">
        <v>0.42012149999999998</v>
      </c>
      <c r="F4935" t="s">
        <v>63</v>
      </c>
      <c r="G4935">
        <v>-411.24689999999998</v>
      </c>
      <c r="H4935" s="1">
        <v>-5.2498189999999996E-6</v>
      </c>
      <c r="I4935">
        <v>127.0902</v>
      </c>
      <c r="J4935">
        <v>-397.32440000000003</v>
      </c>
      <c r="K4935">
        <v>1.1112089999999999</v>
      </c>
      <c r="L4935">
        <v>135.55439999999999</v>
      </c>
      <c r="M4935">
        <v>-0.94372100000000003</v>
      </c>
      <c r="N4935">
        <v>0</v>
      </c>
      <c r="O4935">
        <v>-0.33056659999999999</v>
      </c>
      <c r="P4935">
        <v>-0.94518679999999999</v>
      </c>
      <c r="Q4935">
        <v>1.3194490000000001E-3</v>
      </c>
      <c r="R4935">
        <v>-0.32652740000000002</v>
      </c>
      <c r="S4935">
        <v>-2.6274109999999999</v>
      </c>
      <c r="T4935">
        <v>-0.20626330000000001</v>
      </c>
      <c r="U4935">
        <v>-1.586624</v>
      </c>
      <c r="V4935">
        <v>4.2508019999999997E-3</v>
      </c>
      <c r="W4935">
        <v>1.2116439999999999E-2</v>
      </c>
      <c r="X4935">
        <v>0.99991759999999996</v>
      </c>
      <c r="Y4935">
        <v>-0.20512620000000001</v>
      </c>
      <c r="Z4935">
        <v>1.562155E-2</v>
      </c>
      <c r="AA4935">
        <v>0.97861089999999995</v>
      </c>
      <c r="AB4935">
        <v>25</v>
      </c>
      <c r="AC4935">
        <v>-13.9224999999999</v>
      </c>
      <c r="AD4935">
        <v>-1.1112142498190001</v>
      </c>
      <c r="AE4935">
        <v>-8.4641999999999893</v>
      </c>
      <c r="AF4935">
        <v>-3.3700520304028201</v>
      </c>
      <c r="AG4935">
        <v>-1.1112142498190001</v>
      </c>
      <c r="AH4935">
        <v>15.8640778695361</v>
      </c>
      <c r="AI4935">
        <v>93.919608434721795</v>
      </c>
      <c r="AJ4935">
        <v>101.993220686871</v>
      </c>
      <c r="AK4935">
        <v>16.256106989292601</v>
      </c>
      <c r="AL4935">
        <v>89.305762167181896</v>
      </c>
      <c r="AM4935">
        <v>89.756428382724394</v>
      </c>
      <c r="AN4935">
        <v>1.0000000421128299</v>
      </c>
    </row>
    <row r="4936" spans="1:40" x14ac:dyDescent="0.25">
      <c r="A4936" t="str">
        <f>"20190312154935382"</f>
        <v>20190312154935382</v>
      </c>
      <c r="B4936" t="str">
        <f>"1552376975380955"</f>
        <v>1552376975380955</v>
      </c>
      <c r="C4936" t="s">
        <v>40</v>
      </c>
      <c r="D4936">
        <v>4.3179480000000003</v>
      </c>
      <c r="E4936">
        <v>0.42021940000000002</v>
      </c>
      <c r="F4936" t="s">
        <v>63</v>
      </c>
      <c r="G4936">
        <v>-411.3503</v>
      </c>
      <c r="H4936" s="1">
        <v>-5.2217889999999996E-6</v>
      </c>
      <c r="I4936">
        <v>127.051</v>
      </c>
      <c r="J4936">
        <v>-397.56970000000001</v>
      </c>
      <c r="K4936">
        <v>1.111213</v>
      </c>
      <c r="L4936">
        <v>135.4657</v>
      </c>
      <c r="M4936">
        <v>-0.94292120000000001</v>
      </c>
      <c r="N4936">
        <v>0</v>
      </c>
      <c r="O4936">
        <v>-0.33284190000000002</v>
      </c>
      <c r="P4936">
        <v>-0.94448010000000004</v>
      </c>
      <c r="Q4936">
        <v>1.3241710000000001E-3</v>
      </c>
      <c r="R4936">
        <v>-0.32856629999999998</v>
      </c>
      <c r="S4936">
        <v>-2.624603</v>
      </c>
      <c r="T4936">
        <v>-0.2079368</v>
      </c>
      <c r="U4936">
        <v>-1.5912170000000001</v>
      </c>
      <c r="V4936">
        <v>4.5048299999999996E-3</v>
      </c>
      <c r="W4936">
        <v>1.2124070000000001E-2</v>
      </c>
      <c r="X4936">
        <v>0.99991640000000004</v>
      </c>
      <c r="Y4936">
        <v>-0.2044918</v>
      </c>
      <c r="Z4936">
        <v>1.592853E-2</v>
      </c>
      <c r="AA4936">
        <v>0.97873869999999996</v>
      </c>
      <c r="AB4936">
        <v>25</v>
      </c>
      <c r="AC4936">
        <v>-13.7805999999999</v>
      </c>
      <c r="AD4936">
        <v>-1.1112182217890001</v>
      </c>
      <c r="AE4936">
        <v>-8.4146999999999892</v>
      </c>
      <c r="AF4936">
        <v>-3.3320503854669599</v>
      </c>
      <c r="AG4936">
        <v>-1.1112182217890001</v>
      </c>
      <c r="AH4936">
        <v>15.721239640210101</v>
      </c>
      <c r="AI4936">
        <v>93.9555123086338</v>
      </c>
      <c r="AJ4936">
        <v>101.96651333583399</v>
      </c>
      <c r="AK4936">
        <v>16.1088404775962</v>
      </c>
      <c r="AL4936">
        <v>89.305324971529899</v>
      </c>
      <c r="AM4936">
        <v>89.741872420350404</v>
      </c>
      <c r="AN4936">
        <v>1.0000000467778201</v>
      </c>
    </row>
    <row r="4937" spans="1:40" x14ac:dyDescent="0.25">
      <c r="A4937" t="str">
        <f>"20190312154935405"</f>
        <v>20190312154935405</v>
      </c>
      <c r="B4937" t="str">
        <f>"1552376975400474"</f>
        <v>1552376975400474</v>
      </c>
      <c r="C4937" t="s">
        <v>40</v>
      </c>
      <c r="D4937">
        <v>4.2904819999999999</v>
      </c>
      <c r="E4937">
        <v>0.42025240000000003</v>
      </c>
      <c r="F4937" t="s">
        <v>63</v>
      </c>
      <c r="G4937">
        <v>-411.3997</v>
      </c>
      <c r="H4937" s="1">
        <v>-5.2128649999999998E-6</v>
      </c>
      <c r="I4937">
        <v>127.04510000000001</v>
      </c>
      <c r="J4937">
        <v>-397.79989999999998</v>
      </c>
      <c r="K4937">
        <v>1.1112139999999999</v>
      </c>
      <c r="L4937">
        <v>135.3818</v>
      </c>
      <c r="M4937">
        <v>-0.94216489999999997</v>
      </c>
      <c r="N4937">
        <v>0</v>
      </c>
      <c r="O4937">
        <v>-0.3349761</v>
      </c>
      <c r="P4937">
        <v>-0.94370319999999996</v>
      </c>
      <c r="Q4937">
        <v>1.3369879999999999E-3</v>
      </c>
      <c r="R4937">
        <v>-0.33079069999999999</v>
      </c>
      <c r="S4937">
        <v>-2.6213989999999998</v>
      </c>
      <c r="T4937">
        <v>-0.2106247</v>
      </c>
      <c r="U4937">
        <v>-1.596069</v>
      </c>
      <c r="V4937">
        <v>4.4128070000000004E-3</v>
      </c>
      <c r="W4937">
        <v>1.2138370000000001E-2</v>
      </c>
      <c r="X4937">
        <v>0.99991660000000004</v>
      </c>
      <c r="Y4937">
        <v>-0.20414019999999999</v>
      </c>
      <c r="Z4937">
        <v>1.629837E-2</v>
      </c>
      <c r="AA4937">
        <v>0.97880599999999995</v>
      </c>
      <c r="AB4937">
        <v>25</v>
      </c>
      <c r="AC4937">
        <v>-13.5998</v>
      </c>
      <c r="AD4937">
        <v>-1.111219212865</v>
      </c>
      <c r="AE4937">
        <v>-8.3366999999999898</v>
      </c>
      <c r="AF4937">
        <v>-3.2831974797809198</v>
      </c>
      <c r="AG4937">
        <v>-1.111219212865</v>
      </c>
      <c r="AH4937">
        <v>15.5313871243858</v>
      </c>
      <c r="AI4937">
        <v>94.004159394165796</v>
      </c>
      <c r="AJ4937">
        <v>101.936097054163</v>
      </c>
      <c r="AK4937">
        <v>15.913459078334199</v>
      </c>
      <c r="AL4937">
        <v>89.304505555992506</v>
      </c>
      <c r="AM4937">
        <v>89.747145336411904</v>
      </c>
      <c r="AN4937">
        <v>1.0000000099237101</v>
      </c>
    </row>
    <row r="4938" spans="1:40" x14ac:dyDescent="0.25">
      <c r="A4938" t="str">
        <f>"20190312154935427"</f>
        <v>20190312154935427</v>
      </c>
      <c r="B4938" t="str">
        <f>"1552376975420970"</f>
        <v>1552376975420970</v>
      </c>
      <c r="C4938" t="s">
        <v>40</v>
      </c>
      <c r="D4938">
        <v>4.2762529999999996</v>
      </c>
      <c r="E4938">
        <v>0.42028789999999999</v>
      </c>
      <c r="F4938" t="s">
        <v>63</v>
      </c>
      <c r="G4938">
        <v>-411.49169999999998</v>
      </c>
      <c r="H4938" s="1">
        <v>-5.1852360000000001E-6</v>
      </c>
      <c r="I4938">
        <v>127.00239999999999</v>
      </c>
      <c r="J4938">
        <v>-398.0342</v>
      </c>
      <c r="K4938">
        <v>1.111216</v>
      </c>
      <c r="L4938">
        <v>135.29570000000001</v>
      </c>
      <c r="M4938">
        <v>-0.9413897</v>
      </c>
      <c r="N4938">
        <v>0</v>
      </c>
      <c r="O4938">
        <v>-0.33714870000000002</v>
      </c>
      <c r="P4938">
        <v>-0.94282449999999995</v>
      </c>
      <c r="Q4938">
        <v>7.927082E-4</v>
      </c>
      <c r="R4938">
        <v>-0.33328940000000001</v>
      </c>
      <c r="S4938">
        <v>-2.6177060000000001</v>
      </c>
      <c r="T4938">
        <v>-0.2124519</v>
      </c>
      <c r="U4938">
        <v>-1.602036</v>
      </c>
      <c r="V4938">
        <v>4.0730829999999999E-3</v>
      </c>
      <c r="W4938">
        <v>1.159482E-2</v>
      </c>
      <c r="X4938">
        <v>0.99992449999999999</v>
      </c>
      <c r="Y4938">
        <v>-0.204129</v>
      </c>
      <c r="Z4938">
        <v>1.6595699999999901E-2</v>
      </c>
      <c r="AA4938">
        <v>0.97880330000000004</v>
      </c>
      <c r="AB4938">
        <v>25</v>
      </c>
      <c r="AC4938">
        <v>-13.4574999999999</v>
      </c>
      <c r="AD4938">
        <v>-1.1112211852360001</v>
      </c>
      <c r="AE4938">
        <v>-8.2933000000000092</v>
      </c>
      <c r="AF4938">
        <v>-3.2541579364171902</v>
      </c>
      <c r="AG4938">
        <v>-1.1112211852360001</v>
      </c>
      <c r="AH4938">
        <v>15.3896766713879</v>
      </c>
      <c r="AI4938">
        <v>94.040867298735407</v>
      </c>
      <c r="AJ4938">
        <v>101.939364223602</v>
      </c>
      <c r="AK4938">
        <v>15.7691630864648</v>
      </c>
      <c r="AL4938">
        <v>89.335650875197302</v>
      </c>
      <c r="AM4938">
        <v>89.766613204511501</v>
      </c>
      <c r="AN4938">
        <v>1.0000000177781001</v>
      </c>
    </row>
    <row r="4939" spans="1:40" x14ac:dyDescent="0.25">
      <c r="A4939" t="str">
        <f>"20190312154935449"</f>
        <v>20190312154935449</v>
      </c>
      <c r="B4939" t="str">
        <f>"1552376975440490"</f>
        <v>1552376975440490</v>
      </c>
      <c r="C4939" t="s">
        <v>40</v>
      </c>
      <c r="D4939">
        <v>4.302937</v>
      </c>
      <c r="E4939">
        <v>0.42043989999999998</v>
      </c>
      <c r="F4939" t="s">
        <v>63</v>
      </c>
      <c r="G4939">
        <v>-411.48540000000003</v>
      </c>
      <c r="H4939" s="1">
        <v>-5.1913469999999898E-6</v>
      </c>
      <c r="I4939">
        <v>127.0175</v>
      </c>
      <c r="J4939">
        <v>-398.26710000000003</v>
      </c>
      <c r="K4939">
        <v>1.111221</v>
      </c>
      <c r="L4939">
        <v>135.20949999999999</v>
      </c>
      <c r="M4939">
        <v>-0.9406139</v>
      </c>
      <c r="N4939">
        <v>0</v>
      </c>
      <c r="O4939">
        <v>-0.33930700000000003</v>
      </c>
      <c r="P4939">
        <v>-0.94203040000000005</v>
      </c>
      <c r="Q4939" s="1">
        <v>-3.0875209999999999E-5</v>
      </c>
      <c r="R4939">
        <v>-0.33552739999999998</v>
      </c>
      <c r="S4939">
        <v>-2.6135250000000001</v>
      </c>
      <c r="T4939">
        <v>-0.2159066</v>
      </c>
      <c r="U4939">
        <v>-1.6084290000000001</v>
      </c>
      <c r="V4939">
        <v>3.9949549999999997E-3</v>
      </c>
      <c r="W4939">
        <v>1.0772800000000001E-2</v>
      </c>
      <c r="X4939">
        <v>0.99993399999999999</v>
      </c>
      <c r="Y4939">
        <v>-0.2043326</v>
      </c>
      <c r="Z4939">
        <v>1.701631E-2</v>
      </c>
      <c r="AA4939">
        <v>0.9787536</v>
      </c>
      <c r="AB4939">
        <v>25</v>
      </c>
      <c r="AC4939">
        <v>-13.218299999999999</v>
      </c>
      <c r="AD4939">
        <v>-1.1112261913470001</v>
      </c>
      <c r="AE4939">
        <v>-8.1919999999999895</v>
      </c>
      <c r="AF4939">
        <v>-3.2042731694134599</v>
      </c>
      <c r="AG4939">
        <v>-1.1112261913470001</v>
      </c>
      <c r="AH4939">
        <v>15.136515204684899</v>
      </c>
      <c r="AI4939">
        <v>94.108040879767699</v>
      </c>
      <c r="AJ4939">
        <v>101.95257547215201</v>
      </c>
      <c r="AK4939">
        <v>15.5118110720256</v>
      </c>
      <c r="AL4939">
        <v>89.382752092455505</v>
      </c>
      <c r="AM4939">
        <v>89.771092049070504</v>
      </c>
      <c r="AN4939">
        <v>1.00000000862064</v>
      </c>
    </row>
    <row r="4940" spans="1:40" x14ac:dyDescent="0.25">
      <c r="A4940" t="str">
        <f>"20190312154935472"</f>
        <v>20190312154935472</v>
      </c>
      <c r="B4940" t="str">
        <f>"1552376975460986"</f>
        <v>1552376975460986</v>
      </c>
      <c r="C4940" t="s">
        <v>40</v>
      </c>
      <c r="D4940">
        <v>4.281263</v>
      </c>
      <c r="E4940">
        <v>0.42059439999999998</v>
      </c>
      <c r="F4940" t="s">
        <v>63</v>
      </c>
      <c r="G4940">
        <v>-411.50310000000002</v>
      </c>
      <c r="H4940" s="1">
        <v>-5.1927500000000004E-6</v>
      </c>
      <c r="I4940">
        <v>127.0286</v>
      </c>
      <c r="J4940">
        <v>-398.51089999999999</v>
      </c>
      <c r="K4940">
        <v>1.1112219999999999</v>
      </c>
      <c r="L4940">
        <v>135.11869999999999</v>
      </c>
      <c r="M4940">
        <v>-0.93979539999999995</v>
      </c>
      <c r="N4940">
        <v>0</v>
      </c>
      <c r="O4940">
        <v>-0.34156740000000002</v>
      </c>
      <c r="P4940">
        <v>-0.94093769999999999</v>
      </c>
      <c r="Q4940">
        <v>-5.9362499999999997E-4</v>
      </c>
      <c r="R4940">
        <v>-0.33857979999999999</v>
      </c>
      <c r="S4940">
        <v>-2.609985</v>
      </c>
      <c r="T4940">
        <v>-0.21912110000000001</v>
      </c>
      <c r="U4940">
        <v>-1.6131899999999999</v>
      </c>
      <c r="V4940">
        <v>3.1591229999999998E-3</v>
      </c>
      <c r="W4940">
        <v>1.0208729999999999E-2</v>
      </c>
      <c r="X4940">
        <v>0.99994289999999997</v>
      </c>
      <c r="Y4940">
        <v>-0.20387920000000001</v>
      </c>
      <c r="Z4940">
        <v>1.74547E-2</v>
      </c>
      <c r="AA4940">
        <v>0.97884040000000005</v>
      </c>
      <c r="AB4940">
        <v>25</v>
      </c>
      <c r="AC4940">
        <v>-12.9922</v>
      </c>
      <c r="AD4940">
        <v>-1.1112271927499999</v>
      </c>
      <c r="AE4940">
        <v>-8.0900999999999907</v>
      </c>
      <c r="AF4940">
        <v>-3.14891150670719</v>
      </c>
      <c r="AG4940">
        <v>-1.1112271927499999</v>
      </c>
      <c r="AH4940">
        <v>14.8956730331473</v>
      </c>
      <c r="AI4940">
        <v>94.174480484972094</v>
      </c>
      <c r="AJ4940">
        <v>101.936459162254</v>
      </c>
      <c r="AK4940">
        <v>15.2653707672435</v>
      </c>
      <c r="AL4940">
        <v>89.4150726969375</v>
      </c>
      <c r="AM4940">
        <v>89.818985851439393</v>
      </c>
      <c r="AN4940">
        <v>1.00000000074337</v>
      </c>
    </row>
    <row r="4941" spans="1:40" x14ac:dyDescent="0.25">
      <c r="A4941" t="str">
        <f>"20190312154935495"</f>
        <v>20190312154935495</v>
      </c>
      <c r="B4941" t="str">
        <f>"1552376975491243"</f>
        <v>1552376975491243</v>
      </c>
      <c r="C4941" t="s">
        <v>40</v>
      </c>
      <c r="D4941">
        <v>4.4782510000000002</v>
      </c>
      <c r="E4941">
        <v>0.4590977</v>
      </c>
      <c r="F4941" t="s">
        <v>63</v>
      </c>
      <c r="G4941">
        <v>-411.51459999999997</v>
      </c>
      <c r="H4941" s="1">
        <v>-5.1915259999999996E-6</v>
      </c>
      <c r="I4941">
        <v>127.02970000000001</v>
      </c>
      <c r="J4941">
        <v>-398.74549999999999</v>
      </c>
      <c r="K4941">
        <v>1.1112200000000001</v>
      </c>
      <c r="L4941">
        <v>135.03059999999999</v>
      </c>
      <c r="M4941">
        <v>-0.93900220000000001</v>
      </c>
      <c r="N4941">
        <v>0</v>
      </c>
      <c r="O4941">
        <v>-0.34374189999999999</v>
      </c>
      <c r="P4941">
        <v>-0.94002750000000002</v>
      </c>
      <c r="Q4941">
        <v>-1.3527980000000001E-3</v>
      </c>
      <c r="R4941">
        <v>-0.34109620000000002</v>
      </c>
      <c r="S4941">
        <v>-2.6051030000000002</v>
      </c>
      <c r="T4941">
        <v>-0.2226175</v>
      </c>
      <c r="U4941">
        <v>-1.6204989999999999</v>
      </c>
      <c r="V4941">
        <v>2.8008859999999998E-3</v>
      </c>
      <c r="W4941">
        <v>9.4505960000000003E-3</v>
      </c>
      <c r="X4941">
        <v>0.99995140000000005</v>
      </c>
      <c r="Y4941">
        <v>-0.20442940000000001</v>
      </c>
      <c r="Z4941">
        <v>1.787824E-2</v>
      </c>
      <c r="AA4941">
        <v>0.97871799999999998</v>
      </c>
      <c r="AB4941">
        <v>25</v>
      </c>
      <c r="AC4941">
        <v>-12.7690999999999</v>
      </c>
      <c r="AD4941">
        <v>-1.1112251915260001</v>
      </c>
      <c r="AE4941">
        <v>-8.0008999999999801</v>
      </c>
      <c r="AF4941">
        <v>-3.10687397002481</v>
      </c>
      <c r="AG4941">
        <v>-1.1112251915260001</v>
      </c>
      <c r="AH4941">
        <v>14.661582705688</v>
      </c>
      <c r="AI4941">
        <v>94.240447515532793</v>
      </c>
      <c r="AJ4941">
        <v>101.96431949825499</v>
      </c>
      <c r="AK4941">
        <v>15.0282898138021</v>
      </c>
      <c r="AL4941">
        <v>89.458512664199006</v>
      </c>
      <c r="AM4941">
        <v>89.839513673356393</v>
      </c>
      <c r="AN4941">
        <v>0.99999998054454997</v>
      </c>
    </row>
    <row r="4942" spans="1:40" x14ac:dyDescent="0.25">
      <c r="A4942" t="str">
        <f>"20190312154935517"</f>
        <v>20190312154935517</v>
      </c>
      <c r="B4942" t="str">
        <f>"1552376975510765"</f>
        <v>1552376975510765</v>
      </c>
      <c r="C4942" t="s">
        <v>40</v>
      </c>
      <c r="D4942">
        <v>4.2868849999999998</v>
      </c>
      <c r="E4942">
        <v>0.5246883</v>
      </c>
      <c r="F4942" t="s">
        <v>63</v>
      </c>
      <c r="G4942">
        <v>-408.2681</v>
      </c>
      <c r="H4942" s="1">
        <v>-5.4749909999999996E-6</v>
      </c>
      <c r="I4942">
        <v>130.30459999999999</v>
      </c>
      <c r="J4942">
        <v>-398.98719999999997</v>
      </c>
      <c r="K4942">
        <v>1.111226</v>
      </c>
      <c r="L4942">
        <v>134.9393</v>
      </c>
      <c r="M4942">
        <v>-0.9381794</v>
      </c>
      <c r="N4942">
        <v>0</v>
      </c>
      <c r="O4942">
        <v>-0.34598119999999999</v>
      </c>
      <c r="P4942">
        <v>-0.93916259999999996</v>
      </c>
      <c r="Q4942">
        <v>-2.3580189999999998E-3</v>
      </c>
      <c r="R4942">
        <v>-0.34346500000000002</v>
      </c>
      <c r="S4942">
        <v>-2.7039789999999999</v>
      </c>
      <c r="T4942">
        <v>-0.31553769999999998</v>
      </c>
      <c r="U4942">
        <v>-1.34198</v>
      </c>
      <c r="V4942">
        <v>2.6686380000000001E-3</v>
      </c>
      <c r="W4942">
        <v>8.4464180000000007E-3</v>
      </c>
      <c r="X4942">
        <v>0.99996079999999998</v>
      </c>
      <c r="Y4942">
        <v>-0.10835309999999999</v>
      </c>
      <c r="Z4942">
        <v>3.0743489999999998E-2</v>
      </c>
      <c r="AA4942">
        <v>0.99363699999999999</v>
      </c>
      <c r="AB4942">
        <v>25</v>
      </c>
      <c r="AC4942">
        <v>-9.2809000000000292</v>
      </c>
      <c r="AD4942">
        <v>-1.1112314749909999</v>
      </c>
      <c r="AE4942">
        <v>-4.6346999999999996</v>
      </c>
      <c r="AF4942">
        <v>-1.1243282352273001</v>
      </c>
      <c r="AG4942">
        <v>-1.1112314749909999</v>
      </c>
      <c r="AH4942">
        <v>10.194294011175501</v>
      </c>
      <c r="AI4942">
        <v>96.183775785247406</v>
      </c>
      <c r="AJ4942">
        <v>96.293712594718798</v>
      </c>
      <c r="AK4942">
        <v>10.3161320153355</v>
      </c>
      <c r="AL4942">
        <v>89.516050157920304</v>
      </c>
      <c r="AM4942">
        <v>89.847092674581205</v>
      </c>
      <c r="AN4942">
        <v>1.0000000325712199</v>
      </c>
    </row>
    <row r="4943" spans="1:40" x14ac:dyDescent="0.25">
      <c r="A4943" t="str">
        <f>"20190312154935540"</f>
        <v>20190312154935540</v>
      </c>
      <c r="B4943" t="str">
        <f>"1552376975531258"</f>
        <v>1552376975531258</v>
      </c>
      <c r="C4943" t="s">
        <v>40</v>
      </c>
      <c r="D4943">
        <v>4.3380239999999999</v>
      </c>
      <c r="E4943">
        <v>0.53804560000000001</v>
      </c>
      <c r="F4943" t="s">
        <v>41</v>
      </c>
      <c r="G4943">
        <v>-399.73520000000002</v>
      </c>
      <c r="H4943">
        <v>0.97200319999999996</v>
      </c>
      <c r="I4943">
        <v>134.71469999999999</v>
      </c>
      <c r="J4943">
        <v>-399.22230000000002</v>
      </c>
      <c r="K4943">
        <v>1.111226</v>
      </c>
      <c r="L4943">
        <v>134.84979999999999</v>
      </c>
      <c r="M4943">
        <v>-0.93737289999999995</v>
      </c>
      <c r="N4943">
        <v>0</v>
      </c>
      <c r="O4943">
        <v>-0.34816049999999998</v>
      </c>
      <c r="P4943">
        <v>-0.93837879999999996</v>
      </c>
      <c r="Q4943">
        <v>-1.904301E-3</v>
      </c>
      <c r="R4943">
        <v>-0.34560360000000001</v>
      </c>
      <c r="S4943">
        <v>-2.8765260000000001</v>
      </c>
      <c r="T4943">
        <v>-0.53589819999999999</v>
      </c>
      <c r="U4943">
        <v>-0.86543269999999906</v>
      </c>
      <c r="V4943">
        <v>2.7131170000000001E-3</v>
      </c>
      <c r="W4943">
        <v>8.9017799999999998E-3</v>
      </c>
      <c r="X4943">
        <v>0.99995670000000003</v>
      </c>
      <c r="Y4943">
        <v>5.7278389999999998E-2</v>
      </c>
      <c r="Z4943">
        <v>6.6328910000000005E-2</v>
      </c>
      <c r="AA4943">
        <v>0.99615240000000005</v>
      </c>
      <c r="AB4943">
        <v>25</v>
      </c>
      <c r="AC4943">
        <v>-0.51290000000000102</v>
      </c>
      <c r="AD4943">
        <v>-0.13922280000000001</v>
      </c>
      <c r="AE4943">
        <v>-0.135099999999994</v>
      </c>
      <c r="AF4943">
        <v>4.8587741046198701E-2</v>
      </c>
      <c r="AG4943">
        <v>-0.13922280000000001</v>
      </c>
      <c r="AH4943">
        <v>0.49382120032238502</v>
      </c>
      <c r="AI4943">
        <v>105.672778112513</v>
      </c>
      <c r="AJ4943">
        <v>84.380676869458398</v>
      </c>
      <c r="AK4943">
        <v>0.51536699012223697</v>
      </c>
      <c r="AL4943">
        <v>89.489958840772204</v>
      </c>
      <c r="AM4943">
        <v>89.844543496762597</v>
      </c>
      <c r="AN4943">
        <v>1.0000000022829501</v>
      </c>
    </row>
    <row r="4944" spans="1:40" x14ac:dyDescent="0.25">
      <c r="A4944" t="str">
        <f>"20190312154935562"</f>
        <v>20190312154935562</v>
      </c>
      <c r="B4944" t="str">
        <f>"1552376975550778"</f>
        <v>1552376975550778</v>
      </c>
      <c r="C4944" t="s">
        <v>40</v>
      </c>
      <c r="D4944">
        <v>4.2640320000000003</v>
      </c>
      <c r="E4944">
        <v>0.54459630000000003</v>
      </c>
      <c r="F4944" t="s">
        <v>41</v>
      </c>
      <c r="G4944">
        <v>-399.94819999999999</v>
      </c>
      <c r="H4944">
        <v>0.95939920000000001</v>
      </c>
      <c r="I4944">
        <v>134.6568</v>
      </c>
      <c r="J4944">
        <v>-399.45499999999998</v>
      </c>
      <c r="K4944">
        <v>1.1112340000000001</v>
      </c>
      <c r="L4944">
        <v>134.76070000000001</v>
      </c>
      <c r="M4944">
        <v>-0.93656910000000004</v>
      </c>
      <c r="N4944">
        <v>0</v>
      </c>
      <c r="O4944">
        <v>-0.35031709999999999</v>
      </c>
      <c r="P4944">
        <v>-0.93760279999999996</v>
      </c>
      <c r="Q4944">
        <v>-1.020633E-3</v>
      </c>
      <c r="R4944">
        <v>-0.3477073</v>
      </c>
      <c r="S4944">
        <v>-2.9105530000000002</v>
      </c>
      <c r="T4944">
        <v>-0.60887269999999905</v>
      </c>
      <c r="U4944">
        <v>-0.77433779999999997</v>
      </c>
      <c r="V4944">
        <v>2.7688740000000002E-3</v>
      </c>
      <c r="W4944">
        <v>9.7910440000000005E-3</v>
      </c>
      <c r="X4944">
        <v>0.99994819999999995</v>
      </c>
      <c r="Y4944">
        <v>8.9292780000000002E-2</v>
      </c>
      <c r="Z4944">
        <v>7.8422519999999996E-2</v>
      </c>
      <c r="AA4944">
        <v>0.99291320000000005</v>
      </c>
      <c r="AB4944">
        <v>25</v>
      </c>
      <c r="AC4944">
        <v>-0.49320000000000103</v>
      </c>
      <c r="AD4944">
        <v>-0.15183479999999999</v>
      </c>
      <c r="AE4944">
        <v>-0.10390000000001</v>
      </c>
      <c r="AF4944">
        <v>6.9192184360034506E-2</v>
      </c>
      <c r="AG4944">
        <v>-0.15183479999999999</v>
      </c>
      <c r="AH4944">
        <v>0.45688160659111898</v>
      </c>
      <c r="AI4944">
        <v>108.189583375437</v>
      </c>
      <c r="AJ4944">
        <v>81.388311756797293</v>
      </c>
      <c r="AK4944">
        <v>0.48639712921524803</v>
      </c>
      <c r="AL4944">
        <v>89.439005519738799</v>
      </c>
      <c r="AM4944">
        <v>89.841347393057006</v>
      </c>
      <c r="AN4944">
        <v>0.99999996694453797</v>
      </c>
    </row>
    <row r="4945" spans="1:40" x14ac:dyDescent="0.25">
      <c r="A4945" t="str">
        <f>"20190312154935583"</f>
        <v>20190312154935583</v>
      </c>
      <c r="B4945" t="str">
        <f>"1552376975571274"</f>
        <v>1552376975571274</v>
      </c>
      <c r="C4945" t="s">
        <v>40</v>
      </c>
      <c r="D4945">
        <v>4.2766080000000004</v>
      </c>
      <c r="E4945">
        <v>0.54831809999999903</v>
      </c>
      <c r="F4945" t="s">
        <v>41</v>
      </c>
      <c r="G4945">
        <v>-400.15980000000002</v>
      </c>
      <c r="H4945">
        <v>0.95366479999999998</v>
      </c>
      <c r="I4945">
        <v>134.58420000000001</v>
      </c>
      <c r="J4945">
        <v>-399.68970000000002</v>
      </c>
      <c r="K4945">
        <v>1.1112409999999999</v>
      </c>
      <c r="L4945">
        <v>134.67019999999999</v>
      </c>
      <c r="M4945">
        <v>-0.93575229999999998</v>
      </c>
      <c r="N4945">
        <v>0</v>
      </c>
      <c r="O4945">
        <v>-0.35249239999999998</v>
      </c>
      <c r="P4945">
        <v>-0.93696140000000006</v>
      </c>
      <c r="Q4945">
        <v>-1.1295639999999999E-4</v>
      </c>
      <c r="R4945">
        <v>-0.3494332</v>
      </c>
      <c r="S4945">
        <v>-2.926666</v>
      </c>
      <c r="T4945">
        <v>-0.65465519999999999</v>
      </c>
      <c r="U4945">
        <v>-0.73416139999999996</v>
      </c>
      <c r="V4945">
        <v>3.2477080000000002E-3</v>
      </c>
      <c r="W4945">
        <v>1.0711770000000001E-2</v>
      </c>
      <c r="X4945">
        <v>0.99993739999999998</v>
      </c>
      <c r="Y4945">
        <v>0.10410229999999999</v>
      </c>
      <c r="Z4945">
        <v>8.5981879999999997E-2</v>
      </c>
      <c r="AA4945">
        <v>0.99084300000000003</v>
      </c>
      <c r="AB4945">
        <v>25</v>
      </c>
      <c r="AC4945">
        <v>-0.47010000000000202</v>
      </c>
      <c r="AD4945">
        <v>-0.157576199999999</v>
      </c>
      <c r="AE4945">
        <v>-8.5999999999984297E-2</v>
      </c>
      <c r="AF4945">
        <v>7.6878794401597894E-2</v>
      </c>
      <c r="AG4945">
        <v>-0.157576199999999</v>
      </c>
      <c r="AH4945">
        <v>0.42412828698175498</v>
      </c>
      <c r="AI4945">
        <v>110.081018734899</v>
      </c>
      <c r="AJ4945">
        <v>79.725944449743594</v>
      </c>
      <c r="AK4945">
        <v>0.45893944225045702</v>
      </c>
      <c r="AL4945">
        <v>89.386249079040297</v>
      </c>
      <c r="AM4945">
        <v>89.813909043525797</v>
      </c>
      <c r="AN4945">
        <v>1.00000004677127</v>
      </c>
    </row>
    <row r="4946" spans="1:40" x14ac:dyDescent="0.25">
      <c r="A4946" t="str">
        <f>"20190312154935607"</f>
        <v>20190312154935607</v>
      </c>
      <c r="B4946" t="str">
        <f>"1552376975600554"</f>
        <v>1552376975600554</v>
      </c>
      <c r="C4946" t="s">
        <v>40</v>
      </c>
      <c r="D4946">
        <v>4.2155189999999996</v>
      </c>
      <c r="E4946">
        <v>0.55115239999999999</v>
      </c>
      <c r="F4946" t="s">
        <v>41</v>
      </c>
      <c r="G4946">
        <v>-400.37169999999998</v>
      </c>
      <c r="H4946">
        <v>0.95343069999999996</v>
      </c>
      <c r="I4946">
        <v>134.50409999999999</v>
      </c>
      <c r="J4946">
        <v>-399.92680000000001</v>
      </c>
      <c r="K4946">
        <v>1.111251</v>
      </c>
      <c r="L4946">
        <v>134.578</v>
      </c>
      <c r="M4946">
        <v>-0.93491849999999999</v>
      </c>
      <c r="N4946">
        <v>0</v>
      </c>
      <c r="O4946">
        <v>-0.354697599999999</v>
      </c>
      <c r="P4946">
        <v>-0.93617309999999998</v>
      </c>
      <c r="Q4946">
        <v>-2.7354810000000001E-4</v>
      </c>
      <c r="R4946">
        <v>-0.35153980000000001</v>
      </c>
      <c r="S4946">
        <v>-2.935486</v>
      </c>
      <c r="T4946">
        <v>-0.67903089999999999</v>
      </c>
      <c r="U4946">
        <v>-0.71401979999999998</v>
      </c>
      <c r="V4946">
        <v>3.3567509999999998E-3</v>
      </c>
      <c r="W4946">
        <v>1.0563960000000001E-2</v>
      </c>
      <c r="X4946">
        <v>0.99993849999999995</v>
      </c>
      <c r="Y4946">
        <v>0.1125772</v>
      </c>
      <c r="Z4946">
        <v>9.0359369999999994E-2</v>
      </c>
      <c r="AA4946">
        <v>0.98952589999999996</v>
      </c>
      <c r="AB4946">
        <v>25</v>
      </c>
      <c r="AC4946">
        <v>-0.44489999999996099</v>
      </c>
      <c r="AD4946">
        <v>-0.1578203</v>
      </c>
      <c r="AE4946">
        <v>-7.3900000000008903E-2</v>
      </c>
      <c r="AF4946">
        <v>7.9040658522098198E-2</v>
      </c>
      <c r="AG4946">
        <v>-0.1578203</v>
      </c>
      <c r="AH4946">
        <v>0.39394256192331201</v>
      </c>
      <c r="AI4946">
        <v>111.44437361022401</v>
      </c>
      <c r="AJ4946">
        <v>78.654809726794298</v>
      </c>
      <c r="AK4946">
        <v>0.43167744310584399</v>
      </c>
      <c r="AL4946">
        <v>89.394718379034103</v>
      </c>
      <c r="AM4946">
        <v>89.807661228441603</v>
      </c>
      <c r="AN4946">
        <v>0.99999993440520096</v>
      </c>
    </row>
    <row r="4947" spans="1:40" x14ac:dyDescent="0.25">
      <c r="A4947" t="str">
        <f>"20190312154935628"</f>
        <v>20190312154935628</v>
      </c>
      <c r="B4947" t="str">
        <f>"1552376975621051"</f>
        <v>1552376975621051</v>
      </c>
      <c r="C4947" t="s">
        <v>40</v>
      </c>
      <c r="D4947">
        <v>4.2070059999999998</v>
      </c>
      <c r="E4947">
        <v>0.55227660000000001</v>
      </c>
      <c r="F4947" t="s">
        <v>41</v>
      </c>
      <c r="G4947">
        <v>-400.78579999999999</v>
      </c>
      <c r="H4947">
        <v>0.90740180000000004</v>
      </c>
      <c r="I4947">
        <v>134.37370000000001</v>
      </c>
      <c r="J4947">
        <v>-400.15609999999998</v>
      </c>
      <c r="K4947">
        <v>1.11127</v>
      </c>
      <c r="L4947">
        <v>134.48830000000001</v>
      </c>
      <c r="M4947">
        <v>-0.93410119999999996</v>
      </c>
      <c r="N4947">
        <v>0</v>
      </c>
      <c r="O4947">
        <v>-0.35684389999999999</v>
      </c>
      <c r="P4947">
        <v>-0.93553640000000005</v>
      </c>
      <c r="Q4947">
        <v>7.9856999999999997E-4</v>
      </c>
      <c r="R4947">
        <v>-0.35322989999999999</v>
      </c>
      <c r="S4947">
        <v>-2.941284</v>
      </c>
      <c r="T4947">
        <v>-0.69821330000000004</v>
      </c>
      <c r="U4947">
        <v>-0.70051569999999996</v>
      </c>
      <c r="V4947">
        <v>3.843033E-3</v>
      </c>
      <c r="W4947">
        <v>1.164917E-2</v>
      </c>
      <c r="X4947">
        <v>0.99992479999999995</v>
      </c>
      <c r="Y4947">
        <v>0.11878710000000001</v>
      </c>
      <c r="Z4947">
        <v>9.3913339999999998E-2</v>
      </c>
      <c r="AA4947">
        <v>0.98846849999999997</v>
      </c>
      <c r="AB4947">
        <v>25</v>
      </c>
      <c r="AC4947">
        <v>-0.62970000000001303</v>
      </c>
      <c r="AD4947">
        <v>-0.203868199999999</v>
      </c>
      <c r="AE4947">
        <v>-0.114599999999995</v>
      </c>
      <c r="AF4947">
        <v>0.106825369652228</v>
      </c>
      <c r="AG4947">
        <v>-0.203868199999999</v>
      </c>
      <c r="AH4947">
        <v>0.57118432230659899</v>
      </c>
      <c r="AI4947">
        <v>109.33285039876699</v>
      </c>
      <c r="AJ4947">
        <v>79.406674837581207</v>
      </c>
      <c r="AK4947">
        <v>0.61581282271598103</v>
      </c>
      <c r="AL4947">
        <v>89.332536653379293</v>
      </c>
      <c r="AM4947">
        <v>89.779794953290505</v>
      </c>
      <c r="AN4947">
        <v>1.0000000388596799</v>
      </c>
    </row>
    <row r="4948" spans="1:40" x14ac:dyDescent="0.25">
      <c r="A4948" t="str">
        <f>"20190312154935651"</f>
        <v>20190312154935651</v>
      </c>
      <c r="B4948" t="str">
        <f>"1552376975640571"</f>
        <v>1552376975640571</v>
      </c>
      <c r="C4948" t="s">
        <v>40</v>
      </c>
      <c r="D4948">
        <v>4.1786620000000001</v>
      </c>
      <c r="E4948">
        <v>0.55329419999999996</v>
      </c>
      <c r="F4948" t="s">
        <v>41</v>
      </c>
      <c r="G4948">
        <v>-400.99770000000001</v>
      </c>
      <c r="H4948">
        <v>0.91007760000000004</v>
      </c>
      <c r="I4948">
        <v>134.2885</v>
      </c>
      <c r="J4948">
        <v>-400.39729999999997</v>
      </c>
      <c r="K4948">
        <v>1.111289</v>
      </c>
      <c r="L4948">
        <v>134.39320000000001</v>
      </c>
      <c r="M4948">
        <v>-0.93323029999999996</v>
      </c>
      <c r="N4948">
        <v>0</v>
      </c>
      <c r="O4948">
        <v>-0.35911500000000002</v>
      </c>
      <c r="P4948">
        <v>-0.93515130000000002</v>
      </c>
      <c r="Q4948">
        <v>4.0450770000000002E-3</v>
      </c>
      <c r="R4948">
        <v>-0.35422619999999999</v>
      </c>
      <c r="S4948">
        <v>-2.9431759999999998</v>
      </c>
      <c r="T4948">
        <v>-0.70388459999999997</v>
      </c>
      <c r="U4948">
        <v>-0.69960019999999901</v>
      </c>
      <c r="V4948">
        <v>5.1940450000000004E-3</v>
      </c>
      <c r="W4948">
        <v>1.491236E-2</v>
      </c>
      <c r="X4948">
        <v>0.99987530000000002</v>
      </c>
      <c r="Y4948">
        <v>0.1213361</v>
      </c>
      <c r="Z4948">
        <v>9.5388929999999997E-2</v>
      </c>
      <c r="AA4948">
        <v>0.98801740000000005</v>
      </c>
      <c r="AB4948">
        <v>25</v>
      </c>
      <c r="AC4948">
        <v>-0.60040000000003602</v>
      </c>
      <c r="AD4948">
        <v>-0.20121140000000001</v>
      </c>
      <c r="AE4948">
        <v>-0.104700000000008</v>
      </c>
      <c r="AF4948">
        <v>0.106321646038669</v>
      </c>
      <c r="AG4948">
        <v>-0.20121140000000001</v>
      </c>
      <c r="AH4948">
        <v>0.53917735765983399</v>
      </c>
      <c r="AI4948">
        <v>110.10927588483401</v>
      </c>
      <c r="AJ4948">
        <v>78.844830461668195</v>
      </c>
      <c r="AK4948">
        <v>0.58523716809458803</v>
      </c>
      <c r="AL4948">
        <v>89.145553027082698</v>
      </c>
      <c r="AM4948">
        <v>89.702368705100298</v>
      </c>
      <c r="AN4948">
        <v>0.99999998606716001</v>
      </c>
    </row>
    <row r="4949" spans="1:40" x14ac:dyDescent="0.25">
      <c r="A4949" t="str">
        <f>"20190312154935673"</f>
        <v>20190312154935673</v>
      </c>
      <c r="B4949" t="str">
        <f>"1552376975661066"</f>
        <v>1552376975661066</v>
      </c>
      <c r="C4949" t="s">
        <v>40</v>
      </c>
      <c r="D4949">
        <v>4.2232940000000001</v>
      </c>
      <c r="E4949">
        <v>0.55407609999999996</v>
      </c>
      <c r="F4949" t="s">
        <v>41</v>
      </c>
      <c r="G4949">
        <v>-401.21100000000001</v>
      </c>
      <c r="H4949">
        <v>0.91785810000000001</v>
      </c>
      <c r="I4949">
        <v>134.20070000000001</v>
      </c>
      <c r="J4949">
        <v>-400.63740000000001</v>
      </c>
      <c r="K4949">
        <v>1.11131</v>
      </c>
      <c r="L4949">
        <v>134.2979</v>
      </c>
      <c r="M4949">
        <v>-0.93234969999999995</v>
      </c>
      <c r="N4949">
        <v>0</v>
      </c>
      <c r="O4949">
        <v>-0.36139520000000003</v>
      </c>
      <c r="P4949">
        <v>-0.93490469999999903</v>
      </c>
      <c r="Q4949">
        <v>5.4350329999999997E-3</v>
      </c>
      <c r="R4949">
        <v>-0.35485800000000001</v>
      </c>
      <c r="S4949">
        <v>-2.9467469999999998</v>
      </c>
      <c r="T4949">
        <v>-0.70077970000000001</v>
      </c>
      <c r="U4949">
        <v>-0.69790649999999999</v>
      </c>
      <c r="V4949">
        <v>6.953908E-3</v>
      </c>
      <c r="W4949">
        <v>1.6319810000000001E-2</v>
      </c>
      <c r="X4949">
        <v>0.99984260000000003</v>
      </c>
      <c r="Y4949">
        <v>0.1245629</v>
      </c>
      <c r="Z4949">
        <v>9.5740610000000004E-2</v>
      </c>
      <c r="AA4949">
        <v>0.98758179999999995</v>
      </c>
      <c r="AB4949">
        <v>25</v>
      </c>
      <c r="AC4949">
        <v>-0.573599999999999</v>
      </c>
      <c r="AD4949">
        <v>-0.19345190000000001</v>
      </c>
      <c r="AE4949">
        <v>-9.7199999999986603E-2</v>
      </c>
      <c r="AF4949">
        <v>0.105062159594053</v>
      </c>
      <c r="AG4949">
        <v>-0.19345190000000001</v>
      </c>
      <c r="AH4949">
        <v>0.51321171134176802</v>
      </c>
      <c r="AI4949">
        <v>110.26843334591</v>
      </c>
      <c r="AJ4949">
        <v>78.4305428049216</v>
      </c>
      <c r="AK4949">
        <v>0.55843348364019396</v>
      </c>
      <c r="AL4949">
        <v>89.064902214583896</v>
      </c>
      <c r="AM4949">
        <v>89.601514122901094</v>
      </c>
      <c r="AN4949">
        <v>0.99999995890483295</v>
      </c>
    </row>
    <row r="4950" spans="1:40" x14ac:dyDescent="0.25">
      <c r="A4950" t="str">
        <f>"20190312154935696"</f>
        <v>20190312154935696</v>
      </c>
      <c r="B4950" t="str">
        <f>"1552376975690347"</f>
        <v>1552376975690347</v>
      </c>
      <c r="C4950" t="s">
        <v>40</v>
      </c>
      <c r="D4950">
        <v>4.2407409999999999</v>
      </c>
      <c r="E4950">
        <v>0.55507150000000005</v>
      </c>
      <c r="F4950" t="s">
        <v>41</v>
      </c>
      <c r="G4950">
        <v>-401.4237</v>
      </c>
      <c r="H4950">
        <v>0.92424269999999997</v>
      </c>
      <c r="I4950">
        <v>134.11269999999999</v>
      </c>
      <c r="J4950">
        <v>-400.87380000000002</v>
      </c>
      <c r="K4950">
        <v>1.111334</v>
      </c>
      <c r="L4950">
        <v>134.20339999999999</v>
      </c>
      <c r="M4950">
        <v>-0.93146739999999995</v>
      </c>
      <c r="N4950">
        <v>0</v>
      </c>
      <c r="O4950">
        <v>-0.36366290000000001</v>
      </c>
      <c r="P4950">
        <v>-0.93437110000000001</v>
      </c>
      <c r="Q4950">
        <v>5.2417499999999999E-3</v>
      </c>
      <c r="R4950">
        <v>-0.35626350000000001</v>
      </c>
      <c r="S4950">
        <v>-2.948944</v>
      </c>
      <c r="T4950">
        <v>-0.70188319999999904</v>
      </c>
      <c r="U4950">
        <v>-0.69560239999999995</v>
      </c>
      <c r="V4950">
        <v>7.8839050000000001E-3</v>
      </c>
      <c r="W4950">
        <v>1.6140069999999999E-2</v>
      </c>
      <c r="X4950">
        <v>0.99983869999999997</v>
      </c>
      <c r="Y4950">
        <v>0.12771279999999999</v>
      </c>
      <c r="Z4950">
        <v>9.6681489999999995E-2</v>
      </c>
      <c r="AA4950">
        <v>0.98708770000000001</v>
      </c>
      <c r="AB4950">
        <v>25</v>
      </c>
      <c r="AC4950">
        <v>-0.54989999999997896</v>
      </c>
      <c r="AD4950">
        <v>-0.18709129999999999</v>
      </c>
      <c r="AE4950">
        <v>-9.0699999999998199E-2</v>
      </c>
      <c r="AF4950">
        <v>0.103803404897532</v>
      </c>
      <c r="AG4950">
        <v>-0.18709129999999999</v>
      </c>
      <c r="AH4950">
        <v>0.490011236298938</v>
      </c>
      <c r="AI4950">
        <v>110.481725547298</v>
      </c>
      <c r="AJ4950">
        <v>78.039351331823596</v>
      </c>
      <c r="AK4950">
        <v>0.53468618188917605</v>
      </c>
      <c r="AL4950">
        <v>89.075201991823903</v>
      </c>
      <c r="AM4950">
        <v>89.548222007213795</v>
      </c>
      <c r="AN4950">
        <v>1.00000004191767</v>
      </c>
    </row>
    <row r="4951" spans="1:40" x14ac:dyDescent="0.25">
      <c r="A4951" t="str">
        <f>"20190312154935718"</f>
        <v>20190312154935718</v>
      </c>
      <c r="B4951" t="str">
        <f>"1552376975710842"</f>
        <v>1552376975710842</v>
      </c>
      <c r="C4951" t="s">
        <v>40</v>
      </c>
      <c r="D4951">
        <v>4.2206910000000004</v>
      </c>
      <c r="E4951">
        <v>0.55558839999999998</v>
      </c>
      <c r="F4951" t="s">
        <v>41</v>
      </c>
      <c r="G4951">
        <v>-401.6354</v>
      </c>
      <c r="H4951">
        <v>0.92815199999999998</v>
      </c>
      <c r="I4951">
        <v>134.0248</v>
      </c>
      <c r="J4951">
        <v>-401.10469999999998</v>
      </c>
      <c r="K4951">
        <v>1.111359</v>
      </c>
      <c r="L4951">
        <v>134.1104</v>
      </c>
      <c r="M4951">
        <v>-0.93059119999999995</v>
      </c>
      <c r="N4951">
        <v>0</v>
      </c>
      <c r="O4951">
        <v>-0.36589840000000001</v>
      </c>
      <c r="P4951">
        <v>-0.93368289999999998</v>
      </c>
      <c r="Q4951">
        <v>4.9653259999999999E-3</v>
      </c>
      <c r="R4951">
        <v>-0.35806660000000001</v>
      </c>
      <c r="S4951">
        <v>-2.9505620000000001</v>
      </c>
      <c r="T4951">
        <v>-0.7100052</v>
      </c>
      <c r="U4951">
        <v>-0.69268799999999997</v>
      </c>
      <c r="V4951">
        <v>8.3554960000000005E-3</v>
      </c>
      <c r="W4951">
        <v>1.5875449999999999E-2</v>
      </c>
      <c r="X4951">
        <v>0.99983909999999998</v>
      </c>
      <c r="Y4951">
        <v>0.13072839999999999</v>
      </c>
      <c r="Z4951">
        <v>9.8570379999999999E-2</v>
      </c>
      <c r="AA4951">
        <v>0.98650590000000005</v>
      </c>
      <c r="AB4951">
        <v>26</v>
      </c>
      <c r="AC4951">
        <v>-0.53070000000002404</v>
      </c>
      <c r="AD4951">
        <v>-0.18320699999999901</v>
      </c>
      <c r="AE4951">
        <v>-8.5599999999999399E-2</v>
      </c>
      <c r="AF4951">
        <v>0.10261175795074701</v>
      </c>
      <c r="AG4951">
        <v>-0.18320699999999901</v>
      </c>
      <c r="AH4951">
        <v>0.47055967674627702</v>
      </c>
      <c r="AI4951">
        <v>110.82677716242399</v>
      </c>
      <c r="AJ4951">
        <v>77.698470786061193</v>
      </c>
      <c r="AK4951">
        <v>0.51528670378567198</v>
      </c>
      <c r="AL4951">
        <v>89.090365537108596</v>
      </c>
      <c r="AM4951">
        <v>89.521199448415601</v>
      </c>
      <c r="AN4951">
        <v>1.0000000350574501</v>
      </c>
    </row>
    <row r="4952" spans="1:40" x14ac:dyDescent="0.25">
      <c r="A4952" t="str">
        <f>"20190312154935741"</f>
        <v>20190312154935741</v>
      </c>
      <c r="B4952" t="str">
        <f>"1552376975730364"</f>
        <v>1552376975730364</v>
      </c>
      <c r="C4952" t="s">
        <v>40</v>
      </c>
      <c r="D4952">
        <v>4.2164129999999904</v>
      </c>
      <c r="E4952">
        <v>0.55594699999999997</v>
      </c>
      <c r="F4952" t="s">
        <v>41</v>
      </c>
      <c r="G4952">
        <v>-401.84679999999997</v>
      </c>
      <c r="H4952">
        <v>0.93155659999999896</v>
      </c>
      <c r="I4952">
        <v>133.93610000000001</v>
      </c>
      <c r="J4952">
        <v>-401.34379999999999</v>
      </c>
      <c r="K4952">
        <v>1.111372</v>
      </c>
      <c r="L4952">
        <v>134.01339999999999</v>
      </c>
      <c r="M4952">
        <v>-0.92967069999999996</v>
      </c>
      <c r="N4952">
        <v>0</v>
      </c>
      <c r="O4952">
        <v>-0.36823099999999998</v>
      </c>
      <c r="P4952">
        <v>-0.93268079999999998</v>
      </c>
      <c r="Q4952">
        <v>4.6077109999999996E-3</v>
      </c>
      <c r="R4952">
        <v>-0.36067349999999998</v>
      </c>
      <c r="S4952">
        <v>-2.9507750000000001</v>
      </c>
      <c r="T4952">
        <v>-0.71527609999999997</v>
      </c>
      <c r="U4952">
        <v>-0.69390869999999905</v>
      </c>
      <c r="V4952">
        <v>8.0713279999999991E-3</v>
      </c>
      <c r="W4952">
        <v>1.5525499999999999E-2</v>
      </c>
      <c r="X4952">
        <v>0.99984689999999998</v>
      </c>
      <c r="Y4952">
        <v>0.13255159999999999</v>
      </c>
      <c r="Z4952">
        <v>9.9991990000000003E-2</v>
      </c>
      <c r="AA4952">
        <v>0.98611950000000004</v>
      </c>
      <c r="AB4952">
        <v>26</v>
      </c>
      <c r="AC4952">
        <v>-0.50299999999998501</v>
      </c>
      <c r="AD4952">
        <v>-0.17981539999999999</v>
      </c>
      <c r="AE4952">
        <v>-7.7299999999979704E-2</v>
      </c>
      <c r="AF4952">
        <v>0.100781075038496</v>
      </c>
      <c r="AG4952">
        <v>-0.17981539999999999</v>
      </c>
      <c r="AH4952">
        <v>0.441053482149736</v>
      </c>
      <c r="AI4952">
        <v>111.67540914462199</v>
      </c>
      <c r="AJ4952">
        <v>77.1288441070148</v>
      </c>
      <c r="AK4952">
        <v>0.48684553739300401</v>
      </c>
      <c r="AL4952">
        <v>89.110418639969296</v>
      </c>
      <c r="AM4952">
        <v>89.537486204728495</v>
      </c>
      <c r="AN4952">
        <v>1.00000000546277</v>
      </c>
    </row>
    <row r="4953" spans="1:40" x14ac:dyDescent="0.25">
      <c r="A4953" t="str">
        <f>"20190312154935763"</f>
        <v>20190312154935763</v>
      </c>
      <c r="B4953" t="str">
        <f>"1552376975750858"</f>
        <v>1552376975750858</v>
      </c>
      <c r="C4953" t="s">
        <v>40</v>
      </c>
      <c r="D4953">
        <v>4.2062730000000004</v>
      </c>
      <c r="E4953">
        <v>0.55629609999999996</v>
      </c>
      <c r="F4953" t="s">
        <v>41</v>
      </c>
      <c r="G4953">
        <v>-402.05829999999997</v>
      </c>
      <c r="H4953">
        <v>0.93692399999999998</v>
      </c>
      <c r="I4953">
        <v>133.84450000000001</v>
      </c>
      <c r="J4953">
        <v>-401.58159999999998</v>
      </c>
      <c r="K4953">
        <v>1.111389</v>
      </c>
      <c r="L4953">
        <v>133.9162</v>
      </c>
      <c r="M4953">
        <v>-0.92874219999999996</v>
      </c>
      <c r="N4953">
        <v>0</v>
      </c>
      <c r="O4953">
        <v>-0.37056660000000002</v>
      </c>
      <c r="P4953">
        <v>-0.93156740000000005</v>
      </c>
      <c r="Q4953">
        <v>5.0145889999999999E-3</v>
      </c>
      <c r="R4953">
        <v>-0.3635352</v>
      </c>
      <c r="S4953">
        <v>-2.9499209999999998</v>
      </c>
      <c r="T4953">
        <v>-0.72058319999999998</v>
      </c>
      <c r="U4953">
        <v>-0.69869999999999999</v>
      </c>
      <c r="V4953">
        <v>7.5121199999999997E-3</v>
      </c>
      <c r="W4953">
        <v>1.593839E-2</v>
      </c>
      <c r="X4953">
        <v>0.99984470000000003</v>
      </c>
      <c r="Y4953">
        <v>0.1331927</v>
      </c>
      <c r="Z4953">
        <v>0.1013044</v>
      </c>
      <c r="AA4953">
        <v>0.98589919999999998</v>
      </c>
      <c r="AB4953">
        <v>26</v>
      </c>
      <c r="AC4953">
        <v>-0.47669999999999302</v>
      </c>
      <c r="AD4953">
        <v>-0.17446499999999901</v>
      </c>
      <c r="AE4953">
        <v>-7.16999999999927E-2</v>
      </c>
      <c r="AF4953">
        <v>9.7317921617656497E-2</v>
      </c>
      <c r="AG4953">
        <v>-0.17446499999999901</v>
      </c>
      <c r="AH4953">
        <v>0.41497468445108099</v>
      </c>
      <c r="AI4953">
        <v>112.260176449707</v>
      </c>
      <c r="AJ4953">
        <v>76.8017683295502</v>
      </c>
      <c r="AK4953">
        <v>0.46055705708224098</v>
      </c>
      <c r="AL4953">
        <v>89.086758801538394</v>
      </c>
      <c r="AM4953">
        <v>89.569528475160894</v>
      </c>
      <c r="AN4953">
        <v>0.99999994417038596</v>
      </c>
    </row>
    <row r="4954" spans="1:40" x14ac:dyDescent="0.25">
      <c r="A4954" t="str">
        <f>"20190312154935785"</f>
        <v>20190312154935785</v>
      </c>
      <c r="B4954" t="str">
        <f>"1552376975781114"</f>
        <v>1552376975781114</v>
      </c>
      <c r="C4954" t="s">
        <v>40</v>
      </c>
      <c r="D4954">
        <v>4.3539589999999997</v>
      </c>
      <c r="E4954">
        <v>0.50663689999999995</v>
      </c>
      <c r="F4954" t="s">
        <v>41</v>
      </c>
      <c r="G4954">
        <v>-402.2697</v>
      </c>
      <c r="H4954">
        <v>0.94273879999999999</v>
      </c>
      <c r="I4954">
        <v>133.75200000000001</v>
      </c>
      <c r="J4954">
        <v>-401.81380000000001</v>
      </c>
      <c r="K4954">
        <v>1.1113999999999999</v>
      </c>
      <c r="L4954">
        <v>133.82060000000001</v>
      </c>
      <c r="M4954">
        <v>-0.92782529999999996</v>
      </c>
      <c r="N4954">
        <v>0</v>
      </c>
      <c r="O4954">
        <v>-0.37285560000000001</v>
      </c>
      <c r="P4954">
        <v>-0.93008599999999997</v>
      </c>
      <c r="Q4954">
        <v>6.303243E-3</v>
      </c>
      <c r="R4954">
        <v>-0.3672879</v>
      </c>
      <c r="S4954">
        <v>-2.9491580000000002</v>
      </c>
      <c r="T4954">
        <v>-0.72325669999999898</v>
      </c>
      <c r="U4954">
        <v>-0.70503229999999995</v>
      </c>
      <c r="V4954">
        <v>5.9376139999999999E-3</v>
      </c>
      <c r="W4954">
        <v>1.7227579999999999E-2</v>
      </c>
      <c r="X4954">
        <v>0.99983390000000005</v>
      </c>
      <c r="Y4954">
        <v>0.13341600000000001</v>
      </c>
      <c r="Z4954">
        <v>0.1021914</v>
      </c>
      <c r="AA4954">
        <v>0.98577740000000003</v>
      </c>
      <c r="AB4954">
        <v>26</v>
      </c>
      <c r="AC4954">
        <v>-0.45589999999998498</v>
      </c>
      <c r="AD4954">
        <v>-0.16866119999999901</v>
      </c>
      <c r="AE4954">
        <v>-6.8600000000003505E-2</v>
      </c>
      <c r="AF4954">
        <v>9.3790043232562195E-2</v>
      </c>
      <c r="AG4954">
        <v>-0.16866119999999901</v>
      </c>
      <c r="AH4954">
        <v>0.39564872071076201</v>
      </c>
      <c r="AI4954">
        <v>112.52842717855</v>
      </c>
      <c r="AJ4954">
        <v>76.663982865992693</v>
      </c>
      <c r="AK4954">
        <v>0.44020572780811101</v>
      </c>
      <c r="AL4954">
        <v>89.012883480030993</v>
      </c>
      <c r="AM4954">
        <v>89.6597472606351</v>
      </c>
      <c r="AN4954">
        <v>0.99999993618093697</v>
      </c>
    </row>
    <row r="4955" spans="1:40" x14ac:dyDescent="0.25">
      <c r="A4955" t="str">
        <f>"20190312154935807"</f>
        <v>20190312154935807</v>
      </c>
      <c r="B4955" t="str">
        <f>"1552376975800635"</f>
        <v>1552376975800635</v>
      </c>
      <c r="C4955" t="s">
        <v>40</v>
      </c>
      <c r="D4955">
        <v>4.2749499999999996</v>
      </c>
      <c r="E4955">
        <v>0.48361490000000001</v>
      </c>
      <c r="F4955" t="s">
        <v>41</v>
      </c>
      <c r="G4955">
        <v>-402.67349999999999</v>
      </c>
      <c r="H4955">
        <v>0.97421990000000003</v>
      </c>
      <c r="I4955">
        <v>133.49170000000001</v>
      </c>
      <c r="J4955">
        <v>-402.04509999999999</v>
      </c>
      <c r="K4955">
        <v>1.1114120000000001</v>
      </c>
      <c r="L4955">
        <v>133.72470000000001</v>
      </c>
      <c r="M4955">
        <v>-0.92690329999999999</v>
      </c>
      <c r="N4955">
        <v>0</v>
      </c>
      <c r="O4955">
        <v>-0.37514189999999997</v>
      </c>
      <c r="P4955">
        <v>-0.92886369999999896</v>
      </c>
      <c r="Q4955">
        <v>7.267646E-3</v>
      </c>
      <c r="R4955">
        <v>-0.37035040000000002</v>
      </c>
      <c r="S4955">
        <v>-2.8044739999999999</v>
      </c>
      <c r="T4955">
        <v>-0.44778499999999999</v>
      </c>
      <c r="U4955">
        <v>-1.0738219999999901</v>
      </c>
      <c r="V4955">
        <v>5.1010370000000001E-3</v>
      </c>
      <c r="W4955">
        <v>1.8194930000000002E-2</v>
      </c>
      <c r="X4955">
        <v>0.99982139999999997</v>
      </c>
      <c r="Y4955">
        <v>1.488775E-2</v>
      </c>
      <c r="Z4955">
        <v>5.661422E-2</v>
      </c>
      <c r="AA4955">
        <v>0.99828510000000004</v>
      </c>
      <c r="AB4955">
        <v>26</v>
      </c>
      <c r="AC4955">
        <v>-0.62839999999999896</v>
      </c>
      <c r="AD4955">
        <v>-0.13719210000000001</v>
      </c>
      <c r="AE4955">
        <v>-0.23300000000000401</v>
      </c>
      <c r="AF4955">
        <v>1.8976700668641999E-2</v>
      </c>
      <c r="AG4955">
        <v>-0.13719210000000001</v>
      </c>
      <c r="AH4955">
        <v>0.64297164652197902</v>
      </c>
      <c r="AI4955">
        <v>102.039600670772</v>
      </c>
      <c r="AJ4955">
        <v>88.309459951551801</v>
      </c>
      <c r="AK4955">
        <v>0.65771903249173402</v>
      </c>
      <c r="AL4955">
        <v>88.957449725420304</v>
      </c>
      <c r="AM4955">
        <v>89.707682436702399</v>
      </c>
      <c r="AN4955">
        <v>0.99999995397706898</v>
      </c>
    </row>
    <row r="4956" spans="1:40" x14ac:dyDescent="0.25">
      <c r="A4956" t="str">
        <f>"20190312154935828"</f>
        <v>20190312154935828</v>
      </c>
      <c r="B4956" t="str">
        <f>"1552376975821130"</f>
        <v>1552376975821130</v>
      </c>
      <c r="C4956" t="s">
        <v>40</v>
      </c>
      <c r="D4956">
        <v>4.1821799999999998</v>
      </c>
      <c r="E4956">
        <v>0.42567569999999999</v>
      </c>
      <c r="F4956" t="s">
        <v>41</v>
      </c>
      <c r="G4956">
        <v>-402.88189999999997</v>
      </c>
      <c r="H4956">
        <v>1.013361</v>
      </c>
      <c r="I4956">
        <v>133.34289999999999</v>
      </c>
      <c r="J4956">
        <v>-402.27640000000002</v>
      </c>
      <c r="K4956">
        <v>1.1114170000000001</v>
      </c>
      <c r="L4956">
        <v>133.62799999999999</v>
      </c>
      <c r="M4956">
        <v>-0.92597209999999996</v>
      </c>
      <c r="N4956">
        <v>0</v>
      </c>
      <c r="O4956">
        <v>-0.37743399999999999</v>
      </c>
      <c r="P4956">
        <v>-0.92748580000000003</v>
      </c>
      <c r="Q4956">
        <v>7.61196599999999E-3</v>
      </c>
      <c r="R4956">
        <v>-0.37378169999999999</v>
      </c>
      <c r="S4956">
        <v>-2.7345890000000002</v>
      </c>
      <c r="T4956">
        <v>-0.32056069999999998</v>
      </c>
      <c r="U4956">
        <v>-1.2482150000000001</v>
      </c>
      <c r="V4956">
        <v>3.8762430000000001E-3</v>
      </c>
      <c r="W4956">
        <v>1.85401E-2</v>
      </c>
      <c r="X4956">
        <v>0.99982059999999995</v>
      </c>
      <c r="Y4956">
        <v>-4.2888120000000002E-2</v>
      </c>
      <c r="Z4956">
        <v>3.800974E-2</v>
      </c>
      <c r="AA4956">
        <v>0.99835660000000004</v>
      </c>
      <c r="AB4956">
        <v>26</v>
      </c>
      <c r="AC4956">
        <v>-0.60549999999994897</v>
      </c>
      <c r="AD4956">
        <v>-9.8056000000000101E-2</v>
      </c>
      <c r="AE4956">
        <v>-0.28509999999999902</v>
      </c>
      <c r="AF4956">
        <v>-3.4715267760110503E-2</v>
      </c>
      <c r="AG4956">
        <v>-9.8056000000000101E-2</v>
      </c>
      <c r="AH4956">
        <v>0.65427752884721602</v>
      </c>
      <c r="AI4956">
        <v>98.511634792335897</v>
      </c>
      <c r="AJ4956">
        <v>93.037204915764605</v>
      </c>
      <c r="AK4956">
        <v>0.66249468956820701</v>
      </c>
      <c r="AL4956">
        <v>88.937669648395996</v>
      </c>
      <c r="AM4956">
        <v>89.777868898134201</v>
      </c>
      <c r="AN4956">
        <v>0.99999999637608195</v>
      </c>
    </row>
    <row r="4957" spans="1:40" x14ac:dyDescent="0.25">
      <c r="A4957" t="str">
        <f>"20190312154935852"</f>
        <v>20190312154935852</v>
      </c>
      <c r="B4957" t="str">
        <f>"1552376975840652"</f>
        <v>1552376975840652</v>
      </c>
      <c r="C4957" t="s">
        <v>40</v>
      </c>
      <c r="D4957">
        <v>4.1636150000000001</v>
      </c>
      <c r="E4957">
        <v>0.42418289999999997</v>
      </c>
      <c r="F4957" t="s">
        <v>42</v>
      </c>
      <c r="G4957">
        <v>-427.31790000000001</v>
      </c>
      <c r="H4957" s="1">
        <v>-4.7768020000000002E-6</v>
      </c>
      <c r="I4957">
        <v>117.2092</v>
      </c>
      <c r="J4957">
        <v>-402.51639999999998</v>
      </c>
      <c r="K4957">
        <v>1.1114310000000001</v>
      </c>
      <c r="L4957">
        <v>133.52709999999999</v>
      </c>
      <c r="M4957">
        <v>-0.92499580000000003</v>
      </c>
      <c r="N4957">
        <v>0</v>
      </c>
      <c r="O4957">
        <v>-0.37982070000000001</v>
      </c>
      <c r="P4957">
        <v>-0.92621739999999997</v>
      </c>
      <c r="Q4957">
        <v>7.7507779999999998E-3</v>
      </c>
      <c r="R4957">
        <v>-0.37691069999999999</v>
      </c>
      <c r="S4957">
        <v>-2.5592649999999999</v>
      </c>
      <c r="T4957">
        <v>-0.1135886</v>
      </c>
      <c r="U4957">
        <v>-1.678024</v>
      </c>
      <c r="V4957">
        <v>3.0776340000000001E-3</v>
      </c>
      <c r="W4957">
        <v>1.8681219999999998E-2</v>
      </c>
      <c r="X4957">
        <v>0.99982079999999995</v>
      </c>
      <c r="Y4957">
        <v>-0.18968080000000001</v>
      </c>
      <c r="Z4957">
        <v>1.080801E-2</v>
      </c>
      <c r="AA4957">
        <v>0.9817863</v>
      </c>
      <c r="AB4957">
        <v>26</v>
      </c>
      <c r="AC4957">
        <v>-24.801500000000001</v>
      </c>
      <c r="AD4957">
        <v>-1.111435776802</v>
      </c>
      <c r="AE4957">
        <v>-16.317899999999899</v>
      </c>
      <c r="AF4957">
        <v>-5.6662620959129901</v>
      </c>
      <c r="AG4957">
        <v>-1.111435776802</v>
      </c>
      <c r="AH4957">
        <v>29.100108964306902</v>
      </c>
      <c r="AI4957">
        <v>92.146981418254398</v>
      </c>
      <c r="AJ4957">
        <v>101.018542256808</v>
      </c>
      <c r="AK4957">
        <v>29.667459570378998</v>
      </c>
      <c r="AL4957">
        <v>88.929582720427902</v>
      </c>
      <c r="AM4957">
        <v>89.823633512975803</v>
      </c>
      <c r="AN4957">
        <v>1.0000000459621801</v>
      </c>
    </row>
    <row r="4958" spans="1:40" x14ac:dyDescent="0.25">
      <c r="A4958" t="str">
        <f>"20190312154935874"</f>
        <v>20190312154935874</v>
      </c>
      <c r="B4958" t="str">
        <f>"1552376975870908"</f>
        <v>1552376975870908</v>
      </c>
      <c r="C4958" t="s">
        <v>40</v>
      </c>
      <c r="D4958">
        <v>4.1368850000000004</v>
      </c>
      <c r="E4958">
        <v>0.42460579999999998</v>
      </c>
      <c r="F4958" t="s">
        <v>42</v>
      </c>
      <c r="G4958">
        <v>-425.08429999999998</v>
      </c>
      <c r="H4958" s="1">
        <v>-4.8169859999999998E-6</v>
      </c>
      <c r="I4958">
        <v>118.4915</v>
      </c>
      <c r="J4958">
        <v>-402.74829999999997</v>
      </c>
      <c r="K4958">
        <v>1.111453</v>
      </c>
      <c r="L4958">
        <v>133.4289</v>
      </c>
      <c r="M4958">
        <v>-0.9240353</v>
      </c>
      <c r="N4958">
        <v>0</v>
      </c>
      <c r="O4958">
        <v>-0.38215169999999998</v>
      </c>
      <c r="P4958">
        <v>-0.92499489999999995</v>
      </c>
      <c r="Q4958">
        <v>7.8636149999999991E-3</v>
      </c>
      <c r="R4958">
        <v>-0.37989889999999998</v>
      </c>
      <c r="S4958">
        <v>-2.5489809999999999</v>
      </c>
      <c r="T4958">
        <v>-0.12553319999999901</v>
      </c>
      <c r="U4958">
        <v>-1.6982269999999999</v>
      </c>
      <c r="V4958">
        <v>2.3686950000000001E-3</v>
      </c>
      <c r="W4958">
        <v>1.8796119999999999E-2</v>
      </c>
      <c r="X4958">
        <v>0.9998205</v>
      </c>
      <c r="Y4958">
        <v>-0.19444939999999999</v>
      </c>
      <c r="Z4958">
        <v>1.193994E-2</v>
      </c>
      <c r="AA4958">
        <v>0.98083989999999999</v>
      </c>
      <c r="AB4958">
        <v>26</v>
      </c>
      <c r="AC4958">
        <v>-22.335999999999999</v>
      </c>
      <c r="AD4958">
        <v>-1.1114578169859901</v>
      </c>
      <c r="AE4958">
        <v>-14.937399999999901</v>
      </c>
      <c r="AF4958">
        <v>-5.2582609409131997</v>
      </c>
      <c r="AG4958">
        <v>-1.1114578169859901</v>
      </c>
      <c r="AH4958">
        <v>26.304166134270702</v>
      </c>
      <c r="AI4958">
        <v>92.372652994105906</v>
      </c>
      <c r="AJ4958">
        <v>101.304544913467</v>
      </c>
      <c r="AK4958">
        <v>26.847603293794901</v>
      </c>
      <c r="AL4958">
        <v>88.922998196133904</v>
      </c>
      <c r="AM4958">
        <v>89.864259662067596</v>
      </c>
      <c r="AN4958">
        <v>0.99999996853165296</v>
      </c>
    </row>
    <row r="4959" spans="1:40" x14ac:dyDescent="0.25">
      <c r="A4959" t="str">
        <f>"20190312154935896"</f>
        <v>20190312154935896</v>
      </c>
      <c r="B4959" t="str">
        <f>"1552376975890426"</f>
        <v>1552376975890426</v>
      </c>
      <c r="C4959" t="s">
        <v>40</v>
      </c>
      <c r="D4959">
        <v>4.0880739999999998</v>
      </c>
      <c r="E4959">
        <v>0.42457319999999998</v>
      </c>
      <c r="F4959" t="s">
        <v>42</v>
      </c>
      <c r="G4959">
        <v>-423.58699999999999</v>
      </c>
      <c r="H4959" s="1">
        <v>-4.8863829999999997E-6</v>
      </c>
      <c r="I4959">
        <v>119.4759</v>
      </c>
      <c r="J4959">
        <v>-402.9855</v>
      </c>
      <c r="K4959">
        <v>1.1114930000000001</v>
      </c>
      <c r="L4959">
        <v>133.32769999999999</v>
      </c>
      <c r="M4959">
        <v>-0.92302569999999995</v>
      </c>
      <c r="N4959">
        <v>0</v>
      </c>
      <c r="O4959">
        <v>-0.38458310000000001</v>
      </c>
      <c r="P4959">
        <v>-0.92367909999999998</v>
      </c>
      <c r="Q4959">
        <v>8.2434810000000004E-3</v>
      </c>
      <c r="R4959">
        <v>-0.38307819999999998</v>
      </c>
      <c r="S4959">
        <v>-2.5446780000000002</v>
      </c>
      <c r="T4959">
        <v>-0.1357237</v>
      </c>
      <c r="U4959">
        <v>-1.7038420000000001</v>
      </c>
      <c r="V4959">
        <v>1.5572349999999999E-3</v>
      </c>
      <c r="W4959">
        <v>1.917847E-2</v>
      </c>
      <c r="X4959">
        <v>0.99981489999999995</v>
      </c>
      <c r="Y4959">
        <v>-0.19415289999999999</v>
      </c>
      <c r="Z4959">
        <v>1.3028400000000001E-2</v>
      </c>
      <c r="AA4959">
        <v>0.9808848</v>
      </c>
      <c r="AB4959">
        <v>26</v>
      </c>
      <c r="AC4959">
        <v>-20.601499999999898</v>
      </c>
      <c r="AD4959">
        <v>-1.1114978863830001</v>
      </c>
      <c r="AE4959">
        <v>-13.8517999999999</v>
      </c>
      <c r="AF4959">
        <v>-4.8531403309283503</v>
      </c>
      <c r="AG4959">
        <v>-1.1114978863830001</v>
      </c>
      <c r="AH4959">
        <v>24.2956323059711</v>
      </c>
      <c r="AI4959">
        <v>92.568714613034004</v>
      </c>
      <c r="AJ4959">
        <v>101.29635784966401</v>
      </c>
      <c r="AK4959">
        <v>24.800527167180601</v>
      </c>
      <c r="AL4959">
        <v>88.901087278686504</v>
      </c>
      <c r="AM4959">
        <v>89.910760560717605</v>
      </c>
      <c r="AN4959">
        <v>1.0000000364771899</v>
      </c>
    </row>
    <row r="4960" spans="1:40" x14ac:dyDescent="0.25">
      <c r="A4960" t="str">
        <f>"20190312154935918"</f>
        <v>20190312154935918</v>
      </c>
      <c r="B4960" t="str">
        <f>"1552376975910923"</f>
        <v>1552376975910923</v>
      </c>
      <c r="C4960" t="s">
        <v>40</v>
      </c>
      <c r="D4960">
        <v>4.1220699999999999</v>
      </c>
      <c r="E4960">
        <v>0.42491600000000002</v>
      </c>
      <c r="F4960" t="s">
        <v>42</v>
      </c>
      <c r="G4960">
        <v>-423.3614</v>
      </c>
      <c r="H4960" s="1">
        <v>-4.8795749999999998E-6</v>
      </c>
      <c r="I4960">
        <v>119.5735</v>
      </c>
      <c r="J4960">
        <v>-403.21449999999999</v>
      </c>
      <c r="K4960">
        <v>1.1115569999999999</v>
      </c>
      <c r="L4960">
        <v>133.22919999999999</v>
      </c>
      <c r="M4960">
        <v>-0.92201080000000002</v>
      </c>
      <c r="N4960">
        <v>0</v>
      </c>
      <c r="O4960">
        <v>-0.38700970000000001</v>
      </c>
      <c r="P4960">
        <v>-0.9222224</v>
      </c>
      <c r="Q4960">
        <v>7.9665039999999993E-3</v>
      </c>
      <c r="R4960">
        <v>-0.38657839999999999</v>
      </c>
      <c r="S4960">
        <v>-2.5384829999999998</v>
      </c>
      <c r="T4960">
        <v>-0.1384735</v>
      </c>
      <c r="U4960">
        <v>-1.7135309999999999</v>
      </c>
      <c r="V4960">
        <v>3.9496300000000002E-4</v>
      </c>
      <c r="W4960">
        <v>1.8902430000000001E-2</v>
      </c>
      <c r="X4960">
        <v>0.99982119999999997</v>
      </c>
      <c r="Y4960">
        <v>-0.19526270000000001</v>
      </c>
      <c r="Z4960">
        <v>1.3381240000000001E-2</v>
      </c>
      <c r="AA4960">
        <v>0.98065970000000002</v>
      </c>
      <c r="AB4960">
        <v>26</v>
      </c>
      <c r="AC4960">
        <v>-20.146899999999999</v>
      </c>
      <c r="AD4960">
        <v>-1.111561879575</v>
      </c>
      <c r="AE4960">
        <v>-13.6556999999999</v>
      </c>
      <c r="AF4960">
        <v>-4.7839654525800004</v>
      </c>
      <c r="AG4960">
        <v>-1.111561879575</v>
      </c>
      <c r="AH4960">
        <v>23.8123070488049</v>
      </c>
      <c r="AI4960">
        <v>92.620351902248998</v>
      </c>
      <c r="AJ4960">
        <v>101.35967552401</v>
      </c>
      <c r="AK4960">
        <v>24.313532492218599</v>
      </c>
      <c r="AL4960">
        <v>88.916905973674304</v>
      </c>
      <c r="AM4960">
        <v>89.977366241297204</v>
      </c>
      <c r="AN4960">
        <v>0.99999994491255595</v>
      </c>
    </row>
    <row r="4961" spans="1:40" x14ac:dyDescent="0.25">
      <c r="A4961" t="str">
        <f>"20190312154935942"</f>
        <v>20190312154935942</v>
      </c>
      <c r="B4961" t="str">
        <f>"1552376975930443"</f>
        <v>1552376975930443</v>
      </c>
      <c r="C4961" t="s">
        <v>40</v>
      </c>
      <c r="D4961">
        <v>4.1744289999999999</v>
      </c>
      <c r="E4961">
        <v>0.42486449999999998</v>
      </c>
      <c r="F4961" t="s">
        <v>42</v>
      </c>
      <c r="G4961">
        <v>-423.30579999999998</v>
      </c>
      <c r="H4961" s="1">
        <v>-4.8714669999999996E-6</v>
      </c>
      <c r="I4961">
        <v>119.5787</v>
      </c>
      <c r="J4961">
        <v>-403.45850000000002</v>
      </c>
      <c r="K4961">
        <v>1.111658</v>
      </c>
      <c r="L4961">
        <v>133.1233</v>
      </c>
      <c r="M4961">
        <v>-0.92086730000000006</v>
      </c>
      <c r="N4961">
        <v>0</v>
      </c>
      <c r="O4961">
        <v>-0.38972309999999999</v>
      </c>
      <c r="P4961">
        <v>-0.92091440000000002</v>
      </c>
      <c r="Q4961">
        <v>7.5182169999999998E-3</v>
      </c>
      <c r="R4961">
        <v>-0.38969310000000001</v>
      </c>
      <c r="S4961">
        <v>-2.532867</v>
      </c>
      <c r="T4961">
        <v>-0.14013210000000001</v>
      </c>
      <c r="U4961">
        <v>-1.7208859999999999</v>
      </c>
      <c r="V4961" s="1">
        <v>-4.1072870000000002E-5</v>
      </c>
      <c r="W4961">
        <v>1.8459529999999998E-2</v>
      </c>
      <c r="X4961">
        <v>0.99982959999999999</v>
      </c>
      <c r="Y4961">
        <v>-0.1953394</v>
      </c>
      <c r="Z4961">
        <v>1.367121E-2</v>
      </c>
      <c r="AA4961">
        <v>0.98064039999999997</v>
      </c>
      <c r="AB4961">
        <v>26</v>
      </c>
      <c r="AC4961">
        <v>-19.847299999999901</v>
      </c>
      <c r="AD4961">
        <v>-1.111662871467</v>
      </c>
      <c r="AE4961">
        <v>-13.544600000000001</v>
      </c>
      <c r="AF4961">
        <v>-4.72799093916103</v>
      </c>
      <c r="AG4961">
        <v>-1.111662871467</v>
      </c>
      <c r="AH4961">
        <v>23.5064657503452</v>
      </c>
      <c r="AI4961">
        <v>92.654518346370693</v>
      </c>
      <c r="AJ4961">
        <v>101.37249038460401</v>
      </c>
      <c r="AK4961">
        <v>24.002991995431302</v>
      </c>
      <c r="AL4961">
        <v>88.942286755408702</v>
      </c>
      <c r="AM4961">
        <v>90.002353703173199</v>
      </c>
      <c r="AN4961">
        <v>0.99999999248547999</v>
      </c>
    </row>
    <row r="4962" spans="1:40" x14ac:dyDescent="0.25">
      <c r="A4962" t="str">
        <f>"20190312154935964"</f>
        <v>20190312154935964</v>
      </c>
      <c r="B4962" t="str">
        <f>"1552376975960700"</f>
        <v>1552376975960700</v>
      </c>
      <c r="C4962" t="s">
        <v>40</v>
      </c>
      <c r="D4962">
        <v>4.1692400000000003</v>
      </c>
      <c r="E4962">
        <v>0.42498970000000003</v>
      </c>
      <c r="F4962" t="s">
        <v>42</v>
      </c>
      <c r="G4962">
        <v>-423.57319999999999</v>
      </c>
      <c r="H4962" s="1">
        <v>-4.8409219999999999E-6</v>
      </c>
      <c r="I4962">
        <v>119.34950000000001</v>
      </c>
      <c r="J4962">
        <v>-403.6918</v>
      </c>
      <c r="K4962">
        <v>1.1117939999999999</v>
      </c>
      <c r="L4962">
        <v>133.02099999999999</v>
      </c>
      <c r="M4962">
        <v>-0.9196936</v>
      </c>
      <c r="N4962">
        <v>0</v>
      </c>
      <c r="O4962">
        <v>-0.39248460000000002</v>
      </c>
      <c r="P4962">
        <v>-0.91973859999999996</v>
      </c>
      <c r="Q4962">
        <v>8.3755069999999904E-3</v>
      </c>
      <c r="R4962">
        <v>-0.39244319999999999</v>
      </c>
      <c r="S4962">
        <v>-2.526672</v>
      </c>
      <c r="T4962">
        <v>-0.13963970000000001</v>
      </c>
      <c r="U4962">
        <v>-1.730164</v>
      </c>
      <c r="V4962" s="1">
        <v>-4.1456599999999999E-5</v>
      </c>
      <c r="W4962">
        <v>1.9330079999999999E-2</v>
      </c>
      <c r="X4962">
        <v>0.99981310000000001</v>
      </c>
      <c r="Y4962">
        <v>-0.19596949999999999</v>
      </c>
      <c r="Z4962">
        <v>1.3740270000000001E-2</v>
      </c>
      <c r="AA4962">
        <v>0.98051379999999999</v>
      </c>
      <c r="AB4962">
        <v>26</v>
      </c>
      <c r="AC4962">
        <v>-19.8813999999999</v>
      </c>
      <c r="AD4962">
        <v>-1.1117988409220001</v>
      </c>
      <c r="AE4962">
        <v>-13.6715</v>
      </c>
      <c r="AF4962">
        <v>-4.7606249774112701</v>
      </c>
      <c r="AG4962">
        <v>-1.1117988409220001</v>
      </c>
      <c r="AH4962">
        <v>23.601950893878701</v>
      </c>
      <c r="AI4962">
        <v>92.6438265081201</v>
      </c>
      <c r="AJ4962">
        <v>101.403818397419</v>
      </c>
      <c r="AK4962">
        <v>24.102940335886199</v>
      </c>
      <c r="AL4962">
        <v>88.892398953149495</v>
      </c>
      <c r="AM4962">
        <v>90.002375732235905</v>
      </c>
      <c r="AN4962">
        <v>0.99999994432153105</v>
      </c>
    </row>
    <row r="4963" spans="1:40" x14ac:dyDescent="0.25">
      <c r="A4963" t="str">
        <f>"20190312154935987"</f>
        <v>20190312154935987</v>
      </c>
      <c r="B4963" t="str">
        <f>"1552376975980219"</f>
        <v>1552376975980219</v>
      </c>
      <c r="C4963" t="s">
        <v>40</v>
      </c>
      <c r="D4963">
        <v>4.2040240000000004</v>
      </c>
      <c r="E4963">
        <v>0.42530030000000002</v>
      </c>
      <c r="F4963" t="s">
        <v>42</v>
      </c>
      <c r="G4963">
        <v>-424.089</v>
      </c>
      <c r="H4963" s="1">
        <v>-4.8024729999999996E-6</v>
      </c>
      <c r="I4963">
        <v>118.96769999999999</v>
      </c>
      <c r="J4963">
        <v>-403.92680000000001</v>
      </c>
      <c r="K4963">
        <v>1.1119619999999999</v>
      </c>
      <c r="L4963">
        <v>132.91679999999999</v>
      </c>
      <c r="M4963">
        <v>-0.91840849999999996</v>
      </c>
      <c r="N4963">
        <v>0</v>
      </c>
      <c r="O4963">
        <v>-0.39548119999999998</v>
      </c>
      <c r="P4963">
        <v>-0.91889270000000001</v>
      </c>
      <c r="Q4963">
        <v>9.9599530000000006E-3</v>
      </c>
      <c r="R4963">
        <v>-0.39438129999999999</v>
      </c>
      <c r="S4963">
        <v>-2.5217290000000001</v>
      </c>
      <c r="T4963">
        <v>-0.13745280000000001</v>
      </c>
      <c r="U4963">
        <v>-1.7374270000000001</v>
      </c>
      <c r="V4963">
        <v>1.0881759999999999E-3</v>
      </c>
      <c r="W4963">
        <v>2.094099E-2</v>
      </c>
      <c r="X4963">
        <v>0.99978009999999995</v>
      </c>
      <c r="Y4963">
        <v>-0.1955826</v>
      </c>
      <c r="Z4963">
        <v>1.367351E-2</v>
      </c>
      <c r="AA4963">
        <v>0.98059189999999996</v>
      </c>
      <c r="AB4963">
        <v>26</v>
      </c>
      <c r="AC4963">
        <v>-20.162199999999899</v>
      </c>
      <c r="AD4963">
        <v>-1.1119668024730001</v>
      </c>
      <c r="AE4963">
        <v>-13.9491</v>
      </c>
      <c r="AF4963">
        <v>-4.8275618058372096</v>
      </c>
      <c r="AG4963">
        <v>-1.1119668024730001</v>
      </c>
      <c r="AH4963">
        <v>23.9858503258836</v>
      </c>
      <c r="AI4963">
        <v>92.602182706194895</v>
      </c>
      <c r="AJ4963">
        <v>101.37972095140999</v>
      </c>
      <c r="AK4963">
        <v>24.4920974809156</v>
      </c>
      <c r="AL4963">
        <v>88.800081918777195</v>
      </c>
      <c r="AM4963">
        <v>89.937638419140995</v>
      </c>
      <c r="AN4963">
        <v>0.99999997877259805</v>
      </c>
    </row>
    <row r="4964" spans="1:40" x14ac:dyDescent="0.25">
      <c r="A4964" t="str">
        <f>"20190312154936008"</f>
        <v>20190312154936008</v>
      </c>
      <c r="B4964" t="str">
        <f>"1552376976000714"</f>
        <v>1552376976000714</v>
      </c>
      <c r="C4964" t="s">
        <v>40</v>
      </c>
      <c r="D4964">
        <v>4.2008099999999997</v>
      </c>
      <c r="E4964">
        <v>0.4255738</v>
      </c>
      <c r="F4964" t="s">
        <v>42</v>
      </c>
      <c r="G4964">
        <v>-425.0455</v>
      </c>
      <c r="H4964" s="1">
        <v>-4.7534400000000004E-6</v>
      </c>
      <c r="I4964">
        <v>118.325</v>
      </c>
      <c r="J4964">
        <v>-404.15870000000001</v>
      </c>
      <c r="K4964">
        <v>1.1121430000000001</v>
      </c>
      <c r="L4964">
        <v>132.81280000000001</v>
      </c>
      <c r="M4964">
        <v>-0.9170258</v>
      </c>
      <c r="N4964">
        <v>0</v>
      </c>
      <c r="O4964">
        <v>-0.39867619999999998</v>
      </c>
      <c r="P4964">
        <v>-0.91759040000000003</v>
      </c>
      <c r="Q4964">
        <v>1.117162E-2</v>
      </c>
      <c r="R4964">
        <v>-0.39737040000000001</v>
      </c>
      <c r="S4964">
        <v>-2.5191650000000001</v>
      </c>
      <c r="T4964">
        <v>-0.13264210000000001</v>
      </c>
      <c r="U4964">
        <v>-1.7406009999999901</v>
      </c>
      <c r="V4964">
        <v>1.2930559999999999E-3</v>
      </c>
      <c r="W4964">
        <v>2.217713E-2</v>
      </c>
      <c r="X4964">
        <v>0.99975320000000001</v>
      </c>
      <c r="Y4964">
        <v>-0.193463</v>
      </c>
      <c r="Z4964">
        <v>1.338435E-2</v>
      </c>
      <c r="AA4964">
        <v>0.98101629999999995</v>
      </c>
      <c r="AB4964">
        <v>26</v>
      </c>
      <c r="AC4964">
        <v>-20.886799999999901</v>
      </c>
      <c r="AD4964">
        <v>-1.1121477534399999</v>
      </c>
      <c r="AE4964">
        <v>-14.4878</v>
      </c>
      <c r="AF4964">
        <v>-4.94944203314604</v>
      </c>
      <c r="AG4964">
        <v>-1.1121477534399999</v>
      </c>
      <c r="AH4964">
        <v>24.883551317835</v>
      </c>
      <c r="AI4964">
        <v>92.509975256355702</v>
      </c>
      <c r="AJ4964">
        <v>101.24954800422699</v>
      </c>
      <c r="AK4964">
        <v>25.395373107168201</v>
      </c>
      <c r="AL4964">
        <v>88.729239842789895</v>
      </c>
      <c r="AM4964">
        <v>89.925895100747894</v>
      </c>
      <c r="AN4964">
        <v>0.99999997899954696</v>
      </c>
    </row>
    <row r="4965" spans="1:40" x14ac:dyDescent="0.25">
      <c r="A4965" t="str">
        <f>"20190312154936030"</f>
        <v>20190312154936030</v>
      </c>
      <c r="B4965" t="str">
        <f>"1552376976020235"</f>
        <v>1552376976020235</v>
      </c>
      <c r="C4965" t="s">
        <v>40</v>
      </c>
      <c r="D4965">
        <v>4.221355</v>
      </c>
      <c r="E4965">
        <v>0.425815</v>
      </c>
      <c r="F4965" t="s">
        <v>42</v>
      </c>
      <c r="G4965">
        <v>-425.66719999999998</v>
      </c>
      <c r="H4965" s="1">
        <v>-4.7075950000000001E-6</v>
      </c>
      <c r="I4965">
        <v>117.86620000000001</v>
      </c>
      <c r="J4965">
        <v>-404.39010000000002</v>
      </c>
      <c r="K4965">
        <v>1.112311</v>
      </c>
      <c r="L4965">
        <v>132.70779999999999</v>
      </c>
      <c r="M4965">
        <v>-0.91554449999999998</v>
      </c>
      <c r="N4965">
        <v>0</v>
      </c>
      <c r="O4965">
        <v>-0.40206629999999999</v>
      </c>
      <c r="P4965">
        <v>-0.91594960000000003</v>
      </c>
      <c r="Q4965">
        <v>1.1323629999999999E-2</v>
      </c>
      <c r="R4965">
        <v>-0.40113399999999999</v>
      </c>
      <c r="S4965">
        <v>-2.5143430000000002</v>
      </c>
      <c r="T4965">
        <v>-0.13000989999999901</v>
      </c>
      <c r="U4965">
        <v>-1.7472529999999999</v>
      </c>
      <c r="V4965">
        <v>8.7662979999999905E-4</v>
      </c>
      <c r="W4965">
        <v>2.2349230000000001E-2</v>
      </c>
      <c r="X4965">
        <v>0.99974980000000002</v>
      </c>
      <c r="Y4965">
        <v>-0.19246170000000001</v>
      </c>
      <c r="Z4965">
        <v>1.3289789999999999E-2</v>
      </c>
      <c r="AA4965">
        <v>0.98121449999999999</v>
      </c>
      <c r="AB4965">
        <v>26</v>
      </c>
      <c r="AC4965">
        <v>-21.277099999999901</v>
      </c>
      <c r="AD4965">
        <v>-1.1123157075949901</v>
      </c>
      <c r="AE4965">
        <v>-14.8415999999999</v>
      </c>
      <c r="AF4965">
        <v>-5.0244077632558204</v>
      </c>
      <c r="AG4965">
        <v>-1.1123157075949901</v>
      </c>
      <c r="AH4965">
        <v>25.402277776636399</v>
      </c>
      <c r="AI4965">
        <v>92.459675419507704</v>
      </c>
      <c r="AJ4965">
        <v>101.188325410018</v>
      </c>
      <c r="AK4965">
        <v>25.918287671955198</v>
      </c>
      <c r="AL4965">
        <v>88.719376769435101</v>
      </c>
      <c r="AM4965">
        <v>89.949760255152995</v>
      </c>
      <c r="AN4965">
        <v>0.99999995958071797</v>
      </c>
    </row>
    <row r="4966" spans="1:40" x14ac:dyDescent="0.25">
      <c r="A4966" t="str">
        <f>"20190312154936053"</f>
        <v>20190312154936053</v>
      </c>
      <c r="B4966" t="str">
        <f>"1552376976040730"</f>
        <v>1552376976040730</v>
      </c>
      <c r="C4966" t="s">
        <v>40</v>
      </c>
      <c r="D4966">
        <v>4.2440870000000004</v>
      </c>
      <c r="E4966">
        <v>0.4260369</v>
      </c>
      <c r="F4966" t="s">
        <v>42</v>
      </c>
      <c r="G4966">
        <v>-425.4425</v>
      </c>
      <c r="H4966" s="1">
        <v>-4.7045609999999998E-6</v>
      </c>
      <c r="I4966">
        <v>117.97450000000001</v>
      </c>
      <c r="J4966">
        <v>-404.62599999999998</v>
      </c>
      <c r="K4966">
        <v>1.1124579999999999</v>
      </c>
      <c r="L4966">
        <v>132.5994</v>
      </c>
      <c r="M4966">
        <v>-0.91392269999999998</v>
      </c>
      <c r="N4966">
        <v>0</v>
      </c>
      <c r="O4966">
        <v>-0.40573819999999999</v>
      </c>
      <c r="P4966">
        <v>-0.91391350000000005</v>
      </c>
      <c r="Q4966">
        <v>1.1562889999999999E-2</v>
      </c>
      <c r="R4966">
        <v>-0.40574490000000002</v>
      </c>
      <c r="S4966">
        <v>-2.5081479999999998</v>
      </c>
      <c r="T4966">
        <v>-0.13251949999999901</v>
      </c>
      <c r="U4966">
        <v>-1.7553099999999999</v>
      </c>
      <c r="V4966">
        <v>-1.6000159999999999E-4</v>
      </c>
      <c r="W4966">
        <v>2.26038E-2</v>
      </c>
      <c r="X4966">
        <v>0.99974450000000004</v>
      </c>
      <c r="Y4966">
        <v>-0.19178580000000001</v>
      </c>
      <c r="Z4966">
        <v>1.372755E-2</v>
      </c>
      <c r="AA4966">
        <v>0.98134080000000001</v>
      </c>
      <c r="AB4966">
        <v>26</v>
      </c>
      <c r="AC4966">
        <v>-20.816500000000001</v>
      </c>
      <c r="AD4966">
        <v>-1.112462704561</v>
      </c>
      <c r="AE4966">
        <v>-14.624899999999901</v>
      </c>
      <c r="AF4966">
        <v>-4.91088816496476</v>
      </c>
      <c r="AG4966">
        <v>-1.112462704561</v>
      </c>
      <c r="AH4966">
        <v>24.912436339844302</v>
      </c>
      <c r="AI4966">
        <v>92.508626580407395</v>
      </c>
      <c r="AJ4966">
        <v>101.151508951319</v>
      </c>
      <c r="AK4966">
        <v>25.416212940259701</v>
      </c>
      <c r="AL4966">
        <v>88.704787363529107</v>
      </c>
      <c r="AM4966">
        <v>90.009169759190499</v>
      </c>
      <c r="AN4966">
        <v>1.0000000113276</v>
      </c>
    </row>
    <row r="4967" spans="1:40" x14ac:dyDescent="0.25">
      <c r="A4967" t="str">
        <f>"20190312154936074"</f>
        <v>20190312154936074</v>
      </c>
      <c r="B4967" t="str">
        <f>"1552376976070987"</f>
        <v>1552376976070987</v>
      </c>
      <c r="C4967" t="s">
        <v>40</v>
      </c>
      <c r="D4967">
        <v>4.2379499999999997</v>
      </c>
      <c r="E4967">
        <v>0.42631930000000001</v>
      </c>
      <c r="F4967" t="s">
        <v>42</v>
      </c>
      <c r="G4967">
        <v>-425.3356</v>
      </c>
      <c r="H4967" s="1">
        <v>-4.682558E-6</v>
      </c>
      <c r="I4967">
        <v>117.96550000000001</v>
      </c>
      <c r="J4967">
        <v>-404.85210000000001</v>
      </c>
      <c r="K4967">
        <v>1.112603</v>
      </c>
      <c r="L4967">
        <v>132.49420000000001</v>
      </c>
      <c r="M4967">
        <v>-0.9122576</v>
      </c>
      <c r="N4967">
        <v>0</v>
      </c>
      <c r="O4967">
        <v>-0.40946759999999999</v>
      </c>
      <c r="P4967">
        <v>-0.9115048</v>
      </c>
      <c r="Q4967">
        <v>1.090555E-2</v>
      </c>
      <c r="R4967">
        <v>-0.41114529999999999</v>
      </c>
      <c r="S4967">
        <v>-2.4999690000000001</v>
      </c>
      <c r="T4967">
        <v>-0.13429160000000001</v>
      </c>
      <c r="U4967">
        <v>-1.7665409999999999</v>
      </c>
      <c r="V4967">
        <v>-1.992523E-3</v>
      </c>
      <c r="W4967">
        <v>2.1954029999999999E-2</v>
      </c>
      <c r="X4967">
        <v>0.99975700000000001</v>
      </c>
      <c r="Y4967">
        <v>-0.19223750000000001</v>
      </c>
      <c r="Z4967">
        <v>1.4073250000000001E-2</v>
      </c>
      <c r="AA4967">
        <v>0.98124750000000005</v>
      </c>
      <c r="AB4967">
        <v>26</v>
      </c>
      <c r="AC4967">
        <v>-20.4834999999999</v>
      </c>
      <c r="AD4967">
        <v>-1.112607682558</v>
      </c>
      <c r="AE4967">
        <v>-14.528700000000001</v>
      </c>
      <c r="AF4967">
        <v>-4.8573508278822297</v>
      </c>
      <c r="AG4967">
        <v>-1.112607682558</v>
      </c>
      <c r="AH4967">
        <v>24.588503769231501</v>
      </c>
      <c r="AI4967">
        <v>92.541761000674896</v>
      </c>
      <c r="AJ4967">
        <v>101.174651051787</v>
      </c>
      <c r="AK4967">
        <v>25.0883692281888</v>
      </c>
      <c r="AL4967">
        <v>88.742025676363198</v>
      </c>
      <c r="AM4967">
        <v>90.114190755681705</v>
      </c>
      <c r="AN4967">
        <v>1.0000000043150701</v>
      </c>
    </row>
    <row r="4968" spans="1:40" x14ac:dyDescent="0.25">
      <c r="A4968" t="str">
        <f>"20190312154936097"</f>
        <v>20190312154936097</v>
      </c>
      <c r="B4968" t="str">
        <f>"1552376976090507"</f>
        <v>1552376976090507</v>
      </c>
      <c r="C4968" t="s">
        <v>40</v>
      </c>
      <c r="D4968">
        <v>4.2170610000000002</v>
      </c>
      <c r="E4968">
        <v>0.42652990000000002</v>
      </c>
      <c r="F4968" t="s">
        <v>42</v>
      </c>
      <c r="G4968">
        <v>-424.5455</v>
      </c>
      <c r="H4968" s="1">
        <v>-4.6988779999999998E-6</v>
      </c>
      <c r="I4968">
        <v>118.42529999999999</v>
      </c>
      <c r="J4968">
        <v>-405.08600000000001</v>
      </c>
      <c r="K4968">
        <v>1.1127549999999999</v>
      </c>
      <c r="L4968">
        <v>132.38399999999999</v>
      </c>
      <c r="M4968">
        <v>-0.91041989999999995</v>
      </c>
      <c r="N4968">
        <v>0</v>
      </c>
      <c r="O4968">
        <v>-0.41353679999999898</v>
      </c>
      <c r="P4968">
        <v>-0.90867109999999995</v>
      </c>
      <c r="Q4968">
        <v>1.051275E-2</v>
      </c>
      <c r="R4968">
        <v>-0.417381</v>
      </c>
      <c r="S4968">
        <v>-2.4903870000000001</v>
      </c>
      <c r="T4968">
        <v>-0.14069860000000001</v>
      </c>
      <c r="U4968">
        <v>-1.779129</v>
      </c>
      <c r="V4968">
        <v>-4.3823559999999996E-3</v>
      </c>
      <c r="W4968">
        <v>2.1564549999999998E-2</v>
      </c>
      <c r="X4968">
        <v>0.99975780000000003</v>
      </c>
      <c r="Y4968">
        <v>-0.1929449</v>
      </c>
      <c r="Z4968">
        <v>1.492626E-2</v>
      </c>
      <c r="AA4968">
        <v>0.98109599999999997</v>
      </c>
      <c r="AB4968">
        <v>26</v>
      </c>
      <c r="AC4968">
        <v>-19.459499999999899</v>
      </c>
      <c r="AD4968">
        <v>-1.112759698878</v>
      </c>
      <c r="AE4968">
        <v>-13.958699999999901</v>
      </c>
      <c r="AF4968">
        <v>-4.6513031508678297</v>
      </c>
      <c r="AG4968">
        <v>-1.112759698878</v>
      </c>
      <c r="AH4968">
        <v>23.439589453012999</v>
      </c>
      <c r="AI4968">
        <v>92.666083434044495</v>
      </c>
      <c r="AJ4968">
        <v>101.22384788716199</v>
      </c>
      <c r="AK4968">
        <v>23.9225251358321</v>
      </c>
      <c r="AL4968">
        <v>88.764346450198801</v>
      </c>
      <c r="AM4968">
        <v>90.251149723425002</v>
      </c>
      <c r="AN4968">
        <v>0.99999994676082504</v>
      </c>
    </row>
    <row r="4969" spans="1:40" x14ac:dyDescent="0.25">
      <c r="A4969" t="str">
        <f>"20190312154936119"</f>
        <v>20190312154936119</v>
      </c>
      <c r="B4969" t="str">
        <f>"1552376976111004"</f>
        <v>1552376976111004</v>
      </c>
      <c r="C4969" t="s">
        <v>40</v>
      </c>
      <c r="D4969">
        <v>4.1768869999999998</v>
      </c>
      <c r="E4969">
        <v>0.4266933</v>
      </c>
      <c r="F4969" t="s">
        <v>42</v>
      </c>
      <c r="G4969">
        <v>-424.13529999999997</v>
      </c>
      <c r="H4969" s="1">
        <v>-4.6846050000000004E-6</v>
      </c>
      <c r="I4969">
        <v>118.5972</v>
      </c>
      <c r="J4969">
        <v>-405.3152</v>
      </c>
      <c r="K4969">
        <v>1.11291299999999</v>
      </c>
      <c r="L4969">
        <v>132.27449999999999</v>
      </c>
      <c r="M4969">
        <v>-0.90850679999999995</v>
      </c>
      <c r="N4969">
        <v>0</v>
      </c>
      <c r="O4969">
        <v>-0.4177225</v>
      </c>
      <c r="P4969">
        <v>-0.90603520000000004</v>
      </c>
      <c r="Q4969">
        <v>1.028652E-2</v>
      </c>
      <c r="R4969">
        <v>-0.4230775</v>
      </c>
      <c r="S4969">
        <v>-2.4790649999999999</v>
      </c>
      <c r="T4969">
        <v>-0.144814</v>
      </c>
      <c r="U4969">
        <v>-1.7942049999999901</v>
      </c>
      <c r="V4969">
        <v>-6.0637759999999999E-3</v>
      </c>
      <c r="W4969">
        <v>2.134573E-2</v>
      </c>
      <c r="X4969">
        <v>0.99975380000000003</v>
      </c>
      <c r="Y4969">
        <v>-0.19448570000000001</v>
      </c>
      <c r="Z4969">
        <v>1.5536919999999999E-2</v>
      </c>
      <c r="AA4969">
        <v>0.9807823</v>
      </c>
      <c r="AB4969">
        <v>26</v>
      </c>
      <c r="AC4969">
        <v>-18.820099999999901</v>
      </c>
      <c r="AD4969">
        <v>-1.11291768460499</v>
      </c>
      <c r="AE4969">
        <v>-13.677299999999899</v>
      </c>
      <c r="AF4969">
        <v>-4.5542008079576997</v>
      </c>
      <c r="AG4969">
        <v>-1.11291768460499</v>
      </c>
      <c r="AH4969">
        <v>22.760827307480401</v>
      </c>
      <c r="AI4969">
        <v>92.744991714135907</v>
      </c>
      <c r="AJ4969">
        <v>101.314858901867</v>
      </c>
      <c r="AK4969">
        <v>23.238644334230301</v>
      </c>
      <c r="AL4969">
        <v>88.776886908057705</v>
      </c>
      <c r="AM4969">
        <v>90.347510069441498</v>
      </c>
      <c r="AN4969">
        <v>1.0000000350915199</v>
      </c>
    </row>
    <row r="4970" spans="1:40" x14ac:dyDescent="0.25">
      <c r="A4970" t="str">
        <f>"20190312154936143"</f>
        <v>20190312154936143</v>
      </c>
      <c r="B4970" t="str">
        <f>"1552376976130523"</f>
        <v>1552376976130523</v>
      </c>
      <c r="C4970" t="s">
        <v>40</v>
      </c>
      <c r="D4970">
        <v>4.2014209999999999</v>
      </c>
      <c r="E4970">
        <v>0.42700149999999998</v>
      </c>
      <c r="F4970" t="s">
        <v>42</v>
      </c>
      <c r="G4970">
        <v>-423.87470000000002</v>
      </c>
      <c r="H4970" s="1">
        <v>-4.6667599999999997E-6</v>
      </c>
      <c r="I4970">
        <v>118.6806</v>
      </c>
      <c r="J4970">
        <v>-405.55290000000002</v>
      </c>
      <c r="K4970">
        <v>1.1130819999999999</v>
      </c>
      <c r="L4970">
        <v>132.1593</v>
      </c>
      <c r="M4970">
        <v>-0.90640319999999996</v>
      </c>
      <c r="N4970">
        <v>0</v>
      </c>
      <c r="O4970">
        <v>-0.422267</v>
      </c>
      <c r="P4970">
        <v>-0.90338890000000005</v>
      </c>
      <c r="Q4970">
        <v>9.4393879999999999E-3</v>
      </c>
      <c r="R4970">
        <v>-0.42871870000000001</v>
      </c>
      <c r="S4970">
        <v>-2.4685359999999998</v>
      </c>
      <c r="T4970">
        <v>-0.1480252</v>
      </c>
      <c r="U4970">
        <v>-1.8080750000000001</v>
      </c>
      <c r="V4970">
        <v>-7.2885909999999996E-3</v>
      </c>
      <c r="W4970">
        <v>2.0509059999999999E-2</v>
      </c>
      <c r="X4970">
        <v>0.99976310000000002</v>
      </c>
      <c r="Y4970">
        <v>-0.1951668</v>
      </c>
      <c r="Z4970">
        <v>1.609706E-2</v>
      </c>
      <c r="AA4970">
        <v>0.98063800000000001</v>
      </c>
      <c r="AB4970">
        <v>26</v>
      </c>
      <c r="AC4970">
        <v>-18.3218</v>
      </c>
      <c r="AD4970">
        <v>-1.1130866667599999</v>
      </c>
      <c r="AE4970">
        <v>-13.4787</v>
      </c>
      <c r="AF4970">
        <v>-4.47001808018664</v>
      </c>
      <c r="AG4970">
        <v>-1.1130866667599999</v>
      </c>
      <c r="AH4970">
        <v>22.2466535944288</v>
      </c>
      <c r="AI4970">
        <v>92.808306099644298</v>
      </c>
      <c r="AJ4970">
        <v>101.361153930924</v>
      </c>
      <c r="AK4970">
        <v>22.718574332810299</v>
      </c>
      <c r="AL4970">
        <v>88.8248350278337</v>
      </c>
      <c r="AM4970">
        <v>90.417697057164006</v>
      </c>
      <c r="AN4970">
        <v>1.00000000061122</v>
      </c>
    </row>
    <row r="4971" spans="1:40" x14ac:dyDescent="0.25">
      <c r="A4971" t="str">
        <f>"20190312154936165"</f>
        <v>20190312154936165</v>
      </c>
      <c r="B4971" t="str">
        <f>"1552376976151019"</f>
        <v>1552376976151019</v>
      </c>
      <c r="C4971" t="s">
        <v>40</v>
      </c>
      <c r="D4971">
        <v>4.2024819999999998</v>
      </c>
      <c r="E4971">
        <v>0.4273053</v>
      </c>
      <c r="F4971" t="s">
        <v>42</v>
      </c>
      <c r="G4971">
        <v>-423.47640000000001</v>
      </c>
      <c r="H4971" s="1">
        <v>-4.664249E-6</v>
      </c>
      <c r="I4971">
        <v>118.88079999999999</v>
      </c>
      <c r="J4971">
        <v>-405.78429999999997</v>
      </c>
      <c r="K4971">
        <v>1.1132569999999999</v>
      </c>
      <c r="L4971">
        <v>132.0455</v>
      </c>
      <c r="M4971">
        <v>-0.90423140000000002</v>
      </c>
      <c r="N4971">
        <v>0</v>
      </c>
      <c r="O4971">
        <v>-0.42689719999999998</v>
      </c>
      <c r="P4971">
        <v>-0.90080389999999999</v>
      </c>
      <c r="Q4971">
        <v>8.9492519999999996E-3</v>
      </c>
      <c r="R4971">
        <v>-0.43413390000000002</v>
      </c>
      <c r="S4971">
        <v>-2.458221</v>
      </c>
      <c r="T4971">
        <v>-0.1526605</v>
      </c>
      <c r="U4971">
        <v>-1.8211520000000001</v>
      </c>
      <c r="V4971">
        <v>-8.1796660000000004E-3</v>
      </c>
      <c r="W4971">
        <v>2.0030889999999999E-2</v>
      </c>
      <c r="X4971">
        <v>0.99976589999999999</v>
      </c>
      <c r="Y4971">
        <v>-0.1955046</v>
      </c>
      <c r="Z4971">
        <v>1.6837049999999999E-2</v>
      </c>
      <c r="AA4971">
        <v>0.98055820000000005</v>
      </c>
      <c r="AB4971">
        <v>26</v>
      </c>
      <c r="AC4971">
        <v>-17.6921</v>
      </c>
      <c r="AD4971">
        <v>-1.1132616642490001</v>
      </c>
      <c r="AE4971">
        <v>-13.1647</v>
      </c>
      <c r="AF4971">
        <v>-4.3404364388714303</v>
      </c>
      <c r="AG4971">
        <v>-1.1132616642490001</v>
      </c>
      <c r="AH4971">
        <v>21.564115564063901</v>
      </c>
      <c r="AI4971">
        <v>92.897302951553698</v>
      </c>
      <c r="AJ4971">
        <v>101.380461715076</v>
      </c>
      <c r="AK4971">
        <v>22.024754710853699</v>
      </c>
      <c r="AL4971">
        <v>88.8522377793755</v>
      </c>
      <c r="AM4971">
        <v>90.468759619568999</v>
      </c>
      <c r="AN4971">
        <v>0.999999999146436</v>
      </c>
    </row>
    <row r="4972" spans="1:40" x14ac:dyDescent="0.25">
      <c r="A4972" t="str">
        <f>"20190312154936188"</f>
        <v>20190312154936188</v>
      </c>
      <c r="B4972" t="str">
        <f>"1552376976180299"</f>
        <v>1552376976180299</v>
      </c>
      <c r="C4972" t="s">
        <v>40</v>
      </c>
      <c r="D4972">
        <v>4.2018589999999998</v>
      </c>
      <c r="E4972">
        <v>0.43425360000000002</v>
      </c>
      <c r="F4972" t="s">
        <v>42</v>
      </c>
      <c r="G4972">
        <v>-423.23289999999997</v>
      </c>
      <c r="H4972" s="1">
        <v>-4.6538180000000003E-6</v>
      </c>
      <c r="I4972">
        <v>118.97709999999999</v>
      </c>
      <c r="J4972">
        <v>-406.01749999999998</v>
      </c>
      <c r="K4972">
        <v>1.113432</v>
      </c>
      <c r="L4972">
        <v>131.9288</v>
      </c>
      <c r="M4972">
        <v>-0.90189699999999995</v>
      </c>
      <c r="N4972">
        <v>0</v>
      </c>
      <c r="O4972">
        <v>-0.431807</v>
      </c>
      <c r="P4972">
        <v>-0.89774989999999999</v>
      </c>
      <c r="Q4972">
        <v>9.736616E-3</v>
      </c>
      <c r="R4972">
        <v>-0.44039859999999997</v>
      </c>
      <c r="S4972">
        <v>-2.448242</v>
      </c>
      <c r="T4972">
        <v>-0.15620319999999999</v>
      </c>
      <c r="U4972">
        <v>-1.8336490000000001</v>
      </c>
      <c r="V4972">
        <v>-9.7279020000000001E-3</v>
      </c>
      <c r="W4972">
        <v>2.0824659999999998E-2</v>
      </c>
      <c r="X4972">
        <v>0.99973579999999995</v>
      </c>
      <c r="Y4972">
        <v>-0.19531309999999999</v>
      </c>
      <c r="Z4972">
        <v>1.749699E-2</v>
      </c>
      <c r="AA4972">
        <v>0.98058489999999998</v>
      </c>
      <c r="AB4972">
        <v>26</v>
      </c>
      <c r="AC4972">
        <v>-17.215399999999899</v>
      </c>
      <c r="AD4972">
        <v>-1.1134366538180001</v>
      </c>
      <c r="AE4972">
        <v>-12.951700000000001</v>
      </c>
      <c r="AF4972">
        <v>-4.2363176161082601</v>
      </c>
      <c r="AG4972">
        <v>-1.1134366538180001</v>
      </c>
      <c r="AH4972">
        <v>21.0642009155446</v>
      </c>
      <c r="AI4972">
        <v>92.9665034093629</v>
      </c>
      <c r="AJ4972">
        <v>101.371323044863</v>
      </c>
      <c r="AK4972">
        <v>21.514801610450501</v>
      </c>
      <c r="AL4972">
        <v>88.806748597197398</v>
      </c>
      <c r="AM4972">
        <v>90.557497429020998</v>
      </c>
      <c r="AN4972">
        <v>0.99999998417153801</v>
      </c>
    </row>
    <row r="4973" spans="1:40" x14ac:dyDescent="0.25">
      <c r="A4973" t="str">
        <f>"20190312154936208"</f>
        <v>20190312154936208</v>
      </c>
      <c r="B4973" t="str">
        <f>"1552376976200795"</f>
        <v>1552376976200795</v>
      </c>
      <c r="C4973" t="s">
        <v>40</v>
      </c>
      <c r="D4973">
        <v>4.1827009999999998</v>
      </c>
      <c r="E4973">
        <v>0.43438009999999999</v>
      </c>
      <c r="F4973" t="s">
        <v>63</v>
      </c>
      <c r="G4973">
        <v>-420.48309999999998</v>
      </c>
      <c r="H4973" s="1">
        <v>-1.230019E-6</v>
      </c>
      <c r="I4973">
        <v>121.33150000000001</v>
      </c>
      <c r="J4973">
        <v>-406.2321</v>
      </c>
      <c r="K4973">
        <v>1.113585</v>
      </c>
      <c r="L4973">
        <v>131.81989999999999</v>
      </c>
      <c r="M4973">
        <v>-0.89963979999999999</v>
      </c>
      <c r="N4973">
        <v>0</v>
      </c>
      <c r="O4973">
        <v>-0.43648910000000002</v>
      </c>
      <c r="P4973">
        <v>-0.89493199999999995</v>
      </c>
      <c r="Q4973">
        <v>1.0858680000000001E-2</v>
      </c>
      <c r="R4973">
        <v>-0.44607000000000002</v>
      </c>
      <c r="S4973">
        <v>-2.459778</v>
      </c>
      <c r="T4973">
        <v>-0.1893321</v>
      </c>
      <c r="U4973">
        <v>-1.8020020000000001</v>
      </c>
      <c r="V4973">
        <v>-1.0880799999999999E-2</v>
      </c>
      <c r="W4973">
        <v>2.1953549999999999E-2</v>
      </c>
      <c r="X4973">
        <v>0.99969980000000003</v>
      </c>
      <c r="Y4973">
        <v>-0.1799771</v>
      </c>
      <c r="Z4973">
        <v>2.2010129999999999E-2</v>
      </c>
      <c r="AA4973">
        <v>0.98342450000000003</v>
      </c>
      <c r="AB4973">
        <v>26</v>
      </c>
      <c r="AC4973">
        <v>-14.2509999999999</v>
      </c>
      <c r="AD4973">
        <v>-1.113586230019</v>
      </c>
      <c r="AE4973">
        <v>-10.488399999999899</v>
      </c>
      <c r="AF4973">
        <v>-3.2028921103042598</v>
      </c>
      <c r="AG4973">
        <v>-1.113586230019</v>
      </c>
      <c r="AH4973">
        <v>17.331287494959</v>
      </c>
      <c r="AI4973">
        <v>93.615317461663494</v>
      </c>
      <c r="AJ4973">
        <v>100.47036215433999</v>
      </c>
      <c r="AK4973">
        <v>17.659901426532901</v>
      </c>
      <c r="AL4973">
        <v>88.742053204881202</v>
      </c>
      <c r="AM4973">
        <v>90.6235865026037</v>
      </c>
      <c r="AN4973">
        <v>1.00000002014314</v>
      </c>
    </row>
    <row r="4974" spans="1:40" x14ac:dyDescent="0.25">
      <c r="A4974" t="str">
        <f>"20190312154936232"</f>
        <v>20190312154936232</v>
      </c>
      <c r="B4974" t="str">
        <f>"1552376976220315"</f>
        <v>1552376976220315</v>
      </c>
      <c r="C4974" t="s">
        <v>40</v>
      </c>
      <c r="D4974">
        <v>4.1070260000000003</v>
      </c>
      <c r="E4974">
        <v>0.41422360000000003</v>
      </c>
      <c r="F4974" t="s">
        <v>63</v>
      </c>
      <c r="G4974">
        <v>-420.76850000000002</v>
      </c>
      <c r="H4974" s="1">
        <v>-1.119077E-6</v>
      </c>
      <c r="I4974">
        <v>121.03749999999999</v>
      </c>
      <c r="J4974">
        <v>-406.46620000000001</v>
      </c>
      <c r="K4974">
        <v>1.11374</v>
      </c>
      <c r="L4974">
        <v>131.69919999999999</v>
      </c>
      <c r="M4974">
        <v>-0.89704660000000003</v>
      </c>
      <c r="N4974">
        <v>0</v>
      </c>
      <c r="O4974">
        <v>-0.44179370000000001</v>
      </c>
      <c r="P4974">
        <v>-0.8917138</v>
      </c>
      <c r="Q4974">
        <v>1.15533999999999E-2</v>
      </c>
      <c r="R4974">
        <v>-0.45245220000000003</v>
      </c>
      <c r="S4974">
        <v>-2.449036</v>
      </c>
      <c r="T4974">
        <v>-0.18761349999999999</v>
      </c>
      <c r="U4974">
        <v>-1.8165739999999999</v>
      </c>
      <c r="V4974">
        <v>-1.2139540000000001E-2</v>
      </c>
      <c r="W4974">
        <v>2.265576E-2</v>
      </c>
      <c r="X4974">
        <v>0.99966960000000005</v>
      </c>
      <c r="Y4974">
        <v>-0.18000820000000001</v>
      </c>
      <c r="Z4974">
        <v>2.2150300000000001E-2</v>
      </c>
      <c r="AA4974">
        <v>0.9834157</v>
      </c>
      <c r="AB4974">
        <v>26</v>
      </c>
      <c r="AC4974">
        <v>-14.302300000000001</v>
      </c>
      <c r="AD4974">
        <v>-1.1137411190769999</v>
      </c>
      <c r="AE4974">
        <v>-10.6616999999999</v>
      </c>
      <c r="AF4974">
        <v>-3.23297790738693</v>
      </c>
      <c r="AG4974">
        <v>-1.1137411190769999</v>
      </c>
      <c r="AH4974">
        <v>17.473095820088101</v>
      </c>
      <c r="AI4974">
        <v>93.586408603054593</v>
      </c>
      <c r="AJ4974">
        <v>100.482661320901</v>
      </c>
      <c r="AK4974">
        <v>17.804539953841999</v>
      </c>
      <c r="AL4974">
        <v>88.701809472282093</v>
      </c>
      <c r="AM4974">
        <v>90.695740093096802</v>
      </c>
      <c r="AN4974">
        <v>0.99999998052837402</v>
      </c>
    </row>
    <row r="4975" spans="1:40" x14ac:dyDescent="0.25">
      <c r="A4975" t="str">
        <f>"20190312154936254"</f>
        <v>20190312154936254</v>
      </c>
      <c r="B4975" t="str">
        <f>"1552376976250571"</f>
        <v>1552376976250571</v>
      </c>
      <c r="C4975" t="s">
        <v>40</v>
      </c>
      <c r="D4975">
        <v>4.0849390000000003</v>
      </c>
      <c r="E4975">
        <v>0.40243309999999999</v>
      </c>
      <c r="F4975" t="s">
        <v>42</v>
      </c>
      <c r="G4975">
        <v>-424.64960000000002</v>
      </c>
      <c r="H4975" s="1">
        <v>-4.0617109999999997E-6</v>
      </c>
      <c r="I4975">
        <v>116.4987</v>
      </c>
      <c r="J4975">
        <v>-406.69189999999998</v>
      </c>
      <c r="K4975">
        <v>1.1138939999999999</v>
      </c>
      <c r="L4975">
        <v>131.58090000000001</v>
      </c>
      <c r="M4975">
        <v>-0.89440140000000001</v>
      </c>
      <c r="N4975">
        <v>0</v>
      </c>
      <c r="O4975">
        <v>-0.44712390000000002</v>
      </c>
      <c r="P4975">
        <v>-0.88840969999999997</v>
      </c>
      <c r="Q4975">
        <v>9.7996899999999998E-3</v>
      </c>
      <c r="R4975">
        <v>-0.45894679999999999</v>
      </c>
      <c r="S4975">
        <v>-2.3635860000000002</v>
      </c>
      <c r="T4975">
        <v>-0.14477129999999999</v>
      </c>
      <c r="U4975">
        <v>-1.9758450000000001</v>
      </c>
      <c r="V4975">
        <v>-1.346665E-2</v>
      </c>
      <c r="W4975">
        <v>2.0913330000000001E-2</v>
      </c>
      <c r="X4975">
        <v>0.99969059999999998</v>
      </c>
      <c r="Y4975">
        <v>-0.23080110000000001</v>
      </c>
      <c r="Z4975">
        <v>1.6085370000000002E-2</v>
      </c>
      <c r="AA4975">
        <v>0.97286799999999996</v>
      </c>
      <c r="AB4975">
        <v>26</v>
      </c>
      <c r="AC4975">
        <v>-17.957699999999999</v>
      </c>
      <c r="AD4975">
        <v>-1.1138980617109999</v>
      </c>
      <c r="AE4975">
        <v>-15.0822</v>
      </c>
      <c r="AF4975">
        <v>-5.4482768457198203</v>
      </c>
      <c r="AG4975">
        <v>-1.1138980617109999</v>
      </c>
      <c r="AH4975">
        <v>22.755106253693601</v>
      </c>
      <c r="AI4975">
        <v>92.725566298175906</v>
      </c>
      <c r="AJ4975">
        <v>103.464901186102</v>
      </c>
      <c r="AK4975">
        <v>23.424759339134599</v>
      </c>
      <c r="AL4975">
        <v>88.801667100903202</v>
      </c>
      <c r="AM4975">
        <v>90.771774330047805</v>
      </c>
      <c r="AN4975">
        <v>1.0000000068811301</v>
      </c>
    </row>
    <row r="4976" spans="1:40" x14ac:dyDescent="0.25">
      <c r="A4976" t="str">
        <f>"20190312154936276"</f>
        <v>20190312154936276</v>
      </c>
      <c r="B4976" t="str">
        <f>"1552376976271067"</f>
        <v>1552376976271067</v>
      </c>
      <c r="C4976" t="s">
        <v>40</v>
      </c>
      <c r="D4976">
        <v>4.0911249999999999</v>
      </c>
      <c r="E4976">
        <v>0.39940310000000001</v>
      </c>
      <c r="F4976" t="s">
        <v>63</v>
      </c>
      <c r="G4976">
        <v>-419.3159</v>
      </c>
      <c r="H4976" s="1">
        <v>-4.632172E-7</v>
      </c>
      <c r="I4976">
        <v>120.2045</v>
      </c>
      <c r="J4976">
        <v>-406.92349999999999</v>
      </c>
      <c r="K4976">
        <v>1.114069</v>
      </c>
      <c r="L4976">
        <v>131.45740000000001</v>
      </c>
      <c r="M4976">
        <v>-0.89151919999999996</v>
      </c>
      <c r="N4976">
        <v>0</v>
      </c>
      <c r="O4976">
        <v>-0.45284229999999998</v>
      </c>
      <c r="P4976">
        <v>-0.88512659999999999</v>
      </c>
      <c r="Q4976">
        <v>7.1752739999999997E-3</v>
      </c>
      <c r="R4976">
        <v>-0.46529530000000002</v>
      </c>
      <c r="S4976">
        <v>-2.3056950000000001</v>
      </c>
      <c r="T4976">
        <v>-0.20344470000000001</v>
      </c>
      <c r="U4976">
        <v>-2.07782</v>
      </c>
      <c r="V4976">
        <v>-1.4192410000000001E-2</v>
      </c>
      <c r="W4976">
        <v>1.8312209999999999E-2</v>
      </c>
      <c r="X4976">
        <v>0.99973160000000005</v>
      </c>
      <c r="Y4976">
        <v>-0.26076159999999998</v>
      </c>
      <c r="Z4976">
        <v>2.1902109999999999E-2</v>
      </c>
      <c r="AA4976">
        <v>0.96515470000000003</v>
      </c>
      <c r="AB4976">
        <v>26</v>
      </c>
      <c r="AC4976">
        <v>-12.3924</v>
      </c>
      <c r="AD4976">
        <v>-1.1140694632171999</v>
      </c>
      <c r="AE4976">
        <v>-11.2529</v>
      </c>
      <c r="AF4976">
        <v>-4.4011599590078898</v>
      </c>
      <c r="AG4976">
        <v>-1.1140694632171999</v>
      </c>
      <c r="AH4976">
        <v>16.073681031757001</v>
      </c>
      <c r="AI4976">
        <v>93.8245041749569</v>
      </c>
      <c r="AJ4976">
        <v>105.312927820295</v>
      </c>
      <c r="AK4976">
        <v>16.702532193183</v>
      </c>
      <c r="AL4976">
        <v>88.950729022249206</v>
      </c>
      <c r="AM4976">
        <v>90.813328871742002</v>
      </c>
      <c r="AN4976">
        <v>1.00000001678762</v>
      </c>
    </row>
    <row r="4977" spans="1:40" x14ac:dyDescent="0.25">
      <c r="A4977" t="str">
        <f>"20190312154936298"</f>
        <v>20190312154936298</v>
      </c>
      <c r="B4977" t="str">
        <f>"1552376976290588"</f>
        <v>1552376976290588</v>
      </c>
      <c r="C4977" t="s">
        <v>40</v>
      </c>
      <c r="D4977">
        <v>4.0179220000000004</v>
      </c>
      <c r="E4977">
        <v>0.39892610000000001</v>
      </c>
      <c r="F4977" t="s">
        <v>63</v>
      </c>
      <c r="G4977">
        <v>-418.59059999999999</v>
      </c>
      <c r="H4977" s="1">
        <v>-8.308473E-7</v>
      </c>
      <c r="I4977">
        <v>120.624</v>
      </c>
      <c r="J4977">
        <v>-407.14210000000003</v>
      </c>
      <c r="K4977">
        <v>1.1142609999999999</v>
      </c>
      <c r="L4977">
        <v>131.33879999999999</v>
      </c>
      <c r="M4977">
        <v>-0.88862369999999902</v>
      </c>
      <c r="N4977">
        <v>0</v>
      </c>
      <c r="O4977">
        <v>-0.4584973</v>
      </c>
      <c r="P4977">
        <v>-0.88191629999999999</v>
      </c>
      <c r="Q4977">
        <v>5.2651649999999996E-3</v>
      </c>
      <c r="R4977">
        <v>-0.47137659999999998</v>
      </c>
      <c r="S4977">
        <v>-2.278778</v>
      </c>
      <c r="T4977">
        <v>-0.21759609999999999</v>
      </c>
      <c r="U4977">
        <v>-2.1159520000000001</v>
      </c>
      <c r="V4977">
        <v>-1.470345E-2</v>
      </c>
      <c r="W4977">
        <v>1.642708E-2</v>
      </c>
      <c r="X4977">
        <v>0.99975689999999995</v>
      </c>
      <c r="Y4977">
        <v>-0.26904260000000002</v>
      </c>
      <c r="Z4977">
        <v>2.3527449999999998E-2</v>
      </c>
      <c r="AA4977">
        <v>0.9628409</v>
      </c>
      <c r="AB4977">
        <v>26</v>
      </c>
      <c r="AC4977">
        <v>-11.4484999999999</v>
      </c>
      <c r="AD4977">
        <v>-1.1142618308473</v>
      </c>
      <c r="AE4977">
        <v>-10.714799999999901</v>
      </c>
      <c r="AF4977">
        <v>-4.2511260136146198</v>
      </c>
      <c r="AG4977">
        <v>-1.1142618308473</v>
      </c>
      <c r="AH4977">
        <v>15.0112805176148</v>
      </c>
      <c r="AI4977">
        <v>94.085106146643</v>
      </c>
      <c r="AJ4977">
        <v>105.811879468238</v>
      </c>
      <c r="AK4977">
        <v>15.641361660349</v>
      </c>
      <c r="AL4977">
        <v>89.058755263419499</v>
      </c>
      <c r="AM4977">
        <v>90.842589731353698</v>
      </c>
      <c r="AN4977">
        <v>0.99999994974841799</v>
      </c>
    </row>
    <row r="4978" spans="1:40" x14ac:dyDescent="0.25">
      <c r="A4978" t="str">
        <f>"20190312154936320"</f>
        <v>20190312154936320</v>
      </c>
      <c r="B4978" t="str">
        <f>"1552376976311083"</f>
        <v>1552376976311083</v>
      </c>
      <c r="C4978" t="s">
        <v>40</v>
      </c>
      <c r="D4978">
        <v>4.0137660000000004</v>
      </c>
      <c r="E4978">
        <v>0.39870870000000003</v>
      </c>
      <c r="F4978" t="s">
        <v>63</v>
      </c>
      <c r="G4978">
        <v>-418.30470000000003</v>
      </c>
      <c r="H4978" s="1">
        <v>-9.8316250000000009E-7</v>
      </c>
      <c r="I4978">
        <v>120.801</v>
      </c>
      <c r="J4978">
        <v>-407.36660000000001</v>
      </c>
      <c r="K4978">
        <v>1.114492</v>
      </c>
      <c r="L4978">
        <v>131.21469999999999</v>
      </c>
      <c r="M4978">
        <v>-0.88545599999999902</v>
      </c>
      <c r="N4978">
        <v>0</v>
      </c>
      <c r="O4978">
        <v>-0.46458440000000001</v>
      </c>
      <c r="P4978">
        <v>-0.878417</v>
      </c>
      <c r="Q4978">
        <v>5.6551429999999996E-3</v>
      </c>
      <c r="R4978">
        <v>-0.47786149999999999</v>
      </c>
      <c r="S4978">
        <v>-2.2618100000000001</v>
      </c>
      <c r="T4978">
        <v>-0.2257758</v>
      </c>
      <c r="U4978">
        <v>-2.135208</v>
      </c>
      <c r="V4978">
        <v>-1.5224390000000001E-2</v>
      </c>
      <c r="W4978">
        <v>1.684807E-2</v>
      </c>
      <c r="X4978">
        <v>0.99974220000000003</v>
      </c>
      <c r="Y4978">
        <v>-0.27041189999999998</v>
      </c>
      <c r="Z4978">
        <v>2.4828969999999999E-2</v>
      </c>
      <c r="AA4978">
        <v>0.96242450000000002</v>
      </c>
      <c r="AB4978">
        <v>26</v>
      </c>
      <c r="AC4978">
        <v>-10.9381</v>
      </c>
      <c r="AD4978">
        <v>-1.1144929831624999</v>
      </c>
      <c r="AE4978">
        <v>-10.413699999999899</v>
      </c>
      <c r="AF4978">
        <v>-4.1170493210206001</v>
      </c>
      <c r="AG4978">
        <v>-1.1144929831624999</v>
      </c>
      <c r="AH4978">
        <v>14.445519750192499</v>
      </c>
      <c r="AI4978">
        <v>94.243391426171698</v>
      </c>
      <c r="AJ4978">
        <v>105.907831431535</v>
      </c>
      <c r="AK4978">
        <v>15.0620460288247</v>
      </c>
      <c r="AL4978">
        <v>89.034631072344197</v>
      </c>
      <c r="AM4978">
        <v>90.8724507911177</v>
      </c>
      <c r="AN4978">
        <v>1.00000005298721</v>
      </c>
    </row>
    <row r="4979" spans="1:40" x14ac:dyDescent="0.25">
      <c r="A4979" t="str">
        <f>"20190312154936355"</f>
        <v>20190312154936355</v>
      </c>
      <c r="B4979" t="str">
        <f>"1552376976351098"</f>
        <v>1552376976351098</v>
      </c>
      <c r="C4979" t="s">
        <v>40</v>
      </c>
      <c r="D4979">
        <v>4.0131459999999999</v>
      </c>
      <c r="E4979">
        <v>0.39860970000000001</v>
      </c>
      <c r="F4979" t="s">
        <v>63</v>
      </c>
      <c r="G4979">
        <v>-418.52820000000003</v>
      </c>
      <c r="H4979" s="1">
        <v>-7.6695409999999997E-7</v>
      </c>
      <c r="I4979">
        <v>120.5098</v>
      </c>
      <c r="J4979">
        <v>-407.70609999999999</v>
      </c>
      <c r="K4979">
        <v>1.1148690000000001</v>
      </c>
      <c r="L4979">
        <v>131.0222</v>
      </c>
      <c r="M4979">
        <v>-0.88022690000000003</v>
      </c>
      <c r="N4979">
        <v>0</v>
      </c>
      <c r="O4979">
        <v>-0.47441470000000002</v>
      </c>
      <c r="P4979">
        <v>-0.87326119999999996</v>
      </c>
      <c r="Q4979">
        <v>3.6624090000000002E-3</v>
      </c>
      <c r="R4979">
        <v>-0.48723850000000002</v>
      </c>
      <c r="S4979">
        <v>-2.2452390000000002</v>
      </c>
      <c r="T4979">
        <v>-0.22418959999999999</v>
      </c>
      <c r="U4979">
        <v>-2.153381</v>
      </c>
      <c r="V4979">
        <v>-1.478198E-2</v>
      </c>
      <c r="W4979">
        <v>1.4929039999999999E-2</v>
      </c>
      <c r="X4979">
        <v>0.99977930000000004</v>
      </c>
      <c r="Y4979">
        <v>-0.267318</v>
      </c>
      <c r="Z4979">
        <v>2.551343E-2</v>
      </c>
      <c r="AA4979">
        <v>0.96327050000000003</v>
      </c>
      <c r="AB4979">
        <v>26</v>
      </c>
      <c r="AC4979">
        <v>-10.822100000000001</v>
      </c>
      <c r="AD4979">
        <v>-1.1148697669540999</v>
      </c>
      <c r="AE4979">
        <v>-10.5124</v>
      </c>
      <c r="AF4979">
        <v>-4.0970330762827896</v>
      </c>
      <c r="AG4979">
        <v>-1.1148697669540999</v>
      </c>
      <c r="AH4979">
        <v>14.435271606519001</v>
      </c>
      <c r="AI4979">
        <v>94.249142365643905</v>
      </c>
      <c r="AJ4979">
        <v>105.84505496806</v>
      </c>
      <c r="AK4979">
        <v>15.0467830774354</v>
      </c>
      <c r="AL4979">
        <v>89.144597252621395</v>
      </c>
      <c r="AM4979">
        <v>90.847070308329606</v>
      </c>
      <c r="AN4979">
        <v>1.00000001593826</v>
      </c>
    </row>
    <row r="4980" spans="1:40" x14ac:dyDescent="0.25">
      <c r="A4980" t="str">
        <f>"20190312154936378"</f>
        <v>20190312154936378</v>
      </c>
      <c r="B4980" t="str">
        <f>"1552376976370620"</f>
        <v>1552376976370620</v>
      </c>
      <c r="C4980" t="s">
        <v>40</v>
      </c>
      <c r="D4980">
        <v>4.1278329999999999</v>
      </c>
      <c r="E4980">
        <v>0.39889819999999998</v>
      </c>
      <c r="F4980" t="s">
        <v>63</v>
      </c>
      <c r="G4980">
        <v>-418.55250000000001</v>
      </c>
      <c r="H4980" s="1">
        <v>-6.8388719999999997E-7</v>
      </c>
      <c r="I4980">
        <v>120.3844</v>
      </c>
      <c r="J4980">
        <v>-407.93400000000003</v>
      </c>
      <c r="K4980">
        <v>1.1151180000000001</v>
      </c>
      <c r="L4980">
        <v>130.8896</v>
      </c>
      <c r="M4980">
        <v>-0.87641639999999998</v>
      </c>
      <c r="N4980">
        <v>0</v>
      </c>
      <c r="O4980">
        <v>-0.48141659999999997</v>
      </c>
      <c r="P4980">
        <v>-0.87000759999999899</v>
      </c>
      <c r="Q4980">
        <v>7.0981679999999902E-4</v>
      </c>
      <c r="R4980">
        <v>-0.49303770000000002</v>
      </c>
      <c r="S4980">
        <v>-2.2209780000000001</v>
      </c>
      <c r="T4980">
        <v>-0.22828879999999999</v>
      </c>
      <c r="U4980">
        <v>-2.1782680000000001</v>
      </c>
      <c r="V4980">
        <v>-1.3430950000000001E-2</v>
      </c>
      <c r="W4980">
        <v>1.2043959999999999E-2</v>
      </c>
      <c r="X4980">
        <v>0.99983730000000004</v>
      </c>
      <c r="Y4980">
        <v>-0.27041979999999999</v>
      </c>
      <c r="Z4980">
        <v>2.6424550000000002E-2</v>
      </c>
      <c r="AA4980">
        <v>0.96237980000000001</v>
      </c>
      <c r="AB4980">
        <v>26</v>
      </c>
      <c r="AC4980">
        <v>-10.6184999999999</v>
      </c>
      <c r="AD4980">
        <v>-1.11511868388719</v>
      </c>
      <c r="AE4980">
        <v>-10.5052</v>
      </c>
      <c r="AF4980">
        <v>-4.07258032176623</v>
      </c>
      <c r="AG4980">
        <v>-1.11511868388719</v>
      </c>
      <c r="AH4980">
        <v>14.2849402305654</v>
      </c>
      <c r="AI4980">
        <v>94.293212589260506</v>
      </c>
      <c r="AJ4980">
        <v>105.91264270584701</v>
      </c>
      <c r="AK4980">
        <v>14.8959362762875</v>
      </c>
      <c r="AL4980">
        <v>89.309915264575494</v>
      </c>
      <c r="AM4980">
        <v>90.769615683921202</v>
      </c>
      <c r="AN4980">
        <v>1.0000000369308299</v>
      </c>
    </row>
    <row r="4981" spans="1:40" x14ac:dyDescent="0.25">
      <c r="A4981" t="str">
        <f>"20190312154936399"</f>
        <v>20190312154936399</v>
      </c>
      <c r="B4981" t="str">
        <f>"1552376976391115"</f>
        <v>1552376976391115</v>
      </c>
      <c r="C4981" t="s">
        <v>40</v>
      </c>
      <c r="D4981">
        <v>4.0054699999999999</v>
      </c>
      <c r="E4981">
        <v>0.39919909999999997</v>
      </c>
      <c r="F4981" t="s">
        <v>63</v>
      </c>
      <c r="G4981">
        <v>-418.45359999999999</v>
      </c>
      <c r="H4981" s="1">
        <v>-7.3542039999999997E-7</v>
      </c>
      <c r="I4981">
        <v>120.4438</v>
      </c>
      <c r="J4981">
        <v>-408.1499</v>
      </c>
      <c r="K4981">
        <v>1.1153420000000001</v>
      </c>
      <c r="L4981">
        <v>130.76140000000001</v>
      </c>
      <c r="M4981">
        <v>-0.87257410000000002</v>
      </c>
      <c r="N4981">
        <v>0</v>
      </c>
      <c r="O4981">
        <v>-0.48834499999999997</v>
      </c>
      <c r="P4981">
        <v>-0.86674430000000002</v>
      </c>
      <c r="Q4981">
        <v>-1.4963859999999999E-3</v>
      </c>
      <c r="R4981">
        <v>-0.498751</v>
      </c>
      <c r="S4981">
        <v>-2.206696</v>
      </c>
      <c r="T4981">
        <v>-0.2339185</v>
      </c>
      <c r="U4981">
        <v>-2.1912229999999999</v>
      </c>
      <c r="V4981">
        <v>-1.206483E-2</v>
      </c>
      <c r="W4981">
        <v>9.9064319999999997E-3</v>
      </c>
      <c r="X4981">
        <v>0.99987820000000005</v>
      </c>
      <c r="Y4981">
        <v>-0.26878879999999999</v>
      </c>
      <c r="Z4981">
        <v>2.7699459999999999E-2</v>
      </c>
      <c r="AA4981">
        <v>0.96280080000000001</v>
      </c>
      <c r="AB4981">
        <v>26</v>
      </c>
      <c r="AC4981">
        <v>-10.3036999999999</v>
      </c>
      <c r="AD4981">
        <v>-1.1153427354204</v>
      </c>
      <c r="AE4981">
        <v>-10.317600000000001</v>
      </c>
      <c r="AF4981">
        <v>-3.9482749345493602</v>
      </c>
      <c r="AG4981">
        <v>-1.1153427354204</v>
      </c>
      <c r="AH4981">
        <v>13.9486169749865</v>
      </c>
      <c r="AI4981">
        <v>94.399554039340103</v>
      </c>
      <c r="AJ4981">
        <v>105.804617564789</v>
      </c>
      <c r="AK4981">
        <v>14.5394903587136</v>
      </c>
      <c r="AL4981">
        <v>89.432394004099507</v>
      </c>
      <c r="AM4981">
        <v>90.691314496257107</v>
      </c>
      <c r="AN4981">
        <v>1.0000000561765601</v>
      </c>
    </row>
    <row r="4982" spans="1:40" x14ac:dyDescent="0.25">
      <c r="A4982" t="str">
        <f>"20190312154936421"</f>
        <v>20190312154936421</v>
      </c>
      <c r="B4982" t="str">
        <f>"1552376976410635"</f>
        <v>1552376976410635</v>
      </c>
      <c r="C4982" t="s">
        <v>40</v>
      </c>
      <c r="D4982">
        <v>4.0082849999999999</v>
      </c>
      <c r="E4982">
        <v>0.39941749999999998</v>
      </c>
      <c r="F4982" t="s">
        <v>63</v>
      </c>
      <c r="G4982">
        <v>-418.4171</v>
      </c>
      <c r="H4982" s="1">
        <v>-7.4136910000000004E-7</v>
      </c>
      <c r="I4982">
        <v>120.4452</v>
      </c>
      <c r="J4982">
        <v>-408.36309999999997</v>
      </c>
      <c r="K4982">
        <v>1.115559</v>
      </c>
      <c r="L4982">
        <v>130.63210000000001</v>
      </c>
      <c r="M4982">
        <v>-0.86853809999999998</v>
      </c>
      <c r="N4982">
        <v>0</v>
      </c>
      <c r="O4982">
        <v>-0.49548619999999999</v>
      </c>
      <c r="P4982">
        <v>-0.86313449999999903</v>
      </c>
      <c r="Q4982">
        <v>-3.0185619999999998E-3</v>
      </c>
      <c r="R4982">
        <v>-0.50496549999999996</v>
      </c>
      <c r="S4982">
        <v>-2.1929319999999999</v>
      </c>
      <c r="T4982">
        <v>-0.23822019999999999</v>
      </c>
      <c r="U4982">
        <v>-2.2033839999999998</v>
      </c>
      <c r="V4982">
        <v>-1.103322E-2</v>
      </c>
      <c r="W4982">
        <v>8.4535700000000005E-3</v>
      </c>
      <c r="X4982">
        <v>0.9999034</v>
      </c>
      <c r="Y4982">
        <v>-0.26660129999999999</v>
      </c>
      <c r="Z4982">
        <v>2.8882359999999999E-2</v>
      </c>
      <c r="AA4982">
        <v>0.96337410000000001</v>
      </c>
      <c r="AB4982">
        <v>26</v>
      </c>
      <c r="AC4982">
        <v>-10.054</v>
      </c>
      <c r="AD4982">
        <v>-1.1155597413691001</v>
      </c>
      <c r="AE4982">
        <v>-10.1869</v>
      </c>
      <c r="AF4982">
        <v>-3.8430077040702701</v>
      </c>
      <c r="AG4982">
        <v>-1.1155597413691001</v>
      </c>
      <c r="AH4982">
        <v>13.697470206744701</v>
      </c>
      <c r="AI4982">
        <v>94.483671676543594</v>
      </c>
      <c r="AJ4982">
        <v>105.672171422217</v>
      </c>
      <c r="AK4982">
        <v>14.2700340509322</v>
      </c>
      <c r="AL4982">
        <v>89.515640349109603</v>
      </c>
      <c r="AM4982">
        <v>90.632192355907407</v>
      </c>
      <c r="AN4982">
        <v>1.00000000206043</v>
      </c>
    </row>
    <row r="4983" spans="1:40" x14ac:dyDescent="0.25">
      <c r="A4983" t="str">
        <f>"20190312154936443"</f>
        <v>20190312154936443</v>
      </c>
      <c r="B4983" t="str">
        <f>"1552376976440891"</f>
        <v>1552376976440891</v>
      </c>
      <c r="C4983" t="s">
        <v>40</v>
      </c>
      <c r="D4983">
        <v>3.9640080000000002</v>
      </c>
      <c r="E4983">
        <v>0.39969890000000002</v>
      </c>
      <c r="F4983" t="s">
        <v>63</v>
      </c>
      <c r="G4983">
        <v>-418.3528</v>
      </c>
      <c r="H4983" s="1">
        <v>-7.6102940000000003E-7</v>
      </c>
      <c r="I4983">
        <v>120.462</v>
      </c>
      <c r="J4983">
        <v>-408.58300000000003</v>
      </c>
      <c r="K4983">
        <v>1.1157870000000001</v>
      </c>
      <c r="L4983">
        <v>130.4958</v>
      </c>
      <c r="M4983">
        <v>-0.86410919999999902</v>
      </c>
      <c r="N4983">
        <v>0</v>
      </c>
      <c r="O4983">
        <v>-0.50316850000000002</v>
      </c>
      <c r="P4983">
        <v>-0.85915059999999999</v>
      </c>
      <c r="Q4983">
        <v>-5.6113319999999897E-3</v>
      </c>
      <c r="R4983">
        <v>-0.51169220000000004</v>
      </c>
      <c r="S4983">
        <v>-2.1777950000000001</v>
      </c>
      <c r="T4983">
        <v>-0.24319470000000001</v>
      </c>
      <c r="U4983">
        <v>-2.2171020000000001</v>
      </c>
      <c r="V4983">
        <v>-9.9501239999999994E-3</v>
      </c>
      <c r="W4983">
        <v>5.9416590000000002E-3</v>
      </c>
      <c r="X4983">
        <v>0.99993279999999995</v>
      </c>
      <c r="Y4983">
        <v>-0.26442300000000002</v>
      </c>
      <c r="Z4983">
        <v>3.0215840000000001E-2</v>
      </c>
      <c r="AA4983">
        <v>0.96393329999999999</v>
      </c>
      <c r="AB4983">
        <v>26</v>
      </c>
      <c r="AC4983">
        <v>-9.7697999999999698</v>
      </c>
      <c r="AD4983">
        <v>-1.1157877610294</v>
      </c>
      <c r="AE4983">
        <v>-10.033799999999999</v>
      </c>
      <c r="AF4983">
        <v>-3.7310160300534601</v>
      </c>
      <c r="AG4983">
        <v>-1.1157877610294</v>
      </c>
      <c r="AH4983">
        <v>13.406684864699001</v>
      </c>
      <c r="AI4983">
        <v>94.584126063289503</v>
      </c>
      <c r="AJ4983">
        <v>105.551629723182</v>
      </c>
      <c r="AK4983">
        <v>13.960825978627801</v>
      </c>
      <c r="AL4983">
        <v>89.659565998055598</v>
      </c>
      <c r="AM4983">
        <v>90.5701196072107</v>
      </c>
      <c r="AN4983">
        <v>0.99999995639756301</v>
      </c>
    </row>
    <row r="4984" spans="1:40" x14ac:dyDescent="0.25">
      <c r="A4984" t="str">
        <f>"20190312154936466"</f>
        <v>20190312154936466</v>
      </c>
      <c r="B4984" t="str">
        <f>"1552376976461387"</f>
        <v>1552376976461387</v>
      </c>
      <c r="C4984" t="s">
        <v>40</v>
      </c>
      <c r="D4984">
        <v>3.9970750000000002</v>
      </c>
      <c r="E4984">
        <v>0.39991729999999998</v>
      </c>
      <c r="F4984" t="s">
        <v>63</v>
      </c>
      <c r="G4984">
        <v>-418.1807</v>
      </c>
      <c r="H4984" s="1">
        <v>-8.648008E-7</v>
      </c>
      <c r="I4984">
        <v>120.58759999999999</v>
      </c>
      <c r="J4984">
        <v>-408.7971</v>
      </c>
      <c r="K4984">
        <v>1.116017</v>
      </c>
      <c r="L4984">
        <v>130.36000000000001</v>
      </c>
      <c r="M4984">
        <v>-0.85952719999999905</v>
      </c>
      <c r="N4984">
        <v>0</v>
      </c>
      <c r="O4984">
        <v>-0.51095469999999998</v>
      </c>
      <c r="P4984">
        <v>-0.85496659999999902</v>
      </c>
      <c r="Q4984">
        <v>-7.4839499999999996E-3</v>
      </c>
      <c r="R4984">
        <v>-0.51862929999999996</v>
      </c>
      <c r="S4984">
        <v>-2.1612849999999999</v>
      </c>
      <c r="T4984">
        <v>-0.25126300000000001</v>
      </c>
      <c r="U4984">
        <v>-2.2312159999999999</v>
      </c>
      <c r="V4984">
        <v>-8.9927749999999997E-3</v>
      </c>
      <c r="W4984">
        <v>4.1540179999999998E-3</v>
      </c>
      <c r="X4984">
        <v>0.99995089999999998</v>
      </c>
      <c r="Y4984">
        <v>-0.2624938</v>
      </c>
      <c r="Z4984">
        <v>3.197697E-2</v>
      </c>
      <c r="AA4984">
        <v>0.96440369999999997</v>
      </c>
      <c r="AB4984">
        <v>26</v>
      </c>
      <c r="AC4984">
        <v>-9.3835999999999995</v>
      </c>
      <c r="AD4984">
        <v>-1.1160178648007999</v>
      </c>
      <c r="AE4984">
        <v>-9.77240000000001</v>
      </c>
      <c r="AF4984">
        <v>-3.58099939979666</v>
      </c>
      <c r="AG4984">
        <v>-1.1160178648007999</v>
      </c>
      <c r="AH4984">
        <v>12.9715970049976</v>
      </c>
      <c r="AI4984">
        <v>94.740877692939804</v>
      </c>
      <c r="AJ4984">
        <v>105.432947019549</v>
      </c>
      <c r="AK4984">
        <v>13.503013790852799</v>
      </c>
      <c r="AL4984">
        <v>89.761991607533304</v>
      </c>
      <c r="AM4984">
        <v>90.515259462789899</v>
      </c>
      <c r="AN4984">
        <v>0.99999996413927605</v>
      </c>
    </row>
    <row r="4985" spans="1:40" x14ac:dyDescent="0.25">
      <c r="A4985" t="str">
        <f>"20190312154936488"</f>
        <v>20190312154936488</v>
      </c>
      <c r="B4985" t="str">
        <f>"1552376976480908"</f>
        <v>1552376976480908</v>
      </c>
      <c r="C4985" t="s">
        <v>40</v>
      </c>
      <c r="D4985">
        <v>4.0134449999999999</v>
      </c>
      <c r="E4985">
        <v>0.40012150000000002</v>
      </c>
      <c r="F4985" t="s">
        <v>63</v>
      </c>
      <c r="G4985">
        <v>-418.13819999999998</v>
      </c>
      <c r="H4985" s="1">
        <v>-8.5789919999999898E-7</v>
      </c>
      <c r="I4985">
        <v>120.56740000000001</v>
      </c>
      <c r="J4985">
        <v>-409.01049999999998</v>
      </c>
      <c r="K4985">
        <v>1.116242</v>
      </c>
      <c r="L4985">
        <v>130.22139999999999</v>
      </c>
      <c r="M4985">
        <v>-0.85467969999999904</v>
      </c>
      <c r="N4985">
        <v>0</v>
      </c>
      <c r="O4985">
        <v>-0.51902029999999999</v>
      </c>
      <c r="P4985">
        <v>-0.85039929999999997</v>
      </c>
      <c r="Q4985">
        <v>-8.2757260000000006E-3</v>
      </c>
      <c r="R4985">
        <v>-0.52607320000000002</v>
      </c>
      <c r="S4985">
        <v>-2.1435550000000001</v>
      </c>
      <c r="T4985">
        <v>-0.25609870000000001</v>
      </c>
      <c r="U4985">
        <v>-2.2471619999999999</v>
      </c>
      <c r="V4985">
        <v>-8.3061860000000001E-3</v>
      </c>
      <c r="W4985">
        <v>3.4449670000000002E-3</v>
      </c>
      <c r="X4985">
        <v>0.99995959999999995</v>
      </c>
      <c r="Y4985">
        <v>-0.2608606</v>
      </c>
      <c r="Z4985">
        <v>3.3375090000000003E-2</v>
      </c>
      <c r="AA4985">
        <v>0.96479939999999997</v>
      </c>
      <c r="AB4985">
        <v>26</v>
      </c>
      <c r="AC4985">
        <v>-9.1277000000000008</v>
      </c>
      <c r="AD4985">
        <v>-1.1162428578992001</v>
      </c>
      <c r="AE4985">
        <v>-9.6539999999999804</v>
      </c>
      <c r="AF4985">
        <v>-3.48923302874441</v>
      </c>
      <c r="AG4985">
        <v>-1.1162428578992001</v>
      </c>
      <c r="AH4985">
        <v>12.722972131703701</v>
      </c>
      <c r="AI4985">
        <v>94.836293998287701</v>
      </c>
      <c r="AJ4985">
        <v>105.336116783055</v>
      </c>
      <c r="AK4985">
        <v>13.239892941817899</v>
      </c>
      <c r="AL4985">
        <v>89.802617546055203</v>
      </c>
      <c r="AM4985">
        <v>90.475917683531506</v>
      </c>
      <c r="AN4985">
        <v>1.0000000310778201</v>
      </c>
    </row>
    <row r="4986" spans="1:40" x14ac:dyDescent="0.25">
      <c r="A4986" t="str">
        <f>"20190312154936511"</f>
        <v>20190312154936511</v>
      </c>
      <c r="B4986" t="str">
        <f>"1552376976501403"</f>
        <v>1552376976501403</v>
      </c>
      <c r="C4986" t="s">
        <v>40</v>
      </c>
      <c r="D4986">
        <v>3.9578899999999999</v>
      </c>
      <c r="E4986">
        <v>0.40036620000000001</v>
      </c>
      <c r="F4986" t="s">
        <v>63</v>
      </c>
      <c r="G4986">
        <v>-418.21</v>
      </c>
      <c r="H4986" s="1">
        <v>-7.7032209999999997E-7</v>
      </c>
      <c r="I4986">
        <v>120.4156</v>
      </c>
      <c r="J4986">
        <v>-409.2278</v>
      </c>
      <c r="K4986">
        <v>1.11646</v>
      </c>
      <c r="L4986">
        <v>130.07689999999999</v>
      </c>
      <c r="M4986">
        <v>-0.84948419999999902</v>
      </c>
      <c r="N4986">
        <v>0</v>
      </c>
      <c r="O4986">
        <v>-0.52747919999999904</v>
      </c>
      <c r="P4986">
        <v>-0.84506589999999904</v>
      </c>
      <c r="Q4986">
        <v>-7.61576599999999E-3</v>
      </c>
      <c r="R4986">
        <v>-0.53460830000000004</v>
      </c>
      <c r="S4986">
        <v>-2.1244510000000001</v>
      </c>
      <c r="T4986">
        <v>-0.25777480000000003</v>
      </c>
      <c r="U4986">
        <v>-2.2644500000000001</v>
      </c>
      <c r="V4986">
        <v>-8.4573129999999993E-3</v>
      </c>
      <c r="W4986">
        <v>4.1726159999999997E-3</v>
      </c>
      <c r="X4986">
        <v>0.9999555</v>
      </c>
      <c r="Y4986">
        <v>-0.25931340000000003</v>
      </c>
      <c r="Z4986">
        <v>3.4413369999999999E-2</v>
      </c>
      <c r="AA4986">
        <v>0.96517989999999998</v>
      </c>
      <c r="AB4986">
        <v>26</v>
      </c>
      <c r="AC4986">
        <v>-8.9821999999999704</v>
      </c>
      <c r="AD4986">
        <v>-1.1164607703220999</v>
      </c>
      <c r="AE4986">
        <v>-9.66129999999999</v>
      </c>
      <c r="AF4986">
        <v>-3.4447704763454801</v>
      </c>
      <c r="AG4986">
        <v>-1.1164607703220999</v>
      </c>
      <c r="AH4986">
        <v>12.636761975283701</v>
      </c>
      <c r="AI4986">
        <v>94.872107768906801</v>
      </c>
      <c r="AJ4986">
        <v>105.248285396065</v>
      </c>
      <c r="AK4986">
        <v>13.1453673020705</v>
      </c>
      <c r="AL4986">
        <v>89.760926012615897</v>
      </c>
      <c r="AM4986">
        <v>90.484578351023799</v>
      </c>
      <c r="AN4986">
        <v>0.99999996942385605</v>
      </c>
    </row>
    <row r="4987" spans="1:40" x14ac:dyDescent="0.25">
      <c r="A4987" t="str">
        <f>"20190312154936533"</f>
        <v>20190312154936533</v>
      </c>
      <c r="B4987" t="str">
        <f>"1552376976520923"</f>
        <v>1552376976520923</v>
      </c>
      <c r="C4987" t="s">
        <v>40</v>
      </c>
      <c r="D4987">
        <v>4.0143250000000004</v>
      </c>
      <c r="E4987">
        <v>0.42823630000000001</v>
      </c>
      <c r="F4987" t="s">
        <v>63</v>
      </c>
      <c r="G4987">
        <v>-418.47160000000002</v>
      </c>
      <c r="H4987" s="1">
        <v>-5.5480180000000004E-7</v>
      </c>
      <c r="I4987">
        <v>120.03360000000001</v>
      </c>
      <c r="J4987">
        <v>-409.43990000000002</v>
      </c>
      <c r="K4987">
        <v>1.116665</v>
      </c>
      <c r="L4987">
        <v>129.9324</v>
      </c>
      <c r="M4987">
        <v>-0.84415069999999903</v>
      </c>
      <c r="N4987">
        <v>0</v>
      </c>
      <c r="O4987">
        <v>-0.5359718</v>
      </c>
      <c r="P4987">
        <v>-0.83966350000000001</v>
      </c>
      <c r="Q4987">
        <v>-6.5237869999999996E-3</v>
      </c>
      <c r="R4987">
        <v>-0.543068</v>
      </c>
      <c r="S4987">
        <v>-2.1025700000000001</v>
      </c>
      <c r="T4987">
        <v>-0.25394539999999999</v>
      </c>
      <c r="U4987">
        <v>-2.2844090000000001</v>
      </c>
      <c r="V4987">
        <v>-8.4877819999999993E-3</v>
      </c>
      <c r="W4987">
        <v>5.3275019999999996E-3</v>
      </c>
      <c r="X4987">
        <v>0.9999498</v>
      </c>
      <c r="Y4987">
        <v>-0.2588356</v>
      </c>
      <c r="Z4987">
        <v>3.4674719999999999E-2</v>
      </c>
      <c r="AA4987">
        <v>0.96529880000000001</v>
      </c>
      <c r="AB4987">
        <v>26</v>
      </c>
      <c r="AC4987">
        <v>-9.0317000000000007</v>
      </c>
      <c r="AD4987">
        <v>-1.1166655548018001</v>
      </c>
      <c r="AE4987">
        <v>-9.8987999999999907</v>
      </c>
      <c r="AF4987">
        <v>-3.4913495424944498</v>
      </c>
      <c r="AG4987">
        <v>-1.1166655548018001</v>
      </c>
      <c r="AH4987">
        <v>12.841346523097901</v>
      </c>
      <c r="AI4987">
        <v>94.796592926148406</v>
      </c>
      <c r="AJ4987">
        <v>105.21010850391001</v>
      </c>
      <c r="AK4987">
        <v>13.3542743762226</v>
      </c>
      <c r="AL4987">
        <v>89.694755180274598</v>
      </c>
      <c r="AM4987">
        <v>90.486326820547404</v>
      </c>
      <c r="AN4987">
        <v>1.0000000136204299</v>
      </c>
    </row>
    <row r="4988" spans="1:40" x14ac:dyDescent="0.25">
      <c r="A4988" t="str">
        <f>"20190312154936556"</f>
        <v>20190312154936556</v>
      </c>
      <c r="B4988" t="str">
        <f>"1552376976540444"</f>
        <v>1552376976540444</v>
      </c>
      <c r="C4988" t="s">
        <v>40</v>
      </c>
      <c r="D4988">
        <v>4.2645119999999999</v>
      </c>
      <c r="E4988">
        <v>0.49168519999999999</v>
      </c>
      <c r="F4988" t="s">
        <v>42</v>
      </c>
      <c r="G4988">
        <v>-420.23869999999999</v>
      </c>
      <c r="H4988" s="1">
        <v>-4.3156069999999998E-6</v>
      </c>
      <c r="I4988">
        <v>119.544</v>
      </c>
      <c r="J4988">
        <v>-409.6472</v>
      </c>
      <c r="K4988">
        <v>1.116852</v>
      </c>
      <c r="L4988">
        <v>129.78790000000001</v>
      </c>
      <c r="M4988">
        <v>-0.83867769999999997</v>
      </c>
      <c r="N4988">
        <v>0</v>
      </c>
      <c r="O4988">
        <v>-0.54449459999999905</v>
      </c>
      <c r="P4988">
        <v>-0.83391680000000001</v>
      </c>
      <c r="Q4988">
        <v>-4.3258560000000003E-3</v>
      </c>
      <c r="R4988">
        <v>-0.55187369999999902</v>
      </c>
      <c r="S4988">
        <v>-2.2013850000000001</v>
      </c>
      <c r="T4988">
        <v>-0.22763810000000001</v>
      </c>
      <c r="U4988">
        <v>-2.1177220000000001</v>
      </c>
      <c r="V4988">
        <v>-8.9148769999999999E-3</v>
      </c>
      <c r="W4988">
        <v>7.5776489999999997E-3</v>
      </c>
      <c r="X4988">
        <v>0.99993160000000003</v>
      </c>
      <c r="Y4988">
        <v>-0.18980340000000001</v>
      </c>
      <c r="Z4988">
        <v>3.4530310000000002E-2</v>
      </c>
      <c r="AA4988">
        <v>0.9812147</v>
      </c>
      <c r="AB4988">
        <v>26</v>
      </c>
      <c r="AC4988">
        <v>-10.5914999999999</v>
      </c>
      <c r="AD4988">
        <v>-1.1168563156069999</v>
      </c>
      <c r="AE4988">
        <v>-10.2439</v>
      </c>
      <c r="AF4988">
        <v>-2.8083866552969901</v>
      </c>
      <c r="AG4988">
        <v>-1.1168563156069999</v>
      </c>
      <c r="AH4988">
        <v>14.3790445846937</v>
      </c>
      <c r="AI4988">
        <v>94.359346962161993</v>
      </c>
      <c r="AJ4988">
        <v>101.051378380231</v>
      </c>
      <c r="AK4988">
        <v>14.693240854351</v>
      </c>
      <c r="AL4988">
        <v>89.565828560336698</v>
      </c>
      <c r="AM4988">
        <v>90.510806233371895</v>
      </c>
      <c r="AN4988">
        <v>1.00000005023742</v>
      </c>
    </row>
    <row r="4989" spans="1:40" x14ac:dyDescent="0.25">
      <c r="A4989" t="str">
        <f>"20190312154936578"</f>
        <v>20190312154936578</v>
      </c>
      <c r="B4989" t="str">
        <f>"1552376976570647"</f>
        <v>1552376976570647</v>
      </c>
      <c r="C4989" t="s">
        <v>40</v>
      </c>
      <c r="D4989">
        <v>4.1038889999999997</v>
      </c>
      <c r="E4989">
        <v>0.55613310000000005</v>
      </c>
      <c r="F4989" t="s">
        <v>41</v>
      </c>
      <c r="G4989">
        <v>-410.3229</v>
      </c>
      <c r="H4989">
        <v>1.0175799999999999</v>
      </c>
      <c r="I4989">
        <v>129.3134</v>
      </c>
      <c r="J4989">
        <v>-409.85980000000001</v>
      </c>
      <c r="K4989">
        <v>1.1170230000000001</v>
      </c>
      <c r="L4989">
        <v>129.6362</v>
      </c>
      <c r="M4989">
        <v>-0.83278819999999998</v>
      </c>
      <c r="N4989">
        <v>0</v>
      </c>
      <c r="O4989">
        <v>-0.55345929999999999</v>
      </c>
      <c r="P4989">
        <v>-0.82807869999999995</v>
      </c>
      <c r="Q4989">
        <v>-3.8188250000000001E-3</v>
      </c>
      <c r="R4989">
        <v>-0.56059930000000002</v>
      </c>
      <c r="S4989">
        <v>-2.454742</v>
      </c>
      <c r="T4989">
        <v>-0.36079240000000001</v>
      </c>
      <c r="U4989">
        <v>-1.7239990000000001</v>
      </c>
      <c r="V4989">
        <v>-8.7002759999999998E-3</v>
      </c>
      <c r="W4989">
        <v>8.1493599999999996E-3</v>
      </c>
      <c r="X4989">
        <v>0.99992899999999996</v>
      </c>
      <c r="Y4989">
        <v>-2.8828759999999998E-2</v>
      </c>
      <c r="Z4989">
        <v>6.4823130000000007E-2</v>
      </c>
      <c r="AA4989">
        <v>0.99748029999999999</v>
      </c>
      <c r="AB4989">
        <v>26</v>
      </c>
      <c r="AC4989">
        <v>-0.46309999999999701</v>
      </c>
      <c r="AD4989">
        <v>-9.9442999999999906E-2</v>
      </c>
      <c r="AE4989">
        <v>-0.32279999999999998</v>
      </c>
      <c r="AF4989">
        <v>-1.2141173995312801E-2</v>
      </c>
      <c r="AG4989">
        <v>-9.9442999999999906E-2</v>
      </c>
      <c r="AH4989">
        <v>0.54737573039652099</v>
      </c>
      <c r="AI4989">
        <v>100.294276681319</v>
      </c>
      <c r="AJ4989">
        <v>91.270651843989299</v>
      </c>
      <c r="AK4989">
        <v>0.556467886388882</v>
      </c>
      <c r="AL4989">
        <v>89.533070924010104</v>
      </c>
      <c r="AM4989">
        <v>90.498511910851903</v>
      </c>
      <c r="AN4989">
        <v>1.0000000559559401</v>
      </c>
    </row>
    <row r="4990" spans="1:40" x14ac:dyDescent="0.25">
      <c r="A4990" t="str">
        <f>"20190312154936600"</f>
        <v>20190312154936600</v>
      </c>
      <c r="B4990" t="str">
        <f>"1552376976591144"</f>
        <v>1552376976591144</v>
      </c>
      <c r="C4990" t="s">
        <v>40</v>
      </c>
      <c r="D4990">
        <v>4.1240240000000004</v>
      </c>
      <c r="E4990">
        <v>0.56120800000000004</v>
      </c>
      <c r="F4990" t="s">
        <v>41</v>
      </c>
      <c r="G4990">
        <v>-410.54509999999999</v>
      </c>
      <c r="H4990">
        <v>0.94512010000000002</v>
      </c>
      <c r="I4990">
        <v>129.2987</v>
      </c>
      <c r="J4990">
        <v>-410.06169999999997</v>
      </c>
      <c r="K4990">
        <v>1.1171819999999999</v>
      </c>
      <c r="L4990">
        <v>129.48859999999999</v>
      </c>
      <c r="M4990">
        <v>-0.82692889999999997</v>
      </c>
      <c r="N4990">
        <v>0</v>
      </c>
      <c r="O4990">
        <v>-0.56217490000000003</v>
      </c>
      <c r="P4990">
        <v>-0.82271059999999996</v>
      </c>
      <c r="Q4990">
        <v>-4.9650329999999998E-3</v>
      </c>
      <c r="R4990">
        <v>-0.56843920000000003</v>
      </c>
      <c r="S4990">
        <v>-2.7148129999999999</v>
      </c>
      <c r="T4990">
        <v>-0.68080399999999996</v>
      </c>
      <c r="U4990">
        <v>-1.3366089999999999</v>
      </c>
      <c r="V4990">
        <v>-7.6823589999999997E-3</v>
      </c>
      <c r="W4990">
        <v>7.0779379999999998E-3</v>
      </c>
      <c r="X4990">
        <v>0.99994550000000004</v>
      </c>
      <c r="Y4990">
        <v>0.124325</v>
      </c>
      <c r="Z4990">
        <v>0.13593520000000001</v>
      </c>
      <c r="AA4990">
        <v>0.98288600000000004</v>
      </c>
      <c r="AB4990">
        <v>26</v>
      </c>
      <c r="AC4990">
        <v>-0.48340000000001698</v>
      </c>
      <c r="AD4990">
        <v>-0.17206189999999999</v>
      </c>
      <c r="AE4990">
        <v>-0.18989999999999399</v>
      </c>
      <c r="AF4990">
        <v>0.103383126486032</v>
      </c>
      <c r="AG4990">
        <v>-0.17206189999999999</v>
      </c>
      <c r="AH4990">
        <v>0.45643542827457101</v>
      </c>
      <c r="AI4990">
        <v>110.186246174706</v>
      </c>
      <c r="AJ4990">
        <v>77.237780473404698</v>
      </c>
      <c r="AK4990">
        <v>0.49862477722013399</v>
      </c>
      <c r="AL4990">
        <v>89.594460662924504</v>
      </c>
      <c r="AM4990">
        <v>90.440182077342698</v>
      </c>
      <c r="AN4990">
        <v>1.0000000594081899</v>
      </c>
    </row>
    <row r="4991" spans="1:40" x14ac:dyDescent="0.25">
      <c r="A4991" t="str">
        <f>"20190312154936623"</f>
        <v>20190312154936623</v>
      </c>
      <c r="B4991" t="str">
        <f>"1552376976610664"</f>
        <v>1552376976610664</v>
      </c>
      <c r="C4991" t="s">
        <v>40</v>
      </c>
      <c r="D4991">
        <v>4.0831629999999999</v>
      </c>
      <c r="E4991">
        <v>0.56223509999999999</v>
      </c>
      <c r="F4991" t="s">
        <v>41</v>
      </c>
      <c r="G4991">
        <v>-410.72800000000001</v>
      </c>
      <c r="H4991">
        <v>0.93984900000000005</v>
      </c>
      <c r="I4991">
        <v>129.16329999999999</v>
      </c>
      <c r="J4991">
        <v>-410.26900000000001</v>
      </c>
      <c r="K4991">
        <v>1.1173360000000001</v>
      </c>
      <c r="L4991">
        <v>129.33330000000001</v>
      </c>
      <c r="M4991">
        <v>-0.82064179999999998</v>
      </c>
      <c r="N4991">
        <v>0</v>
      </c>
      <c r="O4991">
        <v>-0.57131200000000004</v>
      </c>
      <c r="P4991">
        <v>-0.81727689999999997</v>
      </c>
      <c r="Q4991">
        <v>-4.3085930000000003E-3</v>
      </c>
      <c r="R4991">
        <v>-0.57622949999999995</v>
      </c>
      <c r="S4991">
        <v>-2.7229920000000001</v>
      </c>
      <c r="T4991">
        <v>-0.72641739999999999</v>
      </c>
      <c r="U4991">
        <v>-1.330276</v>
      </c>
      <c r="V4991">
        <v>-6.1050239999999997E-3</v>
      </c>
      <c r="W4991">
        <v>7.8208289999999996E-3</v>
      </c>
      <c r="X4991">
        <v>0.99995080000000003</v>
      </c>
      <c r="Y4991">
        <v>0.13590749999999999</v>
      </c>
      <c r="Z4991">
        <v>0.14770529999999901</v>
      </c>
      <c r="AA4991">
        <v>0.97964910000000005</v>
      </c>
      <c r="AB4991">
        <v>26</v>
      </c>
      <c r="AC4991">
        <v>-0.45900000000000302</v>
      </c>
      <c r="AD4991">
        <v>-0.17748700000000001</v>
      </c>
      <c r="AE4991">
        <v>-0.170000000000015</v>
      </c>
      <c r="AF4991">
        <v>0.108469963480006</v>
      </c>
      <c r="AG4991">
        <v>-0.17748700000000001</v>
      </c>
      <c r="AH4991">
        <v>0.41877047086728503</v>
      </c>
      <c r="AI4991">
        <v>112.307794670761</v>
      </c>
      <c r="AJ4991">
        <v>75.478386189283498</v>
      </c>
      <c r="AK4991">
        <v>0.46758536698314401</v>
      </c>
      <c r="AL4991">
        <v>89.551894946603994</v>
      </c>
      <c r="AM4991">
        <v>90.349804973362595</v>
      </c>
      <c r="AN4991">
        <v>1.0000000195524601</v>
      </c>
    </row>
    <row r="4992" spans="1:40" x14ac:dyDescent="0.25">
      <c r="A4992" t="str">
        <f>"20190312154936644"</f>
        <v>20190312154936644</v>
      </c>
      <c r="B4992" t="str">
        <f>"1552376976640920"</f>
        <v>1552376976640920</v>
      </c>
      <c r="C4992" t="s">
        <v>40</v>
      </c>
      <c r="D4992">
        <v>4.1275149999999998</v>
      </c>
      <c r="E4992">
        <v>0.56294569999999999</v>
      </c>
      <c r="F4992" t="s">
        <v>41</v>
      </c>
      <c r="G4992">
        <v>-410.9076</v>
      </c>
      <c r="H4992">
        <v>0.9438744</v>
      </c>
      <c r="I4992">
        <v>129.01609999999999</v>
      </c>
      <c r="J4992">
        <v>-410.46899999999999</v>
      </c>
      <c r="K4992">
        <v>1.1174820000000001</v>
      </c>
      <c r="L4992">
        <v>129.1799</v>
      </c>
      <c r="M4992">
        <v>-0.81431129999999996</v>
      </c>
      <c r="N4992">
        <v>0</v>
      </c>
      <c r="O4992">
        <v>-0.58029839999999999</v>
      </c>
      <c r="P4992">
        <v>-0.81182529999999997</v>
      </c>
      <c r="Q4992">
        <v>-2.8222759999999999E-3</v>
      </c>
      <c r="R4992">
        <v>-0.58389389999999997</v>
      </c>
      <c r="S4992">
        <v>-2.7155149999999999</v>
      </c>
      <c r="T4992">
        <v>-0.73813439999999997</v>
      </c>
      <c r="U4992">
        <v>-1.349213</v>
      </c>
      <c r="V4992">
        <v>-4.5495889999999997E-3</v>
      </c>
      <c r="W4992">
        <v>9.3886119999999993E-3</v>
      </c>
      <c r="X4992">
        <v>0.99994559999999999</v>
      </c>
      <c r="Y4992">
        <v>0.1394069</v>
      </c>
      <c r="Z4992">
        <v>0.15229389999999901</v>
      </c>
      <c r="AA4992">
        <v>0.97845400000000005</v>
      </c>
      <c r="AB4992">
        <v>26</v>
      </c>
      <c r="AC4992">
        <v>-0.43860000000000798</v>
      </c>
      <c r="AD4992">
        <v>-0.173607599999999</v>
      </c>
      <c r="AE4992">
        <v>-0.16380000000000899</v>
      </c>
      <c r="AF4992">
        <v>0.106500261986415</v>
      </c>
      <c r="AG4992">
        <v>-0.173607599999999</v>
      </c>
      <c r="AH4992">
        <v>0.39757780985727897</v>
      </c>
      <c r="AI4992">
        <v>112.86964383007999</v>
      </c>
      <c r="AJ4992">
        <v>75.004086416934499</v>
      </c>
      <c r="AK4992">
        <v>0.44671021867855898</v>
      </c>
      <c r="AL4992">
        <v>89.462064266744406</v>
      </c>
      <c r="AM4992">
        <v>90.260684630758902</v>
      </c>
      <c r="AN4992">
        <v>1.0000000238773501</v>
      </c>
    </row>
    <row r="4993" spans="1:40" x14ac:dyDescent="0.25">
      <c r="A4993" t="str">
        <f>"20190312154936668"</f>
        <v>20190312154936668</v>
      </c>
      <c r="B4993" t="str">
        <f>"1552376976660440"</f>
        <v>1552376976660440</v>
      </c>
      <c r="C4993" t="s">
        <v>40</v>
      </c>
      <c r="D4993">
        <v>4.0866290000000003</v>
      </c>
      <c r="E4993">
        <v>0.56318769999999996</v>
      </c>
      <c r="F4993" t="s">
        <v>41</v>
      </c>
      <c r="G4993">
        <v>-411.08609999999999</v>
      </c>
      <c r="H4993">
        <v>0.94749410000000001</v>
      </c>
      <c r="I4993">
        <v>128.8681</v>
      </c>
      <c r="J4993">
        <v>-410.67079999999999</v>
      </c>
      <c r="K4993">
        <v>1.117612</v>
      </c>
      <c r="L4993">
        <v>129.02090000000001</v>
      </c>
      <c r="M4993">
        <v>-0.80764250000000004</v>
      </c>
      <c r="N4993">
        <v>0</v>
      </c>
      <c r="O4993">
        <v>-0.58954319999999905</v>
      </c>
      <c r="P4993">
        <v>-0.80528250000000001</v>
      </c>
      <c r="Q4993">
        <v>-3.3902490000000001E-3</v>
      </c>
      <c r="R4993">
        <v>-0.5928814</v>
      </c>
      <c r="S4993">
        <v>-2.7078859999999998</v>
      </c>
      <c r="T4993">
        <v>-0.74747489999999905</v>
      </c>
      <c r="U4993">
        <v>-1.3692930000000001</v>
      </c>
      <c r="V4993">
        <v>-4.2597080000000001E-3</v>
      </c>
      <c r="W4993">
        <v>8.8755540000000008E-3</v>
      </c>
      <c r="X4993">
        <v>0.99995149999999999</v>
      </c>
      <c r="Y4993">
        <v>0.14305909999999999</v>
      </c>
      <c r="Z4993">
        <v>0.15650600000000001</v>
      </c>
      <c r="AA4993">
        <v>0.97726150000000001</v>
      </c>
      <c r="AB4993">
        <v>26</v>
      </c>
      <c r="AC4993">
        <v>-0.415300000000002</v>
      </c>
      <c r="AD4993">
        <v>-0.17011789999999999</v>
      </c>
      <c r="AE4993">
        <v>-0.15280000000001301</v>
      </c>
      <c r="AF4993">
        <v>0.105802455173185</v>
      </c>
      <c r="AG4993">
        <v>-0.17011789999999999</v>
      </c>
      <c r="AH4993">
        <v>0.37073799250592498</v>
      </c>
      <c r="AI4993">
        <v>113.80928724959401</v>
      </c>
      <c r="AJ4993">
        <v>74.072135115188104</v>
      </c>
      <c r="AK4993">
        <v>0.42140351031808798</v>
      </c>
      <c r="AL4993">
        <v>89.491461518486602</v>
      </c>
      <c r="AM4993">
        <v>90.244073651617796</v>
      </c>
      <c r="AN4993">
        <v>0.99999996146165004</v>
      </c>
    </row>
    <row r="4994" spans="1:40" x14ac:dyDescent="0.25">
      <c r="A4994" t="str">
        <f>"20190312154936689"</f>
        <v>20190312154936689</v>
      </c>
      <c r="B4994" t="str">
        <f>"1552376976680936"</f>
        <v>1552376976680936</v>
      </c>
      <c r="C4994" t="s">
        <v>40</v>
      </c>
      <c r="D4994">
        <v>4.1124900000000002</v>
      </c>
      <c r="E4994">
        <v>0.56335599999999997</v>
      </c>
      <c r="F4994" t="s">
        <v>41</v>
      </c>
      <c r="G4994">
        <v>-411.44819999999999</v>
      </c>
      <c r="H4994">
        <v>0.90114369999999999</v>
      </c>
      <c r="I4994">
        <v>128.6182</v>
      </c>
      <c r="J4994">
        <v>-410.8664</v>
      </c>
      <c r="K4994">
        <v>1.1177170000000001</v>
      </c>
      <c r="L4994">
        <v>128.863</v>
      </c>
      <c r="M4994">
        <v>-0.80092640000000004</v>
      </c>
      <c r="N4994">
        <v>0</v>
      </c>
      <c r="O4994">
        <v>-0.59863469999999996</v>
      </c>
      <c r="P4994">
        <v>-0.79847419999999902</v>
      </c>
      <c r="Q4994">
        <v>-5.4063719999999996E-3</v>
      </c>
      <c r="R4994">
        <v>-0.602004599999999</v>
      </c>
      <c r="S4994">
        <v>-2.6941830000000002</v>
      </c>
      <c r="T4994">
        <v>-0.75176269999999901</v>
      </c>
      <c r="U4994">
        <v>-1.396393</v>
      </c>
      <c r="V4994">
        <v>-4.3031639999999999E-3</v>
      </c>
      <c r="W4994">
        <v>6.9034179999999997E-3</v>
      </c>
      <c r="X4994">
        <v>0.99996689999999999</v>
      </c>
      <c r="Y4994">
        <v>0.14399870000000001</v>
      </c>
      <c r="Z4994">
        <v>0.15952269999999999</v>
      </c>
      <c r="AA4994">
        <v>0.97663549999999999</v>
      </c>
      <c r="AB4994">
        <v>26</v>
      </c>
      <c r="AC4994">
        <v>-0.58179999999998699</v>
      </c>
      <c r="AD4994">
        <v>-0.2165733</v>
      </c>
      <c r="AE4994">
        <v>-0.24479999999999699</v>
      </c>
      <c r="AF4994">
        <v>0.13619673261183099</v>
      </c>
      <c r="AG4994">
        <v>-0.2165733</v>
      </c>
      <c r="AH4994">
        <v>0.54805203535687896</v>
      </c>
      <c r="AI4994">
        <v>110.982042872005</v>
      </c>
      <c r="AJ4994">
        <v>76.044101926659593</v>
      </c>
      <c r="AK4994">
        <v>0.60482607227685403</v>
      </c>
      <c r="AL4994">
        <v>89.604460137777593</v>
      </c>
      <c r="AM4994">
        <v>90.246559774971104</v>
      </c>
      <c r="AN4994">
        <v>0.99999998774805099</v>
      </c>
    </row>
    <row r="4995" spans="1:40" x14ac:dyDescent="0.25">
      <c r="A4995" t="str">
        <f>"20190312154936713"</f>
        <v>20190312154936713</v>
      </c>
      <c r="B4995" t="str">
        <f>"1552376976701433"</f>
        <v>1552376976701433</v>
      </c>
      <c r="C4995" t="s">
        <v>40</v>
      </c>
      <c r="D4995">
        <v>4.1627390000000002</v>
      </c>
      <c r="E4995">
        <v>0.56336189999999997</v>
      </c>
      <c r="F4995" t="s">
        <v>41</v>
      </c>
      <c r="G4995">
        <v>-411.61950000000002</v>
      </c>
      <c r="H4995">
        <v>0.90359020000000001</v>
      </c>
      <c r="I4995">
        <v>128.46199999999999</v>
      </c>
      <c r="J4995">
        <v>-411.06959999999998</v>
      </c>
      <c r="K4995">
        <v>1.1178060000000001</v>
      </c>
      <c r="L4995">
        <v>128.69489999999999</v>
      </c>
      <c r="M4995">
        <v>-0.79368950000000005</v>
      </c>
      <c r="N4995">
        <v>0</v>
      </c>
      <c r="O4995">
        <v>-0.60819619999999996</v>
      </c>
      <c r="P4995">
        <v>-0.79093619999999898</v>
      </c>
      <c r="Q4995">
        <v>-6.4168009999999998E-3</v>
      </c>
      <c r="R4995">
        <v>-0.61186560000000001</v>
      </c>
      <c r="S4995">
        <v>-2.6770939999999999</v>
      </c>
      <c r="T4995">
        <v>-0.76115509999999997</v>
      </c>
      <c r="U4995">
        <v>-1.425705</v>
      </c>
      <c r="V4995">
        <v>-4.7051539999999996E-3</v>
      </c>
      <c r="W4995">
        <v>5.9273529999999998E-3</v>
      </c>
      <c r="X4995">
        <v>0.99997139999999995</v>
      </c>
      <c r="Y4995">
        <v>0.14420959999999999</v>
      </c>
      <c r="Z4995">
        <v>0.16373099999999999</v>
      </c>
      <c r="AA4995">
        <v>0.97590759999999999</v>
      </c>
      <c r="AB4995">
        <v>26</v>
      </c>
      <c r="AC4995">
        <v>-0.54990000000003603</v>
      </c>
      <c r="AD4995">
        <v>-0.21421579999999901</v>
      </c>
      <c r="AE4995">
        <v>-0.23289999999997199</v>
      </c>
      <c r="AF4995">
        <v>0.13255261630468601</v>
      </c>
      <c r="AG4995">
        <v>-0.21421579999999901</v>
      </c>
      <c r="AH4995">
        <v>0.51223354339902605</v>
      </c>
      <c r="AI4995">
        <v>112.041228437485</v>
      </c>
      <c r="AJ4995">
        <v>75.491611369764399</v>
      </c>
      <c r="AK4995">
        <v>0.57082554957007603</v>
      </c>
      <c r="AL4995">
        <v>89.660385713118401</v>
      </c>
      <c r="AM4995">
        <v>90.269591186976001</v>
      </c>
      <c r="AN4995">
        <v>1.0000000364028501</v>
      </c>
    </row>
    <row r="4996" spans="1:40" x14ac:dyDescent="0.25">
      <c r="A4996" t="str">
        <f>"20190312154936735"</f>
        <v>20190312154936735</v>
      </c>
      <c r="B4996" t="str">
        <f>"1552376976731688"</f>
        <v>1552376976731688</v>
      </c>
      <c r="C4996" t="s">
        <v>40</v>
      </c>
      <c r="D4996">
        <v>4.1433220000000004</v>
      </c>
      <c r="E4996">
        <v>0.56304189999999998</v>
      </c>
      <c r="F4996" t="s">
        <v>41</v>
      </c>
      <c r="G4996">
        <v>-411.78879999999998</v>
      </c>
      <c r="H4996">
        <v>0.91075119999999998</v>
      </c>
      <c r="I4996">
        <v>128.3005</v>
      </c>
      <c r="J4996">
        <v>-411.26440000000002</v>
      </c>
      <c r="K4996">
        <v>1.117874</v>
      </c>
      <c r="L4996">
        <v>128.52969999999999</v>
      </c>
      <c r="M4996">
        <v>-0.78650339999999996</v>
      </c>
      <c r="N4996">
        <v>0</v>
      </c>
      <c r="O4996">
        <v>-0.61746020000000001</v>
      </c>
      <c r="P4996">
        <v>-0.78384069999999995</v>
      </c>
      <c r="Q4996">
        <v>-5.6613039999999998E-3</v>
      </c>
      <c r="R4996">
        <v>-0.62093659999999995</v>
      </c>
      <c r="S4996">
        <v>-2.6582340000000002</v>
      </c>
      <c r="T4996">
        <v>-0.76705880000000004</v>
      </c>
      <c r="U4996">
        <v>-1.4587859999999999</v>
      </c>
      <c r="V4996">
        <v>-4.5134490000000001E-3</v>
      </c>
      <c r="W4996">
        <v>6.7227019999999997E-3</v>
      </c>
      <c r="X4996">
        <v>0.99996719999999895</v>
      </c>
      <c r="Y4996">
        <v>0.14302770000000001</v>
      </c>
      <c r="Z4996">
        <v>0.16701489999999999</v>
      </c>
      <c r="AA4996">
        <v>0.97552499999999998</v>
      </c>
      <c r="AB4996">
        <v>26</v>
      </c>
      <c r="AC4996">
        <v>-0.52439999999995701</v>
      </c>
      <c r="AD4996">
        <v>-0.2071228</v>
      </c>
      <c r="AE4996">
        <v>-0.22919999999999099</v>
      </c>
      <c r="AF4996">
        <v>0.12691701393697</v>
      </c>
      <c r="AG4996">
        <v>-0.2071228</v>
      </c>
      <c r="AH4996">
        <v>0.48984679464598502</v>
      </c>
      <c r="AI4996">
        <v>112.260078639241</v>
      </c>
      <c r="AJ4996">
        <v>75.474346494628307</v>
      </c>
      <c r="AK4996">
        <v>0.54677021218374999</v>
      </c>
      <c r="AL4996">
        <v>89.614814640695997</v>
      </c>
      <c r="AM4996">
        <v>90.258608304996102</v>
      </c>
      <c r="AN4996">
        <v>0.99999998350994701</v>
      </c>
    </row>
    <row r="4997" spans="1:40" x14ac:dyDescent="0.25">
      <c r="A4997" t="str">
        <f>"20190312154936757"</f>
        <v>20190312154936757</v>
      </c>
      <c r="B4997" t="str">
        <f>"1552376976751208"</f>
        <v>1552376976751208</v>
      </c>
      <c r="C4997" t="s">
        <v>40</v>
      </c>
      <c r="D4997">
        <v>4.1952949999999998</v>
      </c>
      <c r="E4997">
        <v>0.56315919999999997</v>
      </c>
      <c r="F4997" t="s">
        <v>41</v>
      </c>
      <c r="G4997">
        <v>-411.95710000000003</v>
      </c>
      <c r="H4997">
        <v>0.91705689999999995</v>
      </c>
      <c r="I4997">
        <v>128.13849999999999</v>
      </c>
      <c r="J4997">
        <v>-411.45440000000002</v>
      </c>
      <c r="K4997">
        <v>1.1179380000000001</v>
      </c>
      <c r="L4997">
        <v>128.3646</v>
      </c>
      <c r="M4997">
        <v>-0.77925639999999996</v>
      </c>
      <c r="N4997">
        <v>0</v>
      </c>
      <c r="O4997">
        <v>-0.62658069999999999</v>
      </c>
      <c r="P4997">
        <v>-0.77688119999999905</v>
      </c>
      <c r="Q4997">
        <v>-5.2560769999999996E-3</v>
      </c>
      <c r="R4997">
        <v>-0.62962569999999995</v>
      </c>
      <c r="S4997">
        <v>-2.6404109999999998</v>
      </c>
      <c r="T4997">
        <v>-0.76590530000000001</v>
      </c>
      <c r="U4997">
        <v>-1.491241</v>
      </c>
      <c r="V4997">
        <v>-4.0065750000000001E-3</v>
      </c>
      <c r="W4997">
        <v>7.1737789999999999E-3</v>
      </c>
      <c r="X4997">
        <v>0.99996629999999997</v>
      </c>
      <c r="Y4997">
        <v>0.14247119999999999</v>
      </c>
      <c r="Z4997">
        <v>0.1688057</v>
      </c>
      <c r="AA4997">
        <v>0.9752982</v>
      </c>
      <c r="AB4997">
        <v>26</v>
      </c>
      <c r="AC4997">
        <v>-0.50270000000000403</v>
      </c>
      <c r="AD4997">
        <v>-0.20088109999999901</v>
      </c>
      <c r="AE4997">
        <v>-0.22610000000000199</v>
      </c>
      <c r="AF4997">
        <v>0.122529260918939</v>
      </c>
      <c r="AG4997">
        <v>-0.20088109999999901</v>
      </c>
      <c r="AH4997">
        <v>0.47090068528241602</v>
      </c>
      <c r="AI4997">
        <v>112.432902213001</v>
      </c>
      <c r="AJ4997">
        <v>75.414947899238399</v>
      </c>
      <c r="AK4997">
        <v>0.52641627208702502</v>
      </c>
      <c r="AL4997">
        <v>89.588969238624102</v>
      </c>
      <c r="AM4997">
        <v>90.229566345770095</v>
      </c>
      <c r="AN4997">
        <v>1.0000000584420199</v>
      </c>
    </row>
    <row r="4998" spans="1:40" x14ac:dyDescent="0.25">
      <c r="A4998" t="str">
        <f>"20190312154936780"</f>
        <v>20190312154936780</v>
      </c>
      <c r="B4998" t="str">
        <f>"1552376976771235"</f>
        <v>1552376976771235</v>
      </c>
      <c r="C4998" t="s">
        <v>40</v>
      </c>
      <c r="D4998">
        <v>4.1893129999999896</v>
      </c>
      <c r="E4998">
        <v>0.56327890000000003</v>
      </c>
      <c r="F4998" t="s">
        <v>41</v>
      </c>
      <c r="G4998">
        <v>-412.12450000000001</v>
      </c>
      <c r="H4998">
        <v>0.92213880000000004</v>
      </c>
      <c r="I4998">
        <v>127.9766</v>
      </c>
      <c r="J4998">
        <v>-411.6499</v>
      </c>
      <c r="K4998">
        <v>1.117998</v>
      </c>
      <c r="L4998">
        <v>128.19059999999999</v>
      </c>
      <c r="M4998">
        <v>-0.77154880000000003</v>
      </c>
      <c r="N4998">
        <v>0</v>
      </c>
      <c r="O4998">
        <v>-0.63604649999999996</v>
      </c>
      <c r="P4998">
        <v>-0.76926019999999995</v>
      </c>
      <c r="Q4998">
        <v>-5.440561E-3</v>
      </c>
      <c r="R4998">
        <v>-0.63891279999999995</v>
      </c>
      <c r="S4998">
        <v>-2.6245120000000002</v>
      </c>
      <c r="T4998">
        <v>-0.7680806</v>
      </c>
      <c r="U4998">
        <v>-1.520065</v>
      </c>
      <c r="V4998">
        <v>-3.811081E-3</v>
      </c>
      <c r="W4998">
        <v>7.034546E-3</v>
      </c>
      <c r="X4998">
        <v>0.99996799999999997</v>
      </c>
      <c r="Y4998">
        <v>0.143587299999999</v>
      </c>
      <c r="Z4998">
        <v>0.1715274</v>
      </c>
      <c r="AA4998">
        <v>0.97465939999999995</v>
      </c>
      <c r="AB4998">
        <v>26</v>
      </c>
      <c r="AC4998">
        <v>-0.47460000000000901</v>
      </c>
      <c r="AD4998">
        <v>-0.19585920000000001</v>
      </c>
      <c r="AE4998">
        <v>-0.21399999999998401</v>
      </c>
      <c r="AF4998">
        <v>0.119810095969916</v>
      </c>
      <c r="AG4998">
        <v>-0.19585920000000001</v>
      </c>
      <c r="AH4998">
        <v>0.44004968682194801</v>
      </c>
      <c r="AI4998">
        <v>113.241180601987</v>
      </c>
      <c r="AJ4998">
        <v>74.769540680116407</v>
      </c>
      <c r="AK4998">
        <v>0.49634565797743702</v>
      </c>
      <c r="AL4998">
        <v>89.596946881248599</v>
      </c>
      <c r="AM4998">
        <v>90.2183647871245</v>
      </c>
      <c r="AN4998">
        <v>1.0000000050999001</v>
      </c>
    </row>
    <row r="4999" spans="1:40" x14ac:dyDescent="0.25">
      <c r="A4999" t="str">
        <f>"20190312154936801"</f>
        <v>20190312154936801</v>
      </c>
      <c r="B4999" t="str">
        <f>"1552376976790756"</f>
        <v>1552376976790756</v>
      </c>
      <c r="C4999" t="s">
        <v>40</v>
      </c>
      <c r="D4999">
        <v>4.2774640000000002</v>
      </c>
      <c r="E4999">
        <v>0.56321189999999999</v>
      </c>
      <c r="F4999" t="s">
        <v>41</v>
      </c>
      <c r="G4999">
        <v>-412.28899999999999</v>
      </c>
      <c r="H4999">
        <v>0.92902300000000004</v>
      </c>
      <c r="I4999">
        <v>127.8105</v>
      </c>
      <c r="J4999">
        <v>-411.83300000000003</v>
      </c>
      <c r="K4999">
        <v>1.1180639999999999</v>
      </c>
      <c r="L4999">
        <v>128.02350000000001</v>
      </c>
      <c r="M4999">
        <v>-0.76408480000000001</v>
      </c>
      <c r="N4999">
        <v>0</v>
      </c>
      <c r="O4999">
        <v>-0.64499309999999999</v>
      </c>
      <c r="P4999">
        <v>-0.76175950000000003</v>
      </c>
      <c r="Q4999">
        <v>-5.1926890000000003E-3</v>
      </c>
      <c r="R4999">
        <v>-0.6478391</v>
      </c>
      <c r="S4999">
        <v>-2.606506</v>
      </c>
      <c r="T4999">
        <v>-0.77145699999999995</v>
      </c>
      <c r="U4999">
        <v>-1.5506439999999999</v>
      </c>
      <c r="V4999">
        <v>-3.8253779999999999E-3</v>
      </c>
      <c r="W4999">
        <v>7.3215939999999998E-3</v>
      </c>
      <c r="X4999">
        <v>0.99996589999999996</v>
      </c>
      <c r="Y4999">
        <v>0.14330670000000001</v>
      </c>
      <c r="Z4999">
        <v>0.1742881</v>
      </c>
      <c r="AA4999">
        <v>0.97421089999999999</v>
      </c>
      <c r="AB4999">
        <v>26</v>
      </c>
      <c r="AC4999">
        <v>-0.45599999999995999</v>
      </c>
      <c r="AD4999">
        <v>-0.18904099999999999</v>
      </c>
      <c r="AE4999">
        <v>-0.21300000000000799</v>
      </c>
      <c r="AF4999">
        <v>0.115133984224757</v>
      </c>
      <c r="AG4999">
        <v>-0.18904099999999999</v>
      </c>
      <c r="AH4999">
        <v>0.42577582014867099</v>
      </c>
      <c r="AI4999">
        <v>113.19989695124301</v>
      </c>
      <c r="AJ4999">
        <v>74.868538956674101</v>
      </c>
      <c r="AK4999">
        <v>0.47987225698902403</v>
      </c>
      <c r="AL4999">
        <v>89.5804998249764</v>
      </c>
      <c r="AM4999">
        <v>90.219184419452304</v>
      </c>
      <c r="AN4999">
        <v>1.0000000202091699</v>
      </c>
    </row>
    <row r="5000" spans="1:40" x14ac:dyDescent="0.25">
      <c r="A5000" t="str">
        <f>"20190312154936826"</f>
        <v>20190312154936826</v>
      </c>
      <c r="B5000" t="str">
        <f>"1552376976821011"</f>
        <v>1552376976821011</v>
      </c>
      <c r="C5000" t="s">
        <v>40</v>
      </c>
      <c r="D5000">
        <v>4.2695400000000001</v>
      </c>
      <c r="E5000">
        <v>0.46418179999999998</v>
      </c>
      <c r="F5000" t="s">
        <v>41</v>
      </c>
      <c r="G5000">
        <v>-412.45240000000001</v>
      </c>
      <c r="H5000">
        <v>0.93357049999999997</v>
      </c>
      <c r="I5000">
        <v>127.64490000000001</v>
      </c>
      <c r="J5000">
        <v>-412.03269999999998</v>
      </c>
      <c r="K5000">
        <v>1.118144</v>
      </c>
      <c r="L5000">
        <v>127.8369</v>
      </c>
      <c r="M5000">
        <v>-0.75567249999999997</v>
      </c>
      <c r="N5000">
        <v>0</v>
      </c>
      <c r="O5000">
        <v>-0.65482819999999997</v>
      </c>
      <c r="P5000">
        <v>-0.75352540000000001</v>
      </c>
      <c r="Q5000">
        <v>-4.2621869999999997E-3</v>
      </c>
      <c r="R5000">
        <v>-0.65740569999999998</v>
      </c>
      <c r="S5000">
        <v>-2.587555</v>
      </c>
      <c r="T5000">
        <v>-0.77187709999999998</v>
      </c>
      <c r="U5000">
        <v>-1.582047</v>
      </c>
      <c r="V5000">
        <v>-3.5254309999999999E-3</v>
      </c>
      <c r="W5000">
        <v>8.3000339999999995E-3</v>
      </c>
      <c r="X5000">
        <v>0.9999593</v>
      </c>
      <c r="Y5000">
        <v>0.1440341</v>
      </c>
      <c r="Z5000">
        <v>0.1767137</v>
      </c>
      <c r="AA5000">
        <v>0.97366649999999999</v>
      </c>
      <c r="AB5000">
        <v>26</v>
      </c>
      <c r="AC5000">
        <v>-0.41970000000003399</v>
      </c>
      <c r="AD5000">
        <v>-0.1845735</v>
      </c>
      <c r="AE5000">
        <v>-0.19199999999999301</v>
      </c>
      <c r="AF5000">
        <v>0.11186227814625101</v>
      </c>
      <c r="AG5000">
        <v>-0.1845735</v>
      </c>
      <c r="AH5000">
        <v>0.38184835725694199</v>
      </c>
      <c r="AI5000">
        <v>114.885338947639</v>
      </c>
      <c r="AJ5000">
        <v>73.672081203971999</v>
      </c>
      <c r="AK5000">
        <v>0.43862137899804199</v>
      </c>
      <c r="AL5000">
        <v>89.524437602772295</v>
      </c>
      <c r="AM5000">
        <v>90.201999701758993</v>
      </c>
      <c r="AN5000">
        <v>0.99999996044231199</v>
      </c>
    </row>
    <row r="5001" spans="1:40" x14ac:dyDescent="0.25">
      <c r="A5001" t="str">
        <f>"20190312154936845"</f>
        <v>20190312154936845</v>
      </c>
      <c r="B5001" t="str">
        <f>"1552376976840531"</f>
        <v>1552376976840531</v>
      </c>
      <c r="C5001" t="s">
        <v>40</v>
      </c>
      <c r="D5001">
        <v>3.9889429999999999</v>
      </c>
      <c r="E5001">
        <v>0.45028770000000001</v>
      </c>
      <c r="F5001" t="s">
        <v>42</v>
      </c>
      <c r="G5001">
        <v>-420.9418</v>
      </c>
      <c r="H5001" s="1">
        <v>-4.01406799999999E-6</v>
      </c>
      <c r="I5001">
        <v>118.3618</v>
      </c>
      <c r="J5001">
        <v>-412.19990000000001</v>
      </c>
      <c r="K5001">
        <v>1.118212</v>
      </c>
      <c r="L5001">
        <v>127.6764</v>
      </c>
      <c r="M5001">
        <v>-0.74838349999999998</v>
      </c>
      <c r="N5001">
        <v>0</v>
      </c>
      <c r="O5001">
        <v>-0.66314549999999906</v>
      </c>
      <c r="P5001">
        <v>-0.74671999999999905</v>
      </c>
      <c r="Q5001">
        <v>-3.1794779999999999E-3</v>
      </c>
      <c r="R5001">
        <v>-0.66513159999999905</v>
      </c>
      <c r="S5001">
        <v>-2.064362</v>
      </c>
      <c r="T5001">
        <v>-0.2590886</v>
      </c>
      <c r="U5001">
        <v>-2.1954799999999999</v>
      </c>
      <c r="V5001">
        <v>-2.7863340000000001E-3</v>
      </c>
      <c r="W5001">
        <v>9.4315249999999996E-3</v>
      </c>
      <c r="X5001">
        <v>0.9999517</v>
      </c>
      <c r="Y5001">
        <v>-9.245217E-2</v>
      </c>
      <c r="Z5001">
        <v>5.389157E-2</v>
      </c>
      <c r="AA5001">
        <v>0.99425770000000002</v>
      </c>
      <c r="AB5001">
        <v>26</v>
      </c>
      <c r="AC5001">
        <v>-8.7418999999999798</v>
      </c>
      <c r="AD5001">
        <v>-1.118216014068</v>
      </c>
      <c r="AE5001">
        <v>-9.3146000000000004</v>
      </c>
      <c r="AF5001">
        <v>-1.16490905872966</v>
      </c>
      <c r="AG5001">
        <v>-1.118216014068</v>
      </c>
      <c r="AH5001">
        <v>12.6235183234246</v>
      </c>
      <c r="AI5001">
        <v>95.040852817565906</v>
      </c>
      <c r="AJ5001">
        <v>95.272371256749594</v>
      </c>
      <c r="AK5001">
        <v>12.7263755653786</v>
      </c>
      <c r="AL5001">
        <v>89.459605443577203</v>
      </c>
      <c r="AM5001">
        <v>90.159652476546896</v>
      </c>
      <c r="AN5001">
        <v>1.0000000598269301</v>
      </c>
    </row>
    <row r="5002" spans="1:40" x14ac:dyDescent="0.25">
      <c r="A5002" t="str">
        <f>"20190312154936868"</f>
        <v>20190312154936868</v>
      </c>
      <c r="B5002" t="str">
        <f>"1552376976860559"</f>
        <v>1552376976860559</v>
      </c>
      <c r="C5002" t="s">
        <v>40</v>
      </c>
      <c r="D5002">
        <v>4.1053089999999903</v>
      </c>
      <c r="E5002">
        <v>0.42354380000000003</v>
      </c>
      <c r="F5002" t="s">
        <v>42</v>
      </c>
      <c r="G5002">
        <v>-423.56580000000002</v>
      </c>
      <c r="H5002" s="1">
        <v>-3.0203070000000001E-6</v>
      </c>
      <c r="I5002">
        <v>114.4179</v>
      </c>
      <c r="J5002">
        <v>-412.38560000000001</v>
      </c>
      <c r="K5002">
        <v>1.1182799999999999</v>
      </c>
      <c r="L5002">
        <v>127.4937</v>
      </c>
      <c r="M5002">
        <v>-0.74002619999999997</v>
      </c>
      <c r="N5002">
        <v>0</v>
      </c>
      <c r="O5002">
        <v>-0.67245790000000005</v>
      </c>
      <c r="P5002">
        <v>-0.73859519999999901</v>
      </c>
      <c r="Q5002">
        <v>-2.167642E-3</v>
      </c>
      <c r="R5002">
        <v>-0.67414580000000002</v>
      </c>
      <c r="S5002">
        <v>-1.96991</v>
      </c>
      <c r="T5002">
        <v>-0.19380629999999999</v>
      </c>
      <c r="U5002">
        <v>-2.2979280000000002</v>
      </c>
      <c r="V5002">
        <v>-2.4315579999999999E-3</v>
      </c>
      <c r="W5002">
        <v>1.048671E-2</v>
      </c>
      <c r="X5002">
        <v>0.99994209999999994</v>
      </c>
      <c r="Y5002">
        <v>-0.12495340000000001</v>
      </c>
      <c r="Z5002">
        <v>4.0029299999999997E-2</v>
      </c>
      <c r="AA5002">
        <v>0.99135479999999998</v>
      </c>
      <c r="AB5002">
        <v>26</v>
      </c>
      <c r="AC5002">
        <v>-11.180199999999999</v>
      </c>
      <c r="AD5002">
        <v>-1.118283020307</v>
      </c>
      <c r="AE5002">
        <v>-13.075799999999999</v>
      </c>
      <c r="AF5002">
        <v>-2.1493138199017099</v>
      </c>
      <c r="AG5002">
        <v>-1.118283020307</v>
      </c>
      <c r="AH5002">
        <v>16.996132407386199</v>
      </c>
      <c r="AI5002">
        <v>93.734766291717705</v>
      </c>
      <c r="AJ5002">
        <v>97.207309694660395</v>
      </c>
      <c r="AK5002">
        <v>17.1679533905277</v>
      </c>
      <c r="AL5002">
        <v>89.399144789007394</v>
      </c>
      <c r="AM5002">
        <v>90.139325803402997</v>
      </c>
      <c r="AN5002">
        <v>1.00000004345666</v>
      </c>
    </row>
    <row r="5003" spans="1:40" x14ac:dyDescent="0.25">
      <c r="A5003" t="str">
        <f>"20190312154936889"</f>
        <v>20190312154936889</v>
      </c>
      <c r="B5003" t="str">
        <f>"1552376976881055"</f>
        <v>1552376976881055</v>
      </c>
      <c r="C5003" t="s">
        <v>40</v>
      </c>
      <c r="D5003">
        <v>4.1040340000000004</v>
      </c>
      <c r="E5003">
        <v>0.41367470000000001</v>
      </c>
      <c r="F5003" t="s">
        <v>42</v>
      </c>
      <c r="G5003">
        <v>-425.48180000000002</v>
      </c>
      <c r="H5003" s="1">
        <v>-5.6459889999999997E-6</v>
      </c>
      <c r="I5003">
        <v>109.45650000000001</v>
      </c>
      <c r="J5003">
        <v>-412.56040000000002</v>
      </c>
      <c r="K5003">
        <v>1.1183369999999999</v>
      </c>
      <c r="L5003">
        <v>127.3173</v>
      </c>
      <c r="M5003">
        <v>-0.73190580000000005</v>
      </c>
      <c r="N5003">
        <v>0</v>
      </c>
      <c r="O5003">
        <v>-0.68128679999999997</v>
      </c>
      <c r="P5003">
        <v>-0.73056639999999995</v>
      </c>
      <c r="Q5003">
        <v>-1.3162789999999901E-3</v>
      </c>
      <c r="R5003">
        <v>-0.68284049999999996</v>
      </c>
      <c r="S5003">
        <v>-1.799347</v>
      </c>
      <c r="T5003">
        <v>-0.15364620000000001</v>
      </c>
      <c r="U5003">
        <v>-2.4782099999999998</v>
      </c>
      <c r="V5003">
        <v>-2.289447E-3</v>
      </c>
      <c r="W5003">
        <v>1.137262E-2</v>
      </c>
      <c r="X5003">
        <v>0.99993270000000001</v>
      </c>
      <c r="Y5003">
        <v>-0.19238620000000001</v>
      </c>
      <c r="Z5003">
        <v>3.0588009999999999E-2</v>
      </c>
      <c r="AA5003">
        <v>0.98084249999999995</v>
      </c>
      <c r="AB5003">
        <v>26</v>
      </c>
      <c r="AC5003">
        <v>-12.9214</v>
      </c>
      <c r="AD5003">
        <v>-1.118342645989</v>
      </c>
      <c r="AE5003">
        <v>-17.860799999999902</v>
      </c>
      <c r="AF5003">
        <v>-4.2586301495625198</v>
      </c>
      <c r="AG5003">
        <v>-1.118342645989</v>
      </c>
      <c r="AH5003">
        <v>21.571811851830802</v>
      </c>
      <c r="AI5003">
        <v>92.911619677029506</v>
      </c>
      <c r="AJ5003">
        <v>101.16752789555601</v>
      </c>
      <c r="AK5003">
        <v>22.016577563177002</v>
      </c>
      <c r="AL5003">
        <v>89.348382819491604</v>
      </c>
      <c r="AM5003">
        <v>90.131184250000103</v>
      </c>
      <c r="AN5003">
        <v>0.99999999129126005</v>
      </c>
    </row>
    <row r="5004" spans="1:40" x14ac:dyDescent="0.25">
      <c r="A5004" t="str">
        <f>"20190312154936913"</f>
        <v>20190312154936913</v>
      </c>
      <c r="B5004" t="str">
        <f>"1552376976900574"</f>
        <v>1552376976900574</v>
      </c>
      <c r="C5004" t="s">
        <v>40</v>
      </c>
      <c r="D5004">
        <v>4.0291499999999996</v>
      </c>
      <c r="E5004">
        <v>0.40844849999999999</v>
      </c>
      <c r="F5004" t="s">
        <v>42</v>
      </c>
      <c r="G5004">
        <v>-425.06869999999998</v>
      </c>
      <c r="H5004" s="1">
        <v>-5.272911E-6</v>
      </c>
      <c r="I5004">
        <v>108.6758</v>
      </c>
      <c r="J5004">
        <v>-412.74130000000002</v>
      </c>
      <c r="K5004">
        <v>1.118387</v>
      </c>
      <c r="L5004">
        <v>127.1301</v>
      </c>
      <c r="M5004">
        <v>-0.72322319999999995</v>
      </c>
      <c r="N5004">
        <v>0</v>
      </c>
      <c r="O5004">
        <v>-0.69049629999999995</v>
      </c>
      <c r="P5004">
        <v>-0.7219411</v>
      </c>
      <c r="Q5004">
        <v>-1.7394680000000001E-3</v>
      </c>
      <c r="R5004">
        <v>-0.69195229999999996</v>
      </c>
      <c r="S5004">
        <v>-1.7159120000000001</v>
      </c>
      <c r="T5004">
        <v>-0.1534162</v>
      </c>
      <c r="U5004">
        <v>-2.5572810000000001</v>
      </c>
      <c r="V5004">
        <v>-2.1716859999999999E-3</v>
      </c>
      <c r="W5004">
        <v>1.098212E-2</v>
      </c>
      <c r="X5004">
        <v>0.99993739999999998</v>
      </c>
      <c r="Y5004">
        <v>-0.2161999</v>
      </c>
      <c r="Z5004">
        <v>3.0430820000000001E-2</v>
      </c>
      <c r="AA5004">
        <v>0.97587480000000004</v>
      </c>
      <c r="AB5004">
        <v>26</v>
      </c>
      <c r="AC5004">
        <v>-12.3273999999999</v>
      </c>
      <c r="AD5004">
        <v>-1.1183922729109901</v>
      </c>
      <c r="AE5004">
        <v>-18.4543</v>
      </c>
      <c r="AF5004">
        <v>-4.8227004701818101</v>
      </c>
      <c r="AG5004">
        <v>-1.1183922729109901</v>
      </c>
      <c r="AH5004">
        <v>21.604986326705198</v>
      </c>
      <c r="AI5004">
        <v>92.892242063875401</v>
      </c>
      <c r="AJ5004">
        <v>102.583363839943</v>
      </c>
      <c r="AK5004">
        <v>22.1649424830816</v>
      </c>
      <c r="AL5004">
        <v>89.370758264961395</v>
      </c>
      <c r="AM5004">
        <v>90.124436036288898</v>
      </c>
      <c r="AN5004">
        <v>1.0000000635492601</v>
      </c>
    </row>
    <row r="5005" spans="1:40" x14ac:dyDescent="0.25">
      <c r="A5005" t="str">
        <f>"20190312154936934"</f>
        <v>20190312154936934</v>
      </c>
      <c r="B5005" t="str">
        <f>"1552376976930831"</f>
        <v>1552376976930831</v>
      </c>
      <c r="C5005" t="s">
        <v>40</v>
      </c>
      <c r="D5005">
        <v>4.0140440000000002</v>
      </c>
      <c r="E5005">
        <v>0.4046883</v>
      </c>
      <c r="F5005" t="s">
        <v>42</v>
      </c>
      <c r="G5005">
        <v>-424.31060000000002</v>
      </c>
      <c r="H5005" s="1">
        <v>-5.2197570000000003E-6</v>
      </c>
      <c r="I5005">
        <v>108.8875</v>
      </c>
      <c r="J5005">
        <v>-412.9135</v>
      </c>
      <c r="K5005">
        <v>1.1184289999999999</v>
      </c>
      <c r="L5005">
        <v>126.94750000000001</v>
      </c>
      <c r="M5005">
        <v>-0.71469629999999995</v>
      </c>
      <c r="N5005">
        <v>0</v>
      </c>
      <c r="O5005">
        <v>-0.69931809999999905</v>
      </c>
      <c r="P5005">
        <v>-0.71280159999999904</v>
      </c>
      <c r="Q5005">
        <v>-3.1983770000000001E-3</v>
      </c>
      <c r="R5005">
        <v>-0.70135859999999906</v>
      </c>
      <c r="S5005">
        <v>-1.654541</v>
      </c>
      <c r="T5005">
        <v>-0.15994249999999999</v>
      </c>
      <c r="U5005">
        <v>-2.6089020000000001</v>
      </c>
      <c r="V5005">
        <v>-2.9875470000000001E-3</v>
      </c>
      <c r="W5005">
        <v>9.5326109999999999E-3</v>
      </c>
      <c r="X5005">
        <v>0.99995009999999995</v>
      </c>
      <c r="Y5005">
        <v>-0.22941220000000001</v>
      </c>
      <c r="Z5005">
        <v>3.1873930000000002E-2</v>
      </c>
      <c r="AA5005">
        <v>0.97280730000000004</v>
      </c>
      <c r="AB5005">
        <v>26</v>
      </c>
      <c r="AC5005">
        <v>-11.3971</v>
      </c>
      <c r="AD5005">
        <v>-1.1184342197570001</v>
      </c>
      <c r="AE5005">
        <v>-18.059999999999999</v>
      </c>
      <c r="AF5005">
        <v>-4.9241141821190499</v>
      </c>
      <c r="AG5005">
        <v>-1.1184342197570001</v>
      </c>
      <c r="AH5005">
        <v>20.720015763611102</v>
      </c>
      <c r="AI5005">
        <v>93.006173780941893</v>
      </c>
      <c r="AJ5005">
        <v>103.368360021391</v>
      </c>
      <c r="AK5005">
        <v>21.326435445867698</v>
      </c>
      <c r="AL5005">
        <v>89.4538133493065</v>
      </c>
      <c r="AM5005">
        <v>90.171181866856898</v>
      </c>
      <c r="AN5005">
        <v>0.99999999929978201</v>
      </c>
    </row>
    <row r="5006" spans="1:40" x14ac:dyDescent="0.25">
      <c r="A5006" t="str">
        <f>"20190312154936957"</f>
        <v>20190312154936957</v>
      </c>
      <c r="B5006" t="str">
        <f>"1552376976951327"</f>
        <v>1552376976951327</v>
      </c>
      <c r="C5006" t="s">
        <v>40</v>
      </c>
      <c r="D5006">
        <v>3.975393</v>
      </c>
      <c r="E5006">
        <v>0.40328829999999999</v>
      </c>
      <c r="F5006" t="s">
        <v>42</v>
      </c>
      <c r="G5006">
        <v>-423.66219999999998</v>
      </c>
      <c r="H5006" s="1">
        <v>-5.1951749999999998E-6</v>
      </c>
      <c r="I5006">
        <v>109.123</v>
      </c>
      <c r="J5006">
        <v>-413.08859999999999</v>
      </c>
      <c r="K5006">
        <v>1.1184620000000001</v>
      </c>
      <c r="L5006">
        <v>126.75700000000001</v>
      </c>
      <c r="M5006">
        <v>-0.70575739999999998</v>
      </c>
      <c r="N5006">
        <v>0</v>
      </c>
      <c r="O5006">
        <v>-0.70833760000000001</v>
      </c>
      <c r="P5006">
        <v>-0.70305340000000005</v>
      </c>
      <c r="Q5006">
        <v>-4.0402620000000002E-3</v>
      </c>
      <c r="R5006">
        <v>-0.71112589999999998</v>
      </c>
      <c r="S5006">
        <v>-1.5989990000000001</v>
      </c>
      <c r="T5006">
        <v>-0.1663809</v>
      </c>
      <c r="U5006">
        <v>-2.6516109999999999</v>
      </c>
      <c r="V5006">
        <v>-4.0704189999999996E-3</v>
      </c>
      <c r="W5006">
        <v>8.6924580000000001E-3</v>
      </c>
      <c r="X5006">
        <v>0.99995389999999995</v>
      </c>
      <c r="Y5006">
        <v>-0.2389927</v>
      </c>
      <c r="Z5006">
        <v>3.3428590000000001E-2</v>
      </c>
      <c r="AA5006">
        <v>0.97044580000000003</v>
      </c>
      <c r="AB5006">
        <v>26</v>
      </c>
      <c r="AC5006">
        <v>-10.573600000000001</v>
      </c>
      <c r="AD5006">
        <v>-1.118467195175</v>
      </c>
      <c r="AE5006">
        <v>-17.634</v>
      </c>
      <c r="AF5006">
        <v>-4.94143279935951</v>
      </c>
      <c r="AG5006">
        <v>-1.118467195175</v>
      </c>
      <c r="AH5006">
        <v>19.895988001016299</v>
      </c>
      <c r="AI5006">
        <v>93.122858596388895</v>
      </c>
      <c r="AJ5006">
        <v>103.947948582225</v>
      </c>
      <c r="AK5006">
        <v>20.530929484898</v>
      </c>
      <c r="AL5006">
        <v>89.501952553275302</v>
      </c>
      <c r="AM5006">
        <v>90.233227293213602</v>
      </c>
      <c r="AN5006">
        <v>0.999999964631062</v>
      </c>
    </row>
    <row r="5007" spans="1:40" x14ac:dyDescent="0.25">
      <c r="A5007" t="str">
        <f>"20190312154936980"</f>
        <v>20190312154936980</v>
      </c>
      <c r="B5007" t="str">
        <f>"1552376976970846"</f>
        <v>1552376976970846</v>
      </c>
      <c r="C5007" t="s">
        <v>40</v>
      </c>
      <c r="D5007">
        <v>4.0047350000000002</v>
      </c>
      <c r="E5007">
        <v>0.4024104</v>
      </c>
      <c r="F5007" t="s">
        <v>42</v>
      </c>
      <c r="G5007">
        <v>-423.31659999999999</v>
      </c>
      <c r="H5007" s="1">
        <v>-5.1277479999999997E-6</v>
      </c>
      <c r="I5007">
        <v>109.1071</v>
      </c>
      <c r="J5007">
        <v>-413.25850000000003</v>
      </c>
      <c r="K5007">
        <v>1.118493</v>
      </c>
      <c r="L5007">
        <v>126.56740000000001</v>
      </c>
      <c r="M5007">
        <v>-0.69681700000000002</v>
      </c>
      <c r="N5007">
        <v>0</v>
      </c>
      <c r="O5007">
        <v>-0.71713400000000005</v>
      </c>
      <c r="P5007">
        <v>-0.69272630000000002</v>
      </c>
      <c r="Q5007">
        <v>-3.1436390000000002E-3</v>
      </c>
      <c r="R5007">
        <v>-0.72119369999999905</v>
      </c>
      <c r="S5007">
        <v>-1.5538940000000001</v>
      </c>
      <c r="T5007">
        <v>-0.16992309999999999</v>
      </c>
      <c r="U5007">
        <v>-2.681473</v>
      </c>
      <c r="V5007">
        <v>-5.9695169999999997E-3</v>
      </c>
      <c r="W5007">
        <v>9.5707540000000008E-3</v>
      </c>
      <c r="X5007">
        <v>0.99993639999999995</v>
      </c>
      <c r="Y5007">
        <v>-0.24375359999999999</v>
      </c>
      <c r="Z5007">
        <v>3.4554189999999999E-2</v>
      </c>
      <c r="AA5007">
        <v>0.96922140000000001</v>
      </c>
      <c r="AB5007">
        <v>26</v>
      </c>
      <c r="AC5007">
        <v>-10.0580999999999</v>
      </c>
      <c r="AD5007">
        <v>-1.1184981277479999</v>
      </c>
      <c r="AE5007">
        <v>-17.4603</v>
      </c>
      <c r="AF5007">
        <v>-4.9388195196016298</v>
      </c>
      <c r="AG5007">
        <v>-1.1184981277479999</v>
      </c>
      <c r="AH5007">
        <v>19.471644870754599</v>
      </c>
      <c r="AI5007">
        <v>93.186897354945998</v>
      </c>
      <c r="AJ5007">
        <v>104.23245045756001</v>
      </c>
      <c r="AK5007">
        <v>20.119342193067801</v>
      </c>
      <c r="AL5007">
        <v>89.451627827629693</v>
      </c>
      <c r="AM5007">
        <v>90.342045820776505</v>
      </c>
      <c r="AN5007">
        <v>1.0000000192551499</v>
      </c>
    </row>
    <row r="5008" spans="1:40" x14ac:dyDescent="0.25">
      <c r="A5008" t="str">
        <f>"20190312154937004"</f>
        <v>20190312154937004</v>
      </c>
      <c r="B5008" t="str">
        <f>"1552376977001102"</f>
        <v>1552376977001102</v>
      </c>
      <c r="C5008" t="s">
        <v>40</v>
      </c>
      <c r="D5008">
        <v>4.0348860000000002</v>
      </c>
      <c r="E5008">
        <v>0.40174880000000002</v>
      </c>
      <c r="F5008" t="s">
        <v>42</v>
      </c>
      <c r="G5008">
        <v>-423.13350000000003</v>
      </c>
      <c r="H5008" s="1">
        <v>-5.0011810000000002E-6</v>
      </c>
      <c r="I5008">
        <v>108.86199999999999</v>
      </c>
      <c r="J5008">
        <v>-413.43990000000002</v>
      </c>
      <c r="K5008">
        <v>1.118517</v>
      </c>
      <c r="L5008">
        <v>126.3597</v>
      </c>
      <c r="M5008">
        <v>-0.68699600000000005</v>
      </c>
      <c r="N5008">
        <v>0</v>
      </c>
      <c r="O5008">
        <v>-0.72654770000000002</v>
      </c>
      <c r="P5008">
        <v>-0.68133269999999901</v>
      </c>
      <c r="Q5008">
        <v>-2.634848E-3</v>
      </c>
      <c r="R5008">
        <v>-0.73196949999999905</v>
      </c>
      <c r="S5008">
        <v>-1.5104679999999999</v>
      </c>
      <c r="T5008">
        <v>-0.1710846</v>
      </c>
      <c r="U5008">
        <v>-2.7081909999999998</v>
      </c>
      <c r="V5008">
        <v>-8.0583559999999992E-3</v>
      </c>
      <c r="W5008">
        <v>1.0054240000000001E-2</v>
      </c>
      <c r="X5008">
        <v>0.99991699999999994</v>
      </c>
      <c r="Y5008">
        <v>-0.2465</v>
      </c>
      <c r="Z5008">
        <v>3.5301039999999999E-2</v>
      </c>
      <c r="AA5008">
        <v>0.96849969999999996</v>
      </c>
      <c r="AB5008">
        <v>26</v>
      </c>
      <c r="AC5008">
        <v>-9.6936</v>
      </c>
      <c r="AD5008">
        <v>-1.118522001181</v>
      </c>
      <c r="AE5008">
        <v>-17.497699999999899</v>
      </c>
      <c r="AF5008">
        <v>-4.9628804076813502</v>
      </c>
      <c r="AG5008">
        <v>-1.118522001181</v>
      </c>
      <c r="AH5008">
        <v>19.313588685022701</v>
      </c>
      <c r="AI5008">
        <v>93.210440412556693</v>
      </c>
      <c r="AJ5008">
        <v>104.411114352368</v>
      </c>
      <c r="AK5008">
        <v>19.9723804615852</v>
      </c>
      <c r="AL5008">
        <v>89.423924784960207</v>
      </c>
      <c r="AM5008">
        <v>90.461738117576104</v>
      </c>
      <c r="AN5008">
        <v>1.0000000158661999</v>
      </c>
    </row>
    <row r="5009" spans="1:40" x14ac:dyDescent="0.25">
      <c r="A5009" t="str">
        <f>"20190312154937025"</f>
        <v>20190312154937025</v>
      </c>
      <c r="B5009" t="str">
        <f>"1552376977020623"</f>
        <v>1552376977020623</v>
      </c>
      <c r="C5009" t="s">
        <v>40</v>
      </c>
      <c r="D5009">
        <v>4.0476679999999998</v>
      </c>
      <c r="E5009">
        <v>0.40161269999999999</v>
      </c>
      <c r="F5009" t="s">
        <v>42</v>
      </c>
      <c r="G5009">
        <v>-422.8426</v>
      </c>
      <c r="H5009" s="1">
        <v>-4.9212649999999999E-6</v>
      </c>
      <c r="I5009">
        <v>108.78830000000001</v>
      </c>
      <c r="J5009">
        <v>-413.59469999999999</v>
      </c>
      <c r="K5009">
        <v>1.1185259999999999</v>
      </c>
      <c r="L5009">
        <v>126.1778</v>
      </c>
      <c r="M5009">
        <v>-0.67837040000000004</v>
      </c>
      <c r="N5009">
        <v>0</v>
      </c>
      <c r="O5009">
        <v>-0.73460749999999997</v>
      </c>
      <c r="P5009">
        <v>-0.67161669999999996</v>
      </c>
      <c r="Q5009">
        <v>-3.1567629999999999E-3</v>
      </c>
      <c r="R5009">
        <v>-0.74089240000000001</v>
      </c>
      <c r="S5009">
        <v>-1.463776</v>
      </c>
      <c r="T5009">
        <v>-0.17412659999999999</v>
      </c>
      <c r="U5009">
        <v>-2.7354430000000001</v>
      </c>
      <c r="V5009">
        <v>-9.4325290000000003E-3</v>
      </c>
      <c r="W5009">
        <v>9.5173510000000003E-3</v>
      </c>
      <c r="X5009">
        <v>0.99991019999999997</v>
      </c>
      <c r="Y5009">
        <v>-0.25194519999999998</v>
      </c>
      <c r="Z5009">
        <v>3.6312919999999999E-2</v>
      </c>
      <c r="AA5009">
        <v>0.96706000000000003</v>
      </c>
      <c r="AB5009">
        <v>26</v>
      </c>
      <c r="AC5009">
        <v>-9.2479000000000102</v>
      </c>
      <c r="AD5009">
        <v>-1.1185309212649901</v>
      </c>
      <c r="AE5009">
        <v>-17.389499999999899</v>
      </c>
      <c r="AF5009">
        <v>-4.9872742999336799</v>
      </c>
      <c r="AG5009">
        <v>-1.1185309212649901</v>
      </c>
      <c r="AH5009">
        <v>18.988293505546299</v>
      </c>
      <c r="AI5009">
        <v>93.260841089843893</v>
      </c>
      <c r="AJ5009">
        <v>104.716341148393</v>
      </c>
      <c r="AK5009">
        <v>19.664163003224399</v>
      </c>
      <c r="AL5009">
        <v>89.454687712216298</v>
      </c>
      <c r="AM5009">
        <v>90.5404766063712</v>
      </c>
      <c r="AN5009">
        <v>0.99999998031871595</v>
      </c>
    </row>
    <row r="5010" spans="1:40" x14ac:dyDescent="0.25">
      <c r="A5010" t="str">
        <f>"20190312154937046"</f>
        <v>20190312154937046</v>
      </c>
      <c r="B5010" t="str">
        <f>"1552376977041119"</f>
        <v>1552376977041119</v>
      </c>
      <c r="C5010" t="s">
        <v>40</v>
      </c>
      <c r="D5010">
        <v>4.0128510000000004</v>
      </c>
      <c r="E5010">
        <v>0.40195170000000002</v>
      </c>
      <c r="F5010" t="s">
        <v>42</v>
      </c>
      <c r="G5010">
        <v>-422.57940000000002</v>
      </c>
      <c r="H5010" s="1">
        <v>-4.8876359999999997E-6</v>
      </c>
      <c r="I5010">
        <v>108.8223</v>
      </c>
      <c r="J5010">
        <v>-413.75479999999999</v>
      </c>
      <c r="K5010">
        <v>1.118527</v>
      </c>
      <c r="L5010">
        <v>125.9846</v>
      </c>
      <c r="M5010">
        <v>-0.66920259999999998</v>
      </c>
      <c r="N5010">
        <v>0</v>
      </c>
      <c r="O5010">
        <v>-0.74296839999999997</v>
      </c>
      <c r="P5010">
        <v>-0.66141619999999901</v>
      </c>
      <c r="Q5010">
        <v>-3.7732540000000002E-3</v>
      </c>
      <c r="R5010">
        <v>-0.75000979999999995</v>
      </c>
      <c r="S5010">
        <v>-1.4264220000000001</v>
      </c>
      <c r="T5010">
        <v>-0.1775793</v>
      </c>
      <c r="U5010">
        <v>-2.7553709999999998</v>
      </c>
      <c r="V5010">
        <v>-1.06918E-2</v>
      </c>
      <c r="W5010">
        <v>8.8869989999999996E-3</v>
      </c>
      <c r="X5010">
        <v>0.99990330000000005</v>
      </c>
      <c r="Y5010">
        <v>-0.25315409999999999</v>
      </c>
      <c r="Z5010">
        <v>3.7548659999999998E-2</v>
      </c>
      <c r="AA5010">
        <v>0.96669700000000003</v>
      </c>
      <c r="AB5010">
        <v>26</v>
      </c>
      <c r="AC5010">
        <v>-8.8246000000000304</v>
      </c>
      <c r="AD5010">
        <v>-1.118531887636</v>
      </c>
      <c r="AE5010">
        <v>-17.162299999999998</v>
      </c>
      <c r="AF5010">
        <v>-4.9125621442488603</v>
      </c>
      <c r="AG5010">
        <v>-1.118531887636</v>
      </c>
      <c r="AH5010">
        <v>18.595568432140599</v>
      </c>
      <c r="AI5010">
        <v>93.328306103982598</v>
      </c>
      <c r="AJ5010">
        <v>104.798274907593</v>
      </c>
      <c r="AK5010">
        <v>19.2660204951409</v>
      </c>
      <c r="AL5010">
        <v>89.490805737249801</v>
      </c>
      <c r="AM5010">
        <v>90.612630911044604</v>
      </c>
      <c r="AN5010">
        <v>0.99999995134467601</v>
      </c>
    </row>
    <row r="5011" spans="1:40" x14ac:dyDescent="0.25">
      <c r="A5011" t="str">
        <f>"20190312154937068"</f>
        <v>20190312154937068</v>
      </c>
      <c r="B5011" t="str">
        <f>"1552376977060638"</f>
        <v>1552376977060638</v>
      </c>
      <c r="C5011" t="s">
        <v>40</v>
      </c>
      <c r="D5011">
        <v>3.9989539999999999</v>
      </c>
      <c r="E5011">
        <v>0.40245570000000003</v>
      </c>
      <c r="F5011" t="s">
        <v>42</v>
      </c>
      <c r="G5011">
        <v>-422.35430000000002</v>
      </c>
      <c r="H5011" s="1">
        <v>-4.8508689999999998E-6</v>
      </c>
      <c r="I5011">
        <v>108.8306</v>
      </c>
      <c r="J5011">
        <v>-413.91129999999998</v>
      </c>
      <c r="K5011">
        <v>1.1185350000000001</v>
      </c>
      <c r="L5011">
        <v>125.79089999999999</v>
      </c>
      <c r="M5011">
        <v>-0.65999580000000002</v>
      </c>
      <c r="N5011">
        <v>0</v>
      </c>
      <c r="O5011">
        <v>-0.75115869999999996</v>
      </c>
      <c r="P5011">
        <v>-0.65207269999999995</v>
      </c>
      <c r="Q5011">
        <v>-3.5230959999999999E-3</v>
      </c>
      <c r="R5011">
        <v>-0.75814839999999994</v>
      </c>
      <c r="S5011">
        <v>-1.3901669999999999</v>
      </c>
      <c r="T5011">
        <v>-0.18081710000000001</v>
      </c>
      <c r="U5011">
        <v>-2.773056</v>
      </c>
      <c r="V5011">
        <v>-1.076472E-2</v>
      </c>
      <c r="W5011">
        <v>9.1468650000000006E-3</v>
      </c>
      <c r="X5011">
        <v>0.99990020000000002</v>
      </c>
      <c r="Y5011">
        <v>-0.25382080000000001</v>
      </c>
      <c r="Z5011">
        <v>3.8771979999999998E-2</v>
      </c>
      <c r="AA5011">
        <v>0.9664739</v>
      </c>
      <c r="AB5011">
        <v>26</v>
      </c>
      <c r="AC5011">
        <v>-8.4430000000000405</v>
      </c>
      <c r="AD5011">
        <v>-1.1185398508689901</v>
      </c>
      <c r="AE5011">
        <v>-16.960299999999901</v>
      </c>
      <c r="AF5011">
        <v>-4.8352429248344198</v>
      </c>
      <c r="AG5011">
        <v>-1.1185398508689901</v>
      </c>
      <c r="AH5011">
        <v>18.250129059625898</v>
      </c>
      <c r="AI5011">
        <v>93.390544029537196</v>
      </c>
      <c r="AJ5011">
        <v>104.839172463305</v>
      </c>
      <c r="AK5011">
        <v>18.912903432131898</v>
      </c>
      <c r="AL5011">
        <v>89.475915919646297</v>
      </c>
      <c r="AM5011">
        <v>90.616810754533503</v>
      </c>
      <c r="AN5011">
        <v>0.99999997714802302</v>
      </c>
    </row>
    <row r="5012" spans="1:40" x14ac:dyDescent="0.25">
      <c r="A5012" t="str">
        <f>"20190312154937090"</f>
        <v>20190312154937090</v>
      </c>
      <c r="B5012" t="str">
        <f>"1552376977081135"</f>
        <v>1552376977081135</v>
      </c>
      <c r="C5012" t="s">
        <v>40</v>
      </c>
      <c r="D5012">
        <v>3.9905400000000002</v>
      </c>
      <c r="E5012">
        <v>0.40280850000000001</v>
      </c>
      <c r="F5012" t="s">
        <v>42</v>
      </c>
      <c r="G5012">
        <v>-422.25900000000001</v>
      </c>
      <c r="H5012" s="1">
        <v>-4.7731250000000001E-6</v>
      </c>
      <c r="I5012">
        <v>108.6721</v>
      </c>
      <c r="J5012">
        <v>-414.06970000000001</v>
      </c>
      <c r="K5012">
        <v>1.11853799999999</v>
      </c>
      <c r="L5012">
        <v>125.5899</v>
      </c>
      <c r="M5012">
        <v>-0.65043499999999999</v>
      </c>
      <c r="N5012">
        <v>0</v>
      </c>
      <c r="O5012">
        <v>-0.75945220000000002</v>
      </c>
      <c r="P5012">
        <v>-0.64320549999999999</v>
      </c>
      <c r="Q5012">
        <v>-3.0542E-3</v>
      </c>
      <c r="R5012">
        <v>-0.76568760000000002</v>
      </c>
      <c r="S5012">
        <v>-1.3591310000000001</v>
      </c>
      <c r="T5012">
        <v>-0.18211540000000001</v>
      </c>
      <c r="U5012">
        <v>-2.787201</v>
      </c>
      <c r="V5012">
        <v>-9.7572119999999995E-3</v>
      </c>
      <c r="W5012">
        <v>9.6479990000000009E-3</v>
      </c>
      <c r="X5012">
        <v>0.99990579999999996</v>
      </c>
      <c r="Y5012">
        <v>-0.25221470000000001</v>
      </c>
      <c r="Z5012">
        <v>3.9653679999999997E-2</v>
      </c>
      <c r="AA5012">
        <v>0.96685849999999995</v>
      </c>
      <c r="AB5012">
        <v>26</v>
      </c>
      <c r="AC5012">
        <v>-8.1892999999999994</v>
      </c>
      <c r="AD5012">
        <v>-1.11854277312499</v>
      </c>
      <c r="AE5012">
        <v>-16.9178</v>
      </c>
      <c r="AF5012">
        <v>-4.7680598996395398</v>
      </c>
      <c r="AG5012">
        <v>-1.11854277312499</v>
      </c>
      <c r="AH5012">
        <v>18.1122375914697</v>
      </c>
      <c r="AI5012">
        <v>93.417728939398202</v>
      </c>
      <c r="AJ5012">
        <v>104.748537682066</v>
      </c>
      <c r="AK5012">
        <v>18.762693935352399</v>
      </c>
      <c r="AL5012">
        <v>89.447201771464904</v>
      </c>
      <c r="AM5012">
        <v>90.559081989587995</v>
      </c>
      <c r="AN5012">
        <v>0.99999994797217695</v>
      </c>
    </row>
    <row r="5013" spans="1:40" x14ac:dyDescent="0.25">
      <c r="A5013" t="str">
        <f>"20190312154937114"</f>
        <v>20190312154937114</v>
      </c>
      <c r="B5013" t="str">
        <f>"1552376977111391"</f>
        <v>1552376977111391</v>
      </c>
      <c r="C5013" t="s">
        <v>40</v>
      </c>
      <c r="D5013">
        <v>4.0131059999999996</v>
      </c>
      <c r="E5013">
        <v>0.40249639999999998</v>
      </c>
      <c r="F5013" t="s">
        <v>42</v>
      </c>
      <c r="G5013">
        <v>-422.38839999999999</v>
      </c>
      <c r="H5013" s="1">
        <v>-4.5586410000000004E-6</v>
      </c>
      <c r="I5013">
        <v>108.0538</v>
      </c>
      <c r="J5013">
        <v>-414.23110000000003</v>
      </c>
      <c r="K5013">
        <v>1.1185350000000001</v>
      </c>
      <c r="L5013">
        <v>125.3796</v>
      </c>
      <c r="M5013">
        <v>-0.64042349999999904</v>
      </c>
      <c r="N5013">
        <v>0</v>
      </c>
      <c r="O5013">
        <v>-0.76791350000000003</v>
      </c>
      <c r="P5013">
        <v>-0.63347559999999903</v>
      </c>
      <c r="Q5013">
        <v>-4.191312E-3</v>
      </c>
      <c r="R5013">
        <v>-0.77375150000000004</v>
      </c>
      <c r="S5013">
        <v>-1.3287659999999999</v>
      </c>
      <c r="T5013">
        <v>-0.17866689999999999</v>
      </c>
      <c r="U5013">
        <v>-2.8010709999999999</v>
      </c>
      <c r="V5013">
        <v>-9.2609649999999995E-3</v>
      </c>
      <c r="W5013">
        <v>8.5298619999999992E-3</v>
      </c>
      <c r="X5013">
        <v>0.9999207</v>
      </c>
      <c r="Y5013">
        <v>-0.2499287</v>
      </c>
      <c r="Z5013">
        <v>3.9517799999999999E-2</v>
      </c>
      <c r="AA5013">
        <v>0.96745749999999997</v>
      </c>
      <c r="AB5013">
        <v>26</v>
      </c>
      <c r="AC5013">
        <v>-8.1572999999999602</v>
      </c>
      <c r="AD5013">
        <v>-1.1185395586409901</v>
      </c>
      <c r="AE5013">
        <v>-17.325800000000001</v>
      </c>
      <c r="AF5013">
        <v>-4.8157217355237698</v>
      </c>
      <c r="AG5013">
        <v>-1.1185395586409901</v>
      </c>
      <c r="AH5013">
        <v>18.4673820235294</v>
      </c>
      <c r="AI5013">
        <v>93.354180253401694</v>
      </c>
      <c r="AJ5013">
        <v>104.615481911093</v>
      </c>
      <c r="AK5013">
        <v>19.117701362381901</v>
      </c>
      <c r="AL5013">
        <v>89.5112689638581</v>
      </c>
      <c r="AM5013">
        <v>90.530641117474104</v>
      </c>
      <c r="AN5013">
        <v>0.999999965153479</v>
      </c>
    </row>
    <row r="5014" spans="1:40" x14ac:dyDescent="0.25">
      <c r="A5014" t="str">
        <f>"20190312154937135"</f>
        <v>20190312154937135</v>
      </c>
      <c r="B5014" t="str">
        <f>"1552376977130911"</f>
        <v>1552376977130911</v>
      </c>
      <c r="C5014" t="s">
        <v>40</v>
      </c>
      <c r="D5014">
        <v>4.0561059999999998</v>
      </c>
      <c r="E5014">
        <v>0.4016053</v>
      </c>
      <c r="F5014" t="s">
        <v>42</v>
      </c>
      <c r="G5014">
        <v>-422.16039999999998</v>
      </c>
      <c r="H5014" s="1">
        <v>-4.5258919999999999E-6</v>
      </c>
      <c r="I5014">
        <v>108.07389999999999</v>
      </c>
      <c r="J5014">
        <v>-414.38040000000001</v>
      </c>
      <c r="K5014">
        <v>1.1185309999999999</v>
      </c>
      <c r="L5014">
        <v>125.1799</v>
      </c>
      <c r="M5014">
        <v>-0.63090880000000005</v>
      </c>
      <c r="N5014">
        <v>0</v>
      </c>
      <c r="O5014">
        <v>-0.77574929999999997</v>
      </c>
      <c r="P5014">
        <v>-0.62422239999999996</v>
      </c>
      <c r="Q5014">
        <v>-5.814863E-3</v>
      </c>
      <c r="R5014">
        <v>-0.78122510000000001</v>
      </c>
      <c r="S5014">
        <v>-1.2915650000000001</v>
      </c>
      <c r="T5014">
        <v>-0.18219350000000001</v>
      </c>
      <c r="U5014">
        <v>-2.818848</v>
      </c>
      <c r="V5014">
        <v>-8.7938089999999997E-3</v>
      </c>
      <c r="W5014">
        <v>6.9229690000000002E-3</v>
      </c>
      <c r="X5014">
        <v>0.99993739999999998</v>
      </c>
      <c r="Y5014">
        <v>-0.25087910000000002</v>
      </c>
      <c r="Z5014">
        <v>4.0802400000000003E-2</v>
      </c>
      <c r="AA5014">
        <v>0.96715810000000002</v>
      </c>
      <c r="AB5014">
        <v>26</v>
      </c>
      <c r="AC5014">
        <v>-7.7799999999999701</v>
      </c>
      <c r="AD5014">
        <v>-1.118535525892</v>
      </c>
      <c r="AE5014">
        <v>-17.106000000000002</v>
      </c>
      <c r="AF5014">
        <v>-4.7405988452668604</v>
      </c>
      <c r="AG5014">
        <v>-1.118535525892</v>
      </c>
      <c r="AH5014">
        <v>18.1157762758145</v>
      </c>
      <c r="AI5014">
        <v>93.418353004541103</v>
      </c>
      <c r="AJ5014">
        <v>104.66452624231501</v>
      </c>
      <c r="AK5014">
        <v>18.759151079134401</v>
      </c>
      <c r="AL5014">
        <v>89.603339938464302</v>
      </c>
      <c r="AM5014">
        <v>90.503866694869302</v>
      </c>
      <c r="AN5014">
        <v>1.00000003124763</v>
      </c>
    </row>
    <row r="5015" spans="1:40" x14ac:dyDescent="0.25">
      <c r="A5015" t="str">
        <f>"20190312154937158"</f>
        <v>20190312154937158</v>
      </c>
      <c r="B5015" t="str">
        <f>"1552376977151407"</f>
        <v>1552376977151407</v>
      </c>
      <c r="C5015" t="s">
        <v>40</v>
      </c>
      <c r="D5015">
        <v>3.9537789999999999</v>
      </c>
      <c r="E5015">
        <v>0.4007213</v>
      </c>
      <c r="F5015" t="s">
        <v>42</v>
      </c>
      <c r="G5015">
        <v>-421.8297</v>
      </c>
      <c r="H5015" s="1">
        <v>-4.5514199999999999E-6</v>
      </c>
      <c r="I5015">
        <v>108.2931</v>
      </c>
      <c r="J5015">
        <v>-414.52789999999999</v>
      </c>
      <c r="K5015">
        <v>1.1185259999999999</v>
      </c>
      <c r="L5015">
        <v>124.9774</v>
      </c>
      <c r="M5015">
        <v>-0.62125359999999996</v>
      </c>
      <c r="N5015">
        <v>0</v>
      </c>
      <c r="O5015">
        <v>-0.78350310000000001</v>
      </c>
      <c r="P5015">
        <v>-0.61468869999999998</v>
      </c>
      <c r="Q5015">
        <v>-6.3861819999999998E-3</v>
      </c>
      <c r="R5015">
        <v>-0.78874390000000005</v>
      </c>
      <c r="S5015">
        <v>-1.2520450000000001</v>
      </c>
      <c r="T5015">
        <v>-0.187997</v>
      </c>
      <c r="U5015">
        <v>-2.8382420000000002</v>
      </c>
      <c r="V5015">
        <v>-8.5397019999999997E-3</v>
      </c>
      <c r="W5015">
        <v>6.3631729999999997E-3</v>
      </c>
      <c r="X5015">
        <v>0.99994329999999998</v>
      </c>
      <c r="Y5015">
        <v>-0.25264249999999999</v>
      </c>
      <c r="Z5015">
        <v>4.2586600000000002E-2</v>
      </c>
      <c r="AA5015">
        <v>0.96662210000000004</v>
      </c>
      <c r="AB5015">
        <v>26</v>
      </c>
      <c r="AC5015">
        <v>-7.3018000000000098</v>
      </c>
      <c r="AD5015">
        <v>-1.1185305514199999</v>
      </c>
      <c r="AE5015">
        <v>-16.6843</v>
      </c>
      <c r="AF5015">
        <v>-4.6271323889351503</v>
      </c>
      <c r="AG5015">
        <v>-1.1185305514199999</v>
      </c>
      <c r="AH5015">
        <v>17.543764167271</v>
      </c>
      <c r="AI5015">
        <v>93.527729193616906</v>
      </c>
      <c r="AJ5015">
        <v>104.7751779955</v>
      </c>
      <c r="AK5015">
        <v>18.178149682957699</v>
      </c>
      <c r="AL5015">
        <v>89.635414586008395</v>
      </c>
      <c r="AM5015">
        <v>90.489304731605699</v>
      </c>
      <c r="AN5015">
        <v>1.0000000098478801</v>
      </c>
    </row>
    <row r="5016" spans="1:40" x14ac:dyDescent="0.25">
      <c r="A5016" t="str">
        <f>"20190312154937181"</f>
        <v>20190312154937181</v>
      </c>
      <c r="B5016" t="str">
        <f>"1552376977170927"</f>
        <v>1552376977170927</v>
      </c>
      <c r="C5016" t="s">
        <v>40</v>
      </c>
      <c r="D5016">
        <v>3.9746329999999999</v>
      </c>
      <c r="E5016">
        <v>0.40018310000000001</v>
      </c>
      <c r="F5016" t="s">
        <v>42</v>
      </c>
      <c r="G5016">
        <v>-421.56560000000002</v>
      </c>
      <c r="H5016" s="1">
        <v>-4.5407579999999999E-6</v>
      </c>
      <c r="I5016">
        <v>108.3873</v>
      </c>
      <c r="J5016">
        <v>-414.68110000000001</v>
      </c>
      <c r="K5016">
        <v>1.1185309999999999</v>
      </c>
      <c r="L5016">
        <v>124.7617</v>
      </c>
      <c r="M5016">
        <v>-0.6109599</v>
      </c>
      <c r="N5016">
        <v>0</v>
      </c>
      <c r="O5016">
        <v>-0.79155600000000004</v>
      </c>
      <c r="P5016">
        <v>-0.60453359999999901</v>
      </c>
      <c r="Q5016">
        <v>-5.7006749999999997E-3</v>
      </c>
      <c r="R5016">
        <v>-0.79655989999999999</v>
      </c>
      <c r="S5016">
        <v>-1.212097</v>
      </c>
      <c r="T5016">
        <v>-0.1926436</v>
      </c>
      <c r="U5016">
        <v>-2.8573</v>
      </c>
      <c r="V5016">
        <v>-8.2988760000000002E-3</v>
      </c>
      <c r="W5016">
        <v>7.0598179999999998E-3</v>
      </c>
      <c r="X5016">
        <v>0.99994059999999996</v>
      </c>
      <c r="Y5016">
        <v>-0.25380150000000001</v>
      </c>
      <c r="Z5016">
        <v>4.4170429999999997E-2</v>
      </c>
      <c r="AA5016">
        <v>0.96624730000000003</v>
      </c>
      <c r="AB5016">
        <v>26</v>
      </c>
      <c r="AC5016">
        <v>-6.8845000000000001</v>
      </c>
      <c r="AD5016">
        <v>-1.118535540758</v>
      </c>
      <c r="AE5016">
        <v>-16.374400000000001</v>
      </c>
      <c r="AF5016">
        <v>-4.5370244142422296</v>
      </c>
      <c r="AG5016">
        <v>-1.118535540758</v>
      </c>
      <c r="AH5016">
        <v>17.101031737667601</v>
      </c>
      <c r="AI5016">
        <v>93.617444918152998</v>
      </c>
      <c r="AJ5016">
        <v>104.85866451100399</v>
      </c>
      <c r="AK5016">
        <v>17.727972212976901</v>
      </c>
      <c r="AL5016">
        <v>89.595498847287203</v>
      </c>
      <c r="AM5016">
        <v>90.475507897934406</v>
      </c>
      <c r="AN5016">
        <v>0.99999995795070695</v>
      </c>
    </row>
    <row r="5017" spans="1:40" x14ac:dyDescent="0.25">
      <c r="A5017" t="str">
        <f>"20190312154937204"</f>
        <v>20190312154937204</v>
      </c>
      <c r="B5017" t="str">
        <f>"1552376977201183"</f>
        <v>1552376977201183</v>
      </c>
      <c r="C5017" t="s">
        <v>40</v>
      </c>
      <c r="D5017">
        <v>4.0468529999999996</v>
      </c>
      <c r="E5017">
        <v>0.39959909999999998</v>
      </c>
      <c r="F5017" t="s">
        <v>42</v>
      </c>
      <c r="G5017">
        <v>-421.50409999999999</v>
      </c>
      <c r="H5017" s="1">
        <v>-4.3858990000000004E-6</v>
      </c>
      <c r="I5017">
        <v>108.02330000000001</v>
      </c>
      <c r="J5017">
        <v>-414.82650000000001</v>
      </c>
      <c r="K5017">
        <v>1.118536</v>
      </c>
      <c r="L5017">
        <v>124.55110000000001</v>
      </c>
      <c r="M5017">
        <v>-0.60090140000000003</v>
      </c>
      <c r="N5017">
        <v>0</v>
      </c>
      <c r="O5017">
        <v>-0.79921850000000005</v>
      </c>
      <c r="P5017">
        <v>-0.59467250000000005</v>
      </c>
      <c r="Q5017">
        <v>-5.2709640000000004E-3</v>
      </c>
      <c r="R5017">
        <v>-0.80395109999999903</v>
      </c>
      <c r="S5017">
        <v>-1.172058</v>
      </c>
      <c r="T5017">
        <v>-0.19214139999999999</v>
      </c>
      <c r="U5017">
        <v>-2.8753199999999999</v>
      </c>
      <c r="V5017">
        <v>-7.9865379999999996E-3</v>
      </c>
      <c r="W5017">
        <v>7.5008799999999997E-3</v>
      </c>
      <c r="X5017">
        <v>0.99994000000000005</v>
      </c>
      <c r="Y5017">
        <v>-0.25523279999999998</v>
      </c>
      <c r="Z5017">
        <v>4.4562919999999999E-2</v>
      </c>
      <c r="AA5017">
        <v>0.96585209999999999</v>
      </c>
      <c r="AB5017">
        <v>26</v>
      </c>
      <c r="AC5017">
        <v>-6.6775999999999804</v>
      </c>
      <c r="AD5017">
        <v>-1.118540385899</v>
      </c>
      <c r="AE5017">
        <v>-16.527799999999999</v>
      </c>
      <c r="AF5017">
        <v>-4.5770794403964299</v>
      </c>
      <c r="AG5017">
        <v>-1.118540385899</v>
      </c>
      <c r="AH5017">
        <v>17.1557947794578</v>
      </c>
      <c r="AI5017">
        <v>93.604614447843304</v>
      </c>
      <c r="AJ5017">
        <v>104.938279173051</v>
      </c>
      <c r="AK5017">
        <v>17.7910675147237</v>
      </c>
      <c r="AL5017">
        <v>89.570227214322301</v>
      </c>
      <c r="AM5017">
        <v>90.457612647085895</v>
      </c>
      <c r="AN5017">
        <v>1.0000000257949899</v>
      </c>
    </row>
    <row r="5018" spans="1:40" x14ac:dyDescent="0.25">
      <c r="A5018" t="str">
        <f>"20190312154937226"</f>
        <v>20190312154937226</v>
      </c>
      <c r="B5018" t="str">
        <f>"1552376977220703"</f>
        <v>1552376977220703</v>
      </c>
      <c r="C5018" t="s">
        <v>40</v>
      </c>
      <c r="D5018">
        <v>4.0597589999999997</v>
      </c>
      <c r="E5018">
        <v>0.39951490000000001</v>
      </c>
      <c r="F5018" t="s">
        <v>42</v>
      </c>
      <c r="G5018">
        <v>-421.50150000000002</v>
      </c>
      <c r="H5018" s="1">
        <v>-4.140537E-6</v>
      </c>
      <c r="I5018">
        <v>107.5056</v>
      </c>
      <c r="J5018">
        <v>-414.97</v>
      </c>
      <c r="K5018">
        <v>1.118533</v>
      </c>
      <c r="L5018">
        <v>124.33750000000001</v>
      </c>
      <c r="M5018">
        <v>-0.59069510000000003</v>
      </c>
      <c r="N5018">
        <v>0</v>
      </c>
      <c r="O5018">
        <v>-0.80679109999999998</v>
      </c>
      <c r="P5018">
        <v>-0.58475739999999998</v>
      </c>
      <c r="Q5018">
        <v>-5.2210939999999999E-3</v>
      </c>
      <c r="R5018">
        <v>-0.81119169999999996</v>
      </c>
      <c r="S5018">
        <v>-1.13269</v>
      </c>
      <c r="T5018">
        <v>-0.1898059</v>
      </c>
      <c r="U5018">
        <v>-2.8924560000000001</v>
      </c>
      <c r="V5018">
        <v>-7.5554999999999997E-3</v>
      </c>
      <c r="W5018">
        <v>7.564299E-3</v>
      </c>
      <c r="X5018">
        <v>0.99994280000000002</v>
      </c>
      <c r="Y5018">
        <v>-0.25628469999999998</v>
      </c>
      <c r="Z5018">
        <v>4.4526900000000001E-2</v>
      </c>
      <c r="AA5018">
        <v>0.96557519999999997</v>
      </c>
      <c r="AB5018">
        <v>26</v>
      </c>
      <c r="AC5018">
        <v>-6.5314999999999896</v>
      </c>
      <c r="AD5018">
        <v>-1.1185371405369999</v>
      </c>
      <c r="AE5018">
        <v>-16.831900000000001</v>
      </c>
      <c r="AF5018">
        <v>-4.6554876790430697</v>
      </c>
      <c r="AG5018">
        <v>-1.1185371405369999</v>
      </c>
      <c r="AH5018">
        <v>17.372733411985401</v>
      </c>
      <c r="AI5018">
        <v>93.558661796682301</v>
      </c>
      <c r="AJ5018">
        <v>105.001470201948</v>
      </c>
      <c r="AK5018">
        <v>18.020448303757501</v>
      </c>
      <c r="AL5018">
        <v>89.566593439052298</v>
      </c>
      <c r="AM5018">
        <v>90.432914786760506</v>
      </c>
      <c r="AN5018">
        <v>0.99999995373572403</v>
      </c>
    </row>
    <row r="5019" spans="1:40" x14ac:dyDescent="0.25">
      <c r="A5019" t="str">
        <f>"20190312154937248"</f>
        <v>20190312154937248</v>
      </c>
      <c r="B5019" t="str">
        <f>"1552376977241199"</f>
        <v>1552376977241199</v>
      </c>
      <c r="C5019" t="s">
        <v>40</v>
      </c>
      <c r="D5019">
        <v>4.0615959999999998</v>
      </c>
      <c r="E5019">
        <v>0.39963169999999998</v>
      </c>
      <c r="F5019" t="s">
        <v>42</v>
      </c>
      <c r="G5019">
        <v>-421.46260000000001</v>
      </c>
      <c r="H5019" s="1">
        <v>-3.9514309999999998E-6</v>
      </c>
      <c r="I5019">
        <v>107.1275</v>
      </c>
      <c r="J5019">
        <v>-415.10599999999999</v>
      </c>
      <c r="K5019">
        <v>1.11853</v>
      </c>
      <c r="L5019">
        <v>124.1292</v>
      </c>
      <c r="M5019">
        <v>-0.5807426</v>
      </c>
      <c r="N5019">
        <v>0</v>
      </c>
      <c r="O5019">
        <v>-0.81398400000000004</v>
      </c>
      <c r="P5019">
        <v>-0.57498780000000005</v>
      </c>
      <c r="Q5019">
        <v>-5.596111E-3</v>
      </c>
      <c r="R5019">
        <v>-0.81814249999999999</v>
      </c>
      <c r="S5019">
        <v>-1.096527</v>
      </c>
      <c r="T5019">
        <v>-0.18890789999999999</v>
      </c>
      <c r="U5019">
        <v>-2.9065699999999999</v>
      </c>
      <c r="V5019">
        <v>-7.2570350000000002E-3</v>
      </c>
      <c r="W5019">
        <v>7.1990509999999997E-3</v>
      </c>
      <c r="X5019">
        <v>0.99994769999999999</v>
      </c>
      <c r="Y5019">
        <v>-0.25648169999999998</v>
      </c>
      <c r="Z5019">
        <v>4.4825459999999998E-2</v>
      </c>
      <c r="AA5019">
        <v>0.96550910000000001</v>
      </c>
      <c r="AB5019">
        <v>26</v>
      </c>
      <c r="AC5019">
        <v>-6.35660000000001</v>
      </c>
      <c r="AD5019">
        <v>-1.118533951431</v>
      </c>
      <c r="AE5019">
        <v>-17.0017</v>
      </c>
      <c r="AF5019">
        <v>-4.6820559642120596</v>
      </c>
      <c r="AG5019">
        <v>-1.118533951431</v>
      </c>
      <c r="AH5019">
        <v>17.465808406276999</v>
      </c>
      <c r="AI5019">
        <v>93.539653817382103</v>
      </c>
      <c r="AJ5019">
        <v>105.006447813298</v>
      </c>
      <c r="AK5019">
        <v>18.1170425162965</v>
      </c>
      <c r="AL5019">
        <v>89.587521176332203</v>
      </c>
      <c r="AM5019">
        <v>90.415811924446103</v>
      </c>
      <c r="AN5019">
        <v>0.99999994681378901</v>
      </c>
    </row>
    <row r="5020" spans="1:40" x14ac:dyDescent="0.25">
      <c r="A5020" t="str">
        <f>"20190312154937270"</f>
        <v>20190312154937270</v>
      </c>
      <c r="B5020" t="str">
        <f>"1552376977260718"</f>
        <v>1552376977260718</v>
      </c>
      <c r="C5020" t="s">
        <v>40</v>
      </c>
      <c r="D5020">
        <v>4.0081040000000003</v>
      </c>
      <c r="E5020">
        <v>0.39993289999999998</v>
      </c>
      <c r="F5020" t="s">
        <v>42</v>
      </c>
      <c r="G5020">
        <v>-421.37009999999998</v>
      </c>
      <c r="H5020" s="1">
        <v>-3.8249079999999998E-6</v>
      </c>
      <c r="I5020">
        <v>106.9119</v>
      </c>
      <c r="J5020">
        <v>-415.24380000000002</v>
      </c>
      <c r="K5020">
        <v>1.118527</v>
      </c>
      <c r="L5020">
        <v>123.91249999999999</v>
      </c>
      <c r="M5020">
        <v>-0.57038180000000005</v>
      </c>
      <c r="N5020">
        <v>0</v>
      </c>
      <c r="O5020">
        <v>-0.82127759999999905</v>
      </c>
      <c r="P5020">
        <v>-0.5646293</v>
      </c>
      <c r="Q5020">
        <v>-5.4935189999999997E-3</v>
      </c>
      <c r="R5020">
        <v>-0.82532619999999901</v>
      </c>
      <c r="S5020">
        <v>-1.0620419999999999</v>
      </c>
      <c r="T5020">
        <v>-0.18964310000000001</v>
      </c>
      <c r="U5020">
        <v>-2.9191280000000002</v>
      </c>
      <c r="V5020">
        <v>-7.1936140000000001E-3</v>
      </c>
      <c r="W5020">
        <v>7.3053830000000004E-3</v>
      </c>
      <c r="X5020">
        <v>0.99994740000000004</v>
      </c>
      <c r="Y5020">
        <v>-0.25564930000000002</v>
      </c>
      <c r="Z5020">
        <v>4.5544050000000003E-2</v>
      </c>
      <c r="AA5020">
        <v>0.9656962</v>
      </c>
      <c r="AB5020">
        <v>26</v>
      </c>
      <c r="AC5020">
        <v>-6.1262999999999499</v>
      </c>
      <c r="AD5020">
        <v>-1.1185308249079999</v>
      </c>
      <c r="AE5020">
        <v>-17.000599999999899</v>
      </c>
      <c r="AF5020">
        <v>-4.6480232606762497</v>
      </c>
      <c r="AG5020">
        <v>-1.1185308249079999</v>
      </c>
      <c r="AH5020">
        <v>17.391374769134998</v>
      </c>
      <c r="AI5020">
        <v>93.555471577937993</v>
      </c>
      <c r="AJ5020">
        <v>104.963164672715</v>
      </c>
      <c r="AK5020">
        <v>18.036494886716799</v>
      </c>
      <c r="AL5020">
        <v>89.581428646367101</v>
      </c>
      <c r="AM5020">
        <v>90.412178292136403</v>
      </c>
      <c r="AN5020">
        <v>0.99999995973495803</v>
      </c>
    </row>
    <row r="5021" spans="1:40" x14ac:dyDescent="0.25">
      <c r="A5021" t="str">
        <f>"20190312154937292"</f>
        <v>20190312154937292</v>
      </c>
      <c r="B5021" t="str">
        <f>"1552376977281214"</f>
        <v>1552376977281214</v>
      </c>
      <c r="C5021" t="s">
        <v>40</v>
      </c>
      <c r="D5021">
        <v>4.0338129999999897</v>
      </c>
      <c r="E5021">
        <v>0.40036139999999998</v>
      </c>
      <c r="F5021" t="s">
        <v>42</v>
      </c>
      <c r="G5021">
        <v>-421.35419999999999</v>
      </c>
      <c r="H5021" s="1">
        <v>-3.6117940000000001E-6</v>
      </c>
      <c r="I5021">
        <v>106.4701</v>
      </c>
      <c r="J5021">
        <v>-415.37759999999997</v>
      </c>
      <c r="K5021">
        <v>1.118527</v>
      </c>
      <c r="L5021">
        <v>123.6961</v>
      </c>
      <c r="M5021">
        <v>-0.56004109999999996</v>
      </c>
      <c r="N5021">
        <v>0</v>
      </c>
      <c r="O5021">
        <v>-0.82836359999999998</v>
      </c>
      <c r="P5021">
        <v>-0.55393559999999997</v>
      </c>
      <c r="Q5021">
        <v>-4.7630040000000004E-3</v>
      </c>
      <c r="R5021">
        <v>-0.83254609999999996</v>
      </c>
      <c r="S5021">
        <v>-1.0268250000000001</v>
      </c>
      <c r="T5021">
        <v>-0.1879643</v>
      </c>
      <c r="U5021">
        <v>-2.9311219999999998</v>
      </c>
      <c r="V5021">
        <v>-7.575498E-3</v>
      </c>
      <c r="W5021">
        <v>8.0292019999999992E-3</v>
      </c>
      <c r="X5021">
        <v>0.99993909999999997</v>
      </c>
      <c r="Y5021">
        <v>-0.25509300000000001</v>
      </c>
      <c r="Z5021">
        <v>4.5668920000000002E-2</v>
      </c>
      <c r="AA5021">
        <v>0.96583739999999996</v>
      </c>
      <c r="AB5021">
        <v>26</v>
      </c>
      <c r="AC5021">
        <v>-5.9766000000000101</v>
      </c>
      <c r="AD5021">
        <v>-1.1185306117939999</v>
      </c>
      <c r="AE5021">
        <v>-17.225999999999999</v>
      </c>
      <c r="AF5021">
        <v>-4.6792547676490504</v>
      </c>
      <c r="AG5021">
        <v>-1.1185306117939999</v>
      </c>
      <c r="AH5021">
        <v>17.551958041989302</v>
      </c>
      <c r="AI5021">
        <v>93.523607163274207</v>
      </c>
      <c r="AJ5021">
        <v>104.927554610269</v>
      </c>
      <c r="AK5021">
        <v>18.199389193537201</v>
      </c>
      <c r="AL5021">
        <v>89.539955683215396</v>
      </c>
      <c r="AM5021">
        <v>90.434062193773798</v>
      </c>
      <c r="AN5021">
        <v>1.00000002998175</v>
      </c>
    </row>
    <row r="5022" spans="1:40" x14ac:dyDescent="0.25">
      <c r="A5022" t="str">
        <f>"20190312154937315"</f>
        <v>20190312154937315</v>
      </c>
      <c r="B5022" t="str">
        <f>"1552376977310495"</f>
        <v>1552376977310495</v>
      </c>
      <c r="C5022" t="s">
        <v>40</v>
      </c>
      <c r="D5022">
        <v>4.0444459999999998</v>
      </c>
      <c r="E5022">
        <v>0.40068819999999999</v>
      </c>
      <c r="F5022" t="s">
        <v>42</v>
      </c>
      <c r="G5022">
        <v>-421.38729999999998</v>
      </c>
      <c r="H5022" s="1">
        <v>-3.3355570000000002E-6</v>
      </c>
      <c r="I5022">
        <v>105.867</v>
      </c>
      <c r="J5022">
        <v>-415.5095</v>
      </c>
      <c r="K5022">
        <v>1.11852</v>
      </c>
      <c r="L5022">
        <v>123.47669999999999</v>
      </c>
      <c r="M5022">
        <v>-0.54956740000000004</v>
      </c>
      <c r="N5022">
        <v>0</v>
      </c>
      <c r="O5022">
        <v>-0.83534900000000001</v>
      </c>
      <c r="P5022">
        <v>-0.54286569999999901</v>
      </c>
      <c r="Q5022">
        <v>-4.0154609999999997E-3</v>
      </c>
      <c r="R5022">
        <v>-0.8398101</v>
      </c>
      <c r="S5022">
        <v>-0.99182130000000002</v>
      </c>
      <c r="T5022">
        <v>-0.1845984</v>
      </c>
      <c r="U5022">
        <v>-2.9424440000000001</v>
      </c>
      <c r="V5022">
        <v>-8.2410690000000002E-3</v>
      </c>
      <c r="W5022">
        <v>8.7630260000000001E-3</v>
      </c>
      <c r="X5022">
        <v>0.99992760000000003</v>
      </c>
      <c r="Y5022">
        <v>-0.25435049999999998</v>
      </c>
      <c r="Z5022">
        <v>4.5370889999999997E-2</v>
      </c>
      <c r="AA5022">
        <v>0.96604730000000005</v>
      </c>
      <c r="AB5022">
        <v>26</v>
      </c>
      <c r="AC5022">
        <v>-5.8777999999999704</v>
      </c>
      <c r="AD5022">
        <v>-1.1185233355569999</v>
      </c>
      <c r="AE5022">
        <v>-17.609699999999901</v>
      </c>
      <c r="AF5022">
        <v>-4.7508567511792599</v>
      </c>
      <c r="AG5022">
        <v>-1.1185233355569999</v>
      </c>
      <c r="AH5022">
        <v>17.8771025920969</v>
      </c>
      <c r="AI5022">
        <v>93.460378963555698</v>
      </c>
      <c r="AJ5022">
        <v>104.88242185033</v>
      </c>
      <c r="AK5022">
        <v>18.531393131946899</v>
      </c>
      <c r="AL5022">
        <v>89.497909145996303</v>
      </c>
      <c r="AM5022">
        <v>90.472201969318306</v>
      </c>
      <c r="AN5022">
        <v>0.999999955542348</v>
      </c>
    </row>
    <row r="5023" spans="1:40" x14ac:dyDescent="0.25">
      <c r="A5023" t="str">
        <f>"20190312154937336"</f>
        <v>20190312154937336</v>
      </c>
      <c r="B5023" t="str">
        <f>"1552376977330991"</f>
        <v>1552376977330991</v>
      </c>
      <c r="C5023" t="s">
        <v>40</v>
      </c>
      <c r="D5023">
        <v>4.0816850000000002</v>
      </c>
      <c r="E5023">
        <v>0.401034</v>
      </c>
      <c r="F5023" t="s">
        <v>42</v>
      </c>
      <c r="G5023">
        <v>-421.53070000000002</v>
      </c>
      <c r="H5023" s="1">
        <v>-2.8979889999999999E-6</v>
      </c>
      <c r="I5023">
        <v>104.86069999999999</v>
      </c>
      <c r="J5023">
        <v>-415.63799999999998</v>
      </c>
      <c r="K5023">
        <v>1.1184970000000001</v>
      </c>
      <c r="L5023">
        <v>123.2568</v>
      </c>
      <c r="M5023">
        <v>-0.53909549999999995</v>
      </c>
      <c r="N5023">
        <v>0</v>
      </c>
      <c r="O5023">
        <v>-0.84214500000000003</v>
      </c>
      <c r="P5023">
        <v>-0.53173959999999998</v>
      </c>
      <c r="Q5023">
        <v>-3.7798440000000001E-3</v>
      </c>
      <c r="R5023">
        <v>-0.84689959999999898</v>
      </c>
      <c r="S5023">
        <v>-0.95538330000000005</v>
      </c>
      <c r="T5023">
        <v>-0.17747679999999999</v>
      </c>
      <c r="U5023">
        <v>-2.9538120000000001</v>
      </c>
      <c r="V5023">
        <v>-8.952916E-3</v>
      </c>
      <c r="W5023">
        <v>8.9818859999999997E-3</v>
      </c>
      <c r="X5023">
        <v>0.99991960000000002</v>
      </c>
      <c r="Y5023">
        <v>-0.25412770000000001</v>
      </c>
      <c r="Z5023">
        <v>4.410294E-2</v>
      </c>
      <c r="AA5023">
        <v>0.96616460000000004</v>
      </c>
      <c r="AB5023">
        <v>26</v>
      </c>
      <c r="AC5023">
        <v>-5.8926999999999898</v>
      </c>
      <c r="AD5023">
        <v>-1.118499897989</v>
      </c>
      <c r="AE5023">
        <v>-18.396100000000001</v>
      </c>
      <c r="AF5023">
        <v>-4.9386048946456702</v>
      </c>
      <c r="AG5023">
        <v>-1.118499897989</v>
      </c>
      <c r="AH5023">
        <v>18.608090535651201</v>
      </c>
      <c r="AI5023">
        <v>93.324973395418695</v>
      </c>
      <c r="AJ5023">
        <v>104.86369023316099</v>
      </c>
      <c r="AK5023">
        <v>19.2847580671942</v>
      </c>
      <c r="AL5023">
        <v>89.485368929513299</v>
      </c>
      <c r="AM5023">
        <v>90.512991838633397</v>
      </c>
      <c r="AN5023">
        <v>1.0000000177225801</v>
      </c>
    </row>
    <row r="5024" spans="1:40" x14ac:dyDescent="0.25">
      <c r="A5024" t="str">
        <f>"20190312154937359"</f>
        <v>20190312154937359</v>
      </c>
      <c r="B5024" t="str">
        <f>"1552376977350511"</f>
        <v>1552376977350511</v>
      </c>
      <c r="C5024" t="s">
        <v>40</v>
      </c>
      <c r="D5024">
        <v>4.1078890000000001</v>
      </c>
      <c r="E5024">
        <v>0.40124939999999998</v>
      </c>
      <c r="F5024" t="s">
        <v>42</v>
      </c>
      <c r="G5024">
        <v>-421.50439999999998</v>
      </c>
      <c r="H5024" s="1">
        <v>-2.633536E-6</v>
      </c>
      <c r="I5024">
        <v>104.316</v>
      </c>
      <c r="J5024">
        <v>-415.7627</v>
      </c>
      <c r="K5024">
        <v>1.1184559999999999</v>
      </c>
      <c r="L5024">
        <v>123.03749999999999</v>
      </c>
      <c r="M5024">
        <v>-0.52868719999999902</v>
      </c>
      <c r="N5024">
        <v>0</v>
      </c>
      <c r="O5024">
        <v>-0.84871830000000004</v>
      </c>
      <c r="P5024">
        <v>-0.52085999999999999</v>
      </c>
      <c r="Q5024">
        <v>-3.678377E-3</v>
      </c>
      <c r="R5024">
        <v>-0.85363469999999997</v>
      </c>
      <c r="S5024">
        <v>-0.91833500000000001</v>
      </c>
      <c r="T5024">
        <v>-0.17509079999999999</v>
      </c>
      <c r="U5024">
        <v>-2.9650120000000002</v>
      </c>
      <c r="V5024">
        <v>-9.4387659999999995E-3</v>
      </c>
      <c r="W5024">
        <v>9.0686670000000007E-3</v>
      </c>
      <c r="X5024">
        <v>0.99991430000000003</v>
      </c>
      <c r="Y5024">
        <v>-0.25426100000000001</v>
      </c>
      <c r="Z5024">
        <v>4.3962300000000003E-2</v>
      </c>
      <c r="AA5024">
        <v>0.96613590000000005</v>
      </c>
      <c r="AB5024">
        <v>26</v>
      </c>
      <c r="AC5024">
        <v>-5.7416999999999803</v>
      </c>
      <c r="AD5024">
        <v>-1.1184586335359901</v>
      </c>
      <c r="AE5024">
        <v>-18.721499999999899</v>
      </c>
      <c r="AF5024">
        <v>-5.0088113809931203</v>
      </c>
      <c r="AG5024">
        <v>-1.1184586335359901</v>
      </c>
      <c r="AH5024">
        <v>18.8648821881903</v>
      </c>
      <c r="AI5024">
        <v>93.279603754898204</v>
      </c>
      <c r="AJ5024">
        <v>104.869517172024</v>
      </c>
      <c r="AK5024">
        <v>19.550522272808902</v>
      </c>
      <c r="AL5024">
        <v>89.480396516818203</v>
      </c>
      <c r="AM5024">
        <v>90.540831742942302</v>
      </c>
      <c r="AN5024">
        <v>0.99999996918462397</v>
      </c>
    </row>
    <row r="5025" spans="1:40" x14ac:dyDescent="0.25">
      <c r="A5025" t="str">
        <f>"20190312154937382"</f>
        <v>20190312154937382</v>
      </c>
      <c r="B5025" t="str">
        <f>"1552376977371006"</f>
        <v>1552376977371006</v>
      </c>
      <c r="C5025" t="s">
        <v>40</v>
      </c>
      <c r="D5025">
        <v>4.0826089999999997</v>
      </c>
      <c r="E5025">
        <v>0.41674949999999999</v>
      </c>
      <c r="F5025" t="s">
        <v>42</v>
      </c>
      <c r="G5025">
        <v>-421.42590000000001</v>
      </c>
      <c r="H5025" s="1">
        <v>-2.4304559999999999E-6</v>
      </c>
      <c r="I5025">
        <v>103.9306</v>
      </c>
      <c r="J5025">
        <v>-415.89269999999999</v>
      </c>
      <c r="K5025">
        <v>1.118395</v>
      </c>
      <c r="L5025">
        <v>122.8022</v>
      </c>
      <c r="M5025">
        <v>-0.51759219999999995</v>
      </c>
      <c r="N5025">
        <v>0</v>
      </c>
      <c r="O5025">
        <v>-0.8555296</v>
      </c>
      <c r="P5025">
        <v>-0.50916589999999995</v>
      </c>
      <c r="Q5025">
        <v>-2.623453E-3</v>
      </c>
      <c r="R5025">
        <v>-0.86066469999999995</v>
      </c>
      <c r="S5025">
        <v>-0.88192749999999998</v>
      </c>
      <c r="T5025">
        <v>-0.1741781</v>
      </c>
      <c r="U5025">
        <v>-2.9755250000000002</v>
      </c>
      <c r="V5025">
        <v>-1.0084249999999999E-2</v>
      </c>
      <c r="W5025">
        <v>1.010288E-2</v>
      </c>
      <c r="X5025">
        <v>0.99989810000000001</v>
      </c>
      <c r="Y5025">
        <v>-0.25346449999999998</v>
      </c>
      <c r="Z5025">
        <v>4.4214690000000001E-2</v>
      </c>
      <c r="AA5025">
        <v>0.96633369999999996</v>
      </c>
      <c r="AB5025">
        <v>26</v>
      </c>
      <c r="AC5025">
        <v>-5.5332000000000203</v>
      </c>
      <c r="AD5025">
        <v>-1.118397430456</v>
      </c>
      <c r="AE5025">
        <v>-18.871600000000001</v>
      </c>
      <c r="AF5025">
        <v>-5.0181685927983697</v>
      </c>
      <c r="AG5025">
        <v>-1.118397430456</v>
      </c>
      <c r="AH5025">
        <v>18.949459910920002</v>
      </c>
      <c r="AI5025">
        <v>93.265377215917695</v>
      </c>
      <c r="AJ5025">
        <v>104.832512749046</v>
      </c>
      <c r="AK5025">
        <v>19.634532328368898</v>
      </c>
      <c r="AL5025">
        <v>89.421137759061395</v>
      </c>
      <c r="AM5025">
        <v>90.577824256661401</v>
      </c>
      <c r="AN5025">
        <v>0.99999998533298295</v>
      </c>
    </row>
    <row r="5026" spans="1:40" x14ac:dyDescent="0.25">
      <c r="A5026" t="str">
        <f>"20190312154937405"</f>
        <v>20190312154937405</v>
      </c>
      <c r="B5026" t="str">
        <f>"1552376977401264"</f>
        <v>1552376977401264</v>
      </c>
      <c r="C5026" t="s">
        <v>40</v>
      </c>
      <c r="D5026">
        <v>4.0745719999999999</v>
      </c>
      <c r="E5026">
        <v>0.41927239999999999</v>
      </c>
      <c r="F5026" t="s">
        <v>42</v>
      </c>
      <c r="G5026">
        <v>-423.8546</v>
      </c>
      <c r="H5026" s="1">
        <v>-4.5311800000000002E-6</v>
      </c>
      <c r="I5026">
        <v>98.292659999999998</v>
      </c>
      <c r="J5026">
        <v>-416.01150000000001</v>
      </c>
      <c r="K5026">
        <v>1.1183179999999999</v>
      </c>
      <c r="L5026">
        <v>122.5809</v>
      </c>
      <c r="M5026">
        <v>-0.50725370000000003</v>
      </c>
      <c r="N5026">
        <v>0</v>
      </c>
      <c r="O5026">
        <v>-0.86170020000000003</v>
      </c>
      <c r="P5026">
        <v>-0.49865579999999998</v>
      </c>
      <c r="Q5026">
        <v>-1.2365919999999999E-3</v>
      </c>
      <c r="R5026">
        <v>-0.86679969999999995</v>
      </c>
      <c r="S5026">
        <v>-0.94967650000000003</v>
      </c>
      <c r="T5026">
        <v>-0.1334002</v>
      </c>
      <c r="U5026">
        <v>-2.9234469999999999</v>
      </c>
      <c r="V5026">
        <v>-1.0240000000000001E-2</v>
      </c>
      <c r="W5026">
        <v>1.147609E-2</v>
      </c>
      <c r="X5026">
        <v>0.99988169999999998</v>
      </c>
      <c r="Y5026">
        <v>-0.21644079999999999</v>
      </c>
      <c r="Z5026">
        <v>3.4959299999999999E-2</v>
      </c>
      <c r="AA5026">
        <v>0.97566960000000003</v>
      </c>
      <c r="AB5026">
        <v>26</v>
      </c>
      <c r="AC5026">
        <v>-7.84309999999999</v>
      </c>
      <c r="AD5026">
        <v>-1.11832253117999</v>
      </c>
      <c r="AE5026">
        <v>-24.288239999999998</v>
      </c>
      <c r="AF5026">
        <v>-5.5517033429878202</v>
      </c>
      <c r="AG5026">
        <v>-1.11832253117999</v>
      </c>
      <c r="AH5026">
        <v>24.861965007721999</v>
      </c>
      <c r="AI5026">
        <v>92.513674878858893</v>
      </c>
      <c r="AJ5026">
        <v>102.58769869145</v>
      </c>
      <c r="AK5026">
        <v>25.498810939678702</v>
      </c>
      <c r="AL5026">
        <v>89.342454034816697</v>
      </c>
      <c r="AM5026">
        <v>90.586757685127694</v>
      </c>
      <c r="AN5026">
        <v>0.999999986118289</v>
      </c>
    </row>
    <row r="5027" spans="1:40" x14ac:dyDescent="0.25">
      <c r="A5027" t="str">
        <f>"20190312154937427"</f>
        <v>20190312154937427</v>
      </c>
      <c r="B5027" t="str">
        <f>"1552376977420783"</f>
        <v>1552376977420783</v>
      </c>
      <c r="C5027" t="s">
        <v>40</v>
      </c>
      <c r="D5027">
        <v>4.0950730000000002</v>
      </c>
      <c r="E5027">
        <v>0.41998590000000002</v>
      </c>
      <c r="F5027" t="s">
        <v>42</v>
      </c>
      <c r="G5027">
        <v>-424.13290000000001</v>
      </c>
      <c r="H5027" s="1">
        <v>-4.169643E-6</v>
      </c>
      <c r="I5027">
        <v>97.085210000000004</v>
      </c>
      <c r="J5027">
        <v>-416.13189999999997</v>
      </c>
      <c r="K5027">
        <v>1.118204</v>
      </c>
      <c r="L5027">
        <v>122.3498</v>
      </c>
      <c r="M5027">
        <v>-0.49661509999999998</v>
      </c>
      <c r="N5027">
        <v>0</v>
      </c>
      <c r="O5027">
        <v>-0.86787499999999995</v>
      </c>
      <c r="P5027">
        <v>-0.4883884</v>
      </c>
      <c r="Q5027">
        <v>-3.2134539999999998E-4</v>
      </c>
      <c r="R5027">
        <v>-0.87262659999999903</v>
      </c>
      <c r="S5027">
        <v>-0.93167109999999997</v>
      </c>
      <c r="T5027">
        <v>-0.1282923</v>
      </c>
      <c r="U5027">
        <v>-2.9248349999999999</v>
      </c>
      <c r="V5027">
        <v>-9.7593030000000004E-3</v>
      </c>
      <c r="W5027">
        <v>1.238392E-2</v>
      </c>
      <c r="X5027">
        <v>0.99987570000000003</v>
      </c>
      <c r="Y5027">
        <v>-0.20999300000000001</v>
      </c>
      <c r="Z5027">
        <v>3.4044329999999998E-2</v>
      </c>
      <c r="AA5027">
        <v>0.97711000000000003</v>
      </c>
      <c r="AB5027">
        <v>26</v>
      </c>
      <c r="AC5027">
        <v>-8.0010000000000296</v>
      </c>
      <c r="AD5027">
        <v>-1.118208169643</v>
      </c>
      <c r="AE5027">
        <v>-25.264589999999998</v>
      </c>
      <c r="AF5027">
        <v>-5.5934168939645499</v>
      </c>
      <c r="AG5027">
        <v>-1.118208169643</v>
      </c>
      <c r="AH5027">
        <v>25.856045327727099</v>
      </c>
      <c r="AI5027">
        <v>92.420433923398306</v>
      </c>
      <c r="AJ5027">
        <v>102.206651464199</v>
      </c>
      <c r="AK5027">
        <v>26.477760140348401</v>
      </c>
      <c r="AL5027">
        <v>89.290435520163996</v>
      </c>
      <c r="AM5027">
        <v>90.559218627936701</v>
      </c>
      <c r="AN5027">
        <v>1.0000000104600499</v>
      </c>
    </row>
    <row r="5028" spans="1:40" x14ac:dyDescent="0.25">
      <c r="A5028" t="str">
        <f>"20190312154937449"</f>
        <v>20190312154937449</v>
      </c>
      <c r="B5028" t="str">
        <f>"1552376977441279"</f>
        <v>1552376977441279</v>
      </c>
      <c r="C5028" t="s">
        <v>40</v>
      </c>
      <c r="D5028">
        <v>4.077178</v>
      </c>
      <c r="E5028">
        <v>0.40908909999999998</v>
      </c>
      <c r="F5028" t="s">
        <v>42</v>
      </c>
      <c r="G5028">
        <v>-424.15989999999999</v>
      </c>
      <c r="H5028" s="1">
        <v>-3.8951229999999998E-6</v>
      </c>
      <c r="I5028">
        <v>96.264409999999998</v>
      </c>
      <c r="J5028">
        <v>-416.24290000000002</v>
      </c>
      <c r="K5028">
        <v>1.1180559999999999</v>
      </c>
      <c r="L5028">
        <v>122.13120000000001</v>
      </c>
      <c r="M5028">
        <v>-0.48672490000000002</v>
      </c>
      <c r="N5028">
        <v>0</v>
      </c>
      <c r="O5028">
        <v>-0.87346049999999997</v>
      </c>
      <c r="P5028">
        <v>-0.47996369999999999</v>
      </c>
      <c r="Q5028">
        <v>-1.455107E-3</v>
      </c>
      <c r="R5028">
        <v>-0.87728739999999905</v>
      </c>
      <c r="S5028">
        <v>-0.90255739999999995</v>
      </c>
      <c r="T5028">
        <v>-0.12571550000000001</v>
      </c>
      <c r="U5028">
        <v>-2.9326780000000001</v>
      </c>
      <c r="V5028">
        <v>-8.0005600000000003E-3</v>
      </c>
      <c r="W5028">
        <v>1.126487E-2</v>
      </c>
      <c r="X5028">
        <v>0.99990449999999997</v>
      </c>
      <c r="Y5028">
        <v>-0.20847280000000001</v>
      </c>
      <c r="Z5028">
        <v>3.3661959999999998E-2</v>
      </c>
      <c r="AA5028">
        <v>0.97744869999999995</v>
      </c>
      <c r="AB5028">
        <v>26</v>
      </c>
      <c r="AC5028">
        <v>-7.9169999999999696</v>
      </c>
      <c r="AD5028">
        <v>-1.1180598951230001</v>
      </c>
      <c r="AE5028">
        <v>-25.866790000000002</v>
      </c>
      <c r="AF5028">
        <v>-5.6656156237893498</v>
      </c>
      <c r="AG5028">
        <v>-1.1180598951230001</v>
      </c>
      <c r="AH5028">
        <v>26.4041055403593</v>
      </c>
      <c r="AI5028">
        <v>92.3707938165944</v>
      </c>
      <c r="AJ5028">
        <v>102.110509292443</v>
      </c>
      <c r="AK5028">
        <v>27.028245368725699</v>
      </c>
      <c r="AL5028">
        <v>89.354556813602699</v>
      </c>
      <c r="AM5028">
        <v>90.458432320001805</v>
      </c>
      <c r="AN5028">
        <v>0.99999995768833905</v>
      </c>
    </row>
    <row r="5029" spans="1:40" x14ac:dyDescent="0.25">
      <c r="A5029" t="str">
        <f>"20190312154937471"</f>
        <v>20190312154937471</v>
      </c>
      <c r="B5029" t="str">
        <f>"1552376977460799"</f>
        <v>1552376977460799</v>
      </c>
      <c r="C5029" t="s">
        <v>40</v>
      </c>
      <c r="D5029">
        <v>4.0917979999999998</v>
      </c>
      <c r="E5029">
        <v>0.38979069999999999</v>
      </c>
      <c r="F5029" t="s">
        <v>42</v>
      </c>
      <c r="G5029">
        <v>-423.22329999999999</v>
      </c>
      <c r="H5029" s="1">
        <v>-3.6239050000000001E-6</v>
      </c>
      <c r="I5029">
        <v>96.037350000000004</v>
      </c>
      <c r="J5029">
        <v>-416.35739999999998</v>
      </c>
      <c r="K5029">
        <v>1.1178900000000001</v>
      </c>
      <c r="L5029">
        <v>121.89919999999999</v>
      </c>
      <c r="M5029">
        <v>-0.47640500000000002</v>
      </c>
      <c r="N5029">
        <v>0</v>
      </c>
      <c r="O5029">
        <v>-0.87913229999999998</v>
      </c>
      <c r="P5029">
        <v>-0.47132059999999998</v>
      </c>
      <c r="Q5029">
        <v>-3.0115459999999999E-3</v>
      </c>
      <c r="R5029">
        <v>-0.8819572</v>
      </c>
      <c r="S5029">
        <v>-0.79794309999999902</v>
      </c>
      <c r="T5029">
        <v>-0.12780710000000001</v>
      </c>
      <c r="U5029">
        <v>-2.982834</v>
      </c>
      <c r="V5029">
        <v>-6.0119450000000003E-3</v>
      </c>
      <c r="W5029">
        <v>9.7219049999999994E-3</v>
      </c>
      <c r="X5029">
        <v>0.99993469999999995</v>
      </c>
      <c r="Y5029">
        <v>-0.2332158</v>
      </c>
      <c r="Z5029">
        <v>3.4033889999999997E-2</v>
      </c>
      <c r="AA5029">
        <v>0.97182919999999995</v>
      </c>
      <c r="AB5029">
        <v>26</v>
      </c>
      <c r="AC5029">
        <v>-6.8659000000000097</v>
      </c>
      <c r="AD5029">
        <v>-1.1178936239049999</v>
      </c>
      <c r="AE5029">
        <v>-25.861849999999901</v>
      </c>
      <c r="AF5029">
        <v>-6.2742464582252602</v>
      </c>
      <c r="AG5029">
        <v>-1.1178936239049999</v>
      </c>
      <c r="AH5029">
        <v>25.963760433164001</v>
      </c>
      <c r="AI5029">
        <v>92.396502694634293</v>
      </c>
      <c r="AJ5029">
        <v>103.585305286188</v>
      </c>
      <c r="AK5029">
        <v>26.734485418718101</v>
      </c>
      <c r="AL5029">
        <v>89.442967117334703</v>
      </c>
      <c r="AM5029">
        <v>90.344477419104606</v>
      </c>
      <c r="AN5029">
        <v>1.0000000315918001</v>
      </c>
    </row>
    <row r="5030" spans="1:40" x14ac:dyDescent="0.25">
      <c r="A5030" t="str">
        <f>"20190312154937493"</f>
        <v>20190312154937493</v>
      </c>
      <c r="B5030" t="str">
        <f>"1552376977481295"</f>
        <v>1552376977481295</v>
      </c>
      <c r="C5030" t="s">
        <v>40</v>
      </c>
      <c r="D5030">
        <v>4.095002</v>
      </c>
      <c r="E5030">
        <v>0.38991219999999999</v>
      </c>
      <c r="F5030" t="s">
        <v>42</v>
      </c>
      <c r="G5030">
        <v>-421.38589999999999</v>
      </c>
      <c r="H5030" s="1">
        <v>-3.7802100000000001E-6</v>
      </c>
      <c r="I5030">
        <v>97.54128</v>
      </c>
      <c r="J5030">
        <v>-416.46730000000002</v>
      </c>
      <c r="K5030">
        <v>1.1177220000000001</v>
      </c>
      <c r="L5030">
        <v>121.67059999999999</v>
      </c>
      <c r="M5030">
        <v>-0.46644679999999999</v>
      </c>
      <c r="N5030">
        <v>0</v>
      </c>
      <c r="O5030">
        <v>-0.88445659999999904</v>
      </c>
      <c r="P5030">
        <v>-0.46259289999999997</v>
      </c>
      <c r="Q5030">
        <v>-2.979827E-3</v>
      </c>
      <c r="R5030">
        <v>-0.88656610000000002</v>
      </c>
      <c r="S5030">
        <v>-0.63235469999999905</v>
      </c>
      <c r="T5030">
        <v>-0.14057900000000001</v>
      </c>
      <c r="U5030">
        <v>-3.0630950000000001</v>
      </c>
      <c r="V5030">
        <v>-4.5853339999999999E-3</v>
      </c>
      <c r="W5030">
        <v>9.7533759999999994E-3</v>
      </c>
      <c r="X5030">
        <v>0.99994190000000005</v>
      </c>
      <c r="Y5030">
        <v>-0.27816180000000001</v>
      </c>
      <c r="Z5030">
        <v>3.6747839999999997E-2</v>
      </c>
      <c r="AA5030">
        <v>0.95983110000000005</v>
      </c>
      <c r="AB5030">
        <v>26</v>
      </c>
      <c r="AC5030">
        <v>-4.9185999999999597</v>
      </c>
      <c r="AD5030">
        <v>-1.11772578020999</v>
      </c>
      <c r="AE5030">
        <v>-24.12932</v>
      </c>
      <c r="AF5030">
        <v>-6.8911250319877704</v>
      </c>
      <c r="AG5030">
        <v>-1.11772578020999</v>
      </c>
      <c r="AH5030">
        <v>23.588941979974901</v>
      </c>
      <c r="AI5030">
        <v>92.6041555007032</v>
      </c>
      <c r="AJ5030">
        <v>106.28486303756</v>
      </c>
      <c r="AK5030">
        <v>24.600306885501499</v>
      </c>
      <c r="AL5030">
        <v>89.441163846750797</v>
      </c>
      <c r="AM5030">
        <v>90.262733709239001</v>
      </c>
      <c r="AN5030">
        <v>0.99999997850344902</v>
      </c>
    </row>
    <row r="5031" spans="1:40" x14ac:dyDescent="0.25">
      <c r="A5031" t="str">
        <f>"20190312154937516"</f>
        <v>20190312154937516</v>
      </c>
      <c r="B5031" t="str">
        <f>"1552376977510588"</f>
        <v>1552376977510588</v>
      </c>
      <c r="C5031" t="s">
        <v>40</v>
      </c>
      <c r="D5031">
        <v>4.0671109999999997</v>
      </c>
      <c r="E5031">
        <v>0.39177089999999998</v>
      </c>
      <c r="F5031" t="s">
        <v>42</v>
      </c>
      <c r="G5031">
        <v>-421.14710000000002</v>
      </c>
      <c r="H5031" s="1">
        <v>-3.851205E-6</v>
      </c>
      <c r="I5031">
        <v>97.854920000000007</v>
      </c>
      <c r="J5031">
        <v>-416.57839999999999</v>
      </c>
      <c r="K5031">
        <v>1.1175280000000001</v>
      </c>
      <c r="L5031">
        <v>121.43340000000001</v>
      </c>
      <c r="M5031">
        <v>-0.45638420000000002</v>
      </c>
      <c r="N5031">
        <v>0</v>
      </c>
      <c r="O5031">
        <v>-0.88969089999999995</v>
      </c>
      <c r="P5031">
        <v>-0.45319179999999998</v>
      </c>
      <c r="Q5031">
        <v>-1.7237509999999999E-3</v>
      </c>
      <c r="R5031">
        <v>-0.89141139999999996</v>
      </c>
      <c r="S5031">
        <v>-0.6029968</v>
      </c>
      <c r="T5031">
        <v>-0.1440215</v>
      </c>
      <c r="U5031">
        <v>-3.0687099999999998</v>
      </c>
      <c r="V5031">
        <v>-3.8362159999999999E-3</v>
      </c>
      <c r="W5031">
        <v>1.0990700000000001E-2</v>
      </c>
      <c r="X5031">
        <v>0.99993220000000005</v>
      </c>
      <c r="Y5031">
        <v>-0.27644659999999999</v>
      </c>
      <c r="Z5031">
        <v>3.797499E-2</v>
      </c>
      <c r="AA5031">
        <v>0.96027870000000004</v>
      </c>
      <c r="AB5031">
        <v>26</v>
      </c>
      <c r="AC5031">
        <v>-4.56870000000003</v>
      </c>
      <c r="AD5031">
        <v>-1.1175318512050001</v>
      </c>
      <c r="AE5031">
        <v>-23.578479999999999</v>
      </c>
      <c r="AF5031">
        <v>-6.6821948790686498</v>
      </c>
      <c r="AG5031">
        <v>-1.1175318512050001</v>
      </c>
      <c r="AH5031">
        <v>23.014698435165801</v>
      </c>
      <c r="AI5031">
        <v>92.669857148532301</v>
      </c>
      <c r="AJ5031">
        <v>106.19037316439599</v>
      </c>
      <c r="AK5031">
        <v>23.991184837392499</v>
      </c>
      <c r="AL5031">
        <v>89.3702665712634</v>
      </c>
      <c r="AM5031">
        <v>90.219812811044605</v>
      </c>
      <c r="AN5031">
        <v>0.99999995831826305</v>
      </c>
    </row>
    <row r="5032" spans="1:40" x14ac:dyDescent="0.25">
      <c r="A5032" t="str">
        <f>"20190312154937537"</f>
        <v>20190312154937537</v>
      </c>
      <c r="B5032" t="str">
        <f>"1552376977531071"</f>
        <v>1552376977531071</v>
      </c>
      <c r="C5032" t="s">
        <v>40</v>
      </c>
      <c r="D5032">
        <v>4.0946530000000001</v>
      </c>
      <c r="E5032">
        <v>0.39265810000000001</v>
      </c>
      <c r="F5032" t="s">
        <v>42</v>
      </c>
      <c r="G5032">
        <v>-421.36950000000002</v>
      </c>
      <c r="H5032" s="1">
        <v>-3.2370990000000001E-6</v>
      </c>
      <c r="I5032">
        <v>96.285480000000007</v>
      </c>
      <c r="J5032">
        <v>-416.68329999999997</v>
      </c>
      <c r="K5032">
        <v>1.117318</v>
      </c>
      <c r="L5032">
        <v>121.2038</v>
      </c>
      <c r="M5032">
        <v>-0.4469458</v>
      </c>
      <c r="N5032">
        <v>0</v>
      </c>
      <c r="O5032">
        <v>-0.8944704</v>
      </c>
      <c r="P5032">
        <v>-0.44398530000000003</v>
      </c>
      <c r="Q5032">
        <v>-8.2721929999999904E-4</v>
      </c>
      <c r="R5032">
        <v>-0.89603410000000006</v>
      </c>
      <c r="S5032">
        <v>-0.584503199999999</v>
      </c>
      <c r="T5032">
        <v>-0.13633700000000001</v>
      </c>
      <c r="U5032">
        <v>-3.0680079999999998</v>
      </c>
      <c r="V5032">
        <v>-3.5682169999999998E-3</v>
      </c>
      <c r="W5032">
        <v>1.185372E-2</v>
      </c>
      <c r="X5032">
        <v>0.99992329999999996</v>
      </c>
      <c r="Y5032">
        <v>-0.27180070000000001</v>
      </c>
      <c r="Z5032">
        <v>3.631508E-2</v>
      </c>
      <c r="AA5032">
        <v>0.96166810000000003</v>
      </c>
      <c r="AB5032">
        <v>26</v>
      </c>
      <c r="AC5032">
        <v>-4.6862000000000403</v>
      </c>
      <c r="AD5032">
        <v>-1.117321237099</v>
      </c>
      <c r="AE5032">
        <v>-24.918319999999898</v>
      </c>
      <c r="AF5032">
        <v>-6.9325721944709997</v>
      </c>
      <c r="AG5032">
        <v>-1.117321237099</v>
      </c>
      <c r="AH5032">
        <v>24.337892787760499</v>
      </c>
      <c r="AI5032">
        <v>92.528105704596001</v>
      </c>
      <c r="AJ5032">
        <v>105.899436162276</v>
      </c>
      <c r="AK5032">
        <v>25.330653156343001</v>
      </c>
      <c r="AL5032">
        <v>89.320815915030707</v>
      </c>
      <c r="AM5032">
        <v>90.204458588662902</v>
      </c>
      <c r="AN5032">
        <v>0.99999992436663998</v>
      </c>
    </row>
    <row r="5033" spans="1:40" x14ac:dyDescent="0.25">
      <c r="A5033" t="str">
        <f>"20190312154937560"</f>
        <v>20190312154937560</v>
      </c>
      <c r="B5033" t="str">
        <f>"1552376977550591"</f>
        <v>1552376977550591</v>
      </c>
      <c r="C5033" t="s">
        <v>40</v>
      </c>
      <c r="D5033">
        <v>4.0941609999999997</v>
      </c>
      <c r="E5033">
        <v>0.39371139999999999</v>
      </c>
      <c r="F5033" t="s">
        <v>42</v>
      </c>
      <c r="G5033">
        <v>-421.25130000000001</v>
      </c>
      <c r="H5033" s="1">
        <v>-3.1382869999999999E-6</v>
      </c>
      <c r="I5033">
        <v>96.128460000000004</v>
      </c>
      <c r="J5033">
        <v>-416.7885</v>
      </c>
      <c r="K5033">
        <v>1.117062</v>
      </c>
      <c r="L5033">
        <v>120.9676</v>
      </c>
      <c r="M5033">
        <v>-0.43757750000000001</v>
      </c>
      <c r="N5033">
        <v>0</v>
      </c>
      <c r="O5033">
        <v>-0.89909110000000003</v>
      </c>
      <c r="P5033">
        <v>-0.43446170000000001</v>
      </c>
      <c r="Q5033">
        <v>-4.0440449999999998E-4</v>
      </c>
      <c r="R5033">
        <v>-0.90069030000000005</v>
      </c>
      <c r="S5033">
        <v>-0.55941770000000002</v>
      </c>
      <c r="T5033">
        <v>-0.1368316</v>
      </c>
      <c r="U5033">
        <v>-3.0708310000000001</v>
      </c>
      <c r="V5033">
        <v>-3.721729E-3</v>
      </c>
      <c r="W5033">
        <v>1.2228009999999999E-2</v>
      </c>
      <c r="X5033">
        <v>0.99991830000000004</v>
      </c>
      <c r="Y5033">
        <v>-0.26950359999999901</v>
      </c>
      <c r="Z5033">
        <v>3.6750190000000002E-2</v>
      </c>
      <c r="AA5033">
        <v>0.96229790000000004</v>
      </c>
      <c r="AB5033">
        <v>26</v>
      </c>
      <c r="AC5033">
        <v>-4.4628000000000103</v>
      </c>
      <c r="AD5033">
        <v>-1.117065138287</v>
      </c>
      <c r="AE5033">
        <v>-24.83914</v>
      </c>
      <c r="AF5033">
        <v>-6.8437290133872803</v>
      </c>
      <c r="AG5033">
        <v>-1.117065138287</v>
      </c>
      <c r="AH5033">
        <v>24.239935627139801</v>
      </c>
      <c r="AI5033">
        <v>92.539400753643093</v>
      </c>
      <c r="AJ5033">
        <v>105.76611399415501</v>
      </c>
      <c r="AK5033">
        <v>25.212277575414198</v>
      </c>
      <c r="AL5033">
        <v>89.299369167956101</v>
      </c>
      <c r="AM5033">
        <v>90.213255802492696</v>
      </c>
      <c r="AN5033">
        <v>0.99999999108509896</v>
      </c>
    </row>
    <row r="5034" spans="1:40" x14ac:dyDescent="0.25">
      <c r="A5034" t="str">
        <f>"20190312154937583"</f>
        <v>20190312154937583</v>
      </c>
      <c r="B5034" t="str">
        <f>"1552376977571087"</f>
        <v>1552376977571087</v>
      </c>
      <c r="C5034" t="s">
        <v>40</v>
      </c>
      <c r="D5034">
        <v>4.048171</v>
      </c>
      <c r="E5034">
        <v>0.39514500000000002</v>
      </c>
      <c r="F5034" t="s">
        <v>42</v>
      </c>
      <c r="G5034">
        <v>-421.19490000000002</v>
      </c>
      <c r="H5034" s="1">
        <v>-2.8917190000000001E-6</v>
      </c>
      <c r="I5034">
        <v>95.588650000000001</v>
      </c>
      <c r="J5034">
        <v>-416.8929</v>
      </c>
      <c r="K5034">
        <v>1.1167750000000001</v>
      </c>
      <c r="L5034">
        <v>120.7278</v>
      </c>
      <c r="M5034">
        <v>-0.4284462</v>
      </c>
      <c r="N5034">
        <v>0</v>
      </c>
      <c r="O5034">
        <v>-0.90347900000000003</v>
      </c>
      <c r="P5034">
        <v>-0.42481190000000002</v>
      </c>
      <c r="Q5034">
        <v>1.2359809999999999E-3</v>
      </c>
      <c r="R5034">
        <v>-0.90528120000000001</v>
      </c>
      <c r="S5034">
        <v>-0.53359990000000002</v>
      </c>
      <c r="T5034">
        <v>-0.13527259999999999</v>
      </c>
      <c r="U5034">
        <v>-3.0733030000000001</v>
      </c>
      <c r="V5034">
        <v>-4.2947519999999998E-3</v>
      </c>
      <c r="W5034">
        <v>1.3808590000000001E-2</v>
      </c>
      <c r="X5034">
        <v>0.99989550000000005</v>
      </c>
      <c r="Y5034">
        <v>-0.2677176</v>
      </c>
      <c r="Z5034">
        <v>3.6618320000000003E-2</v>
      </c>
      <c r="AA5034">
        <v>0.96280129999999997</v>
      </c>
      <c r="AB5034">
        <v>26</v>
      </c>
      <c r="AC5034">
        <v>-4.30200000000002</v>
      </c>
      <c r="AD5034">
        <v>-1.1167778917190001</v>
      </c>
      <c r="AE5034">
        <v>-25.139150000000001</v>
      </c>
      <c r="AF5034">
        <v>-6.8713811611768003</v>
      </c>
      <c r="AG5034">
        <v>-1.1167778917190001</v>
      </c>
      <c r="AH5034">
        <v>24.510833471917401</v>
      </c>
      <c r="AI5034">
        <v>92.512028730260894</v>
      </c>
      <c r="AJ5034">
        <v>105.660339754639</v>
      </c>
      <c r="AK5034">
        <v>25.480267451690398</v>
      </c>
      <c r="AL5034">
        <v>89.208800979290402</v>
      </c>
      <c r="AM5034">
        <v>90.246095367402802</v>
      </c>
      <c r="AN5034">
        <v>1.00000006648638</v>
      </c>
    </row>
    <row r="5035" spans="1:40" x14ac:dyDescent="0.25">
      <c r="A5035" t="str">
        <f>"20190312154937606"</f>
        <v>20190312154937606</v>
      </c>
      <c r="B5035" t="str">
        <f>"1552376977601343"</f>
        <v>1552376977601343</v>
      </c>
      <c r="C5035" t="s">
        <v>40</v>
      </c>
      <c r="D5035">
        <v>4.0806079999999998</v>
      </c>
      <c r="E5035">
        <v>0.40642289999999998</v>
      </c>
      <c r="F5035" t="s">
        <v>42</v>
      </c>
      <c r="G5035">
        <v>-421.1617</v>
      </c>
      <c r="H5035" s="1">
        <v>-2.6652720000000002E-6</v>
      </c>
      <c r="I5035">
        <v>95.081379999999996</v>
      </c>
      <c r="J5035">
        <v>-416.99439999999998</v>
      </c>
      <c r="K5035">
        <v>1.116466</v>
      </c>
      <c r="L5035">
        <v>120.4892</v>
      </c>
      <c r="M5035">
        <v>-0.41977559999999903</v>
      </c>
      <c r="N5035">
        <v>0</v>
      </c>
      <c r="O5035">
        <v>-0.90754049999999997</v>
      </c>
      <c r="P5035">
        <v>-0.41516969999999997</v>
      </c>
      <c r="Q5035">
        <v>3.8470510000000002E-3</v>
      </c>
      <c r="R5035">
        <v>-0.90973559999999998</v>
      </c>
      <c r="S5035">
        <v>-0.51165769999999999</v>
      </c>
      <c r="T5035">
        <v>-0.1338559</v>
      </c>
      <c r="U5035">
        <v>-3.0739589999999999</v>
      </c>
      <c r="V5035">
        <v>-5.3716060000000001E-3</v>
      </c>
      <c r="W5035">
        <v>1.6350799999999999E-2</v>
      </c>
      <c r="X5035">
        <v>0.99985190000000002</v>
      </c>
      <c r="Y5035">
        <v>-0.26520369999999999</v>
      </c>
      <c r="Z5035">
        <v>3.6519540000000003E-2</v>
      </c>
      <c r="AA5035">
        <v>0.96350060000000004</v>
      </c>
      <c r="AB5035">
        <v>26</v>
      </c>
      <c r="AC5035">
        <v>-4.1673000000000098</v>
      </c>
      <c r="AD5035">
        <v>-1.1164686652719999</v>
      </c>
      <c r="AE5035">
        <v>-25.407819999999901</v>
      </c>
      <c r="AF5035">
        <v>-6.8712155734282296</v>
      </c>
      <c r="AG5035">
        <v>-1.1164686652719999</v>
      </c>
      <c r="AH5035">
        <v>24.763362297374901</v>
      </c>
      <c r="AI5035">
        <v>92.487598198286904</v>
      </c>
      <c r="AJ5035">
        <v>105.508008016441</v>
      </c>
      <c r="AK5035">
        <v>25.7232233207292</v>
      </c>
      <c r="AL5035">
        <v>89.063126431451394</v>
      </c>
      <c r="AM5035">
        <v>90.307812979132805</v>
      </c>
      <c r="AN5035">
        <v>1.00000001237263</v>
      </c>
    </row>
    <row r="5036" spans="1:40" x14ac:dyDescent="0.25">
      <c r="A5036" t="str">
        <f>"20190312154937628"</f>
        <v>20190312154937628</v>
      </c>
      <c r="B5036" t="str">
        <f>"1552376977620863"</f>
        <v>1552376977620863</v>
      </c>
      <c r="C5036" t="s">
        <v>40</v>
      </c>
      <c r="D5036">
        <v>4.1115620000000002</v>
      </c>
      <c r="E5036">
        <v>0.4083465</v>
      </c>
      <c r="F5036" t="s">
        <v>42</v>
      </c>
      <c r="G5036">
        <v>-422.49610000000001</v>
      </c>
      <c r="H5036" s="1">
        <v>-1.1376220000000001E-6</v>
      </c>
      <c r="I5036">
        <v>90.692790000000002</v>
      </c>
      <c r="J5036">
        <v>-417.09390000000002</v>
      </c>
      <c r="K5036">
        <v>1.1161399999999999</v>
      </c>
      <c r="L5036">
        <v>120.25</v>
      </c>
      <c r="M5036">
        <v>-0.41154740000000001</v>
      </c>
      <c r="N5036">
        <v>0</v>
      </c>
      <c r="O5036">
        <v>-0.91130239999999996</v>
      </c>
      <c r="P5036">
        <v>-0.4064045</v>
      </c>
      <c r="Q5036">
        <v>5.6481959999999899E-3</v>
      </c>
      <c r="R5036">
        <v>-0.91367609999999999</v>
      </c>
      <c r="S5036">
        <v>-0.56164550000000002</v>
      </c>
      <c r="T5036">
        <v>-0.11397699999999999</v>
      </c>
      <c r="U5036">
        <v>-3.0418240000000001</v>
      </c>
      <c r="V5036">
        <v>-5.9478380000000004E-3</v>
      </c>
      <c r="W5036">
        <v>1.8090519999999999E-2</v>
      </c>
      <c r="X5036">
        <v>0.99981869999999995</v>
      </c>
      <c r="Y5036">
        <v>-0.23935429999999999</v>
      </c>
      <c r="Z5036">
        <v>3.1719619999999997E-2</v>
      </c>
      <c r="AA5036">
        <v>0.970414</v>
      </c>
      <c r="AB5036">
        <v>26</v>
      </c>
      <c r="AC5036">
        <v>-5.4021999999999899</v>
      </c>
      <c r="AD5036">
        <v>-1.1161411376219901</v>
      </c>
      <c r="AE5036">
        <v>-29.557210000000001</v>
      </c>
      <c r="AF5036">
        <v>-7.2317434919959496</v>
      </c>
      <c r="AG5036">
        <v>-1.1161411376219901</v>
      </c>
      <c r="AH5036">
        <v>29.120918930837298</v>
      </c>
      <c r="AI5036">
        <v>92.130304349598802</v>
      </c>
      <c r="AJ5036">
        <v>103.94642266146001</v>
      </c>
      <c r="AK5036">
        <v>30.0261853113165</v>
      </c>
      <c r="AL5036">
        <v>88.963433050230506</v>
      </c>
      <c r="AM5036">
        <v>90.3408437895974</v>
      </c>
      <c r="AN5036">
        <v>1.0000000382802099</v>
      </c>
    </row>
    <row r="5037" spans="1:40" x14ac:dyDescent="0.25">
      <c r="A5037" t="str">
        <f>"20190312154937650"</f>
        <v>20190312154937650</v>
      </c>
      <c r="B5037" t="str">
        <f>"1552376977641359"</f>
        <v>1552376977641359</v>
      </c>
      <c r="C5037" t="s">
        <v>40</v>
      </c>
      <c r="D5037">
        <v>4.0969769999999999</v>
      </c>
      <c r="E5037">
        <v>0.40838340000000001</v>
      </c>
      <c r="F5037" t="s">
        <v>42</v>
      </c>
      <c r="G5037">
        <v>-422.61</v>
      </c>
      <c r="H5037" s="1">
        <v>-4.7453260000000004E-6</v>
      </c>
      <c r="I5037">
        <v>89.570679999999996</v>
      </c>
      <c r="J5037">
        <v>-417.18759999999997</v>
      </c>
      <c r="K5037">
        <v>1.1158539999999999</v>
      </c>
      <c r="L5037">
        <v>120.02030000000001</v>
      </c>
      <c r="M5037">
        <v>-0.40397820000000001</v>
      </c>
      <c r="N5037">
        <v>0</v>
      </c>
      <c r="O5037">
        <v>-0.91468369999999999</v>
      </c>
      <c r="P5037">
        <v>-0.39824989999999999</v>
      </c>
      <c r="Q5037">
        <v>5.7944719999999898E-3</v>
      </c>
      <c r="R5037">
        <v>-0.91725889999999999</v>
      </c>
      <c r="S5037">
        <v>-0.54675289999999999</v>
      </c>
      <c r="T5037">
        <v>-0.1106323</v>
      </c>
      <c r="U5037">
        <v>-3.0409389999999998</v>
      </c>
      <c r="V5037">
        <v>-6.5528219999999998E-3</v>
      </c>
      <c r="W5037">
        <v>1.81792E-2</v>
      </c>
      <c r="X5037">
        <v>0.99981330000000002</v>
      </c>
      <c r="Y5037">
        <v>-0.2358478</v>
      </c>
      <c r="Z5037">
        <v>3.1005479999999998E-2</v>
      </c>
      <c r="AA5037">
        <v>0.97129529999999997</v>
      </c>
      <c r="AB5037">
        <v>26</v>
      </c>
      <c r="AC5037">
        <v>-5.4224000000000396</v>
      </c>
      <c r="AD5037">
        <v>-1.115858745326</v>
      </c>
      <c r="AE5037">
        <v>-30.449619999999999</v>
      </c>
      <c r="AF5037">
        <v>-7.3322280104719102</v>
      </c>
      <c r="AG5037">
        <v>-1.115858745326</v>
      </c>
      <c r="AH5037">
        <v>30.0055792251861</v>
      </c>
      <c r="AI5037">
        <v>92.068935340165496</v>
      </c>
      <c r="AJ5037">
        <v>103.73181924078</v>
      </c>
      <c r="AK5037">
        <v>30.908599013478199</v>
      </c>
      <c r="AL5037">
        <v>88.958351215137199</v>
      </c>
      <c r="AM5037">
        <v>90.375513777192296</v>
      </c>
      <c r="AN5037">
        <v>1.0000000288228399</v>
      </c>
    </row>
    <row r="5038" spans="1:40" x14ac:dyDescent="0.25">
      <c r="A5038" t="str">
        <f>"20190312154937673"</f>
        <v>20190312154937673</v>
      </c>
      <c r="B5038" t="str">
        <f>"1552376977660879"</f>
        <v>1552376977660879</v>
      </c>
      <c r="C5038" t="s">
        <v>40</v>
      </c>
      <c r="D5038">
        <v>4.1245539999999998</v>
      </c>
      <c r="E5038">
        <v>0.40808670000000002</v>
      </c>
      <c r="F5038" t="s">
        <v>42</v>
      </c>
      <c r="G5038">
        <v>-422.89159999999998</v>
      </c>
      <c r="H5038" s="1">
        <v>-3.788007E-6</v>
      </c>
      <c r="I5038">
        <v>86.625590000000003</v>
      </c>
      <c r="J5038">
        <v>-417.28809999999999</v>
      </c>
      <c r="K5038">
        <v>1.115569</v>
      </c>
      <c r="L5038">
        <v>119.7689</v>
      </c>
      <c r="M5038">
        <v>-0.39610030000000002</v>
      </c>
      <c r="N5038">
        <v>0</v>
      </c>
      <c r="O5038">
        <v>-0.91812329999999998</v>
      </c>
      <c r="P5038">
        <v>-0.38968629999999999</v>
      </c>
      <c r="Q5038">
        <v>6.6093330000000002E-3</v>
      </c>
      <c r="R5038">
        <v>-0.92092430000000003</v>
      </c>
      <c r="S5038">
        <v>-0.52017209999999903</v>
      </c>
      <c r="T5038">
        <v>-0.10176</v>
      </c>
      <c r="U5038">
        <v>-3.04541</v>
      </c>
      <c r="V5038">
        <v>-7.2697480000000004E-3</v>
      </c>
      <c r="W5038">
        <v>1.89339E-2</v>
      </c>
      <c r="X5038">
        <v>0.99979430000000002</v>
      </c>
      <c r="Y5038">
        <v>-0.23595450000000001</v>
      </c>
      <c r="Z5038">
        <v>2.8666790000000001E-2</v>
      </c>
      <c r="AA5038">
        <v>0.97134120000000002</v>
      </c>
      <c r="AB5038">
        <v>26</v>
      </c>
      <c r="AC5038">
        <v>-5.6034999999999897</v>
      </c>
      <c r="AD5038">
        <v>-1.1155727880069899</v>
      </c>
      <c r="AE5038">
        <v>-33.14331</v>
      </c>
      <c r="AF5038">
        <v>-7.9752022707286603</v>
      </c>
      <c r="AG5038">
        <v>-1.1155727880069899</v>
      </c>
      <c r="AH5038">
        <v>32.615785437301398</v>
      </c>
      <c r="AI5038">
        <v>91.902931220880703</v>
      </c>
      <c r="AJ5038">
        <v>103.740337274927</v>
      </c>
      <c r="AK5038">
        <v>33.595205217358902</v>
      </c>
      <c r="AL5038">
        <v>88.915102603800193</v>
      </c>
      <c r="AM5038">
        <v>90.416604233536205</v>
      </c>
      <c r="AN5038">
        <v>0.99999999205884105</v>
      </c>
    </row>
    <row r="5039" spans="1:40" x14ac:dyDescent="0.25">
      <c r="A5039" t="str">
        <f>"20190312154937695"</f>
        <v>20190312154937695</v>
      </c>
      <c r="B5039" t="str">
        <f>"1552376977691135"</f>
        <v>1552376977691135</v>
      </c>
      <c r="C5039" t="s">
        <v>40</v>
      </c>
      <c r="D5039">
        <v>4.1245539999999998</v>
      </c>
      <c r="E5039">
        <v>0.40917559999999997</v>
      </c>
      <c r="F5039" t="s">
        <v>42</v>
      </c>
      <c r="G5039">
        <v>-423.33730000000003</v>
      </c>
      <c r="H5039" s="1">
        <v>-1.971206E-6</v>
      </c>
      <c r="I5039">
        <v>82.11412</v>
      </c>
      <c r="J5039">
        <v>-417.38060000000002</v>
      </c>
      <c r="K5039">
        <v>1.1153059999999999</v>
      </c>
      <c r="L5039">
        <v>119.5333</v>
      </c>
      <c r="M5039">
        <v>-0.38911889999999999</v>
      </c>
      <c r="N5039">
        <v>0</v>
      </c>
      <c r="O5039">
        <v>-0.92110460000000005</v>
      </c>
      <c r="P5039">
        <v>-0.38176690000000002</v>
      </c>
      <c r="Q5039">
        <v>8.3600989999999993E-3</v>
      </c>
      <c r="R5039">
        <v>-0.92422090000000001</v>
      </c>
      <c r="S5039">
        <v>-0.4901123</v>
      </c>
      <c r="T5039">
        <v>-9.0384720000000002E-2</v>
      </c>
      <c r="U5039">
        <v>-3.050827</v>
      </c>
      <c r="V5039">
        <v>-8.2663289999999993E-3</v>
      </c>
      <c r="W5039">
        <v>2.062539E-2</v>
      </c>
      <c r="X5039">
        <v>0.99975309999999995</v>
      </c>
      <c r="Y5039">
        <v>-0.2381635</v>
      </c>
      <c r="Z5039">
        <v>2.5559889999999998E-2</v>
      </c>
      <c r="AA5039">
        <v>0.97088869999999905</v>
      </c>
      <c r="AB5039">
        <v>26</v>
      </c>
      <c r="AC5039">
        <v>-5.9567000000000103</v>
      </c>
      <c r="AD5039">
        <v>-1.1153079712059999</v>
      </c>
      <c r="AE5039">
        <v>-37.419179999999997</v>
      </c>
      <c r="AF5039">
        <v>-9.0666041285730792</v>
      </c>
      <c r="AG5039">
        <v>-1.1153079712059999</v>
      </c>
      <c r="AH5039">
        <v>36.755807733583197</v>
      </c>
      <c r="AI5039">
        <v>91.687483536158695</v>
      </c>
      <c r="AJ5039">
        <v>103.856603586152</v>
      </c>
      <c r="AK5039">
        <v>37.873957073997801</v>
      </c>
      <c r="AL5039">
        <v>88.818168398825605</v>
      </c>
      <c r="AM5039">
        <v>90.473731935332296</v>
      </c>
      <c r="AN5039">
        <v>0.99999999993369904</v>
      </c>
    </row>
    <row r="5040" spans="1:40" x14ac:dyDescent="0.25">
      <c r="A5040" t="str">
        <f>"20190312154937718"</f>
        <v>20190312154937718</v>
      </c>
      <c r="B5040" t="str">
        <f>"1552376977710657"</f>
        <v>1552376977710657</v>
      </c>
      <c r="C5040" t="s">
        <v>40</v>
      </c>
      <c r="D5040">
        <v>4.1454769999999996</v>
      </c>
      <c r="E5040">
        <v>0.41036889999999998</v>
      </c>
      <c r="F5040" t="s">
        <v>42</v>
      </c>
      <c r="G5040">
        <v>-423.673</v>
      </c>
      <c r="H5040" s="1">
        <v>-4.6888620000000003E-6</v>
      </c>
      <c r="I5040">
        <v>78.85069</v>
      </c>
      <c r="J5040">
        <v>-417.47550000000001</v>
      </c>
      <c r="K5040">
        <v>1.1150100000000001</v>
      </c>
      <c r="L5040">
        <v>119.2868</v>
      </c>
      <c r="M5040">
        <v>-0.3822448</v>
      </c>
      <c r="N5040">
        <v>0</v>
      </c>
      <c r="O5040">
        <v>-0.9239792</v>
      </c>
      <c r="P5040">
        <v>-0.373641</v>
      </c>
      <c r="Q5040">
        <v>1.045017E-2</v>
      </c>
      <c r="R5040">
        <v>-0.92751490000000003</v>
      </c>
      <c r="S5040">
        <v>-0.47201539999999997</v>
      </c>
      <c r="T5040">
        <v>-8.3663340000000003E-2</v>
      </c>
      <c r="U5040">
        <v>-3.0517430000000001</v>
      </c>
      <c r="V5040">
        <v>-9.5935640000000006E-3</v>
      </c>
      <c r="W5040">
        <v>2.2649559999999999E-2</v>
      </c>
      <c r="X5040">
        <v>0.99969739999999996</v>
      </c>
      <c r="Y5040">
        <v>-0.2365824</v>
      </c>
      <c r="Z5040">
        <v>2.3784050000000001E-2</v>
      </c>
      <c r="AA5040">
        <v>0.97132030000000003</v>
      </c>
      <c r="AB5040">
        <v>26</v>
      </c>
      <c r="AC5040">
        <v>-6.19749999999999</v>
      </c>
      <c r="AD5040">
        <v>-1.1150146888620001</v>
      </c>
      <c r="AE5040">
        <v>-40.436109999999999</v>
      </c>
      <c r="AF5040">
        <v>-9.7236442711211097</v>
      </c>
      <c r="AG5040">
        <v>-1.1150146888620001</v>
      </c>
      <c r="AH5040">
        <v>39.704596622014002</v>
      </c>
      <c r="AI5040">
        <v>91.5624523111766</v>
      </c>
      <c r="AJ5040">
        <v>103.760879849202</v>
      </c>
      <c r="AK5040">
        <v>40.893122998672197</v>
      </c>
      <c r="AL5040">
        <v>88.702164777536098</v>
      </c>
      <c r="AM5040">
        <v>90.549820230761298</v>
      </c>
      <c r="AN5040">
        <v>0.99999996530258695</v>
      </c>
    </row>
    <row r="5041" spans="1:40" x14ac:dyDescent="0.25">
      <c r="A5041" t="str">
        <f>"20190312154937751"</f>
        <v>20190312154937751</v>
      </c>
      <c r="B5041" t="str">
        <f>"1552376977740912"</f>
        <v>1552376977740912</v>
      </c>
      <c r="C5041" t="s">
        <v>40</v>
      </c>
      <c r="D5041">
        <v>4.201066</v>
      </c>
      <c r="E5041">
        <v>0.4117151</v>
      </c>
      <c r="F5041" t="s">
        <v>42</v>
      </c>
      <c r="G5041">
        <v>-423.83519999999999</v>
      </c>
      <c r="H5041" s="1">
        <v>-3.9398790000000002E-6</v>
      </c>
      <c r="I5041">
        <v>76.565200000000004</v>
      </c>
      <c r="J5041">
        <v>-417.61219999999997</v>
      </c>
      <c r="K5041">
        <v>1.1145080000000001</v>
      </c>
      <c r="L5041">
        <v>118.9252</v>
      </c>
      <c r="M5041">
        <v>-0.37297740000000001</v>
      </c>
      <c r="N5041">
        <v>0</v>
      </c>
      <c r="O5041">
        <v>-0.92775980000000002</v>
      </c>
      <c r="P5041">
        <v>-0.363315</v>
      </c>
      <c r="Q5041">
        <v>1.068729E-2</v>
      </c>
      <c r="R5041">
        <v>-0.93160560000000003</v>
      </c>
      <c r="S5041">
        <v>-0.45437620000000001</v>
      </c>
      <c r="T5041">
        <v>-7.9663399999999995E-2</v>
      </c>
      <c r="U5041">
        <v>-3.052292</v>
      </c>
      <c r="V5041">
        <v>-1.0664649999999999E-2</v>
      </c>
      <c r="W5041">
        <v>2.280449E-2</v>
      </c>
      <c r="X5041">
        <v>0.99968310000000005</v>
      </c>
      <c r="Y5041">
        <v>-0.2323644</v>
      </c>
      <c r="Z5041">
        <v>2.2810500000000001E-2</v>
      </c>
      <c r="AA5041">
        <v>0.97236129999999998</v>
      </c>
      <c r="AB5041">
        <v>26</v>
      </c>
      <c r="AC5041">
        <v>-6.2230000000000096</v>
      </c>
      <c r="AD5041">
        <v>-1.114511939879</v>
      </c>
      <c r="AE5041">
        <v>-42.36</v>
      </c>
      <c r="AF5041">
        <v>-10.019833899765301</v>
      </c>
      <c r="AG5041">
        <v>-1.114511939879</v>
      </c>
      <c r="AH5041">
        <v>41.595871269792902</v>
      </c>
      <c r="AI5041">
        <v>91.492144281933605</v>
      </c>
      <c r="AJ5041">
        <v>103.54368497548199</v>
      </c>
      <c r="AK5041">
        <v>42.800183585309497</v>
      </c>
      <c r="AL5041">
        <v>88.693285746281404</v>
      </c>
      <c r="AM5041">
        <v>90.611209948836006</v>
      </c>
      <c r="AN5041">
        <v>1.00000003997469</v>
      </c>
    </row>
    <row r="5042" spans="1:40" x14ac:dyDescent="0.25">
      <c r="A5042" t="str">
        <f>"20190312154937773"</f>
        <v>20190312154937773</v>
      </c>
      <c r="B5042" t="str">
        <f>"1552376977761407"</f>
        <v>1552376977761407</v>
      </c>
      <c r="C5042" t="s">
        <v>40</v>
      </c>
      <c r="D5042">
        <v>4.2271830000000001</v>
      </c>
      <c r="E5042">
        <v>0.40128770000000002</v>
      </c>
      <c r="F5042" t="s">
        <v>42</v>
      </c>
      <c r="G5042">
        <v>-423.86430000000001</v>
      </c>
      <c r="H5042" s="1">
        <v>-3.1468710000000001E-6</v>
      </c>
      <c r="I5042">
        <v>74.527789999999996</v>
      </c>
      <c r="J5042">
        <v>-417.70060000000001</v>
      </c>
      <c r="K5042">
        <v>1.114161</v>
      </c>
      <c r="L5042">
        <v>118.6867</v>
      </c>
      <c r="M5042">
        <v>-0.36739359999999999</v>
      </c>
      <c r="N5042">
        <v>0</v>
      </c>
      <c r="O5042">
        <v>-0.92998579999999997</v>
      </c>
      <c r="P5042">
        <v>-0.35740060000000001</v>
      </c>
      <c r="Q5042">
        <v>1.114893E-2</v>
      </c>
      <c r="R5042">
        <v>-0.93388479999999996</v>
      </c>
      <c r="S5042">
        <v>-0.42999270000000001</v>
      </c>
      <c r="T5042">
        <v>-7.6650620000000003E-2</v>
      </c>
      <c r="U5042">
        <v>-3.053436</v>
      </c>
      <c r="V5042">
        <v>-1.0977249999999999E-2</v>
      </c>
      <c r="W5042">
        <v>2.322018E-2</v>
      </c>
      <c r="X5042">
        <v>0.99967010000000001</v>
      </c>
      <c r="Y5042">
        <v>-0.23417270000000001</v>
      </c>
      <c r="Z5042">
        <v>2.202819E-2</v>
      </c>
      <c r="AA5042">
        <v>0.97194539999999996</v>
      </c>
      <c r="AB5042">
        <v>26</v>
      </c>
      <c r="AC5042">
        <v>-6.1637000000000004</v>
      </c>
      <c r="AD5042">
        <v>-1.114164146871</v>
      </c>
      <c r="AE5042">
        <v>-44.158909999999999</v>
      </c>
      <c r="AF5042">
        <v>-10.4857781562957</v>
      </c>
      <c r="AG5042">
        <v>-1.114164146871</v>
      </c>
      <c r="AH5042">
        <v>43.307835163264897</v>
      </c>
      <c r="AI5042">
        <v>91.432333602765993</v>
      </c>
      <c r="AJ5042">
        <v>103.61063586020801</v>
      </c>
      <c r="AK5042">
        <v>44.573102784277197</v>
      </c>
      <c r="AL5042">
        <v>88.669462092768796</v>
      </c>
      <c r="AM5042">
        <v>90.629132368748003</v>
      </c>
      <c r="AN5042">
        <v>0.99999999280540197</v>
      </c>
    </row>
    <row r="5043" spans="1:40" x14ac:dyDescent="0.25">
      <c r="A5043" t="str">
        <f>"20190312154937795"</f>
        <v>20190312154937795</v>
      </c>
      <c r="B5043" t="str">
        <f>"1552376977790687"</f>
        <v>1552376977790687</v>
      </c>
      <c r="C5043" t="s">
        <v>40</v>
      </c>
      <c r="D5043">
        <v>4.2550140000000001</v>
      </c>
      <c r="E5043">
        <v>0.402007</v>
      </c>
      <c r="F5043" t="s">
        <v>42</v>
      </c>
      <c r="G5043">
        <v>-422.74200000000002</v>
      </c>
      <c r="H5043" s="1">
        <v>-1.7453559999999999E-6</v>
      </c>
      <c r="I5043">
        <v>71.956890000000001</v>
      </c>
      <c r="J5043">
        <v>-417.78969999999998</v>
      </c>
      <c r="K5043">
        <v>1.113845</v>
      </c>
      <c r="L5043">
        <v>118.44370000000001</v>
      </c>
      <c r="M5043">
        <v>-0.36208509999999999</v>
      </c>
      <c r="N5043">
        <v>0</v>
      </c>
      <c r="O5043">
        <v>-0.9320659</v>
      </c>
      <c r="P5043">
        <v>-0.35194150000000002</v>
      </c>
      <c r="Q5043">
        <v>1.193235E-2</v>
      </c>
      <c r="R5043">
        <v>-0.9359461</v>
      </c>
      <c r="S5043">
        <v>-0.3329163</v>
      </c>
      <c r="T5043">
        <v>-7.3574780000000006E-2</v>
      </c>
      <c r="U5043">
        <v>-3.0858460000000001</v>
      </c>
      <c r="V5043">
        <v>-1.110004E-2</v>
      </c>
      <c r="W5043">
        <v>2.3962890000000001E-2</v>
      </c>
      <c r="X5043">
        <v>0.99965130000000002</v>
      </c>
      <c r="Y5043">
        <v>-0.26006299999999999</v>
      </c>
      <c r="Z5043">
        <v>2.095501E-2</v>
      </c>
      <c r="AA5043">
        <v>0.96536420000000001</v>
      </c>
      <c r="AB5043">
        <v>26</v>
      </c>
      <c r="AC5043">
        <v>-4.9522999999999797</v>
      </c>
      <c r="AD5043">
        <v>-1.1138467453559999</v>
      </c>
      <c r="AE5043">
        <v>-46.486809999999998</v>
      </c>
      <c r="AF5043">
        <v>-12.2102812567851</v>
      </c>
      <c r="AG5043">
        <v>-1.1138467453559999</v>
      </c>
      <c r="AH5043">
        <v>45.0996520271948</v>
      </c>
      <c r="AI5043">
        <v>91.365626805375001</v>
      </c>
      <c r="AJ5043">
        <v>105.149087508246</v>
      </c>
      <c r="AK5043">
        <v>46.7366048822119</v>
      </c>
      <c r="AL5043">
        <v>88.626896210807502</v>
      </c>
      <c r="AM5043">
        <v>90.636181144388701</v>
      </c>
      <c r="AN5043">
        <v>1.00000007628841</v>
      </c>
    </row>
    <row r="5044" spans="1:40" x14ac:dyDescent="0.25">
      <c r="A5044" t="str">
        <f>"20190312154937818"</f>
        <v>20190312154937818</v>
      </c>
      <c r="B5044" t="str">
        <f>"1552376977811185"</f>
        <v>1552376977811185</v>
      </c>
      <c r="C5044" t="s">
        <v>40</v>
      </c>
      <c r="D5044">
        <v>4.2527140000000001</v>
      </c>
      <c r="E5044">
        <v>0.4032849</v>
      </c>
      <c r="F5044" t="s">
        <v>42</v>
      </c>
      <c r="G5044">
        <v>-421.85550000000001</v>
      </c>
      <c r="H5044" s="1">
        <v>-4.475572E-6</v>
      </c>
      <c r="I5044">
        <v>79.171260000000004</v>
      </c>
      <c r="J5044">
        <v>-417.88010000000003</v>
      </c>
      <c r="K5044">
        <v>1.113521</v>
      </c>
      <c r="L5044">
        <v>118.1943</v>
      </c>
      <c r="M5044">
        <v>-0.35708810000000002</v>
      </c>
      <c r="N5044">
        <v>0</v>
      </c>
      <c r="O5044">
        <v>-0.9339925</v>
      </c>
      <c r="P5044">
        <v>-0.34734949999999998</v>
      </c>
      <c r="Q5044">
        <v>1.2035769999999999E-2</v>
      </c>
      <c r="R5044">
        <v>-0.93765849999999995</v>
      </c>
      <c r="S5044">
        <v>-0.319519</v>
      </c>
      <c r="T5044">
        <v>-8.7533710000000001E-2</v>
      </c>
      <c r="U5044">
        <v>-3.0862880000000001</v>
      </c>
      <c r="V5044">
        <v>-1.0626689999999999E-2</v>
      </c>
      <c r="W5044">
        <v>2.4026769999999999E-2</v>
      </c>
      <c r="X5044">
        <v>0.99965479999999995</v>
      </c>
      <c r="Y5044">
        <v>-0.25905980000000001</v>
      </c>
      <c r="Z5044">
        <v>2.5013959999999998E-2</v>
      </c>
      <c r="AA5044">
        <v>0.96553730000000004</v>
      </c>
      <c r="AB5044">
        <v>26</v>
      </c>
      <c r="AC5044">
        <v>-3.9753999999999698</v>
      </c>
      <c r="AD5044">
        <v>-1.1135254755720001</v>
      </c>
      <c r="AE5044">
        <v>-39.023040000000002</v>
      </c>
      <c r="AF5044">
        <v>-10.214184714715699</v>
      </c>
      <c r="AG5044">
        <v>-1.1135254755720001</v>
      </c>
      <c r="AH5044">
        <v>37.839067155258697</v>
      </c>
      <c r="AI5044">
        <v>91.627394186564402</v>
      </c>
      <c r="AJ5044">
        <v>105.106239551378</v>
      </c>
      <c r="AK5044">
        <v>39.209240129735498</v>
      </c>
      <c r="AL5044">
        <v>88.623234950297004</v>
      </c>
      <c r="AM5044">
        <v>90.609051798611503</v>
      </c>
      <c r="AN5044">
        <v>0.99999996569001304</v>
      </c>
    </row>
    <row r="5045" spans="1:40" x14ac:dyDescent="0.25">
      <c r="A5045" t="str">
        <f>"20190312154937840"</f>
        <v>20190312154937840</v>
      </c>
      <c r="B5045" t="str">
        <f>"1552376977830703"</f>
        <v>1552376977830703</v>
      </c>
      <c r="C5045" t="s">
        <v>40</v>
      </c>
      <c r="D5045">
        <v>4.2491560000000002</v>
      </c>
      <c r="E5045">
        <v>0.40489750000000002</v>
      </c>
      <c r="F5045" t="s">
        <v>42</v>
      </c>
      <c r="G5045">
        <v>-421.57839999999999</v>
      </c>
      <c r="H5045" s="1">
        <v>-1.3936549999999999E-6</v>
      </c>
      <c r="I5045">
        <v>81.858800000000002</v>
      </c>
      <c r="J5045">
        <v>-417.96839999999997</v>
      </c>
      <c r="K5045">
        <v>1.1132</v>
      </c>
      <c r="L5045">
        <v>117.94750000000001</v>
      </c>
      <c r="M5045">
        <v>-0.35260219999999998</v>
      </c>
      <c r="N5045">
        <v>0</v>
      </c>
      <c r="O5045">
        <v>-0.93569619999999998</v>
      </c>
      <c r="P5045">
        <v>-0.34283229999999998</v>
      </c>
      <c r="Q5045">
        <v>1.2397979999999999E-2</v>
      </c>
      <c r="R5045">
        <v>-0.93931529999999996</v>
      </c>
      <c r="S5045">
        <v>-0.3139343</v>
      </c>
      <c r="T5045">
        <v>-9.4522239999999993E-2</v>
      </c>
      <c r="U5045">
        <v>-3.0843660000000002</v>
      </c>
      <c r="V5045">
        <v>-1.0623270000000001E-2</v>
      </c>
      <c r="W5045">
        <v>2.433567E-2</v>
      </c>
      <c r="X5045">
        <v>0.99964739999999996</v>
      </c>
      <c r="Y5045">
        <v>-0.25609730000000003</v>
      </c>
      <c r="Z5045">
        <v>2.7117599999999999E-2</v>
      </c>
      <c r="AA5045">
        <v>0.96627059999999998</v>
      </c>
      <c r="AB5045">
        <v>26</v>
      </c>
      <c r="AC5045">
        <v>-3.6100000000000101</v>
      </c>
      <c r="AD5045">
        <v>-1.113201393655</v>
      </c>
      <c r="AE5045">
        <v>-36.088700000000003</v>
      </c>
      <c r="AF5045">
        <v>-9.3389683282674003</v>
      </c>
      <c r="AG5045">
        <v>-1.113201393655</v>
      </c>
      <c r="AH5045">
        <v>35.010499874243301</v>
      </c>
      <c r="AI5045">
        <v>91.759687156496099</v>
      </c>
      <c r="AJ5045">
        <v>104.935748679592</v>
      </c>
      <c r="AK5045">
        <v>36.251767518613597</v>
      </c>
      <c r="AL5045">
        <v>88.605531156538007</v>
      </c>
      <c r="AM5045">
        <v>90.608860308304003</v>
      </c>
      <c r="AN5045">
        <v>1.0000000015132999</v>
      </c>
    </row>
    <row r="5046" spans="1:40" x14ac:dyDescent="0.25">
      <c r="A5046" t="str">
        <f>"20190312154937862"</f>
        <v>20190312154937862</v>
      </c>
      <c r="B5046" t="str">
        <f>"1552376977851199"</f>
        <v>1552376977851199</v>
      </c>
      <c r="C5046" t="s">
        <v>40</v>
      </c>
      <c r="D5046">
        <v>4.1454209999999998</v>
      </c>
      <c r="E5046">
        <v>0.40572059999999999</v>
      </c>
      <c r="F5046" t="s">
        <v>42</v>
      </c>
      <c r="G5046">
        <v>-421.64139999999998</v>
      </c>
      <c r="H5046" s="1">
        <v>-1.2687949999999999E-6</v>
      </c>
      <c r="I5046">
        <v>81.528660000000002</v>
      </c>
      <c r="J5046">
        <v>-418.05450000000002</v>
      </c>
      <c r="K5046">
        <v>1.1128899999999999</v>
      </c>
      <c r="L5046">
        <v>117.7052</v>
      </c>
      <c r="M5046">
        <v>-0.34860999999999998</v>
      </c>
      <c r="N5046">
        <v>0</v>
      </c>
      <c r="O5046">
        <v>-0.93719149999999996</v>
      </c>
      <c r="P5046">
        <v>-0.33895059999999999</v>
      </c>
      <c r="Q5046">
        <v>1.3227289999999999E-2</v>
      </c>
      <c r="R5046">
        <v>-0.94071119999999997</v>
      </c>
      <c r="S5046">
        <v>-0.31079099999999998</v>
      </c>
      <c r="T5046">
        <v>-9.4195130000000002E-2</v>
      </c>
      <c r="U5046">
        <v>-3.0816349999999999</v>
      </c>
      <c r="V5046">
        <v>-1.047244E-2</v>
      </c>
      <c r="W5046">
        <v>2.511124E-2</v>
      </c>
      <c r="X5046">
        <v>0.99962980000000001</v>
      </c>
      <c r="Y5046">
        <v>-0.25286399999999998</v>
      </c>
      <c r="Z5046">
        <v>2.7129529999999999E-2</v>
      </c>
      <c r="AA5046">
        <v>0.96712140000000002</v>
      </c>
      <c r="AB5046">
        <v>26</v>
      </c>
      <c r="AC5046">
        <v>-3.5868999999999498</v>
      </c>
      <c r="AD5046">
        <v>-1.1128912687950001</v>
      </c>
      <c r="AE5046">
        <v>-36.176540000000003</v>
      </c>
      <c r="AF5046">
        <v>-9.2418926826341696</v>
      </c>
      <c r="AG5046">
        <v>-1.1128912687950001</v>
      </c>
      <c r="AH5046">
        <v>35.124375315906498</v>
      </c>
      <c r="AI5046">
        <v>91.755072227704702</v>
      </c>
      <c r="AJ5046">
        <v>104.74148196192699</v>
      </c>
      <c r="AK5046">
        <v>36.336935047773999</v>
      </c>
      <c r="AL5046">
        <v>88.561080666427998</v>
      </c>
      <c r="AM5046">
        <v>90.600226867012793</v>
      </c>
      <c r="AN5046">
        <v>0.99999999171096499</v>
      </c>
    </row>
    <row r="5047" spans="1:40" x14ac:dyDescent="0.25">
      <c r="A5047" t="str">
        <f>"20190312154937885"</f>
        <v>20190312154937885</v>
      </c>
      <c r="B5047" t="str">
        <f>"1552376977881456"</f>
        <v>1552376977881456</v>
      </c>
      <c r="C5047" t="s">
        <v>40</v>
      </c>
      <c r="D5047">
        <v>4.2241119999999999</v>
      </c>
      <c r="E5047">
        <v>0.4062056</v>
      </c>
      <c r="F5047" t="s">
        <v>42</v>
      </c>
      <c r="G5047">
        <v>-421.91309999999999</v>
      </c>
      <c r="H5047" s="1">
        <v>-4.3148279999999997E-6</v>
      </c>
      <c r="I5047">
        <v>78.668909999999997</v>
      </c>
      <c r="J5047">
        <v>-418.142</v>
      </c>
      <c r="K5047">
        <v>1.112584</v>
      </c>
      <c r="L5047">
        <v>117.4568</v>
      </c>
      <c r="M5047">
        <v>-0.34489940000000002</v>
      </c>
      <c r="N5047">
        <v>0</v>
      </c>
      <c r="O5047">
        <v>-0.93856430000000002</v>
      </c>
      <c r="P5047">
        <v>-0.33554109999999998</v>
      </c>
      <c r="Q5047">
        <v>1.4052449999999999E-2</v>
      </c>
      <c r="R5047">
        <v>-0.94192120000000001</v>
      </c>
      <c r="S5047">
        <v>-0.30450440000000001</v>
      </c>
      <c r="T5047">
        <v>-8.7825890000000004E-2</v>
      </c>
      <c r="U5047">
        <v>-3.0806119999999999</v>
      </c>
      <c r="V5047">
        <v>-1.0119990000000001E-2</v>
      </c>
      <c r="W5047">
        <v>2.5882519999999999E-2</v>
      </c>
      <c r="X5047">
        <v>0.9996138</v>
      </c>
      <c r="Y5047">
        <v>-0.25095299999999998</v>
      </c>
      <c r="Z5047">
        <v>2.5372220000000001E-2</v>
      </c>
      <c r="AA5047">
        <v>0.96766669999999999</v>
      </c>
      <c r="AB5047">
        <v>26</v>
      </c>
      <c r="AC5047">
        <v>-3.7710999999999899</v>
      </c>
      <c r="AD5047">
        <v>-1.112588314828</v>
      </c>
      <c r="AE5047">
        <v>-38.787889999999997</v>
      </c>
      <c r="AF5047">
        <v>-9.8311830739210002</v>
      </c>
      <c r="AG5047">
        <v>-1.112588314828</v>
      </c>
      <c r="AH5047">
        <v>37.677536586247101</v>
      </c>
      <c r="AI5047">
        <v>91.636642146947196</v>
      </c>
      <c r="AJ5047">
        <v>104.62409240962801</v>
      </c>
      <c r="AK5047">
        <v>38.954932635023603</v>
      </c>
      <c r="AL5047">
        <v>88.516875267895102</v>
      </c>
      <c r="AM5047">
        <v>90.580036917524794</v>
      </c>
      <c r="AN5047">
        <v>1.0000000340947901</v>
      </c>
    </row>
    <row r="5048" spans="1:40" x14ac:dyDescent="0.25">
      <c r="A5048" t="str">
        <f>"20190312154937907"</f>
        <v>20190312154937907</v>
      </c>
      <c r="B5048" t="str">
        <f>"1552376977900975"</f>
        <v>1552376977900975</v>
      </c>
      <c r="C5048" t="s">
        <v>40</v>
      </c>
      <c r="D5048">
        <v>4.2112689999999997</v>
      </c>
      <c r="E5048">
        <v>0.40681529999999999</v>
      </c>
      <c r="F5048" t="s">
        <v>42</v>
      </c>
      <c r="G5048">
        <v>-422.74270000000001</v>
      </c>
      <c r="H5048" s="1">
        <v>-8.4083689999999998E-7</v>
      </c>
      <c r="I5048">
        <v>69.848019999999906</v>
      </c>
      <c r="J5048">
        <v>-418.22949999999997</v>
      </c>
      <c r="K5048">
        <v>1.112304</v>
      </c>
      <c r="L5048">
        <v>117.2067</v>
      </c>
      <c r="M5048">
        <v>-0.3415475</v>
      </c>
      <c r="N5048">
        <v>0</v>
      </c>
      <c r="O5048">
        <v>-0.93979009999999996</v>
      </c>
      <c r="P5048">
        <v>-0.332441599999999</v>
      </c>
      <c r="Q5048">
        <v>1.4735430000000001E-2</v>
      </c>
      <c r="R5048">
        <v>-0.94300879999999998</v>
      </c>
      <c r="S5048">
        <v>-0.29763790000000001</v>
      </c>
      <c r="T5048">
        <v>-7.1978210000000001E-2</v>
      </c>
      <c r="U5048">
        <v>-3.0800320000000001</v>
      </c>
      <c r="V5048">
        <v>-9.8219199999999996E-3</v>
      </c>
      <c r="W5048">
        <v>2.650982E-2</v>
      </c>
      <c r="X5048">
        <v>0.9996003</v>
      </c>
      <c r="Y5048">
        <v>-0.24960679999999999</v>
      </c>
      <c r="Z5048">
        <v>2.084898E-2</v>
      </c>
      <c r="AA5048">
        <v>0.96812279999999995</v>
      </c>
      <c r="AB5048">
        <v>26</v>
      </c>
      <c r="AC5048">
        <v>-4.5132000000000403</v>
      </c>
      <c r="AD5048">
        <v>-1.1123048408369001</v>
      </c>
      <c r="AE5048">
        <v>-47.35868</v>
      </c>
      <c r="AF5048">
        <v>-11.928092090074699</v>
      </c>
      <c r="AG5048">
        <v>-1.1123048408369001</v>
      </c>
      <c r="AH5048">
        <v>46.026750353671801</v>
      </c>
      <c r="AI5048">
        <v>91.340114283913906</v>
      </c>
      <c r="AJ5048">
        <v>104.528892084264</v>
      </c>
      <c r="AK5048">
        <v>47.560260208366003</v>
      </c>
      <c r="AL5048">
        <v>88.480921235928193</v>
      </c>
      <c r="AM5048">
        <v>90.562961468656297</v>
      </c>
      <c r="AN5048">
        <v>1.0000000002145</v>
      </c>
    </row>
    <row r="5049" spans="1:40" x14ac:dyDescent="0.25">
      <c r="A5049" t="str">
        <f>"20190312154937929"</f>
        <v>20190312154937929</v>
      </c>
      <c r="B5049" t="str">
        <f>"1552376977920496"</f>
        <v>1552376977920496</v>
      </c>
      <c r="C5049" t="s">
        <v>40</v>
      </c>
      <c r="D5049">
        <v>4.2581129999999998</v>
      </c>
      <c r="E5049">
        <v>0.40743839999999998</v>
      </c>
      <c r="F5049" t="s">
        <v>42</v>
      </c>
      <c r="G5049">
        <v>-423.15019999999998</v>
      </c>
      <c r="H5049" s="1">
        <v>-3.278746E-6</v>
      </c>
      <c r="I5049">
        <v>65.278090000000006</v>
      </c>
      <c r="J5049">
        <v>-418.31169999999997</v>
      </c>
      <c r="K5049">
        <v>1.1120699999999999</v>
      </c>
      <c r="L5049">
        <v>116.97</v>
      </c>
      <c r="M5049">
        <v>-0.33865240000000002</v>
      </c>
      <c r="N5049">
        <v>0</v>
      </c>
      <c r="O5049">
        <v>-0.9408379</v>
      </c>
      <c r="P5049">
        <v>-0.33025549999999998</v>
      </c>
      <c r="Q5049">
        <v>1.4988069999999999E-2</v>
      </c>
      <c r="R5049">
        <v>-0.94377270000000002</v>
      </c>
      <c r="S5049">
        <v>-0.29180909999999999</v>
      </c>
      <c r="T5049">
        <v>-6.5961599999999995E-2</v>
      </c>
      <c r="U5049">
        <v>-3.079453</v>
      </c>
      <c r="V5049">
        <v>-9.0454130000000004E-3</v>
      </c>
      <c r="W5049">
        <v>2.6710020000000001E-2</v>
      </c>
      <c r="X5049">
        <v>0.99960230000000005</v>
      </c>
      <c r="Y5049">
        <v>-0.24842020000000001</v>
      </c>
      <c r="Z5049">
        <v>1.9148660000000001E-2</v>
      </c>
      <c r="AA5049">
        <v>0.96846310000000002</v>
      </c>
      <c r="AB5049">
        <v>26</v>
      </c>
      <c r="AC5049">
        <v>-4.8385000000000096</v>
      </c>
      <c r="AD5049">
        <v>-1.1120732787459999</v>
      </c>
      <c r="AE5049">
        <v>-51.691909999999901</v>
      </c>
      <c r="AF5049">
        <v>-12.9483021349</v>
      </c>
      <c r="AG5049">
        <v>-1.1120732787459999</v>
      </c>
      <c r="AH5049">
        <v>50.2527054074489</v>
      </c>
      <c r="AI5049">
        <v>91.227642638792403</v>
      </c>
      <c r="AJ5049">
        <v>104.448765266907</v>
      </c>
      <c r="AK5049">
        <v>51.905969174284699</v>
      </c>
      <c r="AL5049">
        <v>88.469446559431304</v>
      </c>
      <c r="AM5049">
        <v>90.518456033563297</v>
      </c>
      <c r="AN5049">
        <v>1.0000000014150101</v>
      </c>
    </row>
    <row r="5050" spans="1:40" x14ac:dyDescent="0.25">
      <c r="A5050" t="str">
        <f>"20190312154937951"</f>
        <v>20190312154937951</v>
      </c>
      <c r="B5050" t="str">
        <f>"1552376977940991"</f>
        <v>1552376977940991</v>
      </c>
      <c r="C5050" t="s">
        <v>40</v>
      </c>
      <c r="D5050">
        <v>4.2060180000000003</v>
      </c>
      <c r="E5050">
        <v>0.40806550000000003</v>
      </c>
      <c r="F5050" t="s">
        <v>42</v>
      </c>
      <c r="G5050">
        <v>-423.53809999999999</v>
      </c>
      <c r="H5050" s="1">
        <v>-1.7046190000000001E-6</v>
      </c>
      <c r="I5050">
        <v>61.368160000000003</v>
      </c>
      <c r="J5050">
        <v>-418.39789999999999</v>
      </c>
      <c r="K5050">
        <v>1.1118809999999999</v>
      </c>
      <c r="L5050">
        <v>116.7201</v>
      </c>
      <c r="M5050">
        <v>-0.33581729999999999</v>
      </c>
      <c r="N5050">
        <v>0</v>
      </c>
      <c r="O5050">
        <v>-0.94185439999999998</v>
      </c>
      <c r="P5050">
        <v>-0.32855050000000002</v>
      </c>
      <c r="Q5050">
        <v>1.463602E-2</v>
      </c>
      <c r="R5050">
        <v>-0.94437320000000002</v>
      </c>
      <c r="S5050">
        <v>-0.28936770000000001</v>
      </c>
      <c r="T5050">
        <v>-6.157112E-2</v>
      </c>
      <c r="U5050">
        <v>-3.0784609999999999</v>
      </c>
      <c r="V5050">
        <v>-7.827657E-3</v>
      </c>
      <c r="W5050">
        <v>2.6302470000000001E-2</v>
      </c>
      <c r="X5050">
        <v>0.99962340000000005</v>
      </c>
      <c r="Y5050">
        <v>-0.2462319</v>
      </c>
      <c r="Z5050">
        <v>1.7916660000000001E-2</v>
      </c>
      <c r="AA5050">
        <v>0.9690453</v>
      </c>
      <c r="AB5050">
        <v>26</v>
      </c>
      <c r="AC5050">
        <v>-5.1401999999999903</v>
      </c>
      <c r="AD5050">
        <v>-1.1118827046190001</v>
      </c>
      <c r="AE5050">
        <v>-55.351939999999999</v>
      </c>
      <c r="AF5050">
        <v>-13.742263311402301</v>
      </c>
      <c r="AG5050">
        <v>-1.1118827046190001</v>
      </c>
      <c r="AH5050">
        <v>53.8417870575473</v>
      </c>
      <c r="AI5050">
        <v>91.146304324161207</v>
      </c>
      <c r="AJ5050">
        <v>104.318148402988</v>
      </c>
      <c r="AK5050">
        <v>55.578989893835001</v>
      </c>
      <c r="AL5050">
        <v>88.492805685245997</v>
      </c>
      <c r="AM5050">
        <v>90.448651505140205</v>
      </c>
      <c r="AN5050">
        <v>1.0000000169848799</v>
      </c>
    </row>
    <row r="5051" spans="1:40" x14ac:dyDescent="0.25">
      <c r="A5051" t="str">
        <f>"20190312154937974"</f>
        <v>20190312154937974</v>
      </c>
      <c r="B5051" t="str">
        <f>"1552376977971248"</f>
        <v>1552376977971248</v>
      </c>
      <c r="C5051" t="s">
        <v>40</v>
      </c>
      <c r="D5051">
        <v>4.2412280000000004</v>
      </c>
      <c r="E5051">
        <v>0.4090048</v>
      </c>
      <c r="F5051" t="s">
        <v>42</v>
      </c>
      <c r="G5051">
        <v>-423.81490000000002</v>
      </c>
      <c r="H5051" s="1">
        <v>-4.7494870000000003E-6</v>
      </c>
      <c r="I5051">
        <v>58.954839999999997</v>
      </c>
      <c r="J5051">
        <v>-418.48410000000001</v>
      </c>
      <c r="K5051">
        <v>1.11174</v>
      </c>
      <c r="L5051">
        <v>116.4686</v>
      </c>
      <c r="M5051">
        <v>-0.3331404</v>
      </c>
      <c r="N5051">
        <v>0</v>
      </c>
      <c r="O5051">
        <v>-0.94280529999999996</v>
      </c>
      <c r="P5051">
        <v>-0.32816119999999999</v>
      </c>
      <c r="Q5051">
        <v>1.375096E-2</v>
      </c>
      <c r="R5051">
        <v>-0.94452179999999997</v>
      </c>
      <c r="S5051">
        <v>-0.2885742</v>
      </c>
      <c r="T5051">
        <v>-5.9231760000000001E-2</v>
      </c>
      <c r="U5051">
        <v>-3.0772400000000002</v>
      </c>
      <c r="V5051">
        <v>-5.390616E-3</v>
      </c>
      <c r="W5051">
        <v>2.5364359999999999E-2</v>
      </c>
      <c r="X5051">
        <v>0.99966370000000004</v>
      </c>
      <c r="Y5051">
        <v>-0.2436883</v>
      </c>
      <c r="Z5051">
        <v>1.727648E-2</v>
      </c>
      <c r="AA5051">
        <v>0.96969970000000005</v>
      </c>
      <c r="AB5051">
        <v>26</v>
      </c>
      <c r="AC5051">
        <v>-5.3308000000000098</v>
      </c>
      <c r="AD5051">
        <v>-1.1117447494870001</v>
      </c>
      <c r="AE5051">
        <v>-57.513759999999898</v>
      </c>
      <c r="AF5051">
        <v>-14.1299744882864</v>
      </c>
      <c r="AG5051">
        <v>-1.1117447494870001</v>
      </c>
      <c r="AH5051">
        <v>55.983240877566402</v>
      </c>
      <c r="AI5051">
        <v>91.103076482757302</v>
      </c>
      <c r="AJ5051">
        <v>104.165403150028</v>
      </c>
      <c r="AK5051">
        <v>57.7495923326153</v>
      </c>
      <c r="AL5051">
        <v>88.546573293414198</v>
      </c>
      <c r="AM5051">
        <v>90.308960455526005</v>
      </c>
      <c r="AN5051">
        <v>0.99999996129837798</v>
      </c>
    </row>
    <row r="5052" spans="1:40" x14ac:dyDescent="0.25">
      <c r="A5052" t="str">
        <f>"20190312154938008"</f>
        <v>20190312154938008</v>
      </c>
      <c r="B5052" t="str">
        <f>"1552376978000528"</f>
        <v>1552376978000528</v>
      </c>
      <c r="C5052" t="s">
        <v>40</v>
      </c>
      <c r="D5052">
        <v>4.2019769999999896</v>
      </c>
      <c r="E5052">
        <v>0.40975159999999999</v>
      </c>
      <c r="F5052" t="s">
        <v>42</v>
      </c>
      <c r="G5052">
        <v>-424.01929999999999</v>
      </c>
      <c r="H5052" s="1">
        <v>-4.6254989999999998E-6</v>
      </c>
      <c r="I5052">
        <v>58.4839699999999</v>
      </c>
      <c r="J5052">
        <v>-418.6096</v>
      </c>
      <c r="K5052">
        <v>1.1115930000000001</v>
      </c>
      <c r="L5052">
        <v>116.0988</v>
      </c>
      <c r="M5052">
        <v>-0.32942349999999998</v>
      </c>
      <c r="N5052">
        <v>0</v>
      </c>
      <c r="O5052">
        <v>-0.94411210000000001</v>
      </c>
      <c r="P5052">
        <v>-0.3278277</v>
      </c>
      <c r="Q5052">
        <v>1.234532E-2</v>
      </c>
      <c r="R5052">
        <v>-0.94465730000000003</v>
      </c>
      <c r="S5052">
        <v>-0.29354859999999999</v>
      </c>
      <c r="T5052">
        <v>-5.8959009999999999E-2</v>
      </c>
      <c r="U5052">
        <v>-3.0750890000000002</v>
      </c>
      <c r="V5052">
        <v>-1.795559E-3</v>
      </c>
      <c r="W5052">
        <v>2.3862789999999998E-2</v>
      </c>
      <c r="X5052">
        <v>0.99971370000000004</v>
      </c>
      <c r="Y5052">
        <v>-0.2382454</v>
      </c>
      <c r="Z5052">
        <v>1.725784E-2</v>
      </c>
      <c r="AA5052">
        <v>0.97105160000000001</v>
      </c>
      <c r="AB5052">
        <v>26</v>
      </c>
      <c r="AC5052">
        <v>-5.4096999999999804</v>
      </c>
      <c r="AD5052">
        <v>-1.1115976254989901</v>
      </c>
      <c r="AE5052">
        <v>-57.614829999999998</v>
      </c>
      <c r="AF5052">
        <v>-13.86811766015</v>
      </c>
      <c r="AG5052">
        <v>-1.1115976254989901</v>
      </c>
      <c r="AH5052">
        <v>56.159940092340399</v>
      </c>
      <c r="AI5052">
        <v>91.100871739811495</v>
      </c>
      <c r="AJ5052">
        <v>103.871095929102</v>
      </c>
      <c r="AK5052">
        <v>57.8575769272448</v>
      </c>
      <c r="AL5052">
        <v>88.6326331489404</v>
      </c>
      <c r="AM5052">
        <v>90.102907304304196</v>
      </c>
      <c r="AN5052">
        <v>1.0000000693731901</v>
      </c>
    </row>
    <row r="5053" spans="1:40" x14ac:dyDescent="0.25">
      <c r="A5053" t="str">
        <f>"20190312154938029"</f>
        <v>20190312154938029</v>
      </c>
      <c r="B5053" t="str">
        <f>"1552376978021023"</f>
        <v>1552376978021023</v>
      </c>
      <c r="C5053" t="s">
        <v>40</v>
      </c>
      <c r="D5053">
        <v>4.2304769999999996</v>
      </c>
      <c r="E5053">
        <v>0.40969349999999999</v>
      </c>
      <c r="F5053" t="s">
        <v>42</v>
      </c>
      <c r="G5053">
        <v>-424.03960000000001</v>
      </c>
      <c r="H5053" s="1">
        <v>-1.2673510000000001E-6</v>
      </c>
      <c r="I5053">
        <v>60.037849999999999</v>
      </c>
      <c r="J5053">
        <v>-418.69369999999998</v>
      </c>
      <c r="K5053">
        <v>1.1115299999999999</v>
      </c>
      <c r="L5053">
        <v>115.849</v>
      </c>
      <c r="M5053">
        <v>-0.32699299999999998</v>
      </c>
      <c r="N5053">
        <v>0</v>
      </c>
      <c r="O5053">
        <v>-0.94495770000000001</v>
      </c>
      <c r="P5053">
        <v>-0.32808860000000001</v>
      </c>
      <c r="Q5053">
        <v>1.138927E-2</v>
      </c>
      <c r="R5053">
        <v>-0.94457860000000005</v>
      </c>
      <c r="S5053">
        <v>-0.2976685</v>
      </c>
      <c r="T5053">
        <v>-6.0937169999999999E-2</v>
      </c>
      <c r="U5053">
        <v>-3.073242</v>
      </c>
      <c r="V5053">
        <v>1.0576159999999999E-3</v>
      </c>
      <c r="W5053">
        <v>2.2830719999999999E-2</v>
      </c>
      <c r="X5053">
        <v>0.99973880000000004</v>
      </c>
      <c r="Y5053">
        <v>-0.2344001</v>
      </c>
      <c r="Z5053">
        <v>1.7880400000000001E-2</v>
      </c>
      <c r="AA5053">
        <v>0.9719757</v>
      </c>
      <c r="AB5053">
        <v>26</v>
      </c>
      <c r="AC5053">
        <v>-5.3459000000000199</v>
      </c>
      <c r="AD5053">
        <v>-1.1115312673509901</v>
      </c>
      <c r="AE5053">
        <v>-55.811149999999898</v>
      </c>
      <c r="AF5053">
        <v>-13.1938817212783</v>
      </c>
      <c r="AG5053">
        <v>-1.1115312673509901</v>
      </c>
      <c r="AH5053">
        <v>54.469395524245598</v>
      </c>
      <c r="AI5053">
        <v>91.136197579930894</v>
      </c>
      <c r="AJ5053">
        <v>103.616244459258</v>
      </c>
      <c r="AK5053">
        <v>56.055589064874603</v>
      </c>
      <c r="AL5053">
        <v>88.691782453038201</v>
      </c>
      <c r="AM5053">
        <v>89.939387257411497</v>
      </c>
      <c r="AN5053">
        <v>1.0000000142763801</v>
      </c>
    </row>
    <row r="5054" spans="1:40" x14ac:dyDescent="0.25">
      <c r="A5054" t="str">
        <f>"20190312154938053"</f>
        <v>20190312154938053</v>
      </c>
      <c r="B5054" t="str">
        <f>"1552376978040544"</f>
        <v>1552376978040544</v>
      </c>
      <c r="C5054" t="s">
        <v>40</v>
      </c>
      <c r="D5054">
        <v>4.2096730000000004</v>
      </c>
      <c r="E5054">
        <v>0.39127840000000003</v>
      </c>
      <c r="F5054" t="s">
        <v>42</v>
      </c>
      <c r="G5054">
        <v>-423.9939</v>
      </c>
      <c r="H5054" s="1">
        <v>-1.7415289999999999E-6</v>
      </c>
      <c r="I5054">
        <v>61.171529999999997</v>
      </c>
      <c r="J5054">
        <v>-418.77890000000002</v>
      </c>
      <c r="K5054">
        <v>1.111475</v>
      </c>
      <c r="L5054">
        <v>115.5936</v>
      </c>
      <c r="M5054">
        <v>-0.32452140000000002</v>
      </c>
      <c r="N5054">
        <v>0</v>
      </c>
      <c r="O5054">
        <v>-0.94581040000000005</v>
      </c>
      <c r="P5054">
        <v>-0.32832939999999999</v>
      </c>
      <c r="Q5054">
        <v>9.5881409999999997E-3</v>
      </c>
      <c r="R5054">
        <v>-0.94451479999999999</v>
      </c>
      <c r="S5054">
        <v>-0.29791260000000003</v>
      </c>
      <c r="T5054">
        <v>-6.2476520000000001E-2</v>
      </c>
      <c r="U5054">
        <v>-3.0732879999999998</v>
      </c>
      <c r="V5054">
        <v>3.9306790000000003E-3</v>
      </c>
      <c r="W5054">
        <v>2.0949570000000001E-2</v>
      </c>
      <c r="X5054">
        <v>0.99977280000000002</v>
      </c>
      <c r="Y5054">
        <v>-0.23178299999999999</v>
      </c>
      <c r="Z5054">
        <v>1.8363629999999999E-2</v>
      </c>
      <c r="AA5054">
        <v>0.97259410000000002</v>
      </c>
      <c r="AB5054">
        <v>26</v>
      </c>
      <c r="AC5054">
        <v>-5.2149999999999697</v>
      </c>
      <c r="AD5054">
        <v>-1.1114767415289999</v>
      </c>
      <c r="AE5054">
        <v>-54.422069999999898</v>
      </c>
      <c r="AF5054">
        <v>-12.7242841825282</v>
      </c>
      <c r="AG5054">
        <v>-1.1114767415289999</v>
      </c>
      <c r="AH5054">
        <v>53.146790025294102</v>
      </c>
      <c r="AI5054">
        <v>91.165152313008306</v>
      </c>
      <c r="AJ5054">
        <v>103.464184838075</v>
      </c>
      <c r="AK5054">
        <v>54.6600775566355</v>
      </c>
      <c r="AL5054">
        <v>88.799590230395395</v>
      </c>
      <c r="AM5054">
        <v>89.774738663676203</v>
      </c>
      <c r="AN5054">
        <v>0.99999999317021204</v>
      </c>
    </row>
    <row r="5055" spans="1:40" x14ac:dyDescent="0.25">
      <c r="A5055" t="str">
        <f>"20190312154938074"</f>
        <v>20190312154938074</v>
      </c>
      <c r="B5055" t="str">
        <f>"1552376978070800"</f>
        <v>1552376978070800</v>
      </c>
      <c r="C5055" t="s">
        <v>40</v>
      </c>
      <c r="D5055">
        <v>4.1292260000000001</v>
      </c>
      <c r="E5055">
        <v>0.3896638</v>
      </c>
      <c r="F5055" t="s">
        <v>65</v>
      </c>
      <c r="G5055">
        <v>-424.05759999999998</v>
      </c>
      <c r="H5055" s="1">
        <v>-9.1308920000000007E-6</v>
      </c>
      <c r="I5055">
        <v>13.483930000000001</v>
      </c>
      <c r="J5055">
        <v>-418.86070000000001</v>
      </c>
      <c r="K5055">
        <v>1.1114329999999999</v>
      </c>
      <c r="L5055">
        <v>115.34650000000001</v>
      </c>
      <c r="M5055">
        <v>-0.32212629999999998</v>
      </c>
      <c r="N5055">
        <v>0</v>
      </c>
      <c r="O5055">
        <v>-0.94663030000000004</v>
      </c>
      <c r="P5055">
        <v>-0.3286115</v>
      </c>
      <c r="Q5055">
        <v>6.6452459999999996E-3</v>
      </c>
      <c r="R5055">
        <v>-0.94444209999999995</v>
      </c>
      <c r="S5055">
        <v>-0.16131589999999901</v>
      </c>
      <c r="T5055">
        <v>-3.3967259999999999E-2</v>
      </c>
      <c r="U5055">
        <v>-3.1204990000000001</v>
      </c>
      <c r="V5055">
        <v>6.766551E-3</v>
      </c>
      <c r="W5055">
        <v>1.7917450000000001E-2</v>
      </c>
      <c r="X5055">
        <v>0.99981660000000006</v>
      </c>
      <c r="Y5055">
        <v>-0.2728448</v>
      </c>
      <c r="Z5055">
        <v>9.8036240000000004E-3</v>
      </c>
      <c r="AA5055">
        <v>0.96200810000000003</v>
      </c>
      <c r="AB5055">
        <v>26</v>
      </c>
      <c r="AC5055">
        <v>-5.1968999999999701</v>
      </c>
      <c r="AD5055">
        <v>-1.1114421308919999</v>
      </c>
      <c r="AE5055">
        <v>-101.862569999999</v>
      </c>
      <c r="AF5055">
        <v>-27.891511348985699</v>
      </c>
      <c r="AG5055">
        <v>-1.1114421308919999</v>
      </c>
      <c r="AH5055">
        <v>98.094772358431598</v>
      </c>
      <c r="AI5055">
        <v>90.624402670253403</v>
      </c>
      <c r="AJ5055">
        <v>105.872162771427</v>
      </c>
      <c r="AK5055">
        <v>101.988999764648</v>
      </c>
      <c r="AL5055">
        <v>88.973350826807604</v>
      </c>
      <c r="AM5055">
        <v>89.612239989688106</v>
      </c>
      <c r="AN5055">
        <v>1.0000000274312399</v>
      </c>
    </row>
    <row r="5056" spans="1:40" x14ac:dyDescent="0.25">
      <c r="A5056" t="str">
        <f>"20190312154938098"</f>
        <v>20190312154938098</v>
      </c>
      <c r="B5056" t="str">
        <f>"1552376978091295"</f>
        <v>1552376978091295</v>
      </c>
      <c r="C5056" t="s">
        <v>40</v>
      </c>
      <c r="D5056">
        <v>4.1630929999999999</v>
      </c>
      <c r="E5056">
        <v>0.38914690000000002</v>
      </c>
      <c r="F5056" t="s">
        <v>42</v>
      </c>
      <c r="G5056">
        <v>-421.57479999999998</v>
      </c>
      <c r="H5056" s="1">
        <v>-4.1729560000000002E-6</v>
      </c>
      <c r="I5056">
        <v>58.428350000000002</v>
      </c>
      <c r="J5056">
        <v>-418.94470000000001</v>
      </c>
      <c r="K5056">
        <v>1.111407</v>
      </c>
      <c r="L5056">
        <v>115.09050000000001</v>
      </c>
      <c r="M5056">
        <v>-0.31962699999999999</v>
      </c>
      <c r="N5056">
        <v>0</v>
      </c>
      <c r="O5056">
        <v>-0.94747840000000005</v>
      </c>
      <c r="P5056">
        <v>-0.32808910000000002</v>
      </c>
      <c r="Q5056">
        <v>4.5701509999999997E-3</v>
      </c>
      <c r="R5056">
        <v>-0.94463600000000003</v>
      </c>
      <c r="S5056">
        <v>-0.14901729999999899</v>
      </c>
      <c r="T5056">
        <v>-6.1022880000000002E-2</v>
      </c>
      <c r="U5056">
        <v>-3.1250610000000001</v>
      </c>
      <c r="V5056">
        <v>8.8582379999999992E-3</v>
      </c>
      <c r="W5056">
        <v>1.5722880000000002E-2</v>
      </c>
      <c r="X5056">
        <v>0.99983719999999998</v>
      </c>
      <c r="Y5056">
        <v>-0.27415879999999998</v>
      </c>
      <c r="Z5056">
        <v>1.7606920000000002E-2</v>
      </c>
      <c r="AA5056">
        <v>0.96152320000000002</v>
      </c>
      <c r="AB5056">
        <v>26</v>
      </c>
      <c r="AC5056">
        <v>-2.6300999999999699</v>
      </c>
      <c r="AD5056">
        <v>-1.1114111729559999</v>
      </c>
      <c r="AE5056">
        <v>-56.662149999999997</v>
      </c>
      <c r="AF5056">
        <v>-15.613758503836999</v>
      </c>
      <c r="AG5056">
        <v>-1.1114111729559999</v>
      </c>
      <c r="AH5056">
        <v>54.5092484478768</v>
      </c>
      <c r="AI5056">
        <v>91.122918083566702</v>
      </c>
      <c r="AJ5056">
        <v>105.983956432564</v>
      </c>
      <c r="AK5056">
        <v>56.7122813486098</v>
      </c>
      <c r="AL5056">
        <v>89.099108260300994</v>
      </c>
      <c r="AM5056">
        <v>89.492390988900098</v>
      </c>
      <c r="AN5056">
        <v>1.0000000519198899</v>
      </c>
    </row>
    <row r="5057" spans="1:40" x14ac:dyDescent="0.25">
      <c r="A5057" t="str">
        <f>"20190312154938118"</f>
        <v>20190312154938118</v>
      </c>
      <c r="B5057" t="str">
        <f>"1552376978110816"</f>
        <v>1552376978110816</v>
      </c>
      <c r="C5057" t="s">
        <v>40</v>
      </c>
      <c r="D5057">
        <v>4.1753850000000003</v>
      </c>
      <c r="E5057">
        <v>0.38838010000000001</v>
      </c>
      <c r="F5057" t="s">
        <v>42</v>
      </c>
      <c r="G5057">
        <v>-421.3621</v>
      </c>
      <c r="H5057" s="1">
        <v>-1.59781E-6</v>
      </c>
      <c r="I5057">
        <v>62.468859999999999</v>
      </c>
      <c r="J5057">
        <v>-419.0231</v>
      </c>
      <c r="K5057">
        <v>1.1113869999999999</v>
      </c>
      <c r="L5057">
        <v>114.8498</v>
      </c>
      <c r="M5057">
        <v>-0.31725150000000002</v>
      </c>
      <c r="N5057">
        <v>0</v>
      </c>
      <c r="O5057">
        <v>-0.94827819999999996</v>
      </c>
      <c r="P5057">
        <v>-0.32702439999999999</v>
      </c>
      <c r="Q5057">
        <v>3.4640389999999999E-3</v>
      </c>
      <c r="R5057">
        <v>-0.94500989999999996</v>
      </c>
      <c r="S5057">
        <v>-0.14361570000000001</v>
      </c>
      <c r="T5057">
        <v>-6.6029069999999995E-2</v>
      </c>
      <c r="U5057">
        <v>-3.1262660000000002</v>
      </c>
      <c r="V5057">
        <v>1.024134E-2</v>
      </c>
      <c r="W5057">
        <v>1.447562E-2</v>
      </c>
      <c r="X5057">
        <v>0.99984280000000003</v>
      </c>
      <c r="Y5057">
        <v>-0.27342450000000001</v>
      </c>
      <c r="Z5057">
        <v>1.907141E-2</v>
      </c>
      <c r="AA5057">
        <v>0.96170440000000001</v>
      </c>
      <c r="AB5057">
        <v>27</v>
      </c>
      <c r="AC5057">
        <v>-2.3389999999999902</v>
      </c>
      <c r="AD5057">
        <v>-1.11138859781</v>
      </c>
      <c r="AE5057">
        <v>-52.380940000000002</v>
      </c>
      <c r="AF5057">
        <v>-14.3943056051596</v>
      </c>
      <c r="AG5057">
        <v>-1.11138859781</v>
      </c>
      <c r="AH5057">
        <v>50.394137129675997</v>
      </c>
      <c r="AI5057">
        <v>91.214822210460099</v>
      </c>
      <c r="AJ5057">
        <v>105.94117095439699</v>
      </c>
      <c r="AK5057">
        <v>52.421372316209599</v>
      </c>
      <c r="AL5057">
        <v>89.170579121926707</v>
      </c>
      <c r="AM5057">
        <v>89.413142707644695</v>
      </c>
      <c r="AN5057">
        <v>1.0000000266656</v>
      </c>
    </row>
    <row r="5058" spans="1:40" x14ac:dyDescent="0.25">
      <c r="A5058" t="str">
        <f>"20190312154938142"</f>
        <v>20190312154938142</v>
      </c>
      <c r="B5058" t="str">
        <f>"1552376978131312"</f>
        <v>1552376978131312</v>
      </c>
      <c r="C5058" t="s">
        <v>40</v>
      </c>
      <c r="D5058">
        <v>4.209905</v>
      </c>
      <c r="E5058">
        <v>0.38819310000000001</v>
      </c>
      <c r="F5058" t="s">
        <v>42</v>
      </c>
      <c r="G5058">
        <v>-421.2208</v>
      </c>
      <c r="H5058" s="1">
        <v>-2.126458E-6</v>
      </c>
      <c r="I5058">
        <v>63.788760000000003</v>
      </c>
      <c r="J5058">
        <v>-419.10579999999999</v>
      </c>
      <c r="K5058">
        <v>1.1113869999999999</v>
      </c>
      <c r="L5058">
        <v>114.5933</v>
      </c>
      <c r="M5058">
        <v>-0.31468210000000002</v>
      </c>
      <c r="N5058">
        <v>0</v>
      </c>
      <c r="O5058">
        <v>-0.94913599999999998</v>
      </c>
      <c r="P5058">
        <v>-0.32533649999999997</v>
      </c>
      <c r="Q5058">
        <v>3.4246770000000001E-3</v>
      </c>
      <c r="R5058">
        <v>-0.94559260000000001</v>
      </c>
      <c r="S5058">
        <v>-0.1346436</v>
      </c>
      <c r="T5058">
        <v>-6.8089129999999998E-2</v>
      </c>
      <c r="U5058">
        <v>-3.12825</v>
      </c>
      <c r="V5058">
        <v>1.116456E-2</v>
      </c>
      <c r="W5058">
        <v>1.42563E-2</v>
      </c>
      <c r="X5058">
        <v>0.99983599999999995</v>
      </c>
      <c r="Y5058">
        <v>-0.27360010000000001</v>
      </c>
      <c r="Z5058">
        <v>1.9681980000000002E-2</v>
      </c>
      <c r="AA5058">
        <v>0.96164210000000006</v>
      </c>
      <c r="AB5058">
        <v>27</v>
      </c>
      <c r="AC5058">
        <v>-2.1150000000000002</v>
      </c>
      <c r="AD5058">
        <v>-1.111389126458</v>
      </c>
      <c r="AE5058">
        <v>-50.804540000000003</v>
      </c>
      <c r="AF5058">
        <v>-13.9739921215434</v>
      </c>
      <c r="AG5058">
        <v>-1.111389126458</v>
      </c>
      <c r="AH5058">
        <v>48.865462765814002</v>
      </c>
      <c r="AI5058">
        <v>91.252703989344297</v>
      </c>
      <c r="AJ5058">
        <v>105.95887091651601</v>
      </c>
      <c r="AK5058">
        <v>50.836415028211</v>
      </c>
      <c r="AL5058">
        <v>89.183146472946305</v>
      </c>
      <c r="AM5058">
        <v>89.360239496127406</v>
      </c>
      <c r="AN5058">
        <v>0.99999995819284004</v>
      </c>
    </row>
    <row r="5059" spans="1:40" x14ac:dyDescent="0.25">
      <c r="A5059" t="str">
        <f>"20190312154938164"</f>
        <v>20190312154938164</v>
      </c>
      <c r="B5059" t="str">
        <f>"1552376978160592"</f>
        <v>1552376978160592</v>
      </c>
      <c r="C5059" t="s">
        <v>40</v>
      </c>
      <c r="D5059">
        <v>4.2113909999999999</v>
      </c>
      <c r="E5059">
        <v>0.38854179999999999</v>
      </c>
      <c r="F5059" t="s">
        <v>42</v>
      </c>
      <c r="G5059">
        <v>-421.22859999999997</v>
      </c>
      <c r="H5059" s="1">
        <v>-1.5424930000000001E-6</v>
      </c>
      <c r="I5059">
        <v>62.422690000000003</v>
      </c>
      <c r="J5059">
        <v>-419.18680000000001</v>
      </c>
      <c r="K5059">
        <v>1.111405</v>
      </c>
      <c r="L5059">
        <v>114.3398</v>
      </c>
      <c r="M5059">
        <v>-0.31209769999999998</v>
      </c>
      <c r="N5059">
        <v>0</v>
      </c>
      <c r="O5059">
        <v>-0.94999129999999998</v>
      </c>
      <c r="P5059">
        <v>-0.32265389999999999</v>
      </c>
      <c r="Q5059">
        <v>4.0826079999999997E-3</v>
      </c>
      <c r="R5059">
        <v>-0.94650849999999997</v>
      </c>
      <c r="S5059">
        <v>-0.1273193</v>
      </c>
      <c r="T5059">
        <v>-6.6658259999999997E-2</v>
      </c>
      <c r="U5059">
        <v>-3.1290589999999998</v>
      </c>
      <c r="V5059">
        <v>1.1048840000000001E-2</v>
      </c>
      <c r="W5059">
        <v>1.470686E-2</v>
      </c>
      <c r="X5059">
        <v>0.99983080000000002</v>
      </c>
      <c r="Y5059">
        <v>-0.27323890000000001</v>
      </c>
      <c r="Z5059">
        <v>1.929256E-2</v>
      </c>
      <c r="AA5059">
        <v>0.96175270000000002</v>
      </c>
      <c r="AB5059">
        <v>27</v>
      </c>
      <c r="AC5059">
        <v>-2.0417999999999599</v>
      </c>
      <c r="AD5059">
        <v>-1.111406542493</v>
      </c>
      <c r="AE5059">
        <v>-51.917110000000001</v>
      </c>
      <c r="AF5059">
        <v>-14.257790160439299</v>
      </c>
      <c r="AG5059">
        <v>-1.111406542493</v>
      </c>
      <c r="AH5059">
        <v>49.9379807689863</v>
      </c>
      <c r="AI5059">
        <v>91.225975684350203</v>
      </c>
      <c r="AJ5059">
        <v>105.934571087115</v>
      </c>
      <c r="AK5059">
        <v>51.945372537363397</v>
      </c>
      <c r="AL5059">
        <v>89.157328611937004</v>
      </c>
      <c r="AM5059">
        <v>89.366866740499205</v>
      </c>
      <c r="AN5059">
        <v>0.99999999861252198</v>
      </c>
    </row>
    <row r="5060" spans="1:40" x14ac:dyDescent="0.25">
      <c r="A5060" t="str">
        <f>"20190312154938186"</f>
        <v>20190312154938186</v>
      </c>
      <c r="B5060" t="str">
        <f>"1552376978181088"</f>
        <v>1552376978181088</v>
      </c>
      <c r="C5060" t="s">
        <v>40</v>
      </c>
      <c r="D5060">
        <v>4.2025300000000003</v>
      </c>
      <c r="E5060">
        <v>0.38855299999999998</v>
      </c>
      <c r="F5060" t="s">
        <v>42</v>
      </c>
      <c r="G5060">
        <v>-421.52010000000001</v>
      </c>
      <c r="H5060" s="1">
        <v>-2.4980629999999999E-6</v>
      </c>
      <c r="I5060">
        <v>54.469340000000003</v>
      </c>
      <c r="J5060">
        <v>-419.26729999999998</v>
      </c>
      <c r="K5060">
        <v>1.111413</v>
      </c>
      <c r="L5060">
        <v>114.0852</v>
      </c>
      <c r="M5060">
        <v>-0.30945149999999999</v>
      </c>
      <c r="N5060">
        <v>0</v>
      </c>
      <c r="O5060">
        <v>-0.95085900000000001</v>
      </c>
      <c r="P5060">
        <v>-0.31983040000000001</v>
      </c>
      <c r="Q5060">
        <v>5.5137989999999998E-3</v>
      </c>
      <c r="R5060">
        <v>-0.9474591</v>
      </c>
      <c r="S5060">
        <v>-0.1219177</v>
      </c>
      <c r="T5060">
        <v>-5.8071369999999997E-2</v>
      </c>
      <c r="U5060">
        <v>-3.12825</v>
      </c>
      <c r="V5060">
        <v>1.0847249999999999E-2</v>
      </c>
      <c r="W5060">
        <v>1.591503E-2</v>
      </c>
      <c r="X5060">
        <v>0.99981450000000005</v>
      </c>
      <c r="Y5060">
        <v>-0.27220620000000001</v>
      </c>
      <c r="Z5060">
        <v>1.6839710000000001E-2</v>
      </c>
      <c r="AA5060">
        <v>0.96209160000000005</v>
      </c>
      <c r="AB5060">
        <v>27</v>
      </c>
      <c r="AC5060">
        <v>-2.2528000000000299</v>
      </c>
      <c r="AD5060">
        <v>-1.111415498063</v>
      </c>
      <c r="AE5060">
        <v>-59.615859999999998</v>
      </c>
      <c r="AF5060">
        <v>-16.301336425876201</v>
      </c>
      <c r="AG5060">
        <v>-1.111415498063</v>
      </c>
      <c r="AH5060">
        <v>57.366567779700503</v>
      </c>
      <c r="AI5060">
        <v>91.067647380921997</v>
      </c>
      <c r="AJ5060">
        <v>105.86307772777199</v>
      </c>
      <c r="AK5060">
        <v>59.648067131315301</v>
      </c>
      <c r="AL5060">
        <v>89.088097445076301</v>
      </c>
      <c r="AM5060">
        <v>89.378407433460893</v>
      </c>
      <c r="AN5060">
        <v>0.99999999271135598</v>
      </c>
    </row>
    <row r="5061" spans="1:40" x14ac:dyDescent="0.25">
      <c r="A5061" t="str">
        <f>"20190312154938208"</f>
        <v>20190312154938208</v>
      </c>
      <c r="B5061" t="str">
        <f>"1552376978200608"</f>
        <v>1552376978200608</v>
      </c>
      <c r="C5061" t="s">
        <v>40</v>
      </c>
      <c r="D5061">
        <v>4.2254949999999996</v>
      </c>
      <c r="E5061">
        <v>0.38862069999999999</v>
      </c>
      <c r="F5061" t="s">
        <v>42</v>
      </c>
      <c r="G5061">
        <v>-421.68979999999999</v>
      </c>
      <c r="H5061" s="1">
        <v>-3.5818070000000001E-6</v>
      </c>
      <c r="I5061">
        <v>46.890320000000003</v>
      </c>
      <c r="J5061">
        <v>-419.34530000000001</v>
      </c>
      <c r="K5061">
        <v>1.111434</v>
      </c>
      <c r="L5061">
        <v>113.83580000000001</v>
      </c>
      <c r="M5061">
        <v>-0.30680970000000002</v>
      </c>
      <c r="N5061">
        <v>0</v>
      </c>
      <c r="O5061">
        <v>-0.95171689999999998</v>
      </c>
      <c r="P5061">
        <v>-0.31598100000000001</v>
      </c>
      <c r="Q5061">
        <v>7.2709849999999998E-3</v>
      </c>
      <c r="R5061">
        <v>-0.94873770000000002</v>
      </c>
      <c r="S5061">
        <v>-0.112793</v>
      </c>
      <c r="T5061">
        <v>-5.17472E-2</v>
      </c>
      <c r="U5061">
        <v>-3.128571</v>
      </c>
      <c r="V5061">
        <v>9.5594760000000008E-3</v>
      </c>
      <c r="W5061">
        <v>1.7443070000000001E-2</v>
      </c>
      <c r="X5061">
        <v>0.99980219999999997</v>
      </c>
      <c r="Y5061">
        <v>-0.27233839999999998</v>
      </c>
      <c r="Z5061">
        <v>1.5026279999999999E-2</v>
      </c>
      <c r="AA5061">
        <v>0.96208419999999895</v>
      </c>
      <c r="AB5061">
        <v>27</v>
      </c>
      <c r="AC5061">
        <v>-2.34449999999998</v>
      </c>
      <c r="AD5061">
        <v>-1.1114375818069999</v>
      </c>
      <c r="AE5061">
        <v>-66.945480000000003</v>
      </c>
      <c r="AF5061">
        <v>-18.304124023840998</v>
      </c>
      <c r="AG5061">
        <v>-1.1114375818069999</v>
      </c>
      <c r="AH5061">
        <v>64.418036676327603</v>
      </c>
      <c r="AI5061">
        <v>90.950823616687998</v>
      </c>
      <c r="AJ5061">
        <v>105.86228415482699</v>
      </c>
      <c r="AK5061">
        <v>66.977307343689901</v>
      </c>
      <c r="AL5061">
        <v>89.000535061575107</v>
      </c>
      <c r="AM5061">
        <v>89.452190703984201</v>
      </c>
      <c r="AN5061">
        <v>1.0000000416986199</v>
      </c>
    </row>
    <row r="5062" spans="1:40" x14ac:dyDescent="0.25">
      <c r="A5062" t="str">
        <f>"20190312154938231"</f>
        <v>20190312154938231</v>
      </c>
      <c r="B5062" t="str">
        <f>"1552376978221103"</f>
        <v>1552376978221103</v>
      </c>
      <c r="C5062" t="s">
        <v>40</v>
      </c>
      <c r="D5062">
        <v>6.3647390000000001</v>
      </c>
      <c r="E5062">
        <v>0.38858609999999999</v>
      </c>
      <c r="F5062" t="s">
        <v>65</v>
      </c>
      <c r="G5062">
        <v>-421.85820000000001</v>
      </c>
      <c r="H5062" s="1">
        <v>-2.7408800000000002E-6</v>
      </c>
      <c r="I5062">
        <v>35.718040000000002</v>
      </c>
      <c r="J5062">
        <v>-419.42770000000002</v>
      </c>
      <c r="K5062">
        <v>1.111461</v>
      </c>
      <c r="L5062">
        <v>113.56950000000001</v>
      </c>
      <c r="M5062">
        <v>-0.30394460000000001</v>
      </c>
      <c r="N5062">
        <v>0</v>
      </c>
      <c r="O5062">
        <v>-0.9526384</v>
      </c>
      <c r="P5062">
        <v>-0.3103474</v>
      </c>
      <c r="Q5062">
        <v>8.5395490000000004E-3</v>
      </c>
      <c r="R5062">
        <v>-0.95058529999999997</v>
      </c>
      <c r="S5062">
        <v>-0.100647</v>
      </c>
      <c r="T5062">
        <v>-4.4516920000000001E-2</v>
      </c>
      <c r="U5062">
        <v>-3.1288909999999999</v>
      </c>
      <c r="V5062">
        <v>6.633389E-3</v>
      </c>
      <c r="W5062">
        <v>1.846573E-2</v>
      </c>
      <c r="X5062">
        <v>0.99980749999999996</v>
      </c>
      <c r="Y5062">
        <v>-0.27317540000000001</v>
      </c>
      <c r="Z5062">
        <v>1.2944399999999899E-2</v>
      </c>
      <c r="AA5062">
        <v>0.96187719999999999</v>
      </c>
      <c r="AB5062">
        <v>27</v>
      </c>
      <c r="AC5062">
        <v>-2.4304999999999901</v>
      </c>
      <c r="AD5062">
        <v>-1.1114637408800001</v>
      </c>
      <c r="AE5062">
        <v>-77.851460000000003</v>
      </c>
      <c r="AF5062">
        <v>-21.343840583396801</v>
      </c>
      <c r="AG5062">
        <v>-1.1114637408800001</v>
      </c>
      <c r="AH5062">
        <v>74.891439261661802</v>
      </c>
      <c r="AI5062">
        <v>90.817708596979699</v>
      </c>
      <c r="AJ5062">
        <v>105.907396541886</v>
      </c>
      <c r="AK5062">
        <v>77.881464785787898</v>
      </c>
      <c r="AL5062">
        <v>88.941931480653196</v>
      </c>
      <c r="AM5062">
        <v>89.619867207392204</v>
      </c>
      <c r="AN5062">
        <v>1.0000000110451499</v>
      </c>
    </row>
    <row r="5063" spans="1:40" x14ac:dyDescent="0.25">
      <c r="A5063" t="str">
        <f>"20190312154938253"</f>
        <v>20190312154938253</v>
      </c>
      <c r="B5063" t="str">
        <f>"1552376978250384"</f>
        <v>1552376978250384</v>
      </c>
      <c r="C5063" t="s">
        <v>40</v>
      </c>
      <c r="D5063">
        <v>4.2185569999999997</v>
      </c>
      <c r="E5063">
        <v>0.38904620000000001</v>
      </c>
      <c r="F5063" t="s">
        <v>65</v>
      </c>
      <c r="G5063">
        <v>-421.69420000000002</v>
      </c>
      <c r="H5063" s="1">
        <v>-7.0361180000000004E-6</v>
      </c>
      <c r="I5063">
        <v>26.642849999999999</v>
      </c>
      <c r="J5063">
        <v>-419.50369999999998</v>
      </c>
      <c r="K5063">
        <v>1.1114869999999999</v>
      </c>
      <c r="L5063">
        <v>113.32170000000001</v>
      </c>
      <c r="M5063">
        <v>-0.30123450000000002</v>
      </c>
      <c r="N5063">
        <v>0</v>
      </c>
      <c r="O5063">
        <v>-0.95350100000000004</v>
      </c>
      <c r="P5063">
        <v>-0.30471320000000002</v>
      </c>
      <c r="Q5063">
        <v>9.8270219999999995E-3</v>
      </c>
      <c r="R5063">
        <v>-0.95239379999999996</v>
      </c>
      <c r="S5063">
        <v>-8.1603999999999996E-2</v>
      </c>
      <c r="T5063">
        <v>-4.001677E-2</v>
      </c>
      <c r="U5063">
        <v>-3.1296689999999998</v>
      </c>
      <c r="V5063">
        <v>3.5527100000000002E-3</v>
      </c>
      <c r="W5063">
        <v>1.9525549999999999E-2</v>
      </c>
      <c r="X5063">
        <v>0.99980309999999994</v>
      </c>
      <c r="Y5063">
        <v>-0.27629310000000001</v>
      </c>
      <c r="Z5063">
        <v>1.1644720000000001E-2</v>
      </c>
      <c r="AA5063">
        <v>0.96100289999999999</v>
      </c>
      <c r="AB5063">
        <v>27</v>
      </c>
      <c r="AC5063">
        <v>-2.1905000000000401</v>
      </c>
      <c r="AD5063">
        <v>-1.1114940361179999</v>
      </c>
      <c r="AE5063">
        <v>-86.678849999999997</v>
      </c>
      <c r="AF5063">
        <v>-24.019193619122898</v>
      </c>
      <c r="AG5063">
        <v>-1.1114940361179999</v>
      </c>
      <c r="AH5063">
        <v>83.298435978006907</v>
      </c>
      <c r="AI5063">
        <v>90.7345570955585</v>
      </c>
      <c r="AJ5063">
        <v>106.084973312562</v>
      </c>
      <c r="AK5063">
        <v>86.699403212982702</v>
      </c>
      <c r="AL5063">
        <v>88.881197354810197</v>
      </c>
      <c r="AM5063">
        <v>89.796405480143804</v>
      </c>
      <c r="AN5063">
        <v>1.0000000538103699</v>
      </c>
    </row>
    <row r="5064" spans="1:40" x14ac:dyDescent="0.25">
      <c r="A5064" t="str">
        <f>"20190312154938275"</f>
        <v>20190312154938275</v>
      </c>
      <c r="B5064" t="str">
        <f>"1552376978270880"</f>
        <v>1552376978270880</v>
      </c>
      <c r="C5064" t="s">
        <v>40</v>
      </c>
      <c r="D5064">
        <v>4.2533820000000002</v>
      </c>
      <c r="E5064">
        <v>0.38945669999999999</v>
      </c>
      <c r="F5064" t="s">
        <v>65</v>
      </c>
      <c r="G5064">
        <v>-421.67399999999998</v>
      </c>
      <c r="H5064" s="1">
        <v>-9.7645079999999997E-6</v>
      </c>
      <c r="I5064">
        <v>11.151120000000001</v>
      </c>
      <c r="J5064">
        <v>-419.5838</v>
      </c>
      <c r="K5064">
        <v>1.1115159999999999</v>
      </c>
      <c r="L5064">
        <v>113.057</v>
      </c>
      <c r="M5064">
        <v>-0.29828880000000002</v>
      </c>
      <c r="N5064">
        <v>0</v>
      </c>
      <c r="O5064">
        <v>-0.95442879999999997</v>
      </c>
      <c r="P5064">
        <v>-0.2988828</v>
      </c>
      <c r="Q5064">
        <v>1.103022E-2</v>
      </c>
      <c r="R5064">
        <v>-0.95422620000000002</v>
      </c>
      <c r="S5064">
        <v>-6.6467289999999998E-2</v>
      </c>
      <c r="T5064">
        <v>-3.4040689999999998E-2</v>
      </c>
      <c r="U5064">
        <v>-3.1290740000000001</v>
      </c>
      <c r="V5064">
        <v>5.2185610000000005E-4</v>
      </c>
      <c r="W5064">
        <v>2.048809E-2</v>
      </c>
      <c r="X5064">
        <v>0.99978999999999996</v>
      </c>
      <c r="Y5064">
        <v>-0.27796549999999998</v>
      </c>
      <c r="Z5064">
        <v>9.9206420000000003E-3</v>
      </c>
      <c r="AA5064">
        <v>0.96053980000000005</v>
      </c>
      <c r="AB5064">
        <v>27</v>
      </c>
      <c r="AC5064">
        <v>-2.09020000000003</v>
      </c>
      <c r="AD5064">
        <v>-1.1115257645079999</v>
      </c>
      <c r="AE5064">
        <v>-101.90588</v>
      </c>
      <c r="AF5064">
        <v>-28.4003286809392</v>
      </c>
      <c r="AG5064">
        <v>-1.1115257645079999</v>
      </c>
      <c r="AH5064">
        <v>97.878128849529503</v>
      </c>
      <c r="AI5064">
        <v>90.624864729795604</v>
      </c>
      <c r="AJ5064">
        <v>106.180620654032</v>
      </c>
      <c r="AK5064">
        <v>101.921255220859</v>
      </c>
      <c r="AL5064">
        <v>88.826036818066697</v>
      </c>
      <c r="AM5064">
        <v>89.970093570322007</v>
      </c>
      <c r="AN5064">
        <v>1.0000000391328101</v>
      </c>
    </row>
    <row r="5065" spans="1:40" x14ac:dyDescent="0.25">
      <c r="A5065" t="str">
        <f>"20190312154938298"</f>
        <v>20190312154938298</v>
      </c>
      <c r="B5065" t="str">
        <f>"1552376978290400"</f>
        <v>1552376978290400</v>
      </c>
      <c r="C5065" t="s">
        <v>40</v>
      </c>
      <c r="D5065">
        <v>4.2541099999999998</v>
      </c>
      <c r="E5065">
        <v>0.38992379999999999</v>
      </c>
      <c r="F5065" t="s">
        <v>65</v>
      </c>
      <c r="G5065">
        <v>-421.34190000000001</v>
      </c>
      <c r="H5065">
        <v>7.9986479999999999E-2</v>
      </c>
      <c r="I5065">
        <v>5.4043919999999996</v>
      </c>
      <c r="J5065">
        <v>-419.65910000000002</v>
      </c>
      <c r="K5065">
        <v>1.1115520000000001</v>
      </c>
      <c r="L5065">
        <v>112.806</v>
      </c>
      <c r="M5065">
        <v>-0.29543849999999999</v>
      </c>
      <c r="N5065">
        <v>0</v>
      </c>
      <c r="O5065">
        <v>-0.95531699999999997</v>
      </c>
      <c r="P5065">
        <v>-0.29474990000000001</v>
      </c>
      <c r="Q5065">
        <v>1.1651450000000001E-2</v>
      </c>
      <c r="R5065">
        <v>-0.9555034</v>
      </c>
      <c r="S5065">
        <v>-5.1086430000000002E-2</v>
      </c>
      <c r="T5065">
        <v>-2.9974939999999999E-2</v>
      </c>
      <c r="U5065">
        <v>-3.12825</v>
      </c>
      <c r="V5065">
        <v>-8.2314319999999999E-4</v>
      </c>
      <c r="W5065">
        <v>2.0891400000000001E-2</v>
      </c>
      <c r="X5065">
        <v>0.99978140000000004</v>
      </c>
      <c r="Y5065">
        <v>-0.27981250000000002</v>
      </c>
      <c r="Z5065">
        <v>8.7485459999999994E-3</v>
      </c>
      <c r="AA5065">
        <v>0.96001479999999995</v>
      </c>
      <c r="AB5065">
        <v>27</v>
      </c>
      <c r="AC5065">
        <v>-1.6827999999999801</v>
      </c>
      <c r="AD5065">
        <v>-1.03156552</v>
      </c>
      <c r="AE5065">
        <v>-107.401608</v>
      </c>
      <c r="AF5065">
        <v>-30.1214726313063</v>
      </c>
      <c r="AG5065">
        <v>-1.03156552</v>
      </c>
      <c r="AH5065">
        <v>103.094646528787</v>
      </c>
      <c r="AI5065">
        <v>90.550277889910205</v>
      </c>
      <c r="AJ5065">
        <v>106.286937628396</v>
      </c>
      <c r="AK5065">
        <v>107.409838393865</v>
      </c>
      <c r="AL5065">
        <v>88.802923849277903</v>
      </c>
      <c r="AM5065">
        <v>90.047172932641303</v>
      </c>
      <c r="AN5065">
        <v>0.99999998797232303</v>
      </c>
    </row>
    <row r="5066" spans="1:40" x14ac:dyDescent="0.25">
      <c r="A5066" t="str">
        <f>"20190312154938319"</f>
        <v>20190312154938319</v>
      </c>
      <c r="B5066" t="str">
        <f>"1552376978310897"</f>
        <v>1552376978310897</v>
      </c>
      <c r="C5066" t="s">
        <v>40</v>
      </c>
      <c r="D5066">
        <v>4.2446519999999897</v>
      </c>
      <c r="E5066">
        <v>0.39776679999999998</v>
      </c>
      <c r="F5066" t="s">
        <v>66</v>
      </c>
      <c r="G5066">
        <v>-421.12909999999999</v>
      </c>
      <c r="H5066">
        <v>0.13245119999999999</v>
      </c>
      <c r="I5066">
        <v>0.46590039999999999</v>
      </c>
      <c r="J5066">
        <v>-419.73570000000001</v>
      </c>
      <c r="K5066">
        <v>1.111591</v>
      </c>
      <c r="L5066">
        <v>112.5474</v>
      </c>
      <c r="M5066">
        <v>-0.29243740000000001</v>
      </c>
      <c r="N5066">
        <v>0</v>
      </c>
      <c r="O5066">
        <v>-0.95624219999999904</v>
      </c>
      <c r="P5066">
        <v>-0.29141699999999998</v>
      </c>
      <c r="Q5066">
        <v>1.221058E-2</v>
      </c>
      <c r="R5066">
        <v>-0.95651850000000005</v>
      </c>
      <c r="S5066">
        <v>-4.092407E-2</v>
      </c>
      <c r="T5066">
        <v>-2.7258040000000001E-2</v>
      </c>
      <c r="U5066">
        <v>-3.1274410000000001</v>
      </c>
      <c r="V5066">
        <v>-1.1721030000000001E-3</v>
      </c>
      <c r="W5066">
        <v>2.123131E-2</v>
      </c>
      <c r="X5066">
        <v>0.99977389999999999</v>
      </c>
      <c r="Y5066">
        <v>-0.2799122</v>
      </c>
      <c r="Z5066">
        <v>7.969729E-3</v>
      </c>
      <c r="AA5066">
        <v>0.95999250000000003</v>
      </c>
      <c r="AB5066">
        <v>27</v>
      </c>
      <c r="AC5066">
        <v>-1.39339999999998</v>
      </c>
      <c r="AD5066">
        <v>-0.9791398</v>
      </c>
      <c r="AE5066">
        <v>-112.0814996</v>
      </c>
      <c r="AF5066">
        <v>-31.443272229285899</v>
      </c>
      <c r="AG5066">
        <v>-0.9791398</v>
      </c>
      <c r="AH5066">
        <v>107.58070244056999</v>
      </c>
      <c r="AI5066">
        <v>90.500520575123105</v>
      </c>
      <c r="AJ5066">
        <v>106.29238182836799</v>
      </c>
      <c r="AK5066">
        <v>112.085885020547</v>
      </c>
      <c r="AL5066">
        <v>88.783444130302797</v>
      </c>
      <c r="AM5066">
        <v>90.0671717118109</v>
      </c>
      <c r="AN5066">
        <v>0.99999999673548401</v>
      </c>
    </row>
    <row r="5067" spans="1:40" x14ac:dyDescent="0.25">
      <c r="A5067" t="str">
        <f>"20190312154938343"</f>
        <v>20190312154938343</v>
      </c>
      <c r="B5067" t="str">
        <f>"1552376978330416"</f>
        <v>1552376978330416</v>
      </c>
      <c r="C5067" t="s">
        <v>40</v>
      </c>
      <c r="D5067">
        <v>4.2880229999999999</v>
      </c>
      <c r="E5067">
        <v>0.39864500000000003</v>
      </c>
      <c r="F5067" t="s">
        <v>66</v>
      </c>
      <c r="G5067">
        <v>-423.00389999999999</v>
      </c>
      <c r="H5067">
        <v>0.78718639999999995</v>
      </c>
      <c r="I5067">
        <v>0.44684030000000002</v>
      </c>
      <c r="J5067">
        <v>-419.8143</v>
      </c>
      <c r="K5067">
        <v>1.111634</v>
      </c>
      <c r="L5067">
        <v>112.2782</v>
      </c>
      <c r="M5067">
        <v>-0.28923870000000002</v>
      </c>
      <c r="N5067">
        <v>0</v>
      </c>
      <c r="O5067">
        <v>-0.95721659999999997</v>
      </c>
      <c r="P5067">
        <v>-0.28874709999999998</v>
      </c>
      <c r="Q5067">
        <v>1.2238310000000001E-2</v>
      </c>
      <c r="R5067">
        <v>-0.95732709999999999</v>
      </c>
      <c r="S5067">
        <v>-9.0637209999999996E-2</v>
      </c>
      <c r="T5067">
        <v>-8.9974400000000006E-3</v>
      </c>
      <c r="U5067">
        <v>-3.1088870000000002</v>
      </c>
      <c r="V5067">
        <v>-6.2100649999999996E-4</v>
      </c>
      <c r="W5067">
        <v>2.1035379999999999E-2</v>
      </c>
      <c r="X5067">
        <v>0.99977859999999996</v>
      </c>
      <c r="Y5067">
        <v>-0.26123099999999999</v>
      </c>
      <c r="Z5067">
        <v>2.6579780000000001E-3</v>
      </c>
      <c r="AA5067">
        <v>0.96527269999999998</v>
      </c>
      <c r="AB5067">
        <v>27</v>
      </c>
      <c r="AC5067">
        <v>-3.18959999999998</v>
      </c>
      <c r="AD5067">
        <v>-0.324447599999999</v>
      </c>
      <c r="AE5067">
        <v>-111.83135969999999</v>
      </c>
      <c r="AF5067">
        <v>-29.293705704492101</v>
      </c>
      <c r="AG5067">
        <v>-0.324447599999999</v>
      </c>
      <c r="AH5067">
        <v>107.972657820278</v>
      </c>
      <c r="AI5067">
        <v>90.166161137107494</v>
      </c>
      <c r="AJ5067">
        <v>105.179333593715</v>
      </c>
      <c r="AK5067">
        <v>111.876366123152</v>
      </c>
      <c r="AL5067">
        <v>88.794672677535502</v>
      </c>
      <c r="AM5067">
        <v>90.035588926312499</v>
      </c>
      <c r="AN5067">
        <v>1.00000006093938</v>
      </c>
    </row>
    <row r="5068" spans="1:40" x14ac:dyDescent="0.25">
      <c r="A5068" t="str">
        <f>"20190312154938365"</f>
        <v>20190312154938365</v>
      </c>
      <c r="B5068" t="str">
        <f>"1552376978361254"</f>
        <v>1552376978361254</v>
      </c>
      <c r="C5068" t="s">
        <v>40</v>
      </c>
      <c r="D5068">
        <v>4.297174</v>
      </c>
      <c r="E5068">
        <v>0.39978859999999999</v>
      </c>
      <c r="F5068" t="s">
        <v>66</v>
      </c>
      <c r="G5068">
        <v>-422.99489999999997</v>
      </c>
      <c r="H5068">
        <v>0.24378749999999999</v>
      </c>
      <c r="I5068">
        <v>0.44692799999999999</v>
      </c>
      <c r="J5068">
        <v>-419.88940000000002</v>
      </c>
      <c r="K5068">
        <v>1.1116779999999999</v>
      </c>
      <c r="L5068">
        <v>112.01819999999999</v>
      </c>
      <c r="M5068">
        <v>-0.2860683</v>
      </c>
      <c r="N5068">
        <v>0</v>
      </c>
      <c r="O5068">
        <v>-0.95817099999999999</v>
      </c>
      <c r="P5068">
        <v>-0.28638190000000002</v>
      </c>
      <c r="Q5068">
        <v>1.1883599999999999E-2</v>
      </c>
      <c r="R5068">
        <v>-0.95804230000000001</v>
      </c>
      <c r="S5068">
        <v>-8.8378910000000005E-2</v>
      </c>
      <c r="T5068">
        <v>-2.4114969999999999E-2</v>
      </c>
      <c r="U5068">
        <v>-3.1073909999999998</v>
      </c>
      <c r="V5068">
        <v>2.1861069999999999E-4</v>
      </c>
      <c r="W5068">
        <v>2.046854E-2</v>
      </c>
      <c r="X5068">
        <v>0.99979050000000003</v>
      </c>
      <c r="Y5068">
        <v>-0.25872200000000001</v>
      </c>
      <c r="Z5068">
        <v>7.1409069999999897E-3</v>
      </c>
      <c r="AA5068">
        <v>0.96592549999999999</v>
      </c>
      <c r="AB5068">
        <v>27</v>
      </c>
      <c r="AC5068">
        <v>-3.1054999999999402</v>
      </c>
      <c r="AD5068">
        <v>-0.86789050000000001</v>
      </c>
      <c r="AE5068">
        <v>-111.57127199999999</v>
      </c>
      <c r="AF5068">
        <v>-28.940714448678801</v>
      </c>
      <c r="AG5068">
        <v>-0.86789050000000001</v>
      </c>
      <c r="AH5068">
        <v>107.79017386536199</v>
      </c>
      <c r="AI5068">
        <v>90.445537761315606</v>
      </c>
      <c r="AJ5068">
        <v>105.028971198737</v>
      </c>
      <c r="AK5068">
        <v>111.61110952161</v>
      </c>
      <c r="AL5068">
        <v>88.827157170526903</v>
      </c>
      <c r="AM5068">
        <v>89.987471905097294</v>
      </c>
      <c r="AN5068">
        <v>1.0000000264052999</v>
      </c>
    </row>
    <row r="5069" spans="1:40" x14ac:dyDescent="0.25">
      <c r="A5069" t="str">
        <f>"20190312154938387"</f>
        <v>20190312154938387</v>
      </c>
      <c r="B5069" t="str">
        <f>"1552376978380761"</f>
        <v>1552376978380761</v>
      </c>
      <c r="C5069" t="s">
        <v>40</v>
      </c>
      <c r="D5069">
        <v>4.299823</v>
      </c>
      <c r="E5069">
        <v>0.4001304</v>
      </c>
      <c r="F5069" t="s">
        <v>65</v>
      </c>
      <c r="G5069">
        <v>-422.48500000000001</v>
      </c>
      <c r="H5069" s="1">
        <v>-9.3172090000000008E-6</v>
      </c>
      <c r="I5069">
        <v>21.222439999999999</v>
      </c>
      <c r="J5069">
        <v>-419.96480000000003</v>
      </c>
      <c r="K5069">
        <v>1.111728</v>
      </c>
      <c r="L5069">
        <v>111.7529</v>
      </c>
      <c r="M5069">
        <v>-0.28274690000000002</v>
      </c>
      <c r="N5069">
        <v>0</v>
      </c>
      <c r="O5069">
        <v>-0.95915819999999996</v>
      </c>
      <c r="P5069">
        <v>-0.28446070000000001</v>
      </c>
      <c r="Q5069">
        <v>1.124497E-2</v>
      </c>
      <c r="R5069">
        <v>-0.95862199999999997</v>
      </c>
      <c r="S5069">
        <v>-8.8775629999999994E-2</v>
      </c>
      <c r="T5069">
        <v>-3.8021329999999999E-2</v>
      </c>
      <c r="U5069">
        <v>-3.1053470000000001</v>
      </c>
      <c r="V5069">
        <v>1.677951E-3</v>
      </c>
      <c r="W5069">
        <v>1.962566E-2</v>
      </c>
      <c r="X5069">
        <v>0.99980599999999997</v>
      </c>
      <c r="Y5069">
        <v>-0.25523259999999998</v>
      </c>
      <c r="Z5069">
        <v>1.1289489999999999E-2</v>
      </c>
      <c r="AA5069">
        <v>0.9668137</v>
      </c>
      <c r="AB5069">
        <v>27</v>
      </c>
      <c r="AC5069">
        <v>-2.52019999999998</v>
      </c>
      <c r="AD5069">
        <v>-1.1117373172089999</v>
      </c>
      <c r="AE5069">
        <v>-90.530459999999906</v>
      </c>
      <c r="AF5069">
        <v>-23.177252195133601</v>
      </c>
      <c r="AG5069">
        <v>-1.1117373172089999</v>
      </c>
      <c r="AH5069">
        <v>87.535474040130097</v>
      </c>
      <c r="AI5069">
        <v>90.703405065942107</v>
      </c>
      <c r="AJ5069">
        <v>104.830209524466</v>
      </c>
      <c r="AK5069">
        <v>90.558711312659497</v>
      </c>
      <c r="AL5069">
        <v>88.875460325857105</v>
      </c>
      <c r="AM5069">
        <v>89.903841925066104</v>
      </c>
      <c r="AN5069">
        <v>1.00000000984299</v>
      </c>
    </row>
    <row r="5070" spans="1:40" x14ac:dyDescent="0.25">
      <c r="A5070" t="str">
        <f>"20190312154938409"</f>
        <v>20190312154938409</v>
      </c>
      <c r="B5070" t="str">
        <f>"1552376978401256"</f>
        <v>1552376978401256</v>
      </c>
      <c r="C5070" t="s">
        <v>40</v>
      </c>
      <c r="D5070">
        <v>4.3407879999999999</v>
      </c>
      <c r="E5070">
        <v>0.40063369999999998</v>
      </c>
      <c r="F5070" t="s">
        <v>65</v>
      </c>
      <c r="G5070">
        <v>-422.6771</v>
      </c>
      <c r="H5070" s="1">
        <v>-9.5913609999999993E-6</v>
      </c>
      <c r="I5070">
        <v>13.069000000000001</v>
      </c>
      <c r="J5070">
        <v>-420.0367</v>
      </c>
      <c r="K5070">
        <v>1.111774</v>
      </c>
      <c r="L5070">
        <v>111.4966</v>
      </c>
      <c r="M5070">
        <v>-0.2794643</v>
      </c>
      <c r="N5070">
        <v>0</v>
      </c>
      <c r="O5070">
        <v>-0.96012149999999996</v>
      </c>
      <c r="P5070">
        <v>-0.28273860000000001</v>
      </c>
      <c r="Q5070">
        <v>1.118942E-2</v>
      </c>
      <c r="R5070">
        <v>-0.95913170000000003</v>
      </c>
      <c r="S5070">
        <v>-8.5327150000000004E-2</v>
      </c>
      <c r="T5070">
        <v>-3.4975289999999999E-2</v>
      </c>
      <c r="U5070">
        <v>-3.1045989999999999</v>
      </c>
      <c r="V5070">
        <v>3.300805E-3</v>
      </c>
      <c r="W5070">
        <v>1.9384430000000001E-2</v>
      </c>
      <c r="X5070">
        <v>0.99980659999999999</v>
      </c>
      <c r="Y5070">
        <v>-0.2529904</v>
      </c>
      <c r="Z5070">
        <v>1.0407319999999999E-2</v>
      </c>
      <c r="AA5070">
        <v>0.96741279999999996</v>
      </c>
      <c r="AB5070">
        <v>28</v>
      </c>
      <c r="AC5070">
        <v>-2.6404000000000001</v>
      </c>
      <c r="AD5070">
        <v>-1.1117835913609999</v>
      </c>
      <c r="AE5070">
        <v>-98.427599999999998</v>
      </c>
      <c r="AF5070">
        <v>-24.969541262300101</v>
      </c>
      <c r="AG5070">
        <v>-1.1117835913609999</v>
      </c>
      <c r="AH5070">
        <v>95.231373560705407</v>
      </c>
      <c r="AI5070">
        <v>90.647003596979204</v>
      </c>
      <c r="AJ5070">
        <v>104.692151736703</v>
      </c>
      <c r="AK5070">
        <v>98.456734476938394</v>
      </c>
      <c r="AL5070">
        <v>88.889284343888605</v>
      </c>
      <c r="AM5070">
        <v>89.810841908439201</v>
      </c>
      <c r="AN5070">
        <v>0.99999994442181495</v>
      </c>
    </row>
    <row r="5071" spans="1:40" x14ac:dyDescent="0.25">
      <c r="A5071" t="str">
        <f>"20190312154938432"</f>
        <v>20190312154938432</v>
      </c>
      <c r="B5071" t="str">
        <f>"1552376978420778"</f>
        <v>1552376978420778</v>
      </c>
      <c r="C5071" t="s">
        <v>40</v>
      </c>
      <c r="D5071">
        <v>4.3403780000000003</v>
      </c>
      <c r="E5071">
        <v>0.40147949999999999</v>
      </c>
      <c r="F5071" t="s">
        <v>65</v>
      </c>
      <c r="G5071">
        <v>-422.74799999999999</v>
      </c>
      <c r="H5071" s="1">
        <v>-9.3635370000000006E-6</v>
      </c>
      <c r="I5071">
        <v>11.04646</v>
      </c>
      <c r="J5071">
        <v>-420.11360000000002</v>
      </c>
      <c r="K5071">
        <v>1.111826</v>
      </c>
      <c r="L5071">
        <v>111.218</v>
      </c>
      <c r="M5071">
        <v>-0.27582899999999999</v>
      </c>
      <c r="N5071">
        <v>0</v>
      </c>
      <c r="O5071">
        <v>-0.96117370000000002</v>
      </c>
      <c r="P5071">
        <v>-0.28030260000000001</v>
      </c>
      <c r="Q5071">
        <v>1.054195E-2</v>
      </c>
      <c r="R5071">
        <v>-0.95985379999999998</v>
      </c>
      <c r="S5071">
        <v>-8.3770750000000005E-2</v>
      </c>
      <c r="T5071">
        <v>-3.4349919999999999E-2</v>
      </c>
      <c r="U5071">
        <v>-3.1035309999999998</v>
      </c>
      <c r="V5071">
        <v>4.5462719999999996E-3</v>
      </c>
      <c r="W5071">
        <v>1.8549630000000001E-2</v>
      </c>
      <c r="X5071">
        <v>0.99981759999999997</v>
      </c>
      <c r="Y5071">
        <v>-0.2498031</v>
      </c>
      <c r="Z5071">
        <v>1.024681E-2</v>
      </c>
      <c r="AA5071">
        <v>0.96824239999999995</v>
      </c>
      <c r="AB5071">
        <v>28</v>
      </c>
      <c r="AC5071">
        <v>-2.6344000000000198</v>
      </c>
      <c r="AD5071">
        <v>-1.111835363537</v>
      </c>
      <c r="AE5071">
        <v>-100.17153999999999</v>
      </c>
      <c r="AF5071">
        <v>-25.095806842601601</v>
      </c>
      <c r="AG5071">
        <v>-1.111835363537</v>
      </c>
      <c r="AH5071">
        <v>97.000031283399295</v>
      </c>
      <c r="AI5071">
        <v>90.635776203129893</v>
      </c>
      <c r="AJ5071">
        <v>104.505477145382</v>
      </c>
      <c r="AK5071">
        <v>100.200008822041</v>
      </c>
      <c r="AL5071">
        <v>88.937123524571305</v>
      </c>
      <c r="AM5071">
        <v>89.739472076820704</v>
      </c>
      <c r="AN5071">
        <v>0.99999999531599704</v>
      </c>
    </row>
    <row r="5072" spans="1:40" x14ac:dyDescent="0.25">
      <c r="A5072" t="str">
        <f>"20190312154938454"</f>
        <v>20190312154938454</v>
      </c>
      <c r="B5072" t="str">
        <f>"1552376978451033"</f>
        <v>1552376978451033</v>
      </c>
      <c r="C5072" t="s">
        <v>40</v>
      </c>
      <c r="D5072">
        <v>4.3440839999999996</v>
      </c>
      <c r="E5072">
        <v>0.40247739999999999</v>
      </c>
      <c r="F5072" t="s">
        <v>65</v>
      </c>
      <c r="G5072">
        <v>-422.53399999999999</v>
      </c>
      <c r="H5072" s="1">
        <v>-9.8993099999999992E-6</v>
      </c>
      <c r="I5072">
        <v>19.900559999999999</v>
      </c>
      <c r="J5072">
        <v>-420.18599999999998</v>
      </c>
      <c r="K5072">
        <v>1.111866</v>
      </c>
      <c r="L5072">
        <v>110.9522</v>
      </c>
      <c r="M5072">
        <v>-0.27230320000000002</v>
      </c>
      <c r="N5072">
        <v>0</v>
      </c>
      <c r="O5072">
        <v>-0.96217980000000003</v>
      </c>
      <c r="P5072">
        <v>-0.27690769999999998</v>
      </c>
      <c r="Q5072">
        <v>1.0472479999999999E-2</v>
      </c>
      <c r="R5072">
        <v>-0.96083960000000002</v>
      </c>
      <c r="S5072">
        <v>-8.221436E-2</v>
      </c>
      <c r="T5072">
        <v>-3.7766809999999998E-2</v>
      </c>
      <c r="U5072">
        <v>-3.1018680000000001</v>
      </c>
      <c r="V5072">
        <v>4.6763289999999999E-3</v>
      </c>
      <c r="W5072">
        <v>1.8313639999999999E-2</v>
      </c>
      <c r="X5072">
        <v>0.99982139999999997</v>
      </c>
      <c r="Y5072">
        <v>-0.2467232</v>
      </c>
      <c r="Z5072">
        <v>1.129517E-2</v>
      </c>
      <c r="AA5072">
        <v>0.9690202</v>
      </c>
      <c r="AB5072">
        <v>28</v>
      </c>
      <c r="AC5072">
        <v>-2.3480000000000101</v>
      </c>
      <c r="AD5072">
        <v>-1.11187589931</v>
      </c>
      <c r="AE5072">
        <v>-91.051640000000006</v>
      </c>
      <c r="AF5072">
        <v>-22.5317843802118</v>
      </c>
      <c r="AG5072">
        <v>-1.11187589931</v>
      </c>
      <c r="AH5072">
        <v>88.236959149119301</v>
      </c>
      <c r="AI5072">
        <v>90.699503606773305</v>
      </c>
      <c r="AJ5072">
        <v>104.32467011578601</v>
      </c>
      <c r="AK5072">
        <v>91.075125776773802</v>
      </c>
      <c r="AL5072">
        <v>88.950647104816497</v>
      </c>
      <c r="AM5072">
        <v>89.732020177225493</v>
      </c>
      <c r="AN5072">
        <v>1.00000004468046</v>
      </c>
    </row>
    <row r="5073" spans="1:40" x14ac:dyDescent="0.25">
      <c r="A5073" t="str">
        <f>"20190312154938477"</f>
        <v>20190312154938477</v>
      </c>
      <c r="B5073" t="str">
        <f>"1552376978470552"</f>
        <v>1552376978470552</v>
      </c>
      <c r="C5073" t="s">
        <v>40</v>
      </c>
      <c r="D5073">
        <v>4.3922829999999999</v>
      </c>
      <c r="E5073">
        <v>0.40296999999999999</v>
      </c>
      <c r="F5073" t="s">
        <v>65</v>
      </c>
      <c r="G5073">
        <v>-422.27769999999998</v>
      </c>
      <c r="H5073" s="1">
        <v>-6.3408439999999999E-6</v>
      </c>
      <c r="I5073">
        <v>28.433019999999999</v>
      </c>
      <c r="J5073">
        <v>-420.25689999999997</v>
      </c>
      <c r="K5073">
        <v>1.111912</v>
      </c>
      <c r="L5073">
        <v>110.68770000000001</v>
      </c>
      <c r="M5073">
        <v>-0.26873639999999999</v>
      </c>
      <c r="N5073">
        <v>0</v>
      </c>
      <c r="O5073">
        <v>-0.96318329999999996</v>
      </c>
      <c r="P5073">
        <v>-0.27296389999999998</v>
      </c>
      <c r="Q5073">
        <v>1.010224E-2</v>
      </c>
      <c r="R5073">
        <v>-0.96197120000000003</v>
      </c>
      <c r="S5073">
        <v>-7.8582760000000001E-2</v>
      </c>
      <c r="T5073">
        <v>-4.177082E-2</v>
      </c>
      <c r="U5073">
        <v>-3.100082</v>
      </c>
      <c r="V5073">
        <v>4.279382E-3</v>
      </c>
      <c r="W5073">
        <v>1.77935E-2</v>
      </c>
      <c r="X5073">
        <v>0.99983250000000001</v>
      </c>
      <c r="Y5073">
        <v>-0.24425140000000001</v>
      </c>
      <c r="Z5073">
        <v>1.2524240000000001E-2</v>
      </c>
      <c r="AA5073">
        <v>0.96963109999999997</v>
      </c>
      <c r="AB5073">
        <v>28</v>
      </c>
      <c r="AC5073">
        <v>-2.0207999999999999</v>
      </c>
      <c r="AD5073">
        <v>-1.1119183408439901</v>
      </c>
      <c r="AE5073">
        <v>-82.254679999999993</v>
      </c>
      <c r="AF5073">
        <v>-20.155336339344899</v>
      </c>
      <c r="AG5073">
        <v>-1.1119183408439901</v>
      </c>
      <c r="AH5073">
        <v>79.757171364132304</v>
      </c>
      <c r="AI5073">
        <v>90.774384669432095</v>
      </c>
      <c r="AJ5073">
        <v>104.18222149832</v>
      </c>
      <c r="AK5073">
        <v>82.271989944065297</v>
      </c>
      <c r="AL5073">
        <v>88.980453717292207</v>
      </c>
      <c r="AM5073">
        <v>89.754769893651698</v>
      </c>
      <c r="AN5073">
        <v>0.99999997490439996</v>
      </c>
    </row>
    <row r="5074" spans="1:40" x14ac:dyDescent="0.25">
      <c r="A5074" t="str">
        <f>"20190312154938498"</f>
        <v>20190312154938498</v>
      </c>
      <c r="B5074" t="str">
        <f>"1552376978491049"</f>
        <v>1552376978491049</v>
      </c>
      <c r="C5074" t="s">
        <v>40</v>
      </c>
      <c r="D5074">
        <v>4.3481809999999896</v>
      </c>
      <c r="E5074">
        <v>0.40333999999999998</v>
      </c>
      <c r="F5074" t="s">
        <v>42</v>
      </c>
      <c r="G5074">
        <v>-421.85489999999999</v>
      </c>
      <c r="H5074" s="1">
        <v>-5.2535629999999996E-7</v>
      </c>
      <c r="I5074">
        <v>39.663240000000002</v>
      </c>
      <c r="J5074">
        <v>-420.32760000000002</v>
      </c>
      <c r="K5074">
        <v>1.111964</v>
      </c>
      <c r="L5074">
        <v>110.42010000000001</v>
      </c>
      <c r="M5074">
        <v>-0.26507199999999997</v>
      </c>
      <c r="N5074">
        <v>0</v>
      </c>
      <c r="O5074">
        <v>-0.96419929999999998</v>
      </c>
      <c r="P5074">
        <v>-0.26852150000000002</v>
      </c>
      <c r="Q5074">
        <v>1.032771E-2</v>
      </c>
      <c r="R5074">
        <v>-0.96321860000000004</v>
      </c>
      <c r="S5074">
        <v>-6.9732669999999997E-2</v>
      </c>
      <c r="T5074">
        <v>-4.8520920000000002E-2</v>
      </c>
      <c r="U5074">
        <v>-3.0993189999999999</v>
      </c>
      <c r="V5074">
        <v>3.464483E-3</v>
      </c>
      <c r="W5074">
        <v>1.7882169999999999E-2</v>
      </c>
      <c r="X5074">
        <v>0.99983409999999995</v>
      </c>
      <c r="Y5074">
        <v>-0.2433255</v>
      </c>
      <c r="Z5074">
        <v>1.457727E-2</v>
      </c>
      <c r="AA5074">
        <v>0.96983520000000001</v>
      </c>
      <c r="AB5074">
        <v>28</v>
      </c>
      <c r="AC5074">
        <v>-1.5272999999999599</v>
      </c>
      <c r="AD5074">
        <v>-1.1119645253563</v>
      </c>
      <c r="AE5074">
        <v>-70.756860000000003</v>
      </c>
      <c r="AF5074">
        <v>-17.279263977946101</v>
      </c>
      <c r="AG5074">
        <v>-1.1119645253563</v>
      </c>
      <c r="AH5074">
        <v>68.613562098912695</v>
      </c>
      <c r="AI5074">
        <v>90.9003581663505</v>
      </c>
      <c r="AJ5074">
        <v>104.13512837700399</v>
      </c>
      <c r="AK5074">
        <v>70.764612149198896</v>
      </c>
      <c r="AL5074">
        <v>88.975372518763606</v>
      </c>
      <c r="AM5074">
        <v>89.801467603814302</v>
      </c>
      <c r="AN5074">
        <v>1.00000000108458</v>
      </c>
    </row>
    <row r="5075" spans="1:40" x14ac:dyDescent="0.25">
      <c r="A5075" t="str">
        <f>"20190312154938521"</f>
        <v>20190312154938521</v>
      </c>
      <c r="B5075" t="str">
        <f>"1552376978510568"</f>
        <v>1552376978510568</v>
      </c>
      <c r="C5075" t="s">
        <v>40</v>
      </c>
      <c r="D5075">
        <v>4.3807960000000001</v>
      </c>
      <c r="E5075">
        <v>0.40364270000000002</v>
      </c>
      <c r="F5075" t="s">
        <v>42</v>
      </c>
      <c r="G5075">
        <v>-421.64019999999999</v>
      </c>
      <c r="H5075" s="1">
        <v>-7.7592880000000003E-7</v>
      </c>
      <c r="I5075">
        <v>40.380540000000003</v>
      </c>
      <c r="J5075">
        <v>-420.39800000000002</v>
      </c>
      <c r="K5075">
        <v>1.112023</v>
      </c>
      <c r="L5075">
        <v>110.14879999999999</v>
      </c>
      <c r="M5075">
        <v>-0.26129859999999999</v>
      </c>
      <c r="N5075">
        <v>0</v>
      </c>
      <c r="O5075">
        <v>-0.96522969999999997</v>
      </c>
      <c r="P5075">
        <v>-0.2643065</v>
      </c>
      <c r="Q5075">
        <v>9.8165179999999998E-3</v>
      </c>
      <c r="R5075">
        <v>-0.9643893</v>
      </c>
      <c r="S5075">
        <v>-5.807495E-2</v>
      </c>
      <c r="T5075">
        <v>-4.9198749999999999E-2</v>
      </c>
      <c r="U5075">
        <v>-3.0988920000000002</v>
      </c>
      <c r="V5075">
        <v>3.002907E-3</v>
      </c>
      <c r="W5075">
        <v>1.725237E-2</v>
      </c>
      <c r="X5075">
        <v>0.99984660000000003</v>
      </c>
      <c r="Y5075">
        <v>-0.24317520000000001</v>
      </c>
      <c r="Z5075">
        <v>1.4808109999999999E-2</v>
      </c>
      <c r="AA5075">
        <v>0.96986930000000005</v>
      </c>
      <c r="AB5075">
        <v>28</v>
      </c>
      <c r="AC5075">
        <v>-1.24219999999996</v>
      </c>
      <c r="AD5075">
        <v>-1.1120237759288001</v>
      </c>
      <c r="AE5075">
        <v>-69.768259999999998</v>
      </c>
      <c r="AF5075">
        <v>-17.0274814890731</v>
      </c>
      <c r="AG5075">
        <v>-1.1120237759288001</v>
      </c>
      <c r="AH5075">
        <v>67.651650286524998</v>
      </c>
      <c r="AI5075">
        <v>90.913236980092705</v>
      </c>
      <c r="AJ5075">
        <v>104.127530422771</v>
      </c>
      <c r="AK5075">
        <v>69.770463014295899</v>
      </c>
      <c r="AL5075">
        <v>89.0114629128134</v>
      </c>
      <c r="AM5075">
        <v>89.827920222910294</v>
      </c>
      <c r="AN5075">
        <v>0.99999994262631198</v>
      </c>
    </row>
    <row r="5076" spans="1:40" x14ac:dyDescent="0.25">
      <c r="A5076" t="str">
        <f>"20190312154938544"</f>
        <v>20190312154938544</v>
      </c>
      <c r="B5076" t="str">
        <f>"1552376978540824"</f>
        <v>1552376978540824</v>
      </c>
      <c r="C5076" t="s">
        <v>40</v>
      </c>
      <c r="D5076">
        <v>4.3718820000000003</v>
      </c>
      <c r="E5076">
        <v>0.40401229999999999</v>
      </c>
      <c r="F5076" t="s">
        <v>42</v>
      </c>
      <c r="G5076">
        <v>-421.37380000000002</v>
      </c>
      <c r="H5076" s="1">
        <v>-2.9292599999999998E-6</v>
      </c>
      <c r="I5076">
        <v>45.56521</v>
      </c>
      <c r="J5076">
        <v>-420.46839999999997</v>
      </c>
      <c r="K5076">
        <v>1.112079</v>
      </c>
      <c r="L5076">
        <v>109.8732</v>
      </c>
      <c r="M5076">
        <v>-0.2574089</v>
      </c>
      <c r="N5076">
        <v>0</v>
      </c>
      <c r="O5076">
        <v>-0.96627490000000005</v>
      </c>
      <c r="P5076">
        <v>-0.26010650000000002</v>
      </c>
      <c r="Q5076">
        <v>9.8225459999999997E-3</v>
      </c>
      <c r="R5076">
        <v>-0.96552990000000005</v>
      </c>
      <c r="S5076">
        <v>-4.6813960000000002E-2</v>
      </c>
      <c r="T5076">
        <v>-5.3351160000000002E-2</v>
      </c>
      <c r="U5076">
        <v>-3.0984950000000002</v>
      </c>
      <c r="V5076">
        <v>2.6760439999999998E-3</v>
      </c>
      <c r="W5076">
        <v>1.7154630000000001E-2</v>
      </c>
      <c r="X5076">
        <v>0.99984930000000005</v>
      </c>
      <c r="Y5076">
        <v>-0.24279010000000001</v>
      </c>
      <c r="Z5076">
        <v>1.608776E-2</v>
      </c>
      <c r="AA5076">
        <v>0.96994539999999996</v>
      </c>
      <c r="AB5076">
        <v>28</v>
      </c>
      <c r="AC5076">
        <v>-0.90540000000004195</v>
      </c>
      <c r="AD5076">
        <v>-1.1120819292599999</v>
      </c>
      <c r="AE5076">
        <v>-64.307989999999904</v>
      </c>
      <c r="AF5076">
        <v>-15.6743164279327</v>
      </c>
      <c r="AG5076">
        <v>-1.1120819292599999</v>
      </c>
      <c r="AH5076">
        <v>62.355278749669999</v>
      </c>
      <c r="AI5076">
        <v>90.990918573002304</v>
      </c>
      <c r="AJ5076">
        <v>104.110157977125</v>
      </c>
      <c r="AK5076">
        <v>64.304756508748198</v>
      </c>
      <c r="AL5076">
        <v>89.017063919985901</v>
      </c>
      <c r="AM5076">
        <v>89.846651229457706</v>
      </c>
      <c r="AN5076">
        <v>1.0000000326262</v>
      </c>
    </row>
    <row r="5077" spans="1:40" x14ac:dyDescent="0.25">
      <c r="A5077" t="str">
        <f>"20190312154938567"</f>
        <v>20190312154938567</v>
      </c>
      <c r="B5077" t="str">
        <f>"1552376978561323"</f>
        <v>1552376978561323</v>
      </c>
      <c r="C5077" t="s">
        <v>40</v>
      </c>
      <c r="D5077">
        <v>4.4215859999999996</v>
      </c>
      <c r="E5077">
        <v>0.40418009999999999</v>
      </c>
      <c r="F5077" t="s">
        <v>42</v>
      </c>
      <c r="G5077">
        <v>-421.2079</v>
      </c>
      <c r="H5077" s="1">
        <v>-3.1143139999999999E-6</v>
      </c>
      <c r="I5077">
        <v>46.099490000000003</v>
      </c>
      <c r="J5077">
        <v>-420.5385</v>
      </c>
      <c r="K5077">
        <v>1.112141</v>
      </c>
      <c r="L5077">
        <v>109.5937</v>
      </c>
      <c r="M5077">
        <v>-0.25339840000000002</v>
      </c>
      <c r="N5077">
        <v>0</v>
      </c>
      <c r="O5077">
        <v>-0.96733530000000001</v>
      </c>
      <c r="P5077">
        <v>-0.25638230000000001</v>
      </c>
      <c r="Q5077">
        <v>9.8868979999999999E-3</v>
      </c>
      <c r="R5077">
        <v>-0.96652530000000003</v>
      </c>
      <c r="S5077">
        <v>-3.5919189999999997E-2</v>
      </c>
      <c r="T5077">
        <v>-5.4022069999999998E-2</v>
      </c>
      <c r="U5077">
        <v>-3.0979610000000002</v>
      </c>
      <c r="V5077">
        <v>2.9664560000000001E-3</v>
      </c>
      <c r="W5077">
        <v>1.7135560000000001E-2</v>
      </c>
      <c r="X5077">
        <v>0.99984879999999998</v>
      </c>
      <c r="Y5077">
        <v>-0.24217359999999999</v>
      </c>
      <c r="Z5077">
        <v>1.6322090000000001E-2</v>
      </c>
      <c r="AA5077">
        <v>0.97009559999999995</v>
      </c>
      <c r="AB5077">
        <v>28</v>
      </c>
      <c r="AC5077">
        <v>-0.669399999999996</v>
      </c>
      <c r="AD5077">
        <v>-1.1121441143140001</v>
      </c>
      <c r="AE5077">
        <v>-63.494210000000002</v>
      </c>
      <c r="AF5077">
        <v>-15.4374602437926</v>
      </c>
      <c r="AG5077">
        <v>-1.1121441143140001</v>
      </c>
      <c r="AH5077">
        <v>61.572518462848002</v>
      </c>
      <c r="AI5077">
        <v>91.003723789800901</v>
      </c>
      <c r="AJ5077">
        <v>104.07506181407101</v>
      </c>
      <c r="AK5077">
        <v>63.488007317661499</v>
      </c>
      <c r="AL5077">
        <v>89.018156703672602</v>
      </c>
      <c r="AM5077">
        <v>89.830009387213494</v>
      </c>
      <c r="AN5077">
        <v>1.00000002506957</v>
      </c>
    </row>
    <row r="5078" spans="1:40" x14ac:dyDescent="0.25">
      <c r="A5078" t="str">
        <f>"20190312154938587"</f>
        <v>20190312154938587</v>
      </c>
      <c r="B5078" t="str">
        <f>"1552376978580840"</f>
        <v>1552376978580840</v>
      </c>
      <c r="C5078" t="s">
        <v>40</v>
      </c>
      <c r="D5078">
        <v>4.3726370000000001</v>
      </c>
      <c r="E5078">
        <v>0.4046709</v>
      </c>
      <c r="F5078" t="s">
        <v>42</v>
      </c>
      <c r="G5078">
        <v>-421.048</v>
      </c>
      <c r="H5078" s="1">
        <v>-3.5143989999999999E-6</v>
      </c>
      <c r="I5078">
        <v>47.131270000000001</v>
      </c>
      <c r="J5078">
        <v>-420.6026</v>
      </c>
      <c r="K5078">
        <v>1.112206</v>
      </c>
      <c r="L5078">
        <v>109.3336</v>
      </c>
      <c r="M5078">
        <v>-0.2496044</v>
      </c>
      <c r="N5078">
        <v>0</v>
      </c>
      <c r="O5078">
        <v>-0.9683216</v>
      </c>
      <c r="P5078">
        <v>-0.25386510000000001</v>
      </c>
      <c r="Q5078">
        <v>1.051673E-2</v>
      </c>
      <c r="R5078">
        <v>-0.96718269999999995</v>
      </c>
      <c r="S5078">
        <v>-2.5268550000000001E-2</v>
      </c>
      <c r="T5078">
        <v>-5.5155990000000002E-2</v>
      </c>
      <c r="U5078">
        <v>-3.0977779999999999</v>
      </c>
      <c r="V5078">
        <v>4.2775809999999999E-3</v>
      </c>
      <c r="W5078">
        <v>1.770768E-2</v>
      </c>
      <c r="X5078">
        <v>0.99983409999999995</v>
      </c>
      <c r="Y5078">
        <v>-0.24170459999999999</v>
      </c>
      <c r="Z5078">
        <v>1.6693079999999999E-2</v>
      </c>
      <c r="AA5078">
        <v>0.97020629999999997</v>
      </c>
      <c r="AB5078">
        <v>28</v>
      </c>
      <c r="AC5078">
        <v>-0.44540000000000601</v>
      </c>
      <c r="AD5078">
        <v>-1.1122095143990001</v>
      </c>
      <c r="AE5078">
        <v>-62.202330000000003</v>
      </c>
      <c r="AF5078">
        <v>-15.0902448658673</v>
      </c>
      <c r="AG5078">
        <v>-1.1122095143990001</v>
      </c>
      <c r="AH5078">
        <v>60.325284204604898</v>
      </c>
      <c r="AI5078">
        <v>91.0246698746205</v>
      </c>
      <c r="AJ5078">
        <v>104.04422028701801</v>
      </c>
      <c r="AK5078">
        <v>62.1939901797762</v>
      </c>
      <c r="AL5078">
        <v>88.985371685734194</v>
      </c>
      <c r="AM5078">
        <v>89.754873491011196</v>
      </c>
      <c r="AN5078">
        <v>1.0000000435765</v>
      </c>
    </row>
    <row r="5079" spans="1:40" x14ac:dyDescent="0.25">
      <c r="A5079" t="str">
        <f>"20190312154938610"</f>
        <v>20190312154938610</v>
      </c>
      <c r="B5079" t="str">
        <f>"1552376978600360"</f>
        <v>1552376978600360</v>
      </c>
      <c r="C5079" t="s">
        <v>40</v>
      </c>
      <c r="D5079">
        <v>4.3918280000000003</v>
      </c>
      <c r="E5079">
        <v>0.40510220000000002</v>
      </c>
      <c r="F5079" t="s">
        <v>42</v>
      </c>
      <c r="G5079">
        <v>-421.05040000000002</v>
      </c>
      <c r="H5079" s="1">
        <v>-1.9475509999999999E-6</v>
      </c>
      <c r="I5079">
        <v>43.477429999999998</v>
      </c>
      <c r="J5079">
        <v>-420.6687</v>
      </c>
      <c r="K5079">
        <v>1.112266</v>
      </c>
      <c r="L5079">
        <v>109.05970000000001</v>
      </c>
      <c r="M5079">
        <v>-0.24555869999999999</v>
      </c>
      <c r="N5079">
        <v>0</v>
      </c>
      <c r="O5079">
        <v>-0.96935579999999999</v>
      </c>
      <c r="P5079">
        <v>-0.25122699999999998</v>
      </c>
      <c r="Q5079">
        <v>1.0674579999999999E-2</v>
      </c>
      <c r="R5079">
        <v>-0.96786950000000005</v>
      </c>
      <c r="S5079">
        <v>-2.105713E-2</v>
      </c>
      <c r="T5079">
        <v>-5.2300930000000002E-2</v>
      </c>
      <c r="U5079">
        <v>-3.096848</v>
      </c>
      <c r="V5079">
        <v>5.7235289999999998E-3</v>
      </c>
      <c r="W5079">
        <v>1.7817340000000001E-2</v>
      </c>
      <c r="X5079">
        <v>0.99982490000000002</v>
      </c>
      <c r="Y5079">
        <v>-0.2389684</v>
      </c>
      <c r="Z5079">
        <v>1.5865919999999999E-2</v>
      </c>
      <c r="AA5079">
        <v>0.97089769999999997</v>
      </c>
      <c r="AB5079">
        <v>28</v>
      </c>
      <c r="AC5079">
        <v>-0.38170000000002302</v>
      </c>
      <c r="AD5079">
        <v>-1.112267947551</v>
      </c>
      <c r="AE5079">
        <v>-65.582269999999994</v>
      </c>
      <c r="AF5079">
        <v>-15.730164819564401</v>
      </c>
      <c r="AG5079">
        <v>-1.112267947551</v>
      </c>
      <c r="AH5079">
        <v>63.649576079634599</v>
      </c>
      <c r="AI5079">
        <v>90.971899803567297</v>
      </c>
      <c r="AJ5079">
        <v>103.881750841781</v>
      </c>
      <c r="AK5079">
        <v>65.573956418345006</v>
      </c>
      <c r="AL5079">
        <v>88.979087618942202</v>
      </c>
      <c r="AM5079">
        <v>89.672012095788105</v>
      </c>
      <c r="AN5079">
        <v>1.00000002352444</v>
      </c>
    </row>
    <row r="5080" spans="1:40" x14ac:dyDescent="0.25">
      <c r="A5080" t="str">
        <f>"20190312154938633"</f>
        <v>20190312154938633</v>
      </c>
      <c r="B5080" t="str">
        <f>"1552376978620858"</f>
        <v>1552376978620858</v>
      </c>
      <c r="C5080" t="s">
        <v>40</v>
      </c>
      <c r="D5080">
        <v>4.4161270000000004</v>
      </c>
      <c r="E5080">
        <v>0.40549869999999999</v>
      </c>
      <c r="F5080" t="s">
        <v>42</v>
      </c>
      <c r="G5080">
        <v>-421.0172</v>
      </c>
      <c r="H5080" s="1">
        <v>-1.5122140000000001E-6</v>
      </c>
      <c r="I5080">
        <v>42.483229999999999</v>
      </c>
      <c r="J5080">
        <v>-420.73790000000002</v>
      </c>
      <c r="K5080">
        <v>1.11232</v>
      </c>
      <c r="L5080">
        <v>108.7679</v>
      </c>
      <c r="M5080">
        <v>-0.24119280000000001</v>
      </c>
      <c r="N5080">
        <v>0</v>
      </c>
      <c r="O5080">
        <v>-0.97045159999999997</v>
      </c>
      <c r="P5080">
        <v>-0.24870929999999999</v>
      </c>
      <c r="Q5080">
        <v>9.9135569999999999E-3</v>
      </c>
      <c r="R5080">
        <v>-0.96852740000000004</v>
      </c>
      <c r="S5080">
        <v>-1.620483E-2</v>
      </c>
      <c r="T5080">
        <v>-5.172276E-2</v>
      </c>
      <c r="U5080">
        <v>-3.0959469999999998</v>
      </c>
      <c r="V5080">
        <v>7.6259159999999999E-3</v>
      </c>
      <c r="W5080">
        <v>1.7025909999999998E-2</v>
      </c>
      <c r="X5080">
        <v>0.99982599999999999</v>
      </c>
      <c r="Y5080">
        <v>-0.2361161</v>
      </c>
      <c r="Z5080">
        <v>1.5728430000000002E-2</v>
      </c>
      <c r="AA5080">
        <v>0.97159759999999995</v>
      </c>
      <c r="AB5080">
        <v>29</v>
      </c>
      <c r="AC5080">
        <v>-0.27929999999997701</v>
      </c>
      <c r="AD5080">
        <v>-1.112321512214</v>
      </c>
      <c r="AE5080">
        <v>-66.284669999999906</v>
      </c>
      <c r="AF5080">
        <v>-15.712304261844499</v>
      </c>
      <c r="AG5080">
        <v>-1.112321512214</v>
      </c>
      <c r="AH5080">
        <v>64.376901966614597</v>
      </c>
      <c r="AI5080">
        <v>90.961651050444701</v>
      </c>
      <c r="AJ5080">
        <v>103.715882534279</v>
      </c>
      <c r="AK5080">
        <v>66.275932820160406</v>
      </c>
      <c r="AL5080">
        <v>89.024440110376702</v>
      </c>
      <c r="AM5080">
        <v>89.562999632750703</v>
      </c>
      <c r="AN5080">
        <v>1.0000000332410801</v>
      </c>
    </row>
    <row r="5081" spans="1:40" x14ac:dyDescent="0.25">
      <c r="A5081" t="str">
        <f>"20190312154938655"</f>
        <v>20190312154938655</v>
      </c>
      <c r="B5081" t="str">
        <f>"1552376978651113"</f>
        <v>1552376978651113</v>
      </c>
      <c r="C5081" t="s">
        <v>40</v>
      </c>
      <c r="D5081">
        <v>4.3851639999999996</v>
      </c>
      <c r="E5081">
        <v>0.40573199999999998</v>
      </c>
      <c r="F5081" t="s">
        <v>42</v>
      </c>
      <c r="G5081">
        <v>-420.95310000000001</v>
      </c>
      <c r="H5081" s="1">
        <v>-3.254449E-6</v>
      </c>
      <c r="I5081">
        <v>46.584200000000003</v>
      </c>
      <c r="J5081">
        <v>-420.80090000000001</v>
      </c>
      <c r="K5081">
        <v>1.112366</v>
      </c>
      <c r="L5081">
        <v>108.4967</v>
      </c>
      <c r="M5081">
        <v>-0.2370892</v>
      </c>
      <c r="N5081">
        <v>0</v>
      </c>
      <c r="O5081">
        <v>-0.97146250000000001</v>
      </c>
      <c r="P5081">
        <v>-0.24609919999999999</v>
      </c>
      <c r="Q5081">
        <v>8.5294429999999994E-3</v>
      </c>
      <c r="R5081">
        <v>-0.9692075</v>
      </c>
      <c r="S5081">
        <v>-1.071167E-2</v>
      </c>
      <c r="T5081">
        <v>-5.5367949999999999E-2</v>
      </c>
      <c r="U5081">
        <v>-3.0953059999999999</v>
      </c>
      <c r="V5081">
        <v>9.1637530000000002E-3</v>
      </c>
      <c r="W5081">
        <v>1.5628E-2</v>
      </c>
      <c r="X5081">
        <v>0.9998359</v>
      </c>
      <c r="Y5081">
        <v>-0.23373169999999999</v>
      </c>
      <c r="Z5081">
        <v>1.6872310000000001E-2</v>
      </c>
      <c r="AA5081">
        <v>0.97215469999999904</v>
      </c>
      <c r="AB5081">
        <v>29</v>
      </c>
      <c r="AC5081">
        <v>-0.15219999999999301</v>
      </c>
      <c r="AD5081">
        <v>-1.112369254449</v>
      </c>
      <c r="AE5081">
        <v>-61.912500000000001</v>
      </c>
      <c r="AF5081">
        <v>-14.5265976244317</v>
      </c>
      <c r="AG5081">
        <v>-1.112369254449</v>
      </c>
      <c r="AH5081">
        <v>60.163820104732103</v>
      </c>
      <c r="AI5081">
        <v>91.029639916608502</v>
      </c>
      <c r="AJ5081">
        <v>103.574300481214</v>
      </c>
      <c r="AK5081">
        <v>61.902703119451502</v>
      </c>
      <c r="AL5081">
        <v>89.104545121078104</v>
      </c>
      <c r="AM5081">
        <v>89.474884157930305</v>
      </c>
      <c r="AN5081">
        <v>1.0000000178409201</v>
      </c>
    </row>
    <row r="5082" spans="1:40" x14ac:dyDescent="0.25">
      <c r="A5082" t="str">
        <f>"20190312154938678"</f>
        <v>20190312154938678</v>
      </c>
      <c r="B5082" t="str">
        <f>"1552376978670633"</f>
        <v>1552376978670633</v>
      </c>
      <c r="C5082" t="s">
        <v>40</v>
      </c>
      <c r="D5082">
        <v>4.4253600000000004</v>
      </c>
      <c r="E5082">
        <v>0.4059199</v>
      </c>
      <c r="F5082" t="s">
        <v>42</v>
      </c>
      <c r="G5082">
        <v>-420.88159999999999</v>
      </c>
      <c r="H5082" s="1">
        <v>-4.1981219999999999E-7</v>
      </c>
      <c r="I5082">
        <v>50.020899999999997</v>
      </c>
      <c r="J5082">
        <v>-420.86610000000002</v>
      </c>
      <c r="K5082">
        <v>1.1124099999999999</v>
      </c>
      <c r="L5082">
        <v>108.2103</v>
      </c>
      <c r="M5082">
        <v>-0.23271819999999999</v>
      </c>
      <c r="N5082">
        <v>0</v>
      </c>
      <c r="O5082">
        <v>-0.97251900000000002</v>
      </c>
      <c r="P5082">
        <v>-0.24256620000000001</v>
      </c>
      <c r="Q5082">
        <v>7.5388089999999996E-3</v>
      </c>
      <c r="R5082">
        <v>-0.97010589999999997</v>
      </c>
      <c r="S5082">
        <v>-4.272461E-3</v>
      </c>
      <c r="T5082">
        <v>-5.8870319999999997E-2</v>
      </c>
      <c r="U5082">
        <v>-3.0947420000000001</v>
      </c>
      <c r="V5082">
        <v>1.0021230000000001E-2</v>
      </c>
      <c r="W5082">
        <v>1.463296E-2</v>
      </c>
      <c r="X5082">
        <v>0.99984269999999997</v>
      </c>
      <c r="Y5082">
        <v>-0.23138069999999999</v>
      </c>
      <c r="Z5082">
        <v>1.7977949999999999E-2</v>
      </c>
      <c r="AA5082">
        <v>0.97269709999999998</v>
      </c>
      <c r="AB5082">
        <v>29</v>
      </c>
      <c r="AC5082">
        <v>-1.5499999999974499E-2</v>
      </c>
      <c r="AD5082">
        <v>-1.1124104198122</v>
      </c>
      <c r="AE5082">
        <v>-58.189399999999999</v>
      </c>
      <c r="AF5082">
        <v>-13.5220482323382</v>
      </c>
      <c r="AG5082">
        <v>-1.1124104198122</v>
      </c>
      <c r="AH5082">
        <v>56.574615919138203</v>
      </c>
      <c r="AI5082">
        <v>91.095593731830306</v>
      </c>
      <c r="AJ5082">
        <v>103.442230728616</v>
      </c>
      <c r="AK5082">
        <v>58.178779737442099</v>
      </c>
      <c r="AL5082">
        <v>89.161563215706707</v>
      </c>
      <c r="AM5082">
        <v>89.425754712066194</v>
      </c>
      <c r="AN5082">
        <v>0.99999998665618195</v>
      </c>
    </row>
    <row r="5083" spans="1:40" x14ac:dyDescent="0.25">
      <c r="A5083" t="str">
        <f>"20190312154938700"</f>
        <v>20190312154938700</v>
      </c>
      <c r="B5083" t="str">
        <f>"1552376978691129"</f>
        <v>1552376978691129</v>
      </c>
      <c r="C5083" t="s">
        <v>40</v>
      </c>
      <c r="D5083">
        <v>4.4489989999999997</v>
      </c>
      <c r="E5083">
        <v>0.40616170000000001</v>
      </c>
      <c r="F5083" t="s">
        <v>42</v>
      </c>
      <c r="G5083">
        <v>-420.76609999999999</v>
      </c>
      <c r="H5083" s="1">
        <v>-1.856395E-6</v>
      </c>
      <c r="I5083">
        <v>53.441220000000001</v>
      </c>
      <c r="J5083">
        <v>-420.9271</v>
      </c>
      <c r="K5083">
        <v>1.1124510000000001</v>
      </c>
      <c r="L5083">
        <v>107.93640000000001</v>
      </c>
      <c r="M5083">
        <v>-0.22851399999999999</v>
      </c>
      <c r="N5083">
        <v>0</v>
      </c>
      <c r="O5083">
        <v>-0.97351540000000003</v>
      </c>
      <c r="P5083">
        <v>-0.2378741</v>
      </c>
      <c r="Q5083">
        <v>6.217144E-3</v>
      </c>
      <c r="R5083">
        <v>-0.97127629999999998</v>
      </c>
      <c r="S5083">
        <v>5.6457520000000004E-3</v>
      </c>
      <c r="T5083">
        <v>-6.2849039999999995E-2</v>
      </c>
      <c r="U5083">
        <v>-3.0943450000000001</v>
      </c>
      <c r="V5083">
        <v>9.5152850000000001E-3</v>
      </c>
      <c r="W5083">
        <v>1.331511E-2</v>
      </c>
      <c r="X5083">
        <v>0.99986609999999998</v>
      </c>
      <c r="Y5083">
        <v>-0.23029450000000001</v>
      </c>
      <c r="Z5083">
        <v>1.922782E-2</v>
      </c>
      <c r="AA5083">
        <v>0.97293099999999999</v>
      </c>
      <c r="AB5083">
        <v>29</v>
      </c>
      <c r="AC5083">
        <v>0.161000000000001</v>
      </c>
      <c r="AD5083">
        <v>-1.112452856395</v>
      </c>
      <c r="AE5083">
        <v>-54.495179999999998</v>
      </c>
      <c r="AF5083">
        <v>-12.6047046128328</v>
      </c>
      <c r="AG5083">
        <v>-1.112452856395</v>
      </c>
      <c r="AH5083">
        <v>52.994324501916097</v>
      </c>
      <c r="AI5083">
        <v>91.169943358974905</v>
      </c>
      <c r="AJ5083">
        <v>103.379204361644</v>
      </c>
      <c r="AK5083">
        <v>54.484076197994298</v>
      </c>
      <c r="AL5083">
        <v>89.237077868116501</v>
      </c>
      <c r="AM5083">
        <v>89.454757778036694</v>
      </c>
      <c r="AN5083">
        <v>1.0000000253660699</v>
      </c>
    </row>
    <row r="5084" spans="1:40" x14ac:dyDescent="0.25">
      <c r="A5084" t="str">
        <f>"20190312154938723"</f>
        <v>20190312154938723</v>
      </c>
      <c r="B5084" t="str">
        <f>"1552376978710648"</f>
        <v>1552376978710648</v>
      </c>
      <c r="C5084" t="s">
        <v>40</v>
      </c>
      <c r="D5084">
        <v>4.4642939999999998</v>
      </c>
      <c r="E5084">
        <v>0.40641959999999999</v>
      </c>
      <c r="F5084" t="s">
        <v>42</v>
      </c>
      <c r="G5084">
        <v>-420.62799999999999</v>
      </c>
      <c r="H5084" s="1">
        <v>-3.588967E-6</v>
      </c>
      <c r="I5084">
        <v>57.565570000000001</v>
      </c>
      <c r="J5084">
        <v>-420.9898</v>
      </c>
      <c r="K5084">
        <v>1.112493</v>
      </c>
      <c r="L5084">
        <v>107.6493</v>
      </c>
      <c r="M5084">
        <v>-0.2240915</v>
      </c>
      <c r="N5084">
        <v>0</v>
      </c>
      <c r="O5084">
        <v>-0.97454269999999998</v>
      </c>
      <c r="P5084">
        <v>-0.23232939999999999</v>
      </c>
      <c r="Q5084">
        <v>5.2747719999999996E-3</v>
      </c>
      <c r="R5084">
        <v>-0.97262289999999996</v>
      </c>
      <c r="S5084">
        <v>1.8371579999999998E-2</v>
      </c>
      <c r="T5084">
        <v>-6.8323969999999998E-2</v>
      </c>
      <c r="U5084">
        <v>-3.0936430000000001</v>
      </c>
      <c r="V5084">
        <v>8.3561929999999996E-3</v>
      </c>
      <c r="W5084">
        <v>1.238678E-2</v>
      </c>
      <c r="X5084">
        <v>0.99988840000000001</v>
      </c>
      <c r="Y5084">
        <v>-0.22987840000000001</v>
      </c>
      <c r="Z5084">
        <v>2.094159E-2</v>
      </c>
      <c r="AA5084">
        <v>0.97299400000000003</v>
      </c>
      <c r="AB5084">
        <v>29</v>
      </c>
      <c r="AC5084">
        <v>0.36179999999995899</v>
      </c>
      <c r="AD5084">
        <v>-1.112496588967</v>
      </c>
      <c r="AE5084">
        <v>-50.083729999999903</v>
      </c>
      <c r="AF5084">
        <v>-11.5705057385979</v>
      </c>
      <c r="AG5084">
        <v>-1.112496588967</v>
      </c>
      <c r="AH5084">
        <v>48.704833849149999</v>
      </c>
      <c r="AI5084">
        <v>91.273081078644694</v>
      </c>
      <c r="AJ5084">
        <v>103.36367905255599</v>
      </c>
      <c r="AK5084">
        <v>50.072698069713603</v>
      </c>
      <c r="AL5084">
        <v>89.290271659344896</v>
      </c>
      <c r="AM5084">
        <v>89.521183117991896</v>
      </c>
      <c r="AN5084">
        <v>1.0000000353673899</v>
      </c>
    </row>
    <row r="5085" spans="1:40" x14ac:dyDescent="0.25">
      <c r="A5085" t="str">
        <f>"20190312154938745"</f>
        <v>20190312154938745</v>
      </c>
      <c r="B5085" t="str">
        <f>"1552376978740905"</f>
        <v>1552376978740905</v>
      </c>
      <c r="C5085" t="s">
        <v>40</v>
      </c>
      <c r="D5085">
        <v>4.4638049999999998</v>
      </c>
      <c r="E5085">
        <v>0.40683589999999997</v>
      </c>
      <c r="F5085" t="s">
        <v>42</v>
      </c>
      <c r="G5085">
        <v>-420.45600000000002</v>
      </c>
      <c r="H5085" s="1">
        <v>-4.2844489999999999E-6</v>
      </c>
      <c r="I5085">
        <v>59.339149999999997</v>
      </c>
      <c r="J5085">
        <v>-421.0487</v>
      </c>
      <c r="K5085">
        <v>1.112528</v>
      </c>
      <c r="L5085">
        <v>107.3737</v>
      </c>
      <c r="M5085">
        <v>-0.2198389</v>
      </c>
      <c r="N5085">
        <v>0</v>
      </c>
      <c r="O5085">
        <v>-0.97551060000000001</v>
      </c>
      <c r="P5085">
        <v>-0.22730139999999999</v>
      </c>
      <c r="Q5085">
        <v>5.3715289999999999E-3</v>
      </c>
      <c r="R5085">
        <v>-0.97380990000000001</v>
      </c>
      <c r="S5085">
        <v>3.4179689999999999E-2</v>
      </c>
      <c r="T5085">
        <v>-7.1226719999999993E-2</v>
      </c>
      <c r="U5085">
        <v>-3.0930179999999998</v>
      </c>
      <c r="V5085">
        <v>7.5494029999999997E-3</v>
      </c>
      <c r="W5085">
        <v>1.251361E-2</v>
      </c>
      <c r="X5085">
        <v>0.99989320000000004</v>
      </c>
      <c r="Y5085">
        <v>-0.23060700000000001</v>
      </c>
      <c r="Z5085">
        <v>2.1866070000000001E-2</v>
      </c>
      <c r="AA5085">
        <v>0.97280129999999998</v>
      </c>
      <c r="AB5085">
        <v>29</v>
      </c>
      <c r="AC5085">
        <v>0.59270000000003598</v>
      </c>
      <c r="AD5085">
        <v>-1.112532284449</v>
      </c>
      <c r="AE5085">
        <v>-48.034550000000003</v>
      </c>
      <c r="AF5085">
        <v>-11.1323549383642</v>
      </c>
      <c r="AG5085">
        <v>-1.112532284449</v>
      </c>
      <c r="AH5085">
        <v>46.704030816509899</v>
      </c>
      <c r="AI5085">
        <v>91.327405561013606</v>
      </c>
      <c r="AJ5085">
        <v>103.40683209213</v>
      </c>
      <c r="AK5085">
        <v>48.025342779278198</v>
      </c>
      <c r="AL5085">
        <v>89.283004245575498</v>
      </c>
      <c r="AM5085">
        <v>89.567413088939304</v>
      </c>
      <c r="AN5085">
        <v>0.99999999766356396</v>
      </c>
    </row>
    <row r="5086" spans="1:40" x14ac:dyDescent="0.25">
      <c r="A5086" t="str">
        <f>"20190312154938767"</f>
        <v>20190312154938767</v>
      </c>
      <c r="B5086" t="str">
        <f>"1552376978761401"</f>
        <v>1552376978761401</v>
      </c>
      <c r="C5086" t="s">
        <v>40</v>
      </c>
      <c r="D5086">
        <v>4.4820919999999997</v>
      </c>
      <c r="E5086">
        <v>0.40711720000000001</v>
      </c>
      <c r="F5086" t="s">
        <v>42</v>
      </c>
      <c r="G5086">
        <v>-420.303</v>
      </c>
      <c r="H5086" s="1">
        <v>-3.8767219999999998E-6</v>
      </c>
      <c r="I5086">
        <v>58.437919999999998</v>
      </c>
      <c r="J5086">
        <v>-421.10829999999999</v>
      </c>
      <c r="K5086">
        <v>1.112568</v>
      </c>
      <c r="L5086">
        <v>107.0881</v>
      </c>
      <c r="M5086">
        <v>-0.21542900000000001</v>
      </c>
      <c r="N5086">
        <v>0</v>
      </c>
      <c r="O5086">
        <v>-0.97649370000000002</v>
      </c>
      <c r="P5086">
        <v>-0.22284979999999999</v>
      </c>
      <c r="Q5086">
        <v>5.548313E-3</v>
      </c>
      <c r="R5086">
        <v>-0.97483739999999997</v>
      </c>
      <c r="S5086">
        <v>4.7119139999999997E-2</v>
      </c>
      <c r="T5086">
        <v>-7.0296049999999999E-2</v>
      </c>
      <c r="U5086">
        <v>-3.092041</v>
      </c>
      <c r="V5086">
        <v>7.49621199999999E-3</v>
      </c>
      <c r="W5086">
        <v>1.274582E-2</v>
      </c>
      <c r="X5086">
        <v>0.99989070000000002</v>
      </c>
      <c r="Y5086">
        <v>-0.2302843</v>
      </c>
      <c r="Z5086">
        <v>2.162101E-2</v>
      </c>
      <c r="AA5086">
        <v>0.97288319999999995</v>
      </c>
      <c r="AB5086">
        <v>29</v>
      </c>
      <c r="AC5086">
        <v>0.80529999999993096</v>
      </c>
      <c r="AD5086">
        <v>-1.1125718767219901</v>
      </c>
      <c r="AE5086">
        <v>-48.650179999999999</v>
      </c>
      <c r="AF5086">
        <v>-11.2614260259384</v>
      </c>
      <c r="AG5086">
        <v>-1.1125718767219901</v>
      </c>
      <c r="AH5086">
        <v>47.309566831745798</v>
      </c>
      <c r="AI5086">
        <v>91.310563369780397</v>
      </c>
      <c r="AJ5086">
        <v>103.38933839903</v>
      </c>
      <c r="AK5086">
        <v>48.644142978635998</v>
      </c>
      <c r="AL5086">
        <v>89.269698555322904</v>
      </c>
      <c r="AM5086">
        <v>89.570459787823907</v>
      </c>
      <c r="AN5086">
        <v>1.0000000305341501</v>
      </c>
    </row>
    <row r="5087" spans="1:40" x14ac:dyDescent="0.25">
      <c r="A5087" t="str">
        <f>"20190312154938789"</f>
        <v>20190312154938789</v>
      </c>
      <c r="B5087" t="str">
        <f>"1552376978780921"</f>
        <v>1552376978780921</v>
      </c>
      <c r="C5087" t="s">
        <v>40</v>
      </c>
      <c r="D5087">
        <v>4.5019049999999998</v>
      </c>
      <c r="E5087">
        <v>0.40727530000000001</v>
      </c>
      <c r="F5087" t="s">
        <v>42</v>
      </c>
      <c r="G5087">
        <v>-420.1619</v>
      </c>
      <c r="H5087" s="1">
        <v>-3.389106E-6</v>
      </c>
      <c r="I5087">
        <v>57.388779999999997</v>
      </c>
      <c r="J5087">
        <v>-421.1651</v>
      </c>
      <c r="K5087">
        <v>1.112608</v>
      </c>
      <c r="L5087">
        <v>106.81</v>
      </c>
      <c r="M5087">
        <v>-0.21113670000000001</v>
      </c>
      <c r="N5087">
        <v>0</v>
      </c>
      <c r="O5087">
        <v>-0.97743020000000003</v>
      </c>
      <c r="P5087">
        <v>-0.219199</v>
      </c>
      <c r="Q5087">
        <v>5.6096089999999998E-3</v>
      </c>
      <c r="R5087">
        <v>-0.97566439999999999</v>
      </c>
      <c r="S5087">
        <v>5.8868410000000003E-2</v>
      </c>
      <c r="T5087">
        <v>-6.9201470000000001E-2</v>
      </c>
      <c r="U5087">
        <v>-3.091278</v>
      </c>
      <c r="V5087">
        <v>8.1442860000000006E-3</v>
      </c>
      <c r="W5087">
        <v>1.288456E-2</v>
      </c>
      <c r="X5087">
        <v>0.99988379999999999</v>
      </c>
      <c r="Y5087">
        <v>-0.22970940000000001</v>
      </c>
      <c r="Z5087">
        <v>2.1321969999999999E-2</v>
      </c>
      <c r="AA5087">
        <v>0.97302569999999999</v>
      </c>
      <c r="AB5087">
        <v>29</v>
      </c>
      <c r="AC5087">
        <v>1.0031999999999901</v>
      </c>
      <c r="AD5087">
        <v>-1.1126113891060001</v>
      </c>
      <c r="AE5087">
        <v>-49.421219999999998</v>
      </c>
      <c r="AF5087">
        <v>-11.409704849606401</v>
      </c>
      <c r="AG5087">
        <v>-1.1126113891060001</v>
      </c>
      <c r="AH5087">
        <v>48.070865435653602</v>
      </c>
      <c r="AI5087">
        <v>91.290059621151201</v>
      </c>
      <c r="AJ5087">
        <v>103.352178534386</v>
      </c>
      <c r="AK5087">
        <v>49.418896917990999</v>
      </c>
      <c r="AL5087">
        <v>89.261748647048293</v>
      </c>
      <c r="AM5087">
        <v>89.533322876324206</v>
      </c>
      <c r="AN5087">
        <v>0.99999997739164104</v>
      </c>
    </row>
    <row r="5088" spans="1:40" x14ac:dyDescent="0.25">
      <c r="A5088" t="str">
        <f>"20190312154938812"</f>
        <v>20190312154938812</v>
      </c>
      <c r="B5088" t="str">
        <f>"1552376978801417"</f>
        <v>1552376978801417</v>
      </c>
      <c r="C5088" t="s">
        <v>40</v>
      </c>
      <c r="D5088">
        <v>4.5116779999999999</v>
      </c>
      <c r="E5088">
        <v>0.41614609999999902</v>
      </c>
      <c r="F5088" t="s">
        <v>42</v>
      </c>
      <c r="G5088">
        <v>-420.04300000000001</v>
      </c>
      <c r="H5088" s="1">
        <v>-3.1378229999999998E-6</v>
      </c>
      <c r="I5088">
        <v>56.87679</v>
      </c>
      <c r="J5088">
        <v>-421.22289999999998</v>
      </c>
      <c r="K5088">
        <v>1.1126419999999999</v>
      </c>
      <c r="L5088">
        <v>106.52030000000001</v>
      </c>
      <c r="M5088">
        <v>-0.2066664</v>
      </c>
      <c r="N5088">
        <v>0</v>
      </c>
      <c r="O5088">
        <v>-0.97838429999999998</v>
      </c>
      <c r="P5088">
        <v>-0.2158061</v>
      </c>
      <c r="Q5088">
        <v>6.152869E-3</v>
      </c>
      <c r="R5088">
        <v>-0.97641679999999997</v>
      </c>
      <c r="S5088">
        <v>6.9458010000000001E-2</v>
      </c>
      <c r="T5088">
        <v>-6.8869589999999994E-2</v>
      </c>
      <c r="U5088">
        <v>-3.0908199999999999</v>
      </c>
      <c r="V5088">
        <v>9.2337849999999996E-3</v>
      </c>
      <c r="W5088">
        <v>1.352252E-2</v>
      </c>
      <c r="X5088">
        <v>0.99986589999999997</v>
      </c>
      <c r="Y5088">
        <v>-0.22859550000000001</v>
      </c>
      <c r="Z5088">
        <v>2.125691E-2</v>
      </c>
      <c r="AA5088">
        <v>0.97328939999999997</v>
      </c>
      <c r="AB5088">
        <v>29</v>
      </c>
      <c r="AC5088">
        <v>1.17989999999997</v>
      </c>
      <c r="AD5088">
        <v>-1.112645137823</v>
      </c>
      <c r="AE5088">
        <v>-49.643509999999999</v>
      </c>
      <c r="AF5088">
        <v>-11.408616886089099</v>
      </c>
      <c r="AG5088">
        <v>-1.112645137823</v>
      </c>
      <c r="AH5088">
        <v>48.303619065134498</v>
      </c>
      <c r="AI5088">
        <v>91.284220036781207</v>
      </c>
      <c r="AJ5088">
        <v>103.288906294452</v>
      </c>
      <c r="AK5088">
        <v>49.645081662193903</v>
      </c>
      <c r="AL5088">
        <v>89.2251930375391</v>
      </c>
      <c r="AM5088">
        <v>89.470887176091594</v>
      </c>
      <c r="AN5088">
        <v>0.999999969657692</v>
      </c>
    </row>
    <row r="5089" spans="1:40" x14ac:dyDescent="0.25">
      <c r="A5089" t="str">
        <f>"20190312154938834"</f>
        <v>20190312154938834</v>
      </c>
      <c r="B5089" t="str">
        <f>"1552376978830699"</f>
        <v>1552376978830699</v>
      </c>
      <c r="C5089" t="s">
        <v>40</v>
      </c>
      <c r="D5089">
        <v>4.5525229999999999</v>
      </c>
      <c r="E5089">
        <v>0.41760019999999998</v>
      </c>
      <c r="F5089" t="s">
        <v>42</v>
      </c>
      <c r="G5089">
        <v>-421.04360000000003</v>
      </c>
      <c r="H5089" s="1">
        <v>-3.528586E-6</v>
      </c>
      <c r="I5089">
        <v>57.167050000000003</v>
      </c>
      <c r="J5089">
        <v>-421.28019999999998</v>
      </c>
      <c r="K5089">
        <v>1.1126689999999999</v>
      </c>
      <c r="L5089">
        <v>106.22620000000001</v>
      </c>
      <c r="M5089">
        <v>-0.20212820000000001</v>
      </c>
      <c r="N5089">
        <v>0</v>
      </c>
      <c r="O5089">
        <v>-0.97933139999999996</v>
      </c>
      <c r="P5089">
        <v>-0.21282619999999999</v>
      </c>
      <c r="Q5089">
        <v>6.1122980000000004E-3</v>
      </c>
      <c r="R5089">
        <v>-0.97707100000000002</v>
      </c>
      <c r="S5089">
        <v>1.1169429999999999E-2</v>
      </c>
      <c r="T5089">
        <v>-6.9332599999999994E-2</v>
      </c>
      <c r="U5089">
        <v>-3.0753629999999998</v>
      </c>
      <c r="V5089">
        <v>1.0817520000000001E-2</v>
      </c>
      <c r="W5089">
        <v>1.3593559999999999E-2</v>
      </c>
      <c r="X5089">
        <v>0.99984910000000005</v>
      </c>
      <c r="Y5089">
        <v>-0.20568790000000001</v>
      </c>
      <c r="Z5089">
        <v>2.159987E-2</v>
      </c>
      <c r="AA5089">
        <v>0.9783792</v>
      </c>
      <c r="AB5089">
        <v>29</v>
      </c>
      <c r="AC5089">
        <v>0.23659999999995299</v>
      </c>
      <c r="AD5089">
        <v>-1.112672528586</v>
      </c>
      <c r="AE5089">
        <v>-49.059150000000002</v>
      </c>
      <c r="AF5089">
        <v>-10.143005146298499</v>
      </c>
      <c r="AG5089">
        <v>-1.112672528586</v>
      </c>
      <c r="AH5089">
        <v>47.973966416537202</v>
      </c>
      <c r="AI5089">
        <v>91.299911360197697</v>
      </c>
      <c r="AJ5089">
        <v>101.938079571218</v>
      </c>
      <c r="AK5089">
        <v>49.047120682959097</v>
      </c>
      <c r="AL5089">
        <v>89.221122404994802</v>
      </c>
      <c r="AM5089">
        <v>89.380132402783701</v>
      </c>
      <c r="AN5089">
        <v>1.00000001319161</v>
      </c>
    </row>
    <row r="5090" spans="1:40" x14ac:dyDescent="0.25">
      <c r="A5090" t="str">
        <f>"20190312154938859"</f>
        <v>20190312154938859</v>
      </c>
      <c r="B5090" t="str">
        <f>"1552376978851193"</f>
        <v>1552376978851193</v>
      </c>
      <c r="C5090" t="s">
        <v>40</v>
      </c>
      <c r="D5090">
        <v>4.5635830000000004</v>
      </c>
      <c r="E5090">
        <v>0.41789510000000002</v>
      </c>
      <c r="F5090" t="s">
        <v>42</v>
      </c>
      <c r="G5090">
        <v>-421.14429999999999</v>
      </c>
      <c r="H5090" s="1">
        <v>-1.9086889999999999E-6</v>
      </c>
      <c r="I5090">
        <v>63.328589999999998</v>
      </c>
      <c r="J5090">
        <v>-421.33800000000002</v>
      </c>
      <c r="K5090">
        <v>1.1127049999999901</v>
      </c>
      <c r="L5090">
        <v>105.9218</v>
      </c>
      <c r="M5090">
        <v>-0.1974224</v>
      </c>
      <c r="N5090">
        <v>0</v>
      </c>
      <c r="O5090">
        <v>-0.98028979999999999</v>
      </c>
      <c r="P5090">
        <v>-0.20945059999999999</v>
      </c>
      <c r="Q5090">
        <v>5.4900119999999998E-3</v>
      </c>
      <c r="R5090">
        <v>-0.9778038</v>
      </c>
      <c r="S5090">
        <v>9.7351069999999998E-3</v>
      </c>
      <c r="T5090">
        <v>-7.9707260000000002E-2</v>
      </c>
      <c r="U5090">
        <v>-3.073013</v>
      </c>
      <c r="V5090">
        <v>1.216922E-2</v>
      </c>
      <c r="W5090">
        <v>1.309626E-2</v>
      </c>
      <c r="X5090">
        <v>0.99984019999999996</v>
      </c>
      <c r="Y5090">
        <v>-0.20053090000000001</v>
      </c>
      <c r="Z5090">
        <v>2.4900169999999999E-2</v>
      </c>
      <c r="AA5090">
        <v>0.97937090000000004</v>
      </c>
      <c r="AB5090">
        <v>29</v>
      </c>
      <c r="AC5090">
        <v>0.19370000000003501</v>
      </c>
      <c r="AD5090">
        <v>-1.11270690868899</v>
      </c>
      <c r="AE5090">
        <v>-42.593209999999999</v>
      </c>
      <c r="AF5090">
        <v>-8.5931135740280808</v>
      </c>
      <c r="AG5090">
        <v>-1.11270690868899</v>
      </c>
      <c r="AH5090">
        <v>41.688172856675898</v>
      </c>
      <c r="AI5090">
        <v>91.497462439373905</v>
      </c>
      <c r="AJ5090">
        <v>101.647153855927</v>
      </c>
      <c r="AK5090">
        <v>42.579143646730202</v>
      </c>
      <c r="AL5090">
        <v>89.249618133942107</v>
      </c>
      <c r="AM5090">
        <v>89.302678048243806</v>
      </c>
      <c r="AN5090">
        <v>1.0000000137387099</v>
      </c>
    </row>
    <row r="5091" spans="1:40" x14ac:dyDescent="0.25">
      <c r="A5091" t="str">
        <f>"20190312154938880"</f>
        <v>20190312154938880</v>
      </c>
      <c r="B5091" t="str">
        <f>"1552376978870714"</f>
        <v>1552376978870714</v>
      </c>
      <c r="C5091" t="s">
        <v>40</v>
      </c>
      <c r="D5091">
        <v>4.5836399999999999</v>
      </c>
      <c r="E5091">
        <v>0.41864509999999999</v>
      </c>
      <c r="F5091" t="s">
        <v>42</v>
      </c>
      <c r="G5091">
        <v>-421.10219999999998</v>
      </c>
      <c r="H5091" s="1">
        <v>-3.029955E-6</v>
      </c>
      <c r="I5091">
        <v>65.968379999999996</v>
      </c>
      <c r="J5091">
        <v>-421.3897</v>
      </c>
      <c r="K5091">
        <v>1.1127400000000001</v>
      </c>
      <c r="L5091">
        <v>105.6422</v>
      </c>
      <c r="M5091">
        <v>-0.19308520000000001</v>
      </c>
      <c r="N5091">
        <v>0</v>
      </c>
      <c r="O5091">
        <v>-0.98115249999999998</v>
      </c>
      <c r="P5091">
        <v>-0.2065205</v>
      </c>
      <c r="Q5091">
        <v>4.516122E-3</v>
      </c>
      <c r="R5091">
        <v>-0.97843190000000002</v>
      </c>
      <c r="S5091">
        <v>1.8127440000000002E-2</v>
      </c>
      <c r="T5091">
        <v>-8.556938E-2</v>
      </c>
      <c r="U5091">
        <v>-3.072495</v>
      </c>
      <c r="V5091">
        <v>1.3601179999999999E-2</v>
      </c>
      <c r="W5091">
        <v>1.2249940000000001E-2</v>
      </c>
      <c r="X5091">
        <v>0.99983250000000001</v>
      </c>
      <c r="Y5091">
        <v>-0.1988733</v>
      </c>
      <c r="Z5091">
        <v>2.6775139999999999E-2</v>
      </c>
      <c r="AA5091">
        <v>0.97965939999999996</v>
      </c>
      <c r="AB5091">
        <v>29</v>
      </c>
      <c r="AC5091">
        <v>0.28750000000002202</v>
      </c>
      <c r="AD5091">
        <v>-1.1127430299550001</v>
      </c>
      <c r="AE5091">
        <v>-39.6738199999999</v>
      </c>
      <c r="AF5091">
        <v>-7.9364957494649504</v>
      </c>
      <c r="AG5091">
        <v>-1.1127430299550001</v>
      </c>
      <c r="AH5091">
        <v>38.841127810982201</v>
      </c>
      <c r="AI5091">
        <v>91.607790897932006</v>
      </c>
      <c r="AJ5091">
        <v>101.548406157022</v>
      </c>
      <c r="AK5091">
        <v>39.659291111428701</v>
      </c>
      <c r="AL5091">
        <v>89.298112612132599</v>
      </c>
      <c r="AM5091">
        <v>89.220627309618905</v>
      </c>
      <c r="AN5091">
        <v>1.0000000405918199</v>
      </c>
    </row>
    <row r="5092" spans="1:40" x14ac:dyDescent="0.25">
      <c r="A5092" t="str">
        <f>"20190312154938900"</f>
        <v>20190312154938900</v>
      </c>
      <c r="B5092" t="str">
        <f>"1552376978891209"</f>
        <v>1552376978891209</v>
      </c>
      <c r="C5092" t="s">
        <v>40</v>
      </c>
      <c r="D5092">
        <v>4.6112159999999998</v>
      </c>
      <c r="E5092">
        <v>0.4189717</v>
      </c>
      <c r="F5092" t="s">
        <v>42</v>
      </c>
      <c r="G5092">
        <v>-421.10379999999998</v>
      </c>
      <c r="H5092" s="1">
        <v>-2.9280979999999999E-6</v>
      </c>
      <c r="I5092">
        <v>65.729990000000001</v>
      </c>
      <c r="J5092">
        <v>-421.43900000000002</v>
      </c>
      <c r="K5092">
        <v>1.1127819999999999</v>
      </c>
      <c r="L5092">
        <v>105.3691</v>
      </c>
      <c r="M5092">
        <v>-0.1888302</v>
      </c>
      <c r="N5092">
        <v>0</v>
      </c>
      <c r="O5092">
        <v>-0.98197950000000001</v>
      </c>
      <c r="P5092">
        <v>-0.2035478</v>
      </c>
      <c r="Q5092">
        <v>3.2756059999999999E-3</v>
      </c>
      <c r="R5092">
        <v>-0.97905980000000004</v>
      </c>
      <c r="S5092">
        <v>2.2003169999999999E-2</v>
      </c>
      <c r="T5092">
        <v>-8.5623379999999999E-2</v>
      </c>
      <c r="U5092">
        <v>-3.071167</v>
      </c>
      <c r="V5092">
        <v>1.490649E-2</v>
      </c>
      <c r="W5092">
        <v>1.113946E-2</v>
      </c>
      <c r="X5092">
        <v>0.99982680000000002</v>
      </c>
      <c r="Y5092">
        <v>-0.19586300000000001</v>
      </c>
      <c r="Z5092">
        <v>2.6846519999999999E-2</v>
      </c>
      <c r="AA5092">
        <v>0.98026369999999896</v>
      </c>
      <c r="AB5092">
        <v>30</v>
      </c>
      <c r="AC5092">
        <v>0.33520000000004302</v>
      </c>
      <c r="AD5092">
        <v>-1.112784928098</v>
      </c>
      <c r="AE5092">
        <v>-39.639109999999903</v>
      </c>
      <c r="AF5092">
        <v>-7.8082995705271401</v>
      </c>
      <c r="AG5092">
        <v>-1.112784928098</v>
      </c>
      <c r="AH5092">
        <v>38.832051223433197</v>
      </c>
      <c r="AI5092">
        <v>91.609245590682406</v>
      </c>
      <c r="AJ5092">
        <v>101.369349661729</v>
      </c>
      <c r="AK5092">
        <v>39.624942078173902</v>
      </c>
      <c r="AL5092">
        <v>89.361742730307498</v>
      </c>
      <c r="AM5092">
        <v>89.145836367747805</v>
      </c>
      <c r="AN5092">
        <v>0.99999996050572404</v>
      </c>
    </row>
    <row r="5093" spans="1:40" x14ac:dyDescent="0.25">
      <c r="A5093" t="str">
        <f>"20190312154938924"</f>
        <v>20190312154938924</v>
      </c>
      <c r="B5093" t="str">
        <f>"1552376978921465"</f>
        <v>1552376978921465</v>
      </c>
      <c r="C5093" t="s">
        <v>40</v>
      </c>
      <c r="D5093">
        <v>4.5975349999999997</v>
      </c>
      <c r="E5093">
        <v>0.42543599999999998</v>
      </c>
      <c r="F5093" t="s">
        <v>42</v>
      </c>
      <c r="G5093">
        <v>-421.0849</v>
      </c>
      <c r="H5093" s="1">
        <v>-3.4567400000000001E-6</v>
      </c>
      <c r="I5093">
        <v>66.973979999999997</v>
      </c>
      <c r="J5093">
        <v>-421.49079999999998</v>
      </c>
      <c r="K5093">
        <v>1.1128279999999999</v>
      </c>
      <c r="L5093">
        <v>105.07470000000001</v>
      </c>
      <c r="M5093">
        <v>-0.1842173</v>
      </c>
      <c r="N5093">
        <v>0</v>
      </c>
      <c r="O5093">
        <v>-0.98285429999999996</v>
      </c>
      <c r="P5093">
        <v>-0.19995099999999999</v>
      </c>
      <c r="Q5093">
        <v>2.1758239999999998E-3</v>
      </c>
      <c r="R5093">
        <v>-0.97980400000000001</v>
      </c>
      <c r="S5093">
        <v>2.8320310000000001E-2</v>
      </c>
      <c r="T5093">
        <v>-8.8986869999999996E-2</v>
      </c>
      <c r="U5093">
        <v>-3.0703740000000002</v>
      </c>
      <c r="V5093">
        <v>1.5936269999999999E-2</v>
      </c>
      <c r="W5093">
        <v>1.017965E-2</v>
      </c>
      <c r="X5093">
        <v>0.99982119999999997</v>
      </c>
      <c r="Y5093">
        <v>-0.19327620000000001</v>
      </c>
      <c r="Z5093">
        <v>2.7952669999999999E-2</v>
      </c>
      <c r="AA5093">
        <v>0.98074609999999995</v>
      </c>
      <c r="AB5093">
        <v>30</v>
      </c>
      <c r="AC5093">
        <v>0.405899999999974</v>
      </c>
      <c r="AD5093">
        <v>-1.1128314567399999</v>
      </c>
      <c r="AE5093">
        <v>-38.100720000000003</v>
      </c>
      <c r="AF5093">
        <v>-7.4116580459415102</v>
      </c>
      <c r="AG5093">
        <v>-1.1128314567399999</v>
      </c>
      <c r="AH5093">
        <v>37.341978014597899</v>
      </c>
      <c r="AI5093">
        <v>91.674329165150894</v>
      </c>
      <c r="AJ5093">
        <v>101.22620090810101</v>
      </c>
      <c r="AK5093">
        <v>38.0866694643125</v>
      </c>
      <c r="AL5093">
        <v>89.416738950752801</v>
      </c>
      <c r="AM5093">
        <v>89.0868330262104</v>
      </c>
      <c r="AN5093">
        <v>1.00000001097253</v>
      </c>
    </row>
    <row r="5094" spans="1:40" x14ac:dyDescent="0.25">
      <c r="A5094" t="str">
        <f>"20190312154938945"</f>
        <v>20190312154938945</v>
      </c>
      <c r="B5094" t="str">
        <f>"1552376978940985"</f>
        <v>1552376978940985</v>
      </c>
      <c r="C5094" t="s">
        <v>40</v>
      </c>
      <c r="D5094">
        <v>4.5908530000000001</v>
      </c>
      <c r="E5094">
        <v>0.42622019999999999</v>
      </c>
      <c r="F5094" t="s">
        <v>42</v>
      </c>
      <c r="G5094">
        <v>-421.56549999999999</v>
      </c>
      <c r="H5094" s="1">
        <v>-4.4755230000000002E-6</v>
      </c>
      <c r="I5094">
        <v>79.322289999999995</v>
      </c>
      <c r="J5094">
        <v>-421.53980000000001</v>
      </c>
      <c r="K5094">
        <v>1.1128739999999999</v>
      </c>
      <c r="L5094">
        <v>104.7882</v>
      </c>
      <c r="M5094">
        <v>-0.17970129999999901</v>
      </c>
      <c r="N5094">
        <v>0</v>
      </c>
      <c r="O5094">
        <v>-0.98368900000000004</v>
      </c>
      <c r="P5094">
        <v>-0.1961861</v>
      </c>
      <c r="Q5094">
        <v>2.3495360000000002E-3</v>
      </c>
      <c r="R5094">
        <v>-0.98056390000000004</v>
      </c>
      <c r="S5094">
        <v>-8.8806149999999997E-3</v>
      </c>
      <c r="T5094">
        <v>-0.13224549999999999</v>
      </c>
      <c r="U5094">
        <v>-3.060333</v>
      </c>
      <c r="V5094">
        <v>1.6684319999999999E-2</v>
      </c>
      <c r="W5094">
        <v>1.048957E-2</v>
      </c>
      <c r="X5094">
        <v>0.99980579999999997</v>
      </c>
      <c r="Y5094">
        <v>-0.17685290000000001</v>
      </c>
      <c r="Z5094">
        <v>4.1778320000000001E-2</v>
      </c>
      <c r="AA5094">
        <v>0.98335019999999995</v>
      </c>
      <c r="AB5094">
        <v>30</v>
      </c>
      <c r="AC5094">
        <v>-2.5699999999971999E-2</v>
      </c>
      <c r="AD5094">
        <v>-1.1128784755229999</v>
      </c>
      <c r="AE5094">
        <v>-25.465910000000001</v>
      </c>
      <c r="AF5094">
        <v>-4.5424456466067404</v>
      </c>
      <c r="AG5094">
        <v>-1.1128784755229999</v>
      </c>
      <c r="AH5094">
        <v>25.0081886750684</v>
      </c>
      <c r="AI5094">
        <v>92.507045787703703</v>
      </c>
      <c r="AJ5094">
        <v>100.29487119789199</v>
      </c>
      <c r="AK5094">
        <v>25.4417336626551</v>
      </c>
      <c r="AL5094">
        <v>89.398980898568695</v>
      </c>
      <c r="AM5094">
        <v>89.043961937672606</v>
      </c>
      <c r="AN5094">
        <v>1.0000000176631401</v>
      </c>
    </row>
    <row r="5095" spans="1:40" x14ac:dyDescent="0.25">
      <c r="A5095" t="str">
        <f>"20190312154938968"</f>
        <v>20190312154938968</v>
      </c>
      <c r="B5095" t="str">
        <f>"1552376978961483"</f>
        <v>1552376978961483</v>
      </c>
      <c r="C5095" t="s">
        <v>40</v>
      </c>
      <c r="D5095">
        <v>4.6209020000000001</v>
      </c>
      <c r="E5095">
        <v>0.42685380000000001</v>
      </c>
      <c r="F5095" t="s">
        <v>42</v>
      </c>
      <c r="G5095">
        <v>-421.57060000000001</v>
      </c>
      <c r="H5095" s="1">
        <v>-4.3004649999999998E-6</v>
      </c>
      <c r="I5095">
        <v>78.805199999999999</v>
      </c>
      <c r="J5095">
        <v>-421.58870000000002</v>
      </c>
      <c r="K5095">
        <v>1.1129209999999901</v>
      </c>
      <c r="L5095">
        <v>104.4928</v>
      </c>
      <c r="M5095">
        <v>-0.17501720000000001</v>
      </c>
      <c r="N5095">
        <v>0</v>
      </c>
      <c r="O5095">
        <v>-0.98453170000000001</v>
      </c>
      <c r="P5095">
        <v>-0.1922199</v>
      </c>
      <c r="Q5095">
        <v>2.0738549999999999E-3</v>
      </c>
      <c r="R5095">
        <v>-0.98134949999999999</v>
      </c>
      <c r="S5095">
        <v>-3.6315919999999999E-3</v>
      </c>
      <c r="T5095">
        <v>-0.13102349999999999</v>
      </c>
      <c r="U5095">
        <v>-3.0590820000000001</v>
      </c>
      <c r="V5095">
        <v>1.7400820000000001E-2</v>
      </c>
      <c r="W5095">
        <v>1.035988E-2</v>
      </c>
      <c r="X5095">
        <v>0.99979490000000004</v>
      </c>
      <c r="Y5095">
        <v>-0.173853799999999</v>
      </c>
      <c r="Z5095">
        <v>4.1475480000000002E-2</v>
      </c>
      <c r="AA5095">
        <v>0.98389769999999999</v>
      </c>
      <c r="AB5095">
        <v>30</v>
      </c>
      <c r="AC5095">
        <v>1.8100000000003998E-2</v>
      </c>
      <c r="AD5095">
        <v>-1.1129253004649999</v>
      </c>
      <c r="AE5095">
        <v>-25.6876</v>
      </c>
      <c r="AF5095">
        <v>-4.5052846910190203</v>
      </c>
      <c r="AG5095">
        <v>-1.1129253004649999</v>
      </c>
      <c r="AH5095">
        <v>25.2405483945798</v>
      </c>
      <c r="AI5095">
        <v>92.485460812513395</v>
      </c>
      <c r="AJ5095">
        <v>100.120368501572</v>
      </c>
      <c r="AK5095">
        <v>25.663621648759399</v>
      </c>
      <c r="AL5095">
        <v>89.406411968850307</v>
      </c>
      <c r="AM5095">
        <v>89.002902598325804</v>
      </c>
      <c r="AN5095">
        <v>0.99999997885814795</v>
      </c>
    </row>
    <row r="5096" spans="1:40" x14ac:dyDescent="0.25">
      <c r="A5096" t="str">
        <f>"20190312154938991"</f>
        <v>20190312154938991</v>
      </c>
      <c r="B5096" t="str">
        <f>"1552376978981001"</f>
        <v>1552376978981001</v>
      </c>
      <c r="C5096" t="s">
        <v>40</v>
      </c>
      <c r="D5096">
        <v>4.6255800000000002</v>
      </c>
      <c r="E5096">
        <v>0.4271663</v>
      </c>
      <c r="F5096" t="s">
        <v>42</v>
      </c>
      <c r="G5096">
        <v>-421.55189999999999</v>
      </c>
      <c r="H5096" s="1">
        <v>-4.4530280000000003E-6</v>
      </c>
      <c r="I5096">
        <v>79.263249999999999</v>
      </c>
      <c r="J5096">
        <v>-421.63679999999999</v>
      </c>
      <c r="K5096">
        <v>1.1129720000000001</v>
      </c>
      <c r="L5096">
        <v>104.1935</v>
      </c>
      <c r="M5096">
        <v>-0.1702494</v>
      </c>
      <c r="N5096">
        <v>0</v>
      </c>
      <c r="O5096">
        <v>-0.98536639999999998</v>
      </c>
      <c r="P5096">
        <v>-0.1879575</v>
      </c>
      <c r="Q5096">
        <v>1.6405829999999999E-3</v>
      </c>
      <c r="R5096">
        <v>-0.98217600000000005</v>
      </c>
      <c r="S5096">
        <v>4.4555659999999898E-3</v>
      </c>
      <c r="T5096">
        <v>-0.1349033</v>
      </c>
      <c r="U5096">
        <v>-3.0581969999999998</v>
      </c>
      <c r="V5096">
        <v>1.7901319999999998E-2</v>
      </c>
      <c r="W5096">
        <v>1.007284E-2</v>
      </c>
      <c r="X5096">
        <v>0.99978900000000004</v>
      </c>
      <c r="Y5096">
        <v>-0.17168810000000001</v>
      </c>
      <c r="Z5096">
        <v>4.2777139999999998E-2</v>
      </c>
      <c r="AA5096">
        <v>0.98422220000000005</v>
      </c>
      <c r="AB5096">
        <v>30</v>
      </c>
      <c r="AC5096">
        <v>8.4900000000004597E-2</v>
      </c>
      <c r="AD5096">
        <v>-1.11297645302799</v>
      </c>
      <c r="AE5096">
        <v>-24.930250000000001</v>
      </c>
      <c r="AF5096">
        <v>-4.3195563021115202</v>
      </c>
      <c r="AG5096">
        <v>-1.11297645302799</v>
      </c>
      <c r="AH5096">
        <v>24.5029785948058</v>
      </c>
      <c r="AI5096">
        <v>92.561266303723102</v>
      </c>
      <c r="AJ5096">
        <v>99.997777685478596</v>
      </c>
      <c r="AK5096">
        <v>24.905686966024799</v>
      </c>
      <c r="AL5096">
        <v>89.422859009930093</v>
      </c>
      <c r="AM5096">
        <v>88.974223063664695</v>
      </c>
      <c r="AN5096">
        <v>0.99999998194220396</v>
      </c>
    </row>
    <row r="5097" spans="1:40" x14ac:dyDescent="0.25">
      <c r="A5097" t="str">
        <f>"20190312154939013"</f>
        <v>20190312154939013</v>
      </c>
      <c r="B5097" t="str">
        <f>"1552376979001496"</f>
        <v>1552376979001496</v>
      </c>
      <c r="C5097" t="s">
        <v>40</v>
      </c>
      <c r="D5097">
        <v>4.6635239999999998</v>
      </c>
      <c r="E5097">
        <v>0.42754819999999999</v>
      </c>
      <c r="F5097" t="s">
        <v>42</v>
      </c>
      <c r="G5097">
        <v>-421.51319999999998</v>
      </c>
      <c r="H5097" s="1">
        <v>-4.461424E-6</v>
      </c>
      <c r="I5097">
        <v>79.308160000000001</v>
      </c>
      <c r="J5097">
        <v>-421.6823</v>
      </c>
      <c r="K5097">
        <v>1.1130139999999999</v>
      </c>
      <c r="L5097">
        <v>103.9014</v>
      </c>
      <c r="M5097">
        <v>-0.165576</v>
      </c>
      <c r="N5097">
        <v>0</v>
      </c>
      <c r="O5097">
        <v>-0.98616139999999997</v>
      </c>
      <c r="P5097">
        <v>-0.18372869999999999</v>
      </c>
      <c r="Q5097">
        <v>1.144347E-3</v>
      </c>
      <c r="R5097">
        <v>-0.98297650000000003</v>
      </c>
      <c r="S5097">
        <v>1.5197749999999999E-2</v>
      </c>
      <c r="T5097">
        <v>-0.13674810000000001</v>
      </c>
      <c r="U5097">
        <v>-3.0575869999999998</v>
      </c>
      <c r="V5097">
        <v>1.8340599999999999E-2</v>
      </c>
      <c r="W5097">
        <v>9.7228579999999992E-3</v>
      </c>
      <c r="X5097">
        <v>0.99978449999999996</v>
      </c>
      <c r="Y5097">
        <v>-0.1704756</v>
      </c>
      <c r="Z5097">
        <v>4.3427279999999999E-2</v>
      </c>
      <c r="AA5097">
        <v>0.98440439999999996</v>
      </c>
      <c r="AB5097">
        <v>30</v>
      </c>
      <c r="AC5097">
        <v>0.16910000000001399</v>
      </c>
      <c r="AD5097">
        <v>-1.113018461424</v>
      </c>
      <c r="AE5097">
        <v>-24.593239999999899</v>
      </c>
      <c r="AF5097">
        <v>-4.2302950632848297</v>
      </c>
      <c r="AG5097">
        <v>-1.113018461424</v>
      </c>
      <c r="AH5097">
        <v>24.1762408763101</v>
      </c>
      <c r="AI5097">
        <v>92.596510683097804</v>
      </c>
      <c r="AJ5097">
        <v>99.924987468865197</v>
      </c>
      <c r="AK5097">
        <v>24.568777530176199</v>
      </c>
      <c r="AL5097">
        <v>89.442912482583097</v>
      </c>
      <c r="AM5097">
        <v>88.949052400292402</v>
      </c>
      <c r="AN5097">
        <v>0.99999997900814797</v>
      </c>
    </row>
    <row r="5098" spans="1:40" x14ac:dyDescent="0.25">
      <c r="A5098" t="str">
        <f>"20190312154939047"</f>
        <v>20190312154939047</v>
      </c>
      <c r="B5098" t="str">
        <f>"1552376979041513"</f>
        <v>1552376979041513</v>
      </c>
      <c r="C5098" t="s">
        <v>40</v>
      </c>
      <c r="D5098">
        <v>4.6621980000000001</v>
      </c>
      <c r="E5098">
        <v>0.42772379999999999</v>
      </c>
      <c r="F5098" t="s">
        <v>42</v>
      </c>
      <c r="G5098">
        <v>-421.4803</v>
      </c>
      <c r="H5098" s="1">
        <v>-4.5378960000000001E-6</v>
      </c>
      <c r="I5098">
        <v>79.549980000000005</v>
      </c>
      <c r="J5098">
        <v>-421.74869999999999</v>
      </c>
      <c r="K5098">
        <v>1.1130869999999999</v>
      </c>
      <c r="L5098">
        <v>103.45910000000001</v>
      </c>
      <c r="M5098">
        <v>-0.1584632</v>
      </c>
      <c r="N5098">
        <v>0</v>
      </c>
      <c r="O5098">
        <v>-0.98732730000000002</v>
      </c>
      <c r="P5098">
        <v>-0.1768583</v>
      </c>
      <c r="Q5098">
        <v>1.445102E-3</v>
      </c>
      <c r="R5098">
        <v>-0.98423559999999999</v>
      </c>
      <c r="S5098">
        <v>2.5360110000000002E-2</v>
      </c>
      <c r="T5098">
        <v>-0.13971839999999999</v>
      </c>
      <c r="U5098">
        <v>-3.056854</v>
      </c>
      <c r="V5098">
        <v>1.8557629999999999E-2</v>
      </c>
      <c r="W5098">
        <v>1.026547E-2</v>
      </c>
      <c r="X5098">
        <v>0.99977510000000003</v>
      </c>
      <c r="Y5098">
        <v>-0.16664519999999999</v>
      </c>
      <c r="Z5098">
        <v>4.4473609999999997E-2</v>
      </c>
      <c r="AA5098">
        <v>0.98501340000000004</v>
      </c>
      <c r="AB5098">
        <v>30</v>
      </c>
      <c r="AC5098">
        <v>0.26839999999998498</v>
      </c>
      <c r="AD5098">
        <v>-1.113091537896</v>
      </c>
      <c r="AE5098">
        <v>-23.909120000000001</v>
      </c>
      <c r="AF5098">
        <v>-4.0450985958317203</v>
      </c>
      <c r="AG5098">
        <v>-1.113091537896</v>
      </c>
      <c r="AH5098">
        <v>23.5135135885651</v>
      </c>
      <c r="AI5098">
        <v>92.671086282226796</v>
      </c>
      <c r="AJ5098">
        <v>99.761213695864896</v>
      </c>
      <c r="AK5098">
        <v>23.884872130731001</v>
      </c>
      <c r="AL5098">
        <v>89.411821568342503</v>
      </c>
      <c r="AM5098">
        <v>88.936609055042396</v>
      </c>
      <c r="AN5098">
        <v>1.00000000804277</v>
      </c>
    </row>
    <row r="5099" spans="1:40" x14ac:dyDescent="0.25">
      <c r="A5099" t="str">
        <f>"20190312154939069"</f>
        <v>20190312154939069</v>
      </c>
      <c r="B5099" t="str">
        <f>"1552376979061033"</f>
        <v>1552376979061033</v>
      </c>
      <c r="C5099" t="s">
        <v>40</v>
      </c>
      <c r="D5099">
        <v>4.6688029999999996</v>
      </c>
      <c r="E5099">
        <v>0.42786980000000002</v>
      </c>
      <c r="F5099" t="s">
        <v>42</v>
      </c>
      <c r="G5099">
        <v>-421.37369999999999</v>
      </c>
      <c r="H5099" s="1">
        <v>-3.9998290000000004E-6</v>
      </c>
      <c r="I5099">
        <v>78.060839999999999</v>
      </c>
      <c r="J5099">
        <v>-421.791</v>
      </c>
      <c r="K5099">
        <v>1.1131439999999999</v>
      </c>
      <c r="L5099">
        <v>103.1639</v>
      </c>
      <c r="M5099">
        <v>-0.15369070000000001</v>
      </c>
      <c r="N5099">
        <v>0</v>
      </c>
      <c r="O5099">
        <v>-0.98807959999999995</v>
      </c>
      <c r="P5099">
        <v>-0.1727281</v>
      </c>
      <c r="Q5099">
        <v>9.4197879999999995E-4</v>
      </c>
      <c r="R5099">
        <v>-0.98496930000000005</v>
      </c>
      <c r="S5099">
        <v>4.5135500000000002E-2</v>
      </c>
      <c r="T5099">
        <v>-0.13394679999999901</v>
      </c>
      <c r="U5099">
        <v>-3.0563660000000001</v>
      </c>
      <c r="V5099">
        <v>1.9196609999999999E-2</v>
      </c>
      <c r="W5099">
        <v>9.9569740000000004E-3</v>
      </c>
      <c r="X5099">
        <v>0.99976620000000005</v>
      </c>
      <c r="Y5099">
        <v>-0.16825590000000001</v>
      </c>
      <c r="Z5099">
        <v>4.268864E-2</v>
      </c>
      <c r="AA5099">
        <v>0.98481859999999999</v>
      </c>
      <c r="AB5099">
        <v>30</v>
      </c>
      <c r="AC5099">
        <v>0.417300000000011</v>
      </c>
      <c r="AD5099">
        <v>-1.1131479998289999</v>
      </c>
      <c r="AE5099">
        <v>-25.103059999999999</v>
      </c>
      <c r="AF5099">
        <v>-4.2622202249349499</v>
      </c>
      <c r="AG5099">
        <v>-1.1131479998289999</v>
      </c>
      <c r="AH5099">
        <v>24.692110697695298</v>
      </c>
      <c r="AI5099">
        <v>92.543643918965401</v>
      </c>
      <c r="AJ5099">
        <v>99.793583087440496</v>
      </c>
      <c r="AK5099">
        <v>25.081984579028099</v>
      </c>
      <c r="AL5099">
        <v>89.429498016281002</v>
      </c>
      <c r="AM5099">
        <v>88.899993223876095</v>
      </c>
      <c r="AN5099">
        <v>1.0000000529145801</v>
      </c>
    </row>
    <row r="5100" spans="1:40" x14ac:dyDescent="0.25">
      <c r="A5100" t="str">
        <f>"20190312154939091"</f>
        <v>20190312154939091</v>
      </c>
      <c r="B5100" t="str">
        <f>"1552376979081529"</f>
        <v>1552376979081529</v>
      </c>
      <c r="C5100" t="s">
        <v>40</v>
      </c>
      <c r="D5100">
        <v>4.6576019999999998</v>
      </c>
      <c r="E5100">
        <v>0.42785790000000001</v>
      </c>
      <c r="F5100" t="s">
        <v>42</v>
      </c>
      <c r="G5100">
        <v>-421.31650000000002</v>
      </c>
      <c r="H5100" s="1">
        <v>-3.7754930000000001E-6</v>
      </c>
      <c r="I5100">
        <v>77.573369999999997</v>
      </c>
      <c r="J5100">
        <v>-421.83010000000002</v>
      </c>
      <c r="K5100">
        <v>1.1131930000000001</v>
      </c>
      <c r="L5100">
        <v>102.88200000000001</v>
      </c>
      <c r="M5100">
        <v>-0.14911640000000001</v>
      </c>
      <c r="N5100">
        <v>0</v>
      </c>
      <c r="O5100">
        <v>-0.9887785</v>
      </c>
      <c r="P5100">
        <v>-0.1690526</v>
      </c>
      <c r="Q5100">
        <v>4.3800099999999998E-4</v>
      </c>
      <c r="R5100">
        <v>-0.98560680000000001</v>
      </c>
      <c r="S5100">
        <v>5.6671140000000002E-2</v>
      </c>
      <c r="T5100">
        <v>-0.1329244</v>
      </c>
      <c r="U5100">
        <v>-3.055847</v>
      </c>
      <c r="V5100">
        <v>2.009582E-2</v>
      </c>
      <c r="W5100">
        <v>9.6527660000000001E-3</v>
      </c>
      <c r="X5100">
        <v>0.99975139999999996</v>
      </c>
      <c r="Y5100">
        <v>-0.1674136</v>
      </c>
      <c r="Z5100">
        <v>4.2417999999999997E-2</v>
      </c>
      <c r="AA5100">
        <v>0.98497380000000001</v>
      </c>
      <c r="AB5100">
        <v>30</v>
      </c>
      <c r="AC5100">
        <v>0.51359999999999595</v>
      </c>
      <c r="AD5100">
        <v>-1.1131967754929999</v>
      </c>
      <c r="AE5100">
        <v>-25.308630000000001</v>
      </c>
      <c r="AF5100">
        <v>-4.2736779146298698</v>
      </c>
      <c r="AG5100">
        <v>-1.1131967754929999</v>
      </c>
      <c r="AH5100">
        <v>24.9009030219467</v>
      </c>
      <c r="AI5100">
        <v>92.5228694728752</v>
      </c>
      <c r="AJ5100">
        <v>99.738646494620994</v>
      </c>
      <c r="AK5100">
        <v>25.289493891483001</v>
      </c>
      <c r="AL5100">
        <v>89.446928625251402</v>
      </c>
      <c r="AM5100">
        <v>88.848463090895507</v>
      </c>
      <c r="AN5100">
        <v>0.99999993983743896</v>
      </c>
    </row>
    <row r="5101" spans="1:40" x14ac:dyDescent="0.25">
      <c r="A5101" t="str">
        <f>"20190312154939113"</f>
        <v>20190312154939113</v>
      </c>
      <c r="B5101" t="str">
        <f>"1552376979101049"</f>
        <v>1552376979101049</v>
      </c>
      <c r="C5101" t="s">
        <v>40</v>
      </c>
      <c r="D5101">
        <v>4.6709259999999997</v>
      </c>
      <c r="E5101">
        <v>0.42993330000000002</v>
      </c>
      <c r="F5101" t="s">
        <v>42</v>
      </c>
      <c r="G5101">
        <v>-421.26069999999999</v>
      </c>
      <c r="H5101" s="1">
        <v>-3.6546870000000002E-6</v>
      </c>
      <c r="I5101">
        <v>77.326390000000004</v>
      </c>
      <c r="J5101">
        <v>-421.87029999999999</v>
      </c>
      <c r="K5101">
        <v>1.113264</v>
      </c>
      <c r="L5101">
        <v>102.5801</v>
      </c>
      <c r="M5101">
        <v>-0.14420229999999901</v>
      </c>
      <c r="N5101">
        <v>0</v>
      </c>
      <c r="O5101">
        <v>-0.98950479999999996</v>
      </c>
      <c r="P5101">
        <v>-0.16523979999999999</v>
      </c>
      <c r="Q5101">
        <v>1.2570630000000001E-3</v>
      </c>
      <c r="R5101">
        <v>-0.98625249999999998</v>
      </c>
      <c r="S5101">
        <v>6.8084720000000001E-2</v>
      </c>
      <c r="T5101">
        <v>-0.13309989999999999</v>
      </c>
      <c r="U5101">
        <v>-3.0555729999999999</v>
      </c>
      <c r="V5101">
        <v>2.1185249999999999E-2</v>
      </c>
      <c r="W5101">
        <v>1.072941E-2</v>
      </c>
      <c r="X5101">
        <v>0.999718</v>
      </c>
      <c r="Y5101">
        <v>-0.16619519999999999</v>
      </c>
      <c r="Z5101">
        <v>4.2528070000000001E-2</v>
      </c>
      <c r="AA5101">
        <v>0.98517540000000003</v>
      </c>
      <c r="AB5101">
        <v>30</v>
      </c>
      <c r="AC5101">
        <v>0.60960000000000003</v>
      </c>
      <c r="AD5101">
        <v>-1.113267654687</v>
      </c>
      <c r="AE5101">
        <v>-25.253710000000002</v>
      </c>
      <c r="AF5101">
        <v>-4.2367988740196401</v>
      </c>
      <c r="AG5101">
        <v>-1.113267654687</v>
      </c>
      <c r="AH5101">
        <v>24.8535608946198</v>
      </c>
      <c r="AI5101">
        <v>92.528315080737201</v>
      </c>
      <c r="AJ5101">
        <v>99.674243572524205</v>
      </c>
      <c r="AK5101">
        <v>25.236666156852799</v>
      </c>
      <c r="AL5101">
        <v>89.385238299179306</v>
      </c>
      <c r="AM5101">
        <v>88.786013890786407</v>
      </c>
      <c r="AN5101">
        <v>1.00000000729025</v>
      </c>
    </row>
    <row r="5102" spans="1:40" x14ac:dyDescent="0.25">
      <c r="A5102" t="str">
        <f>"20190312154939136"</f>
        <v>20190312154939136</v>
      </c>
      <c r="B5102" t="str">
        <f>"1552376979131305"</f>
        <v>1552376979131305</v>
      </c>
      <c r="C5102" t="s">
        <v>40</v>
      </c>
      <c r="D5102">
        <v>4.677289</v>
      </c>
      <c r="E5102">
        <v>0.42369329999999999</v>
      </c>
      <c r="F5102" t="s">
        <v>42</v>
      </c>
      <c r="G5102">
        <v>-421.18810000000002</v>
      </c>
      <c r="H5102" s="1">
        <v>-4.2822369999999998E-6</v>
      </c>
      <c r="I5102">
        <v>68.951030000000003</v>
      </c>
      <c r="J5102">
        <v>-421.9083</v>
      </c>
      <c r="K5102">
        <v>1.1133409999999999</v>
      </c>
      <c r="L5102">
        <v>102.2854</v>
      </c>
      <c r="M5102">
        <v>-0.13939480000000001</v>
      </c>
      <c r="N5102">
        <v>0</v>
      </c>
      <c r="O5102">
        <v>-0.99019040000000003</v>
      </c>
      <c r="P5102">
        <v>-0.16083699999999901</v>
      </c>
      <c r="Q5102">
        <v>2.3177889999999998E-3</v>
      </c>
      <c r="R5102">
        <v>-0.98697809999999997</v>
      </c>
      <c r="S5102">
        <v>6.1920169999999997E-2</v>
      </c>
      <c r="T5102">
        <v>-0.1010447</v>
      </c>
      <c r="U5102">
        <v>-3.0523069999999999</v>
      </c>
      <c r="V5102">
        <v>2.156551E-2</v>
      </c>
      <c r="W5102">
        <v>1.2107379999999999E-2</v>
      </c>
      <c r="X5102">
        <v>0.99969410000000003</v>
      </c>
      <c r="Y5102">
        <v>-0.15944539999999999</v>
      </c>
      <c r="Z5102">
        <v>3.2386529999999997E-2</v>
      </c>
      <c r="AA5102">
        <v>0.98667539999999998</v>
      </c>
      <c r="AB5102">
        <v>30</v>
      </c>
      <c r="AC5102">
        <v>0.72019999999997697</v>
      </c>
      <c r="AD5102">
        <v>-1.113345282237</v>
      </c>
      <c r="AE5102">
        <v>-33.3343699999999</v>
      </c>
      <c r="AF5102">
        <v>-5.3540499626368803</v>
      </c>
      <c r="AG5102">
        <v>-1.113345282237</v>
      </c>
      <c r="AH5102">
        <v>32.871843954602902</v>
      </c>
      <c r="AI5102">
        <v>91.914613812117807</v>
      </c>
      <c r="AJ5102">
        <v>99.250900296193706</v>
      </c>
      <c r="AK5102">
        <v>33.323617956273203</v>
      </c>
      <c r="AL5102">
        <v>89.306281259638098</v>
      </c>
      <c r="AM5102">
        <v>88.764200876049898</v>
      </c>
      <c r="AN5102">
        <v>0.99999997672341701</v>
      </c>
    </row>
    <row r="5103" spans="1:40" x14ac:dyDescent="0.25">
      <c r="A5103" t="str">
        <f>"20190312154939157"</f>
        <v>20190312154939157</v>
      </c>
      <c r="B5103" t="str">
        <f>"1552376979150825"</f>
        <v>1552376979150825</v>
      </c>
      <c r="C5103" t="s">
        <v>40</v>
      </c>
      <c r="D5103">
        <v>4.7145580000000002</v>
      </c>
      <c r="E5103">
        <v>0.42463790000000001</v>
      </c>
      <c r="F5103" t="s">
        <v>65</v>
      </c>
      <c r="G5103">
        <v>-419.05950000000001</v>
      </c>
      <c r="H5103" s="1">
        <v>-5.1515609999999999E-6</v>
      </c>
      <c r="I5103">
        <v>31.131129999999999</v>
      </c>
      <c r="J5103">
        <v>-421.94420000000002</v>
      </c>
      <c r="K5103">
        <v>1.113418</v>
      </c>
      <c r="L5103">
        <v>101.9939</v>
      </c>
      <c r="M5103">
        <v>-0.13462779999999999</v>
      </c>
      <c r="N5103">
        <v>0</v>
      </c>
      <c r="O5103">
        <v>-0.99084620000000001</v>
      </c>
      <c r="P5103">
        <v>-0.15628689999999901</v>
      </c>
      <c r="Q5103">
        <v>1.4617899999999999E-3</v>
      </c>
      <c r="R5103">
        <v>-0.98771070000000005</v>
      </c>
      <c r="S5103">
        <v>0.1224976</v>
      </c>
      <c r="T5103">
        <v>-4.7873850000000003E-2</v>
      </c>
      <c r="U5103">
        <v>-3.059631</v>
      </c>
      <c r="V5103">
        <v>2.177287E-2</v>
      </c>
      <c r="W5103">
        <v>1.1645829999999999E-2</v>
      </c>
      <c r="X5103">
        <v>0.99969509999999995</v>
      </c>
      <c r="Y5103">
        <v>-0.17416219999999999</v>
      </c>
      <c r="Z5103">
        <v>1.530549E-2</v>
      </c>
      <c r="AA5103">
        <v>0.98459799999999997</v>
      </c>
      <c r="AB5103">
        <v>30</v>
      </c>
      <c r="AC5103">
        <v>2.8847</v>
      </c>
      <c r="AD5103">
        <v>-1.113423151561</v>
      </c>
      <c r="AE5103">
        <v>-70.862769999999998</v>
      </c>
      <c r="AF5103">
        <v>-12.395952401360899</v>
      </c>
      <c r="AG5103">
        <v>-1.113423151561</v>
      </c>
      <c r="AH5103">
        <v>69.812001291705897</v>
      </c>
      <c r="AI5103">
        <v>90.899656119232006</v>
      </c>
      <c r="AJ5103">
        <v>100.06860824135801</v>
      </c>
      <c r="AK5103">
        <v>70.912727146855602</v>
      </c>
      <c r="AL5103">
        <v>89.332728000381806</v>
      </c>
      <c r="AM5103">
        <v>88.752323216651504</v>
      </c>
      <c r="AN5103">
        <v>0.99999998809421697</v>
      </c>
    </row>
    <row r="5104" spans="1:40" x14ac:dyDescent="0.25">
      <c r="A5104" t="str">
        <f>"20190312154939181"</f>
        <v>20190312154939181</v>
      </c>
      <c r="B5104" t="str">
        <f>"1552376979171322"</f>
        <v>1552376979171322</v>
      </c>
      <c r="C5104" t="s">
        <v>40</v>
      </c>
      <c r="D5104">
        <v>4.6930719999999999</v>
      </c>
      <c r="E5104">
        <v>0.42583690000000002</v>
      </c>
      <c r="F5104" t="s">
        <v>42</v>
      </c>
      <c r="G5104">
        <v>-419.46359999999999</v>
      </c>
      <c r="H5104" s="1">
        <v>-1.674997E-6</v>
      </c>
      <c r="I5104">
        <v>43.315429999999999</v>
      </c>
      <c r="J5104">
        <v>-421.98020000000002</v>
      </c>
      <c r="K5104">
        <v>1.113502</v>
      </c>
      <c r="L5104">
        <v>101.6901</v>
      </c>
      <c r="M5104">
        <v>-0.12964249999999999</v>
      </c>
      <c r="N5104">
        <v>0</v>
      </c>
      <c r="O5104">
        <v>-0.991506</v>
      </c>
      <c r="P5104">
        <v>-0.15157309999999999</v>
      </c>
      <c r="Q5104">
        <v>-1.5200580000000001E-4</v>
      </c>
      <c r="R5104">
        <v>-0.98844620000000005</v>
      </c>
      <c r="S5104">
        <v>0.12927249999999901</v>
      </c>
      <c r="T5104">
        <v>-5.8022740000000003E-2</v>
      </c>
      <c r="U5104">
        <v>-3.0578609999999999</v>
      </c>
      <c r="V5104">
        <v>2.2041959999999999E-2</v>
      </c>
      <c r="W5104">
        <v>1.0490050000000001E-2</v>
      </c>
      <c r="X5104">
        <v>0.99970199999999998</v>
      </c>
      <c r="Y5104">
        <v>-0.17140759999999999</v>
      </c>
      <c r="Z5104">
        <v>1.858245E-2</v>
      </c>
      <c r="AA5104">
        <v>0.98502489999999998</v>
      </c>
      <c r="AB5104">
        <v>30</v>
      </c>
      <c r="AC5104">
        <v>2.5166000000000301</v>
      </c>
      <c r="AD5104">
        <v>-1.113503674997</v>
      </c>
      <c r="AE5104">
        <v>-58.374669999999902</v>
      </c>
      <c r="AF5104">
        <v>-10.0599553712263</v>
      </c>
      <c r="AG5104">
        <v>-1.113503674997</v>
      </c>
      <c r="AH5104">
        <v>57.5348089464512</v>
      </c>
      <c r="AI5104">
        <v>91.092173748616403</v>
      </c>
      <c r="AJ5104">
        <v>99.917900537027705</v>
      </c>
      <c r="AK5104">
        <v>58.418291938484003</v>
      </c>
      <c r="AL5104">
        <v>89.398953377839305</v>
      </c>
      <c r="AM5104">
        <v>88.736916910964396</v>
      </c>
      <c r="AN5104">
        <v>0.99999998897682196</v>
      </c>
    </row>
    <row r="5105" spans="1:40" x14ac:dyDescent="0.25">
      <c r="A5105" t="str">
        <f>"20190312154939202"</f>
        <v>20190312154939202</v>
      </c>
      <c r="B5105" t="str">
        <f>"1552376979190841"</f>
        <v>1552376979190841</v>
      </c>
      <c r="C5105" t="s">
        <v>40</v>
      </c>
      <c r="D5105">
        <v>4.6998670000000002</v>
      </c>
      <c r="E5105">
        <v>0.426757</v>
      </c>
      <c r="F5105" t="s">
        <v>42</v>
      </c>
      <c r="G5105">
        <v>-419.62119999999999</v>
      </c>
      <c r="H5105" s="1">
        <v>-3.7122689999999998E-6</v>
      </c>
      <c r="I5105">
        <v>48.129550000000002</v>
      </c>
      <c r="J5105">
        <v>-422.01299999999998</v>
      </c>
      <c r="K5105">
        <v>1.1135809999999999</v>
      </c>
      <c r="L5105">
        <v>101.4006</v>
      </c>
      <c r="M5105">
        <v>-0.1248774</v>
      </c>
      <c r="N5105">
        <v>0</v>
      </c>
      <c r="O5105">
        <v>-0.99211269999999996</v>
      </c>
      <c r="P5105">
        <v>-0.14659759999999999</v>
      </c>
      <c r="Q5105">
        <v>-7.0145590000000001E-4</v>
      </c>
      <c r="R5105">
        <v>-0.98919590000000002</v>
      </c>
      <c r="S5105">
        <v>0.13458249999999999</v>
      </c>
      <c r="T5105">
        <v>-6.3526869999999999E-2</v>
      </c>
      <c r="U5105">
        <v>-3.0556950000000001</v>
      </c>
      <c r="V5105">
        <v>2.1815060000000001E-2</v>
      </c>
      <c r="W5105">
        <v>1.036894E-2</v>
      </c>
      <c r="X5105">
        <v>0.99970820000000005</v>
      </c>
      <c r="Y5105">
        <v>-0.16841039999999999</v>
      </c>
      <c r="Z5105">
        <v>2.0382569999999999E-2</v>
      </c>
      <c r="AA5105">
        <v>0.9855062</v>
      </c>
      <c r="AB5105">
        <v>30</v>
      </c>
      <c r="AC5105">
        <v>2.3918000000000399</v>
      </c>
      <c r="AD5105">
        <v>-1.1135847122689999</v>
      </c>
      <c r="AE5105">
        <v>-53.271050000000002</v>
      </c>
      <c r="AF5105">
        <v>-9.0218835556389596</v>
      </c>
      <c r="AG5105">
        <v>-1.1135847122689999</v>
      </c>
      <c r="AH5105">
        <v>52.532395453495802</v>
      </c>
      <c r="AI5105">
        <v>91.196860436753099</v>
      </c>
      <c r="AJ5105">
        <v>99.744879958728802</v>
      </c>
      <c r="AK5105">
        <v>53.313103697734299</v>
      </c>
      <c r="AL5105">
        <v>89.405892823129193</v>
      </c>
      <c r="AM5105">
        <v>88.749922694931996</v>
      </c>
      <c r="AN5105">
        <v>0.99999994845338203</v>
      </c>
    </row>
    <row r="5106" spans="1:40" x14ac:dyDescent="0.25">
      <c r="A5106" t="str">
        <f>"20190312154939225"</f>
        <v>20190312154939225</v>
      </c>
      <c r="B5106" t="str">
        <f>"1552376979221098"</f>
        <v>1552376979221098</v>
      </c>
      <c r="C5106" t="s">
        <v>40</v>
      </c>
      <c r="D5106">
        <v>4.7204350000000002</v>
      </c>
      <c r="E5106">
        <v>0.42734709999999998</v>
      </c>
      <c r="F5106" t="s">
        <v>42</v>
      </c>
      <c r="G5106">
        <v>-419.6456</v>
      </c>
      <c r="H5106" s="1">
        <v>-5.1802659999999999E-7</v>
      </c>
      <c r="I5106">
        <v>50.693770000000001</v>
      </c>
      <c r="J5106">
        <v>-422.04480000000001</v>
      </c>
      <c r="K5106">
        <v>1.1136469999999901</v>
      </c>
      <c r="L5106">
        <v>101.1079</v>
      </c>
      <c r="M5106">
        <v>-0.1200586</v>
      </c>
      <c r="N5106">
        <v>0</v>
      </c>
      <c r="O5106">
        <v>-0.992703</v>
      </c>
      <c r="P5106">
        <v>-0.14165320000000001</v>
      </c>
      <c r="Q5106">
        <v>-4.3802849999999998E-4</v>
      </c>
      <c r="R5106">
        <v>-0.98991640000000003</v>
      </c>
      <c r="S5106">
        <v>0.14257810000000001</v>
      </c>
      <c r="T5106">
        <v>-6.7066429999999996E-2</v>
      </c>
      <c r="U5106">
        <v>-3.0538639999999999</v>
      </c>
      <c r="V5106">
        <v>2.1666810000000002E-2</v>
      </c>
      <c r="W5106">
        <v>1.1039810000000001E-2</v>
      </c>
      <c r="X5106">
        <v>0.99970429999999999</v>
      </c>
      <c r="Y5106">
        <v>-0.16622410000000001</v>
      </c>
      <c r="Z5106">
        <v>2.1552970000000001E-2</v>
      </c>
      <c r="AA5106">
        <v>0.98585239999999996</v>
      </c>
      <c r="AB5106">
        <v>30</v>
      </c>
      <c r="AC5106">
        <v>2.3992</v>
      </c>
      <c r="AD5106">
        <v>-1.1136475180265999</v>
      </c>
      <c r="AE5106">
        <v>-50.41413</v>
      </c>
      <c r="AF5106">
        <v>-8.4307725671101394</v>
      </c>
      <c r="AG5106">
        <v>-1.1136475180265999</v>
      </c>
      <c r="AH5106">
        <v>49.737150369717803</v>
      </c>
      <c r="AI5106">
        <v>91.264642370466305</v>
      </c>
      <c r="AJ5106">
        <v>99.620564380488503</v>
      </c>
      <c r="AK5106">
        <v>50.458916593330301</v>
      </c>
      <c r="AL5106">
        <v>89.367452635960007</v>
      </c>
      <c r="AM5106">
        <v>88.758410414926104</v>
      </c>
      <c r="AN5106">
        <v>1.00000000774945</v>
      </c>
    </row>
    <row r="5107" spans="1:40" x14ac:dyDescent="0.25">
      <c r="A5107" t="str">
        <f>"20190312154939248"</f>
        <v>20190312154939248</v>
      </c>
      <c r="B5107" t="str">
        <f>"1552376979240618"</f>
        <v>1552376979240618</v>
      </c>
      <c r="C5107" t="s">
        <v>40</v>
      </c>
      <c r="D5107">
        <v>4.734381</v>
      </c>
      <c r="E5107">
        <v>0.42801359999999999</v>
      </c>
      <c r="F5107" t="s">
        <v>42</v>
      </c>
      <c r="G5107">
        <v>-419.61180000000002</v>
      </c>
      <c r="H5107" s="1">
        <v>-1.3341610000000001E-6</v>
      </c>
      <c r="I5107">
        <v>52.582189999999997</v>
      </c>
      <c r="J5107">
        <v>-422.07580000000002</v>
      </c>
      <c r="K5107">
        <v>1.1136919999999999</v>
      </c>
      <c r="L5107">
        <v>100.8062</v>
      </c>
      <c r="M5107">
        <v>-0.1150934</v>
      </c>
      <c r="N5107">
        <v>0</v>
      </c>
      <c r="O5107">
        <v>-0.99328660000000002</v>
      </c>
      <c r="P5107">
        <v>-0.1367777</v>
      </c>
      <c r="Q5107">
        <v>-1.015831E-3</v>
      </c>
      <c r="R5107">
        <v>-0.99060150000000002</v>
      </c>
      <c r="S5107">
        <v>0.15304570000000001</v>
      </c>
      <c r="T5107">
        <v>-7.0052149999999994E-2</v>
      </c>
      <c r="U5107">
        <v>-3.0524290000000001</v>
      </c>
      <c r="V5107">
        <v>2.1744869999999999E-2</v>
      </c>
      <c r="W5107">
        <v>1.084766E-2</v>
      </c>
      <c r="X5107">
        <v>0.9997047</v>
      </c>
      <c r="Y5107">
        <v>-0.164687</v>
      </c>
      <c r="Z5107">
        <v>2.2543870000000001E-2</v>
      </c>
      <c r="AA5107">
        <v>0.98608819999999997</v>
      </c>
      <c r="AB5107">
        <v>30</v>
      </c>
      <c r="AC5107">
        <v>2.4639999999999902</v>
      </c>
      <c r="AD5107">
        <v>-1.11369333416099</v>
      </c>
      <c r="AE5107">
        <v>-48.22401</v>
      </c>
      <c r="AF5107">
        <v>-7.9940118851180602</v>
      </c>
      <c r="AG5107">
        <v>-1.11369333416099</v>
      </c>
      <c r="AH5107">
        <v>47.594574929633502</v>
      </c>
      <c r="AI5107">
        <v>91.321942780862898</v>
      </c>
      <c r="AJ5107">
        <v>99.534438527026197</v>
      </c>
      <c r="AK5107">
        <v>48.274093482886499</v>
      </c>
      <c r="AL5107">
        <v>89.378462673910803</v>
      </c>
      <c r="AM5107">
        <v>88.753939189952106</v>
      </c>
      <c r="AN5107">
        <v>0.99999999915044102</v>
      </c>
    </row>
    <row r="5108" spans="1:40" x14ac:dyDescent="0.25">
      <c r="A5108" t="str">
        <f>"20190312154939269"</f>
        <v>20190312154939269</v>
      </c>
      <c r="B5108" t="str">
        <f>"1552376979261113"</f>
        <v>1552376979261113</v>
      </c>
      <c r="C5108" t="s">
        <v>40</v>
      </c>
      <c r="D5108">
        <v>4.7128800000000002</v>
      </c>
      <c r="E5108">
        <v>0.42851030000000001</v>
      </c>
      <c r="F5108" t="s">
        <v>42</v>
      </c>
      <c r="G5108">
        <v>-419.56229999999999</v>
      </c>
      <c r="H5108" s="1">
        <v>-1.7953969999999999E-6</v>
      </c>
      <c r="I5108">
        <v>53.63691</v>
      </c>
      <c r="J5108">
        <v>-422.10419999999999</v>
      </c>
      <c r="K5108">
        <v>1.113712</v>
      </c>
      <c r="L5108">
        <v>100.51600000000001</v>
      </c>
      <c r="M5108">
        <v>-0.1103152</v>
      </c>
      <c r="N5108">
        <v>0</v>
      </c>
      <c r="O5108">
        <v>-0.99382429999999999</v>
      </c>
      <c r="P5108">
        <v>-0.13219249999999999</v>
      </c>
      <c r="Q5108">
        <v>-2.3968470000000001E-3</v>
      </c>
      <c r="R5108">
        <v>-0.99122120000000002</v>
      </c>
      <c r="S5108">
        <v>0.16256709999999999</v>
      </c>
      <c r="T5108">
        <v>-7.2032209999999999E-2</v>
      </c>
      <c r="U5108">
        <v>-3.0508419999999998</v>
      </c>
      <c r="V5108">
        <v>2.1936790000000001E-2</v>
      </c>
      <c r="W5108">
        <v>9.8053499999999991E-3</v>
      </c>
      <c r="X5108">
        <v>0.99971129999999997</v>
      </c>
      <c r="Y5108">
        <v>-0.16303790000000001</v>
      </c>
      <c r="Z5108">
        <v>2.3213330000000001E-2</v>
      </c>
      <c r="AA5108">
        <v>0.98634670000000002</v>
      </c>
      <c r="AB5108">
        <v>30</v>
      </c>
      <c r="AC5108">
        <v>2.5418999999999898</v>
      </c>
      <c r="AD5108">
        <v>-1.113713795397</v>
      </c>
      <c r="AE5108">
        <v>-46.879089999999998</v>
      </c>
      <c r="AF5108">
        <v>-7.6939020399371101</v>
      </c>
      <c r="AG5108">
        <v>-1.113713795397</v>
      </c>
      <c r="AH5108">
        <v>46.286451385464197</v>
      </c>
      <c r="AI5108">
        <v>91.359697684046196</v>
      </c>
      <c r="AJ5108">
        <v>99.437622446770405</v>
      </c>
      <c r="AK5108">
        <v>46.934763969547603</v>
      </c>
      <c r="AL5108">
        <v>89.438185839837004</v>
      </c>
      <c r="AM5108">
        <v>88.742953279714598</v>
      </c>
      <c r="AN5108">
        <v>1.0000000254959001</v>
      </c>
    </row>
    <row r="5109" spans="1:40" x14ac:dyDescent="0.25">
      <c r="A5109" t="str">
        <f>"20190312154939292"</f>
        <v>20190312154939292</v>
      </c>
      <c r="B5109" t="str">
        <f>"1552376979281609"</f>
        <v>1552376979281609</v>
      </c>
      <c r="C5109" t="s">
        <v>40</v>
      </c>
      <c r="D5109">
        <v>4.7120790000000001</v>
      </c>
      <c r="E5109">
        <v>0.42915700000000001</v>
      </c>
      <c r="F5109" t="s">
        <v>42</v>
      </c>
      <c r="G5109">
        <v>-419.61070000000001</v>
      </c>
      <c r="H5109" s="1">
        <v>-3.0563400000000001E-6</v>
      </c>
      <c r="I5109">
        <v>56.596220000000002</v>
      </c>
      <c r="J5109">
        <v>-422.13189999999997</v>
      </c>
      <c r="K5109">
        <v>1.113721</v>
      </c>
      <c r="L5109">
        <v>100.21769999999999</v>
      </c>
      <c r="M5109">
        <v>-0.1053959</v>
      </c>
      <c r="N5109">
        <v>0</v>
      </c>
      <c r="O5109">
        <v>-0.99435419999999997</v>
      </c>
      <c r="P5109">
        <v>-0.1276099</v>
      </c>
      <c r="Q5109">
        <v>-2.7591769999999998E-3</v>
      </c>
      <c r="R5109">
        <v>-0.99182060000000005</v>
      </c>
      <c r="S5109">
        <v>0.17312620000000001</v>
      </c>
      <c r="T5109">
        <v>-7.7328320000000006E-2</v>
      </c>
      <c r="U5109">
        <v>-3.0494690000000002</v>
      </c>
      <c r="V5109">
        <v>2.2263970000000001E-2</v>
      </c>
      <c r="W5109">
        <v>9.7567120000000007E-3</v>
      </c>
      <c r="X5109">
        <v>0.9997045</v>
      </c>
      <c r="Y5109">
        <v>-0.161582</v>
      </c>
      <c r="Z5109">
        <v>2.495116E-2</v>
      </c>
      <c r="AA5109">
        <v>0.98654379999999997</v>
      </c>
      <c r="AB5109">
        <v>30</v>
      </c>
      <c r="AC5109">
        <v>2.5211999999999599</v>
      </c>
      <c r="AD5109">
        <v>-1.1137240563399999</v>
      </c>
      <c r="AE5109">
        <v>-43.621479999999998</v>
      </c>
      <c r="AF5109">
        <v>-7.1004158599254801</v>
      </c>
      <c r="AG5109">
        <v>-1.1137240563399999</v>
      </c>
      <c r="AH5109">
        <v>43.084750369427297</v>
      </c>
      <c r="AI5109">
        <v>91.461044952825105</v>
      </c>
      <c r="AJ5109">
        <v>99.358292727347703</v>
      </c>
      <c r="AK5109">
        <v>43.680109902029997</v>
      </c>
      <c r="AL5109">
        <v>89.440972701196003</v>
      </c>
      <c r="AM5109">
        <v>88.724202317659504</v>
      </c>
      <c r="AN5109">
        <v>0.99999998255472999</v>
      </c>
    </row>
    <row r="5110" spans="1:40" x14ac:dyDescent="0.25">
      <c r="A5110" t="str">
        <f>"20190312154939315"</f>
        <v>20190312154939315</v>
      </c>
      <c r="B5110" t="str">
        <f>"1552376979310889"</f>
        <v>1552376979310889</v>
      </c>
      <c r="C5110" t="s">
        <v>40</v>
      </c>
      <c r="D5110">
        <v>4.7157030000000004</v>
      </c>
      <c r="E5110">
        <v>0.42944329999999997</v>
      </c>
      <c r="F5110" t="s">
        <v>42</v>
      </c>
      <c r="G5110">
        <v>-419.58510000000001</v>
      </c>
      <c r="H5110" s="1">
        <v>-3.5176049999999999E-6</v>
      </c>
      <c r="I5110">
        <v>57.66084</v>
      </c>
      <c r="J5110">
        <v>-422.15789999999998</v>
      </c>
      <c r="K5110">
        <v>1.113723</v>
      </c>
      <c r="L5110">
        <v>99.921329999999998</v>
      </c>
      <c r="M5110">
        <v>-0.1005012</v>
      </c>
      <c r="N5110">
        <v>0</v>
      </c>
      <c r="O5110">
        <v>-0.9948574</v>
      </c>
      <c r="P5110">
        <v>-0.1237543</v>
      </c>
      <c r="Q5110">
        <v>-2.2587620000000001E-3</v>
      </c>
      <c r="R5110">
        <v>-0.99231029999999998</v>
      </c>
      <c r="S5110">
        <v>0.1824036</v>
      </c>
      <c r="T5110">
        <v>-7.9767110000000002E-2</v>
      </c>
      <c r="U5110">
        <v>-3.0480040000000002</v>
      </c>
      <c r="V5110">
        <v>2.329094E-2</v>
      </c>
      <c r="W5110">
        <v>1.054155E-2</v>
      </c>
      <c r="X5110">
        <v>0.99967309999999998</v>
      </c>
      <c r="Y5110">
        <v>-0.15974369999999999</v>
      </c>
      <c r="Z5110">
        <v>2.57714E-2</v>
      </c>
      <c r="AA5110">
        <v>0.98682210000000004</v>
      </c>
      <c r="AB5110">
        <v>30</v>
      </c>
      <c r="AC5110">
        <v>2.5727999999999702</v>
      </c>
      <c r="AD5110">
        <v>-1.113726517605</v>
      </c>
      <c r="AE5110">
        <v>-42.260489999999997</v>
      </c>
      <c r="AF5110">
        <v>-6.8026306178675897</v>
      </c>
      <c r="AG5110">
        <v>-1.113726517605</v>
      </c>
      <c r="AH5110">
        <v>41.759002988192201</v>
      </c>
      <c r="AI5110">
        <v>91.5078684887512</v>
      </c>
      <c r="AJ5110">
        <v>99.252332521382499</v>
      </c>
      <c r="AK5110">
        <v>42.324112520489003</v>
      </c>
      <c r="AL5110">
        <v>89.396002458162101</v>
      </c>
      <c r="AM5110">
        <v>88.665332516373297</v>
      </c>
      <c r="AN5110">
        <v>0.99999994951304605</v>
      </c>
    </row>
    <row r="5111" spans="1:40" x14ac:dyDescent="0.25">
      <c r="A5111" t="str">
        <f>"20190312154939337"</f>
        <v>20190312154939337</v>
      </c>
      <c r="B5111" t="str">
        <f>"1552376979331385"</f>
        <v>1552376979331385</v>
      </c>
      <c r="C5111" t="s">
        <v>40</v>
      </c>
      <c r="D5111">
        <v>4.7190820000000002</v>
      </c>
      <c r="E5111">
        <v>0.43664520000000001</v>
      </c>
      <c r="F5111" t="s">
        <v>42</v>
      </c>
      <c r="G5111">
        <v>-419.35550000000001</v>
      </c>
      <c r="H5111" s="1">
        <v>-2.5862649999999998E-6</v>
      </c>
      <c r="I5111">
        <v>55.3949199999999</v>
      </c>
      <c r="J5111">
        <v>-422.18220000000002</v>
      </c>
      <c r="K5111">
        <v>1.11372</v>
      </c>
      <c r="L5111">
        <v>99.62903</v>
      </c>
      <c r="M5111">
        <v>-9.5670389999999994E-2</v>
      </c>
      <c r="N5111">
        <v>0</v>
      </c>
      <c r="O5111">
        <v>-0.99533059999999995</v>
      </c>
      <c r="P5111">
        <v>-0.1197472</v>
      </c>
      <c r="Q5111">
        <v>-1.615916E-3</v>
      </c>
      <c r="R5111">
        <v>-0.99280310000000005</v>
      </c>
      <c r="S5111">
        <v>0.19177250000000001</v>
      </c>
      <c r="T5111">
        <v>-7.6213600000000006E-2</v>
      </c>
      <c r="U5111">
        <v>-3.0469970000000002</v>
      </c>
      <c r="V5111">
        <v>2.409977E-2</v>
      </c>
      <c r="W5111">
        <v>1.1431749999999999E-2</v>
      </c>
      <c r="X5111">
        <v>0.99964419999999998</v>
      </c>
      <c r="Y5111">
        <v>-0.15799569999999999</v>
      </c>
      <c r="Z5111">
        <v>2.465123E-2</v>
      </c>
      <c r="AA5111">
        <v>0.98713209999999996</v>
      </c>
      <c r="AB5111">
        <v>30</v>
      </c>
      <c r="AC5111">
        <v>2.82670000000001</v>
      </c>
      <c r="AD5111">
        <v>-1.113722586265</v>
      </c>
      <c r="AE5111">
        <v>-44.234110000000001</v>
      </c>
      <c r="AF5111">
        <v>-7.04152830296941</v>
      </c>
      <c r="AG5111">
        <v>-1.113722586265</v>
      </c>
      <c r="AH5111">
        <v>43.733113208424498</v>
      </c>
      <c r="AI5111">
        <v>91.440257161017996</v>
      </c>
      <c r="AJ5111">
        <v>99.146768585044995</v>
      </c>
      <c r="AK5111">
        <v>44.310367745501097</v>
      </c>
      <c r="AL5111">
        <v>89.344994708883206</v>
      </c>
      <c r="AM5111">
        <v>88.618960940450606</v>
      </c>
      <c r="AN5111">
        <v>1.0000000052078699</v>
      </c>
    </row>
    <row r="5112" spans="1:40" x14ac:dyDescent="0.25">
      <c r="A5112" t="str">
        <f>"20190312154939358"</f>
        <v>20190312154939358</v>
      </c>
      <c r="B5112" t="str">
        <f>"1552376979350905"</f>
        <v>1552376979350905</v>
      </c>
      <c r="C5112" t="s">
        <v>40</v>
      </c>
      <c r="D5112">
        <v>4.7173720000000001</v>
      </c>
      <c r="E5112">
        <v>0.43751079999999998</v>
      </c>
      <c r="F5112" t="s">
        <v>42</v>
      </c>
      <c r="G5112">
        <v>-420.31319999999999</v>
      </c>
      <c r="H5112" s="1">
        <v>-7.9214069999999899E-7</v>
      </c>
      <c r="I5112">
        <v>61.241329999999998</v>
      </c>
      <c r="J5112">
        <v>-422.20420000000001</v>
      </c>
      <c r="K5112">
        <v>1.113718</v>
      </c>
      <c r="L5112">
        <v>99.348110000000005</v>
      </c>
      <c r="M5112">
        <v>-9.1028529999999996E-2</v>
      </c>
      <c r="N5112">
        <v>0</v>
      </c>
      <c r="O5112">
        <v>-0.99576310000000001</v>
      </c>
      <c r="P5112">
        <v>-0.11611150000000001</v>
      </c>
      <c r="Q5112">
        <v>-1.9385439999999999E-3</v>
      </c>
      <c r="R5112">
        <v>-0.99323459999999997</v>
      </c>
      <c r="S5112">
        <v>0.14797969999999999</v>
      </c>
      <c r="T5112">
        <v>-8.8181259999999997E-2</v>
      </c>
      <c r="U5112">
        <v>-3.0394290000000002</v>
      </c>
      <c r="V5112">
        <v>2.5102159999999998E-2</v>
      </c>
      <c r="W5112">
        <v>1.132113E-2</v>
      </c>
      <c r="X5112">
        <v>0.99962079999999998</v>
      </c>
      <c r="Y5112">
        <v>-0.1393355</v>
      </c>
      <c r="Z5112">
        <v>2.8661079999999999E-2</v>
      </c>
      <c r="AA5112">
        <v>0.9898304</v>
      </c>
      <c r="AB5112">
        <v>30</v>
      </c>
      <c r="AC5112">
        <v>1.89100000000002</v>
      </c>
      <c r="AD5112">
        <v>-1.1137187921406999</v>
      </c>
      <c r="AE5112">
        <v>-38.106779999999901</v>
      </c>
      <c r="AF5112">
        <v>-5.3476895873722796</v>
      </c>
      <c r="AG5112">
        <v>-1.1137187921406999</v>
      </c>
      <c r="AH5112">
        <v>37.7442340897178</v>
      </c>
      <c r="AI5112">
        <v>91.673432641481199</v>
      </c>
      <c r="AJ5112">
        <v>98.064123803197205</v>
      </c>
      <c r="AK5112">
        <v>38.137453513446303</v>
      </c>
      <c r="AL5112">
        <v>89.351333184590999</v>
      </c>
      <c r="AM5112">
        <v>88.561508903239201</v>
      </c>
      <c r="AN5112">
        <v>1.00000001510689</v>
      </c>
    </row>
    <row r="5113" spans="1:40" x14ac:dyDescent="0.25">
      <c r="A5113" t="str">
        <f>"20190312154939382"</f>
        <v>20190312154939382</v>
      </c>
      <c r="B5113" t="str">
        <f>"1552376979371402"</f>
        <v>1552376979371402</v>
      </c>
      <c r="C5113" t="s">
        <v>40</v>
      </c>
      <c r="D5113">
        <v>4.7095039999999999</v>
      </c>
      <c r="E5113">
        <v>0.43734810000000002</v>
      </c>
      <c r="F5113" t="s">
        <v>42</v>
      </c>
      <c r="G5113">
        <v>-420.3655</v>
      </c>
      <c r="H5113" s="1">
        <v>-1.414257E-6</v>
      </c>
      <c r="I5113">
        <v>62.6590699999999</v>
      </c>
      <c r="J5113">
        <v>-422.22579999999999</v>
      </c>
      <c r="K5113">
        <v>1.1137079999999999</v>
      </c>
      <c r="L5113">
        <v>99.054349999999999</v>
      </c>
      <c r="M5113">
        <v>-8.6175390000000004E-2</v>
      </c>
      <c r="N5113">
        <v>0</v>
      </c>
      <c r="O5113">
        <v>-0.99619250000000004</v>
      </c>
      <c r="P5113">
        <v>-0.1121326</v>
      </c>
      <c r="Q5113">
        <v>-3.0175900000000001E-3</v>
      </c>
      <c r="R5113">
        <v>-0.99368880000000004</v>
      </c>
      <c r="S5113">
        <v>0.1522522</v>
      </c>
      <c r="T5113">
        <v>-9.2222090000000007E-2</v>
      </c>
      <c r="U5113">
        <v>-3.0380549999999999</v>
      </c>
      <c r="V5113">
        <v>2.597849E-2</v>
      </c>
      <c r="W5113">
        <v>1.043617E-2</v>
      </c>
      <c r="X5113">
        <v>0.99960800000000005</v>
      </c>
      <c r="Y5113">
        <v>-0.13591809999999999</v>
      </c>
      <c r="Z5113">
        <v>3.0012609999999999E-2</v>
      </c>
      <c r="AA5113">
        <v>0.99026539999999996</v>
      </c>
      <c r="AB5113">
        <v>30</v>
      </c>
      <c r="AC5113">
        <v>1.8602999999999901</v>
      </c>
      <c r="AD5113">
        <v>-1.1137094142570001</v>
      </c>
      <c r="AE5113">
        <v>-36.39528</v>
      </c>
      <c r="AF5113">
        <v>-4.9853732129983896</v>
      </c>
      <c r="AG5113">
        <v>-1.1137094142570001</v>
      </c>
      <c r="AH5113">
        <v>36.065855735029203</v>
      </c>
      <c r="AI5113">
        <v>91.752075806174403</v>
      </c>
      <c r="AJ5113">
        <v>97.870106652441905</v>
      </c>
      <c r="AK5113">
        <v>36.425818379718301</v>
      </c>
      <c r="AL5113">
        <v>89.402040634888493</v>
      </c>
      <c r="AM5113">
        <v>88.511293563329303</v>
      </c>
      <c r="AN5113">
        <v>0.99999997462547396</v>
      </c>
    </row>
    <row r="5114" spans="1:40" x14ac:dyDescent="0.25">
      <c r="A5114" t="str">
        <f>"20190312154939403"</f>
        <v>20190312154939403</v>
      </c>
      <c r="B5114" t="str">
        <f>"1552376979400682"</f>
        <v>1552376979400682</v>
      </c>
      <c r="C5114" t="s">
        <v>40</v>
      </c>
      <c r="D5114">
        <v>4.8513080000000004</v>
      </c>
      <c r="E5114">
        <v>0.41093360000000001</v>
      </c>
      <c r="F5114" t="s">
        <v>42</v>
      </c>
      <c r="G5114">
        <v>-420.24239999999998</v>
      </c>
      <c r="H5114" s="1">
        <v>-1.3669129999999999E-6</v>
      </c>
      <c r="I5114">
        <v>62.625079999999997</v>
      </c>
      <c r="J5114">
        <v>-422.24579999999997</v>
      </c>
      <c r="K5114">
        <v>1.1137010000000001</v>
      </c>
      <c r="L5114">
        <v>98.763339999999999</v>
      </c>
      <c r="M5114">
        <v>-8.136852E-2</v>
      </c>
      <c r="N5114">
        <v>0</v>
      </c>
      <c r="O5114">
        <v>-0.99659439999999999</v>
      </c>
      <c r="P5114">
        <v>-0.10817889999999999</v>
      </c>
      <c r="Q5114">
        <v>-4.3789950000000001E-3</v>
      </c>
      <c r="R5114">
        <v>-0.9941217</v>
      </c>
      <c r="S5114">
        <v>0.16537479999999999</v>
      </c>
      <c r="T5114">
        <v>-9.2860219999999993E-2</v>
      </c>
      <c r="U5114">
        <v>-3.037445</v>
      </c>
      <c r="V5114">
        <v>2.6836459999999999E-2</v>
      </c>
      <c r="W5114">
        <v>9.2427050000000004E-3</v>
      </c>
      <c r="X5114">
        <v>0.99959710000000002</v>
      </c>
      <c r="Y5114">
        <v>-0.13541489999999901</v>
      </c>
      <c r="Z5114">
        <v>3.0242310000000001E-2</v>
      </c>
      <c r="AA5114">
        <v>0.99032739999999997</v>
      </c>
      <c r="AB5114">
        <v>30</v>
      </c>
      <c r="AC5114">
        <v>2.0033999999999899</v>
      </c>
      <c r="AD5114">
        <v>-1.113702366913</v>
      </c>
      <c r="AE5114">
        <v>-36.138260000000002</v>
      </c>
      <c r="AF5114">
        <v>-4.9328647285129099</v>
      </c>
      <c r="AG5114">
        <v>-1.113702366913</v>
      </c>
      <c r="AH5114">
        <v>35.821462082633801</v>
      </c>
      <c r="AI5114">
        <v>91.7641355225675</v>
      </c>
      <c r="AJ5114">
        <v>97.840714219532202</v>
      </c>
      <c r="AK5114">
        <v>36.176658678344602</v>
      </c>
      <c r="AL5114">
        <v>89.470424468135306</v>
      </c>
      <c r="AM5114">
        <v>88.462133764623402</v>
      </c>
      <c r="AN5114">
        <v>0.99999999275472895</v>
      </c>
    </row>
    <row r="5115" spans="1:40" x14ac:dyDescent="0.25">
      <c r="A5115" t="str">
        <f>"20190312154939427"</f>
        <v>20190312154939427</v>
      </c>
      <c r="B5115" t="str">
        <f>"1552376979421177"</f>
        <v>1552376979421177</v>
      </c>
      <c r="C5115" t="s">
        <v>40</v>
      </c>
      <c r="D5115">
        <v>4.8170630000000001</v>
      </c>
      <c r="E5115">
        <v>0.4057905</v>
      </c>
      <c r="F5115" t="s">
        <v>42</v>
      </c>
      <c r="G5115">
        <v>-418.88510000000002</v>
      </c>
      <c r="H5115" s="1">
        <v>-1.350592E-6</v>
      </c>
      <c r="I5115">
        <v>72.320049999999995</v>
      </c>
      <c r="J5115">
        <v>-422.26479999999998</v>
      </c>
      <c r="K5115">
        <v>1.113694</v>
      </c>
      <c r="L5115">
        <v>98.464870000000005</v>
      </c>
      <c r="M5115">
        <v>-7.644186E-2</v>
      </c>
      <c r="N5115">
        <v>0</v>
      </c>
      <c r="O5115">
        <v>-0.99698249999999999</v>
      </c>
      <c r="P5115">
        <v>-0.104482199999999</v>
      </c>
      <c r="Q5115">
        <v>-3.5324060000000001E-3</v>
      </c>
      <c r="R5115">
        <v>-0.99452079999999998</v>
      </c>
      <c r="S5115">
        <v>0.38882450000000002</v>
      </c>
      <c r="T5115">
        <v>-0.12885489999999999</v>
      </c>
      <c r="U5115">
        <v>-3.0594790000000001</v>
      </c>
      <c r="V5115">
        <v>2.8051280000000001E-2</v>
      </c>
      <c r="W5115">
        <v>1.0242589999999999E-2</v>
      </c>
      <c r="X5115">
        <v>0.99955400000000005</v>
      </c>
      <c r="Y5115">
        <v>-0.2014358</v>
      </c>
      <c r="Z5115">
        <v>4.1297189999999998E-2</v>
      </c>
      <c r="AA5115">
        <v>0.97863080000000002</v>
      </c>
      <c r="AB5115">
        <v>30</v>
      </c>
      <c r="AC5115">
        <v>3.37969999999995</v>
      </c>
      <c r="AD5115">
        <v>-1.113695350592</v>
      </c>
      <c r="AE5115">
        <v>-26.144819999999999</v>
      </c>
      <c r="AF5115">
        <v>-5.3589862649240603</v>
      </c>
      <c r="AG5115">
        <v>-1.113695350592</v>
      </c>
      <c r="AH5115">
        <v>25.763952365041298</v>
      </c>
      <c r="AI5115">
        <v>92.423371938598294</v>
      </c>
      <c r="AJ5115">
        <v>101.750162999035</v>
      </c>
      <c r="AK5115">
        <v>26.338950104164901</v>
      </c>
      <c r="AL5115">
        <v>89.413132555239599</v>
      </c>
      <c r="AM5115">
        <v>88.392484831336603</v>
      </c>
      <c r="AN5115">
        <v>0.999999991937773</v>
      </c>
    </row>
    <row r="5116" spans="1:40" x14ac:dyDescent="0.25">
      <c r="A5116" t="str">
        <f>"20190312154939449"</f>
        <v>20190312154939449</v>
      </c>
      <c r="B5116" t="str">
        <f>"1552376979440698"</f>
        <v>1552376979440698</v>
      </c>
      <c r="C5116" t="s">
        <v>40</v>
      </c>
      <c r="D5116">
        <v>4.7768069999999998</v>
      </c>
      <c r="E5116">
        <v>0.40390009999999998</v>
      </c>
      <c r="F5116" t="s">
        <v>42</v>
      </c>
      <c r="G5116">
        <v>-418.6662</v>
      </c>
      <c r="H5116" s="1">
        <v>-1.8963970000000001E-6</v>
      </c>
      <c r="I5116">
        <v>73.501819999999995</v>
      </c>
      <c r="J5116">
        <v>-422.28190000000001</v>
      </c>
      <c r="K5116">
        <v>1.113685</v>
      </c>
      <c r="L5116">
        <v>98.172030000000007</v>
      </c>
      <c r="M5116">
        <v>-7.1619859999999994E-2</v>
      </c>
      <c r="N5116">
        <v>0</v>
      </c>
      <c r="O5116">
        <v>-0.99733899999999998</v>
      </c>
      <c r="P5116">
        <v>-0.1006919</v>
      </c>
      <c r="Q5116">
        <v>-3.073101E-3</v>
      </c>
      <c r="R5116">
        <v>-0.9949133</v>
      </c>
      <c r="S5116">
        <v>0.44146730000000001</v>
      </c>
      <c r="T5116">
        <v>-0.136627</v>
      </c>
      <c r="U5116">
        <v>-3.0624389999999999</v>
      </c>
      <c r="V5116">
        <v>2.907092E-2</v>
      </c>
      <c r="W5116">
        <v>1.082954E-2</v>
      </c>
      <c r="X5116">
        <v>0.99951869999999998</v>
      </c>
      <c r="Y5116">
        <v>-0.2130706</v>
      </c>
      <c r="Z5116">
        <v>4.3660440000000002E-2</v>
      </c>
      <c r="AA5116">
        <v>0.97606079999999995</v>
      </c>
      <c r="AB5116">
        <v>29</v>
      </c>
      <c r="AC5116">
        <v>3.6156999999999999</v>
      </c>
      <c r="AD5116">
        <v>-1.1136868963969999</v>
      </c>
      <c r="AE5116">
        <v>-24.670210000000001</v>
      </c>
      <c r="AF5116">
        <v>-5.3627551740108803</v>
      </c>
      <c r="AG5116">
        <v>-1.1136868963969999</v>
      </c>
      <c r="AH5116">
        <v>24.299387059995901</v>
      </c>
      <c r="AI5116">
        <v>92.562558378302697</v>
      </c>
      <c r="AJ5116">
        <v>102.445399587441</v>
      </c>
      <c r="AK5116">
        <v>24.909027541256599</v>
      </c>
      <c r="AL5116">
        <v>89.379500943940499</v>
      </c>
      <c r="AM5116">
        <v>88.334026579471995</v>
      </c>
      <c r="AN5116">
        <v>1.0000000144879699</v>
      </c>
    </row>
    <row r="5117" spans="1:40" x14ac:dyDescent="0.25">
      <c r="A5117" t="str">
        <f>"20190312154939471"</f>
        <v>20190312154939471</v>
      </c>
      <c r="B5117" t="str">
        <f>"1552376979461194"</f>
        <v>1552376979461194</v>
      </c>
      <c r="C5117" t="s">
        <v>40</v>
      </c>
      <c r="D5117">
        <v>4.7174120000000004</v>
      </c>
      <c r="E5117">
        <v>0.40303460000000002</v>
      </c>
      <c r="F5117" t="s">
        <v>42</v>
      </c>
      <c r="G5117">
        <v>-418.60930000000002</v>
      </c>
      <c r="H5117" s="1">
        <v>-2.1902499999999999E-6</v>
      </c>
      <c r="I5117">
        <v>74.163250000000005</v>
      </c>
      <c r="J5117">
        <v>-422.29759999999999</v>
      </c>
      <c r="K5117">
        <v>1.1136680000000001</v>
      </c>
      <c r="L5117">
        <v>97.880679999999998</v>
      </c>
      <c r="M5117">
        <v>-6.6838399999999895E-2</v>
      </c>
      <c r="N5117">
        <v>0</v>
      </c>
      <c r="O5117">
        <v>-0.99766920000000003</v>
      </c>
      <c r="P5117">
        <v>-9.6004999999999993E-2</v>
      </c>
      <c r="Q5117">
        <v>-4.2268409999999899E-3</v>
      </c>
      <c r="R5117">
        <v>-0.99537189999999998</v>
      </c>
      <c r="S5117">
        <v>0.46844479999999999</v>
      </c>
      <c r="T5117">
        <v>-0.1420507</v>
      </c>
      <c r="U5117">
        <v>-3.0623170000000002</v>
      </c>
      <c r="V5117">
        <v>2.9165130000000001E-2</v>
      </c>
      <c r="W5117">
        <v>9.7781699999999992E-3</v>
      </c>
      <c r="X5117">
        <v>0.99952680000000005</v>
      </c>
      <c r="Y5117">
        <v>-0.21679280000000001</v>
      </c>
      <c r="Z5117">
        <v>4.5366780000000002E-2</v>
      </c>
      <c r="AA5117">
        <v>0.97516290000000005</v>
      </c>
      <c r="AB5117">
        <v>29</v>
      </c>
      <c r="AC5117">
        <v>3.6882999999999599</v>
      </c>
      <c r="AD5117">
        <v>-1.1136701902499999</v>
      </c>
      <c r="AE5117">
        <v>-23.71743</v>
      </c>
      <c r="AF5117">
        <v>-5.2541244642678802</v>
      </c>
      <c r="AG5117">
        <v>-1.1136701902499999</v>
      </c>
      <c r="AH5117">
        <v>23.367534815055301</v>
      </c>
      <c r="AI5117">
        <v>92.662220200226997</v>
      </c>
      <c r="AJ5117">
        <v>102.67204955611101</v>
      </c>
      <c r="AK5117">
        <v>23.976817314053399</v>
      </c>
      <c r="AL5117">
        <v>89.439743211040394</v>
      </c>
      <c r="AM5117">
        <v>88.328644261010396</v>
      </c>
      <c r="AN5117">
        <v>1.0000000206673501</v>
      </c>
    </row>
    <row r="5118" spans="1:40" x14ac:dyDescent="0.25">
      <c r="A5118" t="str">
        <f>"20190312154939493"</f>
        <v>20190312154939493</v>
      </c>
      <c r="B5118" t="str">
        <f>"1552376979480714"</f>
        <v>1552376979480714</v>
      </c>
      <c r="C5118" t="s">
        <v>40</v>
      </c>
      <c r="D5118">
        <v>4.716958</v>
      </c>
      <c r="E5118">
        <v>0.40246320000000002</v>
      </c>
      <c r="F5118" t="s">
        <v>42</v>
      </c>
      <c r="G5118">
        <v>-418.59699999999998</v>
      </c>
      <c r="H5118" s="1">
        <v>-2.4425349999999998E-6</v>
      </c>
      <c r="I5118">
        <v>74.746279999999999</v>
      </c>
      <c r="J5118">
        <v>-422.31150000000002</v>
      </c>
      <c r="K5118">
        <v>1.1136410000000001</v>
      </c>
      <c r="L5118">
        <v>97.59845</v>
      </c>
      <c r="M5118">
        <v>-6.223745E-2</v>
      </c>
      <c r="N5118">
        <v>0</v>
      </c>
      <c r="O5118">
        <v>-0.99796560000000001</v>
      </c>
      <c r="P5118">
        <v>-9.1979089999999999E-2</v>
      </c>
      <c r="Q5118">
        <v>-5.8233449999999997E-3</v>
      </c>
      <c r="R5118">
        <v>-0.99574390000000002</v>
      </c>
      <c r="S5118">
        <v>0.48956300000000003</v>
      </c>
      <c r="T5118">
        <v>-0.1473322</v>
      </c>
      <c r="U5118">
        <v>-3.0605470000000001</v>
      </c>
      <c r="V5118">
        <v>2.974715E-2</v>
      </c>
      <c r="W5118">
        <v>8.2695189999999995E-3</v>
      </c>
      <c r="X5118">
        <v>0.99952319999999995</v>
      </c>
      <c r="Y5118">
        <v>-0.21893090000000001</v>
      </c>
      <c r="Z5118">
        <v>4.706163E-2</v>
      </c>
      <c r="AA5118">
        <v>0.97460480000000005</v>
      </c>
      <c r="AB5118">
        <v>29</v>
      </c>
      <c r="AC5118">
        <v>3.7145000000000401</v>
      </c>
      <c r="AD5118">
        <v>-1.1136434425349999</v>
      </c>
      <c r="AE5118">
        <v>-22.852170000000001</v>
      </c>
      <c r="AF5118">
        <v>-5.1178530197820704</v>
      </c>
      <c r="AG5118">
        <v>-1.1136434425349999</v>
      </c>
      <c r="AH5118">
        <v>22.5245409048573</v>
      </c>
      <c r="AI5118">
        <v>92.760235571527204</v>
      </c>
      <c r="AJ5118">
        <v>102.800974508674</v>
      </c>
      <c r="AK5118">
        <v>23.125474356730098</v>
      </c>
      <c r="AL5118">
        <v>89.526186039846607</v>
      </c>
      <c r="AM5118">
        <v>88.295303998979605</v>
      </c>
      <c r="AN5118">
        <v>0.99999995260792496</v>
      </c>
    </row>
    <row r="5119" spans="1:40" x14ac:dyDescent="0.25">
      <c r="A5119" t="str">
        <f>"20190312154939515"</f>
        <v>20190312154939515</v>
      </c>
      <c r="B5119" t="str">
        <f>"1552376979510969"</f>
        <v>1552376979510969</v>
      </c>
      <c r="C5119" t="s">
        <v>40</v>
      </c>
      <c r="D5119">
        <v>4.7214119999999999</v>
      </c>
      <c r="E5119">
        <v>0.4023697</v>
      </c>
      <c r="F5119" t="s">
        <v>42</v>
      </c>
      <c r="G5119">
        <v>-418.58629999999999</v>
      </c>
      <c r="H5119" s="1">
        <v>-2.5781610000000001E-6</v>
      </c>
      <c r="I5119">
        <v>75.058000000000007</v>
      </c>
      <c r="J5119">
        <v>-422.32490000000001</v>
      </c>
      <c r="K5119">
        <v>1.113602</v>
      </c>
      <c r="L5119">
        <v>97.300079999999994</v>
      </c>
      <c r="M5119">
        <v>-5.7429500000000001E-2</v>
      </c>
      <c r="N5119">
        <v>0</v>
      </c>
      <c r="O5119">
        <v>-0.9982529</v>
      </c>
      <c r="P5119">
        <v>-8.7332409999999999E-2</v>
      </c>
      <c r="Q5119">
        <v>-5.5937469999999996E-3</v>
      </c>
      <c r="R5119">
        <v>-0.99616380000000004</v>
      </c>
      <c r="S5119">
        <v>0.50549319999999998</v>
      </c>
      <c r="T5119">
        <v>-0.15111729999999901</v>
      </c>
      <c r="U5119">
        <v>-3.0586549999999999</v>
      </c>
      <c r="V5119">
        <v>2.9896639999999999E-2</v>
      </c>
      <c r="W5119">
        <v>8.5737299999999999E-3</v>
      </c>
      <c r="X5119">
        <v>0.99951619999999997</v>
      </c>
      <c r="Y5119">
        <v>-0.2192605</v>
      </c>
      <c r="Z5119">
        <v>4.8296650000000003E-2</v>
      </c>
      <c r="AA5119">
        <v>0.97447030000000001</v>
      </c>
      <c r="AB5119">
        <v>29</v>
      </c>
      <c r="AC5119">
        <v>3.7386000000000199</v>
      </c>
      <c r="AD5119">
        <v>-1.113604578161</v>
      </c>
      <c r="AE5119">
        <v>-22.242079999999898</v>
      </c>
      <c r="AF5119">
        <v>-4.9977194969682497</v>
      </c>
      <c r="AG5119">
        <v>-1.113604578161</v>
      </c>
      <c r="AH5119">
        <v>21.937157120806699</v>
      </c>
      <c r="AI5119">
        <v>92.833553481282493</v>
      </c>
      <c r="AJ5119">
        <v>102.834069821344</v>
      </c>
      <c r="AK5119">
        <v>22.5267880060571</v>
      </c>
      <c r="AL5119">
        <v>89.508755425927603</v>
      </c>
      <c r="AM5119">
        <v>88.286730397144296</v>
      </c>
      <c r="AN5119">
        <v>0.99999997599592005</v>
      </c>
    </row>
    <row r="5120" spans="1:40" x14ac:dyDescent="0.25">
      <c r="A5120" t="str">
        <f>"20190312154939537"</f>
        <v>20190312154939537</v>
      </c>
      <c r="B5120" t="str">
        <f>"1552376979531466"</f>
        <v>1552376979531466</v>
      </c>
      <c r="C5120" t="s">
        <v>40</v>
      </c>
      <c r="D5120">
        <v>4.726877</v>
      </c>
      <c r="E5120">
        <v>0.40244819999999998</v>
      </c>
      <c r="F5120" t="s">
        <v>42</v>
      </c>
      <c r="G5120">
        <v>-418.4742</v>
      </c>
      <c r="H5120" s="1">
        <v>-2.4398400000000002E-6</v>
      </c>
      <c r="I5120">
        <v>74.689179999999993</v>
      </c>
      <c r="J5120">
        <v>-422.33629999999999</v>
      </c>
      <c r="K5120">
        <v>1.113545</v>
      </c>
      <c r="L5120">
        <v>97.015230000000003</v>
      </c>
      <c r="M5120">
        <v>-5.2917529999999997E-2</v>
      </c>
      <c r="N5120">
        <v>0</v>
      </c>
      <c r="O5120">
        <v>-0.99850139999999998</v>
      </c>
      <c r="P5120">
        <v>-8.2996959999999995E-2</v>
      </c>
      <c r="Q5120">
        <v>-4.6911549999999998E-3</v>
      </c>
      <c r="R5120">
        <v>-0.99653910000000001</v>
      </c>
      <c r="S5120">
        <v>0.52050779999999996</v>
      </c>
      <c r="T5120">
        <v>-0.15052689999999999</v>
      </c>
      <c r="U5120">
        <v>-3.0563349999999998</v>
      </c>
      <c r="V5120">
        <v>3.0056929999999999E-2</v>
      </c>
      <c r="W5120">
        <v>9.5349920000000008E-3</v>
      </c>
      <c r="X5120">
        <v>0.99950269999999997</v>
      </c>
      <c r="Y5120">
        <v>-0.21962780000000001</v>
      </c>
      <c r="Z5120">
        <v>4.814123E-2</v>
      </c>
      <c r="AA5120">
        <v>0.97439520000000002</v>
      </c>
      <c r="AB5120">
        <v>29</v>
      </c>
      <c r="AC5120">
        <v>3.8620999999999901</v>
      </c>
      <c r="AD5120">
        <v>-1.11354743984</v>
      </c>
      <c r="AE5120">
        <v>-22.326049999999899</v>
      </c>
      <c r="AF5120">
        <v>-5.0261021192255102</v>
      </c>
      <c r="AG5120">
        <v>-1.11354743984</v>
      </c>
      <c r="AH5120">
        <v>22.037141444260001</v>
      </c>
      <c r="AI5120">
        <v>92.820418556813806</v>
      </c>
      <c r="AJ5120">
        <v>102.847920869437</v>
      </c>
      <c r="AK5120">
        <v>22.630450579870899</v>
      </c>
      <c r="AL5120">
        <v>89.453676917435502</v>
      </c>
      <c r="AM5120">
        <v>88.277527018019896</v>
      </c>
      <c r="AN5120">
        <v>0.99999999121037697</v>
      </c>
    </row>
    <row r="5121" spans="1:40" x14ac:dyDescent="0.25">
      <c r="A5121" t="str">
        <f>"20190312154939559"</f>
        <v>20190312154939559</v>
      </c>
      <c r="B5121" t="str">
        <f>"1552376979550986"</f>
        <v>1552376979550986</v>
      </c>
      <c r="C5121" t="s">
        <v>40</v>
      </c>
      <c r="D5121">
        <v>4.7888549999999999</v>
      </c>
      <c r="E5121">
        <v>0.40257409999999999</v>
      </c>
      <c r="F5121" t="s">
        <v>42</v>
      </c>
      <c r="G5121">
        <v>-418.27440000000001</v>
      </c>
      <c r="H5121" s="1">
        <v>-2.072282E-6</v>
      </c>
      <c r="I5121">
        <v>73.749790000000004</v>
      </c>
      <c r="J5121">
        <v>-422.3467</v>
      </c>
      <c r="K5121">
        <v>1.1134710000000001</v>
      </c>
      <c r="L5121">
        <v>96.727869999999996</v>
      </c>
      <c r="M5121">
        <v>-4.8466370000000002E-2</v>
      </c>
      <c r="N5121">
        <v>0</v>
      </c>
      <c r="O5121">
        <v>-0.99872640000000001</v>
      </c>
      <c r="P5121">
        <v>-7.8657980000000002E-2</v>
      </c>
      <c r="Q5121">
        <v>-4.630047E-3</v>
      </c>
      <c r="R5121">
        <v>-0.99689090000000002</v>
      </c>
      <c r="S5121">
        <v>0.53323359999999997</v>
      </c>
      <c r="T5121">
        <v>-0.1461809</v>
      </c>
      <c r="U5121">
        <v>-3.0541689999999999</v>
      </c>
      <c r="V5121">
        <v>3.0161839999999999E-2</v>
      </c>
      <c r="W5121">
        <v>9.6427560000000006E-3</v>
      </c>
      <c r="X5121">
        <v>0.99949849999999996</v>
      </c>
      <c r="Y5121">
        <v>-0.21934790000000001</v>
      </c>
      <c r="Z5121">
        <v>4.6788299999999998E-2</v>
      </c>
      <c r="AA5121">
        <v>0.97452419999999995</v>
      </c>
      <c r="AB5121">
        <v>29</v>
      </c>
      <c r="AC5121">
        <v>4.0722999999999798</v>
      </c>
      <c r="AD5121">
        <v>-1.1134730722820001</v>
      </c>
      <c r="AE5121">
        <v>-22.978079999999899</v>
      </c>
      <c r="AF5121">
        <v>-5.16951764922909</v>
      </c>
      <c r="AG5121">
        <v>-1.1134730722820001</v>
      </c>
      <c r="AH5121">
        <v>22.701997111963198</v>
      </c>
      <c r="AI5121">
        <v>92.737978625354899</v>
      </c>
      <c r="AJ5121">
        <v>102.828197251555</v>
      </c>
      <c r="AK5121">
        <v>23.3097492024255</v>
      </c>
      <c r="AL5121">
        <v>89.447502207916997</v>
      </c>
      <c r="AM5121">
        <v>88.271511320752396</v>
      </c>
      <c r="AN5121">
        <v>0.99999998541885504</v>
      </c>
    </row>
    <row r="5122" spans="1:40" x14ac:dyDescent="0.25">
      <c r="A5122" t="str">
        <f>"20190312154939583"</f>
        <v>20190312154939583</v>
      </c>
      <c r="B5122" t="str">
        <f>"1552376979581243"</f>
        <v>1552376979581243</v>
      </c>
      <c r="C5122" t="s">
        <v>40</v>
      </c>
      <c r="D5122">
        <v>4.8005769999999997</v>
      </c>
      <c r="E5122">
        <v>0.40301690000000001</v>
      </c>
      <c r="F5122" t="s">
        <v>42</v>
      </c>
      <c r="G5122">
        <v>-418.28379999999999</v>
      </c>
      <c r="H5122" s="1">
        <v>-2.1799289999999998E-6</v>
      </c>
      <c r="I5122">
        <v>74.004589999999993</v>
      </c>
      <c r="J5122">
        <v>-422.35649999999998</v>
      </c>
      <c r="K5122">
        <v>1.1133630000000001</v>
      </c>
      <c r="L5122">
        <v>96.424130000000005</v>
      </c>
      <c r="M5122">
        <v>-4.3894410000000002E-2</v>
      </c>
      <c r="N5122">
        <v>0</v>
      </c>
      <c r="O5122">
        <v>-0.99893730000000003</v>
      </c>
      <c r="P5122">
        <v>-7.4591499999999894E-2</v>
      </c>
      <c r="Q5122">
        <v>-5.0324389999999997E-3</v>
      </c>
      <c r="R5122">
        <v>-0.99720149999999996</v>
      </c>
      <c r="S5122">
        <v>0.54565430000000004</v>
      </c>
      <c r="T5122">
        <v>-0.14953739999999999</v>
      </c>
      <c r="U5122">
        <v>-3.0516969999999999</v>
      </c>
      <c r="V5122">
        <v>3.0665990000000001E-2</v>
      </c>
      <c r="W5122">
        <v>9.2813270000000007E-3</v>
      </c>
      <c r="X5122">
        <v>0.9994866</v>
      </c>
      <c r="Y5122">
        <v>-0.21885299999999999</v>
      </c>
      <c r="Z5122">
        <v>4.7899570000000002E-2</v>
      </c>
      <c r="AA5122">
        <v>0.97458149999999999</v>
      </c>
      <c r="AB5122">
        <v>29</v>
      </c>
      <c r="AC5122">
        <v>4.0726999999999904</v>
      </c>
      <c r="AD5122">
        <v>-1.1133651799290001</v>
      </c>
      <c r="AE5122">
        <v>-22.419540000000001</v>
      </c>
      <c r="AF5122">
        <v>-5.04092894205594</v>
      </c>
      <c r="AG5122">
        <v>-1.1133651799290001</v>
      </c>
      <c r="AH5122">
        <v>22.1662216072185</v>
      </c>
      <c r="AI5122">
        <v>92.803962097193505</v>
      </c>
      <c r="AJ5122">
        <v>102.812011316406</v>
      </c>
      <c r="AK5122">
        <v>22.759435998351499</v>
      </c>
      <c r="AL5122">
        <v>89.468211501994105</v>
      </c>
      <c r="AM5122">
        <v>88.2426169853658</v>
      </c>
      <c r="AN5122">
        <v>1.00000000477656</v>
      </c>
    </row>
    <row r="5123" spans="1:40" x14ac:dyDescent="0.25">
      <c r="A5123" t="str">
        <f>"20190312154939605"</f>
        <v>20190312154939605</v>
      </c>
      <c r="B5123" t="str">
        <f>"1552376979600761"</f>
        <v>1552376979600761</v>
      </c>
      <c r="C5123" t="s">
        <v>40</v>
      </c>
      <c r="D5123">
        <v>4.7860259999999997</v>
      </c>
      <c r="E5123">
        <v>0.4031574</v>
      </c>
      <c r="F5123" t="s">
        <v>42</v>
      </c>
      <c r="G5123">
        <v>-418.51609999999999</v>
      </c>
      <c r="H5123" s="1">
        <v>-2.7084819999999999E-6</v>
      </c>
      <c r="I5123">
        <v>75.332719999999995</v>
      </c>
      <c r="J5123">
        <v>-422.36430000000001</v>
      </c>
      <c r="K5123">
        <v>1.113253</v>
      </c>
      <c r="L5123">
        <v>96.145020000000002</v>
      </c>
      <c r="M5123">
        <v>-3.9843009999999998E-2</v>
      </c>
      <c r="N5123">
        <v>0</v>
      </c>
      <c r="O5123">
        <v>-0.99910659999999896</v>
      </c>
      <c r="P5123">
        <v>-7.0715199999999895E-2</v>
      </c>
      <c r="Q5123">
        <v>-5.1127500000000001E-3</v>
      </c>
      <c r="R5123">
        <v>-0.99748340000000002</v>
      </c>
      <c r="S5123">
        <v>0.55520630000000004</v>
      </c>
      <c r="T5123">
        <v>-0.1609565</v>
      </c>
      <c r="U5123">
        <v>-3.0491329999999999</v>
      </c>
      <c r="V5123">
        <v>3.0837630000000001E-2</v>
      </c>
      <c r="W5123">
        <v>9.2274469999999997E-3</v>
      </c>
      <c r="X5123">
        <v>0.99948179999999998</v>
      </c>
      <c r="Y5123">
        <v>-0.21796170000000001</v>
      </c>
      <c r="Z5123">
        <v>5.1594559999999998E-2</v>
      </c>
      <c r="AA5123">
        <v>0.97459260000000003</v>
      </c>
      <c r="AB5123">
        <v>29</v>
      </c>
      <c r="AC5123">
        <v>3.8482000000000198</v>
      </c>
      <c r="AD5123">
        <v>-1.1132557084819901</v>
      </c>
      <c r="AE5123">
        <v>-20.8123</v>
      </c>
      <c r="AF5123">
        <v>-4.6615539746071697</v>
      </c>
      <c r="AG5123">
        <v>-1.1132557084819901</v>
      </c>
      <c r="AH5123">
        <v>20.585479374128901</v>
      </c>
      <c r="AI5123">
        <v>93.019224043611601</v>
      </c>
      <c r="AJ5123">
        <v>102.75936088792</v>
      </c>
      <c r="AK5123">
        <v>21.1360210255698</v>
      </c>
      <c r="AL5123">
        <v>89.471298721314298</v>
      </c>
      <c r="AM5123">
        <v>88.232778510179401</v>
      </c>
      <c r="AN5123">
        <v>0.999999986866697</v>
      </c>
    </row>
    <row r="5124" spans="1:40" x14ac:dyDescent="0.25">
      <c r="A5124" t="str">
        <f>"20190312154939620"</f>
        <v>20190312154939620</v>
      </c>
      <c r="B5124" t="str">
        <f>"1552376979611498"</f>
        <v>1552376979611498</v>
      </c>
      <c r="C5124" t="s">
        <v>40</v>
      </c>
      <c r="D5124">
        <v>4.6862560000000002</v>
      </c>
      <c r="E5124">
        <v>0.40328589999999997</v>
      </c>
      <c r="F5124" t="s">
        <v>42</v>
      </c>
      <c r="G5124">
        <v>-418.59429999999998</v>
      </c>
      <c r="H5124" s="1">
        <v>-2.914087E-6</v>
      </c>
      <c r="I5124">
        <v>75.844340000000003</v>
      </c>
      <c r="J5124">
        <v>-422.36930000000001</v>
      </c>
      <c r="K5124">
        <v>1.1131719999999901</v>
      </c>
      <c r="L5124">
        <v>95.946780000000004</v>
      </c>
      <c r="M5124">
        <v>-3.7077930000000002E-2</v>
      </c>
      <c r="N5124">
        <v>0</v>
      </c>
      <c r="O5124">
        <v>-0.99921280000000001</v>
      </c>
      <c r="P5124">
        <v>-6.7796540000000002E-2</v>
      </c>
      <c r="Q5124">
        <v>-5.209928E-3</v>
      </c>
      <c r="R5124">
        <v>-0.99768559999999995</v>
      </c>
      <c r="S5124">
        <v>0.56582639999999995</v>
      </c>
      <c r="T5124">
        <v>-0.16708229999999999</v>
      </c>
      <c r="U5124">
        <v>-3.0468139999999999</v>
      </c>
      <c r="V5124">
        <v>3.0682060000000001E-2</v>
      </c>
      <c r="W5124">
        <v>9.1411429999999991E-3</v>
      </c>
      <c r="X5124">
        <v>0.99948740000000003</v>
      </c>
      <c r="Y5124">
        <v>-0.21865850000000001</v>
      </c>
      <c r="Z5124">
        <v>5.358023E-2</v>
      </c>
      <c r="AA5124">
        <v>0.97432929999999995</v>
      </c>
      <c r="AB5124">
        <v>29</v>
      </c>
      <c r="AC5124">
        <v>3.7750000000000301</v>
      </c>
      <c r="AD5124">
        <v>-1.11317491408699</v>
      </c>
      <c r="AE5124">
        <v>-20.102439999999898</v>
      </c>
      <c r="AF5124">
        <v>-4.5044926564016396</v>
      </c>
      <c r="AG5124">
        <v>-1.11317491408699</v>
      </c>
      <c r="AH5124">
        <v>19.889718845195802</v>
      </c>
      <c r="AI5124">
        <v>93.124390542534002</v>
      </c>
      <c r="AJ5124">
        <v>102.760710993332</v>
      </c>
      <c r="AK5124">
        <v>20.4237736038633</v>
      </c>
      <c r="AL5124">
        <v>89.476243794938696</v>
      </c>
      <c r="AM5124">
        <v>88.241698042560003</v>
      </c>
      <c r="AN5124">
        <v>1.0000000060299701</v>
      </c>
    </row>
    <row r="5125" spans="1:40" x14ac:dyDescent="0.25">
      <c r="A5125" t="str">
        <f>"20190312154939637"</f>
        <v>20190312154939637</v>
      </c>
      <c r="B5125" t="str">
        <f>"1552376979631020"</f>
        <v>1552376979631020</v>
      </c>
      <c r="C5125" t="s">
        <v>40</v>
      </c>
      <c r="D5125">
        <v>4.7195470000000004</v>
      </c>
      <c r="E5125">
        <v>0.40252890000000002</v>
      </c>
      <c r="F5125" t="s">
        <v>42</v>
      </c>
      <c r="G5125">
        <v>-418.5222</v>
      </c>
      <c r="H5125" s="1">
        <v>-2.792258E-6</v>
      </c>
      <c r="I5125">
        <v>75.530529999999999</v>
      </c>
      <c r="J5125">
        <v>-422.37439999999998</v>
      </c>
      <c r="K5125">
        <v>1.113065</v>
      </c>
      <c r="L5125">
        <v>95.715670000000003</v>
      </c>
      <c r="M5125">
        <v>-3.3952759999999998E-2</v>
      </c>
      <c r="N5125">
        <v>0</v>
      </c>
      <c r="O5125">
        <v>-0.99932370000000004</v>
      </c>
      <c r="P5125">
        <v>-6.4530009999999999E-2</v>
      </c>
      <c r="Q5125">
        <v>-5.166426E-3</v>
      </c>
      <c r="R5125">
        <v>-0.99790259999999997</v>
      </c>
      <c r="S5125">
        <v>0.57379150000000001</v>
      </c>
      <c r="T5125">
        <v>-0.1660296</v>
      </c>
      <c r="U5125">
        <v>-3.0450740000000001</v>
      </c>
      <c r="V5125">
        <v>3.0537829999999998E-2</v>
      </c>
      <c r="W5125">
        <v>9.1940700000000004E-3</v>
      </c>
      <c r="X5125">
        <v>0.99949129999999997</v>
      </c>
      <c r="Y5125">
        <v>-0.21817230000000001</v>
      </c>
      <c r="Z5125">
        <v>5.3272720000000003E-2</v>
      </c>
      <c r="AA5125">
        <v>0.97445519999999997</v>
      </c>
      <c r="AB5125">
        <v>29</v>
      </c>
      <c r="AC5125">
        <v>3.8521999999999799</v>
      </c>
      <c r="AD5125">
        <v>-1.1130677922579999</v>
      </c>
      <c r="AE5125">
        <v>-20.185139999999901</v>
      </c>
      <c r="AF5125">
        <v>-4.5221206724996197</v>
      </c>
      <c r="AG5125">
        <v>-1.1130677922579999</v>
      </c>
      <c r="AH5125">
        <v>19.984062863078101</v>
      </c>
      <c r="AI5125">
        <v>93.109495784275296</v>
      </c>
      <c r="AJ5125">
        <v>102.750515246031</v>
      </c>
      <c r="AK5125">
        <v>20.519533713081</v>
      </c>
      <c r="AL5125">
        <v>89.473211157120005</v>
      </c>
      <c r="AM5125">
        <v>88.249965127849194</v>
      </c>
      <c r="AN5125">
        <v>0.999999974379981</v>
      </c>
    </row>
    <row r="5126" spans="1:40" x14ac:dyDescent="0.25">
      <c r="A5126" t="str">
        <f>"20190312154939661"</f>
        <v>20190312154939661</v>
      </c>
      <c r="B5126" t="str">
        <f>"1552376979651515"</f>
        <v>1552376979651515</v>
      </c>
      <c r="C5126" t="s">
        <v>40</v>
      </c>
      <c r="D5126">
        <v>4.7162009999999999</v>
      </c>
      <c r="E5126">
        <v>0.40163149999999997</v>
      </c>
      <c r="F5126" t="s">
        <v>42</v>
      </c>
      <c r="G5126">
        <v>-418.41109999999998</v>
      </c>
      <c r="H5126" s="1">
        <v>-2.690359E-6</v>
      </c>
      <c r="I5126">
        <v>75.247060000000005</v>
      </c>
      <c r="J5126">
        <v>-422.38029999999998</v>
      </c>
      <c r="K5126">
        <v>1.112919</v>
      </c>
      <c r="L5126">
        <v>95.417019999999994</v>
      </c>
      <c r="M5126">
        <v>-3.007982E-2</v>
      </c>
      <c r="N5126">
        <v>0</v>
      </c>
      <c r="O5126">
        <v>-0.99944730000000004</v>
      </c>
      <c r="P5126">
        <v>-6.0570829999999999E-2</v>
      </c>
      <c r="Q5126">
        <v>-5.2531009999999996E-3</v>
      </c>
      <c r="R5126">
        <v>-0.99815019999999999</v>
      </c>
      <c r="S5126">
        <v>0.58932499999999999</v>
      </c>
      <c r="T5126">
        <v>-0.16550589999999901</v>
      </c>
      <c r="U5126">
        <v>-3.0435490000000001</v>
      </c>
      <c r="V5126">
        <v>3.045001E-2</v>
      </c>
      <c r="W5126">
        <v>9.1153940000000006E-3</v>
      </c>
      <c r="X5126">
        <v>0.99949469999999996</v>
      </c>
      <c r="Y5126">
        <v>-0.21927929999999901</v>
      </c>
      <c r="Z5126">
        <v>5.3109480000000001E-2</v>
      </c>
      <c r="AA5126">
        <v>0.97421559999999996</v>
      </c>
      <c r="AB5126">
        <v>29</v>
      </c>
      <c r="AC5126">
        <v>3.9691999999999998</v>
      </c>
      <c r="AD5126">
        <v>-1.112921690359</v>
      </c>
      <c r="AE5126">
        <v>-20.1699599999999</v>
      </c>
      <c r="AF5126">
        <v>-4.5608053138585696</v>
      </c>
      <c r="AG5126">
        <v>-1.112921690359</v>
      </c>
      <c r="AH5126">
        <v>19.982856381746199</v>
      </c>
      <c r="AI5126">
        <v>93.107968687638802</v>
      </c>
      <c r="AJ5126">
        <v>102.85673064537499</v>
      </c>
      <c r="AK5126">
        <v>20.526911335446599</v>
      </c>
      <c r="AL5126">
        <v>89.477719148917103</v>
      </c>
      <c r="AM5126">
        <v>88.255000654809393</v>
      </c>
      <c r="AN5126">
        <v>0.99999997442243205</v>
      </c>
    </row>
    <row r="5127" spans="1:40" x14ac:dyDescent="0.25">
      <c r="A5127" t="str">
        <f>"20190312154939684"</f>
        <v>20190312154939684</v>
      </c>
      <c r="B5127" t="str">
        <f>"1552376979680794"</f>
        <v>1552376979680794</v>
      </c>
      <c r="C5127" t="s">
        <v>40</v>
      </c>
      <c r="D5127">
        <v>4.6887280000000002</v>
      </c>
      <c r="E5127">
        <v>0.40061259999999999</v>
      </c>
      <c r="F5127" t="s">
        <v>42</v>
      </c>
      <c r="G5127">
        <v>-418.2987</v>
      </c>
      <c r="H5127" s="1">
        <v>-2.6202189999999998E-6</v>
      </c>
      <c r="I5127">
        <v>75.037120000000002</v>
      </c>
      <c r="J5127">
        <v>-422.38510000000002</v>
      </c>
      <c r="K5127">
        <v>1.1127800000000001</v>
      </c>
      <c r="L5127">
        <v>95.124449999999996</v>
      </c>
      <c r="M5127">
        <v>-2.6470589999999999E-2</v>
      </c>
      <c r="N5127">
        <v>0</v>
      </c>
      <c r="O5127">
        <v>-0.99954940000000003</v>
      </c>
      <c r="P5127">
        <v>-5.6435180000000001E-2</v>
      </c>
      <c r="Q5127">
        <v>-5.5341380000000001E-3</v>
      </c>
      <c r="R5127">
        <v>-0.99839129999999998</v>
      </c>
      <c r="S5127">
        <v>0.60916139999999996</v>
      </c>
      <c r="T5127">
        <v>-0.1661011</v>
      </c>
      <c r="U5127">
        <v>-3.0416560000000001</v>
      </c>
      <c r="V5127">
        <v>2.992363E-2</v>
      </c>
      <c r="W5127">
        <v>8.8350269999999901E-3</v>
      </c>
      <c r="X5127">
        <v>0.99951310000000004</v>
      </c>
      <c r="Y5127">
        <v>-0.22198280000000001</v>
      </c>
      <c r="Z5127">
        <v>5.3290980000000002E-2</v>
      </c>
      <c r="AA5127">
        <v>0.97359320000000005</v>
      </c>
      <c r="AB5127">
        <v>29</v>
      </c>
      <c r="AC5127">
        <v>4.0864000000000198</v>
      </c>
      <c r="AD5127">
        <v>-1.1127826202190001</v>
      </c>
      <c r="AE5127">
        <v>-20.087329999999898</v>
      </c>
      <c r="AF5127">
        <v>-4.60317944444484</v>
      </c>
      <c r="AG5127">
        <v>-1.1127826202190001</v>
      </c>
      <c r="AH5127">
        <v>19.913426742186498</v>
      </c>
      <c r="AI5127">
        <v>93.116409860554</v>
      </c>
      <c r="AJ5127">
        <v>103.015849730422</v>
      </c>
      <c r="AK5127">
        <v>20.468808240199198</v>
      </c>
      <c r="AL5127">
        <v>89.493783634536797</v>
      </c>
      <c r="AM5127">
        <v>88.285179304413305</v>
      </c>
      <c r="AN5127">
        <v>0.99999995920303797</v>
      </c>
    </row>
    <row r="5128" spans="1:40" x14ac:dyDescent="0.25">
      <c r="A5128" t="str">
        <f>"20190312154939707"</f>
        <v>20190312154939707</v>
      </c>
      <c r="B5128" t="str">
        <f>"1552376979701290"</f>
        <v>1552376979701290</v>
      </c>
      <c r="C5128" t="s">
        <v>40</v>
      </c>
      <c r="D5128">
        <v>4.6989839999999896</v>
      </c>
      <c r="E5128">
        <v>0.40018029999999999</v>
      </c>
      <c r="F5128" t="s">
        <v>42</v>
      </c>
      <c r="G5128">
        <v>-418.19470000000001</v>
      </c>
      <c r="H5128" s="1">
        <v>-2.5696700000000002E-6</v>
      </c>
      <c r="I5128">
        <v>74.876269999999906</v>
      </c>
      <c r="J5128">
        <v>-422.38900000000001</v>
      </c>
      <c r="K5128">
        <v>1.1126400000000001</v>
      </c>
      <c r="L5128">
        <v>94.833799999999997</v>
      </c>
      <c r="M5128">
        <v>-2.3088310000000001E-2</v>
      </c>
      <c r="N5128">
        <v>0</v>
      </c>
      <c r="O5128">
        <v>-0.99963290000000005</v>
      </c>
      <c r="P5128">
        <v>-5.2917510000000001E-2</v>
      </c>
      <c r="Q5128">
        <v>-5.8334469999999899E-3</v>
      </c>
      <c r="R5128">
        <v>-0.99858179999999996</v>
      </c>
      <c r="S5128">
        <v>0.62902829999999998</v>
      </c>
      <c r="T5128">
        <v>-0.16704179999999999</v>
      </c>
      <c r="U5128">
        <v>-3.0394899999999998</v>
      </c>
      <c r="V5128">
        <v>2.978948E-2</v>
      </c>
      <c r="W5128">
        <v>8.5346290000000002E-3</v>
      </c>
      <c r="X5128">
        <v>0.99951979999999996</v>
      </c>
      <c r="Y5128">
        <v>-0.2249235</v>
      </c>
      <c r="Z5128">
        <v>5.3583260000000001E-2</v>
      </c>
      <c r="AA5128">
        <v>0.97290200000000004</v>
      </c>
      <c r="AB5128">
        <v>29</v>
      </c>
      <c r="AC5128">
        <v>4.1942999999999904</v>
      </c>
      <c r="AD5128">
        <v>-1.11264256967</v>
      </c>
      <c r="AE5128">
        <v>-19.957529999999998</v>
      </c>
      <c r="AF5128">
        <v>-4.6402014063335697</v>
      </c>
      <c r="AG5128">
        <v>-1.11264256967</v>
      </c>
      <c r="AH5128">
        <v>19.7964327959501</v>
      </c>
      <c r="AI5128">
        <v>93.132162410328604</v>
      </c>
      <c r="AJ5128">
        <v>103.191742334518</v>
      </c>
      <c r="AK5128">
        <v>20.363403301603299</v>
      </c>
      <c r="AL5128">
        <v>89.510995862407398</v>
      </c>
      <c r="AM5128">
        <v>88.292873858505004</v>
      </c>
      <c r="AN5128">
        <v>1.0000000418014301</v>
      </c>
    </row>
    <row r="5129" spans="1:40" x14ac:dyDescent="0.25">
      <c r="A5129" t="str">
        <f>"20190312154939728"</f>
        <v>20190312154939728</v>
      </c>
      <c r="B5129" t="str">
        <f>"1552376979720810"</f>
        <v>1552376979720810</v>
      </c>
      <c r="C5129" t="s">
        <v>40</v>
      </c>
      <c r="D5129">
        <v>4.7222530000000003</v>
      </c>
      <c r="E5129">
        <v>0.39982240000000002</v>
      </c>
      <c r="F5129" t="s">
        <v>42</v>
      </c>
      <c r="G5129">
        <v>-418.15649999999999</v>
      </c>
      <c r="H5129" s="1">
        <v>-2.55598E-6</v>
      </c>
      <c r="I5129">
        <v>74.828550000000007</v>
      </c>
      <c r="J5129">
        <v>-422.392</v>
      </c>
      <c r="K5129">
        <v>1.1124989999999999</v>
      </c>
      <c r="L5129">
        <v>94.551540000000003</v>
      </c>
      <c r="M5129">
        <v>-2.0001669999999999E-2</v>
      </c>
      <c r="N5129">
        <v>0</v>
      </c>
      <c r="O5129">
        <v>-0.99969969999999997</v>
      </c>
      <c r="P5129">
        <v>-4.9753789999999999E-2</v>
      </c>
      <c r="Q5129">
        <v>-6.1369440000000001E-3</v>
      </c>
      <c r="R5129">
        <v>-0.99874320000000005</v>
      </c>
      <c r="S5129">
        <v>0.64260859999999997</v>
      </c>
      <c r="T5129">
        <v>-0.16892839999999901</v>
      </c>
      <c r="U5129">
        <v>-3.0373230000000002</v>
      </c>
      <c r="V5129">
        <v>2.97142E-2</v>
      </c>
      <c r="W5129">
        <v>8.2275590000000006E-3</v>
      </c>
      <c r="X5129">
        <v>0.99952459999999999</v>
      </c>
      <c r="Y5129">
        <v>-0.2262132</v>
      </c>
      <c r="Z5129">
        <v>5.4197170000000003E-2</v>
      </c>
      <c r="AA5129">
        <v>0.97256889999999996</v>
      </c>
      <c r="AB5129">
        <v>29</v>
      </c>
      <c r="AC5129">
        <v>4.2355</v>
      </c>
      <c r="AD5129">
        <v>-1.11250155598</v>
      </c>
      <c r="AE5129">
        <v>-19.722989999999999</v>
      </c>
      <c r="AF5129">
        <v>-4.6151482132876502</v>
      </c>
      <c r="AG5129">
        <v>-1.11250155598</v>
      </c>
      <c r="AH5129">
        <v>19.574782997942499</v>
      </c>
      <c r="AI5129">
        <v>93.166188678561198</v>
      </c>
      <c r="AJ5129">
        <v>103.266357381113</v>
      </c>
      <c r="AK5129">
        <v>20.142228827992501</v>
      </c>
      <c r="AL5129">
        <v>89.528590287355897</v>
      </c>
      <c r="AM5129">
        <v>88.297193509506897</v>
      </c>
      <c r="AN5129">
        <v>1.00000002620694</v>
      </c>
    </row>
    <row r="5130" spans="1:40" x14ac:dyDescent="0.25">
      <c r="A5130" t="str">
        <f>"20190312154939751"</f>
        <v>20190312154939751</v>
      </c>
      <c r="B5130" t="str">
        <f>"1552376979741306"</f>
        <v>1552376979741306</v>
      </c>
      <c r="C5130" t="s">
        <v>40</v>
      </c>
      <c r="D5130">
        <v>4.8170780000000004</v>
      </c>
      <c r="E5130">
        <v>0.39971620000000002</v>
      </c>
      <c r="F5130" t="s">
        <v>42</v>
      </c>
      <c r="G5130">
        <v>-418.07690000000002</v>
      </c>
      <c r="H5130" s="1">
        <v>-2.464851E-6</v>
      </c>
      <c r="I5130">
        <v>74.58323</v>
      </c>
      <c r="J5130">
        <v>-422.39440000000002</v>
      </c>
      <c r="K5130">
        <v>1.1123670000000001</v>
      </c>
      <c r="L5130">
        <v>94.267120000000006</v>
      </c>
      <c r="M5130">
        <v>-1.7048440000000002E-2</v>
      </c>
      <c r="N5130">
        <v>0</v>
      </c>
      <c r="O5130">
        <v>-0.99975420000000004</v>
      </c>
      <c r="P5130">
        <v>-4.7268459999999998E-2</v>
      </c>
      <c r="Q5130">
        <v>-6.3843110000000002E-3</v>
      </c>
      <c r="R5130">
        <v>-0.99886189999999997</v>
      </c>
      <c r="S5130">
        <v>0.65594479999999999</v>
      </c>
      <c r="T5130">
        <v>-0.16911229999999999</v>
      </c>
      <c r="U5130">
        <v>-3.0354000000000001</v>
      </c>
      <c r="V5130">
        <v>3.0184010000000001E-2</v>
      </c>
      <c r="W5130">
        <v>7.9772269999999999E-3</v>
      </c>
      <c r="X5130">
        <v>0.99951259999999997</v>
      </c>
      <c r="Y5130">
        <v>-0.2275459</v>
      </c>
      <c r="Z5130">
        <v>5.4260929999999999E-2</v>
      </c>
      <c r="AA5130">
        <v>0.97225439999999996</v>
      </c>
      <c r="AB5130">
        <v>29</v>
      </c>
      <c r="AC5130">
        <v>4.3174999999999901</v>
      </c>
      <c r="AD5130">
        <v>-1.1123694648510001</v>
      </c>
      <c r="AE5130">
        <v>-19.683889999999899</v>
      </c>
      <c r="AF5130">
        <v>-4.6383527690393596</v>
      </c>
      <c r="AG5130">
        <v>-1.1123694648510001</v>
      </c>
      <c r="AH5130">
        <v>19.547852787838501</v>
      </c>
      <c r="AI5130">
        <v>93.169094809987399</v>
      </c>
      <c r="AJ5130">
        <v>103.348391987818</v>
      </c>
      <c r="AK5130">
        <v>20.121387398770299</v>
      </c>
      <c r="AL5130">
        <v>89.5429337468005</v>
      </c>
      <c r="AM5130">
        <v>88.270265979762101</v>
      </c>
      <c r="AN5130">
        <v>1.0000000740845201</v>
      </c>
    </row>
    <row r="5131" spans="1:40" x14ac:dyDescent="0.25">
      <c r="A5131" t="str">
        <f>"20190312154939773"</f>
        <v>20190312154939773</v>
      </c>
      <c r="B5131" t="str">
        <f>"1552376979760826"</f>
        <v>1552376979760826</v>
      </c>
      <c r="C5131" t="s">
        <v>40</v>
      </c>
      <c r="D5131">
        <v>4.7166269999999999</v>
      </c>
      <c r="E5131">
        <v>0.39963549999999998</v>
      </c>
      <c r="F5131" t="s">
        <v>42</v>
      </c>
      <c r="G5131">
        <v>-417.96269999999998</v>
      </c>
      <c r="H5131" s="1">
        <v>-2.2445840000000001E-6</v>
      </c>
      <c r="I5131">
        <v>74.022549999999995</v>
      </c>
      <c r="J5131">
        <v>-422.39609999999999</v>
      </c>
      <c r="K5131">
        <v>1.112236</v>
      </c>
      <c r="L5131">
        <v>93.977109999999996</v>
      </c>
      <c r="M5131">
        <v>-1.4203459999999999E-2</v>
      </c>
      <c r="N5131">
        <v>0</v>
      </c>
      <c r="O5131">
        <v>-0.99979850000000003</v>
      </c>
      <c r="P5131">
        <v>-4.4968719999999997E-2</v>
      </c>
      <c r="Q5131">
        <v>-6.1650219999999896E-3</v>
      </c>
      <c r="R5131">
        <v>-0.99896969999999996</v>
      </c>
      <c r="S5131">
        <v>0.66412349999999998</v>
      </c>
      <c r="T5131">
        <v>-0.16669600000000001</v>
      </c>
      <c r="U5131">
        <v>-3.0337830000000001</v>
      </c>
      <c r="V5131">
        <v>3.072855E-2</v>
      </c>
      <c r="W5131">
        <v>8.1922729999999999E-3</v>
      </c>
      <c r="X5131">
        <v>0.9994942</v>
      </c>
      <c r="Y5131">
        <v>-0.2273936</v>
      </c>
      <c r="Z5131">
        <v>5.3505190000000001E-2</v>
      </c>
      <c r="AA5131">
        <v>0.97233190000000003</v>
      </c>
      <c r="AB5131">
        <v>29</v>
      </c>
      <c r="AC5131">
        <v>4.4333999999999998</v>
      </c>
      <c r="AD5131">
        <v>-1.112238244584</v>
      </c>
      <c r="AE5131">
        <v>-19.954560000000001</v>
      </c>
      <c r="AF5131">
        <v>-4.7024826328035898</v>
      </c>
      <c r="AG5131">
        <v>-1.112238244584</v>
      </c>
      <c r="AH5131">
        <v>19.830858630123899</v>
      </c>
      <c r="AI5131">
        <v>93.123697847337596</v>
      </c>
      <c r="AJ5131">
        <v>103.340124996036</v>
      </c>
      <c r="AK5131">
        <v>20.411109005453302</v>
      </c>
      <c r="AL5131">
        <v>89.530612085056902</v>
      </c>
      <c r="AM5131">
        <v>88.239047481597595</v>
      </c>
      <c r="AN5131">
        <v>1.0000000064778201</v>
      </c>
    </row>
    <row r="5132" spans="1:40" x14ac:dyDescent="0.25">
      <c r="A5132" t="str">
        <f>"20190312154939794"</f>
        <v>20190312154939794</v>
      </c>
      <c r="B5132" t="str">
        <f>"1552376979791082"</f>
        <v>1552376979791082</v>
      </c>
      <c r="C5132" t="s">
        <v>40</v>
      </c>
      <c r="D5132">
        <v>4.6978400000000002</v>
      </c>
      <c r="E5132">
        <v>0.39957359999999997</v>
      </c>
      <c r="F5132" t="s">
        <v>42</v>
      </c>
      <c r="G5132">
        <v>-417.85489999999999</v>
      </c>
      <c r="H5132" s="1">
        <v>-2.02946E-6</v>
      </c>
      <c r="I5132">
        <v>73.476550000000003</v>
      </c>
      <c r="J5132">
        <v>-422.39710000000002</v>
      </c>
      <c r="K5132">
        <v>1.1121019999999999</v>
      </c>
      <c r="L5132">
        <v>93.697509999999994</v>
      </c>
      <c r="M5132">
        <v>-1.163019E-2</v>
      </c>
      <c r="N5132">
        <v>0</v>
      </c>
      <c r="O5132">
        <v>-0.9998319</v>
      </c>
      <c r="P5132">
        <v>-4.3480650000000003E-2</v>
      </c>
      <c r="Q5132">
        <v>-5.7805590000000002E-3</v>
      </c>
      <c r="R5132">
        <v>-0.99903779999999998</v>
      </c>
      <c r="S5132">
        <v>0.67169190000000001</v>
      </c>
      <c r="T5132">
        <v>-0.16451550000000001</v>
      </c>
      <c r="U5132">
        <v>-3.0323180000000001</v>
      </c>
      <c r="V5132">
        <v>3.1812799999999898E-2</v>
      </c>
      <c r="W5132">
        <v>8.573252E-3</v>
      </c>
      <c r="X5132">
        <v>0.99945709999999999</v>
      </c>
      <c r="Y5132">
        <v>-0.22730800000000001</v>
      </c>
      <c r="Z5132">
        <v>5.2821420000000001E-2</v>
      </c>
      <c r="AA5132">
        <v>0.97238930000000001</v>
      </c>
      <c r="AB5132">
        <v>29</v>
      </c>
      <c r="AC5132">
        <v>4.5422000000000304</v>
      </c>
      <c r="AD5132">
        <v>-1.11210402946</v>
      </c>
      <c r="AE5132">
        <v>-20.220959999999899</v>
      </c>
      <c r="AF5132">
        <v>-4.7633741013560797</v>
      </c>
      <c r="AG5132">
        <v>-1.11210402946</v>
      </c>
      <c r="AH5132">
        <v>20.108857834141102</v>
      </c>
      <c r="AI5132">
        <v>93.080398934530095</v>
      </c>
      <c r="AJ5132">
        <v>103.32655437077599</v>
      </c>
      <c r="AK5132">
        <v>20.695233064537099</v>
      </c>
      <c r="AL5132">
        <v>89.508782838299794</v>
      </c>
      <c r="AM5132">
        <v>88.176886254968593</v>
      </c>
      <c r="AN5132">
        <v>1.00000002481705</v>
      </c>
    </row>
    <row r="5133" spans="1:40" x14ac:dyDescent="0.25">
      <c r="A5133" t="str">
        <f>"20190312154939818"</f>
        <v>20190312154939818</v>
      </c>
      <c r="B5133" t="str">
        <f>"1552376979810602"</f>
        <v>1552376979810602</v>
      </c>
      <c r="C5133" t="s">
        <v>40</v>
      </c>
      <c r="D5133">
        <v>4.6673839999999904</v>
      </c>
      <c r="E5133">
        <v>0.39957619999999999</v>
      </c>
      <c r="F5133" t="s">
        <v>42</v>
      </c>
      <c r="G5133">
        <v>-417.77820000000003</v>
      </c>
      <c r="H5133" s="1">
        <v>-1.8408780000000001E-6</v>
      </c>
      <c r="I5133">
        <v>73.005229999999997</v>
      </c>
      <c r="J5133">
        <v>-422.39769999999999</v>
      </c>
      <c r="K5133">
        <v>1.111964</v>
      </c>
      <c r="L5133">
        <v>93.404849999999996</v>
      </c>
      <c r="M5133">
        <v>-9.1223880000000004E-3</v>
      </c>
      <c r="N5133">
        <v>0</v>
      </c>
      <c r="O5133">
        <v>-0.99985769999999996</v>
      </c>
      <c r="P5133">
        <v>-4.2246329999999999E-2</v>
      </c>
      <c r="Q5133">
        <v>-6.0118039999999999E-3</v>
      </c>
      <c r="R5133">
        <v>-0.99908889999999995</v>
      </c>
      <c r="S5133">
        <v>0.67666630000000005</v>
      </c>
      <c r="T5133">
        <v>-0.16292229999999999</v>
      </c>
      <c r="U5133">
        <v>-3.0314030000000001</v>
      </c>
      <c r="V5133">
        <v>3.3089069999999998E-2</v>
      </c>
      <c r="W5133">
        <v>8.3353200000000002E-3</v>
      </c>
      <c r="X5133">
        <v>0.99941769999999996</v>
      </c>
      <c r="Y5133">
        <v>-0.22645380000000001</v>
      </c>
      <c r="Z5133">
        <v>5.2324870000000002E-2</v>
      </c>
      <c r="AA5133">
        <v>0.97261540000000002</v>
      </c>
      <c r="AB5133">
        <v>29</v>
      </c>
      <c r="AC5133">
        <v>4.6194999999999604</v>
      </c>
      <c r="AD5133">
        <v>-1.111965840878</v>
      </c>
      <c r="AE5133">
        <v>-20.399619999999899</v>
      </c>
      <c r="AF5133">
        <v>-4.7918763837921103</v>
      </c>
      <c r="AG5133">
        <v>-1.111965840878</v>
      </c>
      <c r="AH5133">
        <v>20.299253819464699</v>
      </c>
      <c r="AI5133">
        <v>93.051740592763693</v>
      </c>
      <c r="AJ5133">
        <v>103.282184949021</v>
      </c>
      <c r="AK5133">
        <v>20.886796138610499</v>
      </c>
      <c r="AL5133">
        <v>89.522415837410094</v>
      </c>
      <c r="AM5133">
        <v>88.103724009431701</v>
      </c>
      <c r="AN5133">
        <v>1.00000005159312</v>
      </c>
    </row>
    <row r="5134" spans="1:40" x14ac:dyDescent="0.25">
      <c r="A5134" t="str">
        <f>"20190312154939839"</f>
        <v>20190312154939839</v>
      </c>
      <c r="B5134" t="str">
        <f>"1552376979831099"</f>
        <v>1552376979831099</v>
      </c>
      <c r="C5134" t="s">
        <v>40</v>
      </c>
      <c r="D5134">
        <v>4.6724680000000003</v>
      </c>
      <c r="E5134">
        <v>0.39960620000000002</v>
      </c>
      <c r="F5134" t="s">
        <v>42</v>
      </c>
      <c r="G5134">
        <v>-417.7482</v>
      </c>
      <c r="H5134" s="1">
        <v>-1.7121530000000001E-6</v>
      </c>
      <c r="I5134">
        <v>72.692750000000004</v>
      </c>
      <c r="J5134">
        <v>-422.39760000000001</v>
      </c>
      <c r="K5134">
        <v>1.111818</v>
      </c>
      <c r="L5134">
        <v>93.12567</v>
      </c>
      <c r="M5134">
        <v>-6.9114090000000003E-3</v>
      </c>
      <c r="N5134">
        <v>0</v>
      </c>
      <c r="O5134">
        <v>-0.99987559999999998</v>
      </c>
      <c r="P5134">
        <v>-4.1467499999999997E-2</v>
      </c>
      <c r="Q5134">
        <v>-6.5268089999999997E-3</v>
      </c>
      <c r="R5134">
        <v>-0.99911870000000003</v>
      </c>
      <c r="S5134">
        <v>0.68029790000000001</v>
      </c>
      <c r="T5134">
        <v>-0.1626987</v>
      </c>
      <c r="U5134">
        <v>-3.0305179999999998</v>
      </c>
      <c r="V5134">
        <v>3.4525350000000003E-2</v>
      </c>
      <c r="W5134">
        <v>7.8122460000000001E-3</v>
      </c>
      <c r="X5134">
        <v>0.99937330000000002</v>
      </c>
      <c r="Y5134">
        <v>-0.225471</v>
      </c>
      <c r="Z5134">
        <v>5.2268870000000002E-2</v>
      </c>
      <c r="AA5134">
        <v>0.97284669999999895</v>
      </c>
      <c r="AB5134">
        <v>29</v>
      </c>
      <c r="AC5134">
        <v>4.6494000000000097</v>
      </c>
      <c r="AD5134">
        <v>-1.111819712153</v>
      </c>
      <c r="AE5134">
        <v>-20.432919999999999</v>
      </c>
      <c r="AF5134">
        <v>-4.7770757403923296</v>
      </c>
      <c r="AG5134">
        <v>-1.111819712153</v>
      </c>
      <c r="AH5134">
        <v>20.343028330095301</v>
      </c>
      <c r="AI5134">
        <v>93.045624471383704</v>
      </c>
      <c r="AJ5134">
        <v>103.215113173191</v>
      </c>
      <c r="AK5134">
        <v>20.925950333039602</v>
      </c>
      <c r="AL5134">
        <v>89.552386727853303</v>
      </c>
      <c r="AM5134">
        <v>88.021389574162995</v>
      </c>
      <c r="AN5134">
        <v>1.00000001186653</v>
      </c>
    </row>
    <row r="5135" spans="1:40" x14ac:dyDescent="0.25">
      <c r="A5135" t="str">
        <f>"20190312154939863"</f>
        <v>20190312154939863</v>
      </c>
      <c r="B5135" t="str">
        <f>"1552376979850618"</f>
        <v>1552376979850618</v>
      </c>
      <c r="C5135" t="s">
        <v>40</v>
      </c>
      <c r="D5135">
        <v>4.6901539999999997</v>
      </c>
      <c r="E5135">
        <v>0.3996787</v>
      </c>
      <c r="F5135" t="s">
        <v>42</v>
      </c>
      <c r="G5135">
        <v>-417.73419999999999</v>
      </c>
      <c r="H5135" s="1">
        <v>-1.598367E-6</v>
      </c>
      <c r="I5135">
        <v>72.421750000000003</v>
      </c>
      <c r="J5135">
        <v>-422.3972</v>
      </c>
      <c r="K5135">
        <v>1.111656</v>
      </c>
      <c r="L5135">
        <v>92.827209999999994</v>
      </c>
      <c r="M5135">
        <v>-4.741215E-3</v>
      </c>
      <c r="N5135">
        <v>0</v>
      </c>
      <c r="O5135">
        <v>-0.99988829999999995</v>
      </c>
      <c r="P5135">
        <v>-4.092552E-2</v>
      </c>
      <c r="Q5135">
        <v>-6.264553E-3</v>
      </c>
      <c r="R5135">
        <v>-0.99914270000000005</v>
      </c>
      <c r="S5135">
        <v>0.68246459999999998</v>
      </c>
      <c r="T5135">
        <v>-0.16270879999999999</v>
      </c>
      <c r="U5135">
        <v>-3.0299070000000001</v>
      </c>
      <c r="V5135">
        <v>3.6154369999999998E-2</v>
      </c>
      <c r="W5135">
        <v>8.0630559999999903E-3</v>
      </c>
      <c r="X5135">
        <v>0.99931369999999997</v>
      </c>
      <c r="Y5135">
        <v>-0.22406029999999999</v>
      </c>
      <c r="Z5135">
        <v>5.228791E-2</v>
      </c>
      <c r="AA5135">
        <v>0.97317160000000003</v>
      </c>
      <c r="AB5135">
        <v>29</v>
      </c>
      <c r="AC5135">
        <v>4.66300000000001</v>
      </c>
      <c r="AD5135">
        <v>-1.1116575983670001</v>
      </c>
      <c r="AE5135">
        <v>-20.405459999999898</v>
      </c>
      <c r="AF5135">
        <v>-4.7463164752854103</v>
      </c>
      <c r="AG5135">
        <v>-1.1116575983670001</v>
      </c>
      <c r="AH5135">
        <v>20.325789019900299</v>
      </c>
      <c r="AI5135">
        <v>93.048646717873197</v>
      </c>
      <c r="AJ5135">
        <v>103.14373242411099</v>
      </c>
      <c r="AK5135">
        <v>20.902176967509199</v>
      </c>
      <c r="AL5135">
        <v>89.538015920474194</v>
      </c>
      <c r="AM5135">
        <v>87.927988273372904</v>
      </c>
      <c r="AN5135">
        <v>1.0000000111749201</v>
      </c>
    </row>
    <row r="5136" spans="1:40" x14ac:dyDescent="0.25">
      <c r="A5136" t="str">
        <f>"20190312154939885"</f>
        <v>20190312154939885</v>
      </c>
      <c r="B5136" t="str">
        <f>"1552376979881229"</f>
        <v>1552376979881229</v>
      </c>
      <c r="C5136" t="s">
        <v>40</v>
      </c>
      <c r="D5136">
        <v>4.6464879999999997</v>
      </c>
      <c r="E5136">
        <v>0.39950819999999998</v>
      </c>
      <c r="F5136" t="s">
        <v>42</v>
      </c>
      <c r="G5136">
        <v>-417.69240000000002</v>
      </c>
      <c r="H5136" s="1">
        <v>-1.404312E-6</v>
      </c>
      <c r="I5136">
        <v>71.952089999999998</v>
      </c>
      <c r="J5136">
        <v>-422.39640000000003</v>
      </c>
      <c r="K5136">
        <v>1.1114999999999999</v>
      </c>
      <c r="L5136">
        <v>92.543329999999997</v>
      </c>
      <c r="M5136">
        <v>-2.8702129999999999E-3</v>
      </c>
      <c r="N5136">
        <v>0</v>
      </c>
      <c r="O5136">
        <v>-0.9998956</v>
      </c>
      <c r="P5136">
        <v>-3.9900360000000003E-2</v>
      </c>
      <c r="Q5136">
        <v>-5.722169E-3</v>
      </c>
      <c r="R5136">
        <v>-0.99918750000000001</v>
      </c>
      <c r="S5136">
        <v>0.68280030000000003</v>
      </c>
      <c r="T5136">
        <v>-0.16133129999999901</v>
      </c>
      <c r="U5136">
        <v>-3.029541</v>
      </c>
      <c r="V5136">
        <v>3.7000020000000002E-2</v>
      </c>
      <c r="W5136">
        <v>8.5908959999999902E-3</v>
      </c>
      <c r="X5136">
        <v>0.99927840000000001</v>
      </c>
      <c r="Y5136">
        <v>-0.22236909999999999</v>
      </c>
      <c r="Z5136">
        <v>5.1862690000000003E-2</v>
      </c>
      <c r="AA5136">
        <v>0.97358210000000001</v>
      </c>
      <c r="AB5136">
        <v>29</v>
      </c>
      <c r="AC5136">
        <v>4.7039999999999997</v>
      </c>
      <c r="AD5136">
        <v>-1.111501404312</v>
      </c>
      <c r="AE5136">
        <v>-20.591239999999999</v>
      </c>
      <c r="AF5136">
        <v>-4.7499340501168801</v>
      </c>
      <c r="AG5136">
        <v>-1.111501404312</v>
      </c>
      <c r="AH5136">
        <v>20.5208250912466</v>
      </c>
      <c r="AI5136">
        <v>93.020660246974998</v>
      </c>
      <c r="AJ5136">
        <v>103.032675404252</v>
      </c>
      <c r="AK5136">
        <v>21.092689996247199</v>
      </c>
      <c r="AL5136">
        <v>89.507771893077305</v>
      </c>
      <c r="AM5136">
        <v>87.879492858280102</v>
      </c>
      <c r="AN5136">
        <v>1.0000000628403101</v>
      </c>
    </row>
    <row r="5137" spans="1:40" x14ac:dyDescent="0.25">
      <c r="A5137" t="str">
        <f>"20190312154939908"</f>
        <v>20190312154939908</v>
      </c>
      <c r="B5137" t="str">
        <f>"1552376979900748"</f>
        <v>1552376979900748</v>
      </c>
      <c r="C5137" t="s">
        <v>40</v>
      </c>
      <c r="D5137">
        <v>4.6652649999999998</v>
      </c>
      <c r="E5137">
        <v>0.39920470000000002</v>
      </c>
      <c r="F5137" t="s">
        <v>42</v>
      </c>
      <c r="G5137">
        <v>-417.60789999999997</v>
      </c>
      <c r="H5137" s="1">
        <v>-1.250632E-6</v>
      </c>
      <c r="I5137">
        <v>71.452799999999996</v>
      </c>
      <c r="J5137">
        <v>-422.39519999999999</v>
      </c>
      <c r="K5137">
        <v>1.1113459999999999</v>
      </c>
      <c r="L5137">
        <v>92.254940000000005</v>
      </c>
      <c r="M5137">
        <v>-1.1829830000000001E-3</v>
      </c>
      <c r="N5137">
        <v>0</v>
      </c>
      <c r="O5137">
        <v>-0.99989890000000003</v>
      </c>
      <c r="P5137">
        <v>-3.8921799999999999E-2</v>
      </c>
      <c r="Q5137">
        <v>-5.9616769999999899E-3</v>
      </c>
      <c r="R5137">
        <v>-0.99922469999999997</v>
      </c>
      <c r="S5137">
        <v>0.68771359999999904</v>
      </c>
      <c r="T5137">
        <v>-0.1596322</v>
      </c>
      <c r="U5137">
        <v>-3.0289920000000001</v>
      </c>
      <c r="V5137">
        <v>3.7711670000000003E-2</v>
      </c>
      <c r="W5137">
        <v>8.3343649999999998E-3</v>
      </c>
      <c r="X5137">
        <v>0.99925390000000003</v>
      </c>
      <c r="Y5137">
        <v>-0.22227060000000001</v>
      </c>
      <c r="Z5137">
        <v>5.1318830000000003E-2</v>
      </c>
      <c r="AA5137">
        <v>0.97363350000000004</v>
      </c>
      <c r="AB5137">
        <v>29</v>
      </c>
      <c r="AC5137">
        <v>4.7873000000000099</v>
      </c>
      <c r="AD5137">
        <v>-1.1113472506319999</v>
      </c>
      <c r="AE5137">
        <v>-20.802140000000001</v>
      </c>
      <c r="AF5137">
        <v>-4.7988996407906601</v>
      </c>
      <c r="AG5137">
        <v>-1.1113472506319999</v>
      </c>
      <c r="AH5137">
        <v>20.740242384263301</v>
      </c>
      <c r="AI5137">
        <v>92.988405841870104</v>
      </c>
      <c r="AJ5137">
        <v>103.02789608300699</v>
      </c>
      <c r="AK5137">
        <v>21.317180503806298</v>
      </c>
      <c r="AL5137">
        <v>89.522470529360206</v>
      </c>
      <c r="AM5137">
        <v>87.838692877317598</v>
      </c>
      <c r="AN5137">
        <v>0.999999994179676</v>
      </c>
    </row>
    <row r="5138" spans="1:40" x14ac:dyDescent="0.25">
      <c r="A5138" t="str">
        <f>"20190312154939929"</f>
        <v>20190312154939929</v>
      </c>
      <c r="B5138" t="str">
        <f>"1552376979921246"</f>
        <v>1552376979921246</v>
      </c>
      <c r="C5138" t="s">
        <v>40</v>
      </c>
      <c r="D5138">
        <v>4.6493149999999996</v>
      </c>
      <c r="E5138">
        <v>0.39893869999999998</v>
      </c>
      <c r="F5138" t="s">
        <v>42</v>
      </c>
      <c r="G5138">
        <v>-417.60059999999999</v>
      </c>
      <c r="H5138" s="1">
        <v>-1.1968229999999999E-6</v>
      </c>
      <c r="I5138">
        <v>71.288960000000003</v>
      </c>
      <c r="J5138">
        <v>-422.39389999999997</v>
      </c>
      <c r="K5138">
        <v>1.111208</v>
      </c>
      <c r="L5138">
        <v>91.984499999999997</v>
      </c>
      <c r="M5138">
        <v>2.304409E-4</v>
      </c>
      <c r="N5138">
        <v>0</v>
      </c>
      <c r="O5138">
        <v>-0.99989969999999995</v>
      </c>
      <c r="P5138">
        <v>-3.8369229999999997E-2</v>
      </c>
      <c r="Q5138">
        <v>-7.4489329999999996E-3</v>
      </c>
      <c r="R5138">
        <v>-0.99923600000000001</v>
      </c>
      <c r="S5138">
        <v>0.69253540000000002</v>
      </c>
      <c r="T5138">
        <v>-0.16052259999999999</v>
      </c>
      <c r="U5138">
        <v>-3.0283199999999999</v>
      </c>
      <c r="V5138">
        <v>3.8578969999999997E-2</v>
      </c>
      <c r="W5138">
        <v>6.8318950000000002E-3</v>
      </c>
      <c r="X5138">
        <v>0.99923220000000001</v>
      </c>
      <c r="Y5138">
        <v>-0.22240950000000001</v>
      </c>
      <c r="Z5138">
        <v>5.1605659999999998E-2</v>
      </c>
      <c r="AA5138">
        <v>0.97358659999999997</v>
      </c>
      <c r="AB5138">
        <v>29</v>
      </c>
      <c r="AC5138">
        <v>4.7932999999999799</v>
      </c>
      <c r="AD5138">
        <v>-1.111209196823</v>
      </c>
      <c r="AE5138">
        <v>-20.695539999999902</v>
      </c>
      <c r="AF5138">
        <v>-4.7754637718067601</v>
      </c>
      <c r="AG5138">
        <v>-1.111209196823</v>
      </c>
      <c r="AH5138">
        <v>20.640168936360102</v>
      </c>
      <c r="AI5138">
        <v>93.002505227250793</v>
      </c>
      <c r="AJ5138">
        <v>103.027156296428</v>
      </c>
      <c r="AK5138">
        <v>21.214533080801701</v>
      </c>
      <c r="AL5138">
        <v>89.608558205547197</v>
      </c>
      <c r="AM5138">
        <v>87.788987543006797</v>
      </c>
      <c r="AN5138">
        <v>1.00000000061619</v>
      </c>
    </row>
    <row r="5139" spans="1:40" x14ac:dyDescent="0.25">
      <c r="A5139" t="str">
        <f>"20190312154939951"</f>
        <v>20190312154939951</v>
      </c>
      <c r="B5139" t="str">
        <f>"1552376979940765"</f>
        <v>1552376979940765</v>
      </c>
      <c r="C5139" t="s">
        <v>40</v>
      </c>
      <c r="D5139">
        <v>4.6393620000000002</v>
      </c>
      <c r="E5139">
        <v>0.39874579999999998</v>
      </c>
      <c r="F5139" t="s">
        <v>42</v>
      </c>
      <c r="G5139">
        <v>-417.70170000000002</v>
      </c>
      <c r="H5139" s="1">
        <v>-1.2743710000000001E-6</v>
      </c>
      <c r="I5139">
        <v>71.595879999999994</v>
      </c>
      <c r="J5139">
        <v>-422.3922</v>
      </c>
      <c r="K5139">
        <v>1.111081</v>
      </c>
      <c r="L5139">
        <v>91.694149999999993</v>
      </c>
      <c r="M5139">
        <v>1.5995650000000001E-3</v>
      </c>
      <c r="N5139">
        <v>0</v>
      </c>
      <c r="O5139">
        <v>-0.99989850000000002</v>
      </c>
      <c r="P5139">
        <v>-3.7721169999999998E-2</v>
      </c>
      <c r="Q5139">
        <v>-7.8682660000000005E-3</v>
      </c>
      <c r="R5139">
        <v>-0.99925739999999996</v>
      </c>
      <c r="S5139">
        <v>0.69680790000000004</v>
      </c>
      <c r="T5139">
        <v>-0.16501959999999999</v>
      </c>
      <c r="U5139">
        <v>-3.0278019999999999</v>
      </c>
      <c r="V5139">
        <v>3.9302440000000001E-2</v>
      </c>
      <c r="W5139">
        <v>6.3975059999999999E-3</v>
      </c>
      <c r="X5139">
        <v>0.99920690000000001</v>
      </c>
      <c r="Y5139">
        <v>-0.22239909999999999</v>
      </c>
      <c r="Z5139">
        <v>5.3047839999999999E-2</v>
      </c>
      <c r="AA5139">
        <v>0.97351149999999997</v>
      </c>
      <c r="AB5139">
        <v>29</v>
      </c>
      <c r="AC5139">
        <v>4.6904999999999797</v>
      </c>
      <c r="AD5139">
        <v>-1.1110822743709901</v>
      </c>
      <c r="AE5139">
        <v>-20.0982699999999</v>
      </c>
      <c r="AF5139">
        <v>-4.6448800493548799</v>
      </c>
      <c r="AG5139">
        <v>-1.1110822743709901</v>
      </c>
      <c r="AH5139">
        <v>20.0476437885232</v>
      </c>
      <c r="AI5139">
        <v>93.090504790006193</v>
      </c>
      <c r="AJ5139">
        <v>103.044807874379</v>
      </c>
      <c r="AK5139">
        <v>20.608673804125001</v>
      </c>
      <c r="AL5139">
        <v>89.633447413504797</v>
      </c>
      <c r="AM5139">
        <v>87.747509849076195</v>
      </c>
      <c r="AN5139">
        <v>1.00000001944029</v>
      </c>
    </row>
    <row r="5140" spans="1:40" x14ac:dyDescent="0.25">
      <c r="A5140" t="str">
        <f>"20190312154939968"</f>
        <v>20190312154939968</v>
      </c>
      <c r="B5140" t="str">
        <f>"1552376979961261"</f>
        <v>1552376979961261</v>
      </c>
      <c r="C5140" t="s">
        <v>40</v>
      </c>
      <c r="D5140">
        <v>4.6071689999999998</v>
      </c>
      <c r="E5140">
        <v>0.39861049999999998</v>
      </c>
      <c r="F5140" t="s">
        <v>42</v>
      </c>
      <c r="G5140">
        <v>-417.71010000000001</v>
      </c>
      <c r="H5140" s="1">
        <v>-1.221528E-6</v>
      </c>
      <c r="I5140">
        <v>71.447140000000005</v>
      </c>
      <c r="J5140">
        <v>-422.39080000000001</v>
      </c>
      <c r="K5140">
        <v>1.1110009999999999</v>
      </c>
      <c r="L5140">
        <v>91.487849999999995</v>
      </c>
      <c r="M5140">
        <v>2.494212E-3</v>
      </c>
      <c r="N5140">
        <v>0</v>
      </c>
      <c r="O5140">
        <v>-0.99989680000000003</v>
      </c>
      <c r="P5140">
        <v>-3.7090140000000001E-2</v>
      </c>
      <c r="Q5140">
        <v>-7.3867669999999998E-3</v>
      </c>
      <c r="R5140">
        <v>-0.99928499999999998</v>
      </c>
      <c r="S5140">
        <v>0.70007319999999995</v>
      </c>
      <c r="T5140">
        <v>-0.16612950000000001</v>
      </c>
      <c r="U5140">
        <v>-3.0273439999999998</v>
      </c>
      <c r="V5140">
        <v>3.9565549999999998E-2</v>
      </c>
      <c r="W5140">
        <v>6.8676569999999897E-3</v>
      </c>
      <c r="X5140">
        <v>0.99919340000000001</v>
      </c>
      <c r="Y5140">
        <v>-0.22255169999999999</v>
      </c>
      <c r="Z5140">
        <v>5.3403970000000002E-2</v>
      </c>
      <c r="AA5140">
        <v>0.97345709999999996</v>
      </c>
      <c r="AB5140">
        <v>29</v>
      </c>
      <c r="AC5140">
        <v>4.6806999999999999</v>
      </c>
      <c r="AD5140">
        <v>-1.111002221528</v>
      </c>
      <c r="AE5140">
        <v>-20.040709999999901</v>
      </c>
      <c r="AF5140">
        <v>-4.6172385686710298</v>
      </c>
      <c r="AG5140">
        <v>-1.111002221528</v>
      </c>
      <c r="AH5140">
        <v>19.994054510843998</v>
      </c>
      <c r="AI5140">
        <v>93.0990662935599</v>
      </c>
      <c r="AJ5140">
        <v>103.003393588279</v>
      </c>
      <c r="AK5140">
        <v>20.550314686614001</v>
      </c>
      <c r="AL5140">
        <v>89.606509155024298</v>
      </c>
      <c r="AM5140">
        <v>87.732415648057597</v>
      </c>
      <c r="AN5140">
        <v>1.0000000240315099</v>
      </c>
    </row>
    <row r="5141" spans="1:40" x14ac:dyDescent="0.25">
      <c r="A5141" t="str">
        <f>"20190312154940035"</f>
        <v>20190312154940035</v>
      </c>
      <c r="B5141" t="str">
        <f>"1552376980031533"</f>
        <v>1552376980031533</v>
      </c>
      <c r="C5141" t="s">
        <v>40</v>
      </c>
      <c r="D5141">
        <v>4.6354829999999998</v>
      </c>
      <c r="E5141">
        <v>0.39810610000000002</v>
      </c>
      <c r="F5141" t="s">
        <v>42</v>
      </c>
      <c r="G5141">
        <v>-417.66629999999998</v>
      </c>
      <c r="H5141" s="1">
        <v>-1.132072E-6</v>
      </c>
      <c r="I5141">
        <v>71.150030000000001</v>
      </c>
      <c r="J5141">
        <v>-422.38409999999999</v>
      </c>
      <c r="K5141">
        <v>1.110717</v>
      </c>
      <c r="L5141">
        <v>90.640050000000002</v>
      </c>
      <c r="M5141">
        <v>5.4608599999999997E-3</v>
      </c>
      <c r="N5141">
        <v>0</v>
      </c>
      <c r="O5141">
        <v>-0.99988520000000003</v>
      </c>
      <c r="P5141">
        <v>-3.4624479999999999E-2</v>
      </c>
      <c r="Q5141">
        <v>-6.9297680000000002E-3</v>
      </c>
      <c r="R5141">
        <v>-0.99937679999999995</v>
      </c>
      <c r="S5141">
        <v>0.70318599999999998</v>
      </c>
      <c r="T5141">
        <v>-0.16535759999999999</v>
      </c>
      <c r="U5141">
        <v>-3.0270079999999999</v>
      </c>
      <c r="V5141">
        <v>4.0068899999999998E-2</v>
      </c>
      <c r="W5141">
        <v>7.2824949999999999E-3</v>
      </c>
      <c r="X5141">
        <v>0.99917040000000001</v>
      </c>
      <c r="Y5141">
        <v>-0.22063559999999999</v>
      </c>
      <c r="Z5141">
        <v>5.3166989999999997E-2</v>
      </c>
      <c r="AA5141">
        <v>0.97390620000000006</v>
      </c>
      <c r="AB5141">
        <v>29</v>
      </c>
      <c r="AC5141">
        <v>4.7178000000000102</v>
      </c>
      <c r="AD5141">
        <v>-1.1107181320720001</v>
      </c>
      <c r="AE5141">
        <v>-19.490020000000001</v>
      </c>
      <c r="AF5141">
        <v>-4.5971826367046003</v>
      </c>
      <c r="AG5141">
        <v>-1.1107181320720001</v>
      </c>
      <c r="AH5141">
        <v>19.455804977386201</v>
      </c>
      <c r="AI5141">
        <v>93.180047149739394</v>
      </c>
      <c r="AJ5141">
        <v>103.294492108227</v>
      </c>
      <c r="AK5141">
        <v>20.022390723442999</v>
      </c>
      <c r="AL5141">
        <v>89.5827400921943</v>
      </c>
      <c r="AM5141">
        <v>87.703545493708006</v>
      </c>
      <c r="AN5141">
        <v>1.00000001985839</v>
      </c>
    </row>
    <row r="5142" spans="1:40" x14ac:dyDescent="0.25">
      <c r="A5142" t="str">
        <f>"20190312154940050"</f>
        <v>20190312154940050</v>
      </c>
      <c r="B5142" t="str">
        <f>"1552376980041293"</f>
        <v>1552376980041293</v>
      </c>
      <c r="C5142" t="s">
        <v>40</v>
      </c>
      <c r="D5142">
        <v>4.6584529999999997</v>
      </c>
      <c r="E5142">
        <v>0.3980167</v>
      </c>
      <c r="F5142" t="s">
        <v>42</v>
      </c>
      <c r="G5142">
        <v>-417.50670000000002</v>
      </c>
      <c r="H5142" s="1">
        <v>-7.7830159999999895E-7</v>
      </c>
      <c r="I5142">
        <v>69.985730000000004</v>
      </c>
      <c r="J5142">
        <v>-422.38240000000002</v>
      </c>
      <c r="K5142">
        <v>1.1106609999999999</v>
      </c>
      <c r="L5142">
        <v>90.445160000000001</v>
      </c>
      <c r="M5142">
        <v>6.0328519999999896E-3</v>
      </c>
      <c r="N5142">
        <v>0</v>
      </c>
      <c r="O5142">
        <v>-0.99988189999999999</v>
      </c>
      <c r="P5142">
        <v>-3.5913979999999998E-2</v>
      </c>
      <c r="Q5142">
        <v>-7.155331E-3</v>
      </c>
      <c r="R5142">
        <v>-0.99932940000000003</v>
      </c>
      <c r="S5142">
        <v>0.71444700000000005</v>
      </c>
      <c r="T5142">
        <v>-0.16270009999999999</v>
      </c>
      <c r="U5142">
        <v>-3.0254819999999998</v>
      </c>
      <c r="V5142">
        <v>4.1931009999999998E-2</v>
      </c>
      <c r="W5142">
        <v>7.0507590000000002E-3</v>
      </c>
      <c r="X5142">
        <v>0.99909559999999997</v>
      </c>
      <c r="Y5142">
        <v>-0.22363169999999999</v>
      </c>
      <c r="Z5142">
        <v>5.2300369999999999E-2</v>
      </c>
      <c r="AA5142">
        <v>0.97326950000000001</v>
      </c>
      <c r="AB5142">
        <v>28</v>
      </c>
      <c r="AC5142">
        <v>4.8756999999999904</v>
      </c>
      <c r="AD5142">
        <v>-1.1106617783016</v>
      </c>
      <c r="AE5142">
        <v>-20.459430000000001</v>
      </c>
      <c r="AF5142">
        <v>-4.73895513348947</v>
      </c>
      <c r="AG5142">
        <v>-1.1106617783016</v>
      </c>
      <c r="AH5142">
        <v>20.431499530527301</v>
      </c>
      <c r="AI5142">
        <v>93.031238540000999</v>
      </c>
      <c r="AJ5142">
        <v>103.058483490661</v>
      </c>
      <c r="AK5142">
        <v>21.003272088151999</v>
      </c>
      <c r="AL5142">
        <v>89.596017907711897</v>
      </c>
      <c r="AM5142">
        <v>87.596765687795994</v>
      </c>
      <c r="AN5142">
        <v>0.99999997037072696</v>
      </c>
    </row>
    <row r="5143" spans="1:40" x14ac:dyDescent="0.25">
      <c r="A5143" t="str">
        <f>"20190312154940062"</f>
        <v>20190312154940062</v>
      </c>
      <c r="B5143" t="str">
        <f>"1552376980051053"</f>
        <v>1552376980051053</v>
      </c>
      <c r="C5143" t="s">
        <v>40</v>
      </c>
      <c r="D5143">
        <v>4.6551999999999998</v>
      </c>
      <c r="E5143">
        <v>0.3979722</v>
      </c>
      <c r="F5143" t="s">
        <v>42</v>
      </c>
      <c r="G5143">
        <v>-417.49110000000002</v>
      </c>
      <c r="H5143" s="1">
        <v>-6.668523E-7</v>
      </c>
      <c r="I5143">
        <v>69.645969999999906</v>
      </c>
      <c r="J5143">
        <v>-422.3809</v>
      </c>
      <c r="K5143">
        <v>1.1106210000000001</v>
      </c>
      <c r="L5143">
        <v>90.27234</v>
      </c>
      <c r="M5143">
        <v>6.520288E-3</v>
      </c>
      <c r="N5143">
        <v>0</v>
      </c>
      <c r="O5143">
        <v>-0.99987890000000001</v>
      </c>
      <c r="P5143">
        <v>-3.6442170000000003E-2</v>
      </c>
      <c r="Q5143">
        <v>-7.2751229999999997E-3</v>
      </c>
      <c r="R5143">
        <v>-0.99930940000000001</v>
      </c>
      <c r="S5143">
        <v>0.711731</v>
      </c>
      <c r="T5143">
        <v>-0.16160910000000001</v>
      </c>
      <c r="U5143">
        <v>-3.0264280000000001</v>
      </c>
      <c r="V5143">
        <v>4.2946980000000003E-2</v>
      </c>
      <c r="W5143">
        <v>6.9253530000000004E-3</v>
      </c>
      <c r="X5143">
        <v>0.99905339999999998</v>
      </c>
      <c r="Y5143">
        <v>-0.22226499999999999</v>
      </c>
      <c r="Z5143">
        <v>5.194812E-2</v>
      </c>
      <c r="AA5143">
        <v>0.97360139999999995</v>
      </c>
      <c r="AB5143">
        <v>28</v>
      </c>
      <c r="AC5143">
        <v>4.8897999999999797</v>
      </c>
      <c r="AD5143">
        <v>-1.1106216668522999</v>
      </c>
      <c r="AE5143">
        <v>-20.626370000000001</v>
      </c>
      <c r="AF5143">
        <v>-4.7421755172697804</v>
      </c>
      <c r="AG5143">
        <v>-1.1106216668522999</v>
      </c>
      <c r="AH5143">
        <v>20.601267301438099</v>
      </c>
      <c r="AI5143">
        <v>93.007352225599007</v>
      </c>
      <c r="AJ5143">
        <v>102.963023563286</v>
      </c>
      <c r="AK5143">
        <v>21.169173898590799</v>
      </c>
      <c r="AL5143">
        <v>89.603203349428597</v>
      </c>
      <c r="AM5143">
        <v>87.538503302080102</v>
      </c>
      <c r="AN5143">
        <v>1.0000000498284201</v>
      </c>
    </row>
    <row r="5144" spans="1:40" x14ac:dyDescent="0.25">
      <c r="A5144" t="str">
        <f>"20190312154940087"</f>
        <v>20190312154940087</v>
      </c>
      <c r="B5144" t="str">
        <f>"1552376980081309"</f>
        <v>1552376980081309</v>
      </c>
      <c r="C5144" t="s">
        <v>40</v>
      </c>
      <c r="D5144">
        <v>5.0581250000000004</v>
      </c>
      <c r="E5144">
        <v>0.39838519999999999</v>
      </c>
      <c r="F5144" t="s">
        <v>42</v>
      </c>
      <c r="G5144">
        <v>-417.50869999999998</v>
      </c>
      <c r="H5144" s="1">
        <v>-4.6778590000000001E-6</v>
      </c>
      <c r="I5144">
        <v>69.50685</v>
      </c>
      <c r="J5144">
        <v>-422.37810000000002</v>
      </c>
      <c r="K5144">
        <v>1.1105560000000001</v>
      </c>
      <c r="L5144">
        <v>89.980530000000002</v>
      </c>
      <c r="M5144">
        <v>7.249953E-3</v>
      </c>
      <c r="N5144">
        <v>0</v>
      </c>
      <c r="O5144">
        <v>-0.99987380000000003</v>
      </c>
      <c r="P5144">
        <v>-3.6964619999999997E-2</v>
      </c>
      <c r="Q5144">
        <v>-7.127563E-3</v>
      </c>
      <c r="R5144">
        <v>-0.99929129999999999</v>
      </c>
      <c r="S5144">
        <v>0.71017459999999999</v>
      </c>
      <c r="T5144">
        <v>-0.16188569999999999</v>
      </c>
      <c r="U5144">
        <v>-3.0267940000000002</v>
      </c>
      <c r="V5144">
        <v>4.419932E-2</v>
      </c>
      <c r="W5144">
        <v>7.0622019999999897E-3</v>
      </c>
      <c r="X5144">
        <v>0.99899769999999999</v>
      </c>
      <c r="Y5144">
        <v>-0.22105159999999999</v>
      </c>
      <c r="Z5144">
        <v>5.2040580000000003E-2</v>
      </c>
      <c r="AA5144">
        <v>0.97387270000000004</v>
      </c>
      <c r="AB5144">
        <v>28</v>
      </c>
      <c r="AC5144">
        <v>4.8694000000000397</v>
      </c>
      <c r="AD5144">
        <v>-1.11056067785899</v>
      </c>
      <c r="AE5144">
        <v>-20.473679999999899</v>
      </c>
      <c r="AF5144">
        <v>-4.7077138506762699</v>
      </c>
      <c r="AG5144">
        <v>-1.11056067785899</v>
      </c>
      <c r="AH5144">
        <v>20.451494692099701</v>
      </c>
      <c r="AI5144">
        <v>93.029168616816193</v>
      </c>
      <c r="AJ5144">
        <v>102.96306153166999</v>
      </c>
      <c r="AK5144">
        <v>21.015697701005202</v>
      </c>
      <c r="AL5144">
        <v>89.595362239264006</v>
      </c>
      <c r="AM5144">
        <v>87.466676833924794</v>
      </c>
      <c r="AN5144">
        <v>0.99999992959541795</v>
      </c>
    </row>
    <row r="5145" spans="1:40" x14ac:dyDescent="0.25">
      <c r="A5145" t="str">
        <f>"20190312154940108"</f>
        <v>20190312154940108</v>
      </c>
      <c r="B5145" t="str">
        <f>"1552376980100829"</f>
        <v>1552376980100829</v>
      </c>
      <c r="C5145" t="s">
        <v>40</v>
      </c>
      <c r="D5145">
        <v>4.8690800000000003</v>
      </c>
      <c r="E5145">
        <v>0.39908650000000001</v>
      </c>
      <c r="F5145" t="s">
        <v>42</v>
      </c>
      <c r="G5145">
        <v>-417.49040000000002</v>
      </c>
      <c r="H5145" s="1">
        <v>-4.4623060000000002E-6</v>
      </c>
      <c r="I5145">
        <v>68.996849999999995</v>
      </c>
      <c r="J5145">
        <v>-422.37529999999998</v>
      </c>
      <c r="K5145">
        <v>1.110484</v>
      </c>
      <c r="L5145">
        <v>89.703519999999997</v>
      </c>
      <c r="M5145">
        <v>7.8355819999999902E-3</v>
      </c>
      <c r="N5145">
        <v>0</v>
      </c>
      <c r="O5145">
        <v>-0.99986949999999997</v>
      </c>
      <c r="P5145">
        <v>-3.73765E-2</v>
      </c>
      <c r="Q5145">
        <v>-7.6190939999999999E-3</v>
      </c>
      <c r="R5145">
        <v>-0.99927259999999996</v>
      </c>
      <c r="S5145">
        <v>0.70507810000000004</v>
      </c>
      <c r="T5145">
        <v>-0.1602075</v>
      </c>
      <c r="U5145">
        <v>-3.027069</v>
      </c>
      <c r="V5145">
        <v>4.5198049999999997E-2</v>
      </c>
      <c r="W5145">
        <v>6.5586730000000001E-3</v>
      </c>
      <c r="X5145">
        <v>0.99895650000000002</v>
      </c>
      <c r="Y5145">
        <v>-0.21891169999999999</v>
      </c>
      <c r="Z5145">
        <v>5.151998E-2</v>
      </c>
      <c r="AA5145">
        <v>0.97438360000000002</v>
      </c>
      <c r="AB5145">
        <v>28</v>
      </c>
      <c r="AC5145">
        <v>4.8848999999999503</v>
      </c>
      <c r="AD5145">
        <v>-1.1104884623060001</v>
      </c>
      <c r="AE5145">
        <v>-20.706669999999999</v>
      </c>
      <c r="AF5145">
        <v>-4.70965357056423</v>
      </c>
      <c r="AG5145">
        <v>-1.1104884623060001</v>
      </c>
      <c r="AH5145">
        <v>20.687949812040099</v>
      </c>
      <c r="AI5145">
        <v>92.996065474097193</v>
      </c>
      <c r="AJ5145">
        <v>102.824928878696</v>
      </c>
      <c r="AK5145">
        <v>21.246300591047198</v>
      </c>
      <c r="AL5145">
        <v>89.624213017845705</v>
      </c>
      <c r="AM5145">
        <v>87.409404163859605</v>
      </c>
      <c r="AN5145">
        <v>0.99999998440378601</v>
      </c>
    </row>
    <row r="5146" spans="1:40" x14ac:dyDescent="0.25">
      <c r="A5146" t="str">
        <f>"20190312154940131"</f>
        <v>20190312154940131</v>
      </c>
      <c r="B5146" t="str">
        <f>"1552376980121325"</f>
        <v>1552376980121325</v>
      </c>
      <c r="C5146" t="s">
        <v>40</v>
      </c>
      <c r="D5146">
        <v>4.7658870000000002</v>
      </c>
      <c r="E5146">
        <v>0.49069629999999997</v>
      </c>
      <c r="F5146" t="s">
        <v>42</v>
      </c>
      <c r="G5146">
        <v>-417.49560000000002</v>
      </c>
      <c r="H5146" s="1">
        <v>-4.2713549999999997E-6</v>
      </c>
      <c r="I5146">
        <v>68.55386</v>
      </c>
      <c r="J5146">
        <v>-422.3725</v>
      </c>
      <c r="K5146">
        <v>1.1104149999999999</v>
      </c>
      <c r="L5146">
        <v>89.425319999999999</v>
      </c>
      <c r="M5146">
        <v>8.3493230000000005E-3</v>
      </c>
      <c r="N5146">
        <v>0</v>
      </c>
      <c r="O5146">
        <v>-0.99986529999999996</v>
      </c>
      <c r="P5146">
        <v>-3.7983950000000002E-2</v>
      </c>
      <c r="Q5146">
        <v>-7.8508169999999995E-3</v>
      </c>
      <c r="R5146">
        <v>-0.99924760000000001</v>
      </c>
      <c r="S5146">
        <v>0.69842530000000003</v>
      </c>
      <c r="T5146">
        <v>-0.15894150000000001</v>
      </c>
      <c r="U5146">
        <v>-3.0270999999999999</v>
      </c>
      <c r="V5146">
        <v>4.6319979999999997E-2</v>
      </c>
      <c r="W5146">
        <v>6.3150139999999999E-3</v>
      </c>
      <c r="X5146">
        <v>0.99890670000000004</v>
      </c>
      <c r="Y5146">
        <v>-0.21637960000000001</v>
      </c>
      <c r="Z5146">
        <v>5.1140230000000002E-2</v>
      </c>
      <c r="AA5146">
        <v>0.97496899999999997</v>
      </c>
      <c r="AB5146">
        <v>28</v>
      </c>
      <c r="AC5146">
        <v>4.8768999999999698</v>
      </c>
      <c r="AD5146">
        <v>-1.1104192713549901</v>
      </c>
      <c r="AE5146">
        <v>-20.871459999999999</v>
      </c>
      <c r="AF5146">
        <v>-4.6898624646116502</v>
      </c>
      <c r="AG5146">
        <v>-1.1104192713549901</v>
      </c>
      <c r="AH5146">
        <v>20.855479309046</v>
      </c>
      <c r="AI5146">
        <v>92.973631063617901</v>
      </c>
      <c r="AJ5146">
        <v>102.67353128167299</v>
      </c>
      <c r="AK5146">
        <v>21.405112896343599</v>
      </c>
      <c r="AL5146">
        <v>89.638173948065301</v>
      </c>
      <c r="AM5146">
        <v>87.345057742065293</v>
      </c>
      <c r="AN5146">
        <v>1.00000000762695</v>
      </c>
    </row>
    <row r="5147" spans="1:40" x14ac:dyDescent="0.25">
      <c r="A5147" t="str">
        <f>"20190312154940152"</f>
        <v>20190312154940152</v>
      </c>
      <c r="B5147" t="str">
        <f>"1552376980140845"</f>
        <v>1552376980140845</v>
      </c>
      <c r="C5147" t="s">
        <v>40</v>
      </c>
      <c r="D5147">
        <v>4.7701180000000001</v>
      </c>
      <c r="E5147">
        <v>0.49569410000000003</v>
      </c>
      <c r="F5147" t="s">
        <v>42</v>
      </c>
      <c r="G5147">
        <v>-422.74439999999998</v>
      </c>
      <c r="H5147" s="1">
        <v>-4.3669719999999999E-6</v>
      </c>
      <c r="I5147">
        <v>58.388809999999999</v>
      </c>
      <c r="J5147">
        <v>-422.36959999999999</v>
      </c>
      <c r="K5147">
        <v>1.110352</v>
      </c>
      <c r="L5147">
        <v>89.144350000000003</v>
      </c>
      <c r="M5147">
        <v>8.8079919999999902E-3</v>
      </c>
      <c r="N5147">
        <v>0</v>
      </c>
      <c r="O5147">
        <v>-0.99986140000000001</v>
      </c>
      <c r="P5147">
        <v>-3.8477360000000002E-2</v>
      </c>
      <c r="Q5147">
        <v>-7.6606019999999999E-3</v>
      </c>
      <c r="R5147">
        <v>-0.99923010000000001</v>
      </c>
      <c r="S5147">
        <v>-3.5949710000000003E-2</v>
      </c>
      <c r="T5147">
        <v>-0.1073346</v>
      </c>
      <c r="U5147">
        <v>-3.0000309999999999</v>
      </c>
      <c r="V5147">
        <v>4.727228E-2</v>
      </c>
      <c r="W5147">
        <v>6.4938249999999999E-3</v>
      </c>
      <c r="X5147">
        <v>0.998861</v>
      </c>
      <c r="Y5147">
        <v>2.0782370000000001E-2</v>
      </c>
      <c r="Z5147">
        <v>3.574774E-2</v>
      </c>
      <c r="AA5147">
        <v>0.9991447</v>
      </c>
      <c r="AB5147">
        <v>28</v>
      </c>
      <c r="AC5147">
        <v>-0.37479999999999303</v>
      </c>
      <c r="AD5147">
        <v>-1.110356366972</v>
      </c>
      <c r="AE5147">
        <v>-30.75554</v>
      </c>
      <c r="AF5147">
        <v>0.64486665274099098</v>
      </c>
      <c r="AG5147">
        <v>-1.110356366972</v>
      </c>
      <c r="AH5147">
        <v>30.711022320755301</v>
      </c>
      <c r="AI5147">
        <v>92.070169857338996</v>
      </c>
      <c r="AJ5147">
        <v>88.797086325668403</v>
      </c>
      <c r="AK5147">
        <v>30.7378534749488</v>
      </c>
      <c r="AL5147">
        <v>89.6279286447609</v>
      </c>
      <c r="AM5147">
        <v>87.290431094491197</v>
      </c>
      <c r="AN5147">
        <v>1.0000000677702601</v>
      </c>
    </row>
    <row r="5148" spans="1:40" x14ac:dyDescent="0.25">
      <c r="A5148" t="str">
        <f>"20190312154940175"</f>
        <v>20190312154940175</v>
      </c>
      <c r="B5148" t="str">
        <f>"1552376980171102"</f>
        <v>1552376980171102</v>
      </c>
      <c r="C5148" t="s">
        <v>40</v>
      </c>
      <c r="D5148">
        <v>4.7278560000000001</v>
      </c>
      <c r="E5148">
        <v>0.49813069999999998</v>
      </c>
      <c r="F5148" t="s">
        <v>42</v>
      </c>
      <c r="G5148">
        <v>-423.13940000000002</v>
      </c>
      <c r="H5148" s="1">
        <v>-4.7656580000000001E-6</v>
      </c>
      <c r="I5148">
        <v>59.354460000000003</v>
      </c>
      <c r="J5148">
        <v>-422.36669999999998</v>
      </c>
      <c r="K5148">
        <v>1.110306</v>
      </c>
      <c r="L5148">
        <v>88.868530000000007</v>
      </c>
      <c r="M5148">
        <v>9.2092739999999999E-3</v>
      </c>
      <c r="N5148">
        <v>0</v>
      </c>
      <c r="O5148">
        <v>-0.99985789999999997</v>
      </c>
      <c r="P5148">
        <v>-3.9729960000000002E-2</v>
      </c>
      <c r="Q5148">
        <v>-7.2863939999999999E-3</v>
      </c>
      <c r="R5148">
        <v>-0.99918390000000001</v>
      </c>
      <c r="S5148">
        <v>-7.7484129999999998E-2</v>
      </c>
      <c r="T5148">
        <v>-0.1117619</v>
      </c>
      <c r="U5148">
        <v>-2.9984739999999999</v>
      </c>
      <c r="V5148">
        <v>4.8925730000000001E-2</v>
      </c>
      <c r="W5148">
        <v>6.8590739999999997E-3</v>
      </c>
      <c r="X5148">
        <v>0.99877890000000003</v>
      </c>
      <c r="Y5148">
        <v>3.5020679999999998E-2</v>
      </c>
      <c r="Z5148">
        <v>3.7227070000000001E-2</v>
      </c>
      <c r="AA5148">
        <v>0.99869300000000005</v>
      </c>
      <c r="AB5148">
        <v>28</v>
      </c>
      <c r="AC5148">
        <v>-0.77270000000004202</v>
      </c>
      <c r="AD5148">
        <v>-1.110310765658</v>
      </c>
      <c r="AE5148">
        <v>-29.51407</v>
      </c>
      <c r="AF5148">
        <v>1.0430223636564999</v>
      </c>
      <c r="AG5148">
        <v>-1.110310765658</v>
      </c>
      <c r="AH5148">
        <v>29.464031263067799</v>
      </c>
      <c r="AI5148">
        <v>92.156740424168504</v>
      </c>
      <c r="AJ5148">
        <v>87.972584452896299</v>
      </c>
      <c r="AK5148">
        <v>29.503386651678799</v>
      </c>
      <c r="AL5148">
        <v>89.607000939606493</v>
      </c>
      <c r="AM5148">
        <v>87.195576658687898</v>
      </c>
      <c r="AN5148">
        <v>1.00000003251868</v>
      </c>
    </row>
    <row r="5149" spans="1:40" x14ac:dyDescent="0.25">
      <c r="A5149" t="str">
        <f>"20190312154940197"</f>
        <v>20190312154940197</v>
      </c>
      <c r="B5149" t="str">
        <f>"1552376980190621"</f>
        <v>1552376980190621</v>
      </c>
      <c r="C5149" t="s">
        <v>40</v>
      </c>
      <c r="D5149">
        <v>4.7303579999999998</v>
      </c>
      <c r="E5149">
        <v>0.4988377</v>
      </c>
      <c r="F5149" t="s">
        <v>42</v>
      </c>
      <c r="G5149">
        <v>-423.36180000000002</v>
      </c>
      <c r="H5149" s="1">
        <v>-4.7411290000000004E-6</v>
      </c>
      <c r="I5149">
        <v>59.166449999999998</v>
      </c>
      <c r="J5149">
        <v>-422.36369999999999</v>
      </c>
      <c r="K5149">
        <v>1.1102780000000001</v>
      </c>
      <c r="L5149">
        <v>88.58569</v>
      </c>
      <c r="M5149">
        <v>9.5834900000000001E-3</v>
      </c>
      <c r="N5149">
        <v>0</v>
      </c>
      <c r="O5149">
        <v>-0.99985449999999998</v>
      </c>
      <c r="P5149">
        <v>-4.1232459999999999E-2</v>
      </c>
      <c r="Q5149">
        <v>-6.8396219999999897E-3</v>
      </c>
      <c r="R5149">
        <v>-0.99912639999999997</v>
      </c>
      <c r="S5149">
        <v>-0.1004333</v>
      </c>
      <c r="T5149">
        <v>-0.1120558</v>
      </c>
      <c r="U5149">
        <v>-2.99762</v>
      </c>
      <c r="V5149">
        <v>5.0801590000000001E-2</v>
      </c>
      <c r="W5149">
        <v>7.2987069999999998E-3</v>
      </c>
      <c r="X5149">
        <v>0.99868210000000002</v>
      </c>
      <c r="Y5149">
        <v>4.3039769999999998E-2</v>
      </c>
      <c r="Z5149">
        <v>3.7325160000000003E-2</v>
      </c>
      <c r="AA5149">
        <v>0.99837589999999998</v>
      </c>
      <c r="AB5149">
        <v>28</v>
      </c>
      <c r="AC5149">
        <v>-0.99810000000002197</v>
      </c>
      <c r="AD5149">
        <v>-1.1102827411289999</v>
      </c>
      <c r="AE5149">
        <v>-29.419239999999999</v>
      </c>
      <c r="AF5149">
        <v>1.27820276115437</v>
      </c>
      <c r="AG5149">
        <v>-1.1102827411289999</v>
      </c>
      <c r="AH5149">
        <v>29.366543536763999</v>
      </c>
      <c r="AI5149">
        <v>92.163146740075007</v>
      </c>
      <c r="AJ5149">
        <v>87.507727534577896</v>
      </c>
      <c r="AK5149">
        <v>29.415309098503901</v>
      </c>
      <c r="AL5149">
        <v>89.581811182036105</v>
      </c>
      <c r="AM5149">
        <v>87.087952229135098</v>
      </c>
      <c r="AN5149">
        <v>1.0000000047654001</v>
      </c>
    </row>
    <row r="5150" spans="1:40" x14ac:dyDescent="0.25">
      <c r="A5150" t="str">
        <f>"20190312154940218"</f>
        <v>20190312154940218</v>
      </c>
      <c r="B5150" t="str">
        <f>"1552376980211118"</f>
        <v>1552376980211118</v>
      </c>
      <c r="C5150" t="s">
        <v>40</v>
      </c>
      <c r="D5150">
        <v>4.7345230000000003</v>
      </c>
      <c r="E5150">
        <v>0.49938009999999999</v>
      </c>
      <c r="F5150" t="s">
        <v>42</v>
      </c>
      <c r="G5150">
        <v>-423.45940000000002</v>
      </c>
      <c r="H5150" s="1">
        <v>-4.6369280000000004E-6</v>
      </c>
      <c r="I5150">
        <v>58.80941</v>
      </c>
      <c r="J5150">
        <v>-422.36070000000001</v>
      </c>
      <c r="K5150">
        <v>1.110266</v>
      </c>
      <c r="L5150">
        <v>88.311189999999996</v>
      </c>
      <c r="M5150">
        <v>9.9263990000000007E-3</v>
      </c>
      <c r="N5150">
        <v>0</v>
      </c>
      <c r="O5150">
        <v>-0.99985139999999995</v>
      </c>
      <c r="P5150">
        <v>-4.2956639999999997E-2</v>
      </c>
      <c r="Q5150">
        <v>-6.2828449999999996E-3</v>
      </c>
      <c r="R5150">
        <v>-0.99905750000000004</v>
      </c>
      <c r="S5150">
        <v>-0.1102905</v>
      </c>
      <c r="T5150">
        <v>-0.1117612</v>
      </c>
      <c r="U5150">
        <v>-2.9972840000000001</v>
      </c>
      <c r="V5150">
        <v>5.2867400000000002E-2</v>
      </c>
      <c r="W5150">
        <v>7.8499150000000007E-3</v>
      </c>
      <c r="X5150">
        <v>0.99857070000000003</v>
      </c>
      <c r="Y5150">
        <v>4.6665310000000002E-2</v>
      </c>
      <c r="Z5150">
        <v>3.7225979999999999E-2</v>
      </c>
      <c r="AA5150">
        <v>0.99821669999999996</v>
      </c>
      <c r="AB5150">
        <v>28</v>
      </c>
      <c r="AC5150">
        <v>-1.0987</v>
      </c>
      <c r="AD5150">
        <v>-1.110270636928</v>
      </c>
      <c r="AE5150">
        <v>-29.50178</v>
      </c>
      <c r="AF5150">
        <v>1.3895560589088001</v>
      </c>
      <c r="AG5150">
        <v>-1.110270636928</v>
      </c>
      <c r="AH5150">
        <v>29.4477693151422</v>
      </c>
      <c r="AI5150">
        <v>92.156805157233407</v>
      </c>
      <c r="AJ5150">
        <v>87.298379919004503</v>
      </c>
      <c r="AK5150">
        <v>29.501435296708902</v>
      </c>
      <c r="AL5150">
        <v>89.550228387498606</v>
      </c>
      <c r="AM5150">
        <v>86.969414878592602</v>
      </c>
      <c r="AN5150">
        <v>1.0000000130233699</v>
      </c>
    </row>
    <row r="5151" spans="1:40" x14ac:dyDescent="0.25">
      <c r="A5151" t="str">
        <f>"20190312154940242"</f>
        <v>20190312154940242</v>
      </c>
      <c r="B5151" t="str">
        <f>"1552376980230637"</f>
        <v>1552376980230637</v>
      </c>
      <c r="C5151" t="s">
        <v>40</v>
      </c>
      <c r="D5151">
        <v>4.7739989999999999</v>
      </c>
      <c r="E5151">
        <v>0.49975170000000002</v>
      </c>
      <c r="F5151" t="s">
        <v>42</v>
      </c>
      <c r="G5151">
        <v>-423.55489999999998</v>
      </c>
      <c r="H5151" s="1">
        <v>-4.501553E-6</v>
      </c>
      <c r="I5151">
        <v>58.361820000000002</v>
      </c>
      <c r="J5151">
        <v>-422.35739999999998</v>
      </c>
      <c r="K5151">
        <v>1.110266</v>
      </c>
      <c r="L5151">
        <v>88.024169999999998</v>
      </c>
      <c r="M5151">
        <v>1.027927E-2</v>
      </c>
      <c r="N5151">
        <v>0</v>
      </c>
      <c r="O5151">
        <v>-0.99984759999999995</v>
      </c>
      <c r="P5151">
        <v>-4.4438499999999999E-2</v>
      </c>
      <c r="Q5151">
        <v>-5.4625530000000002E-3</v>
      </c>
      <c r="R5151">
        <v>-0.99899720000000003</v>
      </c>
      <c r="S5151">
        <v>-0.1195068</v>
      </c>
      <c r="T5151">
        <v>-0.11110390000000001</v>
      </c>
      <c r="U5151">
        <v>-2.9970089999999998</v>
      </c>
      <c r="V5151">
        <v>5.4700600000000002E-2</v>
      </c>
      <c r="W5151">
        <v>8.6652789999999997E-3</v>
      </c>
      <c r="X5151">
        <v>0.99846520000000005</v>
      </c>
      <c r="Y5151">
        <v>5.0086430000000001E-2</v>
      </c>
      <c r="Z5151">
        <v>3.700527E-2</v>
      </c>
      <c r="AA5151">
        <v>0.99805909999999998</v>
      </c>
      <c r="AB5151">
        <v>28</v>
      </c>
      <c r="AC5151">
        <v>-1.19749999999999</v>
      </c>
      <c r="AD5151">
        <v>-1.1102705015530001</v>
      </c>
      <c r="AE5151">
        <v>-29.66235</v>
      </c>
      <c r="AF5151">
        <v>1.50027587759169</v>
      </c>
      <c r="AG5151">
        <v>-1.1102705015530001</v>
      </c>
      <c r="AH5151">
        <v>29.607059090186699</v>
      </c>
      <c r="AI5151">
        <v>92.144847240423502</v>
      </c>
      <c r="AJ5151">
        <v>87.099137242932798</v>
      </c>
      <c r="AK5151">
        <v>29.665830112526901</v>
      </c>
      <c r="AL5151">
        <v>89.503509871114602</v>
      </c>
      <c r="AM5151">
        <v>86.864203564281894</v>
      </c>
      <c r="AN5151">
        <v>0.99999999915577398</v>
      </c>
    </row>
    <row r="5152" spans="1:40" x14ac:dyDescent="0.25">
      <c r="A5152" t="str">
        <f>"20190312154940264"</f>
        <v>20190312154940264</v>
      </c>
      <c r="B5152" t="str">
        <f>"1552376980260893"</f>
        <v>1552376980260893</v>
      </c>
      <c r="C5152" t="s">
        <v>40</v>
      </c>
      <c r="D5152">
        <v>4.7488679999999999</v>
      </c>
      <c r="E5152">
        <v>0.50005849999999996</v>
      </c>
      <c r="F5152" t="s">
        <v>42</v>
      </c>
      <c r="G5152">
        <v>-423.64909999999998</v>
      </c>
      <c r="H5152" s="1">
        <v>-4.2307209999999999E-6</v>
      </c>
      <c r="I5152">
        <v>57.516840000000002</v>
      </c>
      <c r="J5152">
        <v>-422.35410000000002</v>
      </c>
      <c r="K5152">
        <v>1.110269</v>
      </c>
      <c r="L5152">
        <v>87.740719999999996</v>
      </c>
      <c r="M5152">
        <v>1.063388E-2</v>
      </c>
      <c r="N5152">
        <v>0</v>
      </c>
      <c r="O5152">
        <v>-0.99984399999999996</v>
      </c>
      <c r="P5152">
        <v>-4.5928579999999997E-2</v>
      </c>
      <c r="Q5152">
        <v>-4.4435339999999999E-3</v>
      </c>
      <c r="R5152">
        <v>-0.99893489999999996</v>
      </c>
      <c r="S5152">
        <v>-0.12689210000000001</v>
      </c>
      <c r="T5152">
        <v>-0.1090629</v>
      </c>
      <c r="U5152">
        <v>-2.9967649999999999</v>
      </c>
      <c r="V5152">
        <v>5.654348E-2</v>
      </c>
      <c r="W5152">
        <v>9.6799469999999995E-3</v>
      </c>
      <c r="X5152">
        <v>0.99835320000000005</v>
      </c>
      <c r="Y5152">
        <v>5.2900219999999998E-2</v>
      </c>
      <c r="Z5152">
        <v>3.6324670000000003E-2</v>
      </c>
      <c r="AA5152">
        <v>0.99793889999999996</v>
      </c>
      <c r="AB5152">
        <v>28</v>
      </c>
      <c r="AC5152">
        <v>-1.29499999999995</v>
      </c>
      <c r="AD5152">
        <v>-1.1102732307209999</v>
      </c>
      <c r="AE5152">
        <v>-30.223879999999902</v>
      </c>
      <c r="AF5152">
        <v>1.6141815663887999</v>
      </c>
      <c r="AG5152">
        <v>-1.1102732307209999</v>
      </c>
      <c r="AH5152">
        <v>30.167762996481901</v>
      </c>
      <c r="AI5152">
        <v>92.104714466278594</v>
      </c>
      <c r="AJ5152">
        <v>86.937204766119905</v>
      </c>
      <c r="AK5152">
        <v>30.231311797340702</v>
      </c>
      <c r="AL5152">
        <v>89.445371223205001</v>
      </c>
      <c r="AM5152">
        <v>86.758416366633895</v>
      </c>
      <c r="AN5152">
        <v>0.99999998922733602</v>
      </c>
    </row>
    <row r="5153" spans="1:40" x14ac:dyDescent="0.25">
      <c r="A5153" t="str">
        <f>"20190312154940288"</f>
        <v>20190312154940288</v>
      </c>
      <c r="B5153" t="str">
        <f>"1552376980281389"</f>
        <v>1552376980281389</v>
      </c>
      <c r="C5153" t="s">
        <v>40</v>
      </c>
      <c r="D5153">
        <v>4.7550429999999997</v>
      </c>
      <c r="E5153">
        <v>0.50016620000000001</v>
      </c>
      <c r="F5153" t="s">
        <v>42</v>
      </c>
      <c r="G5153">
        <v>-423.73140000000001</v>
      </c>
      <c r="H5153" s="1">
        <v>-4.0417459999999998E-6</v>
      </c>
      <c r="I5153">
        <v>56.918619999999997</v>
      </c>
      <c r="J5153">
        <v>-422.35059999999999</v>
      </c>
      <c r="K5153">
        <v>1.110282</v>
      </c>
      <c r="L5153">
        <v>87.454899999999995</v>
      </c>
      <c r="M5153">
        <v>1.10037E-2</v>
      </c>
      <c r="N5153">
        <v>0</v>
      </c>
      <c r="O5153">
        <v>-0.99983999999999995</v>
      </c>
      <c r="P5153">
        <v>-4.690623E-2</v>
      </c>
      <c r="Q5153">
        <v>-3.5036109999999998E-3</v>
      </c>
      <c r="R5153">
        <v>-0.99889309999999998</v>
      </c>
      <c r="S5153">
        <v>-0.13391110000000001</v>
      </c>
      <c r="T5153">
        <v>-0.1079417</v>
      </c>
      <c r="U5153">
        <v>-2.9965519999999999</v>
      </c>
      <c r="V5153">
        <v>5.7889309999999999E-2</v>
      </c>
      <c r="W5153">
        <v>1.061641E-2</v>
      </c>
      <c r="X5153">
        <v>0.9982666</v>
      </c>
      <c r="Y5153">
        <v>5.5606129999999997E-2</v>
      </c>
      <c r="Z5153">
        <v>3.594961E-2</v>
      </c>
      <c r="AA5153">
        <v>0.99780539999999995</v>
      </c>
      <c r="AB5153">
        <v>28</v>
      </c>
      <c r="AC5153">
        <v>-1.38080000000002</v>
      </c>
      <c r="AD5153">
        <v>-1.1102860417460001</v>
      </c>
      <c r="AE5153">
        <v>-30.536280000000001</v>
      </c>
      <c r="AF5153">
        <v>1.71449989531318</v>
      </c>
      <c r="AG5153">
        <v>-1.1102860417460001</v>
      </c>
      <c r="AH5153">
        <v>30.479023858201298</v>
      </c>
      <c r="AI5153">
        <v>92.082950964172696</v>
      </c>
      <c r="AJ5153">
        <v>86.780402406516401</v>
      </c>
      <c r="AK5153">
        <v>30.5473917108209</v>
      </c>
      <c r="AL5153">
        <v>89.391713112439405</v>
      </c>
      <c r="AM5153">
        <v>86.681144418999196</v>
      </c>
      <c r="AN5153">
        <v>1.0000000425245601</v>
      </c>
    </row>
    <row r="5154" spans="1:40" x14ac:dyDescent="0.25">
      <c r="A5154" t="str">
        <f>"20190312154940309"</f>
        <v>20190312154940309</v>
      </c>
      <c r="B5154" t="str">
        <f>"1552376980300909"</f>
        <v>1552376980300909</v>
      </c>
      <c r="C5154" t="s">
        <v>40</v>
      </c>
      <c r="D5154">
        <v>4.7375040000000004</v>
      </c>
      <c r="E5154">
        <v>0.50020209999999998</v>
      </c>
      <c r="F5154" t="s">
        <v>42</v>
      </c>
      <c r="G5154">
        <v>-423.78910000000002</v>
      </c>
      <c r="H5154" s="1">
        <v>-3.7903910000000001E-6</v>
      </c>
      <c r="I5154">
        <v>56.149929999999998</v>
      </c>
      <c r="J5154">
        <v>-422.34719999999999</v>
      </c>
      <c r="K5154">
        <v>1.11029</v>
      </c>
      <c r="L5154">
        <v>87.186250000000001</v>
      </c>
      <c r="M5154">
        <v>1.1360490000000001E-2</v>
      </c>
      <c r="N5154">
        <v>0</v>
      </c>
      <c r="O5154">
        <v>-0.99983610000000001</v>
      </c>
      <c r="P5154">
        <v>-4.7561619999999999E-2</v>
      </c>
      <c r="Q5154">
        <v>-2.2237089999999999E-3</v>
      </c>
      <c r="R5154">
        <v>-0.99886580000000003</v>
      </c>
      <c r="S5154">
        <v>-0.13769529999999999</v>
      </c>
      <c r="T5154">
        <v>-0.1062747</v>
      </c>
      <c r="U5154">
        <v>-2.9964599999999999</v>
      </c>
      <c r="V5154">
        <v>5.8899750000000001E-2</v>
      </c>
      <c r="W5154">
        <v>1.189282E-2</v>
      </c>
      <c r="X5154">
        <v>0.99819310000000006</v>
      </c>
      <c r="Y5154">
        <v>5.7222149999999999E-2</v>
      </c>
      <c r="Z5154">
        <v>3.5393359999999999E-2</v>
      </c>
      <c r="AA5154">
        <v>0.99773389999999995</v>
      </c>
      <c r="AB5154">
        <v>28</v>
      </c>
      <c r="AC5154">
        <v>-1.4419000000000299</v>
      </c>
      <c r="AD5154">
        <v>-1.110293790391</v>
      </c>
      <c r="AE5154">
        <v>-31.03632</v>
      </c>
      <c r="AF5154">
        <v>1.79214116513491</v>
      </c>
      <c r="AG5154">
        <v>-1.110293790391</v>
      </c>
      <c r="AH5154">
        <v>30.978374310611599</v>
      </c>
      <c r="AI5154">
        <v>92.049232107363096</v>
      </c>
      <c r="AJ5154">
        <v>86.689051465233703</v>
      </c>
      <c r="AK5154">
        <v>31.050027329860999</v>
      </c>
      <c r="AL5154">
        <v>89.318575572323496</v>
      </c>
      <c r="AM5154">
        <v>86.623099658180493</v>
      </c>
      <c r="AN5154">
        <v>1.0000000423026101</v>
      </c>
    </row>
    <row r="5155" spans="1:40" x14ac:dyDescent="0.25">
      <c r="A5155" t="str">
        <f>"20190312154940331"</f>
        <v>20190312154940331</v>
      </c>
      <c r="B5155" t="str">
        <f>"1552376980321405"</f>
        <v>1552376980321405</v>
      </c>
      <c r="C5155" t="s">
        <v>40</v>
      </c>
      <c r="D5155">
        <v>4.7375939999999996</v>
      </c>
      <c r="E5155">
        <v>0.50025980000000003</v>
      </c>
      <c r="F5155" t="s">
        <v>42</v>
      </c>
      <c r="G5155">
        <v>-423.8449</v>
      </c>
      <c r="H5155" s="1">
        <v>-3.373953E-6</v>
      </c>
      <c r="I5155">
        <v>55.069130000000001</v>
      </c>
      <c r="J5155">
        <v>-422.34370000000001</v>
      </c>
      <c r="K5155">
        <v>1.1102920000000001</v>
      </c>
      <c r="L5155">
        <v>86.913150000000002</v>
      </c>
      <c r="M5155">
        <v>1.1728509999999999E-2</v>
      </c>
      <c r="N5155">
        <v>0</v>
      </c>
      <c r="O5155">
        <v>-0.9998319</v>
      </c>
      <c r="P5155">
        <v>-4.747349E-2</v>
      </c>
      <c r="Q5155">
        <v>-1.626614E-3</v>
      </c>
      <c r="R5155">
        <v>-0.99887130000000002</v>
      </c>
      <c r="S5155">
        <v>-0.13974</v>
      </c>
      <c r="T5155">
        <v>-0.1035901</v>
      </c>
      <c r="U5155">
        <v>-2.996521</v>
      </c>
      <c r="V5155">
        <v>5.9178710000000002E-2</v>
      </c>
      <c r="W5155">
        <v>1.248691E-2</v>
      </c>
      <c r="X5155">
        <v>0.99816930000000004</v>
      </c>
      <c r="Y5155">
        <v>5.8269460000000002E-2</v>
      </c>
      <c r="Z5155">
        <v>3.4497859999999998E-2</v>
      </c>
      <c r="AA5155">
        <v>0.99770460000000005</v>
      </c>
      <c r="AB5155">
        <v>28</v>
      </c>
      <c r="AC5155">
        <v>-1.5011999999999801</v>
      </c>
      <c r="AD5155">
        <v>-1.1102953739529999</v>
      </c>
      <c r="AE5155">
        <v>-31.84402</v>
      </c>
      <c r="AF5155">
        <v>1.8723455906325599</v>
      </c>
      <c r="AG5155">
        <v>-1.1102953739529999</v>
      </c>
      <c r="AH5155">
        <v>31.7856650122595</v>
      </c>
      <c r="AI5155">
        <v>91.997108991012894</v>
      </c>
      <c r="AJ5155">
        <v>86.6288677869656</v>
      </c>
      <c r="AK5155">
        <v>31.860115098658401</v>
      </c>
      <c r="AL5155">
        <v>89.284534161987906</v>
      </c>
      <c r="AM5155">
        <v>86.607062605613805</v>
      </c>
      <c r="AN5155">
        <v>0.99999999705055098</v>
      </c>
    </row>
    <row r="5156" spans="1:40" x14ac:dyDescent="0.25">
      <c r="A5156" t="str">
        <f>"20190312154940353"</f>
        <v>20190312154940353</v>
      </c>
      <c r="B5156" t="str">
        <f>"1552376980340925"</f>
        <v>1552376980340925</v>
      </c>
      <c r="C5156" t="s">
        <v>40</v>
      </c>
      <c r="D5156">
        <v>4.724113</v>
      </c>
      <c r="E5156">
        <v>0.50027670000000002</v>
      </c>
      <c r="F5156" t="s">
        <v>42</v>
      </c>
      <c r="G5156">
        <v>-423.86340000000001</v>
      </c>
      <c r="H5156" s="1">
        <v>-3.108171E-6</v>
      </c>
      <c r="I5156">
        <v>54.438119999999998</v>
      </c>
      <c r="J5156">
        <v>-422.3399</v>
      </c>
      <c r="K5156">
        <v>1.1102909999999999</v>
      </c>
      <c r="L5156">
        <v>86.626949999999994</v>
      </c>
      <c r="M5156">
        <v>1.211806E-2</v>
      </c>
      <c r="N5156">
        <v>0</v>
      </c>
      <c r="O5156">
        <v>-0.99982729999999997</v>
      </c>
      <c r="P5156">
        <v>-4.7027489999999998E-2</v>
      </c>
      <c r="Q5156">
        <v>-9.4001250000000001E-4</v>
      </c>
      <c r="R5156">
        <v>-0.99889340000000004</v>
      </c>
      <c r="S5156">
        <v>-0.1402283</v>
      </c>
      <c r="T5156">
        <v>-0.1024497</v>
      </c>
      <c r="U5156">
        <v>-2.9965519999999999</v>
      </c>
      <c r="V5156">
        <v>5.9121409999999999E-2</v>
      </c>
      <c r="W5156">
        <v>1.317016E-2</v>
      </c>
      <c r="X5156">
        <v>0.99816389999999999</v>
      </c>
      <c r="Y5156">
        <v>5.8820749999999998E-2</v>
      </c>
      <c r="Z5156">
        <v>3.4117229999999998E-2</v>
      </c>
      <c r="AA5156">
        <v>0.99768539999999994</v>
      </c>
      <c r="AB5156">
        <v>28</v>
      </c>
      <c r="AC5156">
        <v>-1.5235000000000101</v>
      </c>
      <c r="AD5156">
        <v>-1.1102941081709901</v>
      </c>
      <c r="AE5156">
        <v>-32.188830000000003</v>
      </c>
      <c r="AF5156">
        <v>1.9112241615990999</v>
      </c>
      <c r="AG5156">
        <v>-1.1102941081709901</v>
      </c>
      <c r="AH5156">
        <v>32.129860387821999</v>
      </c>
      <c r="AI5156">
        <v>91.975662067422704</v>
      </c>
      <c r="AJ5156">
        <v>86.5958085977217</v>
      </c>
      <c r="AK5156">
        <v>32.205798536031502</v>
      </c>
      <c r="AL5156">
        <v>89.245383587302996</v>
      </c>
      <c r="AM5156">
        <v>86.610321870605503</v>
      </c>
      <c r="AN5156">
        <v>0.99999998274901103</v>
      </c>
    </row>
    <row r="5157" spans="1:40" x14ac:dyDescent="0.25">
      <c r="A5157" t="str">
        <f>"20190312154940376"</f>
        <v>20190312154940376</v>
      </c>
      <c r="B5157" t="str">
        <f>"1552376980371181"</f>
        <v>1552376980371181</v>
      </c>
      <c r="C5157" t="s">
        <v>40</v>
      </c>
      <c r="D5157">
        <v>4.657559</v>
      </c>
      <c r="E5157">
        <v>0.50032370000000004</v>
      </c>
      <c r="F5157" t="s">
        <v>42</v>
      </c>
      <c r="G5157">
        <v>-423.87</v>
      </c>
      <c r="H5157" s="1">
        <v>-2.7490849999999999E-6</v>
      </c>
      <c r="I5157">
        <v>53.597009999999997</v>
      </c>
      <c r="J5157">
        <v>-422.33620000000002</v>
      </c>
      <c r="K5157">
        <v>1.1102970000000001</v>
      </c>
      <c r="L5157">
        <v>86.355710000000002</v>
      </c>
      <c r="M5157">
        <v>1.2488559999999999E-2</v>
      </c>
      <c r="N5157">
        <v>0</v>
      </c>
      <c r="O5157">
        <v>-0.99982260000000001</v>
      </c>
      <c r="P5157">
        <v>-4.6443850000000002E-2</v>
      </c>
      <c r="Q5157">
        <v>-5.5522839999999998E-4</v>
      </c>
      <c r="R5157">
        <v>-0.9989209</v>
      </c>
      <c r="S5157">
        <v>-0.13882449999999999</v>
      </c>
      <c r="T5157">
        <v>-0.1007335</v>
      </c>
      <c r="U5157">
        <v>-2.9967039999999998</v>
      </c>
      <c r="V5157">
        <v>5.8907769999999998E-2</v>
      </c>
      <c r="W5157">
        <v>1.355255E-2</v>
      </c>
      <c r="X5157">
        <v>0.99817140000000004</v>
      </c>
      <c r="Y5157">
        <v>5.8722839999999998E-2</v>
      </c>
      <c r="Z5157">
        <v>3.3544900000000002E-2</v>
      </c>
      <c r="AA5157">
        <v>0.9977106</v>
      </c>
      <c r="AB5157">
        <v>28</v>
      </c>
      <c r="AC5157">
        <v>-1.5337999999999801</v>
      </c>
      <c r="AD5157">
        <v>-1.110299749085</v>
      </c>
      <c r="AE5157">
        <v>-32.758699999999997</v>
      </c>
      <c r="AF5157">
        <v>1.94060562277488</v>
      </c>
      <c r="AG5157">
        <v>-1.110299749085</v>
      </c>
      <c r="AH5157">
        <v>32.699506411456099</v>
      </c>
      <c r="AI5157">
        <v>91.941297028031002</v>
      </c>
      <c r="AJ5157">
        <v>86.603671948938299</v>
      </c>
      <c r="AK5157">
        <v>32.775851404179001</v>
      </c>
      <c r="AL5157">
        <v>89.223472288103693</v>
      </c>
      <c r="AM5157">
        <v>86.622567658704696</v>
      </c>
      <c r="AN5157">
        <v>0.99999997037791699</v>
      </c>
    </row>
    <row r="5158" spans="1:40" x14ac:dyDescent="0.25">
      <c r="A5158" t="str">
        <f>"20190312154940397"</f>
        <v>20190312154940397</v>
      </c>
      <c r="B5158" t="str">
        <f>"1552376980390701"</f>
        <v>1552376980390701</v>
      </c>
      <c r="C5158" t="s">
        <v>40</v>
      </c>
      <c r="D5158">
        <v>4.6548660000000002</v>
      </c>
      <c r="E5158">
        <v>0.50044940000000004</v>
      </c>
      <c r="F5158" t="s">
        <v>42</v>
      </c>
      <c r="G5158">
        <v>-423.8535</v>
      </c>
      <c r="H5158" s="1">
        <v>-2.5848600000000002E-6</v>
      </c>
      <c r="I5158">
        <v>53.224469999999997</v>
      </c>
      <c r="J5158">
        <v>-422.33229999999998</v>
      </c>
      <c r="K5158">
        <v>1.1102970000000001</v>
      </c>
      <c r="L5158">
        <v>86.078859999999906</v>
      </c>
      <c r="M5158">
        <v>1.286758E-2</v>
      </c>
      <c r="N5158">
        <v>0</v>
      </c>
      <c r="O5158">
        <v>-0.99981830000000005</v>
      </c>
      <c r="P5158">
        <v>-4.5547530000000003E-2</v>
      </c>
      <c r="Q5158">
        <v>8.5384980000000001E-4</v>
      </c>
      <c r="R5158">
        <v>-0.99896220000000002</v>
      </c>
      <c r="S5158">
        <v>-0.13723750000000001</v>
      </c>
      <c r="T5158">
        <v>-0.10042909999999999</v>
      </c>
      <c r="U5158">
        <v>-2.9967959999999998</v>
      </c>
      <c r="V5158">
        <v>5.8389509999999999E-2</v>
      </c>
      <c r="W5158">
        <v>1.495813E-2</v>
      </c>
      <c r="X5158">
        <v>0.99818180000000001</v>
      </c>
      <c r="Y5158">
        <v>5.8572810000000003E-2</v>
      </c>
      <c r="Z5158">
        <v>3.3442930000000003E-2</v>
      </c>
      <c r="AA5158">
        <v>0.99772280000000002</v>
      </c>
      <c r="AB5158">
        <v>28</v>
      </c>
      <c r="AC5158">
        <v>-1.5212000000000201</v>
      </c>
      <c r="AD5158">
        <v>-1.1102995848599999</v>
      </c>
      <c r="AE5158">
        <v>-32.854389999999903</v>
      </c>
      <c r="AF5158">
        <v>1.94165956915306</v>
      </c>
      <c r="AG5158">
        <v>-1.1102995848599999</v>
      </c>
      <c r="AH5158">
        <v>32.794719510662198</v>
      </c>
      <c r="AI5158">
        <v>91.935680870706904</v>
      </c>
      <c r="AJ5158">
        <v>86.611674620580303</v>
      </c>
      <c r="AK5158">
        <v>32.870905598015199</v>
      </c>
      <c r="AL5158">
        <v>89.142930312793595</v>
      </c>
      <c r="AM5158">
        <v>86.6522486211597</v>
      </c>
      <c r="AN5158">
        <v>0.99999999319118804</v>
      </c>
    </row>
    <row r="5159" spans="1:40" x14ac:dyDescent="0.25">
      <c r="A5159" t="str">
        <f>"20190312154940419"</f>
        <v>20190312154940419</v>
      </c>
      <c r="B5159" t="str">
        <f>"1552376980411197"</f>
        <v>1552376980411197</v>
      </c>
      <c r="C5159" t="s">
        <v>40</v>
      </c>
      <c r="D5159">
        <v>4.6380929999999996</v>
      </c>
      <c r="E5159">
        <v>0.5005792</v>
      </c>
      <c r="F5159" t="s">
        <v>42</v>
      </c>
      <c r="G5159">
        <v>-423.93430000000001</v>
      </c>
      <c r="H5159" s="1">
        <v>-1.5170109999999999E-6</v>
      </c>
      <c r="I5159">
        <v>50.685139999999997</v>
      </c>
      <c r="J5159">
        <v>-422.32839999999999</v>
      </c>
      <c r="K5159">
        <v>1.1102989999999999</v>
      </c>
      <c r="L5159">
        <v>85.806269999999998</v>
      </c>
      <c r="M5159">
        <v>1.324114E-2</v>
      </c>
      <c r="N5159">
        <v>0</v>
      </c>
      <c r="O5159">
        <v>-0.99981330000000002</v>
      </c>
      <c r="P5159">
        <v>-4.5187339999999999E-2</v>
      </c>
      <c r="Q5159">
        <v>1.6651700000000001E-3</v>
      </c>
      <c r="R5159">
        <v>-0.99897749999999996</v>
      </c>
      <c r="S5159">
        <v>-0.13565060000000001</v>
      </c>
      <c r="T5159">
        <v>-9.4015959999999996E-2</v>
      </c>
      <c r="U5159">
        <v>-2.9970089999999998</v>
      </c>
      <c r="V5159">
        <v>5.8401990000000001E-2</v>
      </c>
      <c r="W5159">
        <v>1.5766269999999999E-2</v>
      </c>
      <c r="X5159">
        <v>0.99816859999999996</v>
      </c>
      <c r="Y5159">
        <v>5.8418490000000003E-2</v>
      </c>
      <c r="Z5159">
        <v>3.1307599999999998E-2</v>
      </c>
      <c r="AA5159">
        <v>0.9978011</v>
      </c>
      <c r="AB5159">
        <v>28</v>
      </c>
      <c r="AC5159">
        <v>-1.6059000000000101</v>
      </c>
      <c r="AD5159">
        <v>-1.1103005170110001</v>
      </c>
      <c r="AE5159">
        <v>-35.121129999999901</v>
      </c>
      <c r="AF5159">
        <v>2.06878578710965</v>
      </c>
      <c r="AG5159">
        <v>-1.1103005170110001</v>
      </c>
      <c r="AH5159">
        <v>35.061816291958699</v>
      </c>
      <c r="AI5159">
        <v>91.810629047585707</v>
      </c>
      <c r="AJ5159">
        <v>86.623237538900497</v>
      </c>
      <c r="AK5159">
        <v>35.140341540202499</v>
      </c>
      <c r="AL5159">
        <v>89.096621806099193</v>
      </c>
      <c r="AM5159">
        <v>86.651490530634902</v>
      </c>
      <c r="AN5159">
        <v>0.999999960865815</v>
      </c>
    </row>
    <row r="5160" spans="1:40" x14ac:dyDescent="0.25">
      <c r="A5160" t="str">
        <f>"20190312154940443"</f>
        <v>20190312154940443</v>
      </c>
      <c r="B5160" t="str">
        <f>"1552376980430718"</f>
        <v>1552376980430718</v>
      </c>
      <c r="C5160" t="s">
        <v>40</v>
      </c>
      <c r="D5160">
        <v>4.5841000000000003</v>
      </c>
      <c r="E5160">
        <v>0.50074819999999998</v>
      </c>
      <c r="F5160" t="s">
        <v>42</v>
      </c>
      <c r="G5160">
        <v>-424.00940000000003</v>
      </c>
      <c r="H5160" s="1">
        <v>-4.6604450000000001E-6</v>
      </c>
      <c r="I5160">
        <v>48.591839999999998</v>
      </c>
      <c r="J5160">
        <v>-422.32420000000002</v>
      </c>
      <c r="K5160">
        <v>1.1102989999999999</v>
      </c>
      <c r="L5160">
        <v>85.518619999999999</v>
      </c>
      <c r="M5160">
        <v>1.3635359999999999E-2</v>
      </c>
      <c r="N5160">
        <v>0</v>
      </c>
      <c r="O5160">
        <v>-0.99980829999999998</v>
      </c>
      <c r="P5160">
        <v>-4.4093460000000001E-2</v>
      </c>
      <c r="Q5160">
        <v>3.0654010000000001E-3</v>
      </c>
      <c r="R5160">
        <v>-0.99902329999999995</v>
      </c>
      <c r="S5160">
        <v>-0.135376</v>
      </c>
      <c r="T5160">
        <v>-8.9419360000000003E-2</v>
      </c>
      <c r="U5160">
        <v>-2.9971009999999998</v>
      </c>
      <c r="V5160">
        <v>5.7701530000000001E-2</v>
      </c>
      <c r="W5160">
        <v>1.716322E-2</v>
      </c>
      <c r="X5160">
        <v>0.99818629999999997</v>
      </c>
      <c r="Y5160">
        <v>5.8721570000000001E-2</v>
      </c>
      <c r="Z5160">
        <v>2.9776960000000002E-2</v>
      </c>
      <c r="AA5160">
        <v>0.9978302</v>
      </c>
      <c r="AB5160">
        <v>28</v>
      </c>
      <c r="AC5160">
        <v>-1.6852</v>
      </c>
      <c r="AD5160">
        <v>-1.1103036604449901</v>
      </c>
      <c r="AE5160">
        <v>-36.926780000000001</v>
      </c>
      <c r="AF5160">
        <v>2.1866302040378902</v>
      </c>
      <c r="AG5160">
        <v>-1.1103036604449901</v>
      </c>
      <c r="AH5160">
        <v>36.867104750659799</v>
      </c>
      <c r="AI5160">
        <v>91.721995605204398</v>
      </c>
      <c r="AJ5160">
        <v>86.605698145298405</v>
      </c>
      <c r="AK5160">
        <v>36.948579655566299</v>
      </c>
      <c r="AL5160">
        <v>89.016571611351694</v>
      </c>
      <c r="AM5160">
        <v>86.691620564123795</v>
      </c>
      <c r="AN5160">
        <v>0.99999996609639896</v>
      </c>
    </row>
    <row r="5161" spans="1:40" x14ac:dyDescent="0.25">
      <c r="A5161" t="str">
        <f>"20190312154940464"</f>
        <v>20190312154940464</v>
      </c>
      <c r="B5161" t="str">
        <f>"1552376980460974"</f>
        <v>1552376980460974</v>
      </c>
      <c r="C5161" t="s">
        <v>40</v>
      </c>
      <c r="D5161">
        <v>4.5661639999999997</v>
      </c>
      <c r="E5161">
        <v>0.5010019</v>
      </c>
      <c r="F5161" t="s">
        <v>42</v>
      </c>
      <c r="G5161">
        <v>-424.09879999999998</v>
      </c>
      <c r="H5161" s="1">
        <v>-3.722624E-6</v>
      </c>
      <c r="I5161">
        <v>45.789389999999997</v>
      </c>
      <c r="J5161">
        <v>-422.32010000000002</v>
      </c>
      <c r="K5161">
        <v>1.1103019999999999</v>
      </c>
      <c r="L5161">
        <v>85.250240000000005</v>
      </c>
      <c r="M5161">
        <v>1.4002809999999999E-2</v>
      </c>
      <c r="N5161">
        <v>0</v>
      </c>
      <c r="O5161">
        <v>-0.999803</v>
      </c>
      <c r="P5161">
        <v>-4.3771419999999998E-2</v>
      </c>
      <c r="Q5161">
        <v>3.2270409999999999E-3</v>
      </c>
      <c r="R5161">
        <v>-0.99903699999999995</v>
      </c>
      <c r="S5161">
        <v>-0.13388059999999999</v>
      </c>
      <c r="T5161">
        <v>-8.3764309999999995E-2</v>
      </c>
      <c r="U5161">
        <v>-2.9972840000000001</v>
      </c>
      <c r="V5161">
        <v>5.7746539999999999E-2</v>
      </c>
      <c r="W5161">
        <v>1.73215E-2</v>
      </c>
      <c r="X5161">
        <v>0.99818099999999998</v>
      </c>
      <c r="Y5161">
        <v>5.8591310000000001E-2</v>
      </c>
      <c r="Z5161">
        <v>2.7893830000000001E-2</v>
      </c>
      <c r="AA5161">
        <v>0.99789229999999995</v>
      </c>
      <c r="AB5161">
        <v>28</v>
      </c>
      <c r="AC5161">
        <v>-1.77869999999995</v>
      </c>
      <c r="AD5161">
        <v>-1.1103057226240001</v>
      </c>
      <c r="AE5161">
        <v>-39.460850000000001</v>
      </c>
      <c r="AF5161">
        <v>2.3293027043764201</v>
      </c>
      <c r="AG5161">
        <v>-1.1103057226240001</v>
      </c>
      <c r="AH5161">
        <v>39.400941189687401</v>
      </c>
      <c r="AI5161">
        <v>91.611337467336995</v>
      </c>
      <c r="AJ5161">
        <v>86.616728980996299</v>
      </c>
      <c r="AK5161">
        <v>39.485346605031999</v>
      </c>
      <c r="AL5161">
        <v>89.007501523316705</v>
      </c>
      <c r="AM5161">
        <v>86.689028065476705</v>
      </c>
      <c r="AN5161">
        <v>1.0000000030026099</v>
      </c>
    </row>
    <row r="5162" spans="1:40" x14ac:dyDescent="0.25">
      <c r="A5162" t="str">
        <f>"20190312154940488"</f>
        <v>20190312154940488</v>
      </c>
      <c r="B5162" t="str">
        <f>"1552376980480493"</f>
        <v>1552376980480493</v>
      </c>
      <c r="C5162" t="s">
        <v>40</v>
      </c>
      <c r="D5162">
        <v>4.5422849999999997</v>
      </c>
      <c r="E5162">
        <v>0.50106530000000005</v>
      </c>
      <c r="F5162" t="s">
        <v>42</v>
      </c>
      <c r="G5162">
        <v>-424.15629999999999</v>
      </c>
      <c r="H5162" s="1">
        <v>-3.178503E-6</v>
      </c>
      <c r="I5162">
        <v>44.420409999999997</v>
      </c>
      <c r="J5162">
        <v>-422.31560000000002</v>
      </c>
      <c r="K5162">
        <v>1.110311</v>
      </c>
      <c r="L5162">
        <v>84.964389999999995</v>
      </c>
      <c r="M5162">
        <v>1.439415E-2</v>
      </c>
      <c r="N5162">
        <v>0</v>
      </c>
      <c r="O5162">
        <v>-0.99979750000000001</v>
      </c>
      <c r="P5162">
        <v>-4.3221290000000002E-2</v>
      </c>
      <c r="Q5162">
        <v>3.490108E-3</v>
      </c>
      <c r="R5162">
        <v>-0.99905969999999999</v>
      </c>
      <c r="S5162">
        <v>-0.1347961</v>
      </c>
      <c r="T5162">
        <v>-8.150578E-2</v>
      </c>
      <c r="U5162">
        <v>-2.9972530000000002</v>
      </c>
      <c r="V5162">
        <v>5.758742E-2</v>
      </c>
      <c r="W5162">
        <v>1.7581340000000001E-2</v>
      </c>
      <c r="X5162">
        <v>0.99818560000000001</v>
      </c>
      <c r="Y5162">
        <v>5.9287630000000001E-2</v>
      </c>
      <c r="Z5162">
        <v>2.7141599999999998E-2</v>
      </c>
      <c r="AA5162">
        <v>0.99787190000000003</v>
      </c>
      <c r="AB5162">
        <v>28</v>
      </c>
      <c r="AC5162">
        <v>-1.84069999999996</v>
      </c>
      <c r="AD5162">
        <v>-1.110314178503</v>
      </c>
      <c r="AE5162">
        <v>-40.543979999999998</v>
      </c>
      <c r="AF5162">
        <v>2.4223501772851099</v>
      </c>
      <c r="AG5162">
        <v>-1.110314178503</v>
      </c>
      <c r="AH5162">
        <v>40.482982602406402</v>
      </c>
      <c r="AI5162">
        <v>91.568236161370706</v>
      </c>
      <c r="AJ5162">
        <v>86.575717821644105</v>
      </c>
      <c r="AK5162">
        <v>40.570586122745603</v>
      </c>
      <c r="AL5162">
        <v>88.992611470285198</v>
      </c>
      <c r="AM5162">
        <v>86.698146383569494</v>
      </c>
      <c r="AN5162">
        <v>0.99999995325290503</v>
      </c>
    </row>
    <row r="5163" spans="1:40" x14ac:dyDescent="0.25">
      <c r="A5163" t="str">
        <f>"20190312154940509"</f>
        <v>20190312154940509</v>
      </c>
      <c r="B5163" t="str">
        <f>"1552376980500990"</f>
        <v>1552376980500990</v>
      </c>
      <c r="C5163" t="s">
        <v>40</v>
      </c>
      <c r="D5163">
        <v>4.5340309999999997</v>
      </c>
      <c r="E5163">
        <v>0.50118450000000003</v>
      </c>
      <c r="F5163" t="s">
        <v>42</v>
      </c>
      <c r="G5163">
        <v>-424.15480000000002</v>
      </c>
      <c r="H5163" s="1">
        <v>-2.878116E-6</v>
      </c>
      <c r="I5163">
        <v>43.721119999999999</v>
      </c>
      <c r="J5163">
        <v>-422.31130000000002</v>
      </c>
      <c r="K5163">
        <v>1.1103099999999999</v>
      </c>
      <c r="L5163">
        <v>84.695099999999996</v>
      </c>
      <c r="M5163">
        <v>1.4761760000000001E-2</v>
      </c>
      <c r="N5163">
        <v>0</v>
      </c>
      <c r="O5163">
        <v>-0.99979229999999997</v>
      </c>
      <c r="P5163">
        <v>-4.2916879999999998E-2</v>
      </c>
      <c r="Q5163">
        <v>3.1203200000000002E-3</v>
      </c>
      <c r="R5163">
        <v>-0.99907429999999997</v>
      </c>
      <c r="S5163">
        <v>-0.13366700000000001</v>
      </c>
      <c r="T5163">
        <v>-8.0691810000000003E-2</v>
      </c>
      <c r="U5163">
        <v>-2.9973450000000001</v>
      </c>
      <c r="V5163">
        <v>5.7650569999999998E-2</v>
      </c>
      <c r="W5163">
        <v>1.720851E-2</v>
      </c>
      <c r="X5163">
        <v>0.99818850000000003</v>
      </c>
      <c r="Y5163">
        <v>5.9278480000000001E-2</v>
      </c>
      <c r="Z5163">
        <v>2.6869939999999998E-2</v>
      </c>
      <c r="AA5163">
        <v>0.99787979999999998</v>
      </c>
      <c r="AB5163">
        <v>28</v>
      </c>
      <c r="AC5163">
        <v>-1.8434999999999999</v>
      </c>
      <c r="AD5163">
        <v>-1.1103128781160001</v>
      </c>
      <c r="AE5163">
        <v>-40.973979999999997</v>
      </c>
      <c r="AF5163">
        <v>2.4464140952937199</v>
      </c>
      <c r="AG5163">
        <v>-1.1103128781160001</v>
      </c>
      <c r="AH5163">
        <v>40.912317284496403</v>
      </c>
      <c r="AI5163">
        <v>91.5517890060962</v>
      </c>
      <c r="AJ5163">
        <v>86.577986648082501</v>
      </c>
      <c r="AK5163">
        <v>41.000432219676199</v>
      </c>
      <c r="AL5163">
        <v>89.013976336813798</v>
      </c>
      <c r="AM5163">
        <v>86.694543198047995</v>
      </c>
      <c r="AN5163">
        <v>1.0000000012849899</v>
      </c>
    </row>
    <row r="5164" spans="1:40" x14ac:dyDescent="0.25">
      <c r="A5164" t="str">
        <f>"20190312154940534"</f>
        <v>20190312154940534</v>
      </c>
      <c r="B5164" t="str">
        <f>"1552376980520510"</f>
        <v>1552376980520510</v>
      </c>
      <c r="C5164" t="s">
        <v>40</v>
      </c>
      <c r="D5164">
        <v>4.5417920000000001</v>
      </c>
      <c r="E5164">
        <v>0.50127869999999997</v>
      </c>
      <c r="F5164" t="s">
        <v>42</v>
      </c>
      <c r="G5164">
        <v>-424.11239999999998</v>
      </c>
      <c r="H5164" s="1">
        <v>-3.0981489999999999E-6</v>
      </c>
      <c r="I5164">
        <v>44.26032</v>
      </c>
      <c r="J5164">
        <v>-422.3066</v>
      </c>
      <c r="K5164">
        <v>1.110312</v>
      </c>
      <c r="L5164">
        <v>84.405879999999996</v>
      </c>
      <c r="M5164">
        <v>1.515677E-2</v>
      </c>
      <c r="N5164">
        <v>0</v>
      </c>
      <c r="O5164">
        <v>-0.99978630000000002</v>
      </c>
      <c r="P5164">
        <v>-4.2433650000000003E-2</v>
      </c>
      <c r="Q5164">
        <v>2.416732E-3</v>
      </c>
      <c r="R5164">
        <v>-0.99909680000000001</v>
      </c>
      <c r="S5164">
        <v>-0.13351440000000001</v>
      </c>
      <c r="T5164">
        <v>-8.2304359999999993E-2</v>
      </c>
      <c r="U5164">
        <v>-2.9973139999999998</v>
      </c>
      <c r="V5164">
        <v>5.7562660000000002E-2</v>
      </c>
      <c r="W5164">
        <v>1.650194E-2</v>
      </c>
      <c r="X5164">
        <v>0.99820549999999997</v>
      </c>
      <c r="Y5164">
        <v>5.9621970000000003E-2</v>
      </c>
      <c r="Z5164">
        <v>2.7406300000000001E-2</v>
      </c>
      <c r="AA5164">
        <v>0.99784479999999998</v>
      </c>
      <c r="AB5164">
        <v>28</v>
      </c>
      <c r="AC5164">
        <v>-1.8057999999999701</v>
      </c>
      <c r="AD5164">
        <v>-1.110315098149</v>
      </c>
      <c r="AE5164">
        <v>-40.145560000000003</v>
      </c>
      <c r="AF5164">
        <v>2.4122881922958799</v>
      </c>
      <c r="AG5164">
        <v>-1.110315098149</v>
      </c>
      <c r="AH5164">
        <v>40.082976289216099</v>
      </c>
      <c r="AI5164">
        <v>91.583846923152507</v>
      </c>
      <c r="AJ5164">
        <v>86.555958653573299</v>
      </c>
      <c r="AK5164">
        <v>40.170846669465703</v>
      </c>
      <c r="AL5164">
        <v>89.054465564397105</v>
      </c>
      <c r="AM5164">
        <v>86.699628544405499</v>
      </c>
      <c r="AN5164">
        <v>0.99999999704014397</v>
      </c>
    </row>
    <row r="5165" spans="1:40" x14ac:dyDescent="0.25">
      <c r="A5165" t="str">
        <f>"20190312154940554"</f>
        <v>20190312154940554</v>
      </c>
      <c r="B5165" t="str">
        <f>"1552376980541006"</f>
        <v>1552376980541006</v>
      </c>
      <c r="C5165" t="s">
        <v>40</v>
      </c>
      <c r="D5165">
        <v>4.578557</v>
      </c>
      <c r="E5165">
        <v>0.5012972</v>
      </c>
      <c r="F5165" t="s">
        <v>42</v>
      </c>
      <c r="G5165">
        <v>-424.04790000000003</v>
      </c>
      <c r="H5165" s="1">
        <v>-3.4757809999999999E-6</v>
      </c>
      <c r="I5165">
        <v>45.180619999999998</v>
      </c>
      <c r="J5165">
        <v>-422.30220000000003</v>
      </c>
      <c r="K5165">
        <v>1.110309</v>
      </c>
      <c r="L5165">
        <v>84.146450000000002</v>
      </c>
      <c r="M5165">
        <v>1.551082E-2</v>
      </c>
      <c r="N5165">
        <v>0</v>
      </c>
      <c r="O5165">
        <v>-0.99978080000000003</v>
      </c>
      <c r="P5165">
        <v>-4.1464239999999999E-2</v>
      </c>
      <c r="Q5165">
        <v>1.4186769999999999E-3</v>
      </c>
      <c r="R5165">
        <v>-0.99913920000000001</v>
      </c>
      <c r="S5165">
        <v>-0.1330566</v>
      </c>
      <c r="T5165">
        <v>-8.4840659999999998E-2</v>
      </c>
      <c r="U5165">
        <v>-2.9972530000000002</v>
      </c>
      <c r="V5165">
        <v>5.6948230000000002E-2</v>
      </c>
      <c r="W5165">
        <v>1.5500709999999999E-2</v>
      </c>
      <c r="X5165">
        <v>0.99825680000000006</v>
      </c>
      <c r="Y5165">
        <v>5.9823229999999998E-2</v>
      </c>
      <c r="Z5165">
        <v>2.8250460000000002E-2</v>
      </c>
      <c r="AA5165">
        <v>0.99780919999999895</v>
      </c>
      <c r="AB5165">
        <v>28</v>
      </c>
      <c r="AC5165">
        <v>-1.74569999999999</v>
      </c>
      <c r="AD5165">
        <v>-1.1103124757809999</v>
      </c>
      <c r="AE5165">
        <v>-38.965829999999997</v>
      </c>
      <c r="AF5165">
        <v>2.3480390570576501</v>
      </c>
      <c r="AG5165">
        <v>-1.1103124757809999</v>
      </c>
      <c r="AH5165">
        <v>38.902538409241401</v>
      </c>
      <c r="AI5165">
        <v>91.631859772306996</v>
      </c>
      <c r="AJ5165">
        <v>86.545990985764206</v>
      </c>
      <c r="AK5165">
        <v>38.989146898718502</v>
      </c>
      <c r="AL5165">
        <v>89.111839173601098</v>
      </c>
      <c r="AM5165">
        <v>86.734947862827298</v>
      </c>
      <c r="AN5165">
        <v>1.00000000582843</v>
      </c>
    </row>
    <row r="5166" spans="1:40" x14ac:dyDescent="0.25">
      <c r="A5166" t="str">
        <f>"20190312154940576"</f>
        <v>20190312154940576</v>
      </c>
      <c r="B5166" t="str">
        <f>"1552376980571261"</f>
        <v>1552376980571261</v>
      </c>
      <c r="C5166" t="s">
        <v>40</v>
      </c>
      <c r="D5166">
        <v>4.56088</v>
      </c>
      <c r="E5166">
        <v>0.47851460000000001</v>
      </c>
      <c r="F5166" t="s">
        <v>42</v>
      </c>
      <c r="G5166">
        <v>-423.94450000000001</v>
      </c>
      <c r="H5166" s="1">
        <v>-3.8929770000000003E-6</v>
      </c>
      <c r="I5166">
        <v>46.370379999999997</v>
      </c>
      <c r="J5166">
        <v>-422.29759999999999</v>
      </c>
      <c r="K5166">
        <v>1.1103069999999999</v>
      </c>
      <c r="L5166">
        <v>83.871119999999905</v>
      </c>
      <c r="M5166">
        <v>1.5886620000000001E-2</v>
      </c>
      <c r="N5166">
        <v>0</v>
      </c>
      <c r="O5166">
        <v>-0.99977510000000003</v>
      </c>
      <c r="P5166">
        <v>-4.1004840000000001E-2</v>
      </c>
      <c r="Q5166">
        <v>9.9234749999999993E-4</v>
      </c>
      <c r="R5166">
        <v>-0.99915869999999996</v>
      </c>
      <c r="S5166">
        <v>-0.13031010000000001</v>
      </c>
      <c r="T5166">
        <v>-8.8096980000000005E-2</v>
      </c>
      <c r="U5166">
        <v>-2.9973139999999998</v>
      </c>
      <c r="V5166">
        <v>5.6864770000000002E-2</v>
      </c>
      <c r="W5166">
        <v>1.5071599999999999E-2</v>
      </c>
      <c r="X5166">
        <v>0.99826809999999999</v>
      </c>
      <c r="Y5166">
        <v>5.9283589999999997E-2</v>
      </c>
      <c r="Z5166">
        <v>2.9334039999999999E-2</v>
      </c>
      <c r="AA5166">
        <v>0.99781010000000003</v>
      </c>
      <c r="AB5166">
        <v>28</v>
      </c>
      <c r="AC5166">
        <v>-1.64690000000001</v>
      </c>
      <c r="AD5166">
        <v>-1.110310892977</v>
      </c>
      <c r="AE5166">
        <v>-37.500739999999901</v>
      </c>
      <c r="AF5166">
        <v>2.24055060316521</v>
      </c>
      <c r="AG5166">
        <v>-1.110310892977</v>
      </c>
      <c r="AH5166">
        <v>37.437085418535403</v>
      </c>
      <c r="AI5166">
        <v>91.695750580568202</v>
      </c>
      <c r="AJ5166">
        <v>86.575023164721401</v>
      </c>
      <c r="AK5166">
        <v>37.520504020057103</v>
      </c>
      <c r="AL5166">
        <v>89.136428213974597</v>
      </c>
      <c r="AM5166">
        <v>86.739759428070798</v>
      </c>
      <c r="AN5166">
        <v>0.99999997733566104</v>
      </c>
    </row>
    <row r="5167" spans="1:40" x14ac:dyDescent="0.25">
      <c r="A5167" t="str">
        <f>"20190312154940599"</f>
        <v>20190312154940599</v>
      </c>
      <c r="B5167" t="str">
        <f>"1552376980590782"</f>
        <v>1552376980590782</v>
      </c>
      <c r="C5167" t="s">
        <v>40</v>
      </c>
      <c r="D5167">
        <v>4.530856</v>
      </c>
      <c r="E5167">
        <v>0.47757709999999998</v>
      </c>
      <c r="F5167" t="s">
        <v>42</v>
      </c>
      <c r="G5167">
        <v>-421.7953</v>
      </c>
      <c r="H5167" s="1">
        <v>-3.2175959999999998E-6</v>
      </c>
      <c r="I5167">
        <v>55.975929999999998</v>
      </c>
      <c r="J5167">
        <v>-422.29270000000002</v>
      </c>
      <c r="K5167">
        <v>1.1103000000000001</v>
      </c>
      <c r="L5167">
        <v>83.591740000000001</v>
      </c>
      <c r="M5167">
        <v>1.6267940000000002E-2</v>
      </c>
      <c r="N5167">
        <v>0</v>
      </c>
      <c r="O5167">
        <v>-0.99976889999999996</v>
      </c>
      <c r="P5167">
        <v>-4.0528590000000003E-2</v>
      </c>
      <c r="Q5167">
        <v>1.7737579999999999E-4</v>
      </c>
      <c r="R5167">
        <v>-0.99917880000000003</v>
      </c>
      <c r="S5167">
        <v>5.4107669999999997E-2</v>
      </c>
      <c r="T5167">
        <v>-0.11960179999999999</v>
      </c>
      <c r="U5167">
        <v>-3.0048520000000001</v>
      </c>
      <c r="V5167">
        <v>5.677024E-2</v>
      </c>
      <c r="W5167">
        <v>1.4253439999999999E-2</v>
      </c>
      <c r="X5167">
        <v>0.99828550000000005</v>
      </c>
      <c r="Y5167">
        <v>-1.7203170000000001E-3</v>
      </c>
      <c r="Z5167">
        <v>3.9760280000000002E-2</v>
      </c>
      <c r="AA5167">
        <v>0.99920779999999998</v>
      </c>
      <c r="AB5167">
        <v>28</v>
      </c>
      <c r="AC5167">
        <v>0.49740000000002699</v>
      </c>
      <c r="AD5167">
        <v>-1.1103032175959999</v>
      </c>
      <c r="AE5167">
        <v>-27.61581</v>
      </c>
      <c r="AF5167">
        <v>-4.7959953998435299E-2</v>
      </c>
      <c r="AG5167">
        <v>-1.1103032175959999</v>
      </c>
      <c r="AH5167">
        <v>27.575686492309501</v>
      </c>
      <c r="AI5167">
        <v>92.305699561462106</v>
      </c>
      <c r="AJ5167">
        <v>90.099649384244799</v>
      </c>
      <c r="AK5167">
        <v>27.5980716520979</v>
      </c>
      <c r="AL5167">
        <v>89.183310373431297</v>
      </c>
      <c r="AM5167">
        <v>86.745224084979895</v>
      </c>
      <c r="AN5167">
        <v>0.99999998010586999</v>
      </c>
    </row>
    <row r="5168" spans="1:40" x14ac:dyDescent="0.25">
      <c r="A5168" t="str">
        <f>"20190312154940621"</f>
        <v>20190312154940621</v>
      </c>
      <c r="B5168" t="str">
        <f>"1552376980611278"</f>
        <v>1552376980611278</v>
      </c>
      <c r="C5168" t="s">
        <v>40</v>
      </c>
      <c r="D5168">
        <v>4.4291710000000002</v>
      </c>
      <c r="E5168">
        <v>0.47695539999999997</v>
      </c>
      <c r="F5168" t="s">
        <v>42</v>
      </c>
      <c r="G5168">
        <v>-421.71339999999998</v>
      </c>
      <c r="H5168" s="1">
        <v>-3.1750600000000001E-6</v>
      </c>
      <c r="I5168">
        <v>55.92756</v>
      </c>
      <c r="J5168">
        <v>-422.28800000000001</v>
      </c>
      <c r="K5168">
        <v>1.1102989999999999</v>
      </c>
      <c r="L5168">
        <v>83.325649999999996</v>
      </c>
      <c r="M5168">
        <v>1.663135E-2</v>
      </c>
      <c r="N5168">
        <v>0</v>
      </c>
      <c r="O5168">
        <v>-0.99976290000000001</v>
      </c>
      <c r="P5168">
        <v>-4.0367090000000001E-2</v>
      </c>
      <c r="Q5168">
        <v>-6.2021720000000002E-4</v>
      </c>
      <c r="R5168">
        <v>-0.99918490000000004</v>
      </c>
      <c r="S5168">
        <v>6.2927250000000004E-2</v>
      </c>
      <c r="T5168">
        <v>-0.1206073</v>
      </c>
      <c r="U5168">
        <v>-3.0050349999999999</v>
      </c>
      <c r="V5168">
        <v>5.6972299999999997E-2</v>
      </c>
      <c r="W5168">
        <v>1.34529E-2</v>
      </c>
      <c r="X5168">
        <v>0.99828510000000004</v>
      </c>
      <c r="Y5168">
        <v>-4.2869359999999999E-3</v>
      </c>
      <c r="Z5168">
        <v>4.0089880000000001E-2</v>
      </c>
      <c r="AA5168">
        <v>0.99918689999999999</v>
      </c>
      <c r="AB5168">
        <v>27</v>
      </c>
      <c r="AC5168">
        <v>0.57460000000003197</v>
      </c>
      <c r="AD5168">
        <v>-1.11030217506</v>
      </c>
      <c r="AE5168">
        <v>-27.39809</v>
      </c>
      <c r="AF5168">
        <v>-0.118613564984812</v>
      </c>
      <c r="AG5168">
        <v>-1.11030217506</v>
      </c>
      <c r="AH5168">
        <v>27.3589463877809</v>
      </c>
      <c r="AI5168">
        <v>92.323925093116898</v>
      </c>
      <c r="AJ5168">
        <v>90.248401893507804</v>
      </c>
      <c r="AK5168">
        <v>27.3817236043901</v>
      </c>
      <c r="AL5168">
        <v>89.229182342366101</v>
      </c>
      <c r="AM5168">
        <v>86.733663226762104</v>
      </c>
      <c r="AN5168">
        <v>0.999999982183854</v>
      </c>
    </row>
    <row r="5169" spans="1:40" x14ac:dyDescent="0.25">
      <c r="A5169" t="str">
        <f>"20190312154940644"</f>
        <v>20190312154940644</v>
      </c>
      <c r="B5169" t="str">
        <f>"1552376980640557"</f>
        <v>1552376980640557</v>
      </c>
      <c r="C5169" t="s">
        <v>40</v>
      </c>
      <c r="D5169">
        <v>4.498075</v>
      </c>
      <c r="E5169">
        <v>0.4769388</v>
      </c>
      <c r="F5169" t="s">
        <v>42</v>
      </c>
      <c r="G5169">
        <v>-421.64690000000002</v>
      </c>
      <c r="H5169" s="1">
        <v>-2.8050350000000002E-6</v>
      </c>
      <c r="I5169">
        <v>55.106259999999999</v>
      </c>
      <c r="J5169">
        <v>-422.28289999999998</v>
      </c>
      <c r="K5169">
        <v>1.110293</v>
      </c>
      <c r="L5169">
        <v>83.047489999999996</v>
      </c>
      <c r="M5169">
        <v>1.7011390000000001E-2</v>
      </c>
      <c r="N5169">
        <v>0</v>
      </c>
      <c r="O5169">
        <v>-0.99975650000000005</v>
      </c>
      <c r="P5169">
        <v>-4.0293339999999997E-2</v>
      </c>
      <c r="Q5169">
        <v>-1.8799579999999999E-3</v>
      </c>
      <c r="R5169">
        <v>-0.99918649999999998</v>
      </c>
      <c r="S5169">
        <v>6.8267820000000007E-2</v>
      </c>
      <c r="T5169">
        <v>-0.1182377</v>
      </c>
      <c r="U5169">
        <v>-3.0051269999999999</v>
      </c>
      <c r="V5169">
        <v>5.7278929999999999E-2</v>
      </c>
      <c r="W5169">
        <v>1.218986E-2</v>
      </c>
      <c r="X5169">
        <v>0.99828380000000005</v>
      </c>
      <c r="Y5169">
        <v>-5.6817419999999896E-3</v>
      </c>
      <c r="Z5169">
        <v>3.9301009999999997E-2</v>
      </c>
      <c r="AA5169">
        <v>0.99921130000000002</v>
      </c>
      <c r="AB5169">
        <v>27</v>
      </c>
      <c r="AC5169">
        <v>0.63599999999996704</v>
      </c>
      <c r="AD5169">
        <v>-1.110295805035</v>
      </c>
      <c r="AE5169">
        <v>-27.941230000000001</v>
      </c>
      <c r="AF5169">
        <v>-0.16028886444411999</v>
      </c>
      <c r="AG5169">
        <v>-1.110295805035</v>
      </c>
      <c r="AH5169">
        <v>27.903968323297399</v>
      </c>
      <c r="AI5169">
        <v>92.278553152140205</v>
      </c>
      <c r="AJ5169">
        <v>90.329120729986201</v>
      </c>
      <c r="AK5169">
        <v>27.926508866708101</v>
      </c>
      <c r="AL5169">
        <v>89.301555175954803</v>
      </c>
      <c r="AM5169">
        <v>86.716117614987198</v>
      </c>
      <c r="AN5169">
        <v>1.0000000069256001</v>
      </c>
    </row>
    <row r="5170" spans="1:40" x14ac:dyDescent="0.25">
      <c r="A5170" t="str">
        <f>"20190312154940666"</f>
        <v>20190312154940666</v>
      </c>
      <c r="B5170" t="str">
        <f>"1552376980661053"</f>
        <v>1552376980661053</v>
      </c>
      <c r="C5170" t="s">
        <v>40</v>
      </c>
      <c r="D5170">
        <v>4.4939679999999997</v>
      </c>
      <c r="E5170">
        <v>0.47706009999999999</v>
      </c>
      <c r="F5170" t="s">
        <v>42</v>
      </c>
      <c r="G5170">
        <v>-421.69049999999999</v>
      </c>
      <c r="H5170" s="1">
        <v>-3.7163089999999999E-6</v>
      </c>
      <c r="I5170">
        <v>57.203429999999997</v>
      </c>
      <c r="J5170">
        <v>-422.27769999999998</v>
      </c>
      <c r="K5170">
        <v>1.11029</v>
      </c>
      <c r="L5170">
        <v>82.769779999999997</v>
      </c>
      <c r="M5170">
        <v>1.7391449999999999E-2</v>
      </c>
      <c r="N5170">
        <v>0</v>
      </c>
      <c r="O5170">
        <v>-0.99975000000000003</v>
      </c>
      <c r="P5170">
        <v>-4.009795E-2</v>
      </c>
      <c r="Q5170">
        <v>-3.6634290000000002E-3</v>
      </c>
      <c r="R5170">
        <v>-0.99918929999999995</v>
      </c>
      <c r="S5170">
        <v>6.8878170000000002E-2</v>
      </c>
      <c r="T5170">
        <v>-0.12909789999999999</v>
      </c>
      <c r="U5170">
        <v>-3.0049739999999998</v>
      </c>
      <c r="V5170">
        <v>5.7464330000000001E-2</v>
      </c>
      <c r="W5170">
        <v>1.0403269999999999E-2</v>
      </c>
      <c r="X5170">
        <v>0.99829330000000005</v>
      </c>
      <c r="Y5170">
        <v>-5.5021949999999997E-3</v>
      </c>
      <c r="Z5170">
        <v>4.2906140000000002E-2</v>
      </c>
      <c r="AA5170">
        <v>0.99906399999999995</v>
      </c>
      <c r="AB5170">
        <v>27</v>
      </c>
      <c r="AC5170">
        <v>0.58719999999999495</v>
      </c>
      <c r="AD5170">
        <v>-1.1102937163089901</v>
      </c>
      <c r="AE5170">
        <v>-25.56635</v>
      </c>
      <c r="AF5170">
        <v>-0.14216338959997801</v>
      </c>
      <c r="AG5170">
        <v>-1.1102937163089901</v>
      </c>
      <c r="AH5170">
        <v>25.524582174061301</v>
      </c>
      <c r="AI5170">
        <v>92.490700172809397</v>
      </c>
      <c r="AJ5170">
        <v>90.3191150376189</v>
      </c>
      <c r="AK5170">
        <v>25.5491146172666</v>
      </c>
      <c r="AL5170">
        <v>89.403925750782605</v>
      </c>
      <c r="AM5170">
        <v>86.705543027068202</v>
      </c>
      <c r="AN5170">
        <v>0.99999994503696399</v>
      </c>
    </row>
    <row r="5171" spans="1:40" x14ac:dyDescent="0.25">
      <c r="A5171" t="str">
        <f>"20190312154940689"</f>
        <v>20190312154940689</v>
      </c>
      <c r="B5171" t="str">
        <f>"1552376980680574"</f>
        <v>1552376980680574</v>
      </c>
      <c r="C5171" t="s">
        <v>40</v>
      </c>
      <c r="D5171">
        <v>4.4915240000000001</v>
      </c>
      <c r="E5171">
        <v>0.4770083</v>
      </c>
      <c r="F5171" t="s">
        <v>42</v>
      </c>
      <c r="G5171">
        <v>-421.71710000000002</v>
      </c>
      <c r="H5171" s="1">
        <v>-4.0663240000000002E-6</v>
      </c>
      <c r="I5171">
        <v>58.040819999999997</v>
      </c>
      <c r="J5171">
        <v>-422.27260000000001</v>
      </c>
      <c r="K5171">
        <v>1.1102860000000001</v>
      </c>
      <c r="L5171">
        <v>82.501009999999994</v>
      </c>
      <c r="M5171">
        <v>1.7759130000000001E-2</v>
      </c>
      <c r="N5171">
        <v>0</v>
      </c>
      <c r="O5171">
        <v>-0.99974359999999995</v>
      </c>
      <c r="P5171">
        <v>-3.9932410000000002E-2</v>
      </c>
      <c r="Q5171">
        <v>-5.3634099999999999E-3</v>
      </c>
      <c r="R5171">
        <v>-0.99918790000000002</v>
      </c>
      <c r="S5171">
        <v>6.8115229999999999E-2</v>
      </c>
      <c r="T5171">
        <v>-0.1349052</v>
      </c>
      <c r="U5171">
        <v>-3.0046689999999998</v>
      </c>
      <c r="V5171">
        <v>5.7667040000000003E-2</v>
      </c>
      <c r="W5171">
        <v>8.7005629999999997E-3</v>
      </c>
      <c r="X5171">
        <v>0.99829789999999996</v>
      </c>
      <c r="Y5171">
        <v>-4.8812860000000003E-3</v>
      </c>
      <c r="Z5171">
        <v>4.4836729999999998E-2</v>
      </c>
      <c r="AA5171">
        <v>0.99898240000000005</v>
      </c>
      <c r="AB5171">
        <v>27</v>
      </c>
      <c r="AC5171">
        <v>0.555499999999995</v>
      </c>
      <c r="AD5171">
        <v>-1.1102900663240001</v>
      </c>
      <c r="AE5171">
        <v>-24.460190000000001</v>
      </c>
      <c r="AF5171">
        <v>-0.12072919051628</v>
      </c>
      <c r="AG5171">
        <v>-1.1102900663240001</v>
      </c>
      <c r="AH5171">
        <v>24.4159170740581</v>
      </c>
      <c r="AI5171">
        <v>92.603644310963901</v>
      </c>
      <c r="AJ5171">
        <v>90.283307675264894</v>
      </c>
      <c r="AK5171">
        <v>24.441446891215399</v>
      </c>
      <c r="AL5171">
        <v>89.501488142232802</v>
      </c>
      <c r="AM5171">
        <v>86.693962500902501</v>
      </c>
      <c r="AN5171">
        <v>0.99999994222164201</v>
      </c>
    </row>
    <row r="5172" spans="1:40" x14ac:dyDescent="0.25">
      <c r="A5172" t="str">
        <f>"20190312154940711"</f>
        <v>20190312154940711</v>
      </c>
      <c r="B5172" t="str">
        <f>"1552376980701069"</f>
        <v>1552376980701069</v>
      </c>
      <c r="C5172" t="s">
        <v>40</v>
      </c>
      <c r="D5172">
        <v>4.5027369999999998</v>
      </c>
      <c r="E5172">
        <v>0.47721859999999999</v>
      </c>
      <c r="F5172" t="s">
        <v>42</v>
      </c>
      <c r="G5172">
        <v>-421.7371</v>
      </c>
      <c r="H5172" s="1">
        <v>-4.4767760000000002E-6</v>
      </c>
      <c r="I5172">
        <v>59.236519999999999</v>
      </c>
      <c r="J5172">
        <v>-422.26729999999998</v>
      </c>
      <c r="K5172">
        <v>1.110282</v>
      </c>
      <c r="L5172">
        <v>82.225279999999998</v>
      </c>
      <c r="M5172">
        <v>1.8136670000000001E-2</v>
      </c>
      <c r="N5172">
        <v>0</v>
      </c>
      <c r="O5172">
        <v>-0.99973710000000005</v>
      </c>
      <c r="P5172">
        <v>-3.9230279999999999E-2</v>
      </c>
      <c r="Q5172">
        <v>-6.3631900000000003E-3</v>
      </c>
      <c r="R5172">
        <v>-0.99921020000000005</v>
      </c>
      <c r="S5172">
        <v>6.9152829999999998E-2</v>
      </c>
      <c r="T5172">
        <v>-0.14338529999999999</v>
      </c>
      <c r="U5172">
        <v>-3.0044249999999999</v>
      </c>
      <c r="V5172">
        <v>5.7343079999999998E-2</v>
      </c>
      <c r="W5172">
        <v>7.6978089999999999E-3</v>
      </c>
      <c r="X5172">
        <v>0.99832489999999996</v>
      </c>
      <c r="Y5172">
        <v>-4.8473140000000001E-3</v>
      </c>
      <c r="Z5172">
        <v>4.7652109999999998E-2</v>
      </c>
      <c r="AA5172">
        <v>0.99885230000000003</v>
      </c>
      <c r="AB5172">
        <v>27</v>
      </c>
      <c r="AC5172">
        <v>0.53019999999997902</v>
      </c>
      <c r="AD5172">
        <v>-1.1102864767759999</v>
      </c>
      <c r="AE5172">
        <v>-22.988759999999999</v>
      </c>
      <c r="AF5172">
        <v>-0.11286905128395899</v>
      </c>
      <c r="AG5172">
        <v>-1.1102864767759999</v>
      </c>
      <c r="AH5172">
        <v>22.941111174923002</v>
      </c>
      <c r="AI5172">
        <v>92.770762154863206</v>
      </c>
      <c r="AJ5172">
        <v>90.281889924533402</v>
      </c>
      <c r="AK5172">
        <v>22.968240189954201</v>
      </c>
      <c r="AL5172">
        <v>89.558943696916302</v>
      </c>
      <c r="AM5172">
        <v>86.712582915166706</v>
      </c>
      <c r="AN5172">
        <v>1.00000004552364</v>
      </c>
    </row>
    <row r="5173" spans="1:40" x14ac:dyDescent="0.25">
      <c r="A5173" t="str">
        <f>"20190312154940735"</f>
        <v>20190312154940735</v>
      </c>
      <c r="B5173" t="str">
        <f>"1552376980731328"</f>
        <v>1552376980731328</v>
      </c>
      <c r="C5173" t="s">
        <v>40</v>
      </c>
      <c r="D5173">
        <v>4.5281900000000004</v>
      </c>
      <c r="E5173">
        <v>0.47733540000000002</v>
      </c>
      <c r="F5173" t="s">
        <v>42</v>
      </c>
      <c r="G5173">
        <v>-421.73579999999998</v>
      </c>
      <c r="H5173" s="1">
        <v>-4.4807280000000001E-6</v>
      </c>
      <c r="I5173">
        <v>59.248800000000003</v>
      </c>
      <c r="J5173">
        <v>-422.26179999999999</v>
      </c>
      <c r="K5173">
        <v>1.110268</v>
      </c>
      <c r="L5173">
        <v>81.946259999999995</v>
      </c>
      <c r="M5173">
        <v>1.8518400000000001E-2</v>
      </c>
      <c r="N5173">
        <v>0</v>
      </c>
      <c r="O5173">
        <v>-0.99973000000000001</v>
      </c>
      <c r="P5173">
        <v>-3.856615E-2</v>
      </c>
      <c r="Q5173">
        <v>-6.9632230000000002E-3</v>
      </c>
      <c r="R5173">
        <v>-0.99923200000000001</v>
      </c>
      <c r="S5173">
        <v>6.9488530000000007E-2</v>
      </c>
      <c r="T5173">
        <v>-0.1451702</v>
      </c>
      <c r="U5173">
        <v>-3.004181</v>
      </c>
      <c r="V5173">
        <v>5.7061050000000002E-2</v>
      </c>
      <c r="W5173">
        <v>7.0946259999999997E-3</v>
      </c>
      <c r="X5173">
        <v>0.9983455</v>
      </c>
      <c r="Y5173">
        <v>-4.5782490000000004E-3</v>
      </c>
      <c r="Z5173">
        <v>4.8247320000000003E-2</v>
      </c>
      <c r="AA5173">
        <v>0.99882499999999996</v>
      </c>
      <c r="AB5173">
        <v>27</v>
      </c>
      <c r="AC5173">
        <v>0.52600000000001002</v>
      </c>
      <c r="AD5173">
        <v>-1.110272480728</v>
      </c>
      <c r="AE5173">
        <v>-22.6974599999999</v>
      </c>
      <c r="AF5173">
        <v>-0.10529591767883301</v>
      </c>
      <c r="AG5173">
        <v>-1.110272480728</v>
      </c>
      <c r="AH5173">
        <v>22.649143145057501</v>
      </c>
      <c r="AI5173">
        <v>92.806391368869498</v>
      </c>
      <c r="AJ5173">
        <v>90.266366289470895</v>
      </c>
      <c r="AK5173">
        <v>22.676584341938401</v>
      </c>
      <c r="AL5173">
        <v>89.593504469870894</v>
      </c>
      <c r="AM5173">
        <v>86.728783544257794</v>
      </c>
      <c r="AN5173">
        <v>1.0000000172577099</v>
      </c>
    </row>
    <row r="5174" spans="1:40" x14ac:dyDescent="0.25">
      <c r="A5174" t="str">
        <f>"20190312154940755"</f>
        <v>20190312154940755</v>
      </c>
      <c r="B5174" t="str">
        <f>"1552376980750845"</f>
        <v>1552376980750845</v>
      </c>
      <c r="C5174" t="s">
        <v>40</v>
      </c>
      <c r="D5174">
        <v>4.5125869999999999</v>
      </c>
      <c r="E5174">
        <v>0.47745700000000002</v>
      </c>
      <c r="F5174" t="s">
        <v>42</v>
      </c>
      <c r="G5174">
        <v>-421.72300000000001</v>
      </c>
      <c r="H5174" s="1">
        <v>-4.386552E-6</v>
      </c>
      <c r="I5174">
        <v>58.978740000000002</v>
      </c>
      <c r="J5174">
        <v>-422.25650000000002</v>
      </c>
      <c r="K5174">
        <v>1.1102650000000001</v>
      </c>
      <c r="L5174">
        <v>81.683229999999995</v>
      </c>
      <c r="M5174">
        <v>1.887817E-2</v>
      </c>
      <c r="N5174">
        <v>0</v>
      </c>
      <c r="O5174">
        <v>-0.99972329999999998</v>
      </c>
      <c r="P5174">
        <v>-3.7733990000000002E-2</v>
      </c>
      <c r="Q5174">
        <v>-8.1381300000000004E-3</v>
      </c>
      <c r="R5174">
        <v>-0.99925489999999995</v>
      </c>
      <c r="S5174">
        <v>7.0465089999999994E-2</v>
      </c>
      <c r="T5174">
        <v>-0.14521770000000001</v>
      </c>
      <c r="U5174">
        <v>-3.0040279999999999</v>
      </c>
      <c r="V5174">
        <v>5.6589510000000003E-2</v>
      </c>
      <c r="W5174">
        <v>5.9168629999999996E-3</v>
      </c>
      <c r="X5174">
        <v>0.99838000000000005</v>
      </c>
      <c r="Y5174">
        <v>-4.5440599999999999E-3</v>
      </c>
      <c r="Z5174">
        <v>4.8264840000000003E-2</v>
      </c>
      <c r="AA5174">
        <v>0.99882420000000005</v>
      </c>
      <c r="AB5174">
        <v>27</v>
      </c>
      <c r="AC5174">
        <v>0.53350000000000297</v>
      </c>
      <c r="AD5174">
        <v>-1.1102693865519999</v>
      </c>
      <c r="AE5174">
        <v>-22.70449</v>
      </c>
      <c r="AF5174">
        <v>-0.104493735566335</v>
      </c>
      <c r="AG5174">
        <v>-1.1102693865519999</v>
      </c>
      <c r="AH5174">
        <v>22.656367394690299</v>
      </c>
      <c r="AI5174">
        <v>92.80549062019</v>
      </c>
      <c r="AJ5174">
        <v>90.264252758546505</v>
      </c>
      <c r="AK5174">
        <v>22.683795991294598</v>
      </c>
      <c r="AL5174">
        <v>89.660986745091805</v>
      </c>
      <c r="AM5174">
        <v>86.755870045192594</v>
      </c>
      <c r="AN5174">
        <v>1.0000000031548999</v>
      </c>
    </row>
    <row r="5175" spans="1:40" x14ac:dyDescent="0.25">
      <c r="A5175" t="str">
        <f>"20190312154940778"</f>
        <v>20190312154940778</v>
      </c>
      <c r="B5175" t="str">
        <f>"1552376980771342"</f>
        <v>1552376980771342</v>
      </c>
      <c r="C5175" t="s">
        <v>40</v>
      </c>
      <c r="D5175">
        <v>4.5278729999999996</v>
      </c>
      <c r="E5175">
        <v>0.47758050000000002</v>
      </c>
      <c r="F5175" t="s">
        <v>42</v>
      </c>
      <c r="G5175">
        <v>-421.71390000000002</v>
      </c>
      <c r="H5175" s="1">
        <v>-4.4288639999999999E-6</v>
      </c>
      <c r="I5175">
        <v>59.107849999999999</v>
      </c>
      <c r="J5175">
        <v>-422.25110000000001</v>
      </c>
      <c r="K5175">
        <v>1.11026</v>
      </c>
      <c r="L5175">
        <v>81.416960000000003</v>
      </c>
      <c r="M5175">
        <v>1.9242470000000001E-2</v>
      </c>
      <c r="N5175">
        <v>0</v>
      </c>
      <c r="O5175">
        <v>-0.99971639999999995</v>
      </c>
      <c r="P5175">
        <v>-3.6947840000000003E-2</v>
      </c>
      <c r="Q5175">
        <v>-9.2751699999999992E-3</v>
      </c>
      <c r="R5175">
        <v>-0.99927449999999995</v>
      </c>
      <c r="S5175">
        <v>7.2204589999999999E-2</v>
      </c>
      <c r="T5175">
        <v>-0.14772779999999999</v>
      </c>
      <c r="U5175">
        <v>-3.003784</v>
      </c>
      <c r="V5175">
        <v>5.61684E-2</v>
      </c>
      <c r="W5175">
        <v>4.777239E-3</v>
      </c>
      <c r="X5175">
        <v>0.99840989999999996</v>
      </c>
      <c r="Y5175">
        <v>-4.7586900000000003E-3</v>
      </c>
      <c r="Z5175">
        <v>4.9100230000000002E-2</v>
      </c>
      <c r="AA5175">
        <v>0.99878250000000002</v>
      </c>
      <c r="AB5175">
        <v>27</v>
      </c>
      <c r="AC5175">
        <v>0.53719999999998402</v>
      </c>
      <c r="AD5175">
        <v>-1.110264428864</v>
      </c>
      <c r="AE5175">
        <v>-22.30911</v>
      </c>
      <c r="AF5175">
        <v>-0.107509754105459</v>
      </c>
      <c r="AG5175">
        <v>-1.110264428864</v>
      </c>
      <c r="AH5175">
        <v>22.260214827302701</v>
      </c>
      <c r="AI5175">
        <v>92.855320804562993</v>
      </c>
      <c r="AJ5175">
        <v>90.276718231185995</v>
      </c>
      <c r="AK5175">
        <v>22.288145046344599</v>
      </c>
      <c r="AL5175">
        <v>89.726283331858497</v>
      </c>
      <c r="AM5175">
        <v>86.780056429322798</v>
      </c>
      <c r="AN5175">
        <v>1.00000001979451</v>
      </c>
    </row>
    <row r="5176" spans="1:40" x14ac:dyDescent="0.25">
      <c r="A5176" t="str">
        <f>"20190312154940799"</f>
        <v>20190312154940799</v>
      </c>
      <c r="B5176" t="str">
        <f>"1552376980790862"</f>
        <v>1552376980790862</v>
      </c>
      <c r="C5176" t="s">
        <v>40</v>
      </c>
      <c r="D5176">
        <v>4.5248350000000004</v>
      </c>
      <c r="E5176">
        <v>0.47765800000000003</v>
      </c>
      <c r="F5176" t="s">
        <v>42</v>
      </c>
      <c r="G5176">
        <v>-421.70749999999998</v>
      </c>
      <c r="H5176" s="1">
        <v>-4.4656360000000002E-6</v>
      </c>
      <c r="I5176">
        <v>59.2192199999999</v>
      </c>
      <c r="J5176">
        <v>-422.24549999999999</v>
      </c>
      <c r="K5176">
        <v>1.11026</v>
      </c>
      <c r="L5176">
        <v>81.148469999999904</v>
      </c>
      <c r="M5176">
        <v>1.9609830000000002E-2</v>
      </c>
      <c r="N5176">
        <v>0</v>
      </c>
      <c r="O5176">
        <v>-0.99970919999999996</v>
      </c>
      <c r="P5176">
        <v>-3.6041709999999998E-2</v>
      </c>
      <c r="Q5176">
        <v>-9.9314980000000004E-3</v>
      </c>
      <c r="R5176">
        <v>-0.99930110000000005</v>
      </c>
      <c r="S5176">
        <v>7.3547360000000006E-2</v>
      </c>
      <c r="T5176">
        <v>-0.15022650000000001</v>
      </c>
      <c r="U5176">
        <v>-3.0035099999999999</v>
      </c>
      <c r="V5176">
        <v>5.5630260000000001E-2</v>
      </c>
      <c r="W5176">
        <v>4.1182559999999998E-3</v>
      </c>
      <c r="X5176">
        <v>0.99844290000000002</v>
      </c>
      <c r="Y5176">
        <v>-4.8386710000000001E-3</v>
      </c>
      <c r="Z5176">
        <v>4.9932379999999998E-2</v>
      </c>
      <c r="AA5176">
        <v>0.99874090000000004</v>
      </c>
      <c r="AB5176">
        <v>27</v>
      </c>
      <c r="AC5176">
        <v>0.53800000000001003</v>
      </c>
      <c r="AD5176">
        <v>-1.1102644656359999</v>
      </c>
      <c r="AE5176">
        <v>-21.92925</v>
      </c>
      <c r="AF5176">
        <v>-0.10754978450479299</v>
      </c>
      <c r="AG5176">
        <v>-1.1102644656359999</v>
      </c>
      <c r="AH5176">
        <v>21.8795326652663</v>
      </c>
      <c r="AI5176">
        <v>92.904915070687494</v>
      </c>
      <c r="AJ5176">
        <v>90.281637601842505</v>
      </c>
      <c r="AK5176">
        <v>21.907948415820599</v>
      </c>
      <c r="AL5176">
        <v>89.764040634693998</v>
      </c>
      <c r="AM5176">
        <v>86.810947370042697</v>
      </c>
      <c r="AN5176">
        <v>0.99999995521027796</v>
      </c>
    </row>
    <row r="5177" spans="1:40" x14ac:dyDescent="0.25">
      <c r="A5177" t="str">
        <f>"20190312154940816"</f>
        <v>20190312154940816</v>
      </c>
      <c r="B5177" t="str">
        <f>"1552376980811358"</f>
        <v>1552376980811358</v>
      </c>
      <c r="C5177" t="s">
        <v>40</v>
      </c>
      <c r="D5177">
        <v>4.5316780000000003</v>
      </c>
      <c r="E5177">
        <v>0.47782619999999998</v>
      </c>
      <c r="F5177" t="s">
        <v>42</v>
      </c>
      <c r="G5177">
        <v>-421.6943</v>
      </c>
      <c r="H5177" s="1">
        <v>-4.44935E-6</v>
      </c>
      <c r="I5177">
        <v>59.178249999999998</v>
      </c>
      <c r="J5177">
        <v>-422.24119999999999</v>
      </c>
      <c r="K5177">
        <v>1.1102590000000001</v>
      </c>
      <c r="L5177">
        <v>80.948359999999994</v>
      </c>
      <c r="M5177">
        <v>1.988374E-2</v>
      </c>
      <c r="N5177">
        <v>0</v>
      </c>
      <c r="O5177">
        <v>-0.99970400000000004</v>
      </c>
      <c r="P5177">
        <v>-3.5759529999999998E-2</v>
      </c>
      <c r="Q5177">
        <v>-9.9732169999999995E-3</v>
      </c>
      <c r="R5177">
        <v>-0.99931110000000001</v>
      </c>
      <c r="S5177">
        <v>7.5347899999999995E-2</v>
      </c>
      <c r="T5177">
        <v>-0.15177299999999999</v>
      </c>
      <c r="U5177">
        <v>-3.0033259999999999</v>
      </c>
      <c r="V5177">
        <v>5.5621900000000002E-2</v>
      </c>
      <c r="W5177">
        <v>4.07391E-3</v>
      </c>
      <c r="X5177">
        <v>0.99844359999999999</v>
      </c>
      <c r="Y5177">
        <v>-5.163923E-3</v>
      </c>
      <c r="Z5177">
        <v>5.044734E-2</v>
      </c>
      <c r="AA5177">
        <v>0.99871339999999997</v>
      </c>
      <c r="AB5177">
        <v>27</v>
      </c>
      <c r="AC5177">
        <v>0.54689999999999295</v>
      </c>
      <c r="AD5177">
        <v>-1.1102634493500001</v>
      </c>
      <c r="AE5177">
        <v>-21.770109999999899</v>
      </c>
      <c r="AF5177">
        <v>-0.11358286622590701</v>
      </c>
      <c r="AG5177">
        <v>-1.1102634493500001</v>
      </c>
      <c r="AH5177">
        <v>21.720223232235099</v>
      </c>
      <c r="AI5177">
        <v>92.926177279796605</v>
      </c>
      <c r="AJ5177">
        <v>90.299617525554396</v>
      </c>
      <c r="AK5177">
        <v>21.748877746968699</v>
      </c>
      <c r="AL5177">
        <v>89.766581506953401</v>
      </c>
      <c r="AM5177">
        <v>86.811427856164997</v>
      </c>
      <c r="AN5177">
        <v>1.00000000744162</v>
      </c>
    </row>
    <row r="5178" spans="1:40" x14ac:dyDescent="0.25">
      <c r="A5178" t="str">
        <f>"20190312154940833"</f>
        <v>20190312154940833</v>
      </c>
      <c r="B5178" t="str">
        <f>"1552376980821118"</f>
        <v>1552376980821118</v>
      </c>
      <c r="C5178" t="s">
        <v>40</v>
      </c>
      <c r="D5178">
        <v>4.5320780000000003</v>
      </c>
      <c r="E5178">
        <v>0.47793920000000001</v>
      </c>
      <c r="F5178" t="s">
        <v>42</v>
      </c>
      <c r="G5178">
        <v>-421.68990000000002</v>
      </c>
      <c r="H5178" s="1">
        <v>-4.3120999999999998E-6</v>
      </c>
      <c r="I5178">
        <v>58.777200000000001</v>
      </c>
      <c r="J5178">
        <v>-422.23680000000002</v>
      </c>
      <c r="K5178">
        <v>1.110258</v>
      </c>
      <c r="L5178">
        <v>80.739649999999997</v>
      </c>
      <c r="M5178">
        <v>2.0169659999999999E-2</v>
      </c>
      <c r="N5178">
        <v>0</v>
      </c>
      <c r="O5178">
        <v>-0.99969830000000004</v>
      </c>
      <c r="P5178">
        <v>-3.52728E-2</v>
      </c>
      <c r="Q5178">
        <v>-1.007883E-2</v>
      </c>
      <c r="R5178">
        <v>-0.99932739999999998</v>
      </c>
      <c r="S5178">
        <v>7.4676510000000001E-2</v>
      </c>
      <c r="T5178">
        <v>-0.15039279999999999</v>
      </c>
      <c r="U5178">
        <v>-3.0032350000000001</v>
      </c>
      <c r="V5178">
        <v>5.542122E-2</v>
      </c>
      <c r="W5178">
        <v>3.9661469999999997E-3</v>
      </c>
      <c r="X5178">
        <v>0.99845519999999999</v>
      </c>
      <c r="Y5178">
        <v>-4.6561229999999999E-3</v>
      </c>
      <c r="Z5178">
        <v>4.9991029999999999E-2</v>
      </c>
      <c r="AA5178">
        <v>0.99873880000000004</v>
      </c>
      <c r="AB5178">
        <v>27</v>
      </c>
      <c r="AC5178">
        <v>0.54689999999999295</v>
      </c>
      <c r="AD5178">
        <v>-1.1102623120999999</v>
      </c>
      <c r="AE5178">
        <v>-21.96245</v>
      </c>
      <c r="AF5178">
        <v>-0.103505693344243</v>
      </c>
      <c r="AG5178">
        <v>-1.1102623120999999</v>
      </c>
      <c r="AH5178">
        <v>21.913047349063199</v>
      </c>
      <c r="AI5178">
        <v>92.900476834666506</v>
      </c>
      <c r="AJ5178">
        <v>90.270633070117995</v>
      </c>
      <c r="AK5178">
        <v>21.941400136557199</v>
      </c>
      <c r="AL5178">
        <v>89.772755923420206</v>
      </c>
      <c r="AM5178">
        <v>86.8229452315598</v>
      </c>
      <c r="AN5178">
        <v>1.0000000141776699</v>
      </c>
    </row>
    <row r="5179" spans="1:40" x14ac:dyDescent="0.25">
      <c r="A5179" t="str">
        <f>"20190312154940856"</f>
        <v>20190312154940856</v>
      </c>
      <c r="B5179" t="str">
        <f>"1552376980851374"</f>
        <v>1552376980851374</v>
      </c>
      <c r="C5179" t="s">
        <v>40</v>
      </c>
      <c r="D5179">
        <v>4.5531269999999999</v>
      </c>
      <c r="E5179">
        <v>0.47810340000000001</v>
      </c>
      <c r="F5179" t="s">
        <v>42</v>
      </c>
      <c r="G5179">
        <v>-421.6789</v>
      </c>
      <c r="H5179" s="1">
        <v>-4.2259950000000004E-6</v>
      </c>
      <c r="I5179">
        <v>58.529960000000003</v>
      </c>
      <c r="J5179">
        <v>-422.23079999999999</v>
      </c>
      <c r="K5179">
        <v>1.110258</v>
      </c>
      <c r="L5179">
        <v>80.464479999999995</v>
      </c>
      <c r="M5179">
        <v>2.0546519999999999E-2</v>
      </c>
      <c r="N5179">
        <v>0</v>
      </c>
      <c r="O5179">
        <v>-0.99969070000000004</v>
      </c>
      <c r="P5179">
        <v>-3.4708639999999999E-2</v>
      </c>
      <c r="Q5179">
        <v>-1.020799E-2</v>
      </c>
      <c r="R5179">
        <v>-0.9993455</v>
      </c>
      <c r="S5179">
        <v>7.5439450000000005E-2</v>
      </c>
      <c r="T5179">
        <v>-0.1501286</v>
      </c>
      <c r="U5179">
        <v>-3.003174</v>
      </c>
      <c r="V5179">
        <v>5.5234020000000002E-2</v>
      </c>
      <c r="W5179">
        <v>3.8340639999999999E-3</v>
      </c>
      <c r="X5179">
        <v>0.99846610000000002</v>
      </c>
      <c r="Y5179">
        <v>-4.5333320000000002E-3</v>
      </c>
      <c r="Z5179">
        <v>4.990373E-2</v>
      </c>
      <c r="AA5179">
        <v>0.99874379999999996</v>
      </c>
      <c r="AB5179">
        <v>27</v>
      </c>
      <c r="AC5179">
        <v>0.55189999999998895</v>
      </c>
      <c r="AD5179">
        <v>-1.1102622259949999</v>
      </c>
      <c r="AE5179">
        <v>-21.934519999999999</v>
      </c>
      <c r="AF5179">
        <v>-0.100803061967912</v>
      </c>
      <c r="AG5179">
        <v>-1.1102622259949999</v>
      </c>
      <c r="AH5179">
        <v>21.885192987120501</v>
      </c>
      <c r="AI5179">
        <v>92.904163462495205</v>
      </c>
      <c r="AJ5179">
        <v>90.263902135717302</v>
      </c>
      <c r="AK5179">
        <v>21.9135692106804</v>
      </c>
      <c r="AL5179">
        <v>89.780323781682895</v>
      </c>
      <c r="AM5179">
        <v>86.833689207311394</v>
      </c>
      <c r="AN5179">
        <v>1.00000002493066</v>
      </c>
    </row>
    <row r="5180" spans="1:40" x14ac:dyDescent="0.25">
      <c r="A5180" t="str">
        <f>"20190312154940878"</f>
        <v>20190312154940878</v>
      </c>
      <c r="B5180" t="str">
        <f>"1552376980870894"</f>
        <v>1552376980870894</v>
      </c>
      <c r="C5180" t="s">
        <v>40</v>
      </c>
      <c r="D5180">
        <v>4.5475560000000002</v>
      </c>
      <c r="E5180">
        <v>0.47815780000000002</v>
      </c>
      <c r="F5180" t="s">
        <v>42</v>
      </c>
      <c r="G5180">
        <v>-421.6653</v>
      </c>
      <c r="H5180" s="1">
        <v>-4.0594149999999998E-6</v>
      </c>
      <c r="I5180">
        <v>58.047490000000003</v>
      </c>
      <c r="J5180">
        <v>-422.22500000000002</v>
      </c>
      <c r="K5180">
        <v>1.1102590000000001</v>
      </c>
      <c r="L5180">
        <v>80.203580000000002</v>
      </c>
      <c r="M5180">
        <v>2.0904019999999999E-2</v>
      </c>
      <c r="N5180">
        <v>0</v>
      </c>
      <c r="O5180">
        <v>-0.99968330000000005</v>
      </c>
      <c r="P5180">
        <v>-3.4306330000000003E-2</v>
      </c>
      <c r="Q5180">
        <v>-1.072642E-2</v>
      </c>
      <c r="R5180">
        <v>-0.99935399999999996</v>
      </c>
      <c r="S5180">
        <v>7.5744629999999993E-2</v>
      </c>
      <c r="T5180">
        <v>-0.14873430000000001</v>
      </c>
      <c r="U5180">
        <v>-3.0030519999999998</v>
      </c>
      <c r="V5180">
        <v>5.5189349999999998E-2</v>
      </c>
      <c r="W5180">
        <v>3.3124069999999999E-3</v>
      </c>
      <c r="X5180">
        <v>0.99847039999999998</v>
      </c>
      <c r="Y5180">
        <v>-4.2787509999999999E-3</v>
      </c>
      <c r="Z5180">
        <v>4.9442819999999998E-2</v>
      </c>
      <c r="AA5180">
        <v>0.99876779999999998</v>
      </c>
      <c r="AB5180">
        <v>27</v>
      </c>
      <c r="AC5180">
        <v>0.55970000000001996</v>
      </c>
      <c r="AD5180">
        <v>-1.110263059415</v>
      </c>
      <c r="AE5180">
        <v>-22.156089999999999</v>
      </c>
      <c r="AF5180">
        <v>-9.6139592796803494E-2</v>
      </c>
      <c r="AG5180">
        <v>-1.110263059415</v>
      </c>
      <c r="AH5180">
        <v>22.1074699269072</v>
      </c>
      <c r="AI5180">
        <v>92.875018592471704</v>
      </c>
      <c r="AJ5180">
        <v>90.249162758377096</v>
      </c>
      <c r="AK5180">
        <v>22.1355405050681</v>
      </c>
      <c r="AL5180">
        <v>89.810212709539499</v>
      </c>
      <c r="AM5180">
        <v>86.836258324967503</v>
      </c>
      <c r="AN5180">
        <v>0.99999998803485801</v>
      </c>
    </row>
    <row r="5181" spans="1:40" x14ac:dyDescent="0.25">
      <c r="A5181" t="str">
        <f>"20190312154940901"</f>
        <v>20190312154940901</v>
      </c>
      <c r="B5181" t="str">
        <f>"1552376980891468"</f>
        <v>1552376980891468</v>
      </c>
      <c r="C5181" t="s">
        <v>40</v>
      </c>
      <c r="D5181">
        <v>4.5617199999999896</v>
      </c>
      <c r="E5181">
        <v>0.47818769999999999</v>
      </c>
      <c r="F5181" t="s">
        <v>42</v>
      </c>
      <c r="G5181">
        <v>-421.65679999999998</v>
      </c>
      <c r="H5181" s="1">
        <v>-4.0000830000000002E-6</v>
      </c>
      <c r="I5181">
        <v>57.88579</v>
      </c>
      <c r="J5181">
        <v>-422.21879999999999</v>
      </c>
      <c r="K5181">
        <v>1.110257</v>
      </c>
      <c r="L5181">
        <v>79.929469999999995</v>
      </c>
      <c r="M5181">
        <v>2.1279320000000001E-2</v>
      </c>
      <c r="N5181">
        <v>0</v>
      </c>
      <c r="O5181">
        <v>-0.99967539999999999</v>
      </c>
      <c r="P5181">
        <v>-3.359525E-2</v>
      </c>
      <c r="Q5181">
        <v>-1.1117409999999999E-2</v>
      </c>
      <c r="R5181">
        <v>-0.99937390000000004</v>
      </c>
      <c r="S5181">
        <v>7.6446529999999999E-2</v>
      </c>
      <c r="T5181">
        <v>-0.14939089999999999</v>
      </c>
      <c r="U5181">
        <v>-3.0029599999999999</v>
      </c>
      <c r="V5181">
        <v>5.485392E-2</v>
      </c>
      <c r="W5181">
        <v>2.9190179999999998E-3</v>
      </c>
      <c r="X5181">
        <v>0.99849010000000005</v>
      </c>
      <c r="Y5181">
        <v>-4.1371239999999998E-3</v>
      </c>
      <c r="Z5181">
        <v>4.966135E-2</v>
      </c>
      <c r="AA5181">
        <v>0.99875749999999996</v>
      </c>
      <c r="AB5181">
        <v>27</v>
      </c>
      <c r="AC5181">
        <v>0.56200000000001105</v>
      </c>
      <c r="AD5181">
        <v>-1.110261000083</v>
      </c>
      <c r="AE5181">
        <v>-22.043679999999899</v>
      </c>
      <c r="AF5181">
        <v>-9.2517613553923295E-2</v>
      </c>
      <c r="AG5181">
        <v>-1.110261000083</v>
      </c>
      <c r="AH5181">
        <v>21.994887971217999</v>
      </c>
      <c r="AI5181">
        <v>92.889706049211696</v>
      </c>
      <c r="AJ5181">
        <v>90.2410031608933</v>
      </c>
      <c r="AK5181">
        <v>22.0230864290988</v>
      </c>
      <c r="AL5181">
        <v>89.832752346836401</v>
      </c>
      <c r="AM5181">
        <v>86.855510133711803</v>
      </c>
      <c r="AN5181">
        <v>0.99999997650173</v>
      </c>
    </row>
    <row r="5182" spans="1:40" x14ac:dyDescent="0.25">
      <c r="A5182" t="str">
        <f>"20190312154940924"</f>
        <v>20190312154940924</v>
      </c>
      <c r="B5182" t="str">
        <f>"1552376980910988"</f>
        <v>1552376980910988</v>
      </c>
      <c r="C5182" t="s">
        <v>40</v>
      </c>
      <c r="D5182">
        <v>4.5945369999999999</v>
      </c>
      <c r="E5182">
        <v>0.47821269999999999</v>
      </c>
      <c r="F5182" t="s">
        <v>42</v>
      </c>
      <c r="G5182">
        <v>-421.64260000000002</v>
      </c>
      <c r="H5182" s="1">
        <v>-3.9473429999999996E-6</v>
      </c>
      <c r="I5182">
        <v>57.77169</v>
      </c>
      <c r="J5182">
        <v>-422.21249999999998</v>
      </c>
      <c r="K5182">
        <v>1.1102540000000001</v>
      </c>
      <c r="L5182">
        <v>79.652159999999995</v>
      </c>
      <c r="M5182">
        <v>2.1659109999999999E-2</v>
      </c>
      <c r="N5182">
        <v>0</v>
      </c>
      <c r="O5182">
        <v>-0.99966730000000004</v>
      </c>
      <c r="P5182">
        <v>-3.2954780000000003E-2</v>
      </c>
      <c r="Q5182">
        <v>-1.159487E-2</v>
      </c>
      <c r="R5182">
        <v>-0.99938990000000005</v>
      </c>
      <c r="S5182">
        <v>7.8094479999999994E-2</v>
      </c>
      <c r="T5182">
        <v>-0.15046329999999999</v>
      </c>
      <c r="U5182">
        <v>-3.0028380000000001</v>
      </c>
      <c r="V5182">
        <v>5.4593559999999999E-2</v>
      </c>
      <c r="W5182">
        <v>2.4383679999999998E-3</v>
      </c>
      <c r="X5182">
        <v>0.99850570000000005</v>
      </c>
      <c r="Y5182">
        <v>-4.3055410000000004E-3</v>
      </c>
      <c r="Z5182">
        <v>5.0018010000000002E-2</v>
      </c>
      <c r="AA5182">
        <v>0.99873909999999999</v>
      </c>
      <c r="AB5182">
        <v>27</v>
      </c>
      <c r="AC5182">
        <v>0.56989999999996099</v>
      </c>
      <c r="AD5182">
        <v>-1.1102579473430001</v>
      </c>
      <c r="AE5182">
        <v>-21.880469999999899</v>
      </c>
      <c r="AF5182">
        <v>-9.5562403448752095E-2</v>
      </c>
      <c r="AG5182">
        <v>-1.1102579473430001</v>
      </c>
      <c r="AH5182">
        <v>21.831508383642401</v>
      </c>
      <c r="AI5182">
        <v>92.911284438438599</v>
      </c>
      <c r="AJ5182">
        <v>90.250797486457103</v>
      </c>
      <c r="AK5182">
        <v>21.8599305394056</v>
      </c>
      <c r="AL5182">
        <v>89.860291668727797</v>
      </c>
      <c r="AM5182">
        <v>86.870454276448598</v>
      </c>
      <c r="AN5182">
        <v>1.0000000176822299</v>
      </c>
    </row>
    <row r="5183" spans="1:40" x14ac:dyDescent="0.25">
      <c r="A5183" t="str">
        <f>"20190312154940946"</f>
        <v>20190312154940946</v>
      </c>
      <c r="B5183" t="str">
        <f>"1552376980941245"</f>
        <v>1552376980941245</v>
      </c>
      <c r="C5183" t="s">
        <v>40</v>
      </c>
      <c r="D5183">
        <v>4.5451509999999997</v>
      </c>
      <c r="E5183">
        <v>0.4618468</v>
      </c>
      <c r="F5183" t="s">
        <v>42</v>
      </c>
      <c r="G5183">
        <v>-421.6284</v>
      </c>
      <c r="H5183" s="1">
        <v>-3.9053599999999997E-6</v>
      </c>
      <c r="I5183">
        <v>57.682630000000003</v>
      </c>
      <c r="J5183">
        <v>-422.20650000000001</v>
      </c>
      <c r="K5183">
        <v>1.110249</v>
      </c>
      <c r="L5183">
        <v>79.395840000000007</v>
      </c>
      <c r="M5183">
        <v>2.2009620000000001E-2</v>
      </c>
      <c r="N5183">
        <v>0</v>
      </c>
      <c r="O5183">
        <v>-0.99965970000000004</v>
      </c>
      <c r="P5183">
        <v>-3.2097269999999997E-2</v>
      </c>
      <c r="Q5183">
        <v>-1.1989619999999999E-2</v>
      </c>
      <c r="R5183">
        <v>-0.99941310000000005</v>
      </c>
      <c r="S5183">
        <v>7.9833979999999999E-2</v>
      </c>
      <c r="T5183">
        <v>-0.15174599999999999</v>
      </c>
      <c r="U5183">
        <v>-3.0027159999999999</v>
      </c>
      <c r="V5183">
        <v>5.4087110000000001E-2</v>
      </c>
      <c r="W5183">
        <v>2.0411639999999998E-3</v>
      </c>
      <c r="X5183">
        <v>0.99853409999999998</v>
      </c>
      <c r="Y5183">
        <v>-4.5335790000000003E-3</v>
      </c>
      <c r="Z5183">
        <v>5.0444379999999997E-2</v>
      </c>
      <c r="AA5183">
        <v>0.99871659999999995</v>
      </c>
      <c r="AB5183">
        <v>27</v>
      </c>
      <c r="AC5183">
        <v>0.57810000000000605</v>
      </c>
      <c r="AD5183">
        <v>-1.1102529053599901</v>
      </c>
      <c r="AE5183">
        <v>-21.71321</v>
      </c>
      <c r="AF5183">
        <v>-9.9752952713323503E-2</v>
      </c>
      <c r="AG5183">
        <v>-1.1102529053599901</v>
      </c>
      <c r="AH5183">
        <v>21.664072622143198</v>
      </c>
      <c r="AI5183">
        <v>92.933729523340006</v>
      </c>
      <c r="AJ5183">
        <v>90.263818483825801</v>
      </c>
      <c r="AK5183">
        <v>21.692732763368699</v>
      </c>
      <c r="AL5183">
        <v>89.883049832243202</v>
      </c>
      <c r="AM5183">
        <v>86.899517346541998</v>
      </c>
      <c r="AN5183">
        <v>0.999999965340717</v>
      </c>
    </row>
    <row r="5184" spans="1:40" x14ac:dyDescent="0.25">
      <c r="A5184" t="str">
        <f>"20190312154940967"</f>
        <v>20190312154940967</v>
      </c>
      <c r="B5184" t="str">
        <f>"1552376980960764"</f>
        <v>1552376980960764</v>
      </c>
      <c r="C5184" t="s">
        <v>40</v>
      </c>
      <c r="D5184">
        <v>4.5778309999999998</v>
      </c>
      <c r="E5184">
        <v>0.4560787</v>
      </c>
      <c r="F5184" t="s">
        <v>42</v>
      </c>
      <c r="G5184">
        <v>-419.86410000000001</v>
      </c>
      <c r="H5184" s="1">
        <v>-2.7472639999999998E-6</v>
      </c>
      <c r="I5184">
        <v>45.980519999999999</v>
      </c>
      <c r="J5184">
        <v>-422.20010000000002</v>
      </c>
      <c r="K5184">
        <v>1.110247</v>
      </c>
      <c r="L5184">
        <v>79.12415</v>
      </c>
      <c r="M5184">
        <v>2.2378350000000002E-2</v>
      </c>
      <c r="N5184">
        <v>0</v>
      </c>
      <c r="O5184">
        <v>-0.99965130000000002</v>
      </c>
      <c r="P5184">
        <v>-3.1397380000000003E-2</v>
      </c>
      <c r="Q5184">
        <v>-1.2199740000000001E-2</v>
      </c>
      <c r="R5184">
        <v>-0.99943269999999995</v>
      </c>
      <c r="S5184">
        <v>0.21081539999999999</v>
      </c>
      <c r="T5184">
        <v>-9.9920869999999995E-2</v>
      </c>
      <c r="U5184">
        <v>-3.0073240000000001</v>
      </c>
      <c r="V5184">
        <v>5.375626E-2</v>
      </c>
      <c r="W5184">
        <v>1.828018E-3</v>
      </c>
      <c r="X5184">
        <v>0.99855240000000001</v>
      </c>
      <c r="Y5184">
        <v>-4.754738E-2</v>
      </c>
      <c r="Z5184">
        <v>3.3135659999999997E-2</v>
      </c>
      <c r="AA5184">
        <v>0.99831919999999996</v>
      </c>
      <c r="AB5184">
        <v>27</v>
      </c>
      <c r="AC5184">
        <v>2.3360000000000101</v>
      </c>
      <c r="AD5184">
        <v>-1.1102497472640001</v>
      </c>
      <c r="AE5184">
        <v>-33.143630000000002</v>
      </c>
      <c r="AF5184">
        <v>-1.59186481611661</v>
      </c>
      <c r="AG5184">
        <v>-1.1102497472640001</v>
      </c>
      <c r="AH5184">
        <v>33.150594050612199</v>
      </c>
      <c r="AI5184">
        <v>91.915975472594297</v>
      </c>
      <c r="AJ5184">
        <v>92.749185402110001</v>
      </c>
      <c r="AK5184">
        <v>33.207357227014903</v>
      </c>
      <c r="AL5184">
        <v>89.895262223962604</v>
      </c>
      <c r="AM5184">
        <v>86.918502650701896</v>
      </c>
      <c r="AN5184">
        <v>0.99999998634237797</v>
      </c>
    </row>
    <row r="5185" spans="1:40" x14ac:dyDescent="0.25">
      <c r="A5185" t="str">
        <f>"20190312154940990"</f>
        <v>20190312154940990</v>
      </c>
      <c r="B5185" t="str">
        <f>"1552376980981260"</f>
        <v>1552376980981260</v>
      </c>
      <c r="C5185" t="s">
        <v>40</v>
      </c>
      <c r="D5185">
        <v>4.5788200000000003</v>
      </c>
      <c r="E5185">
        <v>0.45393</v>
      </c>
      <c r="F5185" t="s">
        <v>42</v>
      </c>
      <c r="G5185">
        <v>-419.16800000000001</v>
      </c>
      <c r="H5185" s="1">
        <v>-1.9701060000000002E-6</v>
      </c>
      <c r="I5185">
        <v>43.881120000000003</v>
      </c>
      <c r="J5185">
        <v>-422.19380000000001</v>
      </c>
      <c r="K5185">
        <v>1.110239</v>
      </c>
      <c r="L5185">
        <v>78.858919999999998</v>
      </c>
      <c r="M5185">
        <v>2.2735040000000001E-2</v>
      </c>
      <c r="N5185">
        <v>0</v>
      </c>
      <c r="O5185">
        <v>-0.99964370000000002</v>
      </c>
      <c r="P5185">
        <v>-3.077243E-2</v>
      </c>
      <c r="Q5185">
        <v>-1.167137E-2</v>
      </c>
      <c r="R5185">
        <v>-0.99945879999999998</v>
      </c>
      <c r="S5185">
        <v>0.25885010000000003</v>
      </c>
      <c r="T5185">
        <v>-9.4781039999999997E-2</v>
      </c>
      <c r="U5185">
        <v>-3.008667</v>
      </c>
      <c r="V5185">
        <v>5.3488010000000002E-2</v>
      </c>
      <c r="W5185">
        <v>2.3530140000000001E-3</v>
      </c>
      <c r="X5185">
        <v>0.9985657</v>
      </c>
      <c r="Y5185">
        <v>-6.3000189999999998E-2</v>
      </c>
      <c r="Z5185">
        <v>3.1385660000000003E-2</v>
      </c>
      <c r="AA5185">
        <v>0.99751990000000001</v>
      </c>
      <c r="AB5185">
        <v>27</v>
      </c>
      <c r="AC5185">
        <v>3.0257999999999998</v>
      </c>
      <c r="AD5185">
        <v>-1.1102409701060001</v>
      </c>
      <c r="AE5185">
        <v>-34.977799999999903</v>
      </c>
      <c r="AF5185">
        <v>-2.2274907419601</v>
      </c>
      <c r="AG5185">
        <v>-1.1102409701060001</v>
      </c>
      <c r="AH5185">
        <v>35.002552285949399</v>
      </c>
      <c r="AI5185">
        <v>91.813082428575896</v>
      </c>
      <c r="AJ5185">
        <v>93.641275896898605</v>
      </c>
      <c r="AK5185">
        <v>35.090924988490201</v>
      </c>
      <c r="AL5185">
        <v>89.865182101635597</v>
      </c>
      <c r="AM5185">
        <v>86.933891027630295</v>
      </c>
      <c r="AN5185">
        <v>0.999999980552567</v>
      </c>
    </row>
    <row r="5186" spans="1:40" x14ac:dyDescent="0.25">
      <c r="A5186" t="str">
        <f>"20190312154941012"</f>
        <v>20190312154941012</v>
      </c>
      <c r="B5186" t="str">
        <f>"1552376981000781"</f>
        <v>1552376981000781</v>
      </c>
      <c r="C5186" t="s">
        <v>40</v>
      </c>
      <c r="D5186">
        <v>4.5379690000000004</v>
      </c>
      <c r="E5186">
        <v>0.45264549999999998</v>
      </c>
      <c r="F5186" t="s">
        <v>42</v>
      </c>
      <c r="G5186">
        <v>-418.87090000000001</v>
      </c>
      <c r="H5186" s="1">
        <v>-1.575668E-6</v>
      </c>
      <c r="I5186">
        <v>42.838830000000002</v>
      </c>
      <c r="J5186">
        <v>-422.18729999999999</v>
      </c>
      <c r="K5186">
        <v>1.1102369999999999</v>
      </c>
      <c r="L5186">
        <v>78.593019999999996</v>
      </c>
      <c r="M5186">
        <v>2.3084529999999999E-2</v>
      </c>
      <c r="N5186">
        <v>0</v>
      </c>
      <c r="O5186">
        <v>-0.9996353</v>
      </c>
      <c r="P5186">
        <v>-2.9722180000000001E-2</v>
      </c>
      <c r="Q5186">
        <v>-1.1443399999999999E-2</v>
      </c>
      <c r="R5186">
        <v>-0.99949279999999996</v>
      </c>
      <c r="S5186">
        <v>0.2775879</v>
      </c>
      <c r="T5186">
        <v>-9.274876E-2</v>
      </c>
      <c r="U5186">
        <v>-3.0090940000000002</v>
      </c>
      <c r="V5186">
        <v>5.2787840000000003E-2</v>
      </c>
      <c r="W5186">
        <v>2.5780809999999999E-3</v>
      </c>
      <c r="X5186">
        <v>0.9986024</v>
      </c>
      <c r="Y5186">
        <v>-6.8802680000000005E-2</v>
      </c>
      <c r="Z5186">
        <v>3.0694280000000001E-2</v>
      </c>
      <c r="AA5186">
        <v>0.99715799999999999</v>
      </c>
      <c r="AB5186">
        <v>27</v>
      </c>
      <c r="AC5186">
        <v>3.3163999999999798</v>
      </c>
      <c r="AD5186">
        <v>-1.110238575668</v>
      </c>
      <c r="AE5186">
        <v>-35.754189999999902</v>
      </c>
      <c r="AF5186">
        <v>-2.4876881065716199</v>
      </c>
      <c r="AG5186">
        <v>-1.110238575668</v>
      </c>
      <c r="AH5186">
        <v>35.7870128775035</v>
      </c>
      <c r="AI5186">
        <v>91.772670963456903</v>
      </c>
      <c r="AJ5186">
        <v>93.976445613022904</v>
      </c>
      <c r="AK5186">
        <v>35.890549069428801</v>
      </c>
      <c r="AL5186">
        <v>89.852286672565697</v>
      </c>
      <c r="AM5186">
        <v>86.974062995922793</v>
      </c>
      <c r="AN5186">
        <v>0.99999997791963302</v>
      </c>
    </row>
    <row r="5187" spans="1:40" x14ac:dyDescent="0.25">
      <c r="A5187" t="str">
        <f>"20190312154941034"</f>
        <v>20190312154941034</v>
      </c>
      <c r="B5187" t="str">
        <f>"1552376981021276"</f>
        <v>1552376981021276</v>
      </c>
      <c r="C5187" t="s">
        <v>40</v>
      </c>
      <c r="D5187">
        <v>4.5458030000000003</v>
      </c>
      <c r="E5187">
        <v>0.45189030000000002</v>
      </c>
      <c r="F5187" t="s">
        <v>42</v>
      </c>
      <c r="G5187">
        <v>-418.62810000000002</v>
      </c>
      <c r="H5187" s="1">
        <v>-1.152533E-6</v>
      </c>
      <c r="I5187">
        <v>41.752090000000003</v>
      </c>
      <c r="J5187">
        <v>-422.1807</v>
      </c>
      <c r="K5187">
        <v>1.1102299999999901</v>
      </c>
      <c r="L5187">
        <v>78.323359999999994</v>
      </c>
      <c r="M5187">
        <v>2.3421239999999999E-2</v>
      </c>
      <c r="N5187">
        <v>0</v>
      </c>
      <c r="O5187">
        <v>-0.99962759999999995</v>
      </c>
      <c r="P5187">
        <v>-2.8259719999999999E-2</v>
      </c>
      <c r="Q5187">
        <v>-1.1179740000000001E-2</v>
      </c>
      <c r="R5187">
        <v>-0.99953840000000005</v>
      </c>
      <c r="S5187">
        <v>0.29071039999999998</v>
      </c>
      <c r="T5187">
        <v>-9.0682979999999996E-2</v>
      </c>
      <c r="U5187">
        <v>-3.009125</v>
      </c>
      <c r="V5187">
        <v>5.1663090000000002E-2</v>
      </c>
      <c r="W5187">
        <v>2.8374799999999999E-3</v>
      </c>
      <c r="X5187">
        <v>0.99866060000000001</v>
      </c>
      <c r="Y5187">
        <v>-7.2777289999999994E-2</v>
      </c>
      <c r="Z5187">
        <v>3.0000229999999999E-2</v>
      </c>
      <c r="AA5187">
        <v>0.99689689999999997</v>
      </c>
      <c r="AB5187">
        <v>27</v>
      </c>
      <c r="AC5187">
        <v>3.55259999999998</v>
      </c>
      <c r="AD5187">
        <v>-1.11023115253299</v>
      </c>
      <c r="AE5187">
        <v>-36.571269999999899</v>
      </c>
      <c r="AF5187">
        <v>-2.6925385162574198</v>
      </c>
      <c r="AG5187">
        <v>-1.11023115253299</v>
      </c>
      <c r="AH5187">
        <v>36.611024816111197</v>
      </c>
      <c r="AI5187">
        <v>91.732289442971805</v>
      </c>
      <c r="AJ5187">
        <v>94.206215290185</v>
      </c>
      <c r="AK5187">
        <v>36.726686686379601</v>
      </c>
      <c r="AL5187">
        <v>89.837424163156101</v>
      </c>
      <c r="AM5187">
        <v>87.038592870298601</v>
      </c>
      <c r="AN5187">
        <v>1.00000006007672</v>
      </c>
    </row>
    <row r="5188" spans="1:40" x14ac:dyDescent="0.25">
      <c r="A5188" t="str">
        <f>"20190312154941057"</f>
        <v>20190312154941057</v>
      </c>
      <c r="B5188" t="str">
        <f>"1552376981051533"</f>
        <v>1552376981051533</v>
      </c>
      <c r="C5188" t="s">
        <v>40</v>
      </c>
      <c r="D5188">
        <v>4.6129540000000002</v>
      </c>
      <c r="E5188">
        <v>0.45115959999999999</v>
      </c>
      <c r="F5188" t="s">
        <v>42</v>
      </c>
      <c r="G5188">
        <v>-418.40190000000001</v>
      </c>
      <c r="H5188" s="1">
        <v>-7.3020979999999999E-7</v>
      </c>
      <c r="I5188">
        <v>40.544280000000001</v>
      </c>
      <c r="J5188">
        <v>-422.17399999999998</v>
      </c>
      <c r="K5188">
        <v>1.1102110000000001</v>
      </c>
      <c r="L5188">
        <v>78.054079999999999</v>
      </c>
      <c r="M5188">
        <v>2.3726569999999999E-2</v>
      </c>
      <c r="N5188">
        <v>0</v>
      </c>
      <c r="O5188">
        <v>-0.99962050000000002</v>
      </c>
      <c r="P5188">
        <v>-2.717166E-2</v>
      </c>
      <c r="Q5188">
        <v>-1.1204820000000001E-2</v>
      </c>
      <c r="R5188">
        <v>-0.99956829999999997</v>
      </c>
      <c r="S5188">
        <v>0.30096440000000002</v>
      </c>
      <c r="T5188">
        <v>-8.8424210000000003E-2</v>
      </c>
      <c r="U5188">
        <v>-3.0089109999999999</v>
      </c>
      <c r="V5188">
        <v>5.0881210000000003E-2</v>
      </c>
      <c r="W5188">
        <v>2.8069620000000001E-3</v>
      </c>
      <c r="X5188">
        <v>0.9987007</v>
      </c>
      <c r="Y5188">
        <v>-7.5846049999999998E-2</v>
      </c>
      <c r="Z5188">
        <v>2.9247160000000001E-2</v>
      </c>
      <c r="AA5188">
        <v>0.99669050000000003</v>
      </c>
      <c r="AB5188">
        <v>27</v>
      </c>
      <c r="AC5188">
        <v>3.77210000000002</v>
      </c>
      <c r="AD5188">
        <v>-1.1102117302098</v>
      </c>
      <c r="AE5188">
        <v>-37.509799999999998</v>
      </c>
      <c r="AF5188">
        <v>-2.8784754029730801</v>
      </c>
      <c r="AG5188">
        <v>-1.1102117302098</v>
      </c>
      <c r="AH5188">
        <v>37.556174949345703</v>
      </c>
      <c r="AI5188">
        <v>91.688299517166897</v>
      </c>
      <c r="AJ5188">
        <v>94.382839372636496</v>
      </c>
      <c r="AK5188">
        <v>37.6826812681539</v>
      </c>
      <c r="AL5188">
        <v>89.8391727020757</v>
      </c>
      <c r="AM5188">
        <v>87.083450352681695</v>
      </c>
      <c r="AN5188">
        <v>0.99999993237360896</v>
      </c>
    </row>
    <row r="5189" spans="1:40" x14ac:dyDescent="0.25">
      <c r="A5189" t="str">
        <f>"20190312154941078"</f>
        <v>20190312154941078</v>
      </c>
      <c r="B5189" t="str">
        <f>"1552376981071052"</f>
        <v>1552376981071052</v>
      </c>
      <c r="C5189" t="s">
        <v>40</v>
      </c>
      <c r="D5189">
        <v>4.6155059999999999</v>
      </c>
      <c r="E5189">
        <v>0.45113160000000002</v>
      </c>
      <c r="F5189" t="s">
        <v>65</v>
      </c>
      <c r="G5189">
        <v>-418.18180000000001</v>
      </c>
      <c r="H5189" s="1">
        <v>-6.4595099999999996E-7</v>
      </c>
      <c r="I5189">
        <v>39.341009999999997</v>
      </c>
      <c r="J5189">
        <v>-422.16739999999999</v>
      </c>
      <c r="K5189">
        <v>1.1101780000000001</v>
      </c>
      <c r="L5189">
        <v>77.792109999999994</v>
      </c>
      <c r="M5189">
        <v>2.3977930000000001E-2</v>
      </c>
      <c r="N5189">
        <v>0</v>
      </c>
      <c r="O5189">
        <v>-0.99961449999999996</v>
      </c>
      <c r="P5189">
        <v>-2.6097740000000001E-2</v>
      </c>
      <c r="Q5189">
        <v>-1.1237789999999999E-2</v>
      </c>
      <c r="R5189">
        <v>-0.9995965</v>
      </c>
      <c r="S5189">
        <v>0.3102722</v>
      </c>
      <c r="T5189">
        <v>-8.628595E-2</v>
      </c>
      <c r="U5189">
        <v>-3.0087890000000002</v>
      </c>
      <c r="V5189">
        <v>5.0059619999999999E-2</v>
      </c>
      <c r="W5189">
        <v>2.7673849999999998E-3</v>
      </c>
      <c r="X5189">
        <v>0.99874240000000003</v>
      </c>
      <c r="Y5189">
        <v>-7.8652940000000005E-2</v>
      </c>
      <c r="Z5189">
        <v>2.853383E-2</v>
      </c>
      <c r="AA5189">
        <v>0.99649359999999998</v>
      </c>
      <c r="AB5189">
        <v>27</v>
      </c>
      <c r="AC5189">
        <v>3.9855999999999701</v>
      </c>
      <c r="AD5189">
        <v>-1.1101786459509999</v>
      </c>
      <c r="AE5189">
        <v>-38.451099999999997</v>
      </c>
      <c r="AF5189">
        <v>-3.0598621096894401</v>
      </c>
      <c r="AG5189">
        <v>-1.1101786459509999</v>
      </c>
      <c r="AH5189">
        <v>38.5038620838911</v>
      </c>
      <c r="AI5189">
        <v>91.646359284149398</v>
      </c>
      <c r="AJ5189">
        <v>94.5436874718566</v>
      </c>
      <c r="AK5189">
        <v>38.641204020210701</v>
      </c>
      <c r="AL5189">
        <v>89.841440317264201</v>
      </c>
      <c r="AM5189">
        <v>87.130584771057201</v>
      </c>
      <c r="AN5189">
        <v>1.0000000027660201</v>
      </c>
    </row>
    <row r="5190" spans="1:40" x14ac:dyDescent="0.25">
      <c r="A5190" t="str">
        <f>"20190312154941104"</f>
        <v>20190312154941104</v>
      </c>
      <c r="B5190" t="str">
        <f>"1552376981091548"</f>
        <v>1552376981091548</v>
      </c>
      <c r="C5190" t="s">
        <v>40</v>
      </c>
      <c r="D5190">
        <v>4.606776</v>
      </c>
      <c r="E5190">
        <v>0.45106170000000001</v>
      </c>
      <c r="F5190" t="s">
        <v>42</v>
      </c>
      <c r="G5190">
        <v>-418.1986</v>
      </c>
      <c r="H5190" s="1">
        <v>-5.0832830000000003E-7</v>
      </c>
      <c r="I5190">
        <v>39.733359999999998</v>
      </c>
      <c r="J5190">
        <v>-422.16019999999997</v>
      </c>
      <c r="K5190">
        <v>1.1101190000000001</v>
      </c>
      <c r="L5190">
        <v>77.499049999999997</v>
      </c>
      <c r="M5190">
        <v>2.4188299999999999E-2</v>
      </c>
      <c r="N5190">
        <v>0</v>
      </c>
      <c r="O5190">
        <v>-0.99960970000000005</v>
      </c>
      <c r="P5190">
        <v>-2.5439440000000001E-2</v>
      </c>
      <c r="Q5190">
        <v>-1.1548950000000001E-2</v>
      </c>
      <c r="R5190">
        <v>-0.99960990000000005</v>
      </c>
      <c r="S5190">
        <v>0.31372070000000002</v>
      </c>
      <c r="T5190">
        <v>-8.7756039999999993E-2</v>
      </c>
      <c r="U5190">
        <v>-3.0084230000000001</v>
      </c>
      <c r="V5190">
        <v>4.9612459999999997E-2</v>
      </c>
      <c r="W5190">
        <v>2.4474280000000002E-3</v>
      </c>
      <c r="X5190">
        <v>0.99876549999999997</v>
      </c>
      <c r="Y5190">
        <v>-7.9584150000000006E-2</v>
      </c>
      <c r="Z5190">
        <v>2.9020069999999999E-2</v>
      </c>
      <c r="AA5190">
        <v>0.99640569999999895</v>
      </c>
      <c r="AB5190">
        <v>27</v>
      </c>
      <c r="AC5190">
        <v>3.96159999999997</v>
      </c>
      <c r="AD5190">
        <v>-1.1101195083283</v>
      </c>
      <c r="AE5190">
        <v>-37.765689999999999</v>
      </c>
      <c r="AF5190">
        <v>-3.0442618020114698</v>
      </c>
      <c r="AG5190">
        <v>-1.1101195083283</v>
      </c>
      <c r="AH5190">
        <v>37.8181505539741</v>
      </c>
      <c r="AI5190">
        <v>91.675967734366296</v>
      </c>
      <c r="AJ5190">
        <v>94.602236334700393</v>
      </c>
      <c r="AK5190">
        <v>37.956717542024201</v>
      </c>
      <c r="AL5190">
        <v>89.859772558641595</v>
      </c>
      <c r="AM5190">
        <v>87.156239364178603</v>
      </c>
      <c r="AN5190">
        <v>0.99999995504065697</v>
      </c>
    </row>
    <row r="5191" spans="1:40" x14ac:dyDescent="0.25">
      <c r="A5191" t="str">
        <f>"20190312154941135"</f>
        <v>20190312154941135</v>
      </c>
      <c r="B5191" t="str">
        <f>"1552376981131565"</f>
        <v>1552376981131565</v>
      </c>
      <c r="C5191" t="s">
        <v>40</v>
      </c>
      <c r="D5191">
        <v>4.6258689999999998</v>
      </c>
      <c r="E5191">
        <v>0.45074239999999999</v>
      </c>
      <c r="F5191" t="s">
        <v>42</v>
      </c>
      <c r="G5191">
        <v>-418.27960000000002</v>
      </c>
      <c r="H5191" s="1">
        <v>-7.7980519999999899E-7</v>
      </c>
      <c r="I5191">
        <v>40.594410000000003</v>
      </c>
      <c r="J5191">
        <v>-422.15089999999998</v>
      </c>
      <c r="K5191">
        <v>1.1100490000000001</v>
      </c>
      <c r="L5191">
        <v>77.128330000000005</v>
      </c>
      <c r="M5191">
        <v>2.4318320000000001E-2</v>
      </c>
      <c r="N5191">
        <v>0</v>
      </c>
      <c r="O5191">
        <v>-0.99960660000000001</v>
      </c>
      <c r="P5191">
        <v>-2.4992250000000001E-2</v>
      </c>
      <c r="Q5191">
        <v>-1.1122190000000001E-2</v>
      </c>
      <c r="R5191">
        <v>-0.99962649999999997</v>
      </c>
      <c r="S5191">
        <v>0.3163147</v>
      </c>
      <c r="T5191">
        <v>-9.0488310000000002E-2</v>
      </c>
      <c r="U5191">
        <v>-3.0081790000000002</v>
      </c>
      <c r="V5191">
        <v>4.9296079999999999E-2</v>
      </c>
      <c r="W5191">
        <v>2.861321E-3</v>
      </c>
      <c r="X5191">
        <v>0.99878009999999995</v>
      </c>
      <c r="Y5191">
        <v>-8.0309920000000007E-2</v>
      </c>
      <c r="Z5191">
        <v>2.9922870000000001E-2</v>
      </c>
      <c r="AA5191">
        <v>0.99632069999999995</v>
      </c>
      <c r="AB5191">
        <v>27</v>
      </c>
      <c r="AC5191">
        <v>3.8712999999999602</v>
      </c>
      <c r="AD5191">
        <v>-1.1100497798052</v>
      </c>
      <c r="AE5191">
        <v>-36.533920000000002</v>
      </c>
      <c r="AF5191">
        <v>-2.9789050233978398</v>
      </c>
      <c r="AG5191">
        <v>-1.1100497798052</v>
      </c>
      <c r="AH5191">
        <v>36.583867329693703</v>
      </c>
      <c r="AI5191">
        <v>91.732240231110694</v>
      </c>
      <c r="AJ5191">
        <v>94.655138279891503</v>
      </c>
      <c r="AK5191">
        <v>36.7217297311647</v>
      </c>
      <c r="AL5191">
        <v>89.836058157427999</v>
      </c>
      <c r="AM5191">
        <v>87.174385856502795</v>
      </c>
      <c r="AN5191">
        <v>0.99999998940862</v>
      </c>
    </row>
    <row r="5192" spans="1:40" x14ac:dyDescent="0.25">
      <c r="A5192" t="str">
        <f>"20190312154941157"</f>
        <v>20190312154941157</v>
      </c>
      <c r="B5192" t="str">
        <f>"1552376981151084"</f>
        <v>1552376981151084</v>
      </c>
      <c r="C5192" t="s">
        <v>40</v>
      </c>
      <c r="D5192">
        <v>4.5744179999999997</v>
      </c>
      <c r="E5192">
        <v>0.45072089999999998</v>
      </c>
      <c r="F5192" t="s">
        <v>42</v>
      </c>
      <c r="G5192">
        <v>-418.21100000000001</v>
      </c>
      <c r="H5192" s="1">
        <v>-6.1528940000000005E-7</v>
      </c>
      <c r="I5192">
        <v>40.057360000000003</v>
      </c>
      <c r="J5192">
        <v>-422.14440000000002</v>
      </c>
      <c r="K5192">
        <v>1.1099939999999999</v>
      </c>
      <c r="L5192">
        <v>76.862210000000005</v>
      </c>
      <c r="M5192">
        <v>2.4328269999999999E-2</v>
      </c>
      <c r="N5192">
        <v>0</v>
      </c>
      <c r="O5192">
        <v>-0.99960640000000001</v>
      </c>
      <c r="P5192">
        <v>-2.442861E-2</v>
      </c>
      <c r="Q5192">
        <v>-1.0332289999999999E-2</v>
      </c>
      <c r="R5192">
        <v>-0.9996486</v>
      </c>
      <c r="S5192">
        <v>0.31970209999999999</v>
      </c>
      <c r="T5192">
        <v>-9.0074779999999993E-2</v>
      </c>
      <c r="U5192">
        <v>-3.0081180000000001</v>
      </c>
      <c r="V5192">
        <v>4.8743479999999999E-2</v>
      </c>
      <c r="W5192">
        <v>3.6423760000000001E-3</v>
      </c>
      <c r="X5192">
        <v>0.99880469999999999</v>
      </c>
      <c r="Y5192">
        <v>-8.1412040000000005E-2</v>
      </c>
      <c r="Z5192">
        <v>2.978374E-2</v>
      </c>
      <c r="AA5192">
        <v>0.99623539999999999</v>
      </c>
      <c r="AB5192">
        <v>27</v>
      </c>
      <c r="AC5192">
        <v>3.9333999999999998</v>
      </c>
      <c r="AD5192">
        <v>-1.1099946152894</v>
      </c>
      <c r="AE5192">
        <v>-36.804850000000002</v>
      </c>
      <c r="AF5192">
        <v>-3.0340213941064902</v>
      </c>
      <c r="AG5192">
        <v>-1.1099946152894</v>
      </c>
      <c r="AH5192">
        <v>36.856512005346502</v>
      </c>
      <c r="AI5192">
        <v>91.719223571310195</v>
      </c>
      <c r="AJ5192">
        <v>94.705967257416702</v>
      </c>
      <c r="AK5192">
        <v>36.9978357619215</v>
      </c>
      <c r="AL5192">
        <v>89.791306768692806</v>
      </c>
      <c r="AM5192">
        <v>87.206078703433704</v>
      </c>
      <c r="AN5192">
        <v>1.0000000112437599</v>
      </c>
    </row>
    <row r="5193" spans="1:40" x14ac:dyDescent="0.25">
      <c r="A5193" t="str">
        <f>"20190312154941179"</f>
        <v>20190312154941179</v>
      </c>
      <c r="B5193" t="str">
        <f>"1552376981171581"</f>
        <v>1552376981171581</v>
      </c>
      <c r="C5193" t="s">
        <v>40</v>
      </c>
      <c r="D5193">
        <v>4.5735060000000001</v>
      </c>
      <c r="E5193">
        <v>0.45070729999999998</v>
      </c>
      <c r="F5193" t="s">
        <v>65</v>
      </c>
      <c r="G5193">
        <v>-418.1078</v>
      </c>
      <c r="H5193" s="1">
        <v>-7.9634729999999995E-7</v>
      </c>
      <c r="I5193">
        <v>39.135359999999999</v>
      </c>
      <c r="J5193">
        <v>-422.13799999999998</v>
      </c>
      <c r="K5193">
        <v>1.109947</v>
      </c>
      <c r="L5193">
        <v>76.598269999999999</v>
      </c>
      <c r="M5193">
        <v>2.426002E-2</v>
      </c>
      <c r="N5193">
        <v>0</v>
      </c>
      <c r="O5193">
        <v>-0.9996081</v>
      </c>
      <c r="P5193">
        <v>-2.375294E-2</v>
      </c>
      <c r="Q5193">
        <v>-1.020681E-2</v>
      </c>
      <c r="R5193">
        <v>-0.99966630000000001</v>
      </c>
      <c r="S5193">
        <v>0.32183840000000002</v>
      </c>
      <c r="T5193">
        <v>-8.8500860000000001E-2</v>
      </c>
      <c r="U5193">
        <v>-3.0079959999999999</v>
      </c>
      <c r="V5193">
        <v>4.8000719999999997E-2</v>
      </c>
      <c r="W5193">
        <v>3.7592010000000002E-3</v>
      </c>
      <c r="X5193">
        <v>0.99884019999999996</v>
      </c>
      <c r="Y5193">
        <v>-8.2185519999999998E-2</v>
      </c>
      <c r="Z5193">
        <v>2.9262989999999999E-2</v>
      </c>
      <c r="AA5193">
        <v>0.9961873</v>
      </c>
      <c r="AB5193">
        <v>27</v>
      </c>
      <c r="AC5193">
        <v>4.03020000000003</v>
      </c>
      <c r="AD5193">
        <v>-1.1099477963472999</v>
      </c>
      <c r="AE5193">
        <v>-37.462910000000001</v>
      </c>
      <c r="AF5193">
        <v>-3.11736883319311</v>
      </c>
      <c r="AG5193">
        <v>-1.1099477963472999</v>
      </c>
      <c r="AH5193">
        <v>37.517107891943603</v>
      </c>
      <c r="AI5193">
        <v>91.6887911683787</v>
      </c>
      <c r="AJ5193">
        <v>94.749905307801001</v>
      </c>
      <c r="AK5193">
        <v>37.662758225182102</v>
      </c>
      <c r="AL5193">
        <v>89.784613135231595</v>
      </c>
      <c r="AM5193">
        <v>87.248684580743202</v>
      </c>
      <c r="AN5193">
        <v>0.99999997292435805</v>
      </c>
    </row>
    <row r="5194" spans="1:40" x14ac:dyDescent="0.25">
      <c r="A5194" t="str">
        <f>"20190312154941202"</f>
        <v>20190312154941202</v>
      </c>
      <c r="B5194" t="str">
        <f>"1552376981191100"</f>
        <v>1552376981191100</v>
      </c>
      <c r="C5194" t="s">
        <v>40</v>
      </c>
      <c r="D5194">
        <v>4.5903980000000004</v>
      </c>
      <c r="E5194">
        <v>0.45067980000000002</v>
      </c>
      <c r="F5194" t="s">
        <v>65</v>
      </c>
      <c r="G5194">
        <v>-418.0917</v>
      </c>
      <c r="H5194" s="1">
        <v>-8.7524009999999999E-7</v>
      </c>
      <c r="I5194">
        <v>39.01802</v>
      </c>
      <c r="J5194">
        <v>-422.13159999999999</v>
      </c>
      <c r="K5194">
        <v>1.1098939999999999</v>
      </c>
      <c r="L5194">
        <v>76.329070000000002</v>
      </c>
      <c r="M5194">
        <v>2.4095510000000001E-2</v>
      </c>
      <c r="N5194">
        <v>0</v>
      </c>
      <c r="O5194">
        <v>-0.99961199999999995</v>
      </c>
      <c r="P5194">
        <v>-2.3007989999999999E-2</v>
      </c>
      <c r="Q5194">
        <v>-9.5071219999999998E-3</v>
      </c>
      <c r="R5194">
        <v>-0.99969050000000004</v>
      </c>
      <c r="S5194">
        <v>0.32385249999999999</v>
      </c>
      <c r="T5194">
        <v>-8.8836070000000003E-2</v>
      </c>
      <c r="U5194">
        <v>-3.0077820000000002</v>
      </c>
      <c r="V5194">
        <v>4.7092960000000003E-2</v>
      </c>
      <c r="W5194">
        <v>4.4496550000000003E-3</v>
      </c>
      <c r="X5194">
        <v>0.99888060000000001</v>
      </c>
      <c r="Y5194">
        <v>-8.3016129999999994E-2</v>
      </c>
      <c r="Z5194">
        <v>2.9373920000000001E-2</v>
      </c>
      <c r="AA5194">
        <v>0.99611519999999998</v>
      </c>
      <c r="AB5194">
        <v>27</v>
      </c>
      <c r="AC5194">
        <v>4.0398999999999798</v>
      </c>
      <c r="AD5194">
        <v>-1.1098948752401001</v>
      </c>
      <c r="AE5194">
        <v>-37.311050000000002</v>
      </c>
      <c r="AF5194">
        <v>-3.1368666559322298</v>
      </c>
      <c r="AG5194">
        <v>-1.1098948752401001</v>
      </c>
      <c r="AH5194">
        <v>37.364887353805699</v>
      </c>
      <c r="AI5194">
        <v>91.695465393491403</v>
      </c>
      <c r="AJ5194">
        <v>94.798857078638704</v>
      </c>
      <c r="AK5194">
        <v>37.512752578473602</v>
      </c>
      <c r="AL5194">
        <v>89.7450527068235</v>
      </c>
      <c r="AM5194">
        <v>87.300747076908294</v>
      </c>
      <c r="AN5194">
        <v>0.99999999968376996</v>
      </c>
    </row>
    <row r="5195" spans="1:40" x14ac:dyDescent="0.25">
      <c r="A5195" t="str">
        <f>"20190312154941224"</f>
        <v>20190312154941224</v>
      </c>
      <c r="B5195" t="str">
        <f>"1552376981211596"</f>
        <v>1552376981211596</v>
      </c>
      <c r="C5195" t="s">
        <v>40</v>
      </c>
      <c r="D5195">
        <v>4.5996709999999998</v>
      </c>
      <c r="E5195">
        <v>0.45073970000000002</v>
      </c>
      <c r="F5195" t="s">
        <v>65</v>
      </c>
      <c r="G5195">
        <v>-417.98099999999999</v>
      </c>
      <c r="H5195" s="1">
        <v>-1.476891E-6</v>
      </c>
      <c r="I5195">
        <v>38.117800000000003</v>
      </c>
      <c r="J5195">
        <v>-422.12549999999999</v>
      </c>
      <c r="K5195">
        <v>1.1098300000000001</v>
      </c>
      <c r="L5195">
        <v>76.069640000000007</v>
      </c>
      <c r="M5195">
        <v>2.3839699999999998E-2</v>
      </c>
      <c r="N5195">
        <v>0</v>
      </c>
      <c r="O5195">
        <v>-0.99961820000000001</v>
      </c>
      <c r="P5195">
        <v>-2.2520109999999999E-2</v>
      </c>
      <c r="Q5195">
        <v>-9.2025219999999994E-3</v>
      </c>
      <c r="R5195">
        <v>-0.99970460000000005</v>
      </c>
      <c r="S5195">
        <v>0.3266907</v>
      </c>
      <c r="T5195">
        <v>-8.7359549999999994E-2</v>
      </c>
      <c r="U5195">
        <v>-3.0075989999999999</v>
      </c>
      <c r="V5195">
        <v>4.6350780000000001E-2</v>
      </c>
      <c r="W5195">
        <v>4.7452909999999996E-3</v>
      </c>
      <c r="X5195">
        <v>0.99891390000000002</v>
      </c>
      <c r="Y5195">
        <v>-8.4208229999999995E-2</v>
      </c>
      <c r="Z5195">
        <v>2.888522E-2</v>
      </c>
      <c r="AA5195">
        <v>0.99602939999999995</v>
      </c>
      <c r="AB5195">
        <v>27</v>
      </c>
      <c r="AC5195">
        <v>4.1444999999999901</v>
      </c>
      <c r="AD5195">
        <v>-1.10983147689099</v>
      </c>
      <c r="AE5195">
        <v>-37.951839999999997</v>
      </c>
      <c r="AF5195">
        <v>-3.2357386447456</v>
      </c>
      <c r="AG5195">
        <v>-1.10983147689099</v>
      </c>
      <c r="AH5195">
        <v>38.007745295724398</v>
      </c>
      <c r="AI5195">
        <v>91.666544490003005</v>
      </c>
      <c r="AJ5195">
        <v>94.866066322304505</v>
      </c>
      <c r="AK5195">
        <v>38.1613735726174</v>
      </c>
      <c r="AL5195">
        <v>89.728113818099004</v>
      </c>
      <c r="AM5195">
        <v>87.343314015294297</v>
      </c>
      <c r="AN5195">
        <v>0.99999994610324505</v>
      </c>
    </row>
    <row r="5196" spans="1:40" x14ac:dyDescent="0.25">
      <c r="A5196" t="str">
        <f>"20190312154941248"</f>
        <v>20190312154941248</v>
      </c>
      <c r="B5196" t="str">
        <f>"1552376981240878"</f>
        <v>1552376981240878</v>
      </c>
      <c r="C5196" t="s">
        <v>40</v>
      </c>
      <c r="D5196">
        <v>4.586805</v>
      </c>
      <c r="E5196">
        <v>0.45081880000000002</v>
      </c>
      <c r="F5196" t="s">
        <v>65</v>
      </c>
      <c r="G5196">
        <v>-417.988</v>
      </c>
      <c r="H5196" s="1">
        <v>-1.516922E-6</v>
      </c>
      <c r="I5196">
        <v>38.051879999999997</v>
      </c>
      <c r="J5196">
        <v>-422.11939999999998</v>
      </c>
      <c r="K5196">
        <v>1.109756</v>
      </c>
      <c r="L5196">
        <v>75.794799999999995</v>
      </c>
      <c r="M5196">
        <v>2.3460269999999998E-2</v>
      </c>
      <c r="N5196">
        <v>0</v>
      </c>
      <c r="O5196">
        <v>-0.99962689999999998</v>
      </c>
      <c r="P5196">
        <v>-2.3525569999999999E-2</v>
      </c>
      <c r="Q5196">
        <v>-7.9903230000000006E-3</v>
      </c>
      <c r="R5196">
        <v>-0.99969140000000001</v>
      </c>
      <c r="S5196">
        <v>0.32730100000000001</v>
      </c>
      <c r="T5196">
        <v>-8.7794659999999997E-2</v>
      </c>
      <c r="U5196">
        <v>-3.0074459999999998</v>
      </c>
      <c r="V5196">
        <v>4.6978190000000003E-2</v>
      </c>
      <c r="W5196">
        <v>5.9454729999999997E-3</v>
      </c>
      <c r="X5196">
        <v>0.99887820000000005</v>
      </c>
      <c r="Y5196">
        <v>-8.4791199999999997E-2</v>
      </c>
      <c r="Z5196">
        <v>2.9029800000000001E-2</v>
      </c>
      <c r="AA5196">
        <v>0.99597579999999997</v>
      </c>
      <c r="AB5196">
        <v>26</v>
      </c>
      <c r="AC5196">
        <v>4.1313999999999202</v>
      </c>
      <c r="AD5196">
        <v>-1.109757516922</v>
      </c>
      <c r="AE5196">
        <v>-37.742919999999998</v>
      </c>
      <c r="AF5196">
        <v>-3.2419473450435299</v>
      </c>
      <c r="AG5196">
        <v>-1.109757516922</v>
      </c>
      <c r="AH5196">
        <v>37.797172947176598</v>
      </c>
      <c r="AI5196">
        <v>91.675621384623199</v>
      </c>
      <c r="AJ5196">
        <v>94.902387485146804</v>
      </c>
      <c r="AK5196">
        <v>37.9521813224639</v>
      </c>
      <c r="AL5196">
        <v>89.659347475683902</v>
      </c>
      <c r="AM5196">
        <v>87.3073092578868</v>
      </c>
      <c r="AN5196">
        <v>0.99999997871005397</v>
      </c>
    </row>
    <row r="5197" spans="1:40" x14ac:dyDescent="0.25">
      <c r="A5197" t="str">
        <f>"20190312154941269"</f>
        <v>20190312154941269</v>
      </c>
      <c r="B5197" t="str">
        <f>"1552376981261372"</f>
        <v>1552376981261372</v>
      </c>
      <c r="C5197" t="s">
        <v>40</v>
      </c>
      <c r="D5197">
        <v>4.5857710000000003</v>
      </c>
      <c r="E5197">
        <v>0.45093549999999899</v>
      </c>
      <c r="F5197" t="s">
        <v>65</v>
      </c>
      <c r="G5197">
        <v>-417.90480000000002</v>
      </c>
      <c r="H5197" s="1">
        <v>-2.441382E-6</v>
      </c>
      <c r="I5197">
        <v>36.63232</v>
      </c>
      <c r="J5197">
        <v>-422.1139</v>
      </c>
      <c r="K5197">
        <v>1.109686</v>
      </c>
      <c r="L5197">
        <v>75.546599999999998</v>
      </c>
      <c r="M5197">
        <v>2.3036359999999999E-2</v>
      </c>
      <c r="N5197">
        <v>0</v>
      </c>
      <c r="O5197">
        <v>-0.99963709999999995</v>
      </c>
      <c r="P5197">
        <v>-2.4691729999999999E-2</v>
      </c>
      <c r="Q5197">
        <v>-7.5343519999999898E-3</v>
      </c>
      <c r="R5197">
        <v>-0.99966699999999997</v>
      </c>
      <c r="S5197">
        <v>0.32369999999999999</v>
      </c>
      <c r="T5197">
        <v>-8.5235000000000005E-2</v>
      </c>
      <c r="U5197">
        <v>-3.0078740000000002</v>
      </c>
      <c r="V5197">
        <v>4.7721230000000003E-2</v>
      </c>
      <c r="W5197">
        <v>6.3898760000000001E-3</v>
      </c>
      <c r="X5197">
        <v>0.99884030000000001</v>
      </c>
      <c r="Y5197">
        <v>-8.4022490000000005E-2</v>
      </c>
      <c r="Z5197">
        <v>2.8183280000000002E-2</v>
      </c>
      <c r="AA5197">
        <v>0.99606519999999998</v>
      </c>
      <c r="AB5197">
        <v>26</v>
      </c>
      <c r="AC5197">
        <v>4.2090999999999701</v>
      </c>
      <c r="AD5197">
        <v>-1.1096884413819901</v>
      </c>
      <c r="AE5197">
        <v>-38.914279999999998</v>
      </c>
      <c r="AF5197">
        <v>-3.3087925139374099</v>
      </c>
      <c r="AG5197">
        <v>-1.1096884413819901</v>
      </c>
      <c r="AH5197">
        <v>38.969600358339598</v>
      </c>
      <c r="AI5197">
        <v>91.625254570767495</v>
      </c>
      <c r="AJ5197">
        <v>94.853173550392995</v>
      </c>
      <c r="AK5197">
        <v>39.125557739486901</v>
      </c>
      <c r="AL5197">
        <v>89.633884598809601</v>
      </c>
      <c r="AM5197">
        <v>87.264680320105498</v>
      </c>
      <c r="AN5197">
        <v>1.0000000456060401</v>
      </c>
    </row>
    <row r="5198" spans="1:40" x14ac:dyDescent="0.25">
      <c r="A5198" t="str">
        <f>"20190312154941291"</f>
        <v>20190312154941291</v>
      </c>
      <c r="B5198" t="str">
        <f>"1552376981280892"</f>
        <v>1552376981280892</v>
      </c>
      <c r="C5198" t="s">
        <v>40</v>
      </c>
      <c r="D5198">
        <v>4.5604079999999998</v>
      </c>
      <c r="E5198">
        <v>0.45095930000000001</v>
      </c>
      <c r="F5198" t="s">
        <v>65</v>
      </c>
      <c r="G5198">
        <v>-417.91489999999999</v>
      </c>
      <c r="H5198" s="1">
        <v>-2.8277949999999999E-6</v>
      </c>
      <c r="I5198">
        <v>36.02017</v>
      </c>
      <c r="J5198">
        <v>-422.10829999999999</v>
      </c>
      <c r="K5198">
        <v>1.1096269999999999</v>
      </c>
      <c r="L5198">
        <v>75.279110000000003</v>
      </c>
      <c r="M5198">
        <v>2.2506709999999999E-2</v>
      </c>
      <c r="N5198">
        <v>0</v>
      </c>
      <c r="O5198">
        <v>-0.99964920000000002</v>
      </c>
      <c r="P5198">
        <v>-2.5902080000000001E-2</v>
      </c>
      <c r="Q5198">
        <v>-7.4654389999999999E-3</v>
      </c>
      <c r="R5198">
        <v>-0.99963690000000005</v>
      </c>
      <c r="S5198">
        <v>0.31958009999999998</v>
      </c>
      <c r="T5198">
        <v>-8.4455970000000005E-2</v>
      </c>
      <c r="U5198">
        <v>-3.00827</v>
      </c>
      <c r="V5198">
        <v>4.8402399999999998E-2</v>
      </c>
      <c r="W5198">
        <v>6.448049E-3</v>
      </c>
      <c r="X5198">
        <v>0.99880709999999995</v>
      </c>
      <c r="Y5198">
        <v>-8.3188499999999999E-2</v>
      </c>
      <c r="Z5198">
        <v>2.7925740000000001E-2</v>
      </c>
      <c r="AA5198">
        <v>0.99614239999999998</v>
      </c>
      <c r="AB5198">
        <v>26</v>
      </c>
      <c r="AC5198">
        <v>4.1933999999999898</v>
      </c>
      <c r="AD5198">
        <v>-1.1096298277949901</v>
      </c>
      <c r="AE5198">
        <v>-39.258940000000003</v>
      </c>
      <c r="AF5198">
        <v>-3.3060505342758102</v>
      </c>
      <c r="AG5198">
        <v>-1.1096298277949901</v>
      </c>
      <c r="AH5198">
        <v>39.312330905147697</v>
      </c>
      <c r="AI5198">
        <v>91.611117245161495</v>
      </c>
      <c r="AJ5198">
        <v>94.807094142611206</v>
      </c>
      <c r="AK5198">
        <v>39.466702543862802</v>
      </c>
      <c r="AL5198">
        <v>89.630551444708104</v>
      </c>
      <c r="AM5198">
        <v>87.225605027220894</v>
      </c>
      <c r="AN5198">
        <v>0.99999999633603798</v>
      </c>
    </row>
    <row r="5199" spans="1:40" x14ac:dyDescent="0.25">
      <c r="A5199" t="str">
        <f>"20190312154941315"</f>
        <v>20190312154941315</v>
      </c>
      <c r="B5199" t="str">
        <f>"1552376981311148"</f>
        <v>1552376981311148</v>
      </c>
      <c r="C5199" t="s">
        <v>40</v>
      </c>
      <c r="D5199">
        <v>4.5806789999999999</v>
      </c>
      <c r="E5199">
        <v>0.45080789999999998</v>
      </c>
      <c r="F5199" t="s">
        <v>65</v>
      </c>
      <c r="G5199">
        <v>-417.98559999999998</v>
      </c>
      <c r="H5199" s="1">
        <v>-2.833229E-6</v>
      </c>
      <c r="I5199">
        <v>35.982030000000002</v>
      </c>
      <c r="J5199">
        <v>-422.10289999999998</v>
      </c>
      <c r="K5199">
        <v>1.10958</v>
      </c>
      <c r="L5199">
        <v>75.007779999999997</v>
      </c>
      <c r="M5199">
        <v>2.190069E-2</v>
      </c>
      <c r="N5199">
        <v>0</v>
      </c>
      <c r="O5199">
        <v>-0.99966290000000002</v>
      </c>
      <c r="P5199">
        <v>-2.6861510000000002E-2</v>
      </c>
      <c r="Q5199">
        <v>-7.0428089999999997E-3</v>
      </c>
      <c r="R5199">
        <v>-0.99961489999999997</v>
      </c>
      <c r="S5199">
        <v>0.31564330000000002</v>
      </c>
      <c r="T5199">
        <v>-8.4954740000000001E-2</v>
      </c>
      <c r="U5199">
        <v>-3.0086360000000001</v>
      </c>
      <c r="V5199">
        <v>4.8756769999999998E-2</v>
      </c>
      <c r="W5199">
        <v>6.8619359999999999E-3</v>
      </c>
      <c r="X5199">
        <v>0.99878710000000004</v>
      </c>
      <c r="Y5199">
        <v>-8.2490309999999997E-2</v>
      </c>
      <c r="Z5199">
        <v>2.8090440000000001E-2</v>
      </c>
      <c r="AA5199">
        <v>0.99619590000000002</v>
      </c>
      <c r="AB5199">
        <v>26</v>
      </c>
      <c r="AC5199">
        <v>4.1173000000000002</v>
      </c>
      <c r="AD5199">
        <v>-1.1095828332289901</v>
      </c>
      <c r="AE5199">
        <v>-39.025750000000002</v>
      </c>
      <c r="AF5199">
        <v>-3.2589328537064799</v>
      </c>
      <c r="AG5199">
        <v>-1.1095828332289901</v>
      </c>
      <c r="AH5199">
        <v>39.075328285842197</v>
      </c>
      <c r="AI5199">
        <v>91.620909043745897</v>
      </c>
      <c r="AJ5199">
        <v>94.767508544823201</v>
      </c>
      <c r="AK5199">
        <v>39.226688594056803</v>
      </c>
      <c r="AL5199">
        <v>89.606836938497594</v>
      </c>
      <c r="AM5199">
        <v>87.205268975060207</v>
      </c>
      <c r="AN5199">
        <v>0.999999989956455</v>
      </c>
    </row>
    <row r="5200" spans="1:40" x14ac:dyDescent="0.25">
      <c r="A5200" t="str">
        <f>"20190312154941337"</f>
        <v>20190312154941337</v>
      </c>
      <c r="B5200" t="str">
        <f>"1552376981331644"</f>
        <v>1552376981331644</v>
      </c>
      <c r="C5200" t="s">
        <v>40</v>
      </c>
      <c r="D5200">
        <v>4.6203909999999997</v>
      </c>
      <c r="E5200">
        <v>0.41791729999999999</v>
      </c>
      <c r="F5200" t="s">
        <v>65</v>
      </c>
      <c r="G5200">
        <v>-417.93090000000001</v>
      </c>
      <c r="H5200" s="1">
        <v>-3.383543E-6</v>
      </c>
      <c r="I5200">
        <v>35.059559999999998</v>
      </c>
      <c r="J5200">
        <v>-422.09780000000001</v>
      </c>
      <c r="K5200">
        <v>1.1095549999999901</v>
      </c>
      <c r="L5200">
        <v>74.742519999999999</v>
      </c>
      <c r="M5200">
        <v>2.125355E-2</v>
      </c>
      <c r="N5200">
        <v>0</v>
      </c>
      <c r="O5200">
        <v>-0.99967660000000003</v>
      </c>
      <c r="P5200">
        <v>-2.7639980000000001E-2</v>
      </c>
      <c r="Q5200">
        <v>-6.8066280000000003E-3</v>
      </c>
      <c r="R5200">
        <v>-0.99959480000000001</v>
      </c>
      <c r="S5200">
        <v>0.3142395</v>
      </c>
      <c r="T5200">
        <v>-8.357668E-2</v>
      </c>
      <c r="U5200">
        <v>-3.0090029999999999</v>
      </c>
      <c r="V5200">
        <v>4.8888889999999997E-2</v>
      </c>
      <c r="W5200">
        <v>7.0912889999999998E-3</v>
      </c>
      <c r="X5200">
        <v>0.99877910000000003</v>
      </c>
      <c r="Y5200">
        <v>-8.2664470000000004E-2</v>
      </c>
      <c r="Z5200">
        <v>2.7632839999999999E-2</v>
      </c>
      <c r="AA5200">
        <v>0.99619420000000003</v>
      </c>
      <c r="AB5200">
        <v>26</v>
      </c>
      <c r="AC5200">
        <v>4.1668999999999903</v>
      </c>
      <c r="AD5200">
        <v>-1.1095583835429901</v>
      </c>
      <c r="AE5200">
        <v>-39.682959999999902</v>
      </c>
      <c r="AF5200">
        <v>-3.3199054013923002</v>
      </c>
      <c r="AG5200">
        <v>-1.1095583835429901</v>
      </c>
      <c r="AH5200">
        <v>39.731841279989602</v>
      </c>
      <c r="AI5200">
        <v>91.594083947877195</v>
      </c>
      <c r="AJ5200">
        <v>94.776413970056794</v>
      </c>
      <c r="AK5200">
        <v>39.885738092443098</v>
      </c>
      <c r="AL5200">
        <v>89.593695684107203</v>
      </c>
      <c r="AM5200">
        <v>87.197685520840594</v>
      </c>
      <c r="AN5200">
        <v>1.0000000502709601</v>
      </c>
    </row>
    <row r="5201" spans="1:40" x14ac:dyDescent="0.25">
      <c r="A5201" t="str">
        <f>"20190312154941357"</f>
        <v>20190312154941357</v>
      </c>
      <c r="B5201" t="str">
        <f>"1552376981351165"</f>
        <v>1552376981351165</v>
      </c>
      <c r="C5201" t="s">
        <v>40</v>
      </c>
      <c r="D5201">
        <v>4.5468489999999999</v>
      </c>
      <c r="E5201">
        <v>0.40771429999999997</v>
      </c>
      <c r="F5201" t="s">
        <v>42</v>
      </c>
      <c r="G5201">
        <v>-415.87009999999998</v>
      </c>
      <c r="H5201" s="1">
        <v>-1.917007E-6</v>
      </c>
      <c r="I5201">
        <v>42.052199999999999</v>
      </c>
      <c r="J5201">
        <v>-422.09309999999999</v>
      </c>
      <c r="K5201">
        <v>1.1095389999999901</v>
      </c>
      <c r="L5201">
        <v>74.492800000000003</v>
      </c>
      <c r="M5201">
        <v>2.061267E-2</v>
      </c>
      <c r="N5201">
        <v>0</v>
      </c>
      <c r="O5201">
        <v>-0.99968999999999997</v>
      </c>
      <c r="P5201">
        <v>-2.8726959999999999E-2</v>
      </c>
      <c r="Q5201">
        <v>-6.8541820000000003E-3</v>
      </c>
      <c r="R5201">
        <v>-0.99956400000000001</v>
      </c>
      <c r="S5201">
        <v>0.57464599999999999</v>
      </c>
      <c r="T5201">
        <v>-0.1023816</v>
      </c>
      <c r="U5201">
        <v>-3.0164179999999998</v>
      </c>
      <c r="V5201">
        <v>4.9334990000000002E-2</v>
      </c>
      <c r="W5201">
        <v>7.0383599999999996E-3</v>
      </c>
      <c r="X5201">
        <v>0.99875749999999996</v>
      </c>
      <c r="Y5201">
        <v>-0.16674600000000001</v>
      </c>
      <c r="Z5201">
        <v>3.3373899999999998E-2</v>
      </c>
      <c r="AA5201">
        <v>0.9854349</v>
      </c>
      <c r="AB5201">
        <v>26</v>
      </c>
      <c r="AC5201">
        <v>6.2230000000000096</v>
      </c>
      <c r="AD5201">
        <v>-1.1095409170070001</v>
      </c>
      <c r="AE5201">
        <v>-32.440600000000003</v>
      </c>
      <c r="AF5201">
        <v>-5.5466668210867498</v>
      </c>
      <c r="AG5201">
        <v>-1.1095409170070001</v>
      </c>
      <c r="AH5201">
        <v>32.525293898372503</v>
      </c>
      <c r="AI5201">
        <v>91.925999400819293</v>
      </c>
      <c r="AJ5201">
        <v>99.677776427657903</v>
      </c>
      <c r="AK5201">
        <v>33.0135023444372</v>
      </c>
      <c r="AL5201">
        <v>89.596728352429807</v>
      </c>
      <c r="AM5201">
        <v>87.172095298495094</v>
      </c>
      <c r="AN5201">
        <v>1.0000000117780099</v>
      </c>
    </row>
    <row r="5202" spans="1:40" x14ac:dyDescent="0.25">
      <c r="A5202" t="str">
        <f>"20190312154941381"</f>
        <v>20190312154941381</v>
      </c>
      <c r="B5202" t="str">
        <f>"1552376981371663"</f>
        <v>1552376981371663</v>
      </c>
      <c r="C5202" t="s">
        <v>40</v>
      </c>
      <c r="D5202">
        <v>4.5374439999999998</v>
      </c>
      <c r="E5202">
        <v>0.40414090000000003</v>
      </c>
      <c r="F5202" t="s">
        <v>42</v>
      </c>
      <c r="G5202">
        <v>-414.64319999999998</v>
      </c>
      <c r="H5202" s="1">
        <v>-1.5622240000000001E-6</v>
      </c>
      <c r="I5202">
        <v>40.050350000000002</v>
      </c>
      <c r="J5202">
        <v>-422.08839999999998</v>
      </c>
      <c r="K5202">
        <v>1.109524</v>
      </c>
      <c r="L5202">
        <v>74.227360000000004</v>
      </c>
      <c r="M5202">
        <v>1.991656E-2</v>
      </c>
      <c r="N5202">
        <v>0</v>
      </c>
      <c r="O5202">
        <v>-0.99970440000000005</v>
      </c>
      <c r="P5202">
        <v>-2.9879920000000001E-2</v>
      </c>
      <c r="Q5202">
        <v>-6.7054480000000001E-3</v>
      </c>
      <c r="R5202">
        <v>-0.99953159999999996</v>
      </c>
      <c r="S5202">
        <v>0.65310669999999904</v>
      </c>
      <c r="T5202">
        <v>-9.7268220000000002E-2</v>
      </c>
      <c r="U5202">
        <v>-3.019409</v>
      </c>
      <c r="V5202">
        <v>4.9792009999999998E-2</v>
      </c>
      <c r="W5202">
        <v>7.1814089999999997E-3</v>
      </c>
      <c r="X5202">
        <v>0.9987338</v>
      </c>
      <c r="Y5202">
        <v>-0.19179840000000001</v>
      </c>
      <c r="Z5202">
        <v>3.1525030000000002E-2</v>
      </c>
      <c r="AA5202">
        <v>0.98092789999999996</v>
      </c>
      <c r="AB5202">
        <v>26</v>
      </c>
      <c r="AC5202">
        <v>7.4451999999999998</v>
      </c>
      <c r="AD5202">
        <v>-1.1095255622239999</v>
      </c>
      <c r="AE5202">
        <v>-34.177009999999903</v>
      </c>
      <c r="AF5202">
        <v>-6.7561704170588399</v>
      </c>
      <c r="AG5202">
        <v>-1.1095255622239999</v>
      </c>
      <c r="AH5202">
        <v>34.284031178887297</v>
      </c>
      <c r="AI5202">
        <v>91.818649465107598</v>
      </c>
      <c r="AJ5202">
        <v>101.14812668109001</v>
      </c>
      <c r="AK5202">
        <v>34.961002267562101</v>
      </c>
      <c r="AL5202">
        <v>89.588532040690296</v>
      </c>
      <c r="AM5202">
        <v>87.145874198158694</v>
      </c>
      <c r="AN5202">
        <v>1.0000000100787501</v>
      </c>
    </row>
    <row r="5203" spans="1:40" x14ac:dyDescent="0.25">
      <c r="A5203" t="str">
        <f>"20190312154941404"</f>
        <v>20190312154941404</v>
      </c>
      <c r="B5203" t="str">
        <f>"1552376981400940"</f>
        <v>1552376981400940</v>
      </c>
      <c r="C5203" t="s">
        <v>40</v>
      </c>
      <c r="D5203">
        <v>4.5348459999999999</v>
      </c>
      <c r="E5203">
        <v>0.39999839999999998</v>
      </c>
      <c r="F5203" t="s">
        <v>65</v>
      </c>
      <c r="G5203">
        <v>-413.6533</v>
      </c>
      <c r="H5203" s="1">
        <v>-3.4648740000000002E-6</v>
      </c>
      <c r="I5203">
        <v>36.645029999999998</v>
      </c>
      <c r="J5203">
        <v>-422.08390000000003</v>
      </c>
      <c r="K5203">
        <v>1.1095170000000001</v>
      </c>
      <c r="L5203">
        <v>73.958950000000002</v>
      </c>
      <c r="M5203">
        <v>1.920931E-2</v>
      </c>
      <c r="N5203">
        <v>0</v>
      </c>
      <c r="O5203">
        <v>-0.9997182</v>
      </c>
      <c r="P5203">
        <v>-3.1775579999999998E-2</v>
      </c>
      <c r="Q5203">
        <v>-6.8888219999999898E-3</v>
      </c>
      <c r="R5203">
        <v>-0.99947160000000002</v>
      </c>
      <c r="S5203">
        <v>0.67807010000000001</v>
      </c>
      <c r="T5203">
        <v>-8.9190359999999996E-2</v>
      </c>
      <c r="U5203">
        <v>-3.0210880000000002</v>
      </c>
      <c r="V5203">
        <v>5.0979480000000001E-2</v>
      </c>
      <c r="W5203">
        <v>6.9925839999999996E-3</v>
      </c>
      <c r="X5203">
        <v>0.99867519999999999</v>
      </c>
      <c r="Y5203">
        <v>-0.2001211</v>
      </c>
      <c r="Z5203">
        <v>2.884463E-2</v>
      </c>
      <c r="AA5203">
        <v>0.97934650000000001</v>
      </c>
      <c r="AB5203">
        <v>26</v>
      </c>
      <c r="AC5203">
        <v>8.4306000000000196</v>
      </c>
      <c r="AD5203">
        <v>-1.109520464874</v>
      </c>
      <c r="AE5203">
        <v>-37.313920000000003</v>
      </c>
      <c r="AF5203">
        <v>-7.7057175792449701</v>
      </c>
      <c r="AG5203">
        <v>-1.109520464874</v>
      </c>
      <c r="AH5203">
        <v>37.437502462155201</v>
      </c>
      <c r="AI5203">
        <v>91.662720020644997</v>
      </c>
      <c r="AJ5203">
        <v>101.63069239678001</v>
      </c>
      <c r="AK5203">
        <v>38.238406212562502</v>
      </c>
      <c r="AL5203">
        <v>89.599351175555697</v>
      </c>
      <c r="AM5203">
        <v>87.077752710220594</v>
      </c>
      <c r="AN5203">
        <v>0.999999979353553</v>
      </c>
    </row>
    <row r="5204" spans="1:40" x14ac:dyDescent="0.25">
      <c r="A5204" t="str">
        <f>"20190312154941425"</f>
        <v>20190312154941425</v>
      </c>
      <c r="B5204" t="str">
        <f>"1552376981421437"</f>
        <v>1552376981421437</v>
      </c>
      <c r="C5204" t="s">
        <v>40</v>
      </c>
      <c r="D5204">
        <v>4.5030130000000002</v>
      </c>
      <c r="E5204">
        <v>0.398175</v>
      </c>
      <c r="F5204" t="s">
        <v>42</v>
      </c>
      <c r="G5204">
        <v>-414.12360000000001</v>
      </c>
      <c r="H5204" s="1">
        <v>-1.6259120000000001E-6</v>
      </c>
      <c r="I5204">
        <v>39.831249999999997</v>
      </c>
      <c r="J5204">
        <v>-422.07979999999998</v>
      </c>
      <c r="K5204">
        <v>1.109515</v>
      </c>
      <c r="L5204">
        <v>73.70993</v>
      </c>
      <c r="M5204">
        <v>1.855542E-2</v>
      </c>
      <c r="N5204">
        <v>0</v>
      </c>
      <c r="O5204">
        <v>-0.99973060000000002</v>
      </c>
      <c r="P5204">
        <v>-3.2829749999999998E-2</v>
      </c>
      <c r="Q5204">
        <v>-7.5508909999999997E-3</v>
      </c>
      <c r="R5204">
        <v>-0.99943280000000001</v>
      </c>
      <c r="S5204">
        <v>0.70520019999999894</v>
      </c>
      <c r="T5204">
        <v>-9.8291400000000001E-2</v>
      </c>
      <c r="U5204">
        <v>-3.0233460000000001</v>
      </c>
      <c r="V5204">
        <v>5.1378720000000003E-2</v>
      </c>
      <c r="W5204">
        <v>6.326936E-3</v>
      </c>
      <c r="X5204">
        <v>0.99865919999999997</v>
      </c>
      <c r="Y5204">
        <v>-0.2089288</v>
      </c>
      <c r="Z5204">
        <v>3.1701680000000003E-2</v>
      </c>
      <c r="AA5204">
        <v>0.97741690000000003</v>
      </c>
      <c r="AB5204">
        <v>26</v>
      </c>
      <c r="AC5204">
        <v>7.95619999999996</v>
      </c>
      <c r="AD5204">
        <v>-1.109516625912</v>
      </c>
      <c r="AE5204">
        <v>-33.878679999999903</v>
      </c>
      <c r="AF5204">
        <v>-7.3186963607321598</v>
      </c>
      <c r="AG5204">
        <v>-1.109516625912</v>
      </c>
      <c r="AH5204">
        <v>33.9859449647318</v>
      </c>
      <c r="AI5204">
        <v>91.827958662894403</v>
      </c>
      <c r="AJ5204">
        <v>102.152761304029</v>
      </c>
      <c r="AK5204">
        <v>34.782737079038903</v>
      </c>
      <c r="AL5204">
        <v>89.637490851508502</v>
      </c>
      <c r="AM5204">
        <v>87.054860494220307</v>
      </c>
      <c r="AN5204">
        <v>1.0000000003663101</v>
      </c>
    </row>
    <row r="5205" spans="1:40" x14ac:dyDescent="0.25">
      <c r="A5205" t="str">
        <f>"20190312154941447"</f>
        <v>20190312154941447</v>
      </c>
      <c r="B5205" t="str">
        <f>"1552376981440957"</f>
        <v>1552376981440957</v>
      </c>
      <c r="C5205" t="s">
        <v>40</v>
      </c>
      <c r="D5205">
        <v>4.524311</v>
      </c>
      <c r="E5205">
        <v>0.3969974</v>
      </c>
      <c r="F5205" t="s">
        <v>42</v>
      </c>
      <c r="G5205">
        <v>-414.71879999999999</v>
      </c>
      <c r="H5205" s="1">
        <v>-2.428903E-6</v>
      </c>
      <c r="I5205">
        <v>42.656300000000002</v>
      </c>
      <c r="J5205">
        <v>-422.07580000000002</v>
      </c>
      <c r="K5205">
        <v>1.1095189999999999</v>
      </c>
      <c r="L5205">
        <v>73.449579999999997</v>
      </c>
      <c r="M5205">
        <v>1.7876380000000001E-2</v>
      </c>
      <c r="N5205">
        <v>0</v>
      </c>
      <c r="O5205">
        <v>-0.99974269999999998</v>
      </c>
      <c r="P5205">
        <v>-3.3254279999999997E-2</v>
      </c>
      <c r="Q5205">
        <v>-7.8820880000000006E-3</v>
      </c>
      <c r="R5205">
        <v>-0.99941590000000002</v>
      </c>
      <c r="S5205">
        <v>0.71691890000000003</v>
      </c>
      <c r="T5205">
        <v>-0.10806060000000001</v>
      </c>
      <c r="U5205">
        <v>-3.0244450000000001</v>
      </c>
      <c r="V5205">
        <v>5.1124099999999999E-2</v>
      </c>
      <c r="W5205">
        <v>5.9941090000000001E-3</v>
      </c>
      <c r="X5205">
        <v>0.99867430000000001</v>
      </c>
      <c r="Y5205">
        <v>-0.2130775</v>
      </c>
      <c r="Z5205">
        <v>3.4806129999999998E-2</v>
      </c>
      <c r="AA5205">
        <v>0.97641520000000004</v>
      </c>
      <c r="AB5205">
        <v>26</v>
      </c>
      <c r="AC5205">
        <v>7.3570000000000197</v>
      </c>
      <c r="AD5205">
        <v>-1.109521428903</v>
      </c>
      <c r="AE5205">
        <v>-30.793279999999999</v>
      </c>
      <c r="AF5205">
        <v>-6.79695043901632</v>
      </c>
      <c r="AG5205">
        <v>-1.109521428903</v>
      </c>
      <c r="AH5205">
        <v>30.881960099156899</v>
      </c>
      <c r="AI5205">
        <v>92.009570338953793</v>
      </c>
      <c r="AJ5205">
        <v>102.412584457867</v>
      </c>
      <c r="AK5205">
        <v>31.640559929267301</v>
      </c>
      <c r="AL5205">
        <v>89.656560788950799</v>
      </c>
      <c r="AM5205">
        <v>87.069474591753504</v>
      </c>
      <c r="AN5205">
        <v>0.99999998021200098</v>
      </c>
    </row>
    <row r="5206" spans="1:40" x14ac:dyDescent="0.25">
      <c r="A5206" t="str">
        <f>"20190312154941470"</f>
        <v>20190312154941470</v>
      </c>
      <c r="B5206" t="str">
        <f>"1552376981461455"</f>
        <v>1552376981461455</v>
      </c>
      <c r="C5206" t="s">
        <v>40</v>
      </c>
      <c r="D5206">
        <v>4.4640230000000001</v>
      </c>
      <c r="E5206">
        <v>0.3957695</v>
      </c>
      <c r="F5206" t="s">
        <v>42</v>
      </c>
      <c r="G5206">
        <v>-414.7912</v>
      </c>
      <c r="H5206" s="1">
        <v>-2.542867E-6</v>
      </c>
      <c r="I5206">
        <v>43.047759999999997</v>
      </c>
      <c r="J5206">
        <v>-422.07190000000003</v>
      </c>
      <c r="K5206">
        <v>1.109521</v>
      </c>
      <c r="L5206">
        <v>73.190340000000006</v>
      </c>
      <c r="M5206">
        <v>1.7206099999999998E-2</v>
      </c>
      <c r="N5206">
        <v>0</v>
      </c>
      <c r="O5206">
        <v>-0.99975460000000005</v>
      </c>
      <c r="P5206">
        <v>-3.3746140000000001E-2</v>
      </c>
      <c r="Q5206">
        <v>-7.7304139999999997E-3</v>
      </c>
      <c r="R5206">
        <v>-0.99940090000000004</v>
      </c>
      <c r="S5206">
        <v>0.724823</v>
      </c>
      <c r="T5206">
        <v>-0.1103978</v>
      </c>
      <c r="U5206">
        <v>-3.024994</v>
      </c>
      <c r="V5206">
        <v>5.0946159999999997E-2</v>
      </c>
      <c r="W5206">
        <v>6.1438339999999999E-3</v>
      </c>
      <c r="X5206">
        <v>0.99868250000000003</v>
      </c>
      <c r="Y5206">
        <v>-0.21609999999999999</v>
      </c>
      <c r="Z5206">
        <v>3.55298E-2</v>
      </c>
      <c r="AA5206">
        <v>0.97572460000000005</v>
      </c>
      <c r="AB5206">
        <v>26</v>
      </c>
      <c r="AC5206">
        <v>7.2807000000000199</v>
      </c>
      <c r="AD5206">
        <v>-1.1095235428670001</v>
      </c>
      <c r="AE5206">
        <v>-30.142579999999999</v>
      </c>
      <c r="AF5206">
        <v>-6.7522908011534604</v>
      </c>
      <c r="AG5206">
        <v>-1.1095235428670001</v>
      </c>
      <c r="AH5206">
        <v>30.2247072024063</v>
      </c>
      <c r="AI5206">
        <v>92.051802424349205</v>
      </c>
      <c r="AJ5206">
        <v>102.59326242207401</v>
      </c>
      <c r="AK5206">
        <v>30.989633734955799</v>
      </c>
      <c r="AL5206">
        <v>89.647982026056297</v>
      </c>
      <c r="AM5206">
        <v>87.079680682629302</v>
      </c>
      <c r="AN5206">
        <v>0.99999999686060703</v>
      </c>
    </row>
    <row r="5207" spans="1:40" x14ac:dyDescent="0.25">
      <c r="A5207" t="str">
        <f>"20190312154941493"</f>
        <v>20190312154941493</v>
      </c>
      <c r="B5207" t="str">
        <f>"1552376981480973"</f>
        <v>1552376981480973</v>
      </c>
      <c r="C5207" t="s">
        <v>40</v>
      </c>
      <c r="D5207">
        <v>4.4638999999999998</v>
      </c>
      <c r="E5207">
        <v>0.39475290000000002</v>
      </c>
      <c r="F5207" t="s">
        <v>42</v>
      </c>
      <c r="G5207">
        <v>-414.91759999999999</v>
      </c>
      <c r="H5207" s="1">
        <v>-2.723773E-6</v>
      </c>
      <c r="I5207">
        <v>43.678199999999997</v>
      </c>
      <c r="J5207">
        <v>-422.06810000000002</v>
      </c>
      <c r="K5207">
        <v>1.1095299999999999</v>
      </c>
      <c r="L5207">
        <v>72.921019999999999</v>
      </c>
      <c r="M5207">
        <v>1.6515099999999901E-2</v>
      </c>
      <c r="N5207">
        <v>0</v>
      </c>
      <c r="O5207">
        <v>-0.9997663</v>
      </c>
      <c r="P5207">
        <v>-3.3407819999999998E-2</v>
      </c>
      <c r="Q5207">
        <v>-7.57910599999999E-3</v>
      </c>
      <c r="R5207">
        <v>-0.99941340000000001</v>
      </c>
      <c r="S5207">
        <v>0.73348999999999998</v>
      </c>
      <c r="T5207">
        <v>-0.11375250000000001</v>
      </c>
      <c r="U5207">
        <v>-3.0256959999999999</v>
      </c>
      <c r="V5207">
        <v>4.9917929999999999E-2</v>
      </c>
      <c r="W5207">
        <v>6.2949879999999996E-3</v>
      </c>
      <c r="X5207">
        <v>0.99873350000000005</v>
      </c>
      <c r="Y5207">
        <v>-0.21935499999999999</v>
      </c>
      <c r="Z5207">
        <v>3.6574849999999999E-2</v>
      </c>
      <c r="AA5207">
        <v>0.97495929999999997</v>
      </c>
      <c r="AB5207">
        <v>26</v>
      </c>
      <c r="AC5207">
        <v>7.1505000000000196</v>
      </c>
      <c r="AD5207">
        <v>-1.1095327237729999</v>
      </c>
      <c r="AE5207">
        <v>-29.242819999999998</v>
      </c>
      <c r="AF5207">
        <v>-6.6574861035872201</v>
      </c>
      <c r="AG5207">
        <v>-1.1095327237729999</v>
      </c>
      <c r="AH5207">
        <v>29.3171098940355</v>
      </c>
      <c r="AI5207">
        <v>92.113615078584502</v>
      </c>
      <c r="AJ5207">
        <v>102.794056922728</v>
      </c>
      <c r="AK5207">
        <v>30.083984387436701</v>
      </c>
      <c r="AL5207">
        <v>89.639321378917501</v>
      </c>
      <c r="AM5207">
        <v>87.138667464513006</v>
      </c>
      <c r="AN5207">
        <v>1.0000000153158199</v>
      </c>
    </row>
    <row r="5208" spans="1:40" x14ac:dyDescent="0.25">
      <c r="A5208" t="str">
        <f>"20190312154941516"</f>
        <v>20190312154941516</v>
      </c>
      <c r="B5208" t="str">
        <f>"1552376981511228"</f>
        <v>1552376981511228</v>
      </c>
      <c r="C5208" t="s">
        <v>40</v>
      </c>
      <c r="D5208">
        <v>4.4844839999999904</v>
      </c>
      <c r="E5208">
        <v>0.39320709999999998</v>
      </c>
      <c r="F5208" t="s">
        <v>42</v>
      </c>
      <c r="G5208">
        <v>-414.99079999999998</v>
      </c>
      <c r="H5208" s="1">
        <v>-2.8464660000000001E-6</v>
      </c>
      <c r="I5208">
        <v>44.095939999999999</v>
      </c>
      <c r="J5208">
        <v>-422.06459999999998</v>
      </c>
      <c r="K5208">
        <v>1.1095389999999901</v>
      </c>
      <c r="L5208">
        <v>72.660830000000004</v>
      </c>
      <c r="M5208">
        <v>1.5852040000000001E-2</v>
      </c>
      <c r="N5208">
        <v>0</v>
      </c>
      <c r="O5208">
        <v>-0.99977720000000003</v>
      </c>
      <c r="P5208">
        <v>-3.3591660000000002E-2</v>
      </c>
      <c r="Q5208">
        <v>-7.2597959999999998E-3</v>
      </c>
      <c r="R5208">
        <v>-0.9994094</v>
      </c>
      <c r="S5208">
        <v>0.74288940000000003</v>
      </c>
      <c r="T5208">
        <v>-0.116464899999999</v>
      </c>
      <c r="U5208">
        <v>-3.0256959999999999</v>
      </c>
      <c r="V5208">
        <v>4.9439610000000002E-2</v>
      </c>
      <c r="W5208">
        <v>6.6135100000000004E-3</v>
      </c>
      <c r="X5208">
        <v>0.99875519999999995</v>
      </c>
      <c r="Y5208">
        <v>-0.22285170000000001</v>
      </c>
      <c r="Z5208">
        <v>3.7417739999999998E-2</v>
      </c>
      <c r="AA5208">
        <v>0.97413400000000006</v>
      </c>
      <c r="AB5208">
        <v>26</v>
      </c>
      <c r="AC5208">
        <v>7.0738000000000003</v>
      </c>
      <c r="AD5208">
        <v>-1.1095418464659901</v>
      </c>
      <c r="AE5208">
        <v>-28.564889999999998</v>
      </c>
      <c r="AF5208">
        <v>-6.6106575957859004</v>
      </c>
      <c r="AG5208">
        <v>-1.1095418464659901</v>
      </c>
      <c r="AH5208">
        <v>28.632741179104698</v>
      </c>
      <c r="AI5208">
        <v>92.162321056767198</v>
      </c>
      <c r="AJ5208">
        <v>103.000509967217</v>
      </c>
      <c r="AK5208">
        <v>29.406899605150201</v>
      </c>
      <c r="AL5208">
        <v>89.621071019904306</v>
      </c>
      <c r="AM5208">
        <v>87.166101680976993</v>
      </c>
      <c r="AN5208">
        <v>0.99999998153925496</v>
      </c>
    </row>
    <row r="5209" spans="1:40" x14ac:dyDescent="0.25">
      <c r="A5209" t="str">
        <f>"20190312154941537"</f>
        <v>20190312154941537</v>
      </c>
      <c r="B5209" t="str">
        <f>"1552376981530750"</f>
        <v>1552376981530750</v>
      </c>
      <c r="C5209" t="s">
        <v>40</v>
      </c>
      <c r="D5209">
        <v>4.4472680000000002</v>
      </c>
      <c r="E5209">
        <v>0.39256449999999998</v>
      </c>
      <c r="F5209" t="s">
        <v>42</v>
      </c>
      <c r="G5209">
        <v>-415.0265</v>
      </c>
      <c r="H5209" s="1">
        <v>-2.9463550000000001E-6</v>
      </c>
      <c r="I5209">
        <v>44.417430000000003</v>
      </c>
      <c r="J5209">
        <v>-422.06119999999999</v>
      </c>
      <c r="K5209">
        <v>1.109545</v>
      </c>
      <c r="L5209">
        <v>72.403689999999997</v>
      </c>
      <c r="M5209">
        <v>1.519996E-2</v>
      </c>
      <c r="N5209">
        <v>0</v>
      </c>
      <c r="O5209">
        <v>-0.99978739999999999</v>
      </c>
      <c r="P5209">
        <v>-3.4406970000000002E-2</v>
      </c>
      <c r="Q5209">
        <v>-7.0687700000000003E-3</v>
      </c>
      <c r="R5209">
        <v>-0.99938320000000003</v>
      </c>
      <c r="S5209">
        <v>0.75411989999999995</v>
      </c>
      <c r="T5209">
        <v>-0.11888600000000001</v>
      </c>
      <c r="U5209">
        <v>-3.0262449999999999</v>
      </c>
      <c r="V5209">
        <v>4.9603130000000002E-2</v>
      </c>
      <c r="W5209">
        <v>6.8023320000000003E-3</v>
      </c>
      <c r="X5209">
        <v>0.99874589999999996</v>
      </c>
      <c r="Y5209">
        <v>-0.22684460000000001</v>
      </c>
      <c r="Z5209">
        <v>3.8153769999999997E-2</v>
      </c>
      <c r="AA5209">
        <v>0.97318329999999997</v>
      </c>
      <c r="AB5209">
        <v>26</v>
      </c>
      <c r="AC5209">
        <v>7.0346999999999804</v>
      </c>
      <c r="AD5209">
        <v>-1.109547946355</v>
      </c>
      <c r="AE5209">
        <v>-27.986259999999898</v>
      </c>
      <c r="AF5209">
        <v>-6.5987002532215797</v>
      </c>
      <c r="AG5209">
        <v>-1.109547946355</v>
      </c>
      <c r="AH5209">
        <v>28.0484966442325</v>
      </c>
      <c r="AI5209">
        <v>92.205194333765903</v>
      </c>
      <c r="AJ5209">
        <v>103.238688812083</v>
      </c>
      <c r="AK5209">
        <v>28.835604825955201</v>
      </c>
      <c r="AL5209">
        <v>89.610252102205493</v>
      </c>
      <c r="AM5209">
        <v>87.156717571707702</v>
      </c>
      <c r="AN5209">
        <v>1.0000000574966199</v>
      </c>
    </row>
    <row r="5210" spans="1:40" x14ac:dyDescent="0.25">
      <c r="A5210" t="str">
        <f>"20190312154941560"</f>
        <v>20190312154941560</v>
      </c>
      <c r="B5210" t="str">
        <f>"1552376981551245"</f>
        <v>1552376981551245</v>
      </c>
      <c r="C5210" t="s">
        <v>40</v>
      </c>
      <c r="D5210">
        <v>4.4516</v>
      </c>
      <c r="E5210">
        <v>0.39184950000000002</v>
      </c>
      <c r="F5210" t="s">
        <v>42</v>
      </c>
      <c r="G5210">
        <v>-415.06560000000002</v>
      </c>
      <c r="H5210" s="1">
        <v>-2.945307E-6</v>
      </c>
      <c r="I5210">
        <v>44.444890000000001</v>
      </c>
      <c r="J5210">
        <v>-422.05810000000002</v>
      </c>
      <c r="K5210">
        <v>1.109542</v>
      </c>
      <c r="L5210">
        <v>72.149349999999998</v>
      </c>
      <c r="M5210">
        <v>1.4556680000000001E-2</v>
      </c>
      <c r="N5210">
        <v>0</v>
      </c>
      <c r="O5210">
        <v>-0.99979720000000005</v>
      </c>
      <c r="P5210">
        <v>-3.5126919999999999E-2</v>
      </c>
      <c r="Q5210">
        <v>-7.5496879999999997E-3</v>
      </c>
      <c r="R5210">
        <v>-0.99935479999999999</v>
      </c>
      <c r="S5210">
        <v>0.75741579999999997</v>
      </c>
      <c r="T5210">
        <v>-0.1201308</v>
      </c>
      <c r="U5210">
        <v>-3.0270999999999999</v>
      </c>
      <c r="V5210">
        <v>4.9679349999999997E-2</v>
      </c>
      <c r="W5210">
        <v>6.3188289999999998E-3</v>
      </c>
      <c r="X5210">
        <v>0.9987452</v>
      </c>
      <c r="Y5210">
        <v>-0.2284004</v>
      </c>
      <c r="Z5210">
        <v>3.8530559999999998E-2</v>
      </c>
      <c r="AA5210">
        <v>0.97280449999999996</v>
      </c>
      <c r="AB5210">
        <v>26</v>
      </c>
      <c r="AC5210">
        <v>6.9924999999999997</v>
      </c>
      <c r="AD5210">
        <v>-1.1095449453069901</v>
      </c>
      <c r="AE5210">
        <v>-27.704460000000001</v>
      </c>
      <c r="AF5210">
        <v>-6.5785152794678901</v>
      </c>
      <c r="AG5210">
        <v>-1.1095449453069901</v>
      </c>
      <c r="AH5210">
        <v>27.761460241812699</v>
      </c>
      <c r="AI5210">
        <v>92.2271170874983</v>
      </c>
      <c r="AJ5210">
        <v>103.331239178307</v>
      </c>
      <c r="AK5210">
        <v>28.551823549917099</v>
      </c>
      <c r="AL5210">
        <v>89.637955346673095</v>
      </c>
      <c r="AM5210">
        <v>87.152353786756606</v>
      </c>
      <c r="AN5210">
        <v>0.99999996996969598</v>
      </c>
    </row>
    <row r="5211" spans="1:40" x14ac:dyDescent="0.25">
      <c r="A5211" t="str">
        <f>"20190312154941582"</f>
        <v>20190312154941582</v>
      </c>
      <c r="B5211" t="str">
        <f>"1552376981570765"</f>
        <v>1552376981570765</v>
      </c>
      <c r="C5211" t="s">
        <v>40</v>
      </c>
      <c r="D5211">
        <v>4.448715</v>
      </c>
      <c r="E5211">
        <v>0.39115359999999899</v>
      </c>
      <c r="F5211" t="s">
        <v>42</v>
      </c>
      <c r="G5211">
        <v>-415.24869999999999</v>
      </c>
      <c r="H5211" s="1">
        <v>-3.1764460000000002E-6</v>
      </c>
      <c r="I5211">
        <v>45.07253</v>
      </c>
      <c r="J5211">
        <v>-422.05509999999998</v>
      </c>
      <c r="K5211">
        <v>1.10955</v>
      </c>
      <c r="L5211">
        <v>71.889679999999998</v>
      </c>
      <c r="M5211">
        <v>1.3899669999999999E-2</v>
      </c>
      <c r="N5211">
        <v>0</v>
      </c>
      <c r="O5211">
        <v>-0.99980650000000004</v>
      </c>
      <c r="P5211">
        <v>-3.5867009999999998E-2</v>
      </c>
      <c r="Q5211">
        <v>-7.3397619999999997E-3</v>
      </c>
      <c r="R5211">
        <v>-0.99933000000000005</v>
      </c>
      <c r="S5211">
        <v>0.76144409999999996</v>
      </c>
      <c r="T5211">
        <v>-0.124071</v>
      </c>
      <c r="U5211">
        <v>-3.027771</v>
      </c>
      <c r="V5211">
        <v>4.9762899999999999E-2</v>
      </c>
      <c r="W5211">
        <v>6.5257730000000003E-3</v>
      </c>
      <c r="X5211">
        <v>0.99873970000000001</v>
      </c>
      <c r="Y5211">
        <v>-0.2301947</v>
      </c>
      <c r="Z5211">
        <v>3.9769489999999998E-2</v>
      </c>
      <c r="AA5211">
        <v>0.97233159999999996</v>
      </c>
      <c r="AB5211">
        <v>26</v>
      </c>
      <c r="AC5211">
        <v>6.8063999999999902</v>
      </c>
      <c r="AD5211">
        <v>-1.109553176446</v>
      </c>
      <c r="AE5211">
        <v>-26.817150000000002</v>
      </c>
      <c r="AF5211">
        <v>-6.4226273755469201</v>
      </c>
      <c r="AG5211">
        <v>-1.109553176446</v>
      </c>
      <c r="AH5211">
        <v>26.865967008876598</v>
      </c>
      <c r="AI5211">
        <v>92.3002044906126</v>
      </c>
      <c r="AJ5211">
        <v>103.444897123483</v>
      </c>
      <c r="AK5211">
        <v>27.645278692365</v>
      </c>
      <c r="AL5211">
        <v>89.626098080291399</v>
      </c>
      <c r="AM5211">
        <v>87.147556877644902</v>
      </c>
      <c r="AN5211">
        <v>0.99999996014287296</v>
      </c>
    </row>
    <row r="5212" spans="1:40" x14ac:dyDescent="0.25">
      <c r="A5212" t="str">
        <f>"20190312154941605"</f>
        <v>20190312154941605</v>
      </c>
      <c r="B5212" t="str">
        <f>"1552376981601527"</f>
        <v>1552376981601527</v>
      </c>
      <c r="C5212" t="s">
        <v>40</v>
      </c>
      <c r="D5212">
        <v>4.5519299999999996</v>
      </c>
      <c r="E5212">
        <v>0.42186620000000002</v>
      </c>
      <c r="F5212" t="s">
        <v>42</v>
      </c>
      <c r="G5212">
        <v>-415.25659999999999</v>
      </c>
      <c r="H5212" s="1">
        <v>-3.1243809999999998E-6</v>
      </c>
      <c r="I5212">
        <v>44.954459999999997</v>
      </c>
      <c r="J5212">
        <v>-422.05220000000003</v>
      </c>
      <c r="K5212">
        <v>1.1095520000000001</v>
      </c>
      <c r="L5212">
        <v>71.627960000000002</v>
      </c>
      <c r="M5212">
        <v>1.3237550000000001E-2</v>
      </c>
      <c r="N5212">
        <v>0</v>
      </c>
      <c r="O5212">
        <v>-0.99981529999999996</v>
      </c>
      <c r="P5212">
        <v>-3.7000489999999997E-2</v>
      </c>
      <c r="Q5212">
        <v>-6.6192059999999999E-3</v>
      </c>
      <c r="R5212">
        <v>-0.9992934</v>
      </c>
      <c r="S5212">
        <v>0.76440430000000004</v>
      </c>
      <c r="T5212">
        <v>-0.12475559999999999</v>
      </c>
      <c r="U5212">
        <v>-3.0285340000000001</v>
      </c>
      <c r="V5212">
        <v>5.0235189999999999E-2</v>
      </c>
      <c r="W5212">
        <v>7.243396E-3</v>
      </c>
      <c r="X5212">
        <v>0.99871120000000002</v>
      </c>
      <c r="Y5212">
        <v>-0.23167270000000001</v>
      </c>
      <c r="Z5212">
        <v>3.9967559999999999E-2</v>
      </c>
      <c r="AA5212">
        <v>0.97197239999999996</v>
      </c>
      <c r="AB5212">
        <v>26</v>
      </c>
      <c r="AC5212">
        <v>6.7956000000000296</v>
      </c>
      <c r="AD5212">
        <v>-1.109555124381</v>
      </c>
      <c r="AE5212">
        <v>-26.673500000000001</v>
      </c>
      <c r="AF5212">
        <v>-6.4314279764472504</v>
      </c>
      <c r="AG5212">
        <v>-1.109555124381</v>
      </c>
      <c r="AH5212">
        <v>26.717714703231898</v>
      </c>
      <c r="AI5212">
        <v>92.312090502424695</v>
      </c>
      <c r="AJ5212">
        <v>103.534610862666</v>
      </c>
      <c r="AK5212">
        <v>27.503284483013399</v>
      </c>
      <c r="AL5212">
        <v>89.5849803718678</v>
      </c>
      <c r="AM5212">
        <v>87.120448209539006</v>
      </c>
      <c r="AN5212">
        <v>1.0000000510526901</v>
      </c>
    </row>
    <row r="5213" spans="1:40" x14ac:dyDescent="0.25">
      <c r="A5213" t="str">
        <f>"20190312154941627"</f>
        <v>20190312154941627</v>
      </c>
      <c r="B5213" t="str">
        <f>"1552376981621047"</f>
        <v>1552376981621047</v>
      </c>
      <c r="C5213" t="s">
        <v>40</v>
      </c>
      <c r="D5213">
        <v>4.5337769999999997</v>
      </c>
      <c r="E5213">
        <v>0.43937179999999998</v>
      </c>
      <c r="F5213" t="s">
        <v>42</v>
      </c>
      <c r="G5213">
        <v>-417.79700000000003</v>
      </c>
      <c r="H5213" s="1">
        <v>-3.4425329999999999E-6</v>
      </c>
      <c r="I5213">
        <v>46.746490000000001</v>
      </c>
      <c r="J5213">
        <v>-422.0496</v>
      </c>
      <c r="K5213">
        <v>1.109556</v>
      </c>
      <c r="L5213">
        <v>71.369140000000002</v>
      </c>
      <c r="M5213">
        <v>1.258156E-2</v>
      </c>
      <c r="N5213">
        <v>0</v>
      </c>
      <c r="O5213">
        <v>-0.99982389999999999</v>
      </c>
      <c r="P5213">
        <v>-3.7714589999999999E-2</v>
      </c>
      <c r="Q5213">
        <v>-6.4829240000000002E-3</v>
      </c>
      <c r="R5213">
        <v>-0.99926780000000004</v>
      </c>
      <c r="S5213">
        <v>0.51654049999999996</v>
      </c>
      <c r="T5213">
        <v>-0.13468859999999999</v>
      </c>
      <c r="U5213">
        <v>-3.0203549999999999</v>
      </c>
      <c r="V5213">
        <v>5.0293740000000003E-2</v>
      </c>
      <c r="W5213">
        <v>7.3769059999999999E-3</v>
      </c>
      <c r="X5213">
        <v>0.99870720000000002</v>
      </c>
      <c r="Y5213">
        <v>-0.1559934</v>
      </c>
      <c r="Z5213">
        <v>4.3952980000000003E-2</v>
      </c>
      <c r="AA5213">
        <v>0.98677969999999904</v>
      </c>
      <c r="AB5213">
        <v>26</v>
      </c>
      <c r="AC5213">
        <v>4.2526000000000197</v>
      </c>
      <c r="AD5213">
        <v>-1.109559442533</v>
      </c>
      <c r="AE5213">
        <v>-24.62265</v>
      </c>
      <c r="AF5213">
        <v>-3.9346834820121299</v>
      </c>
      <c r="AG5213">
        <v>-1.109559442533</v>
      </c>
      <c r="AH5213">
        <v>24.625652984356599</v>
      </c>
      <c r="AI5213">
        <v>92.547563505611393</v>
      </c>
      <c r="AJ5213">
        <v>99.077978458387605</v>
      </c>
      <c r="AK5213">
        <v>24.9626849751</v>
      </c>
      <c r="AL5213">
        <v>89.577330576261701</v>
      </c>
      <c r="AM5213">
        <v>87.117086172496698</v>
      </c>
      <c r="AN5213">
        <v>0.99999997517857997</v>
      </c>
    </row>
    <row r="5214" spans="1:40" x14ac:dyDescent="0.25">
      <c r="A5214" t="str">
        <f>"20190312154941648"</f>
        <v>20190312154941648</v>
      </c>
      <c r="B5214" t="str">
        <f>"1552376981641546"</f>
        <v>1552376981641546</v>
      </c>
      <c r="C5214" t="s">
        <v>40</v>
      </c>
      <c r="D5214">
        <v>4.5339400000000003</v>
      </c>
      <c r="E5214">
        <v>0.44947350000000003</v>
      </c>
      <c r="F5214" t="s">
        <v>65</v>
      </c>
      <c r="G5214">
        <v>-417.9794</v>
      </c>
      <c r="H5214" s="1">
        <v>-1.2295780000000001E-6</v>
      </c>
      <c r="I5214">
        <v>38.507530000000003</v>
      </c>
      <c r="J5214">
        <v>-422.0471</v>
      </c>
      <c r="K5214">
        <v>1.109556</v>
      </c>
      <c r="L5214">
        <v>71.120570000000001</v>
      </c>
      <c r="M5214">
        <v>1.195092E-2</v>
      </c>
      <c r="N5214">
        <v>0</v>
      </c>
      <c r="O5214">
        <v>-0.99983149999999998</v>
      </c>
      <c r="P5214">
        <v>-3.8223769999999997E-2</v>
      </c>
      <c r="Q5214">
        <v>-5.9564869999999999E-3</v>
      </c>
      <c r="R5214">
        <v>-0.99925140000000001</v>
      </c>
      <c r="S5214">
        <v>0.37350460000000002</v>
      </c>
      <c r="T5214">
        <v>-0.1018212</v>
      </c>
      <c r="U5214">
        <v>-3.015625</v>
      </c>
      <c r="V5214">
        <v>5.0173309999999999E-2</v>
      </c>
      <c r="W5214">
        <v>7.9009349999999996E-3</v>
      </c>
      <c r="X5214">
        <v>0.99870930000000002</v>
      </c>
      <c r="Y5214">
        <v>-0.11097799999999999</v>
      </c>
      <c r="Z5214">
        <v>3.35096E-2</v>
      </c>
      <c r="AA5214">
        <v>0.99325779999999997</v>
      </c>
      <c r="AB5214">
        <v>26</v>
      </c>
      <c r="AC5214">
        <v>4.0677000000000003</v>
      </c>
      <c r="AD5214">
        <v>-1.1095572295780001</v>
      </c>
      <c r="AE5214">
        <v>-32.613039999999998</v>
      </c>
      <c r="AF5214">
        <v>-3.6734289565389702</v>
      </c>
      <c r="AG5214">
        <v>-1.1095572295780001</v>
      </c>
      <c r="AH5214">
        <v>32.622146613629901</v>
      </c>
      <c r="AI5214">
        <v>91.935790718739</v>
      </c>
      <c r="AJ5214">
        <v>96.424748578714897</v>
      </c>
      <c r="AK5214">
        <v>32.847064514589597</v>
      </c>
      <c r="AL5214">
        <v>89.5473050720191</v>
      </c>
      <c r="AM5214">
        <v>87.123983837117706</v>
      </c>
      <c r="AN5214">
        <v>1.0000000258583499</v>
      </c>
    </row>
    <row r="5215" spans="1:40" x14ac:dyDescent="0.25">
      <c r="A5215" t="str">
        <f>"20190312154941671"</f>
        <v>20190312154941671</v>
      </c>
      <c r="B5215" t="str">
        <f>"1552376981661064"</f>
        <v>1552376981661064</v>
      </c>
      <c r="C5215" t="s">
        <v>40</v>
      </c>
      <c r="D5215">
        <v>4.4860199999999999</v>
      </c>
      <c r="E5215">
        <v>0.45439259999999898</v>
      </c>
      <c r="F5215" t="s">
        <v>65</v>
      </c>
      <c r="G5215">
        <v>-418.98349999999999</v>
      </c>
      <c r="H5215" s="1">
        <v>-3.7793460000000001E-7</v>
      </c>
      <c r="I5215">
        <v>39.427079999999997</v>
      </c>
      <c r="J5215">
        <v>-422.04480000000001</v>
      </c>
      <c r="K5215">
        <v>1.109559</v>
      </c>
      <c r="L5215">
        <v>70.859440000000006</v>
      </c>
      <c r="M5215">
        <v>1.128853E-2</v>
      </c>
      <c r="N5215">
        <v>0</v>
      </c>
      <c r="O5215">
        <v>-0.99983940000000004</v>
      </c>
      <c r="P5215">
        <v>-3.8080099999999999E-2</v>
      </c>
      <c r="Q5215">
        <v>-5.7128730000000003E-3</v>
      </c>
      <c r="R5215">
        <v>-0.99925850000000005</v>
      </c>
      <c r="S5215">
        <v>0.29122920000000002</v>
      </c>
      <c r="T5215">
        <v>-0.105473499999999</v>
      </c>
      <c r="U5215">
        <v>-3.012756</v>
      </c>
      <c r="V5215">
        <v>4.9368309999999999E-2</v>
      </c>
      <c r="W5215">
        <v>8.14316E-3</v>
      </c>
      <c r="X5215">
        <v>0.99874750000000001</v>
      </c>
      <c r="Y5215">
        <v>-8.4915119999999997E-2</v>
      </c>
      <c r="Z5215">
        <v>3.4839920000000003E-2</v>
      </c>
      <c r="AA5215">
        <v>0.99577890000000002</v>
      </c>
      <c r="AB5215">
        <v>26</v>
      </c>
      <c r="AC5215">
        <v>3.0613000000000099</v>
      </c>
      <c r="AD5215">
        <v>-1.1095593779346</v>
      </c>
      <c r="AE5215">
        <v>-31.432359999999999</v>
      </c>
      <c r="AF5215">
        <v>-2.7029089847452599</v>
      </c>
      <c r="AG5215">
        <v>-1.1095593779346</v>
      </c>
      <c r="AH5215">
        <v>31.426126127152799</v>
      </c>
      <c r="AI5215">
        <v>92.014665139780107</v>
      </c>
      <c r="AJ5215">
        <v>94.915817304896393</v>
      </c>
      <c r="AK5215">
        <v>31.561657788409899</v>
      </c>
      <c r="AL5215">
        <v>89.533426169128106</v>
      </c>
      <c r="AM5215">
        <v>87.1701601963439</v>
      </c>
      <c r="AN5215">
        <v>1.0000000549216399</v>
      </c>
    </row>
    <row r="5216" spans="1:40" x14ac:dyDescent="0.25">
      <c r="A5216" t="str">
        <f>"20190312154941693"</f>
        <v>20190312154941693</v>
      </c>
      <c r="B5216" t="str">
        <f>"1552376981681558"</f>
        <v>1552376981681558</v>
      </c>
      <c r="C5216" t="s">
        <v>40</v>
      </c>
      <c r="D5216">
        <v>4.487228</v>
      </c>
      <c r="E5216">
        <v>0.45708470000000001</v>
      </c>
      <c r="F5216" t="s">
        <v>42</v>
      </c>
      <c r="G5216">
        <v>-419.45100000000002</v>
      </c>
      <c r="H5216" s="1">
        <v>-2.5477660000000001E-7</v>
      </c>
      <c r="I5216">
        <v>39.967469999999999</v>
      </c>
      <c r="J5216">
        <v>-422.04270000000002</v>
      </c>
      <c r="K5216">
        <v>1.1095680000000001</v>
      </c>
      <c r="L5216">
        <v>70.599980000000002</v>
      </c>
      <c r="M5216">
        <v>1.0631170000000001E-2</v>
      </c>
      <c r="N5216">
        <v>0</v>
      </c>
      <c r="O5216">
        <v>-0.99984669999999998</v>
      </c>
      <c r="P5216">
        <v>-3.8122700000000002E-2</v>
      </c>
      <c r="Q5216">
        <v>-5.4330840000000004E-3</v>
      </c>
      <c r="R5216">
        <v>-0.99925850000000005</v>
      </c>
      <c r="S5216">
        <v>0.25283810000000001</v>
      </c>
      <c r="T5216">
        <v>-0.10815669999999999</v>
      </c>
      <c r="U5216">
        <v>-3.0112610000000002</v>
      </c>
      <c r="V5216">
        <v>4.8754539999999999E-2</v>
      </c>
      <c r="W5216">
        <v>8.4221019999999903E-3</v>
      </c>
      <c r="X5216">
        <v>0.99877530000000003</v>
      </c>
      <c r="Y5216">
        <v>-7.3016579999999998E-2</v>
      </c>
      <c r="Z5216">
        <v>3.5780439999999997E-2</v>
      </c>
      <c r="AA5216">
        <v>0.99668869999999998</v>
      </c>
      <c r="AB5216">
        <v>26</v>
      </c>
      <c r="AC5216">
        <v>2.5917000000000598</v>
      </c>
      <c r="AD5216">
        <v>-1.1095682547765999</v>
      </c>
      <c r="AE5216">
        <v>-30.63251</v>
      </c>
      <c r="AF5216">
        <v>-2.26291466172058</v>
      </c>
      <c r="AG5216">
        <v>-1.1095682547765999</v>
      </c>
      <c r="AH5216">
        <v>30.618447293906399</v>
      </c>
      <c r="AI5216">
        <v>92.069767871603304</v>
      </c>
      <c r="AJ5216">
        <v>94.226868841810401</v>
      </c>
      <c r="AK5216">
        <v>30.721999270359401</v>
      </c>
      <c r="AL5216">
        <v>89.517443404782796</v>
      </c>
      <c r="AM5216">
        <v>87.205363631287298</v>
      </c>
      <c r="AN5216">
        <v>1.0000000184314</v>
      </c>
    </row>
    <row r="5217" spans="1:40" x14ac:dyDescent="0.25">
      <c r="A5217" t="str">
        <f>"20190312154941717"</f>
        <v>20190312154941717</v>
      </c>
      <c r="B5217" t="str">
        <f>"1552376981711344"</f>
        <v>1552376981711344</v>
      </c>
      <c r="C5217" t="s">
        <v>40</v>
      </c>
      <c r="D5217">
        <v>4.5351059999999999</v>
      </c>
      <c r="E5217">
        <v>0.45931640000000001</v>
      </c>
      <c r="F5217" t="s">
        <v>42</v>
      </c>
      <c r="G5217">
        <v>-419.66809999999998</v>
      </c>
      <c r="H5217" s="1">
        <v>-1.092553E-7</v>
      </c>
      <c r="I5217">
        <v>39.709629999999997</v>
      </c>
      <c r="J5217">
        <v>-422.04059999999998</v>
      </c>
      <c r="K5217">
        <v>1.1095740000000001</v>
      </c>
      <c r="L5217">
        <v>70.332610000000003</v>
      </c>
      <c r="M5217">
        <v>9.9573040000000002E-3</v>
      </c>
      <c r="N5217">
        <v>0</v>
      </c>
      <c r="O5217">
        <v>-0.9998534</v>
      </c>
      <c r="P5217">
        <v>-3.7790829999999997E-2</v>
      </c>
      <c r="Q5217">
        <v>-5.3897850000000002E-3</v>
      </c>
      <c r="R5217">
        <v>-0.99927120000000003</v>
      </c>
      <c r="S5217">
        <v>0.2314148</v>
      </c>
      <c r="T5217">
        <v>-0.1081347</v>
      </c>
      <c r="U5217">
        <v>-3.0104679999999999</v>
      </c>
      <c r="V5217">
        <v>4.7749630000000001E-2</v>
      </c>
      <c r="W5217">
        <v>8.4645380000000006E-3</v>
      </c>
      <c r="X5217">
        <v>0.99882349999999998</v>
      </c>
      <c r="Y5217">
        <v>-6.6662040000000006E-2</v>
      </c>
      <c r="Z5217">
        <v>3.5801109999999997E-2</v>
      </c>
      <c r="AA5217">
        <v>0.99713309999999999</v>
      </c>
      <c r="AB5217">
        <v>26</v>
      </c>
      <c r="AC5217">
        <v>2.3725000000000001</v>
      </c>
      <c r="AD5217">
        <v>-1.1095741092553</v>
      </c>
      <c r="AE5217">
        <v>-30.622979999999998</v>
      </c>
      <c r="AF5217">
        <v>-2.0647359208568901</v>
      </c>
      <c r="AG5217">
        <v>-1.1095741092553</v>
      </c>
      <c r="AH5217">
        <v>30.605147086534402</v>
      </c>
      <c r="AI5217">
        <v>92.071615240975206</v>
      </c>
      <c r="AJ5217">
        <v>93.859535993552001</v>
      </c>
      <c r="AK5217">
        <v>30.6947767106264</v>
      </c>
      <c r="AL5217">
        <v>89.515011919999495</v>
      </c>
      <c r="AM5217">
        <v>87.263008978180395</v>
      </c>
      <c r="AN5217">
        <v>1.0000000298604601</v>
      </c>
    </row>
    <row r="5218" spans="1:40" x14ac:dyDescent="0.25">
      <c r="A5218" t="str">
        <f>"20190312154941739"</f>
        <v>20190312154941739</v>
      </c>
      <c r="B5218" t="str">
        <f>"1552376981730866"</f>
        <v>1552376981730866</v>
      </c>
      <c r="C5218" t="s">
        <v>40</v>
      </c>
      <c r="D5218">
        <v>4.518656</v>
      </c>
      <c r="E5218">
        <v>0.4603216</v>
      </c>
      <c r="F5218" t="s">
        <v>42</v>
      </c>
      <c r="G5218">
        <v>-419.93819999999999</v>
      </c>
      <c r="H5218" s="1">
        <v>-5.2664469999999895E-7</v>
      </c>
      <c r="I5218">
        <v>40.83484</v>
      </c>
      <c r="J5218">
        <v>-422.03879999999998</v>
      </c>
      <c r="K5218">
        <v>1.1095809999999999</v>
      </c>
      <c r="L5218">
        <v>70.078190000000006</v>
      </c>
      <c r="M5218">
        <v>9.3210670000000006E-3</v>
      </c>
      <c r="N5218">
        <v>0</v>
      </c>
      <c r="O5218">
        <v>-0.99985979999999997</v>
      </c>
      <c r="P5218">
        <v>-3.8487769999999998E-2</v>
      </c>
      <c r="Q5218">
        <v>-5.4945460000000003E-3</v>
      </c>
      <c r="R5218">
        <v>-0.99924400000000002</v>
      </c>
      <c r="S5218">
        <v>0.21450810000000001</v>
      </c>
      <c r="T5218">
        <v>-0.11321059999999999</v>
      </c>
      <c r="U5218">
        <v>-3.009674</v>
      </c>
      <c r="V5218">
        <v>4.7810470000000001E-2</v>
      </c>
      <c r="W5218">
        <v>8.3572530000000003E-3</v>
      </c>
      <c r="X5218">
        <v>0.99882139999999997</v>
      </c>
      <c r="Y5218">
        <v>-6.1741039999999997E-2</v>
      </c>
      <c r="Z5218">
        <v>3.7503170000000002E-2</v>
      </c>
      <c r="AA5218">
        <v>0.99738729999999998</v>
      </c>
      <c r="AB5218">
        <v>26</v>
      </c>
      <c r="AC5218">
        <v>2.10059999999998</v>
      </c>
      <c r="AD5218">
        <v>-1.1095815266447</v>
      </c>
      <c r="AE5218">
        <v>-29.24335</v>
      </c>
      <c r="AF5218">
        <v>-1.82528879604662</v>
      </c>
      <c r="AG5218">
        <v>-1.1095815266447</v>
      </c>
      <c r="AH5218">
        <v>29.219810029155202</v>
      </c>
      <c r="AI5218">
        <v>92.170455828096095</v>
      </c>
      <c r="AJ5218">
        <v>93.574480115445994</v>
      </c>
      <c r="AK5218">
        <v>29.297784020180899</v>
      </c>
      <c r="AL5218">
        <v>89.521159070453606</v>
      </c>
      <c r="AM5218">
        <v>87.259521211933503</v>
      </c>
      <c r="AN5218">
        <v>0.99999993690864097</v>
      </c>
    </row>
    <row r="5219" spans="1:40" x14ac:dyDescent="0.25">
      <c r="A5219" t="str">
        <f>"20190312154941761"</f>
        <v>20190312154941761</v>
      </c>
      <c r="B5219" t="str">
        <f>"1552376981751361"</f>
        <v>1552376981751361</v>
      </c>
      <c r="C5219" t="s">
        <v>40</v>
      </c>
      <c r="D5219">
        <v>4.5171039999999998</v>
      </c>
      <c r="E5219">
        <v>0.46110010000000001</v>
      </c>
      <c r="F5219" t="s">
        <v>42</v>
      </c>
      <c r="G5219">
        <v>-420.06779999999998</v>
      </c>
      <c r="H5219" s="1">
        <v>-6.6935349999999999E-7</v>
      </c>
      <c r="I5219">
        <v>41.107320000000001</v>
      </c>
      <c r="J5219">
        <v>-422.03719999999998</v>
      </c>
      <c r="K5219">
        <v>1.1095870000000001</v>
      </c>
      <c r="L5219">
        <v>69.829250000000002</v>
      </c>
      <c r="M5219">
        <v>8.7052750000000002E-3</v>
      </c>
      <c r="N5219">
        <v>0</v>
      </c>
      <c r="O5219">
        <v>-0.99986529999999996</v>
      </c>
      <c r="P5219">
        <v>-3.9544889999999999E-2</v>
      </c>
      <c r="Q5219">
        <v>-5.461367E-3</v>
      </c>
      <c r="R5219">
        <v>-0.99920279999999995</v>
      </c>
      <c r="S5219">
        <v>0.20474239999999999</v>
      </c>
      <c r="T5219">
        <v>-0.1152644</v>
      </c>
      <c r="U5219">
        <v>-3.0095209999999999</v>
      </c>
      <c r="V5219">
        <v>4.8251929999999998E-2</v>
      </c>
      <c r="W5219">
        <v>8.3882469999999997E-3</v>
      </c>
      <c r="X5219">
        <v>0.99880000000000002</v>
      </c>
      <c r="Y5219">
        <v>-5.9136540000000001E-2</v>
      </c>
      <c r="Z5219">
        <v>3.8192120000000003E-2</v>
      </c>
      <c r="AA5219">
        <v>0.99751900000000004</v>
      </c>
      <c r="AB5219">
        <v>26</v>
      </c>
      <c r="AC5219">
        <v>1.9694</v>
      </c>
      <c r="AD5219">
        <v>-1.1095876693535001</v>
      </c>
      <c r="AE5219">
        <v>-28.72193</v>
      </c>
      <c r="AF5219">
        <v>-1.7167187508247199</v>
      </c>
      <c r="AG5219">
        <v>-1.1095876693535001</v>
      </c>
      <c r="AH5219">
        <v>28.6953616840518</v>
      </c>
      <c r="AI5219">
        <v>92.210452584809801</v>
      </c>
      <c r="AJ5219">
        <v>93.423676744193202</v>
      </c>
      <c r="AK5219">
        <v>28.7680741490278</v>
      </c>
      <c r="AL5219">
        <v>89.519383225387102</v>
      </c>
      <c r="AM5219">
        <v>87.234196829449203</v>
      </c>
      <c r="AN5219">
        <v>1.00000002571822</v>
      </c>
    </row>
    <row r="5220" spans="1:40" x14ac:dyDescent="0.25">
      <c r="A5220" t="str">
        <f>"20190312154941783"</f>
        <v>20190312154941783</v>
      </c>
      <c r="B5220" t="str">
        <f>"1552376981770880"</f>
        <v>1552376981770880</v>
      </c>
      <c r="C5220" t="s">
        <v>40</v>
      </c>
      <c r="D5220">
        <v>4.5253019999999999</v>
      </c>
      <c r="E5220">
        <v>0.46171000000000001</v>
      </c>
      <c r="F5220" t="s">
        <v>42</v>
      </c>
      <c r="G5220">
        <v>-420.17160000000001</v>
      </c>
      <c r="H5220" s="1">
        <v>-6.8303840000000003E-7</v>
      </c>
      <c r="I5220">
        <v>41.074840000000002</v>
      </c>
      <c r="J5220">
        <v>-422.03570000000002</v>
      </c>
      <c r="K5220">
        <v>1.10959599999999</v>
      </c>
      <c r="L5220">
        <v>69.576319999999996</v>
      </c>
      <c r="M5220">
        <v>8.0886469999999992E-3</v>
      </c>
      <c r="N5220">
        <v>0</v>
      </c>
      <c r="O5220">
        <v>-0.9998705</v>
      </c>
      <c r="P5220">
        <v>-4.0730139999999998E-2</v>
      </c>
      <c r="Q5220">
        <v>-5.2909810000000002E-3</v>
      </c>
      <c r="R5220">
        <v>-0.99915620000000005</v>
      </c>
      <c r="S5220">
        <v>0.19525149999999999</v>
      </c>
      <c r="T5220">
        <v>-0.1161315</v>
      </c>
      <c r="U5220">
        <v>-3.0094910000000001</v>
      </c>
      <c r="V5220">
        <v>4.8820790000000003E-2</v>
      </c>
      <c r="W5220">
        <v>8.55608699999999E-3</v>
      </c>
      <c r="X5220">
        <v>0.99877090000000002</v>
      </c>
      <c r="Y5220">
        <v>-5.6619919999999997E-2</v>
      </c>
      <c r="Z5220">
        <v>3.8486520000000003E-2</v>
      </c>
      <c r="AA5220">
        <v>0.99765369999999998</v>
      </c>
      <c r="AB5220">
        <v>26</v>
      </c>
      <c r="AC5220">
        <v>1.8641000000000001</v>
      </c>
      <c r="AD5220">
        <v>-1.1095966830384001</v>
      </c>
      <c r="AE5220">
        <v>-28.501479999999901</v>
      </c>
      <c r="AF5220">
        <v>-1.63101678004629</v>
      </c>
      <c r="AG5220">
        <v>-1.1095966830384001</v>
      </c>
      <c r="AH5220">
        <v>28.4726565112393</v>
      </c>
      <c r="AI5220">
        <v>92.228073007275199</v>
      </c>
      <c r="AJ5220">
        <v>93.278526614752593</v>
      </c>
      <c r="AK5220">
        <v>28.540910800863099</v>
      </c>
      <c r="AL5220">
        <v>89.509766341013304</v>
      </c>
      <c r="AM5220">
        <v>87.201559869485294</v>
      </c>
      <c r="AN5220">
        <v>0.99999999342389201</v>
      </c>
    </row>
    <row r="5221" spans="1:40" x14ac:dyDescent="0.25">
      <c r="A5221" t="str">
        <f>"20190312154941805"</f>
        <v>20190312154941805</v>
      </c>
      <c r="B5221" t="str">
        <f>"1552376981801636"</f>
        <v>1552376981801636</v>
      </c>
      <c r="C5221" t="s">
        <v>40</v>
      </c>
      <c r="D5221">
        <v>4.5256780000000001</v>
      </c>
      <c r="E5221">
        <v>0.46247359999999998</v>
      </c>
      <c r="F5221" t="s">
        <v>42</v>
      </c>
      <c r="G5221">
        <v>-420.2518</v>
      </c>
      <c r="H5221" s="1">
        <v>-6.10158E-7</v>
      </c>
      <c r="I5221">
        <v>40.85521</v>
      </c>
      <c r="J5221">
        <v>-422.03429999999997</v>
      </c>
      <c r="K5221">
        <v>1.1096060000000001</v>
      </c>
      <c r="L5221">
        <v>69.322479999999999</v>
      </c>
      <c r="M5221">
        <v>7.4829040000000003E-3</v>
      </c>
      <c r="N5221">
        <v>0</v>
      </c>
      <c r="O5221">
        <v>-0.99987539999999997</v>
      </c>
      <c r="P5221">
        <v>-4.2076130000000003E-2</v>
      </c>
      <c r="Q5221">
        <v>-4.7484390000000001E-3</v>
      </c>
      <c r="R5221">
        <v>-0.99910339999999997</v>
      </c>
      <c r="S5221">
        <v>0.18692020000000001</v>
      </c>
      <c r="T5221">
        <v>-0.1162695</v>
      </c>
      <c r="U5221">
        <v>-3.0095519999999998</v>
      </c>
      <c r="V5221">
        <v>4.9561590000000003E-2</v>
      </c>
      <c r="W5221">
        <v>9.0958459999999994E-3</v>
      </c>
      <c r="X5221">
        <v>0.9987296</v>
      </c>
      <c r="Y5221">
        <v>-5.4472510000000002E-2</v>
      </c>
      <c r="Z5221">
        <v>3.8537340000000003E-2</v>
      </c>
      <c r="AA5221">
        <v>0.99777130000000003</v>
      </c>
      <c r="AB5221">
        <v>26</v>
      </c>
      <c r="AC5221">
        <v>1.78249999999997</v>
      </c>
      <c r="AD5221">
        <v>-1.10960661015799</v>
      </c>
      <c r="AE5221">
        <v>-28.467269999999999</v>
      </c>
      <c r="AF5221">
        <v>-1.56704013525543</v>
      </c>
      <c r="AG5221">
        <v>-1.10960661015799</v>
      </c>
      <c r="AH5221">
        <v>28.4367768519927</v>
      </c>
      <c r="AI5221">
        <v>92.231173209346807</v>
      </c>
      <c r="AJ5221">
        <v>93.154157347795703</v>
      </c>
      <c r="AK5221">
        <v>28.501528368577599</v>
      </c>
      <c r="AL5221">
        <v>89.478839200428396</v>
      </c>
      <c r="AM5221">
        <v>87.159048478466801</v>
      </c>
      <c r="AN5221">
        <v>0.99999994976697004</v>
      </c>
    </row>
    <row r="5222" spans="1:40" x14ac:dyDescent="0.25">
      <c r="A5222" t="str">
        <f>"20190312154941827"</f>
        <v>20190312154941827</v>
      </c>
      <c r="B5222" t="str">
        <f>"1552376981821157"</f>
        <v>1552376981821157</v>
      </c>
      <c r="C5222" t="s">
        <v>40</v>
      </c>
      <c r="D5222">
        <v>4.5733009999999998</v>
      </c>
      <c r="E5222">
        <v>0.46273229999999999</v>
      </c>
      <c r="F5222" t="s">
        <v>42</v>
      </c>
      <c r="G5222">
        <v>-420.34010000000001</v>
      </c>
      <c r="H5222" s="1">
        <v>-4.726586E-7</v>
      </c>
      <c r="I5222">
        <v>40.479970000000002</v>
      </c>
      <c r="J5222">
        <v>-422.03309999999999</v>
      </c>
      <c r="K5222">
        <v>1.1096170000000001</v>
      </c>
      <c r="L5222">
        <v>69.068049999999999</v>
      </c>
      <c r="M5222">
        <v>6.8951660000000003E-3</v>
      </c>
      <c r="N5222">
        <v>0</v>
      </c>
      <c r="O5222">
        <v>-0.99987969999999904</v>
      </c>
      <c r="P5222">
        <v>-4.3192189999999998E-2</v>
      </c>
      <c r="Q5222">
        <v>-4.9095609999999998E-3</v>
      </c>
      <c r="R5222">
        <v>-0.99905480000000002</v>
      </c>
      <c r="S5222">
        <v>0.17678829999999901</v>
      </c>
      <c r="T5222">
        <v>-0.1157823</v>
      </c>
      <c r="U5222">
        <v>-3.0095830000000001</v>
      </c>
      <c r="V5222">
        <v>5.0089750000000002E-2</v>
      </c>
      <c r="W5222">
        <v>8.9327729999999998E-3</v>
      </c>
      <c r="X5222">
        <v>0.99870479999999995</v>
      </c>
      <c r="Y5222">
        <v>-5.1712170000000002E-2</v>
      </c>
      <c r="Z5222">
        <v>3.8382649999999997E-2</v>
      </c>
      <c r="AA5222">
        <v>0.99792409999999998</v>
      </c>
      <c r="AB5222">
        <v>26</v>
      </c>
      <c r="AC5222">
        <v>1.6929999999999801</v>
      </c>
      <c r="AD5222">
        <v>-1.1096174726585999</v>
      </c>
      <c r="AE5222">
        <v>-28.588080000000001</v>
      </c>
      <c r="AF5222">
        <v>-1.49357890860891</v>
      </c>
      <c r="AG5222">
        <v>-1.1096174726585999</v>
      </c>
      <c r="AH5222">
        <v>28.5562046054145</v>
      </c>
      <c r="AI5222">
        <v>92.222206290864094</v>
      </c>
      <c r="AJ5222">
        <v>92.994020481999897</v>
      </c>
      <c r="AK5222">
        <v>28.616758208402501</v>
      </c>
      <c r="AL5222">
        <v>89.488183014989801</v>
      </c>
      <c r="AM5222">
        <v>87.128752695680603</v>
      </c>
      <c r="AN5222">
        <v>1.0000000275157801</v>
      </c>
    </row>
    <row r="5223" spans="1:40" x14ac:dyDescent="0.25">
      <c r="A5223" t="str">
        <f>"20190312154941849"</f>
        <v>20190312154941849</v>
      </c>
      <c r="B5223" t="str">
        <f>"1552376981841652"</f>
        <v>1552376981841652</v>
      </c>
      <c r="C5223" t="s">
        <v>40</v>
      </c>
      <c r="D5223">
        <v>4.5018599999999998</v>
      </c>
      <c r="E5223">
        <v>0.46300720000000001</v>
      </c>
      <c r="F5223" t="s">
        <v>42</v>
      </c>
      <c r="G5223">
        <v>-420.42160000000001</v>
      </c>
      <c r="H5223" s="1">
        <v>-6.3304709999999998E-7</v>
      </c>
      <c r="I5223">
        <v>40.803269999999998</v>
      </c>
      <c r="J5223">
        <v>-422.03199999999998</v>
      </c>
      <c r="K5223">
        <v>1.1096330000000001</v>
      </c>
      <c r="L5223">
        <v>68.817959999999999</v>
      </c>
      <c r="M5223">
        <v>6.3323090000000004E-3</v>
      </c>
      <c r="N5223">
        <v>0</v>
      </c>
      <c r="O5223">
        <v>-0.99988350000000004</v>
      </c>
      <c r="P5223">
        <v>-4.4214400000000001E-2</v>
      </c>
      <c r="Q5223">
        <v>-5.2445979999999996E-3</v>
      </c>
      <c r="R5223">
        <v>-0.99900840000000002</v>
      </c>
      <c r="S5223">
        <v>0.17160029999999901</v>
      </c>
      <c r="T5223">
        <v>-0.1181537</v>
      </c>
      <c r="U5223">
        <v>-3.009674</v>
      </c>
      <c r="V5223">
        <v>5.0548799999999998E-2</v>
      </c>
      <c r="W5223">
        <v>8.5961409999999999E-3</v>
      </c>
      <c r="X5223">
        <v>0.99868460000000003</v>
      </c>
      <c r="Y5223">
        <v>-5.0556339999999998E-2</v>
      </c>
      <c r="Z5223">
        <v>3.9169740000000002E-2</v>
      </c>
      <c r="AA5223">
        <v>0.99795279999999997</v>
      </c>
      <c r="AB5223">
        <v>25</v>
      </c>
      <c r="AC5223">
        <v>1.6103999999999601</v>
      </c>
      <c r="AD5223">
        <v>-1.1096336330470999</v>
      </c>
      <c r="AE5223">
        <v>-28.014690000000002</v>
      </c>
      <c r="AF5223">
        <v>-1.4307157039168701</v>
      </c>
      <c r="AG5223">
        <v>-1.1096336330470999</v>
      </c>
      <c r="AH5223">
        <v>27.980573386199602</v>
      </c>
      <c r="AI5223">
        <v>92.268045242625206</v>
      </c>
      <c r="AJ5223">
        <v>92.9271252286254</v>
      </c>
      <c r="AK5223">
        <v>28.0390927322109</v>
      </c>
      <c r="AL5223">
        <v>89.507471335939897</v>
      </c>
      <c r="AM5223">
        <v>87.102425138100699</v>
      </c>
      <c r="AN5223">
        <v>1.0000000025493401</v>
      </c>
    </row>
    <row r="5224" spans="1:40" x14ac:dyDescent="0.25">
      <c r="A5224" t="str">
        <f>"20190312154941872"</f>
        <v>20190312154941872</v>
      </c>
      <c r="B5224" t="str">
        <f>"1552376981861172"</f>
        <v>1552376981861172</v>
      </c>
      <c r="C5224" t="s">
        <v>40</v>
      </c>
      <c r="D5224">
        <v>4.5009899999999998</v>
      </c>
      <c r="E5224">
        <v>0.4632269</v>
      </c>
      <c r="F5224" t="s">
        <v>42</v>
      </c>
      <c r="G5224">
        <v>-420.48840000000001</v>
      </c>
      <c r="H5224" s="1">
        <v>-6.9903649999999995E-7</v>
      </c>
      <c r="I5224">
        <v>40.91563</v>
      </c>
      <c r="J5224">
        <v>-422.03109999999998</v>
      </c>
      <c r="K5224">
        <v>1.109645</v>
      </c>
      <c r="L5224">
        <v>68.557249999999996</v>
      </c>
      <c r="M5224">
        <v>5.7656309999999898E-3</v>
      </c>
      <c r="N5224">
        <v>0</v>
      </c>
      <c r="O5224">
        <v>-0.99988659999999996</v>
      </c>
      <c r="P5224">
        <v>-4.5223909999999999E-2</v>
      </c>
      <c r="Q5224">
        <v>-5.3117779999999996E-3</v>
      </c>
      <c r="R5224">
        <v>-0.99896269999999998</v>
      </c>
      <c r="S5224">
        <v>0.16650390000000001</v>
      </c>
      <c r="T5224">
        <v>-0.1196927</v>
      </c>
      <c r="U5224">
        <v>-3.009735</v>
      </c>
      <c r="V5224">
        <v>5.0991660000000001E-2</v>
      </c>
      <c r="W5224">
        <v>8.5270009999999993E-3</v>
      </c>
      <c r="X5224">
        <v>0.99866270000000001</v>
      </c>
      <c r="Y5224">
        <v>-4.9435510000000002E-2</v>
      </c>
      <c r="Z5224">
        <v>3.968153E-2</v>
      </c>
      <c r="AA5224">
        <v>0.99798880000000001</v>
      </c>
      <c r="AB5224">
        <v>25</v>
      </c>
      <c r="AC5224">
        <v>1.54269999999996</v>
      </c>
      <c r="AD5224">
        <v>-1.1096456990365</v>
      </c>
      <c r="AE5224">
        <v>-27.64162</v>
      </c>
      <c r="AF5224">
        <v>-1.38106880743189</v>
      </c>
      <c r="AG5224">
        <v>-1.1096456990365</v>
      </c>
      <c r="AH5224">
        <v>27.6057063499347</v>
      </c>
      <c r="AI5224">
        <v>92.298963847346698</v>
      </c>
      <c r="AJ5224">
        <v>92.864027305830007</v>
      </c>
      <c r="AK5224">
        <v>27.662496049833901</v>
      </c>
      <c r="AL5224">
        <v>89.511432921681404</v>
      </c>
      <c r="AM5224">
        <v>87.077019216194998</v>
      </c>
      <c r="AN5224">
        <v>1.0000000237534401</v>
      </c>
    </row>
    <row r="5225" spans="1:40" x14ac:dyDescent="0.25">
      <c r="A5225" t="str">
        <f>"20190312154941894"</f>
        <v>20190312154941894</v>
      </c>
      <c r="B5225" t="str">
        <f>"1552376981890960"</f>
        <v>1552376981890960</v>
      </c>
      <c r="C5225" t="s">
        <v>40</v>
      </c>
      <c r="D5225">
        <v>4.5188670000000002</v>
      </c>
      <c r="E5225">
        <v>0.46352680000000002</v>
      </c>
      <c r="F5225" t="s">
        <v>42</v>
      </c>
      <c r="G5225">
        <v>-420.53429999999997</v>
      </c>
      <c r="H5225" s="1">
        <v>-6.5429670000000002E-7</v>
      </c>
      <c r="I5225">
        <v>40.782890000000002</v>
      </c>
      <c r="J5225">
        <v>-422.03030000000001</v>
      </c>
      <c r="K5225">
        <v>1.1096549999999901</v>
      </c>
      <c r="L5225">
        <v>68.311189999999996</v>
      </c>
      <c r="M5225">
        <v>5.2525289999999997E-3</v>
      </c>
      <c r="N5225">
        <v>0</v>
      </c>
      <c r="O5225">
        <v>-0.99988960000000005</v>
      </c>
      <c r="P5225">
        <v>-4.6029790000000001E-2</v>
      </c>
      <c r="Q5225">
        <v>-5.4972629999999996E-3</v>
      </c>
      <c r="R5225">
        <v>-0.99892479999999995</v>
      </c>
      <c r="S5225">
        <v>0.16220090000000001</v>
      </c>
      <c r="T5225">
        <v>-0.12024899999999999</v>
      </c>
      <c r="U5225">
        <v>-3.009827</v>
      </c>
      <c r="V5225">
        <v>5.1284339999999998E-2</v>
      </c>
      <c r="W5225">
        <v>8.340564E-3</v>
      </c>
      <c r="X5225">
        <v>0.99864920000000001</v>
      </c>
      <c r="Y5225">
        <v>-4.8523429999999999E-2</v>
      </c>
      <c r="Z5225">
        <v>3.9867090000000001E-2</v>
      </c>
      <c r="AA5225">
        <v>0.99802610000000003</v>
      </c>
      <c r="AB5225">
        <v>25</v>
      </c>
      <c r="AC5225">
        <v>1.49600000000003</v>
      </c>
      <c r="AD5225">
        <v>-1.10965565429669</v>
      </c>
      <c r="AE5225">
        <v>-27.528299999999899</v>
      </c>
      <c r="AF5225">
        <v>-1.3491864030560501</v>
      </c>
      <c r="AG5225">
        <v>-1.10965565429669</v>
      </c>
      <c r="AH5225">
        <v>27.491240664806</v>
      </c>
      <c r="AI5225">
        <v>92.308654887357804</v>
      </c>
      <c r="AJ5225">
        <v>92.809648162029006</v>
      </c>
      <c r="AK5225">
        <v>27.546686786464701</v>
      </c>
      <c r="AL5225">
        <v>89.522115312957894</v>
      </c>
      <c r="AM5225">
        <v>87.060231676249799</v>
      </c>
      <c r="AN5225">
        <v>0.999999936598854</v>
      </c>
    </row>
    <row r="5226" spans="1:40" x14ac:dyDescent="0.25">
      <c r="A5226" t="str">
        <f>"20190312154941917"</f>
        <v>20190312154941917</v>
      </c>
      <c r="B5226" t="str">
        <f>"1552376981911457"</f>
        <v>1552376981911457</v>
      </c>
      <c r="C5226" t="s">
        <v>40</v>
      </c>
      <c r="D5226">
        <v>4.4991899999999996</v>
      </c>
      <c r="E5226">
        <v>0.46365810000000002</v>
      </c>
      <c r="F5226" t="s">
        <v>42</v>
      </c>
      <c r="G5226">
        <v>-420.58300000000003</v>
      </c>
      <c r="H5226" s="1">
        <v>-5.8005880000000001E-7</v>
      </c>
      <c r="I5226">
        <v>40.579619999999998</v>
      </c>
      <c r="J5226">
        <v>-422.02949999999998</v>
      </c>
      <c r="K5226">
        <v>1.109672</v>
      </c>
      <c r="L5226">
        <v>68.049589999999995</v>
      </c>
      <c r="M5226">
        <v>4.7346480000000002E-3</v>
      </c>
      <c r="N5226">
        <v>0</v>
      </c>
      <c r="O5226">
        <v>-0.99989240000000001</v>
      </c>
      <c r="P5226">
        <v>-4.6988269999999999E-2</v>
      </c>
      <c r="Q5226">
        <v>-5.3796219999999997E-3</v>
      </c>
      <c r="R5226">
        <v>-0.99888129999999997</v>
      </c>
      <c r="S5226">
        <v>0.15707399999999999</v>
      </c>
      <c r="T5226">
        <v>-0.1204345</v>
      </c>
      <c r="U5226">
        <v>-3.0097960000000001</v>
      </c>
      <c r="V5226">
        <v>5.1725050000000002E-2</v>
      </c>
      <c r="W5226">
        <v>8.4564329999999993E-3</v>
      </c>
      <c r="X5226">
        <v>0.9986256</v>
      </c>
      <c r="Y5226">
        <v>-4.734584E-2</v>
      </c>
      <c r="Z5226">
        <v>3.9931969999999997E-2</v>
      </c>
      <c r="AA5226">
        <v>0.99808010000000003</v>
      </c>
      <c r="AB5226">
        <v>25</v>
      </c>
      <c r="AC5226">
        <v>1.4464999999999499</v>
      </c>
      <c r="AD5226">
        <v>-1.1096725800587901</v>
      </c>
      <c r="AE5226">
        <v>-27.46997</v>
      </c>
      <c r="AF5226">
        <v>-1.31427187723075</v>
      </c>
      <c r="AG5226">
        <v>-1.1096725800587901</v>
      </c>
      <c r="AH5226">
        <v>27.431871162602299</v>
      </c>
      <c r="AI5226">
        <v>92.313811669263899</v>
      </c>
      <c r="AJ5226">
        <v>92.742966167669493</v>
      </c>
      <c r="AK5226">
        <v>27.485746111099498</v>
      </c>
      <c r="AL5226">
        <v>89.515476324062604</v>
      </c>
      <c r="AM5226">
        <v>87.034943831236106</v>
      </c>
      <c r="AN5226">
        <v>1.0000000405159699</v>
      </c>
    </row>
    <row r="5227" spans="1:40" x14ac:dyDescent="0.25">
      <c r="A5227" t="str">
        <f>"20190312154941939"</f>
        <v>20190312154941939</v>
      </c>
      <c r="B5227" t="str">
        <f>"1552376981930976"</f>
        <v>1552376981930976</v>
      </c>
      <c r="C5227" t="s">
        <v>40</v>
      </c>
      <c r="D5227">
        <v>4.4885510000000002</v>
      </c>
      <c r="E5227">
        <v>0.46370339999999999</v>
      </c>
      <c r="F5227" t="s">
        <v>42</v>
      </c>
      <c r="G5227">
        <v>-420.6105</v>
      </c>
      <c r="H5227" s="1">
        <v>-4.4259180000000001E-7</v>
      </c>
      <c r="I5227">
        <v>40.242139999999999</v>
      </c>
      <c r="J5227">
        <v>-422.02890000000002</v>
      </c>
      <c r="K5227">
        <v>1.109691</v>
      </c>
      <c r="L5227">
        <v>67.799589999999995</v>
      </c>
      <c r="M5227">
        <v>4.2678100000000004E-3</v>
      </c>
      <c r="N5227">
        <v>0</v>
      </c>
      <c r="O5227">
        <v>-0.99989430000000001</v>
      </c>
      <c r="P5227">
        <v>-4.7444050000000001E-2</v>
      </c>
      <c r="Q5227">
        <v>-5.1114759999999898E-3</v>
      </c>
      <c r="R5227">
        <v>-0.99886070000000005</v>
      </c>
      <c r="S5227">
        <v>0.15359500000000001</v>
      </c>
      <c r="T5227">
        <v>-0.1201137</v>
      </c>
      <c r="U5227">
        <v>-3.0099490000000002</v>
      </c>
      <c r="V5227">
        <v>5.1714280000000001E-2</v>
      </c>
      <c r="W5227">
        <v>8.7244039999999998E-3</v>
      </c>
      <c r="X5227">
        <v>0.99862379999999995</v>
      </c>
      <c r="Y5227">
        <v>-4.6659220000000001E-2</v>
      </c>
      <c r="Z5227">
        <v>3.9825720000000002E-2</v>
      </c>
      <c r="AA5227">
        <v>0.99811660000000002</v>
      </c>
      <c r="AB5227">
        <v>25</v>
      </c>
      <c r="AC5227">
        <v>1.4184000000000101</v>
      </c>
      <c r="AD5227">
        <v>-1.1096914425918001</v>
      </c>
      <c r="AE5227">
        <v>-27.557449999999999</v>
      </c>
      <c r="AF5227">
        <v>-1.2986654900769401</v>
      </c>
      <c r="AG5227">
        <v>-1.1096914425918001</v>
      </c>
      <c r="AH5227">
        <v>27.518748308675001</v>
      </c>
      <c r="AI5227">
        <v>92.306632522930897</v>
      </c>
      <c r="AJ5227">
        <v>92.701899326887499</v>
      </c>
      <c r="AK5227">
        <v>27.571714774911701</v>
      </c>
      <c r="AL5227">
        <v>89.5001221244883</v>
      </c>
      <c r="AM5227">
        <v>87.035554769222003</v>
      </c>
      <c r="AN5227">
        <v>0.999999987953756</v>
      </c>
    </row>
    <row r="5228" spans="1:40" x14ac:dyDescent="0.25">
      <c r="A5228" t="str">
        <f>"20190312154941961"</f>
        <v>20190312154941961</v>
      </c>
      <c r="B5228" t="str">
        <f>"1552376981951473"</f>
        <v>1552376981951473</v>
      </c>
      <c r="C5228" t="s">
        <v>40</v>
      </c>
      <c r="D5228">
        <v>4.4788730000000001</v>
      </c>
      <c r="E5228">
        <v>0.46379510000000002</v>
      </c>
      <c r="F5228" t="s">
        <v>42</v>
      </c>
      <c r="G5228">
        <v>-420.64080000000001</v>
      </c>
      <c r="H5228" s="1">
        <v>-4.4080659999999999E-7</v>
      </c>
      <c r="I5228">
        <v>40.219209999999997</v>
      </c>
      <c r="J5228">
        <v>-422.0283</v>
      </c>
      <c r="K5228">
        <v>1.109715</v>
      </c>
      <c r="L5228">
        <v>67.551090000000002</v>
      </c>
      <c r="M5228">
        <v>3.8312699999999999E-3</v>
      </c>
      <c r="N5228">
        <v>0</v>
      </c>
      <c r="O5228">
        <v>-0.99989609999999995</v>
      </c>
      <c r="P5228">
        <v>-4.7776899999999997E-2</v>
      </c>
      <c r="Q5228">
        <v>-4.8913259999999997E-3</v>
      </c>
      <c r="R5228">
        <v>-0.99884620000000002</v>
      </c>
      <c r="S5228">
        <v>0.15148929999999999</v>
      </c>
      <c r="T5228">
        <v>-0.1211059</v>
      </c>
      <c r="U5228">
        <v>-3.009979</v>
      </c>
      <c r="V5228">
        <v>5.161077E-2</v>
      </c>
      <c r="W5228">
        <v>8.9451719999999995E-3</v>
      </c>
      <c r="X5228">
        <v>0.99862720000000005</v>
      </c>
      <c r="Y5228">
        <v>-4.6397670000000002E-2</v>
      </c>
      <c r="Z5228">
        <v>4.0154809999999999E-2</v>
      </c>
      <c r="AA5228">
        <v>0.99811570000000005</v>
      </c>
      <c r="AB5228">
        <v>25</v>
      </c>
      <c r="AC5228">
        <v>1.38749999999998</v>
      </c>
      <c r="AD5228">
        <v>-1.1097154408065999</v>
      </c>
      <c r="AE5228">
        <v>-27.331880000000002</v>
      </c>
      <c r="AF5228">
        <v>-1.2806581749307899</v>
      </c>
      <c r="AG5228">
        <v>-1.1097154408065999</v>
      </c>
      <c r="AH5228">
        <v>27.292120835886301</v>
      </c>
      <c r="AI5228">
        <v>92.325844789592196</v>
      </c>
      <c r="AJ5228">
        <v>92.686582140112094</v>
      </c>
      <c r="AK5228">
        <v>27.344677972892601</v>
      </c>
      <c r="AL5228">
        <v>89.487472555043297</v>
      </c>
      <c r="AM5228">
        <v>87.041487831115901</v>
      </c>
      <c r="AN5228">
        <v>0.99999998613097096</v>
      </c>
    </row>
    <row r="5229" spans="1:40" x14ac:dyDescent="0.25">
      <c r="A5229" t="str">
        <f>"20190312154941985"</f>
        <v>20190312154941985</v>
      </c>
      <c r="B5229" t="str">
        <f>"1552376981980752"</f>
        <v>1552376981980752</v>
      </c>
      <c r="C5229" t="s">
        <v>40</v>
      </c>
      <c r="D5229">
        <v>4.4673129999999999</v>
      </c>
      <c r="E5229">
        <v>0.46375650000000002</v>
      </c>
      <c r="F5229" t="s">
        <v>42</v>
      </c>
      <c r="G5229">
        <v>-420.64760000000001</v>
      </c>
      <c r="H5229" s="1">
        <v>-2.6147719999999999E-7</v>
      </c>
      <c r="I5229">
        <v>39.796990000000001</v>
      </c>
      <c r="J5229">
        <v>-422.02780000000001</v>
      </c>
      <c r="K5229">
        <v>1.1097440000000001</v>
      </c>
      <c r="L5229">
        <v>67.288269999999997</v>
      </c>
      <c r="M5229">
        <v>3.398023E-3</v>
      </c>
      <c r="N5229">
        <v>0</v>
      </c>
      <c r="O5229">
        <v>-0.99989779999999995</v>
      </c>
      <c r="P5229">
        <v>-4.8105809999999999E-2</v>
      </c>
      <c r="Q5229">
        <v>-5.2760910000000001E-3</v>
      </c>
      <c r="R5229">
        <v>-0.99882850000000001</v>
      </c>
      <c r="S5229">
        <v>0.14974979999999999</v>
      </c>
      <c r="T5229">
        <v>-0.120353</v>
      </c>
      <c r="U5229">
        <v>-3.01004</v>
      </c>
      <c r="V5229">
        <v>5.1506129999999997E-2</v>
      </c>
      <c r="W5229">
        <v>8.5603789999999999E-3</v>
      </c>
      <c r="X5229">
        <v>0.99863599999999997</v>
      </c>
      <c r="Y5229">
        <v>-4.6254620000000003E-2</v>
      </c>
      <c r="Z5229">
        <v>3.990556E-2</v>
      </c>
      <c r="AA5229">
        <v>0.99813229999999997</v>
      </c>
      <c r="AB5229">
        <v>25</v>
      </c>
      <c r="AC5229">
        <v>1.3802000000000001</v>
      </c>
      <c r="AD5229">
        <v>-1.1097442614772</v>
      </c>
      <c r="AE5229">
        <v>-27.49128</v>
      </c>
      <c r="AF5229">
        <v>-1.28467889140063</v>
      </c>
      <c r="AG5229">
        <v>-1.1097442614772</v>
      </c>
      <c r="AH5229">
        <v>27.4511922476044</v>
      </c>
      <c r="AI5229">
        <v>92.312455429936804</v>
      </c>
      <c r="AJ5229">
        <v>92.679410521373697</v>
      </c>
      <c r="AK5229">
        <v>27.503634087058899</v>
      </c>
      <c r="AL5229">
        <v>89.509520427143698</v>
      </c>
      <c r="AM5229">
        <v>87.047501514220798</v>
      </c>
      <c r="AN5229">
        <v>1.0000000110061</v>
      </c>
    </row>
    <row r="5230" spans="1:40" x14ac:dyDescent="0.25">
      <c r="A5230" t="str">
        <f>"20190312154942007"</f>
        <v>20190312154942007</v>
      </c>
      <c r="B5230" t="str">
        <f>"1552376982000778"</f>
        <v>1552376982000778</v>
      </c>
      <c r="C5230" t="s">
        <v>40</v>
      </c>
      <c r="D5230">
        <v>4.4803319999999998</v>
      </c>
      <c r="E5230">
        <v>0.4500847</v>
      </c>
      <c r="F5230" t="s">
        <v>42</v>
      </c>
      <c r="G5230">
        <v>-420.67590000000001</v>
      </c>
      <c r="H5230" s="1">
        <v>-3.3305690000000002E-7</v>
      </c>
      <c r="I5230">
        <v>39.946260000000002</v>
      </c>
      <c r="J5230">
        <v>-422.02749999999997</v>
      </c>
      <c r="K5230">
        <v>1.109761</v>
      </c>
      <c r="L5230">
        <v>67.039519999999996</v>
      </c>
      <c r="M5230">
        <v>3.0175139999999998E-3</v>
      </c>
      <c r="N5230">
        <v>0</v>
      </c>
      <c r="O5230">
        <v>-0.99989910000000004</v>
      </c>
      <c r="P5230">
        <v>-4.8136959999999999E-2</v>
      </c>
      <c r="Q5230">
        <v>-5.4584439999999998E-3</v>
      </c>
      <c r="R5230">
        <v>-0.99882599999999999</v>
      </c>
      <c r="S5230">
        <v>0.1488342</v>
      </c>
      <c r="T5230">
        <v>-0.1221713</v>
      </c>
      <c r="U5230">
        <v>-3.0100709999999999</v>
      </c>
      <c r="V5230">
        <v>5.1156710000000001E-2</v>
      </c>
      <c r="W5230">
        <v>8.3777560000000001E-3</v>
      </c>
      <c r="X5230">
        <v>0.99865550000000003</v>
      </c>
      <c r="Y5230">
        <v>-4.6330209999999997E-2</v>
      </c>
      <c r="Z5230">
        <v>4.0507370000000001E-2</v>
      </c>
      <c r="AA5230">
        <v>0.99810449999999995</v>
      </c>
      <c r="AB5230">
        <v>25</v>
      </c>
      <c r="AC5230">
        <v>1.3515999999999599</v>
      </c>
      <c r="AD5230">
        <v>-1.1097613330568901</v>
      </c>
      <c r="AE5230">
        <v>-27.093259999999901</v>
      </c>
      <c r="AF5230">
        <v>-1.2677100101913401</v>
      </c>
      <c r="AG5230">
        <v>-1.1097613330568901</v>
      </c>
      <c r="AH5230">
        <v>27.0519407928739</v>
      </c>
      <c r="AI5230">
        <v>92.346575501980993</v>
      </c>
      <c r="AJ5230">
        <v>92.683036090681696</v>
      </c>
      <c r="AK5230">
        <v>27.104356837000299</v>
      </c>
      <c r="AL5230">
        <v>89.519984324999896</v>
      </c>
      <c r="AM5230">
        <v>87.067553482507094</v>
      </c>
      <c r="AN5230">
        <v>1.0000000017269299</v>
      </c>
    </row>
    <row r="5231" spans="1:40" x14ac:dyDescent="0.25">
      <c r="A5231" t="str">
        <f>"20190312154942029"</f>
        <v>20190312154942029</v>
      </c>
      <c r="B5231" t="str">
        <f>"1552376982021275"</f>
        <v>1552376982021275</v>
      </c>
      <c r="C5231" t="s">
        <v>40</v>
      </c>
      <c r="D5231">
        <v>4.4763760000000001</v>
      </c>
      <c r="E5231">
        <v>0.44987159999999898</v>
      </c>
      <c r="F5231" t="s">
        <v>65</v>
      </c>
      <c r="G5231">
        <v>-419.34399999999999</v>
      </c>
      <c r="H5231" s="1">
        <v>-2.7372350000000001E-6</v>
      </c>
      <c r="I5231">
        <v>35.564430000000002</v>
      </c>
      <c r="J5231">
        <v>-422.02719999999999</v>
      </c>
      <c r="K5231">
        <v>1.1097760000000001</v>
      </c>
      <c r="L5231">
        <v>66.796080000000003</v>
      </c>
      <c r="M5231">
        <v>2.6674590000000001E-3</v>
      </c>
      <c r="N5231">
        <v>0</v>
      </c>
      <c r="O5231">
        <v>-0.99990009999999996</v>
      </c>
      <c r="P5231">
        <v>-4.869246E-2</v>
      </c>
      <c r="Q5231">
        <v>-5.5216619999999897E-3</v>
      </c>
      <c r="R5231">
        <v>-0.99879870000000004</v>
      </c>
      <c r="S5231">
        <v>0.25708009999999998</v>
      </c>
      <c r="T5231">
        <v>-0.1063156</v>
      </c>
      <c r="U5231">
        <v>-3.01532</v>
      </c>
      <c r="V5231">
        <v>5.1362129999999999E-2</v>
      </c>
      <c r="W5231">
        <v>8.3138629999999995E-3</v>
      </c>
      <c r="X5231">
        <v>0.99864549999999996</v>
      </c>
      <c r="Y5231">
        <v>-8.2239049999999994E-2</v>
      </c>
      <c r="Z5231">
        <v>3.5113110000000003E-2</v>
      </c>
      <c r="AA5231">
        <v>0.99599389999999999</v>
      </c>
      <c r="AB5231">
        <v>25</v>
      </c>
      <c r="AC5231">
        <v>2.6831999999999998</v>
      </c>
      <c r="AD5231">
        <v>-1.1097787372350001</v>
      </c>
      <c r="AE5231">
        <v>-31.231649999999998</v>
      </c>
      <c r="AF5231">
        <v>-2.5966186813697298</v>
      </c>
      <c r="AG5231">
        <v>-1.1097787372350001</v>
      </c>
      <c r="AH5231">
        <v>31.199591360426201</v>
      </c>
      <c r="AI5231">
        <v>92.030156044870694</v>
      </c>
      <c r="AJ5231">
        <v>94.757537020471602</v>
      </c>
      <c r="AK5231">
        <v>31.327121452179998</v>
      </c>
      <c r="AL5231">
        <v>89.523645256480805</v>
      </c>
      <c r="AM5231">
        <v>87.055769476481203</v>
      </c>
      <c r="AN5231">
        <v>1.00000001169318</v>
      </c>
    </row>
    <row r="5232" spans="1:40" x14ac:dyDescent="0.25">
      <c r="A5232" t="str">
        <f>"20190312154942050"</f>
        <v>20190312154942050</v>
      </c>
      <c r="B5232" t="str">
        <f>"1552376982040795"</f>
        <v>1552376982040795</v>
      </c>
      <c r="C5232" t="s">
        <v>40</v>
      </c>
      <c r="D5232">
        <v>4.4766839999999997</v>
      </c>
      <c r="E5232">
        <v>0.44950040000000002</v>
      </c>
      <c r="F5232" t="s">
        <v>65</v>
      </c>
      <c r="G5232">
        <v>-419.09280000000001</v>
      </c>
      <c r="H5232" s="1">
        <v>-4.5392069999999997E-6</v>
      </c>
      <c r="I5232">
        <v>32.31841</v>
      </c>
      <c r="J5232">
        <v>-422.02690000000001</v>
      </c>
      <c r="K5232">
        <v>1.109793</v>
      </c>
      <c r="L5232">
        <v>66.546109999999999</v>
      </c>
      <c r="M5232">
        <v>2.3249329999999999E-3</v>
      </c>
      <c r="N5232">
        <v>0</v>
      </c>
      <c r="O5232">
        <v>-0.99990100000000004</v>
      </c>
      <c r="P5232">
        <v>-4.9187950000000001E-2</v>
      </c>
      <c r="Q5232">
        <v>-5.3894340000000002E-3</v>
      </c>
      <c r="R5232">
        <v>-0.99877519999999997</v>
      </c>
      <c r="S5232">
        <v>0.25665280000000001</v>
      </c>
      <c r="T5232">
        <v>-9.7067120000000007E-2</v>
      </c>
      <c r="U5232">
        <v>-3.0155940000000001</v>
      </c>
      <c r="V5232">
        <v>5.151526E-2</v>
      </c>
      <c r="W5232">
        <v>8.4445119999999995E-3</v>
      </c>
      <c r="X5232">
        <v>0.99863650000000004</v>
      </c>
      <c r="Y5232">
        <v>-8.244137E-2</v>
      </c>
      <c r="Z5232">
        <v>3.2058950000000003E-2</v>
      </c>
      <c r="AA5232">
        <v>0.99608019999999997</v>
      </c>
      <c r="AB5232">
        <v>25</v>
      </c>
      <c r="AC5232">
        <v>2.9340999999999999</v>
      </c>
      <c r="AD5232">
        <v>-1.1097975392070001</v>
      </c>
      <c r="AE5232">
        <v>-34.227699999999999</v>
      </c>
      <c r="AF5232">
        <v>-2.85153131210846</v>
      </c>
      <c r="AG5232">
        <v>-1.1097975392070001</v>
      </c>
      <c r="AH5232">
        <v>34.198738412039098</v>
      </c>
      <c r="AI5232">
        <v>91.852253820968599</v>
      </c>
      <c r="AJ5232">
        <v>94.766364433294498</v>
      </c>
      <c r="AK5232">
        <v>34.335354816530497</v>
      </c>
      <c r="AL5232">
        <v>89.516159349612806</v>
      </c>
      <c r="AM5232">
        <v>87.046980555159095</v>
      </c>
      <c r="AN5232">
        <v>0.99999999546401797</v>
      </c>
    </row>
    <row r="5233" spans="1:40" x14ac:dyDescent="0.25">
      <c r="A5233" t="str">
        <f>"20190312154942073"</f>
        <v>20190312154942073</v>
      </c>
      <c r="B5233" t="str">
        <f>"1552376982061292"</f>
        <v>1552376982061292</v>
      </c>
      <c r="C5233" t="s">
        <v>40</v>
      </c>
      <c r="D5233">
        <v>4.4793409999999998</v>
      </c>
      <c r="E5233">
        <v>0.44937009999999999</v>
      </c>
      <c r="F5233" t="s">
        <v>65</v>
      </c>
      <c r="G5233">
        <v>-418.95409999999998</v>
      </c>
      <c r="H5233" s="1">
        <v>-5.41300899999999E-6</v>
      </c>
      <c r="I5233">
        <v>30.663889999999999</v>
      </c>
      <c r="J5233">
        <v>-422.02670000000001</v>
      </c>
      <c r="K5233">
        <v>1.1098030000000001</v>
      </c>
      <c r="L5233">
        <v>66.290309999999906</v>
      </c>
      <c r="M5233">
        <v>1.9884400000000002E-3</v>
      </c>
      <c r="N5233">
        <v>0</v>
      </c>
      <c r="O5233">
        <v>-0.9999017</v>
      </c>
      <c r="P5233">
        <v>-4.9861089999999997E-2</v>
      </c>
      <c r="Q5233">
        <v>-5.494194E-3</v>
      </c>
      <c r="R5233">
        <v>-0.9987412</v>
      </c>
      <c r="S5233">
        <v>0.25827030000000001</v>
      </c>
      <c r="T5233">
        <v>-9.3278529999999998E-2</v>
      </c>
      <c r="U5233">
        <v>-3.0158999999999998</v>
      </c>
      <c r="V5233">
        <v>5.1851969999999997E-2</v>
      </c>
      <c r="W5233">
        <v>8.3377030000000001E-3</v>
      </c>
      <c r="X5233">
        <v>0.99861999999999995</v>
      </c>
      <c r="Y5233">
        <v>-8.3301899999999901E-2</v>
      </c>
      <c r="Z5233">
        <v>3.080401E-2</v>
      </c>
      <c r="AA5233">
        <v>0.99604820000000005</v>
      </c>
      <c r="AB5233">
        <v>25</v>
      </c>
      <c r="AC5233">
        <v>3.07260000000002</v>
      </c>
      <c r="AD5233">
        <v>-1.109808413009</v>
      </c>
      <c r="AE5233">
        <v>-35.626419999999897</v>
      </c>
      <c r="AF5233">
        <v>-2.99885749052368</v>
      </c>
      <c r="AG5233">
        <v>-1.109808413009</v>
      </c>
      <c r="AH5233">
        <v>35.598170342305899</v>
      </c>
      <c r="AI5233">
        <v>91.779376001992205</v>
      </c>
      <c r="AJ5233">
        <v>94.815335786108506</v>
      </c>
      <c r="AK5233">
        <v>35.7414962289198</v>
      </c>
      <c r="AL5233">
        <v>89.522279283763396</v>
      </c>
      <c r="AM5233">
        <v>87.027664736370198</v>
      </c>
      <c r="AN5233">
        <v>1.0000000242420899</v>
      </c>
    </row>
    <row r="5234" spans="1:40" x14ac:dyDescent="0.25">
      <c r="A5234" t="str">
        <f>"20190312154942095"</f>
        <v>20190312154942095</v>
      </c>
      <c r="B5234" t="str">
        <f>"1552376982091547"</f>
        <v>1552376982091547</v>
      </c>
      <c r="C5234" t="s">
        <v>40</v>
      </c>
      <c r="D5234">
        <v>4.5062790000000001</v>
      </c>
      <c r="E5234">
        <v>0.44929619999999998</v>
      </c>
      <c r="F5234" t="s">
        <v>65</v>
      </c>
      <c r="G5234">
        <v>-418.97449999999998</v>
      </c>
      <c r="H5234" s="1">
        <v>-5.5274620000000002E-6</v>
      </c>
      <c r="I5234">
        <v>30.430389999999999</v>
      </c>
      <c r="J5234">
        <v>-422.02659999999997</v>
      </c>
      <c r="K5234">
        <v>1.1098159999999999</v>
      </c>
      <c r="L5234">
        <v>66.043639999999996</v>
      </c>
      <c r="M5234">
        <v>1.674984E-3</v>
      </c>
      <c r="N5234">
        <v>0</v>
      </c>
      <c r="O5234">
        <v>-0.99990219999999996</v>
      </c>
      <c r="P5234">
        <v>-5.0198720000000002E-2</v>
      </c>
      <c r="Q5234">
        <v>-5.75539E-3</v>
      </c>
      <c r="R5234">
        <v>-0.99872249999999996</v>
      </c>
      <c r="S5234">
        <v>0.25671389999999999</v>
      </c>
      <c r="T5234">
        <v>-9.3343019999999999E-2</v>
      </c>
      <c r="U5234">
        <v>-3.0160830000000001</v>
      </c>
      <c r="V5234">
        <v>5.1876199999999997E-2</v>
      </c>
      <c r="W5234">
        <v>8.0745000000000001E-3</v>
      </c>
      <c r="X5234">
        <v>0.99862090000000003</v>
      </c>
      <c r="Y5234">
        <v>-8.3098839999999993E-2</v>
      </c>
      <c r="Z5234">
        <v>3.082439E-2</v>
      </c>
      <c r="AA5234">
        <v>0.99606450000000002</v>
      </c>
      <c r="AB5234">
        <v>25</v>
      </c>
      <c r="AC5234">
        <v>3.05209999999999</v>
      </c>
      <c r="AD5234">
        <v>-1.109821527462</v>
      </c>
      <c r="AE5234">
        <v>-35.613249999999901</v>
      </c>
      <c r="AF5234">
        <v>-2.98955622543957</v>
      </c>
      <c r="AG5234">
        <v>-1.109821527462</v>
      </c>
      <c r="AH5234">
        <v>35.584007554585597</v>
      </c>
      <c r="AI5234">
        <v>91.780138639417501</v>
      </c>
      <c r="AJ5234">
        <v>94.802372131606006</v>
      </c>
      <c r="AK5234">
        <v>35.726611144813099</v>
      </c>
      <c r="AL5234">
        <v>89.537360210224094</v>
      </c>
      <c r="AM5234">
        <v>87.026280956116594</v>
      </c>
      <c r="AN5234">
        <v>1.00000001979674</v>
      </c>
    </row>
    <row r="5235" spans="1:40" x14ac:dyDescent="0.25">
      <c r="A5235" t="str">
        <f>"20190312154942118"</f>
        <v>20190312154942118</v>
      </c>
      <c r="B5235" t="str">
        <f>"1552376982111067"</f>
        <v>1552376982111067</v>
      </c>
      <c r="C5235" t="s">
        <v>40</v>
      </c>
      <c r="D5235">
        <v>4.5203139999999999</v>
      </c>
      <c r="E5235">
        <v>0.44916010000000001</v>
      </c>
      <c r="F5235" t="s">
        <v>65</v>
      </c>
      <c r="G5235">
        <v>-419.10879999999997</v>
      </c>
      <c r="H5235" s="1">
        <v>-4.8030020000000001E-6</v>
      </c>
      <c r="I5235">
        <v>31.793769999999999</v>
      </c>
      <c r="J5235">
        <v>-422.0265</v>
      </c>
      <c r="K5235">
        <v>1.10982</v>
      </c>
      <c r="L5235">
        <v>65.784180000000006</v>
      </c>
      <c r="M5235">
        <v>1.3541289999999999E-3</v>
      </c>
      <c r="N5235">
        <v>0</v>
      </c>
      <c r="O5235">
        <v>-0.99990290000000004</v>
      </c>
      <c r="P5235">
        <v>-5.0320480000000001E-2</v>
      </c>
      <c r="Q5235">
        <v>-5.661775E-3</v>
      </c>
      <c r="R5235">
        <v>-0.99871710000000002</v>
      </c>
      <c r="S5235">
        <v>0.25695800000000002</v>
      </c>
      <c r="T5235">
        <v>-9.7736000000000003E-2</v>
      </c>
      <c r="U5235">
        <v>-3.0162049999999998</v>
      </c>
      <c r="V5235">
        <v>5.1677389999999997E-2</v>
      </c>
      <c r="W5235">
        <v>8.1660480000000004E-3</v>
      </c>
      <c r="X5235">
        <v>0.99863049999999998</v>
      </c>
      <c r="Y5235">
        <v>-8.3491360000000001E-2</v>
      </c>
      <c r="Z5235">
        <v>3.2271670000000002E-2</v>
      </c>
      <c r="AA5235">
        <v>0.99598580000000003</v>
      </c>
      <c r="AB5235">
        <v>25</v>
      </c>
      <c r="AC5235">
        <v>2.9177000000000199</v>
      </c>
      <c r="AD5235">
        <v>-1.1098248030019999</v>
      </c>
      <c r="AE5235">
        <v>-33.990409999999997</v>
      </c>
      <c r="AF5235">
        <v>-2.86862963357318</v>
      </c>
      <c r="AG5235">
        <v>-1.1098248030019999</v>
      </c>
      <c r="AH5235">
        <v>33.958392072302601</v>
      </c>
      <c r="AI5235">
        <v>91.865230132563198</v>
      </c>
      <c r="AJ5235">
        <v>94.828587809818998</v>
      </c>
      <c r="AK5235">
        <v>34.097406634584303</v>
      </c>
      <c r="AL5235">
        <v>89.532114740417796</v>
      </c>
      <c r="AM5235">
        <v>87.037685505942505</v>
      </c>
      <c r="AN5235">
        <v>1.0000000562536899</v>
      </c>
    </row>
    <row r="5236" spans="1:40" x14ac:dyDescent="0.25">
      <c r="A5236" t="str">
        <f>"20190312154942141"</f>
        <v>20190312154942141</v>
      </c>
      <c r="B5236" t="str">
        <f>"1552376982131563"</f>
        <v>1552376982131563</v>
      </c>
      <c r="C5236" t="s">
        <v>40</v>
      </c>
      <c r="D5236">
        <v>4.5432249999999996</v>
      </c>
      <c r="E5236">
        <v>0.4489243</v>
      </c>
      <c r="F5236" t="s">
        <v>65</v>
      </c>
      <c r="G5236">
        <v>-419.09739999999999</v>
      </c>
      <c r="H5236" s="1">
        <v>-4.9747330000000003E-6</v>
      </c>
      <c r="I5236">
        <v>31.461690000000001</v>
      </c>
      <c r="J5236">
        <v>-422.02659999999997</v>
      </c>
      <c r="K5236">
        <v>1.1098220000000001</v>
      </c>
      <c r="L5236">
        <v>65.536559999999994</v>
      </c>
      <c r="M5236">
        <v>1.054162E-3</v>
      </c>
      <c r="N5236">
        <v>0</v>
      </c>
      <c r="O5236">
        <v>-0.99990330000000005</v>
      </c>
      <c r="P5236">
        <v>-5.0199969999999997E-2</v>
      </c>
      <c r="Q5236">
        <v>-6.1744640000000002E-3</v>
      </c>
      <c r="R5236">
        <v>-0.99872019999999995</v>
      </c>
      <c r="S5236">
        <v>0.25741579999999997</v>
      </c>
      <c r="T5236">
        <v>-9.7531560000000003E-2</v>
      </c>
      <c r="U5236">
        <v>-3.0162659999999999</v>
      </c>
      <c r="V5236">
        <v>5.1256900000000001E-2</v>
      </c>
      <c r="W5236">
        <v>7.6525109999999999E-3</v>
      </c>
      <c r="X5236">
        <v>0.99865619999999999</v>
      </c>
      <c r="Y5236">
        <v>-8.3938860000000004E-2</v>
      </c>
      <c r="Z5236">
        <v>3.2202799999999997E-2</v>
      </c>
      <c r="AA5236">
        <v>0.99595040000000001</v>
      </c>
      <c r="AB5236">
        <v>25</v>
      </c>
      <c r="AC5236">
        <v>2.9291999999999798</v>
      </c>
      <c r="AD5236">
        <v>-1.1098269747329901</v>
      </c>
      <c r="AE5236">
        <v>-34.074869999999898</v>
      </c>
      <c r="AF5236">
        <v>-2.89023095815089</v>
      </c>
      <c r="AG5236">
        <v>-1.1098269747329901</v>
      </c>
      <c r="AH5236">
        <v>34.0420915488112</v>
      </c>
      <c r="AI5236">
        <v>91.860584213280006</v>
      </c>
      <c r="AJ5236">
        <v>94.852870286152907</v>
      </c>
      <c r="AK5236">
        <v>34.182585448191901</v>
      </c>
      <c r="AL5236">
        <v>89.561539145512498</v>
      </c>
      <c r="AM5236">
        <v>87.061822419330497</v>
      </c>
      <c r="AN5236">
        <v>1.0000000182603199</v>
      </c>
    </row>
    <row r="5237" spans="1:40" x14ac:dyDescent="0.25">
      <c r="A5237" t="str">
        <f>"20190312154942174"</f>
        <v>20190312154942174</v>
      </c>
      <c r="B5237" t="str">
        <f>"1552376982160842"</f>
        <v>1552376982160842</v>
      </c>
      <c r="C5237" t="s">
        <v>40</v>
      </c>
      <c r="D5237">
        <v>4.5271030000000003</v>
      </c>
      <c r="E5237">
        <v>0.4486058</v>
      </c>
      <c r="F5237" t="s">
        <v>65</v>
      </c>
      <c r="G5237">
        <v>-419.16590000000002</v>
      </c>
      <c r="H5237" s="1">
        <v>-4.5164550000000001E-6</v>
      </c>
      <c r="I5237">
        <v>32.33128</v>
      </c>
      <c r="J5237">
        <v>-422.02670000000001</v>
      </c>
      <c r="K5237">
        <v>1.1098269999999999</v>
      </c>
      <c r="L5237">
        <v>65.166560000000004</v>
      </c>
      <c r="M5237">
        <v>6.1394689999999996E-4</v>
      </c>
      <c r="N5237">
        <v>0</v>
      </c>
      <c r="O5237">
        <v>-0.9999036</v>
      </c>
      <c r="P5237">
        <v>-4.9978649999999999E-2</v>
      </c>
      <c r="Q5237">
        <v>-6.7709129999999999E-3</v>
      </c>
      <c r="R5237">
        <v>-0.99872709999999998</v>
      </c>
      <c r="S5237">
        <v>0.25985720000000001</v>
      </c>
      <c r="T5237">
        <v>-0.10081420000000001</v>
      </c>
      <c r="U5237">
        <v>-3.0162960000000001</v>
      </c>
      <c r="V5237">
        <v>5.0595479999999998E-2</v>
      </c>
      <c r="W5237">
        <v>7.0531419999999897E-3</v>
      </c>
      <c r="X5237">
        <v>0.99869430000000003</v>
      </c>
      <c r="Y5237">
        <v>-8.5173830000000006E-2</v>
      </c>
      <c r="Z5237">
        <v>3.3282249999999999E-2</v>
      </c>
      <c r="AA5237">
        <v>0.99581010000000003</v>
      </c>
      <c r="AB5237">
        <v>25</v>
      </c>
      <c r="AC5237">
        <v>2.8607999999999798</v>
      </c>
      <c r="AD5237">
        <v>-1.1098315164549999</v>
      </c>
      <c r="AE5237">
        <v>-32.835279999999997</v>
      </c>
      <c r="AF5237">
        <v>-2.8374212457804102</v>
      </c>
      <c r="AG5237">
        <v>-1.1098315164549999</v>
      </c>
      <c r="AH5237">
        <v>32.799840874398697</v>
      </c>
      <c r="AI5237">
        <v>91.930743360036203</v>
      </c>
      <c r="AJ5237">
        <v>94.944186710495998</v>
      </c>
      <c r="AK5237">
        <v>32.941041979676399</v>
      </c>
      <c r="AL5237">
        <v>89.595881371201997</v>
      </c>
      <c r="AM5237">
        <v>87.0997820192445</v>
      </c>
      <c r="AN5237">
        <v>0.99999997713049604</v>
      </c>
    </row>
    <row r="5238" spans="1:40" x14ac:dyDescent="0.25">
      <c r="A5238" t="str">
        <f>"20190312154942196"</f>
        <v>20190312154942196</v>
      </c>
      <c r="B5238" t="str">
        <f>"1552376982191099"</f>
        <v>1552376982191099</v>
      </c>
      <c r="C5238" t="s">
        <v>40</v>
      </c>
      <c r="D5238">
        <v>4.537871</v>
      </c>
      <c r="E5238">
        <v>0.44824760000000002</v>
      </c>
      <c r="F5238" t="s">
        <v>65</v>
      </c>
      <c r="G5238">
        <v>-419.20609999999999</v>
      </c>
      <c r="H5238" s="1">
        <v>-4.2517000000000003E-6</v>
      </c>
      <c r="I5238">
        <v>32.833350000000003</v>
      </c>
      <c r="J5238">
        <v>-422.02690000000001</v>
      </c>
      <c r="K5238">
        <v>1.109826</v>
      </c>
      <c r="L5238">
        <v>64.910640000000001</v>
      </c>
      <c r="M5238">
        <v>3.1371909999999999E-4</v>
      </c>
      <c r="N5238">
        <v>0</v>
      </c>
      <c r="O5238">
        <v>-0.99990400000000002</v>
      </c>
      <c r="P5238">
        <v>-5.0174940000000001E-2</v>
      </c>
      <c r="Q5238">
        <v>-6.0216810000000001E-3</v>
      </c>
      <c r="R5238">
        <v>-0.99872240000000001</v>
      </c>
      <c r="S5238">
        <v>0.26312259999999998</v>
      </c>
      <c r="T5238">
        <v>-0.10353370000000001</v>
      </c>
      <c r="U5238">
        <v>-3.0162960000000001</v>
      </c>
      <c r="V5238">
        <v>5.0492240000000001E-2</v>
      </c>
      <c r="W5238">
        <v>7.8003250000000003E-3</v>
      </c>
      <c r="X5238">
        <v>0.99869399999999997</v>
      </c>
      <c r="Y5238">
        <v>-8.6540300000000001E-2</v>
      </c>
      <c r="Z5238">
        <v>3.4175419999999998E-2</v>
      </c>
      <c r="AA5238">
        <v>0.99566200000000005</v>
      </c>
      <c r="AB5238">
        <v>25</v>
      </c>
      <c r="AC5238">
        <v>2.8208000000000202</v>
      </c>
      <c r="AD5238">
        <v>-1.1098302517</v>
      </c>
      <c r="AE5238">
        <v>-32.077289999999998</v>
      </c>
      <c r="AF5238">
        <v>-2.8074007838807402</v>
      </c>
      <c r="AG5238">
        <v>-1.1098302517</v>
      </c>
      <c r="AH5238">
        <v>32.040113659612999</v>
      </c>
      <c r="AI5238">
        <v>91.976296382640299</v>
      </c>
      <c r="AJ5238">
        <v>95.007549456687897</v>
      </c>
      <c r="AK5238">
        <v>32.182015251842799</v>
      </c>
      <c r="AL5238">
        <v>89.553069770141605</v>
      </c>
      <c r="AM5238">
        <v>87.105688969077093</v>
      </c>
      <c r="AN5238">
        <v>1.00000000850316</v>
      </c>
    </row>
    <row r="5239" spans="1:40" x14ac:dyDescent="0.25">
      <c r="A5239" t="str">
        <f>"20190312154942218"</f>
        <v>20190312154942218</v>
      </c>
      <c r="B5239" t="str">
        <f>"1552376982210619"</f>
        <v>1552376982210619</v>
      </c>
      <c r="C5239" t="s">
        <v>40</v>
      </c>
      <c r="D5239">
        <v>4.578341</v>
      </c>
      <c r="E5239">
        <v>0.44803209999999999</v>
      </c>
      <c r="F5239" t="s">
        <v>65</v>
      </c>
      <c r="G5239">
        <v>-419.1651</v>
      </c>
      <c r="H5239" s="1">
        <v>-4.4948230000000001E-6</v>
      </c>
      <c r="I5239">
        <v>32.374049999999997</v>
      </c>
      <c r="J5239">
        <v>-422.02710000000002</v>
      </c>
      <c r="K5239">
        <v>1.109828</v>
      </c>
      <c r="L5239">
        <v>64.673429999999996</v>
      </c>
      <c r="M5239" s="1">
        <v>3.7054909999999997E-5</v>
      </c>
      <c r="N5239">
        <v>0</v>
      </c>
      <c r="O5239">
        <v>-0.99990400000000002</v>
      </c>
      <c r="P5239">
        <v>-5.0010890000000002E-2</v>
      </c>
      <c r="Q5239">
        <v>-6.0325450000000003E-3</v>
      </c>
      <c r="R5239">
        <v>-0.99873060000000002</v>
      </c>
      <c r="S5239">
        <v>0.26531979999999999</v>
      </c>
      <c r="T5239">
        <v>-0.102894899999999</v>
      </c>
      <c r="U5239">
        <v>-3.0165410000000001</v>
      </c>
      <c r="V5239">
        <v>5.0051829999999999E-2</v>
      </c>
      <c r="W5239">
        <v>7.786973E-3</v>
      </c>
      <c r="X5239">
        <v>0.99871620000000005</v>
      </c>
      <c r="Y5239">
        <v>-8.7529300000000004E-2</v>
      </c>
      <c r="Z5239">
        <v>3.395952E-2</v>
      </c>
      <c r="AA5239">
        <v>0.99558290000000005</v>
      </c>
      <c r="AB5239">
        <v>25</v>
      </c>
      <c r="AC5239">
        <v>2.8620000000000201</v>
      </c>
      <c r="AD5239">
        <v>-1.1098324948230001</v>
      </c>
      <c r="AE5239">
        <v>-32.299379999999999</v>
      </c>
      <c r="AF5239">
        <v>-2.8574556182496198</v>
      </c>
      <c r="AG5239">
        <v>-1.1098324948230001</v>
      </c>
      <c r="AH5239">
        <v>32.2616925389123</v>
      </c>
      <c r="AI5239">
        <v>91.962574636328796</v>
      </c>
      <c r="AJ5239">
        <v>95.061545693201694</v>
      </c>
      <c r="AK5239">
        <v>32.406999031878001</v>
      </c>
      <c r="AL5239">
        <v>89.553834773996201</v>
      </c>
      <c r="AM5239">
        <v>87.130955409579698</v>
      </c>
      <c r="AN5239">
        <v>0.99999993538864296</v>
      </c>
    </row>
    <row r="5240" spans="1:40" x14ac:dyDescent="0.25">
      <c r="A5240" t="str">
        <f>"20190312154942240"</f>
        <v>20190312154942240</v>
      </c>
      <c r="B5240" t="str">
        <f>"1552376982231115"</f>
        <v>1552376982231115</v>
      </c>
      <c r="C5240" t="s">
        <v>40</v>
      </c>
      <c r="D5240">
        <v>4.573391</v>
      </c>
      <c r="E5240">
        <v>0.44787929999999998</v>
      </c>
      <c r="F5240" t="s">
        <v>65</v>
      </c>
      <c r="G5240">
        <v>-419.17720000000003</v>
      </c>
      <c r="H5240" s="1">
        <v>-4.3957169999999999E-6</v>
      </c>
      <c r="I5240">
        <v>32.563290000000002</v>
      </c>
      <c r="J5240">
        <v>-422.02749999999997</v>
      </c>
      <c r="K5240">
        <v>1.1098269999999999</v>
      </c>
      <c r="L5240">
        <v>64.425510000000003</v>
      </c>
      <c r="M5240">
        <v>-2.5044789999999998E-4</v>
      </c>
      <c r="N5240">
        <v>0</v>
      </c>
      <c r="O5240">
        <v>-0.99990400000000002</v>
      </c>
      <c r="P5240">
        <v>-5.0351769999999997E-2</v>
      </c>
      <c r="Q5240">
        <v>-6.0781840000000004E-3</v>
      </c>
      <c r="R5240">
        <v>-0.99871290000000001</v>
      </c>
      <c r="S5240">
        <v>0.26773069999999999</v>
      </c>
      <c r="T5240">
        <v>-0.1042626</v>
      </c>
      <c r="U5240">
        <v>-3.0165709999999999</v>
      </c>
      <c r="V5240">
        <v>5.0105530000000002E-2</v>
      </c>
      <c r="W5240">
        <v>7.7392919999999896E-3</v>
      </c>
      <c r="X5240">
        <v>0.99871399999999999</v>
      </c>
      <c r="Y5240">
        <v>-8.8602959999999995E-2</v>
      </c>
      <c r="Z5240">
        <v>3.4407180000000002E-2</v>
      </c>
      <c r="AA5240">
        <v>0.99547260000000004</v>
      </c>
      <c r="AB5240">
        <v>25</v>
      </c>
      <c r="AC5240">
        <v>2.8502999999999399</v>
      </c>
      <c r="AD5240">
        <v>-1.1098313957170001</v>
      </c>
      <c r="AE5240">
        <v>-31.862220000000001</v>
      </c>
      <c r="AF5240">
        <v>-2.8548442685327702</v>
      </c>
      <c r="AG5240">
        <v>-1.1098313957170001</v>
      </c>
      <c r="AH5240">
        <v>31.8232010762698</v>
      </c>
      <c r="AI5240">
        <v>91.989393241736195</v>
      </c>
      <c r="AJ5240">
        <v>95.126254892283896</v>
      </c>
      <c r="AK5240">
        <v>31.970267253577799</v>
      </c>
      <c r="AL5240">
        <v>89.556566830615694</v>
      </c>
      <c r="AM5240">
        <v>87.12787608152</v>
      </c>
      <c r="AN5240">
        <v>1.0000000572866099</v>
      </c>
    </row>
    <row r="5241" spans="1:40" x14ac:dyDescent="0.25">
      <c r="A5241" t="str">
        <f>"20190312154942263"</f>
        <v>20190312154942263</v>
      </c>
      <c r="B5241" t="str">
        <f>"1552376982250635"</f>
        <v>1552376982250635</v>
      </c>
      <c r="C5241" t="s">
        <v>40</v>
      </c>
      <c r="D5241">
        <v>4.618309</v>
      </c>
      <c r="E5241">
        <v>0.44764500000000002</v>
      </c>
      <c r="F5241" t="s">
        <v>65</v>
      </c>
      <c r="G5241">
        <v>-419.16899999999998</v>
      </c>
      <c r="H5241" s="1">
        <v>-4.5651450000000003E-6</v>
      </c>
      <c r="I5241">
        <v>32.234380000000002</v>
      </c>
      <c r="J5241">
        <v>-422.02789999999999</v>
      </c>
      <c r="K5241">
        <v>1.1098330000000001</v>
      </c>
      <c r="L5241">
        <v>64.173459999999906</v>
      </c>
      <c r="M5241">
        <v>-5.3963730000000003E-4</v>
      </c>
      <c r="N5241">
        <v>0</v>
      </c>
      <c r="O5241">
        <v>-0.99990400000000002</v>
      </c>
      <c r="P5241">
        <v>-5.0756629999999997E-2</v>
      </c>
      <c r="Q5241">
        <v>-6.1297210000000003E-3</v>
      </c>
      <c r="R5241">
        <v>-0.99869229999999998</v>
      </c>
      <c r="S5241">
        <v>0.26788329999999999</v>
      </c>
      <c r="T5241">
        <v>-0.1040065</v>
      </c>
      <c r="U5241">
        <v>-3.0167540000000002</v>
      </c>
      <c r="V5241">
        <v>5.0221469999999997E-2</v>
      </c>
      <c r="W5241">
        <v>7.684934E-3</v>
      </c>
      <c r="X5241">
        <v>0.9987085</v>
      </c>
      <c r="Y5241">
        <v>-8.893595E-2</v>
      </c>
      <c r="Z5241">
        <v>3.4320120000000003E-2</v>
      </c>
      <c r="AA5241">
        <v>0.99544589999999999</v>
      </c>
      <c r="AB5241">
        <v>25</v>
      </c>
      <c r="AC5241">
        <v>2.8588999999999398</v>
      </c>
      <c r="AD5241">
        <v>-1.1098375651450001</v>
      </c>
      <c r="AE5241">
        <v>-31.939079999999901</v>
      </c>
      <c r="AF5241">
        <v>-2.8726956503639398</v>
      </c>
      <c r="AG5241">
        <v>-1.1098375651450001</v>
      </c>
      <c r="AH5241">
        <v>31.8993213193014</v>
      </c>
      <c r="AI5241">
        <v>91.984599749588597</v>
      </c>
      <c r="AJ5241">
        <v>95.145894532812903</v>
      </c>
      <c r="AK5241">
        <v>32.047633615489701</v>
      </c>
      <c r="AL5241">
        <v>89.559681364697497</v>
      </c>
      <c r="AM5241">
        <v>87.121225566534804</v>
      </c>
      <c r="AN5241">
        <v>0.99999996111589695</v>
      </c>
    </row>
    <row r="5242" spans="1:40" x14ac:dyDescent="0.25">
      <c r="A5242" t="str">
        <f>"20190312154942285"</f>
        <v>20190312154942285</v>
      </c>
      <c r="B5242" t="str">
        <f>"1552376982280891"</f>
        <v>1552376982280891</v>
      </c>
      <c r="C5242" t="s">
        <v>40</v>
      </c>
      <c r="D5242">
        <v>4.627059</v>
      </c>
      <c r="E5242">
        <v>0.44730880000000001</v>
      </c>
      <c r="F5242" t="s">
        <v>65</v>
      </c>
      <c r="G5242">
        <v>-419.21</v>
      </c>
      <c r="H5242" s="1">
        <v>-4.4244859999999998E-6</v>
      </c>
      <c r="I5242">
        <v>32.492579999999997</v>
      </c>
      <c r="J5242">
        <v>-422.02839999999998</v>
      </c>
      <c r="K5242">
        <v>1.1098410000000001</v>
      </c>
      <c r="L5242">
        <v>63.929290000000002</v>
      </c>
      <c r="M5242">
        <v>-8.1490849999999999E-4</v>
      </c>
      <c r="N5242">
        <v>0</v>
      </c>
      <c r="O5242">
        <v>-0.99990380000000001</v>
      </c>
      <c r="P5242">
        <v>-5.129036E-2</v>
      </c>
      <c r="Q5242">
        <v>-6.6278830000000002E-3</v>
      </c>
      <c r="R5242">
        <v>-0.99866189999999999</v>
      </c>
      <c r="S5242">
        <v>0.268341099999999</v>
      </c>
      <c r="T5242">
        <v>-0.10568760000000001</v>
      </c>
      <c r="U5242">
        <v>-3.0169069999999998</v>
      </c>
      <c r="V5242">
        <v>5.0479990000000002E-2</v>
      </c>
      <c r="W5242">
        <v>7.1842690000000001E-3</v>
      </c>
      <c r="X5242">
        <v>0.99869920000000001</v>
      </c>
      <c r="Y5242">
        <v>-8.9353870000000002E-2</v>
      </c>
      <c r="Z5242">
        <v>3.4871520000000003E-2</v>
      </c>
      <c r="AA5242">
        <v>0.99538930000000003</v>
      </c>
      <c r="AB5242">
        <v>25</v>
      </c>
      <c r="AC5242">
        <v>2.8183999999999898</v>
      </c>
      <c r="AD5242">
        <v>-1.1098454244859901</v>
      </c>
      <c r="AE5242">
        <v>-31.436710000000001</v>
      </c>
      <c r="AF5242">
        <v>-2.8405074372872701</v>
      </c>
      <c r="AG5242">
        <v>-1.1098454244859901</v>
      </c>
      <c r="AH5242">
        <v>31.3955837566436</v>
      </c>
      <c r="AI5242">
        <v>92.016354847130501</v>
      </c>
      <c r="AJ5242">
        <v>95.1697457453445</v>
      </c>
      <c r="AK5242">
        <v>31.543349834600001</v>
      </c>
      <c r="AL5242">
        <v>89.588368153047696</v>
      </c>
      <c r="AM5242">
        <v>87.106405009568903</v>
      </c>
      <c r="AN5242">
        <v>0.99999996759605103</v>
      </c>
    </row>
    <row r="5243" spans="1:40" x14ac:dyDescent="0.25">
      <c r="A5243" t="str">
        <f>"20190312154942307"</f>
        <v>20190312154942307</v>
      </c>
      <c r="B5243" t="str">
        <f>"1552376982301387"</f>
        <v>1552376982301387</v>
      </c>
      <c r="C5243" t="s">
        <v>40</v>
      </c>
      <c r="D5243">
        <v>4.626131</v>
      </c>
      <c r="E5243">
        <v>0.44706170000000001</v>
      </c>
      <c r="F5243" t="s">
        <v>65</v>
      </c>
      <c r="G5243">
        <v>-419.26429999999999</v>
      </c>
      <c r="H5243" s="1">
        <v>-4.1477780000000002E-6</v>
      </c>
      <c r="I5243">
        <v>33.012030000000003</v>
      </c>
      <c r="J5243">
        <v>-422.02890000000002</v>
      </c>
      <c r="K5243">
        <v>1.109847</v>
      </c>
      <c r="L5243">
        <v>63.682369999999999</v>
      </c>
      <c r="M5243">
        <v>-1.0831009999999999E-3</v>
      </c>
      <c r="N5243">
        <v>0</v>
      </c>
      <c r="O5243">
        <v>-0.99990380000000001</v>
      </c>
      <c r="P5243">
        <v>-5.1826219999999999E-2</v>
      </c>
      <c r="Q5243">
        <v>-6.4018729999999998E-3</v>
      </c>
      <c r="R5243">
        <v>-0.99863610000000003</v>
      </c>
      <c r="S5243">
        <v>0.26974490000000001</v>
      </c>
      <c r="T5243">
        <v>-0.1083075</v>
      </c>
      <c r="U5243">
        <v>-3.0171510000000001</v>
      </c>
      <c r="V5243">
        <v>5.0747979999999998E-2</v>
      </c>
      <c r="W5243">
        <v>7.4079009999999997E-3</v>
      </c>
      <c r="X5243">
        <v>0.99868400000000002</v>
      </c>
      <c r="Y5243">
        <v>-9.0070650000000002E-2</v>
      </c>
      <c r="Z5243">
        <v>3.5730060000000001E-2</v>
      </c>
      <c r="AA5243">
        <v>0.99529429999999997</v>
      </c>
      <c r="AB5243">
        <v>25</v>
      </c>
      <c r="AC5243">
        <v>2.7646000000000299</v>
      </c>
      <c r="AD5243">
        <v>-1.109851147778</v>
      </c>
      <c r="AE5243">
        <v>-30.670339999999999</v>
      </c>
      <c r="AF5243">
        <v>-2.7941912375036799</v>
      </c>
      <c r="AG5243">
        <v>-1.109851147778</v>
      </c>
      <c r="AH5243">
        <v>30.627545063625899</v>
      </c>
      <c r="AI5243">
        <v>92.066744983522995</v>
      </c>
      <c r="AJ5243">
        <v>95.212739175556493</v>
      </c>
      <c r="AK5243">
        <v>30.7747589895746</v>
      </c>
      <c r="AL5243">
        <v>89.575554648394899</v>
      </c>
      <c r="AM5243">
        <v>87.091025504362705</v>
      </c>
      <c r="AN5243">
        <v>0.99999998316365302</v>
      </c>
    </row>
    <row r="5244" spans="1:40" x14ac:dyDescent="0.25">
      <c r="A5244" t="str">
        <f>"20190312154942330"</f>
        <v>20190312154942330</v>
      </c>
      <c r="B5244" t="str">
        <f>"1552376982320909"</f>
        <v>1552376982320909</v>
      </c>
      <c r="C5244" t="s">
        <v>40</v>
      </c>
      <c r="D5244">
        <v>4.6976579999999997</v>
      </c>
      <c r="E5244">
        <v>0.44704290000000002</v>
      </c>
      <c r="F5244" t="s">
        <v>65</v>
      </c>
      <c r="G5244">
        <v>-419.28019999999998</v>
      </c>
      <c r="H5244" s="1">
        <v>-4.1536899999999999E-6</v>
      </c>
      <c r="I5244">
        <v>32.993510000000001</v>
      </c>
      <c r="J5244">
        <v>-422.02940000000001</v>
      </c>
      <c r="K5244">
        <v>1.1098600000000001</v>
      </c>
      <c r="L5244">
        <v>63.431150000000002</v>
      </c>
      <c r="M5244">
        <v>-1.3451260000000001E-3</v>
      </c>
      <c r="N5244">
        <v>0</v>
      </c>
      <c r="O5244">
        <v>-0.9999036</v>
      </c>
      <c r="P5244">
        <v>-5.2408440000000001E-2</v>
      </c>
      <c r="Q5244">
        <v>-6.1840100000000002E-3</v>
      </c>
      <c r="R5244">
        <v>-0.99860700000000002</v>
      </c>
      <c r="S5244">
        <v>0.2702637</v>
      </c>
      <c r="T5244">
        <v>-0.1091241</v>
      </c>
      <c r="U5244">
        <v>-3.0174259999999999</v>
      </c>
      <c r="V5244">
        <v>5.1068469999999998E-2</v>
      </c>
      <c r="W5244">
        <v>7.6234240000000002E-3</v>
      </c>
      <c r="X5244">
        <v>0.99866600000000005</v>
      </c>
      <c r="Y5244">
        <v>-9.0492509999999998E-2</v>
      </c>
      <c r="Z5244">
        <v>3.5994850000000002E-2</v>
      </c>
      <c r="AA5244">
        <v>0.99524639999999998</v>
      </c>
      <c r="AB5244">
        <v>25</v>
      </c>
      <c r="AC5244">
        <v>2.7492000000000298</v>
      </c>
      <c r="AD5244">
        <v>-1.10986415369</v>
      </c>
      <c r="AE5244">
        <v>-30.437639999999998</v>
      </c>
      <c r="AF5244">
        <v>-2.78646900270294</v>
      </c>
      <c r="AG5244">
        <v>-1.10986415369</v>
      </c>
      <c r="AH5244">
        <v>30.393829769743601</v>
      </c>
      <c r="AI5244">
        <v>92.082563350332904</v>
      </c>
      <c r="AJ5244">
        <v>95.238163895461398</v>
      </c>
      <c r="AK5244">
        <v>30.541465191028699</v>
      </c>
      <c r="AL5244">
        <v>89.563205723294502</v>
      </c>
      <c r="AM5244">
        <v>87.072633566949904</v>
      </c>
      <c r="AN5244">
        <v>0.99999994238880996</v>
      </c>
    </row>
    <row r="5245" spans="1:40" x14ac:dyDescent="0.25">
      <c r="A5245" t="str">
        <f>"20190312154942354"</f>
        <v>20190312154942354</v>
      </c>
      <c r="B5245" t="str">
        <f>"1552376982341403"</f>
        <v>1552376982341403</v>
      </c>
      <c r="C5245" t="s">
        <v>40</v>
      </c>
      <c r="D5245">
        <v>4.7095960000000003</v>
      </c>
      <c r="E5245">
        <v>0.46912330000000002</v>
      </c>
      <c r="F5245" t="s">
        <v>65</v>
      </c>
      <c r="G5245">
        <v>-419.303</v>
      </c>
      <c r="H5245" s="1">
        <v>-4.2475740000000003E-6</v>
      </c>
      <c r="I5245">
        <v>32.799289999999999</v>
      </c>
      <c r="J5245">
        <v>-422.0301</v>
      </c>
      <c r="K5245">
        <v>1.1098669999999999</v>
      </c>
      <c r="L5245">
        <v>63.176119999999997</v>
      </c>
      <c r="M5245">
        <v>-1.5943999999999999E-3</v>
      </c>
      <c r="N5245">
        <v>0</v>
      </c>
      <c r="O5245">
        <v>-0.99990299999999999</v>
      </c>
      <c r="P5245">
        <v>-5.3262379999999998E-2</v>
      </c>
      <c r="Q5245">
        <v>-6.1757610000000001E-3</v>
      </c>
      <c r="R5245">
        <v>-0.9985617</v>
      </c>
      <c r="S5245">
        <v>0.26858520000000002</v>
      </c>
      <c r="T5245">
        <v>-0.1093351</v>
      </c>
      <c r="U5245">
        <v>-3.0176090000000002</v>
      </c>
      <c r="V5245">
        <v>5.1673320000000002E-2</v>
      </c>
      <c r="W5245">
        <v>7.6300999999999999E-3</v>
      </c>
      <c r="X5245">
        <v>0.99863489999999999</v>
      </c>
      <c r="Y5245">
        <v>-9.0186000000000002E-2</v>
      </c>
      <c r="Z5245">
        <v>3.6063560000000001E-2</v>
      </c>
      <c r="AA5245">
        <v>0.99527180000000004</v>
      </c>
      <c r="AB5245">
        <v>25</v>
      </c>
      <c r="AC5245">
        <v>2.7270999999999499</v>
      </c>
      <c r="AD5245">
        <v>-1.109871247574</v>
      </c>
      <c r="AE5245">
        <v>-30.376830000000002</v>
      </c>
      <c r="AF5245">
        <v>-2.7718633131862398</v>
      </c>
      <c r="AG5245">
        <v>-1.109871247574</v>
      </c>
      <c r="AH5245">
        <v>30.332274985051601</v>
      </c>
      <c r="AI5245">
        <v>92.086855112724294</v>
      </c>
      <c r="AJ5245">
        <v>95.221375092885793</v>
      </c>
      <c r="AK5245">
        <v>30.4788770492281</v>
      </c>
      <c r="AL5245">
        <v>89.562823233753605</v>
      </c>
      <c r="AM5245">
        <v>87.037931423692399</v>
      </c>
      <c r="AN5245">
        <v>1.0000000069619199</v>
      </c>
    </row>
    <row r="5246" spans="1:40" x14ac:dyDescent="0.25">
      <c r="A5246" t="str">
        <f>"20190312154942374"</f>
        <v>20190312154942374</v>
      </c>
      <c r="B5246" t="str">
        <f>"1552376982370685"</f>
        <v>1552376982370685</v>
      </c>
      <c r="C5246" t="s">
        <v>40</v>
      </c>
      <c r="D5246">
        <v>4.713889</v>
      </c>
      <c r="E5246">
        <v>0.47223850000000001</v>
      </c>
      <c r="F5246" t="s">
        <v>42</v>
      </c>
      <c r="G5246">
        <v>-421.41789999999997</v>
      </c>
      <c r="H5246" s="1">
        <v>-1.9433399999999999E-6</v>
      </c>
      <c r="I5246">
        <v>43.239669999999997</v>
      </c>
      <c r="J5246">
        <v>-422.03070000000002</v>
      </c>
      <c r="K5246">
        <v>1.1098840000000001</v>
      </c>
      <c r="L5246">
        <v>62.942469999999901</v>
      </c>
      <c r="M5246">
        <v>-1.8009809999999999E-3</v>
      </c>
      <c r="N5246">
        <v>0</v>
      </c>
      <c r="O5246">
        <v>-0.99990279999999998</v>
      </c>
      <c r="P5246">
        <v>-5.3309849999999999E-2</v>
      </c>
      <c r="Q5246">
        <v>-6.4958230000000004E-3</v>
      </c>
      <c r="R5246">
        <v>-0.99855700000000003</v>
      </c>
      <c r="S5246">
        <v>9.2376710000000001E-2</v>
      </c>
      <c r="T5246">
        <v>-0.16746810000000001</v>
      </c>
      <c r="U5246">
        <v>-3.0082089999999999</v>
      </c>
      <c r="V5246">
        <v>5.1514089999999998E-2</v>
      </c>
      <c r="W5246">
        <v>7.3091969999999999E-3</v>
      </c>
      <c r="X5246">
        <v>0.99864549999999996</v>
      </c>
      <c r="Y5246">
        <v>-3.2446589999999997E-2</v>
      </c>
      <c r="Z5246">
        <v>5.5556460000000002E-2</v>
      </c>
      <c r="AA5246">
        <v>0.99792820000000004</v>
      </c>
      <c r="AB5246">
        <v>25</v>
      </c>
      <c r="AC5246">
        <v>0.61280000000004897</v>
      </c>
      <c r="AD5246">
        <v>-1.1098859433399999</v>
      </c>
      <c r="AE5246">
        <v>-19.7027999999999</v>
      </c>
      <c r="AF5246">
        <v>-0.64623808950273198</v>
      </c>
      <c r="AG5246">
        <v>-1.1098859433399999</v>
      </c>
      <c r="AH5246">
        <v>19.639404281180099</v>
      </c>
      <c r="AI5246">
        <v>93.232782448991003</v>
      </c>
      <c r="AJ5246">
        <v>91.8846478063478</v>
      </c>
      <c r="AK5246">
        <v>19.6813533832199</v>
      </c>
      <c r="AL5246">
        <v>89.581210123012298</v>
      </c>
      <c r="AM5246">
        <v>87.047074070114803</v>
      </c>
      <c r="AN5246">
        <v>0.99999998024978098</v>
      </c>
    </row>
    <row r="5247" spans="1:40" x14ac:dyDescent="0.25">
      <c r="A5247" t="str">
        <f>"20190312154942397"</f>
        <v>20190312154942397</v>
      </c>
      <c r="B5247" t="str">
        <f>"1552376982391179"</f>
        <v>1552376982391179</v>
      </c>
      <c r="C5247" t="s">
        <v>40</v>
      </c>
      <c r="D5247">
        <v>4.6939270000000004</v>
      </c>
      <c r="E5247">
        <v>0.47273549999999998</v>
      </c>
      <c r="F5247" t="s">
        <v>42</v>
      </c>
      <c r="G5247">
        <v>-421.5883</v>
      </c>
      <c r="H5247" s="1">
        <v>-1.9650389999999998E-6</v>
      </c>
      <c r="I5247">
        <v>43.184539999999998</v>
      </c>
      <c r="J5247">
        <v>-422.03140000000002</v>
      </c>
      <c r="K5247">
        <v>1.1099000000000001</v>
      </c>
      <c r="L5247">
        <v>62.694519999999997</v>
      </c>
      <c r="M5247">
        <v>-1.9912929999999999E-3</v>
      </c>
      <c r="N5247">
        <v>0</v>
      </c>
      <c r="O5247">
        <v>-0.99990210000000002</v>
      </c>
      <c r="P5247">
        <v>-5.3067780000000002E-2</v>
      </c>
      <c r="Q5247">
        <v>-6.5094059999999997E-3</v>
      </c>
      <c r="R5247">
        <v>-0.9985697</v>
      </c>
      <c r="S5247">
        <v>6.7321779999999998E-2</v>
      </c>
      <c r="T5247">
        <v>-0.16890659999999999</v>
      </c>
      <c r="U5247">
        <v>-3.0068359999999998</v>
      </c>
      <c r="V5247">
        <v>5.1081590000000003E-2</v>
      </c>
      <c r="W5247">
        <v>7.2958469999999899E-3</v>
      </c>
      <c r="X5247">
        <v>0.99866779999999999</v>
      </c>
      <c r="Y5247">
        <v>-2.4339690000000001E-2</v>
      </c>
      <c r="Z5247">
        <v>5.6070290000000002E-2</v>
      </c>
      <c r="AA5247">
        <v>0.99813010000000002</v>
      </c>
      <c r="AB5247">
        <v>25</v>
      </c>
      <c r="AC5247">
        <v>0.44310000000001498</v>
      </c>
      <c r="AD5247">
        <v>-1.1099019650390001</v>
      </c>
      <c r="AE5247">
        <v>-19.509979999999899</v>
      </c>
      <c r="AF5247">
        <v>-0.48039899653575602</v>
      </c>
      <c r="AG5247">
        <v>-1.1099019650390001</v>
      </c>
      <c r="AH5247">
        <v>19.446156745358302</v>
      </c>
      <c r="AI5247">
        <v>93.265655356640593</v>
      </c>
      <c r="AJ5247">
        <v>91.415150459380797</v>
      </c>
      <c r="AK5247">
        <v>19.4837285377547</v>
      </c>
      <c r="AL5247">
        <v>89.581975036326895</v>
      </c>
      <c r="AM5247">
        <v>87.071888074360302</v>
      </c>
      <c r="AN5247">
        <v>0.99999996648860701</v>
      </c>
    </row>
    <row r="5248" spans="1:40" x14ac:dyDescent="0.25">
      <c r="A5248" t="str">
        <f>"20190312154942419"</f>
        <v>20190312154942419</v>
      </c>
      <c r="B5248" t="str">
        <f>"1552376982410700"</f>
        <v>1552376982410700</v>
      </c>
      <c r="C5248" t="s">
        <v>40</v>
      </c>
      <c r="D5248">
        <v>4.7077809999999998</v>
      </c>
      <c r="E5248">
        <v>0.47294700000000001</v>
      </c>
      <c r="F5248" t="s">
        <v>42</v>
      </c>
      <c r="G5248">
        <v>-421.61599999999999</v>
      </c>
      <c r="H5248" s="1">
        <v>-2.0022340000000002E-6</v>
      </c>
      <c r="I5248">
        <v>43.254060000000003</v>
      </c>
      <c r="J5248">
        <v>-422.03210000000001</v>
      </c>
      <c r="K5248">
        <v>1.109926</v>
      </c>
      <c r="L5248">
        <v>62.453429999999997</v>
      </c>
      <c r="M5248">
        <v>-2.1433480000000002E-3</v>
      </c>
      <c r="N5248">
        <v>0</v>
      </c>
      <c r="O5248">
        <v>-0.99990230000000002</v>
      </c>
      <c r="P5248">
        <v>-5.2960479999999997E-2</v>
      </c>
      <c r="Q5248">
        <v>-6.3794840000000004E-3</v>
      </c>
      <c r="R5248">
        <v>-0.99857669999999998</v>
      </c>
      <c r="S5248">
        <v>6.4239500000000005E-2</v>
      </c>
      <c r="T5248">
        <v>-0.17165349999999999</v>
      </c>
      <c r="U5248">
        <v>-3.0065919999999999</v>
      </c>
      <c r="V5248">
        <v>5.0822010000000001E-2</v>
      </c>
      <c r="W5248">
        <v>7.4264980000000001E-3</v>
      </c>
      <c r="X5248">
        <v>0.99868009999999996</v>
      </c>
      <c r="Y5248">
        <v>-2.3469650000000002E-2</v>
      </c>
      <c r="Z5248">
        <v>5.6985040000000001E-2</v>
      </c>
      <c r="AA5248">
        <v>0.99809910000000002</v>
      </c>
      <c r="AB5248">
        <v>25</v>
      </c>
      <c r="AC5248">
        <v>0.416100000000028</v>
      </c>
      <c r="AD5248">
        <v>-1.1099280022339999</v>
      </c>
      <c r="AE5248">
        <v>-19.199369999999998</v>
      </c>
      <c r="AF5248">
        <v>-0.45573152959880497</v>
      </c>
      <c r="AG5248">
        <v>-1.1099280022339999</v>
      </c>
      <c r="AH5248">
        <v>19.134515075510102</v>
      </c>
      <c r="AI5248">
        <v>93.318873660996104</v>
      </c>
      <c r="AJ5248">
        <v>91.364369960065204</v>
      </c>
      <c r="AK5248">
        <v>19.172096874680602</v>
      </c>
      <c r="AL5248">
        <v>89.574489090599201</v>
      </c>
      <c r="AM5248">
        <v>87.086777906126997</v>
      </c>
      <c r="AN5248">
        <v>0.99999998585449601</v>
      </c>
    </row>
    <row r="5249" spans="1:40" x14ac:dyDescent="0.25">
      <c r="A5249" t="str">
        <f>"20190312154942441"</f>
        <v>20190312154942441</v>
      </c>
      <c r="B5249" t="str">
        <f>"1552376982431195"</f>
        <v>1552376982431195</v>
      </c>
      <c r="C5249" t="s">
        <v>40</v>
      </c>
      <c r="D5249">
        <v>4.7171099999999999</v>
      </c>
      <c r="E5249">
        <v>0.4728581</v>
      </c>
      <c r="F5249" t="s">
        <v>42</v>
      </c>
      <c r="G5249">
        <v>-421.63420000000002</v>
      </c>
      <c r="H5249" s="1">
        <v>-2.040149E-6</v>
      </c>
      <c r="I5249">
        <v>43.331189999999999</v>
      </c>
      <c r="J5249">
        <v>-422.03269999999998</v>
      </c>
      <c r="K5249">
        <v>1.109958</v>
      </c>
      <c r="L5249">
        <v>62.207889999999999</v>
      </c>
      <c r="M5249">
        <v>-2.2612919999999998E-3</v>
      </c>
      <c r="N5249">
        <v>0</v>
      </c>
      <c r="O5249">
        <v>-0.99990199999999996</v>
      </c>
      <c r="P5249">
        <v>-5.2596030000000002E-2</v>
      </c>
      <c r="Q5249">
        <v>-6.0887989999999998E-3</v>
      </c>
      <c r="R5249">
        <v>-0.99859770000000003</v>
      </c>
      <c r="S5249">
        <v>6.2561039999999998E-2</v>
      </c>
      <c r="T5249">
        <v>-0.174507</v>
      </c>
      <c r="U5249">
        <v>-3.0064700000000002</v>
      </c>
      <c r="V5249">
        <v>5.0339269999999998E-2</v>
      </c>
      <c r="W5249">
        <v>7.7183109999999899E-3</v>
      </c>
      <c r="X5249">
        <v>0.99870230000000004</v>
      </c>
      <c r="Y5249">
        <v>-2.303032E-2</v>
      </c>
      <c r="Z5249">
        <v>5.7932150000000002E-2</v>
      </c>
      <c r="AA5249">
        <v>0.99805489999999997</v>
      </c>
      <c r="AB5249">
        <v>25</v>
      </c>
      <c r="AC5249">
        <v>0.398499999999955</v>
      </c>
      <c r="AD5249">
        <v>-1.109960040149</v>
      </c>
      <c r="AE5249">
        <v>-18.8767</v>
      </c>
      <c r="AF5249">
        <v>-0.43966930541090599</v>
      </c>
      <c r="AG5249">
        <v>-1.109960040149</v>
      </c>
      <c r="AH5249">
        <v>18.810741298777401</v>
      </c>
      <c r="AI5249">
        <v>93.376000172897307</v>
      </c>
      <c r="AJ5249">
        <v>91.338948278001993</v>
      </c>
      <c r="AK5249">
        <v>18.848589034683101</v>
      </c>
      <c r="AL5249">
        <v>89.557768941414096</v>
      </c>
      <c r="AM5249">
        <v>87.114466598716604</v>
      </c>
      <c r="AN5249">
        <v>0.99999994922705604</v>
      </c>
    </row>
    <row r="5250" spans="1:40" x14ac:dyDescent="0.25">
      <c r="A5250" t="str">
        <f>"20190312154942464"</f>
        <v>20190312154942464</v>
      </c>
      <c r="B5250" t="str">
        <f>"1552376982461451"</f>
        <v>1552376982461451</v>
      </c>
      <c r="C5250" t="s">
        <v>40</v>
      </c>
      <c r="D5250">
        <v>4.7406430000000004</v>
      </c>
      <c r="E5250">
        <v>0.47278049999999999</v>
      </c>
      <c r="F5250" t="s">
        <v>42</v>
      </c>
      <c r="G5250">
        <v>-421.62209999999999</v>
      </c>
      <c r="H5250" s="1">
        <v>-1.907004E-6</v>
      </c>
      <c r="I5250">
        <v>43.028289999999998</v>
      </c>
      <c r="J5250">
        <v>-422.03339999999997</v>
      </c>
      <c r="K5250">
        <v>1.1099909999999999</v>
      </c>
      <c r="L5250">
        <v>61.959049999999998</v>
      </c>
      <c r="M5250">
        <v>-2.3411679999999998E-3</v>
      </c>
      <c r="N5250">
        <v>0</v>
      </c>
      <c r="O5250">
        <v>-0.9999015</v>
      </c>
      <c r="P5250">
        <v>-5.2314199999999901E-2</v>
      </c>
      <c r="Q5250">
        <v>-6.0680860000000003E-3</v>
      </c>
      <c r="R5250">
        <v>-0.99861219999999995</v>
      </c>
      <c r="S5250">
        <v>6.4361570000000007E-2</v>
      </c>
      <c r="T5250">
        <v>-0.1739937</v>
      </c>
      <c r="U5250">
        <v>-3.0065309999999998</v>
      </c>
      <c r="V5250">
        <v>4.9977100000000003E-2</v>
      </c>
      <c r="W5250">
        <v>7.7402469999999996E-3</v>
      </c>
      <c r="X5250">
        <v>0.99872030000000001</v>
      </c>
      <c r="Y5250">
        <v>-2.370742E-2</v>
      </c>
      <c r="Z5250">
        <v>5.7760289999999999E-2</v>
      </c>
      <c r="AA5250">
        <v>0.99804899999999996</v>
      </c>
      <c r="AB5250">
        <v>25</v>
      </c>
      <c r="AC5250">
        <v>0.41129999999998201</v>
      </c>
      <c r="AD5250">
        <v>-1.109992907004</v>
      </c>
      <c r="AE5250">
        <v>-18.9307599999999</v>
      </c>
      <c r="AF5250">
        <v>-0.45406288057185101</v>
      </c>
      <c r="AG5250">
        <v>-1.109992907004</v>
      </c>
      <c r="AH5250">
        <v>18.8649183403619</v>
      </c>
      <c r="AI5250">
        <v>93.3663712083695</v>
      </c>
      <c r="AJ5250">
        <v>91.378795501976896</v>
      </c>
      <c r="AK5250">
        <v>18.902999797429999</v>
      </c>
      <c r="AL5250">
        <v>89.556512054966106</v>
      </c>
      <c r="AM5250">
        <v>87.135243643180999</v>
      </c>
      <c r="AN5250">
        <v>0.99999992979005803</v>
      </c>
    </row>
    <row r="5251" spans="1:40" x14ac:dyDescent="0.25">
      <c r="A5251" t="str">
        <f>"20190312154942486"</f>
        <v>20190312154942486</v>
      </c>
      <c r="B5251" t="str">
        <f>"1552376982480972"</f>
        <v>1552376982480972</v>
      </c>
      <c r="C5251" t="s">
        <v>40</v>
      </c>
      <c r="D5251">
        <v>4.7059839999999999</v>
      </c>
      <c r="E5251">
        <v>0.47276180000000001</v>
      </c>
      <c r="F5251" t="s">
        <v>42</v>
      </c>
      <c r="G5251">
        <v>-421.6191</v>
      </c>
      <c r="H5251" s="1">
        <v>-1.8792350000000001E-6</v>
      </c>
      <c r="I5251">
        <v>42.965420000000002</v>
      </c>
      <c r="J5251">
        <v>-422.03399999999999</v>
      </c>
      <c r="K5251">
        <v>1.110017</v>
      </c>
      <c r="L5251">
        <v>61.716830000000002</v>
      </c>
      <c r="M5251">
        <v>-2.3787550000000002E-3</v>
      </c>
      <c r="N5251">
        <v>0</v>
      </c>
      <c r="O5251">
        <v>-0.9999015</v>
      </c>
      <c r="P5251">
        <v>-5.2081629999999997E-2</v>
      </c>
      <c r="Q5251">
        <v>-6.6216479999999999E-3</v>
      </c>
      <c r="R5251">
        <v>-0.99862099999999998</v>
      </c>
      <c r="S5251">
        <v>6.5582280000000007E-2</v>
      </c>
      <c r="T5251">
        <v>-0.17570250000000001</v>
      </c>
      <c r="U5251">
        <v>-3.0065309999999998</v>
      </c>
      <c r="V5251">
        <v>4.9706439999999998E-2</v>
      </c>
      <c r="W5251">
        <v>7.1871309999999898E-3</v>
      </c>
      <c r="X5251">
        <v>0.99873800000000001</v>
      </c>
      <c r="Y5251">
        <v>-2.4149319999999998E-2</v>
      </c>
      <c r="Z5251">
        <v>5.8325059999999998E-2</v>
      </c>
      <c r="AA5251">
        <v>0.99800549999999999</v>
      </c>
      <c r="AB5251">
        <v>25</v>
      </c>
      <c r="AC5251">
        <v>0.414899999999988</v>
      </c>
      <c r="AD5251">
        <v>-1.1100188792350001</v>
      </c>
      <c r="AE5251">
        <v>-18.75141</v>
      </c>
      <c r="AF5251">
        <v>-0.45790428627108198</v>
      </c>
      <c r="AG5251">
        <v>-1.1100188792350001</v>
      </c>
      <c r="AH5251">
        <v>18.684925620282399</v>
      </c>
      <c r="AI5251">
        <v>93.398767289233803</v>
      </c>
      <c r="AJ5251">
        <v>91.403844640914201</v>
      </c>
      <c r="AK5251">
        <v>18.7234682599974</v>
      </c>
      <c r="AL5251">
        <v>89.588204177034697</v>
      </c>
      <c r="AM5251">
        <v>87.150783025523197</v>
      </c>
      <c r="AN5251">
        <v>0.99999998883674202</v>
      </c>
    </row>
    <row r="5252" spans="1:40" x14ac:dyDescent="0.25">
      <c r="A5252" t="str">
        <f>"20190312154942508"</f>
        <v>20190312154942508</v>
      </c>
      <c r="B5252" t="str">
        <f>"1552376982501468"</f>
        <v>1552376982501468</v>
      </c>
      <c r="C5252" t="s">
        <v>40</v>
      </c>
      <c r="D5252">
        <v>4.7147030000000001</v>
      </c>
      <c r="E5252">
        <v>0.47277789999999997</v>
      </c>
      <c r="F5252" t="s">
        <v>42</v>
      </c>
      <c r="G5252">
        <v>-421.62259999999998</v>
      </c>
      <c r="H5252" s="1">
        <v>-1.966524E-6</v>
      </c>
      <c r="I5252">
        <v>43.166739999999997</v>
      </c>
      <c r="J5252">
        <v>-422.03460000000001</v>
      </c>
      <c r="K5252">
        <v>1.1100380000000001</v>
      </c>
      <c r="L5252">
        <v>61.473179999999999</v>
      </c>
      <c r="M5252">
        <v>-2.3876409999999998E-3</v>
      </c>
      <c r="N5252">
        <v>0</v>
      </c>
      <c r="O5252">
        <v>-0.99990179999999995</v>
      </c>
      <c r="P5252">
        <v>-5.1852799999999998E-2</v>
      </c>
      <c r="Q5252">
        <v>-7.0102019999999897E-3</v>
      </c>
      <c r="R5252">
        <v>-0.99863020000000002</v>
      </c>
      <c r="S5252">
        <v>6.6680909999999996E-2</v>
      </c>
      <c r="T5252">
        <v>-0.17990239999999999</v>
      </c>
      <c r="U5252">
        <v>-3.0064389999999999</v>
      </c>
      <c r="V5252">
        <v>4.9468320000000003E-2</v>
      </c>
      <c r="W5252">
        <v>6.798994E-3</v>
      </c>
      <c r="X5252">
        <v>0.99875250000000004</v>
      </c>
      <c r="Y5252">
        <v>-2.4521560000000001E-2</v>
      </c>
      <c r="Z5252">
        <v>5.971564E-2</v>
      </c>
      <c r="AA5252">
        <v>0.99791419999999997</v>
      </c>
      <c r="AB5252">
        <v>24</v>
      </c>
      <c r="AC5252">
        <v>0.41200000000003401</v>
      </c>
      <c r="AD5252">
        <v>-1.1100399665239999</v>
      </c>
      <c r="AE5252">
        <v>-18.306439999999998</v>
      </c>
      <c r="AF5252">
        <v>-0.45404361990611902</v>
      </c>
      <c r="AG5252">
        <v>-1.1100399665239999</v>
      </c>
      <c r="AH5252">
        <v>18.238379171055101</v>
      </c>
      <c r="AI5252">
        <v>93.481812738149998</v>
      </c>
      <c r="AJ5252">
        <v>91.426081264816204</v>
      </c>
      <c r="AK5252">
        <v>18.277768439370099</v>
      </c>
      <c r="AL5252">
        <v>89.610443317518801</v>
      </c>
      <c r="AM5252">
        <v>87.164451044191907</v>
      </c>
      <c r="AN5252">
        <v>0.99999994862964003</v>
      </c>
    </row>
    <row r="5253" spans="1:40" x14ac:dyDescent="0.25">
      <c r="A5253" t="str">
        <f>"20190312154942531"</f>
        <v>20190312154942531</v>
      </c>
      <c r="B5253" t="str">
        <f>"1552376982520987"</f>
        <v>1552376982520987</v>
      </c>
      <c r="C5253" t="s">
        <v>40</v>
      </c>
      <c r="D5253">
        <v>4.7025949999999996</v>
      </c>
      <c r="E5253">
        <v>0.47274490000000002</v>
      </c>
      <c r="F5253" t="s">
        <v>42</v>
      </c>
      <c r="G5253">
        <v>-421.62819999999999</v>
      </c>
      <c r="H5253" s="1">
        <v>-1.9577770000000001E-6</v>
      </c>
      <c r="I5253">
        <v>43.142850000000003</v>
      </c>
      <c r="J5253">
        <v>-422.03519999999997</v>
      </c>
      <c r="K5253">
        <v>1.1100509999999999</v>
      </c>
      <c r="L5253">
        <v>61.22681</v>
      </c>
      <c r="M5253">
        <v>-2.3777469999999999E-3</v>
      </c>
      <c r="N5253">
        <v>0</v>
      </c>
      <c r="O5253">
        <v>-0.9999015</v>
      </c>
      <c r="P5253">
        <v>-5.1909539999999997E-2</v>
      </c>
      <c r="Q5253">
        <v>-7.4180180000000002E-3</v>
      </c>
      <c r="R5253">
        <v>-0.99862410000000001</v>
      </c>
      <c r="S5253">
        <v>6.6650390000000004E-2</v>
      </c>
      <c r="T5253">
        <v>-0.1820533</v>
      </c>
      <c r="U5253">
        <v>-3.0062869999999999</v>
      </c>
      <c r="V5253">
        <v>4.9534750000000002E-2</v>
      </c>
      <c r="W5253">
        <v>6.3898770000000004E-3</v>
      </c>
      <c r="X5253">
        <v>0.99875190000000003</v>
      </c>
      <c r="Y5253">
        <v>-2.4501709999999999E-2</v>
      </c>
      <c r="Z5253">
        <v>6.0430079999999997E-2</v>
      </c>
      <c r="AA5253">
        <v>0.99787170000000003</v>
      </c>
      <c r="AB5253">
        <v>24</v>
      </c>
      <c r="AC5253">
        <v>0.40699999999998199</v>
      </c>
      <c r="AD5253">
        <v>-1.110052957777</v>
      </c>
      <c r="AE5253">
        <v>-18.083960000000001</v>
      </c>
      <c r="AF5253">
        <v>-0.448313695444847</v>
      </c>
      <c r="AG5253">
        <v>-1.110052957777</v>
      </c>
      <c r="AH5253">
        <v>18.015096169412899</v>
      </c>
      <c r="AI5253">
        <v>93.524900919344603</v>
      </c>
      <c r="AJ5253">
        <v>91.425536780570596</v>
      </c>
      <c r="AK5253">
        <v>18.0548301773179</v>
      </c>
      <c r="AL5253">
        <v>89.633884502800399</v>
      </c>
      <c r="AM5253">
        <v>87.160647767168598</v>
      </c>
      <c r="AN5253">
        <v>0.99999993986962199</v>
      </c>
    </row>
    <row r="5254" spans="1:40" x14ac:dyDescent="0.25">
      <c r="A5254" t="str">
        <f>"20190312154942554"</f>
        <v>20190312154942554</v>
      </c>
      <c r="B5254" t="str">
        <f>"1552376982541484"</f>
        <v>1552376982541484</v>
      </c>
      <c r="C5254" t="s">
        <v>40</v>
      </c>
      <c r="D5254">
        <v>4.7172739999999997</v>
      </c>
      <c r="E5254">
        <v>0.4727114</v>
      </c>
      <c r="F5254" t="s">
        <v>42</v>
      </c>
      <c r="G5254">
        <v>-421.62790000000001</v>
      </c>
      <c r="H5254" s="1">
        <v>-1.9367340000000001E-6</v>
      </c>
      <c r="I5254">
        <v>43.094009999999997</v>
      </c>
      <c r="J5254">
        <v>-422.03579999999999</v>
      </c>
      <c r="K5254">
        <v>1.11006</v>
      </c>
      <c r="L5254">
        <v>60.978610000000003</v>
      </c>
      <c r="M5254">
        <v>-2.3565140000000001E-3</v>
      </c>
      <c r="N5254">
        <v>0</v>
      </c>
      <c r="O5254">
        <v>-0.99990199999999996</v>
      </c>
      <c r="P5254">
        <v>-5.2050930000000002E-2</v>
      </c>
      <c r="Q5254">
        <v>-7.2101099999999996E-3</v>
      </c>
      <c r="R5254">
        <v>-0.99861860000000002</v>
      </c>
      <c r="S5254">
        <v>6.7535399999999995E-2</v>
      </c>
      <c r="T5254">
        <v>-0.1840388</v>
      </c>
      <c r="U5254">
        <v>-3.0062869999999999</v>
      </c>
      <c r="V5254">
        <v>4.9697249999999998E-2</v>
      </c>
      <c r="W5254">
        <v>6.5963419999999998E-3</v>
      </c>
      <c r="X5254">
        <v>0.99874249999999998</v>
      </c>
      <c r="Y5254">
        <v>-2.4773199999999999E-2</v>
      </c>
      <c r="Z5254">
        <v>6.1086269999999998E-2</v>
      </c>
      <c r="AA5254">
        <v>0.99782499999999996</v>
      </c>
      <c r="AB5254">
        <v>24</v>
      </c>
      <c r="AC5254">
        <v>0.407899999999983</v>
      </c>
      <c r="AD5254">
        <v>-1.1100619367339899</v>
      </c>
      <c r="AE5254">
        <v>-17.884599999999999</v>
      </c>
      <c r="AF5254">
        <v>-0.448321955298568</v>
      </c>
      <c r="AG5254">
        <v>-1.1100619367339899</v>
      </c>
      <c r="AH5254">
        <v>17.814993494897799</v>
      </c>
      <c r="AI5254">
        <v>93.564395883634006</v>
      </c>
      <c r="AJ5254">
        <v>91.441568612541502</v>
      </c>
      <c r="AK5254">
        <v>17.8551735724478</v>
      </c>
      <c r="AL5254">
        <v>89.622054685233095</v>
      </c>
      <c r="AM5254">
        <v>87.151321750759294</v>
      </c>
      <c r="AN5254">
        <v>0.99999995484579496</v>
      </c>
    </row>
    <row r="5255" spans="1:40" x14ac:dyDescent="0.25">
      <c r="A5255" t="str">
        <f>"20190312154942575"</f>
        <v>20190312154942575</v>
      </c>
      <c r="B5255" t="str">
        <f>"1552376982570764"</f>
        <v>1552376982570764</v>
      </c>
      <c r="C5255" t="s">
        <v>40</v>
      </c>
      <c r="D5255">
        <v>4.7149479999999997</v>
      </c>
      <c r="E5255">
        <v>0.47264319999999999</v>
      </c>
      <c r="F5255" t="s">
        <v>42</v>
      </c>
      <c r="G5255">
        <v>-421.6318</v>
      </c>
      <c r="H5255" s="1">
        <v>-1.852552E-6</v>
      </c>
      <c r="I5255">
        <v>42.89537</v>
      </c>
      <c r="J5255">
        <v>-422.03629999999998</v>
      </c>
      <c r="K5255">
        <v>1.110063</v>
      </c>
      <c r="L5255">
        <v>60.743470000000002</v>
      </c>
      <c r="M5255">
        <v>-2.3287590000000001E-3</v>
      </c>
      <c r="N5255">
        <v>0</v>
      </c>
      <c r="O5255">
        <v>-0.99990179999999995</v>
      </c>
      <c r="P5255">
        <v>-5.1840919999999999E-2</v>
      </c>
      <c r="Q5255">
        <v>-6.7330569999999998E-3</v>
      </c>
      <c r="R5255">
        <v>-0.99863259999999998</v>
      </c>
      <c r="S5255">
        <v>6.7169190000000004E-2</v>
      </c>
      <c r="T5255">
        <v>-0.1845465</v>
      </c>
      <c r="U5255">
        <v>-3.0063170000000001</v>
      </c>
      <c r="V5255">
        <v>4.9514860000000001E-2</v>
      </c>
      <c r="W5255">
        <v>7.0707849999999996E-3</v>
      </c>
      <c r="X5255">
        <v>0.99874839999999998</v>
      </c>
      <c r="Y5255">
        <v>-2.46235E-2</v>
      </c>
      <c r="Z5255">
        <v>6.1253740000000001E-2</v>
      </c>
      <c r="AA5255">
        <v>0.99781850000000005</v>
      </c>
      <c r="AB5255">
        <v>24</v>
      </c>
      <c r="AC5255">
        <v>0.40449999999998398</v>
      </c>
      <c r="AD5255">
        <v>-1.110064852552</v>
      </c>
      <c r="AE5255">
        <v>-17.848099999999899</v>
      </c>
      <c r="AF5255">
        <v>-0.44434883291210697</v>
      </c>
      <c r="AG5255">
        <v>-1.110064852552</v>
      </c>
      <c r="AH5255">
        <v>17.778373918337401</v>
      </c>
      <c r="AI5255">
        <v>93.571743459860997</v>
      </c>
      <c r="AJ5255">
        <v>91.431740240944904</v>
      </c>
      <c r="AK5255">
        <v>17.818537230715599</v>
      </c>
      <c r="AL5255">
        <v>89.594870502786605</v>
      </c>
      <c r="AM5255">
        <v>87.161776075670502</v>
      </c>
      <c r="AN5255">
        <v>1.0000000419319399</v>
      </c>
    </row>
    <row r="5256" spans="1:40" x14ac:dyDescent="0.25">
      <c r="A5256" t="str">
        <f>"20190312154942598"</f>
        <v>20190312154942598</v>
      </c>
      <c r="B5256" t="str">
        <f>"1552376982591260"</f>
        <v>1552376982591260</v>
      </c>
      <c r="C5256" t="s">
        <v>40</v>
      </c>
      <c r="D5256">
        <v>4.7115119999999999</v>
      </c>
      <c r="E5256">
        <v>0.4725606</v>
      </c>
      <c r="F5256" t="s">
        <v>42</v>
      </c>
      <c r="G5256">
        <v>-421.62549999999999</v>
      </c>
      <c r="H5256" s="1">
        <v>-1.7765799999999999E-6</v>
      </c>
      <c r="I5256">
        <v>42.722209999999997</v>
      </c>
      <c r="J5256">
        <v>-422.0369</v>
      </c>
      <c r="K5256">
        <v>1.1100669999999999</v>
      </c>
      <c r="L5256">
        <v>60.50226</v>
      </c>
      <c r="M5256">
        <v>-2.2924640000000001E-3</v>
      </c>
      <c r="N5256">
        <v>0</v>
      </c>
      <c r="O5256">
        <v>-0.99990199999999996</v>
      </c>
      <c r="P5256">
        <v>-5.1693099999999999E-2</v>
      </c>
      <c r="Q5256">
        <v>-6.8903860000000001E-3</v>
      </c>
      <c r="R5256">
        <v>-0.99863919999999995</v>
      </c>
      <c r="S5256">
        <v>6.8542480000000003E-2</v>
      </c>
      <c r="T5256">
        <v>-0.1851872</v>
      </c>
      <c r="U5256">
        <v>-3.0064090000000001</v>
      </c>
      <c r="V5256">
        <v>4.9403210000000003E-2</v>
      </c>
      <c r="W5256">
        <v>6.911525E-3</v>
      </c>
      <c r="X5256">
        <v>0.99875499999999995</v>
      </c>
      <c r="Y5256">
        <v>-2.5041810000000001E-2</v>
      </c>
      <c r="Z5256">
        <v>6.1463129999999998E-2</v>
      </c>
      <c r="AA5256">
        <v>0.99779519999999999</v>
      </c>
      <c r="AB5256">
        <v>24</v>
      </c>
      <c r="AC5256">
        <v>0.41140000000001398</v>
      </c>
      <c r="AD5256">
        <v>-1.1100687765799999</v>
      </c>
      <c r="AE5256">
        <v>-17.780049999999999</v>
      </c>
      <c r="AF5256">
        <v>-0.45040821168877199</v>
      </c>
      <c r="AG5256">
        <v>-1.1100687765799999</v>
      </c>
      <c r="AH5256">
        <v>17.710064442751602</v>
      </c>
      <c r="AI5256">
        <v>93.585457283999503</v>
      </c>
      <c r="AJ5256">
        <v>91.456851154933304</v>
      </c>
      <c r="AK5256">
        <v>17.750535282416401</v>
      </c>
      <c r="AL5256">
        <v>89.603995633937103</v>
      </c>
      <c r="AM5256">
        <v>87.168184180027097</v>
      </c>
      <c r="AN5256">
        <v>0.99999999818056395</v>
      </c>
    </row>
    <row r="5257" spans="1:40" x14ac:dyDescent="0.25">
      <c r="A5257" t="str">
        <f>"20190312154942621"</f>
        <v>20190312154942621</v>
      </c>
      <c r="B5257" t="str">
        <f>"1552376982610780"</f>
        <v>1552376982610780</v>
      </c>
      <c r="C5257" t="s">
        <v>40</v>
      </c>
      <c r="D5257">
        <v>4.6956319999999998</v>
      </c>
      <c r="E5257">
        <v>0.47252759999999999</v>
      </c>
      <c r="F5257" t="s">
        <v>42</v>
      </c>
      <c r="G5257">
        <v>-421.625</v>
      </c>
      <c r="H5257" s="1">
        <v>-1.725267E-6</v>
      </c>
      <c r="I5257">
        <v>42.602899999999998</v>
      </c>
      <c r="J5257">
        <v>-422.03739999999999</v>
      </c>
      <c r="K5257">
        <v>1.110074</v>
      </c>
      <c r="L5257">
        <v>60.254359999999998</v>
      </c>
      <c r="M5257">
        <v>-2.244752E-3</v>
      </c>
      <c r="N5257">
        <v>0</v>
      </c>
      <c r="O5257">
        <v>-0.99990219999999996</v>
      </c>
      <c r="P5257">
        <v>-5.1091070000000002E-2</v>
      </c>
      <c r="Q5257">
        <v>-6.6923119999999997E-3</v>
      </c>
      <c r="R5257">
        <v>-0.99867189999999995</v>
      </c>
      <c r="S5257">
        <v>6.9183350000000005E-2</v>
      </c>
      <c r="T5257">
        <v>-0.18644730000000001</v>
      </c>
      <c r="U5257">
        <v>-3.0063780000000002</v>
      </c>
      <c r="V5257">
        <v>4.8848610000000001E-2</v>
      </c>
      <c r="W5257">
        <v>7.1084529999999998E-3</v>
      </c>
      <c r="X5257">
        <v>0.99878089999999997</v>
      </c>
      <c r="Y5257">
        <v>-2.5206329999999999E-2</v>
      </c>
      <c r="Z5257">
        <v>6.1880099999999903E-2</v>
      </c>
      <c r="AA5257">
        <v>0.99776520000000002</v>
      </c>
      <c r="AB5257">
        <v>24</v>
      </c>
      <c r="AC5257">
        <v>0.412399999999991</v>
      </c>
      <c r="AD5257">
        <v>-1.1100757252669999</v>
      </c>
      <c r="AE5257">
        <v>-17.65146</v>
      </c>
      <c r="AF5257">
        <v>-0.450246144978243</v>
      </c>
      <c r="AG5257">
        <v>-1.1100757252669999</v>
      </c>
      <c r="AH5257">
        <v>17.580995200247099</v>
      </c>
      <c r="AI5257">
        <v>93.611716406766305</v>
      </c>
      <c r="AJ5257">
        <v>91.467014009378403</v>
      </c>
      <c r="AK5257">
        <v>17.621758764039601</v>
      </c>
      <c r="AL5257">
        <v>89.592712214747294</v>
      </c>
      <c r="AM5257">
        <v>87.199995735519593</v>
      </c>
      <c r="AN5257">
        <v>1.0000000015038899</v>
      </c>
    </row>
    <row r="5258" spans="1:40" x14ac:dyDescent="0.25">
      <c r="A5258" t="str">
        <f>"20190312154942642"</f>
        <v>20190312154942642</v>
      </c>
      <c r="B5258" t="str">
        <f>"1552376982631275"</f>
        <v>1552376982631275</v>
      </c>
      <c r="C5258" t="s">
        <v>40</v>
      </c>
      <c r="D5258">
        <v>5.104571</v>
      </c>
      <c r="E5258">
        <v>0.47249819999999998</v>
      </c>
      <c r="F5258" t="s">
        <v>42</v>
      </c>
      <c r="G5258">
        <v>-421.61309999999997</v>
      </c>
      <c r="H5258" s="1">
        <v>-1.6155489999999999E-6</v>
      </c>
      <c r="I5258">
        <v>42.354489999999998</v>
      </c>
      <c r="J5258">
        <v>-422.0378</v>
      </c>
      <c r="K5258">
        <v>1.110088</v>
      </c>
      <c r="L5258">
        <v>60.016109999999998</v>
      </c>
      <c r="M5258">
        <v>-2.1871E-3</v>
      </c>
      <c r="N5258">
        <v>0</v>
      </c>
      <c r="O5258">
        <v>-0.99990250000000003</v>
      </c>
      <c r="P5258">
        <v>-5.0913670000000001E-2</v>
      </c>
      <c r="Q5258">
        <v>-6.6957269999999899E-3</v>
      </c>
      <c r="R5258">
        <v>-0.99868109999999999</v>
      </c>
      <c r="S5258">
        <v>7.1258539999999995E-2</v>
      </c>
      <c r="T5258">
        <v>-0.1864431</v>
      </c>
      <c r="U5258">
        <v>-3.0063780000000002</v>
      </c>
      <c r="V5258">
        <v>4.8728580000000001E-2</v>
      </c>
      <c r="W5258">
        <v>7.1041630000000001E-3</v>
      </c>
      <c r="X5258">
        <v>0.99878679999999997</v>
      </c>
      <c r="Y5258">
        <v>-2.5837039999999999E-2</v>
      </c>
      <c r="Z5258">
        <v>6.1877729999999999E-2</v>
      </c>
      <c r="AA5258">
        <v>0.99774929999999995</v>
      </c>
      <c r="AB5258">
        <v>24</v>
      </c>
      <c r="AC5258">
        <v>0.424700000000029</v>
      </c>
      <c r="AD5258">
        <v>-1.1100896155490001</v>
      </c>
      <c r="AE5258">
        <v>-17.6616199999999</v>
      </c>
      <c r="AF5258">
        <v>-0.46150824028631299</v>
      </c>
      <c r="AG5258">
        <v>-1.1100896155490001</v>
      </c>
      <c r="AH5258">
        <v>17.591194477277501</v>
      </c>
      <c r="AI5258">
        <v>93.609614617213893</v>
      </c>
      <c r="AJ5258">
        <v>91.502820645010004</v>
      </c>
      <c r="AK5258">
        <v>17.6322265170284</v>
      </c>
      <c r="AL5258">
        <v>89.592958022388999</v>
      </c>
      <c r="AM5258">
        <v>87.206881424635597</v>
      </c>
      <c r="AN5258">
        <v>1.00000000774749</v>
      </c>
    </row>
    <row r="5259" spans="1:40" x14ac:dyDescent="0.25">
      <c r="A5259" t="str">
        <f>"20190312154942665"</f>
        <v>20190312154942665</v>
      </c>
      <c r="B5259" t="str">
        <f>"1552376982661532"</f>
        <v>1552376982661532</v>
      </c>
      <c r="C5259" t="s">
        <v>40</v>
      </c>
      <c r="D5259">
        <v>4.7245369999999998</v>
      </c>
      <c r="E5259">
        <v>0.49696439999999997</v>
      </c>
      <c r="F5259" t="s">
        <v>42</v>
      </c>
      <c r="G5259">
        <v>-421.6103</v>
      </c>
      <c r="H5259" s="1">
        <v>-1.5061489999999999E-6</v>
      </c>
      <c r="I5259">
        <v>42.101239999999997</v>
      </c>
      <c r="J5259">
        <v>-422.03829999999999</v>
      </c>
      <c r="K5259">
        <v>1.1100989999999999</v>
      </c>
      <c r="L5259">
        <v>59.771120000000003</v>
      </c>
      <c r="M5259">
        <v>-2.1124170000000001E-3</v>
      </c>
      <c r="N5259">
        <v>0</v>
      </c>
      <c r="O5259">
        <v>-0.99990270000000003</v>
      </c>
      <c r="P5259">
        <v>-5.0500580000000003E-2</v>
      </c>
      <c r="Q5259">
        <v>-6.6308160000000003E-3</v>
      </c>
      <c r="R5259">
        <v>-0.99870239999999999</v>
      </c>
      <c r="S5259">
        <v>7.1746829999999998E-2</v>
      </c>
      <c r="T5259">
        <v>-0.18628919999999999</v>
      </c>
      <c r="U5259">
        <v>-3.0063780000000002</v>
      </c>
      <c r="V5259">
        <v>4.8389809999999998E-2</v>
      </c>
      <c r="W5259">
        <v>7.1680569999999898E-3</v>
      </c>
      <c r="X5259">
        <v>0.99880279999999999</v>
      </c>
      <c r="Y5259">
        <v>-2.59244E-2</v>
      </c>
      <c r="Z5259">
        <v>6.182667E-2</v>
      </c>
      <c r="AA5259">
        <v>0.99775020000000003</v>
      </c>
      <c r="AB5259">
        <v>24</v>
      </c>
      <c r="AC5259">
        <v>0.42799999999999699</v>
      </c>
      <c r="AD5259">
        <v>-1.1101005061489999</v>
      </c>
      <c r="AE5259">
        <v>-17.6698799999999</v>
      </c>
      <c r="AF5259">
        <v>-0.46350042613991299</v>
      </c>
      <c r="AG5259">
        <v>-1.1101005061489999</v>
      </c>
      <c r="AH5259">
        <v>17.599513374941001</v>
      </c>
      <c r="AI5259">
        <v>93.607938715513995</v>
      </c>
      <c r="AJ5259">
        <v>91.508591769644397</v>
      </c>
      <c r="AK5259">
        <v>17.640578981811</v>
      </c>
      <c r="AL5259">
        <v>89.589297067026294</v>
      </c>
      <c r="AM5259">
        <v>87.226313628535095</v>
      </c>
      <c r="AN5259">
        <v>0.99999999402041495</v>
      </c>
    </row>
    <row r="5260" spans="1:40" x14ac:dyDescent="0.25">
      <c r="A5260" t="str">
        <f>"20190312154942687"</f>
        <v>20190312154942687</v>
      </c>
      <c r="B5260" t="str">
        <f>"1552376982681051"</f>
        <v>1552376982681051</v>
      </c>
      <c r="C5260" t="s">
        <v>40</v>
      </c>
      <c r="D5260">
        <v>4.7348229999999996</v>
      </c>
      <c r="E5260">
        <v>0.54539040000000005</v>
      </c>
      <c r="F5260" t="s">
        <v>41</v>
      </c>
      <c r="G5260">
        <v>-422.07459999999998</v>
      </c>
      <c r="H5260">
        <v>1.0067299999999999</v>
      </c>
      <c r="I5260">
        <v>58.847029999999997</v>
      </c>
      <c r="J5260">
        <v>-422.03870000000001</v>
      </c>
      <c r="K5260">
        <v>1.1101019999999999</v>
      </c>
      <c r="L5260">
        <v>59.531489999999998</v>
      </c>
      <c r="M5260">
        <v>-2.019781E-3</v>
      </c>
      <c r="N5260">
        <v>0</v>
      </c>
      <c r="O5260">
        <v>-0.99990270000000003</v>
      </c>
      <c r="P5260">
        <v>-4.9953060000000001E-2</v>
      </c>
      <c r="Q5260">
        <v>-6.665374E-3</v>
      </c>
      <c r="R5260">
        <v>-0.99872950000000005</v>
      </c>
      <c r="S5260">
        <v>-0.11648559999999999</v>
      </c>
      <c r="T5260">
        <v>-0.33515009999999901</v>
      </c>
      <c r="U5260">
        <v>-2.9957889999999998</v>
      </c>
      <c r="V5260">
        <v>4.7934589999999999E-2</v>
      </c>
      <c r="W5260">
        <v>7.1327730000000002E-3</v>
      </c>
      <c r="X5260">
        <v>0.99882499999999996</v>
      </c>
      <c r="Y5260">
        <v>3.6594689999999999E-2</v>
      </c>
      <c r="Z5260">
        <v>0.1111012</v>
      </c>
      <c r="AA5260">
        <v>0.99313510000000005</v>
      </c>
      <c r="AB5260">
        <v>24</v>
      </c>
      <c r="AC5260">
        <v>-3.5899999999969602E-2</v>
      </c>
      <c r="AD5260">
        <v>-0.10337200000000001</v>
      </c>
      <c r="AE5260">
        <v>-0.68446000000000096</v>
      </c>
      <c r="AF5260">
        <v>3.3749645892422103E-2</v>
      </c>
      <c r="AG5260">
        <v>-0.10337200000000001</v>
      </c>
      <c r="AH5260">
        <v>0.66930666641452996</v>
      </c>
      <c r="AI5260">
        <v>98.768787725565602</v>
      </c>
      <c r="AJ5260">
        <v>87.113317498926705</v>
      </c>
      <c r="AK5260">
        <v>0.67808275504454096</v>
      </c>
      <c r="AL5260">
        <v>89.591318741770493</v>
      </c>
      <c r="AM5260">
        <v>87.252427474364794</v>
      </c>
      <c r="AN5260">
        <v>0.99999999099706804</v>
      </c>
    </row>
    <row r="5261" spans="1:40" x14ac:dyDescent="0.25">
      <c r="A5261" t="str">
        <f>"20190312154942710"</f>
        <v>20190312154942710</v>
      </c>
      <c r="B5261" t="str">
        <f>"1552376982701548"</f>
        <v>1552376982701548</v>
      </c>
      <c r="C5261" t="s">
        <v>40</v>
      </c>
      <c r="D5261">
        <v>4.7317169999999997</v>
      </c>
      <c r="E5261">
        <v>0.54791380000000001</v>
      </c>
      <c r="F5261" t="s">
        <v>41</v>
      </c>
      <c r="G5261">
        <v>-422.17689999999999</v>
      </c>
      <c r="H5261">
        <v>0.88533809999999902</v>
      </c>
      <c r="I5261">
        <v>58.687220000000003</v>
      </c>
      <c r="J5261">
        <v>-422.03910000000002</v>
      </c>
      <c r="K5261">
        <v>1.1101110000000001</v>
      </c>
      <c r="L5261">
        <v>59.290219999999998</v>
      </c>
      <c r="M5261">
        <v>-1.91011E-3</v>
      </c>
      <c r="N5261">
        <v>0</v>
      </c>
      <c r="O5261">
        <v>-0.99990319999999999</v>
      </c>
      <c r="P5261">
        <v>-4.971445E-2</v>
      </c>
      <c r="Q5261">
        <v>-6.7647200000000001E-3</v>
      </c>
      <c r="R5261">
        <v>-0.99874110000000005</v>
      </c>
      <c r="S5261">
        <v>-0.48562620000000001</v>
      </c>
      <c r="T5261">
        <v>-0.7918191</v>
      </c>
      <c r="U5261">
        <v>-2.974243</v>
      </c>
      <c r="V5261">
        <v>4.7805350000000003E-2</v>
      </c>
      <c r="W5261">
        <v>7.0321619999999998E-3</v>
      </c>
      <c r="X5261">
        <v>0.99883189999999999</v>
      </c>
      <c r="Y5261">
        <v>0.15396660000000001</v>
      </c>
      <c r="Z5261">
        <v>0.25415860000000001</v>
      </c>
      <c r="AA5261">
        <v>0.95482860000000003</v>
      </c>
      <c r="AB5261">
        <v>24</v>
      </c>
      <c r="AC5261">
        <v>-0.13779999999997</v>
      </c>
      <c r="AD5261">
        <v>-0.2247729</v>
      </c>
      <c r="AE5261">
        <v>-0.60300000000000098</v>
      </c>
      <c r="AF5261">
        <v>0.120708084197374</v>
      </c>
      <c r="AG5261">
        <v>-0.2247729</v>
      </c>
      <c r="AH5261">
        <v>0.53289254646010797</v>
      </c>
      <c r="AI5261">
        <v>112.361097516386</v>
      </c>
      <c r="AJ5261">
        <v>77.2370301745528</v>
      </c>
      <c r="AK5261">
        <v>0.59081956995156204</v>
      </c>
      <c r="AL5261">
        <v>89.597083469111894</v>
      </c>
      <c r="AM5261">
        <v>87.259843002847305</v>
      </c>
      <c r="AN5261">
        <v>0.99999998362431297</v>
      </c>
    </row>
    <row r="5262" spans="1:40" x14ac:dyDescent="0.25">
      <c r="A5262" t="str">
        <f>"20190312154942733"</f>
        <v>20190312154942733</v>
      </c>
      <c r="B5262" t="str">
        <f>"1552376982721068"</f>
        <v>1552376982721068</v>
      </c>
      <c r="C5262" t="s">
        <v>40</v>
      </c>
      <c r="D5262">
        <v>4.6238999999999999</v>
      </c>
      <c r="E5262">
        <v>0.54938219999999904</v>
      </c>
      <c r="F5262" t="s">
        <v>41</v>
      </c>
      <c r="G5262">
        <v>-422.17790000000002</v>
      </c>
      <c r="H5262">
        <v>0.87965969999999905</v>
      </c>
      <c r="I5262">
        <v>58.474249999999998</v>
      </c>
      <c r="J5262">
        <v>-422.0394</v>
      </c>
      <c r="K5262">
        <v>1.11012</v>
      </c>
      <c r="L5262">
        <v>59.03931</v>
      </c>
      <c r="M5262">
        <v>-1.7806829999999999E-3</v>
      </c>
      <c r="N5262">
        <v>0</v>
      </c>
      <c r="O5262">
        <v>-0.9999034</v>
      </c>
      <c r="P5262">
        <v>-4.9088550000000002E-2</v>
      </c>
      <c r="Q5262">
        <v>-6.5322089999999998E-3</v>
      </c>
      <c r="R5262">
        <v>-0.99877340000000003</v>
      </c>
      <c r="S5262">
        <v>-0.50314329999999996</v>
      </c>
      <c r="T5262">
        <v>-0.83969159999999898</v>
      </c>
      <c r="U5262">
        <v>-2.9730530000000002</v>
      </c>
      <c r="V5262">
        <v>4.730852E-2</v>
      </c>
      <c r="W5262">
        <v>7.2634219999999899E-3</v>
      </c>
      <c r="X5262">
        <v>0.99885389999999996</v>
      </c>
      <c r="Y5262">
        <v>0.15898809999999999</v>
      </c>
      <c r="Z5262">
        <v>0.26830549999999997</v>
      </c>
      <c r="AA5262">
        <v>0.95012370000000002</v>
      </c>
      <c r="AB5262">
        <v>24</v>
      </c>
      <c r="AC5262">
        <v>-0.138500000000021</v>
      </c>
      <c r="AD5262">
        <v>-0.23046030000000001</v>
      </c>
      <c r="AE5262">
        <v>-0.56506000000000201</v>
      </c>
      <c r="AF5262">
        <v>0.118844896974174</v>
      </c>
      <c r="AG5262">
        <v>-0.23046030000000001</v>
      </c>
      <c r="AH5262">
        <v>0.48863188259974</v>
      </c>
      <c r="AI5262">
        <v>114.621213796446</v>
      </c>
      <c r="AJ5262">
        <v>76.329966772737393</v>
      </c>
      <c r="AK5262">
        <v>0.55317011497898005</v>
      </c>
      <c r="AL5262">
        <v>89.583832908328404</v>
      </c>
      <c r="AM5262">
        <v>87.288337730843296</v>
      </c>
      <c r="AN5262">
        <v>0.99999998345447505</v>
      </c>
    </row>
    <row r="5263" spans="1:40" x14ac:dyDescent="0.25">
      <c r="A5263" t="str">
        <f>"20190312154942756"</f>
        <v>20190312154942756</v>
      </c>
      <c r="B5263" t="str">
        <f>"1552376982751324"</f>
        <v>1552376982751324</v>
      </c>
      <c r="C5263" t="s">
        <v>40</v>
      </c>
      <c r="D5263">
        <v>4.6795589999999896</v>
      </c>
      <c r="E5263">
        <v>0.5501123</v>
      </c>
      <c r="F5263" t="s">
        <v>41</v>
      </c>
      <c r="G5263">
        <v>-422.17450000000002</v>
      </c>
      <c r="H5263">
        <v>0.88486949999999998</v>
      </c>
      <c r="I5263">
        <v>58.257019999999997</v>
      </c>
      <c r="J5263">
        <v>-422.03969999999998</v>
      </c>
      <c r="K5263">
        <v>1.1101299999999901</v>
      </c>
      <c r="L5263">
        <v>58.802860000000003</v>
      </c>
      <c r="M5263">
        <v>-1.6453360000000001E-3</v>
      </c>
      <c r="N5263">
        <v>0</v>
      </c>
      <c r="O5263">
        <v>-0.9999034</v>
      </c>
      <c r="P5263">
        <v>-4.8906579999999998E-2</v>
      </c>
      <c r="Q5263">
        <v>-6.3201580000000002E-3</v>
      </c>
      <c r="R5263">
        <v>-0.99878350000000005</v>
      </c>
      <c r="S5263">
        <v>-0.51257319999999995</v>
      </c>
      <c r="T5263">
        <v>-0.85601130000000003</v>
      </c>
      <c r="U5263">
        <v>-2.9729000000000001</v>
      </c>
      <c r="V5263">
        <v>4.7261610000000003E-2</v>
      </c>
      <c r="W5263">
        <v>7.4737019999999996E-3</v>
      </c>
      <c r="X5263">
        <v>0.99885460000000004</v>
      </c>
      <c r="Y5263">
        <v>0.16183220000000001</v>
      </c>
      <c r="Z5263">
        <v>0.27301189999999997</v>
      </c>
      <c r="AA5263">
        <v>0.94830099999999995</v>
      </c>
      <c r="AB5263">
        <v>24</v>
      </c>
      <c r="AC5263">
        <v>-0.134800000000041</v>
      </c>
      <c r="AD5263">
        <v>-0.225260499999999</v>
      </c>
      <c r="AE5263">
        <v>-0.54583999999999799</v>
      </c>
      <c r="AF5263">
        <v>0.115380746533096</v>
      </c>
      <c r="AG5263">
        <v>-0.225260499999999</v>
      </c>
      <c r="AH5263">
        <v>0.47053145489202702</v>
      </c>
      <c r="AI5263">
        <v>114.936607794745</v>
      </c>
      <c r="AJ5263">
        <v>76.222150546557103</v>
      </c>
      <c r="AK5263">
        <v>0.53427975778012804</v>
      </c>
      <c r="AL5263">
        <v>89.571784437563906</v>
      </c>
      <c r="AM5263">
        <v>87.291024438755002</v>
      </c>
      <c r="AN5263">
        <v>1.0000000139712599</v>
      </c>
    </row>
    <row r="5264" spans="1:40" x14ac:dyDescent="0.25">
      <c r="A5264" t="str">
        <f>"20190312154942777"</f>
        <v>20190312154942777</v>
      </c>
      <c r="B5264" t="str">
        <f>"1552376982770843"</f>
        <v>1552376982770843</v>
      </c>
      <c r="C5264" t="s">
        <v>40</v>
      </c>
      <c r="D5264">
        <v>4.6857550000000003</v>
      </c>
      <c r="E5264">
        <v>0.5503844</v>
      </c>
      <c r="F5264" t="s">
        <v>41</v>
      </c>
      <c r="G5264">
        <v>-422.1728</v>
      </c>
      <c r="H5264">
        <v>0.888177199999999</v>
      </c>
      <c r="I5264">
        <v>58.04081</v>
      </c>
      <c r="J5264">
        <v>-422.03989999999999</v>
      </c>
      <c r="K5264">
        <v>1.1101379999999901</v>
      </c>
      <c r="L5264">
        <v>58.565829999999998</v>
      </c>
      <c r="M5264">
        <v>-1.4963159999999999E-3</v>
      </c>
      <c r="N5264">
        <v>0</v>
      </c>
      <c r="O5264">
        <v>-0.99990389999999996</v>
      </c>
      <c r="P5264">
        <v>-4.917378E-2</v>
      </c>
      <c r="Q5264">
        <v>-6.5273759999999997E-3</v>
      </c>
      <c r="R5264">
        <v>-0.99876920000000002</v>
      </c>
      <c r="S5264">
        <v>-0.51708980000000004</v>
      </c>
      <c r="T5264">
        <v>-0.86588619999999905</v>
      </c>
      <c r="U5264">
        <v>-2.972839</v>
      </c>
      <c r="V5264">
        <v>4.7677579999999997E-2</v>
      </c>
      <c r="W5264">
        <v>7.2648529999999999E-3</v>
      </c>
      <c r="X5264">
        <v>0.99883630000000001</v>
      </c>
      <c r="Y5264">
        <v>0.16324159999999999</v>
      </c>
      <c r="Z5264">
        <v>0.27585979999999999</v>
      </c>
      <c r="AA5264">
        <v>0.94723469999999999</v>
      </c>
      <c r="AB5264">
        <v>24</v>
      </c>
      <c r="AC5264">
        <v>-0.13290000000000601</v>
      </c>
      <c r="AD5264">
        <v>-0.22196080000000001</v>
      </c>
      <c r="AE5264">
        <v>-0.52502000000000404</v>
      </c>
      <c r="AF5264">
        <v>0.11311449912509999</v>
      </c>
      <c r="AG5264">
        <v>-0.22196080000000001</v>
      </c>
      <c r="AH5264">
        <v>0.44968529215911102</v>
      </c>
      <c r="AI5264">
        <v>115.579500886258</v>
      </c>
      <c r="AJ5264">
        <v>75.880662317434897</v>
      </c>
      <c r="AK5264">
        <v>0.51408009943314004</v>
      </c>
      <c r="AL5264">
        <v>89.583750898631195</v>
      </c>
      <c r="AM5264">
        <v>87.267167560062006</v>
      </c>
      <c r="AN5264">
        <v>0.99999994196072695</v>
      </c>
    </row>
    <row r="5265" spans="1:40" x14ac:dyDescent="0.25">
      <c r="A5265" t="str">
        <f>"20190312154942799"</f>
        <v>20190312154942799</v>
      </c>
      <c r="B5265" t="str">
        <f>"1552376982791340"</f>
        <v>1552376982791340</v>
      </c>
      <c r="C5265" t="s">
        <v>40</v>
      </c>
      <c r="D5265">
        <v>4.6785709999999998</v>
      </c>
      <c r="E5265">
        <v>0.55067600000000005</v>
      </c>
      <c r="F5265" t="s">
        <v>41</v>
      </c>
      <c r="G5265">
        <v>-422.17</v>
      </c>
      <c r="H5265">
        <v>0.89285590000000004</v>
      </c>
      <c r="I5265">
        <v>57.824359999999999</v>
      </c>
      <c r="J5265">
        <v>-422.0401</v>
      </c>
      <c r="K5265">
        <v>1.1101510000000001</v>
      </c>
      <c r="L5265">
        <v>58.335479999999997</v>
      </c>
      <c r="M5265">
        <v>-1.3388439999999901E-3</v>
      </c>
      <c r="N5265">
        <v>0</v>
      </c>
      <c r="O5265">
        <v>-0.99990420000000002</v>
      </c>
      <c r="P5265">
        <v>-4.9442510000000002E-2</v>
      </c>
      <c r="Q5265">
        <v>-6.678547E-3</v>
      </c>
      <c r="R5265">
        <v>-0.9987549</v>
      </c>
      <c r="S5265">
        <v>-0.52017209999999903</v>
      </c>
      <c r="T5265">
        <v>-0.87104169999999903</v>
      </c>
      <c r="U5265">
        <v>-2.9723820000000001</v>
      </c>
      <c r="V5265">
        <v>4.8103529999999999E-2</v>
      </c>
      <c r="W5265">
        <v>7.1122690000000001E-3</v>
      </c>
      <c r="X5265">
        <v>0.99881699999999995</v>
      </c>
      <c r="Y5265">
        <v>0.1642998</v>
      </c>
      <c r="Z5265">
        <v>0.27736620000000001</v>
      </c>
      <c r="AA5265">
        <v>0.9466116</v>
      </c>
      <c r="AB5265">
        <v>24</v>
      </c>
      <c r="AC5265">
        <v>-0.12990000000002</v>
      </c>
      <c r="AD5265">
        <v>-0.21729509999999999</v>
      </c>
      <c r="AE5265">
        <v>-0.51112000000000501</v>
      </c>
      <c r="AF5265">
        <v>0.110461938667459</v>
      </c>
      <c r="AG5265">
        <v>-0.21729509999999999</v>
      </c>
      <c r="AH5265">
        <v>0.43708738192386198</v>
      </c>
      <c r="AI5265">
        <v>115.733581075096</v>
      </c>
      <c r="AJ5265">
        <v>75.817023699881005</v>
      </c>
      <c r="AK5265">
        <v>0.50046416436668095</v>
      </c>
      <c r="AL5265">
        <v>89.592493554354505</v>
      </c>
      <c r="AM5265">
        <v>87.242736835180295</v>
      </c>
      <c r="AN5265">
        <v>0.99999996672889402</v>
      </c>
    </row>
    <row r="5266" spans="1:40" x14ac:dyDescent="0.25">
      <c r="A5266" t="str">
        <f>"20190312154942822"</f>
        <v>20190312154942822</v>
      </c>
      <c r="B5266" t="str">
        <f>"1552376982810860"</f>
        <v>1552376982810860</v>
      </c>
      <c r="C5266" t="s">
        <v>40</v>
      </c>
      <c r="D5266">
        <v>4.6785899999999998</v>
      </c>
      <c r="E5266">
        <v>0.55086080000000004</v>
      </c>
      <c r="F5266" t="s">
        <v>41</v>
      </c>
      <c r="G5266">
        <v>-422.16860000000003</v>
      </c>
      <c r="H5266">
        <v>0.89633479999999999</v>
      </c>
      <c r="I5266">
        <v>57.60859</v>
      </c>
      <c r="J5266">
        <v>-422.0403</v>
      </c>
      <c r="K5266">
        <v>1.1101589999999999</v>
      </c>
      <c r="L5266">
        <v>58.087710000000001</v>
      </c>
      <c r="M5266">
        <v>-1.154361E-3</v>
      </c>
      <c r="N5266">
        <v>0</v>
      </c>
      <c r="O5266">
        <v>-0.99990420000000002</v>
      </c>
      <c r="P5266">
        <v>-4.9739499999999999E-2</v>
      </c>
      <c r="Q5266">
        <v>-6.7592260000000001E-3</v>
      </c>
      <c r="R5266">
        <v>-0.99873920000000005</v>
      </c>
      <c r="S5266">
        <v>-0.52337650000000002</v>
      </c>
      <c r="T5266">
        <v>-0.87424429999999997</v>
      </c>
      <c r="U5266">
        <v>-2.9719850000000001</v>
      </c>
      <c r="V5266">
        <v>4.8584639999999998E-2</v>
      </c>
      <c r="W5266">
        <v>7.0302539999999997E-3</v>
      </c>
      <c r="X5266">
        <v>0.99879430000000002</v>
      </c>
      <c r="Y5266">
        <v>0.1654467</v>
      </c>
      <c r="Z5266">
        <v>0.27828930000000002</v>
      </c>
      <c r="AA5266">
        <v>0.9461408</v>
      </c>
      <c r="AB5266">
        <v>24</v>
      </c>
      <c r="AC5266">
        <v>-0.12830000000002401</v>
      </c>
      <c r="AD5266">
        <v>-0.21382419999999999</v>
      </c>
      <c r="AE5266">
        <v>-0.479119999999994</v>
      </c>
      <c r="AF5266">
        <v>0.10772645570902201</v>
      </c>
      <c r="AG5266">
        <v>-0.21382419999999999</v>
      </c>
      <c r="AH5266">
        <v>0.40415750254553201</v>
      </c>
      <c r="AI5266">
        <v>117.07671579146501</v>
      </c>
      <c r="AJ5266">
        <v>75.075052261390198</v>
      </c>
      <c r="AK5266">
        <v>0.469754259830723</v>
      </c>
      <c r="AL5266">
        <v>89.597192787768506</v>
      </c>
      <c r="AM5266">
        <v>87.215139925931396</v>
      </c>
      <c r="AN5266">
        <v>0.99999997271386099</v>
      </c>
    </row>
    <row r="5267" spans="1:40" x14ac:dyDescent="0.25">
      <c r="A5267" t="str">
        <f>"20190312154942844"</f>
        <v>20190312154942844</v>
      </c>
      <c r="B5267" t="str">
        <f>"1552376982831356"</f>
        <v>1552376982831356</v>
      </c>
      <c r="C5267" t="s">
        <v>40</v>
      </c>
      <c r="D5267">
        <v>4.6684549999999998</v>
      </c>
      <c r="E5267">
        <v>0.55058909999999905</v>
      </c>
      <c r="F5267" t="s">
        <v>41</v>
      </c>
      <c r="G5267">
        <v>-422.16359999999997</v>
      </c>
      <c r="H5267">
        <v>0.90460300000000005</v>
      </c>
      <c r="I5267">
        <v>57.391199999999998</v>
      </c>
      <c r="J5267">
        <v>-422.0403</v>
      </c>
      <c r="K5267">
        <v>1.110171</v>
      </c>
      <c r="L5267">
        <v>57.855499999999999</v>
      </c>
      <c r="M5267">
        <v>-9.6260469999999996E-4</v>
      </c>
      <c r="N5267">
        <v>0</v>
      </c>
      <c r="O5267">
        <v>-0.99990449999999997</v>
      </c>
      <c r="P5267">
        <v>-4.9918700000000003E-2</v>
      </c>
      <c r="Q5267">
        <v>-6.6348500000000003E-3</v>
      </c>
      <c r="R5267">
        <v>-0.99873140000000005</v>
      </c>
      <c r="S5267">
        <v>-0.52575680000000002</v>
      </c>
      <c r="T5267">
        <v>-0.87703589999999998</v>
      </c>
      <c r="U5267">
        <v>-2.9716800000000001</v>
      </c>
      <c r="V5267">
        <v>4.8955150000000003E-2</v>
      </c>
      <c r="W5267">
        <v>7.1537529999999997E-3</v>
      </c>
      <c r="X5267">
        <v>0.99877539999999998</v>
      </c>
      <c r="Y5267">
        <v>0.1663463</v>
      </c>
      <c r="Z5267">
        <v>0.27909469999999997</v>
      </c>
      <c r="AA5267">
        <v>0.94574579999999997</v>
      </c>
      <c r="AB5267">
        <v>24</v>
      </c>
      <c r="AC5267">
        <v>-0.123299999999972</v>
      </c>
      <c r="AD5267">
        <v>-0.205568</v>
      </c>
      <c r="AE5267">
        <v>-0.46430000000000099</v>
      </c>
      <c r="AF5267">
        <v>0.103838791482753</v>
      </c>
      <c r="AG5267">
        <v>-0.205568</v>
      </c>
      <c r="AH5267">
        <v>0.392539610508578</v>
      </c>
      <c r="AI5267">
        <v>116.851869431425</v>
      </c>
      <c r="AJ5267">
        <v>75.182898552305204</v>
      </c>
      <c r="AK5267">
        <v>0.45511322004400701</v>
      </c>
      <c r="AL5267">
        <v>89.590116666241897</v>
      </c>
      <c r="AM5267">
        <v>87.193883180814794</v>
      </c>
      <c r="AN5267">
        <v>1.00000004126933</v>
      </c>
    </row>
    <row r="5268" spans="1:40" x14ac:dyDescent="0.25">
      <c r="A5268" t="str">
        <f>"20190312154942867"</f>
        <v>20190312154942867</v>
      </c>
      <c r="B5268" t="str">
        <f>"1552376982860636"</f>
        <v>1552376982860636</v>
      </c>
      <c r="C5268" t="s">
        <v>40</v>
      </c>
      <c r="D5268">
        <v>4.6459140000000003</v>
      </c>
      <c r="E5268">
        <v>0.54940669999999903</v>
      </c>
      <c r="F5268" t="s">
        <v>41</v>
      </c>
      <c r="G5268">
        <v>-422.16059999999999</v>
      </c>
      <c r="H5268">
        <v>0.90961590000000003</v>
      </c>
      <c r="I5268">
        <v>57.175409999999999</v>
      </c>
      <c r="J5268">
        <v>-422.0403</v>
      </c>
      <c r="K5268">
        <v>1.110193</v>
      </c>
      <c r="L5268">
        <v>57.611510000000003</v>
      </c>
      <c r="M5268">
        <v>-7.3827669999999997E-4</v>
      </c>
      <c r="N5268">
        <v>0</v>
      </c>
      <c r="O5268">
        <v>-0.99990469999999998</v>
      </c>
      <c r="P5268">
        <v>-4.9865319999999998E-2</v>
      </c>
      <c r="Q5268">
        <v>-6.5028419999999896E-3</v>
      </c>
      <c r="R5268">
        <v>-0.99873480000000003</v>
      </c>
      <c r="S5268">
        <v>-0.52426149999999905</v>
      </c>
      <c r="T5268">
        <v>-0.87639630000000002</v>
      </c>
      <c r="U5268">
        <v>-2.9718019999999998</v>
      </c>
      <c r="V5268">
        <v>4.9125530000000001E-2</v>
      </c>
      <c r="W5268">
        <v>7.2848779999999998E-3</v>
      </c>
      <c r="X5268">
        <v>0.99876609999999999</v>
      </c>
      <c r="Y5268">
        <v>0.16610820000000001</v>
      </c>
      <c r="Z5268">
        <v>0.27891359999999998</v>
      </c>
      <c r="AA5268">
        <v>0.94584100000000004</v>
      </c>
      <c r="AB5268">
        <v>24</v>
      </c>
      <c r="AC5268">
        <v>-0.120299999999986</v>
      </c>
      <c r="AD5268">
        <v>-0.20057710000000001</v>
      </c>
      <c r="AE5268">
        <v>-0.43609999999999599</v>
      </c>
      <c r="AF5268">
        <v>0.10026739323787701</v>
      </c>
      <c r="AG5268">
        <v>-0.20057710000000001</v>
      </c>
      <c r="AH5268">
        <v>0.364529445078835</v>
      </c>
      <c r="AI5268">
        <v>117.947384894046</v>
      </c>
      <c r="AJ5268">
        <v>74.620563848789303</v>
      </c>
      <c r="AK5268">
        <v>0.42797948492960802</v>
      </c>
      <c r="AL5268">
        <v>89.582603567328604</v>
      </c>
      <c r="AM5268">
        <v>87.184106486028696</v>
      </c>
      <c r="AN5268">
        <v>1.0000000548272301</v>
      </c>
    </row>
    <row r="5269" spans="1:40" x14ac:dyDescent="0.25">
      <c r="A5269" t="str">
        <f>"20190312154942887"</f>
        <v>20190312154942887</v>
      </c>
      <c r="B5269" t="str">
        <f>"1552376982881132"</f>
        <v>1552376982881132</v>
      </c>
      <c r="C5269" t="s">
        <v>40</v>
      </c>
      <c r="D5269">
        <v>4.6227019999999897</v>
      </c>
      <c r="E5269">
        <v>0.5486953</v>
      </c>
      <c r="F5269" t="s">
        <v>41</v>
      </c>
      <c r="G5269">
        <v>-422.18689999999998</v>
      </c>
      <c r="H5269">
        <v>0.86301819999999896</v>
      </c>
      <c r="I5269">
        <v>56.767519999999998</v>
      </c>
      <c r="J5269">
        <v>-422.04020000000003</v>
      </c>
      <c r="K5269">
        <v>1.110212</v>
      </c>
      <c r="L5269">
        <v>57.383299999999998</v>
      </c>
      <c r="M5269">
        <v>-5.0559559999999995E-4</v>
      </c>
      <c r="N5269">
        <v>0</v>
      </c>
      <c r="O5269">
        <v>-0.99990489999999999</v>
      </c>
      <c r="P5269">
        <v>-4.9240619999999999E-2</v>
      </c>
      <c r="Q5269">
        <v>-6.4656130000000003E-3</v>
      </c>
      <c r="R5269">
        <v>-0.99876600000000004</v>
      </c>
      <c r="S5269">
        <v>-0.5148315</v>
      </c>
      <c r="T5269">
        <v>-0.87054819999999999</v>
      </c>
      <c r="U5269">
        <v>-2.9724119999999998</v>
      </c>
      <c r="V5269">
        <v>4.8732980000000002E-2</v>
      </c>
      <c r="W5269">
        <v>7.3215950000000002E-3</v>
      </c>
      <c r="X5269">
        <v>0.99878500000000003</v>
      </c>
      <c r="Y5269">
        <v>0.16347249999999999</v>
      </c>
      <c r="Z5269">
        <v>0.27727689999999999</v>
      </c>
      <c r="AA5269">
        <v>0.94678099999999998</v>
      </c>
      <c r="AB5269">
        <v>24</v>
      </c>
      <c r="AC5269">
        <v>-0.14669999999995201</v>
      </c>
      <c r="AD5269">
        <v>-0.24719379999999999</v>
      </c>
      <c r="AE5269">
        <v>-0.61577999999999999</v>
      </c>
      <c r="AF5269">
        <v>0.127019112605743</v>
      </c>
      <c r="AG5269">
        <v>-0.24719379999999999</v>
      </c>
      <c r="AH5269">
        <v>0.53436696994303801</v>
      </c>
      <c r="AI5269">
        <v>114.230234810505</v>
      </c>
      <c r="AJ5269">
        <v>76.628926232948302</v>
      </c>
      <c r="AK5269">
        <v>0.60231776355317102</v>
      </c>
      <c r="AL5269">
        <v>89.580499756121597</v>
      </c>
      <c r="AM5269">
        <v>87.206624590194807</v>
      </c>
      <c r="AN5269">
        <v>0.99999999265901196</v>
      </c>
    </row>
    <row r="5270" spans="1:40" x14ac:dyDescent="0.25">
      <c r="A5270" t="str">
        <f>"20190312154942910"</f>
        <v>20190312154942910</v>
      </c>
      <c r="B5270" t="str">
        <f>"1552376982900651"</f>
        <v>1552376982900651</v>
      </c>
      <c r="C5270" t="s">
        <v>40</v>
      </c>
      <c r="D5270">
        <v>4.5814589999999997</v>
      </c>
      <c r="E5270">
        <v>0.54807099999999997</v>
      </c>
      <c r="F5270" t="s">
        <v>41</v>
      </c>
      <c r="G5270">
        <v>-422.18180000000001</v>
      </c>
      <c r="H5270">
        <v>0.86801479999999998</v>
      </c>
      <c r="I5270">
        <v>56.55265</v>
      </c>
      <c r="J5270">
        <v>-422.04</v>
      </c>
      <c r="K5270">
        <v>1.1102289999999999</v>
      </c>
      <c r="L5270">
        <v>57.144410000000001</v>
      </c>
      <c r="M5270">
        <v>-2.4212499999999999E-4</v>
      </c>
      <c r="N5270">
        <v>0</v>
      </c>
      <c r="O5270">
        <v>-0.99990520000000005</v>
      </c>
      <c r="P5270">
        <v>-4.8694550000000003E-2</v>
      </c>
      <c r="Q5270">
        <v>-6.2732860000000003E-3</v>
      </c>
      <c r="R5270">
        <v>-0.99879410000000002</v>
      </c>
      <c r="S5270">
        <v>-0.50695800000000002</v>
      </c>
      <c r="T5270">
        <v>-0.86687599999999998</v>
      </c>
      <c r="U5270">
        <v>-2.9730829999999999</v>
      </c>
      <c r="V5270">
        <v>4.8449739999999998E-2</v>
      </c>
      <c r="W5270">
        <v>7.513278E-3</v>
      </c>
      <c r="X5270">
        <v>0.99879739999999995</v>
      </c>
      <c r="Y5270">
        <v>0.16131019999999999</v>
      </c>
      <c r="Z5270">
        <v>0.27624739999999998</v>
      </c>
      <c r="AA5270">
        <v>0.94745259999999998</v>
      </c>
      <c r="AB5270">
        <v>24</v>
      </c>
      <c r="AC5270">
        <v>-0.14179999999998899</v>
      </c>
      <c r="AD5270">
        <v>-0.24221419999999999</v>
      </c>
      <c r="AE5270">
        <v>-0.59175999999999995</v>
      </c>
      <c r="AF5270">
        <v>0.122282459506656</v>
      </c>
      <c r="AG5270">
        <v>-0.24221419999999999</v>
      </c>
      <c r="AH5270">
        <v>0.51085521309901305</v>
      </c>
      <c r="AI5270">
        <v>114.754834504889</v>
      </c>
      <c r="AJ5270">
        <v>76.538503100992898</v>
      </c>
      <c r="AK5270">
        <v>0.57844080711432799</v>
      </c>
      <c r="AL5270">
        <v>89.569516845835693</v>
      </c>
      <c r="AM5270">
        <v>87.222868846042303</v>
      </c>
      <c r="AN5270">
        <v>1.00000003644956</v>
      </c>
    </row>
    <row r="5271" spans="1:40" x14ac:dyDescent="0.25">
      <c r="A5271" t="str">
        <f>"20190312154942933"</f>
        <v>20190312154942933</v>
      </c>
      <c r="B5271" t="str">
        <f>"1552376982921148"</f>
        <v>1552376982921148</v>
      </c>
      <c r="C5271" t="s">
        <v>40</v>
      </c>
      <c r="D5271">
        <v>4.5871829999999996</v>
      </c>
      <c r="E5271">
        <v>0.54759899999999995</v>
      </c>
      <c r="F5271" t="s">
        <v>41</v>
      </c>
      <c r="G5271">
        <v>-422.1764</v>
      </c>
      <c r="H5271">
        <v>0.87582559999999998</v>
      </c>
      <c r="I5271">
        <v>56.336860000000001</v>
      </c>
      <c r="J5271">
        <v>-422.03969999999998</v>
      </c>
      <c r="K5271">
        <v>1.1102430000000001</v>
      </c>
      <c r="L5271">
        <v>56.899019999999901</v>
      </c>
      <c r="M5271" s="1">
        <v>4.9988860000000002E-5</v>
      </c>
      <c r="N5271">
        <v>0</v>
      </c>
      <c r="O5271">
        <v>-0.99990520000000005</v>
      </c>
      <c r="P5271">
        <v>-4.8273330000000003E-2</v>
      </c>
      <c r="Q5271">
        <v>-6.3377140000000004E-3</v>
      </c>
      <c r="R5271">
        <v>-0.99881419999999999</v>
      </c>
      <c r="S5271">
        <v>-0.50036619999999998</v>
      </c>
      <c r="T5271">
        <v>-0.86324789999999996</v>
      </c>
      <c r="U5271">
        <v>-2.9738159999999998</v>
      </c>
      <c r="V5271">
        <v>4.8320099999999998E-2</v>
      </c>
      <c r="W5271">
        <v>7.4484299999999998E-3</v>
      </c>
      <c r="X5271">
        <v>0.99880420000000003</v>
      </c>
      <c r="Y5271">
        <v>0.15956719999999999</v>
      </c>
      <c r="Z5271">
        <v>0.27520420000000001</v>
      </c>
      <c r="AA5271">
        <v>0.94805119999999998</v>
      </c>
      <c r="AB5271">
        <v>24</v>
      </c>
      <c r="AC5271">
        <v>-0.136700000000018</v>
      </c>
      <c r="AD5271">
        <v>-0.2344174</v>
      </c>
      <c r="AE5271">
        <v>-0.56215999999999799</v>
      </c>
      <c r="AF5271">
        <v>0.117446235489768</v>
      </c>
      <c r="AG5271">
        <v>-0.2344174</v>
      </c>
      <c r="AH5271">
        <v>0.48287638733455801</v>
      </c>
      <c r="AI5271">
        <v>115.253650191418</v>
      </c>
      <c r="AJ5271">
        <v>76.329833648423801</v>
      </c>
      <c r="AK5271">
        <v>0.54946768885781805</v>
      </c>
      <c r="AL5271">
        <v>89.573232480936795</v>
      </c>
      <c r="AM5271">
        <v>87.230307030259596</v>
      </c>
      <c r="AN5271">
        <v>1.0000000705555501</v>
      </c>
    </row>
    <row r="5272" spans="1:40" x14ac:dyDescent="0.25">
      <c r="A5272" t="str">
        <f>"20190312154942956"</f>
        <v>20190312154942956</v>
      </c>
      <c r="B5272" t="str">
        <f>"1552376982951404"</f>
        <v>1552376982951404</v>
      </c>
      <c r="C5272" t="s">
        <v>40</v>
      </c>
      <c r="D5272">
        <v>4.539129</v>
      </c>
      <c r="E5272">
        <v>0.54726919999999901</v>
      </c>
      <c r="F5272" t="s">
        <v>41</v>
      </c>
      <c r="G5272">
        <v>-422.16980000000001</v>
      </c>
      <c r="H5272">
        <v>0.88532269999999902</v>
      </c>
      <c r="I5272">
        <v>56.120640000000002</v>
      </c>
      <c r="J5272">
        <v>-422.0394</v>
      </c>
      <c r="K5272">
        <v>1.110255</v>
      </c>
      <c r="L5272">
        <v>56.662019999999998</v>
      </c>
      <c r="M5272">
        <v>3.5434639999999999E-4</v>
      </c>
      <c r="N5272">
        <v>0</v>
      </c>
      <c r="O5272">
        <v>-0.99990520000000005</v>
      </c>
      <c r="P5272">
        <v>-4.7738320000000001E-2</v>
      </c>
      <c r="Q5272">
        <v>-6.4313549999999997E-3</v>
      </c>
      <c r="R5272">
        <v>-0.99883940000000004</v>
      </c>
      <c r="S5272">
        <v>-0.49624629999999997</v>
      </c>
      <c r="T5272">
        <v>-0.85942079999999998</v>
      </c>
      <c r="U5272">
        <v>-2.9741209999999998</v>
      </c>
      <c r="V5272">
        <v>4.808892E-2</v>
      </c>
      <c r="W5272">
        <v>7.3535409999999999E-3</v>
      </c>
      <c r="X5272">
        <v>0.99881600000000004</v>
      </c>
      <c r="Y5272">
        <v>0.15862570000000001</v>
      </c>
      <c r="Z5272">
        <v>0.27410109999999999</v>
      </c>
      <c r="AA5272">
        <v>0.94852860000000006</v>
      </c>
      <c r="AB5272">
        <v>24</v>
      </c>
      <c r="AC5272">
        <v>-0.13040000000000801</v>
      </c>
      <c r="AD5272">
        <v>-0.2249323</v>
      </c>
      <c r="AE5272">
        <v>-0.54137999999999598</v>
      </c>
      <c r="AF5272">
        <v>0.11227357846399801</v>
      </c>
      <c r="AG5272">
        <v>-0.2249323</v>
      </c>
      <c r="AH5272">
        <v>0.46540025004135899</v>
      </c>
      <c r="AI5272">
        <v>115.165605384101</v>
      </c>
      <c r="AJ5272">
        <v>76.437059184345202</v>
      </c>
      <c r="AK5272">
        <v>0.52895868339877095</v>
      </c>
      <c r="AL5272">
        <v>89.578669343303204</v>
      </c>
      <c r="AM5272">
        <v>87.243570223740605</v>
      </c>
      <c r="AN5272">
        <v>1.0000000103240001</v>
      </c>
    </row>
    <row r="5273" spans="1:40" x14ac:dyDescent="0.25">
      <c r="A5273" t="str">
        <f>"20190312154942978"</f>
        <v>20190312154942978</v>
      </c>
      <c r="B5273" t="str">
        <f>"1552376982970924"</f>
        <v>1552376982970924</v>
      </c>
      <c r="C5273" t="s">
        <v>40</v>
      </c>
      <c r="D5273">
        <v>5.4131790000000004</v>
      </c>
      <c r="E5273">
        <v>0.5473422</v>
      </c>
      <c r="F5273" t="s">
        <v>41</v>
      </c>
      <c r="G5273">
        <v>-422.16480000000001</v>
      </c>
      <c r="H5273">
        <v>0.89202230000000005</v>
      </c>
      <c r="I5273">
        <v>55.905819999999999</v>
      </c>
      <c r="J5273">
        <v>-422.03890000000001</v>
      </c>
      <c r="K5273">
        <v>1.1102700000000001</v>
      </c>
      <c r="L5273">
        <v>56.424770000000002</v>
      </c>
      <c r="M5273">
        <v>6.8072499999999997E-4</v>
      </c>
      <c r="N5273">
        <v>0</v>
      </c>
      <c r="O5273">
        <v>-0.99990500000000004</v>
      </c>
      <c r="P5273">
        <v>-4.7417349999999997E-2</v>
      </c>
      <c r="Q5273">
        <v>-7.0940209999999998E-3</v>
      </c>
      <c r="R5273">
        <v>-0.99885009999999996</v>
      </c>
      <c r="S5273">
        <v>-0.4920349</v>
      </c>
      <c r="T5273">
        <v>-0.85844540000000003</v>
      </c>
      <c r="U5273">
        <v>-2.9744570000000001</v>
      </c>
      <c r="V5273">
        <v>4.8094100000000001E-2</v>
      </c>
      <c r="W5273">
        <v>6.6898010000000004E-3</v>
      </c>
      <c r="X5273">
        <v>0.99882040000000005</v>
      </c>
      <c r="Y5273">
        <v>0.15763550000000001</v>
      </c>
      <c r="Z5273">
        <v>0.27383629999999998</v>
      </c>
      <c r="AA5273">
        <v>0.94877009999999995</v>
      </c>
      <c r="AB5273">
        <v>24</v>
      </c>
      <c r="AC5273">
        <v>-0.12590000000000101</v>
      </c>
      <c r="AD5273">
        <v>-0.21824769999999999</v>
      </c>
      <c r="AE5273">
        <v>-0.51894999999999603</v>
      </c>
      <c r="AF5273">
        <v>0.108182809598554</v>
      </c>
      <c r="AG5273">
        <v>-0.21824769999999999</v>
      </c>
      <c r="AH5273">
        <v>0.44459985129438701</v>
      </c>
      <c r="AI5273">
        <v>115.49967727863999</v>
      </c>
      <c r="AJ5273">
        <v>76.324203297423296</v>
      </c>
      <c r="AK5273">
        <v>0.50695621765485599</v>
      </c>
      <c r="AL5273">
        <v>89.616699775456198</v>
      </c>
      <c r="AM5273">
        <v>87.243285892241303</v>
      </c>
      <c r="AN5273">
        <v>0.99999999367419401</v>
      </c>
    </row>
    <row r="5274" spans="1:40" x14ac:dyDescent="0.25">
      <c r="A5274" t="str">
        <f>"20190312154943111"</f>
        <v>20190312154943111</v>
      </c>
      <c r="B5274" t="str">
        <f>"1552376983100731"</f>
        <v>1552376983100731</v>
      </c>
      <c r="C5274" t="s">
        <v>40</v>
      </c>
      <c r="D5274">
        <v>4.5271819999999998</v>
      </c>
      <c r="E5274">
        <v>0.43351430000000002</v>
      </c>
      <c r="F5274" t="s">
        <v>41</v>
      </c>
      <c r="G5274">
        <v>-421.9314</v>
      </c>
      <c r="H5274">
        <v>0.85657559999999999</v>
      </c>
      <c r="I5274">
        <v>54.436100000000003</v>
      </c>
      <c r="J5274">
        <v>-422.03390000000002</v>
      </c>
      <c r="K5274">
        <v>1.110317</v>
      </c>
      <c r="L5274">
        <v>55.019649999999999</v>
      </c>
      <c r="M5274">
        <v>3.0440089999999999E-3</v>
      </c>
      <c r="N5274">
        <v>0</v>
      </c>
      <c r="O5274">
        <v>-0.99990109999999999</v>
      </c>
      <c r="P5274">
        <v>-4.0811380000000001E-2</v>
      </c>
      <c r="Q5274">
        <v>-1.0114039999999999E-2</v>
      </c>
      <c r="R5274">
        <v>-0.999116</v>
      </c>
      <c r="S5274">
        <v>0.38046259999999998</v>
      </c>
      <c r="T5274">
        <v>-0.93096219999999996</v>
      </c>
      <c r="U5274">
        <v>-3.0095830000000001</v>
      </c>
      <c r="V5274">
        <v>4.3850340000000002E-2</v>
      </c>
      <c r="W5274">
        <v>3.6638339999999999E-3</v>
      </c>
      <c r="X5274">
        <v>0.99903140000000001</v>
      </c>
      <c r="Y5274">
        <v>-0.11687740000000001</v>
      </c>
      <c r="Z5274">
        <v>0.29343750000000002</v>
      </c>
      <c r="AA5274">
        <v>0.9488067</v>
      </c>
      <c r="AB5274">
        <v>24</v>
      </c>
      <c r="AC5274">
        <v>0.10250000000002001</v>
      </c>
      <c r="AD5274">
        <v>-0.25374139999999901</v>
      </c>
      <c r="AE5274">
        <v>-0.58354999999999502</v>
      </c>
      <c r="AF5274">
        <v>-8.5112325086207502E-2</v>
      </c>
      <c r="AG5274">
        <v>-0.25374139999999901</v>
      </c>
      <c r="AH5274">
        <v>0.49336906911108203</v>
      </c>
      <c r="AI5274">
        <v>116.87667262779399</v>
      </c>
      <c r="AJ5274">
        <v>99.787898437652402</v>
      </c>
      <c r="AK5274">
        <v>0.56128588465333396</v>
      </c>
      <c r="AL5274">
        <v>89.790077306794601</v>
      </c>
      <c r="AM5274">
        <v>87.486737853630203</v>
      </c>
      <c r="AN5274">
        <v>1.00000000709182</v>
      </c>
    </row>
    <row r="5275" spans="1:40" x14ac:dyDescent="0.25">
      <c r="A5275" t="str">
        <f>"20190312154943135"</f>
        <v>20190312154943135</v>
      </c>
      <c r="B5275" t="str">
        <f>"1552376983130988"</f>
        <v>1552376983130988</v>
      </c>
      <c r="C5275" t="s">
        <v>40</v>
      </c>
      <c r="D5275">
        <v>6.3837869999999999</v>
      </c>
      <c r="E5275">
        <v>0.43403520000000001</v>
      </c>
      <c r="F5275" t="s">
        <v>42</v>
      </c>
      <c r="G5275">
        <v>-421.38330000000002</v>
      </c>
      <c r="H5275" s="1">
        <v>-7.3947080000000003E-7</v>
      </c>
      <c r="I5275">
        <v>50.454859999999996</v>
      </c>
      <c r="J5275">
        <v>-422.0326</v>
      </c>
      <c r="K5275">
        <v>1.110331</v>
      </c>
      <c r="L5275">
        <v>54.771329999999999</v>
      </c>
      <c r="M5275">
        <v>3.532753E-3</v>
      </c>
      <c r="N5275">
        <v>0</v>
      </c>
      <c r="O5275">
        <v>-0.99989939999999999</v>
      </c>
      <c r="P5275">
        <v>-3.9754770000000002E-2</v>
      </c>
      <c r="Q5275">
        <v>-9.5450110000000008E-3</v>
      </c>
      <c r="R5275">
        <v>-0.9991641</v>
      </c>
      <c r="S5275">
        <v>0.42941279999999998</v>
      </c>
      <c r="T5275">
        <v>-0.73281549999999995</v>
      </c>
      <c r="U5275">
        <v>-3.0127869999999999</v>
      </c>
      <c r="V5275">
        <v>4.3281720000000003E-2</v>
      </c>
      <c r="W5275">
        <v>4.231266E-3</v>
      </c>
      <c r="X5275">
        <v>0.999054</v>
      </c>
      <c r="Y5275">
        <v>-0.13368279999999999</v>
      </c>
      <c r="Z5275">
        <v>0.2341646</v>
      </c>
      <c r="AA5275">
        <v>0.96296199999999998</v>
      </c>
      <c r="AB5275">
        <v>24</v>
      </c>
      <c r="AC5275">
        <v>0.649299999999982</v>
      </c>
      <c r="AD5275">
        <v>-1.1103317394708001</v>
      </c>
      <c r="AE5275">
        <v>-4.3164700000000096</v>
      </c>
      <c r="AF5275">
        <v>-0.59551342705698995</v>
      </c>
      <c r="AG5275">
        <v>-1.1103317394708001</v>
      </c>
      <c r="AH5275">
        <v>4.0562798453980804</v>
      </c>
      <c r="AI5275">
        <v>105.153804131958</v>
      </c>
      <c r="AJ5275">
        <v>98.352082739206395</v>
      </c>
      <c r="AK5275">
        <v>4.2474555910173004</v>
      </c>
      <c r="AL5275">
        <v>89.757565605617103</v>
      </c>
      <c r="AM5275">
        <v>87.519343114899499</v>
      </c>
      <c r="AN5275">
        <v>1.0000000529070501</v>
      </c>
    </row>
    <row r="5276" spans="1:40" x14ac:dyDescent="0.25">
      <c r="A5276" t="str">
        <f>"20190312154943157"</f>
        <v>20190312154943157</v>
      </c>
      <c r="B5276" t="str">
        <f>"1552376983151483"</f>
        <v>1552376983151483</v>
      </c>
      <c r="C5276" t="s">
        <v>40</v>
      </c>
      <c r="D5276">
        <v>4.3380479999999997</v>
      </c>
      <c r="E5276">
        <v>0.43558839999999999</v>
      </c>
      <c r="F5276" t="s">
        <v>42</v>
      </c>
      <c r="G5276">
        <v>-421.11040000000003</v>
      </c>
      <c r="H5276" s="1">
        <v>-3.9800839999999998E-6</v>
      </c>
      <c r="I5276">
        <v>48.178109999999997</v>
      </c>
      <c r="J5276">
        <v>-422.03129999999999</v>
      </c>
      <c r="K5276">
        <v>1.1103499999999999</v>
      </c>
      <c r="L5276">
        <v>54.541930000000001</v>
      </c>
      <c r="M5276">
        <v>4.0043759999999996E-3</v>
      </c>
      <c r="N5276">
        <v>0</v>
      </c>
      <c r="O5276">
        <v>-0.99989749999999999</v>
      </c>
      <c r="P5276">
        <v>-3.9102789999999998E-2</v>
      </c>
      <c r="Q5276">
        <v>-9.0213419999999999E-3</v>
      </c>
      <c r="R5276">
        <v>-0.99919460000000004</v>
      </c>
      <c r="S5276">
        <v>0.42166140000000002</v>
      </c>
      <c r="T5276">
        <v>-0.50764719999999997</v>
      </c>
      <c r="U5276">
        <v>-3.0144350000000002</v>
      </c>
      <c r="V5276">
        <v>4.3100569999999998E-2</v>
      </c>
      <c r="W5276">
        <v>4.7538729999999996E-3</v>
      </c>
      <c r="X5276">
        <v>0.99905940000000004</v>
      </c>
      <c r="Y5276">
        <v>-0.13267660000000001</v>
      </c>
      <c r="Z5276">
        <v>0.16455229999999901</v>
      </c>
      <c r="AA5276">
        <v>0.97740450000000001</v>
      </c>
      <c r="AB5276">
        <v>23</v>
      </c>
      <c r="AC5276">
        <v>0.92089999999995997</v>
      </c>
      <c r="AD5276">
        <v>-1.1103539800840001</v>
      </c>
      <c r="AE5276">
        <v>-6.3638200000000102</v>
      </c>
      <c r="AF5276">
        <v>-0.86948042558740002</v>
      </c>
      <c r="AG5276">
        <v>-1.1103539800840001</v>
      </c>
      <c r="AH5276">
        <v>6.1830862229927703</v>
      </c>
      <c r="AI5276">
        <v>100.08347599259299</v>
      </c>
      <c r="AJ5276">
        <v>98.004582790666902</v>
      </c>
      <c r="AK5276">
        <v>6.3418796434914304</v>
      </c>
      <c r="AL5276">
        <v>89.727622107087399</v>
      </c>
      <c r="AM5276">
        <v>87.529726028016</v>
      </c>
      <c r="AN5276">
        <v>0.99999997158559195</v>
      </c>
    </row>
    <row r="5277" spans="1:40" x14ac:dyDescent="0.25">
      <c r="A5277" t="str">
        <f>"20190312154943178"</f>
        <v>20190312154943178</v>
      </c>
      <c r="B5277" t="str">
        <f>"1552376983171004"</f>
        <v>1552376983171004</v>
      </c>
      <c r="C5277" t="s">
        <v>40</v>
      </c>
      <c r="D5277">
        <v>4.3439800000000002</v>
      </c>
      <c r="E5277">
        <v>0.43741649999999999</v>
      </c>
      <c r="F5277" t="s">
        <v>42</v>
      </c>
      <c r="G5277">
        <v>-420.96350000000001</v>
      </c>
      <c r="H5277" s="1">
        <v>-3.2912049999999999E-6</v>
      </c>
      <c r="I5277">
        <v>46.663379999999997</v>
      </c>
      <c r="J5277">
        <v>-422.02980000000002</v>
      </c>
      <c r="K5277">
        <v>1.110366</v>
      </c>
      <c r="L5277">
        <v>54.317900000000002</v>
      </c>
      <c r="M5277">
        <v>4.48666E-3</v>
      </c>
      <c r="N5277">
        <v>0</v>
      </c>
      <c r="O5277">
        <v>-0.99989530000000004</v>
      </c>
      <c r="P5277">
        <v>-3.8508239999999999E-2</v>
      </c>
      <c r="Q5277">
        <v>-8.4543209999999903E-3</v>
      </c>
      <c r="R5277">
        <v>-0.99922250000000001</v>
      </c>
      <c r="S5277">
        <v>0.40853879999999998</v>
      </c>
      <c r="T5277">
        <v>-0.42485240000000002</v>
      </c>
      <c r="U5277">
        <v>-3.0145569999999999</v>
      </c>
      <c r="V5277">
        <v>4.2987450000000003E-2</v>
      </c>
      <c r="W5277">
        <v>5.3198719999999998E-3</v>
      </c>
      <c r="X5277">
        <v>0.99906150000000005</v>
      </c>
      <c r="Y5277">
        <v>-0.12855519999999901</v>
      </c>
      <c r="Z5277">
        <v>0.13835349999999999</v>
      </c>
      <c r="AA5277">
        <v>0.98200399999999999</v>
      </c>
      <c r="AB5277">
        <v>23</v>
      </c>
      <c r="AC5277">
        <v>1.06630000000001</v>
      </c>
      <c r="AD5277">
        <v>-1.1103692912050001</v>
      </c>
      <c r="AE5277">
        <v>-7.6545199999999998</v>
      </c>
      <c r="AF5277">
        <v>-1.0110722216288801</v>
      </c>
      <c r="AG5277">
        <v>-1.1103692912050001</v>
      </c>
      <c r="AH5277">
        <v>7.5043231912858097</v>
      </c>
      <c r="AI5277">
        <v>98.342339075381901</v>
      </c>
      <c r="AJ5277">
        <v>97.673364927207899</v>
      </c>
      <c r="AK5277">
        <v>7.6531074446574197</v>
      </c>
      <c r="AL5277">
        <v>89.695192364758398</v>
      </c>
      <c r="AM5277">
        <v>87.536206580991106</v>
      </c>
      <c r="AN5277">
        <v>1.00000005133892</v>
      </c>
    </row>
    <row r="5278" spans="1:40" x14ac:dyDescent="0.25">
      <c r="A5278" t="str">
        <f>"20190312154943212"</f>
        <v>20190312154943212</v>
      </c>
      <c r="B5278" t="str">
        <f>"1552376983201260"</f>
        <v>1552376983201260</v>
      </c>
      <c r="C5278" t="s">
        <v>40</v>
      </c>
      <c r="D5278">
        <v>4.3510359999999997</v>
      </c>
      <c r="E5278">
        <v>0.43906289999999998</v>
      </c>
      <c r="F5278" t="s">
        <v>42</v>
      </c>
      <c r="G5278">
        <v>-420.8356</v>
      </c>
      <c r="H5278" s="1">
        <v>-2.618806E-6</v>
      </c>
      <c r="I5278">
        <v>45.175330000000002</v>
      </c>
      <c r="J5278">
        <v>-422.02719999999999</v>
      </c>
      <c r="K5278">
        <v>1.1103989999999999</v>
      </c>
      <c r="L5278">
        <v>53.962919999999997</v>
      </c>
      <c r="M5278">
        <v>5.3020589999999996E-3</v>
      </c>
      <c r="N5278">
        <v>0</v>
      </c>
      <c r="O5278">
        <v>-0.99989159999999999</v>
      </c>
      <c r="P5278">
        <v>-3.763097E-2</v>
      </c>
      <c r="Q5278">
        <v>-8.5281479999999993E-3</v>
      </c>
      <c r="R5278">
        <v>-0.99925549999999996</v>
      </c>
      <c r="S5278">
        <v>0.39373780000000003</v>
      </c>
      <c r="T5278">
        <v>-0.36610029999999999</v>
      </c>
      <c r="U5278">
        <v>-3.0144039999999999</v>
      </c>
      <c r="V5278">
        <v>4.2924759999999999E-2</v>
      </c>
      <c r="W5278">
        <v>5.2454869999999897E-3</v>
      </c>
      <c r="X5278">
        <v>0.99906459999999997</v>
      </c>
      <c r="Y5278">
        <v>-0.1233293</v>
      </c>
      <c r="Z5278">
        <v>0.1196012</v>
      </c>
      <c r="AA5278">
        <v>0.98513220000000001</v>
      </c>
      <c r="AB5278">
        <v>23</v>
      </c>
      <c r="AC5278">
        <v>1.19159999999999</v>
      </c>
      <c r="AD5278">
        <v>-1.110401618806</v>
      </c>
      <c r="AE5278">
        <v>-8.7875899999999998</v>
      </c>
      <c r="AF5278">
        <v>-1.12731184792607</v>
      </c>
      <c r="AG5278">
        <v>-1.110401618806</v>
      </c>
      <c r="AH5278">
        <v>8.6580389695343491</v>
      </c>
      <c r="AI5278">
        <v>97.247822173712095</v>
      </c>
      <c r="AJ5278">
        <v>97.418409444065901</v>
      </c>
      <c r="AK5278">
        <v>8.8014466172042898</v>
      </c>
      <c r="AL5278">
        <v>89.699454373943098</v>
      </c>
      <c r="AM5278">
        <v>87.539802817691594</v>
      </c>
      <c r="AN5278">
        <v>1.0000000625640399</v>
      </c>
    </row>
    <row r="5279" spans="1:40" x14ac:dyDescent="0.25">
      <c r="A5279" t="str">
        <f>"20190312154943234"</f>
        <v>20190312154943234</v>
      </c>
      <c r="B5279" t="str">
        <f>"1552376983231516"</f>
        <v>1552376983231516</v>
      </c>
      <c r="C5279" t="s">
        <v>40</v>
      </c>
      <c r="D5279">
        <v>4.3352639999999996</v>
      </c>
      <c r="E5279">
        <v>0.44075560000000003</v>
      </c>
      <c r="F5279" t="s">
        <v>42</v>
      </c>
      <c r="G5279">
        <v>-420.69349999999997</v>
      </c>
      <c r="H5279" s="1">
        <v>-1.8304779999999999E-6</v>
      </c>
      <c r="I5279">
        <v>43.425910000000002</v>
      </c>
      <c r="J5279">
        <v>-422.02530000000002</v>
      </c>
      <c r="K5279">
        <v>1.110419</v>
      </c>
      <c r="L5279">
        <v>53.73245</v>
      </c>
      <c r="M5279">
        <v>5.8679700000000001E-3</v>
      </c>
      <c r="N5279">
        <v>0</v>
      </c>
      <c r="O5279">
        <v>-0.99988849999999996</v>
      </c>
      <c r="P5279">
        <v>-3.6596539999999997E-2</v>
      </c>
      <c r="Q5279">
        <v>-8.9667400000000008E-3</v>
      </c>
      <c r="R5279">
        <v>-0.99929020000000002</v>
      </c>
      <c r="S5279">
        <v>0.38150020000000001</v>
      </c>
      <c r="T5279">
        <v>-0.31760620000000001</v>
      </c>
      <c r="U5279">
        <v>-3.0138850000000001</v>
      </c>
      <c r="V5279">
        <v>4.2456109999999998E-2</v>
      </c>
      <c r="W5279">
        <v>4.8063259999999997E-3</v>
      </c>
      <c r="X5279">
        <v>0.99908680000000005</v>
      </c>
      <c r="Y5279">
        <v>-0.119073499999999</v>
      </c>
      <c r="Z5279">
        <v>0.1040148</v>
      </c>
      <c r="AA5279">
        <v>0.98742209999999997</v>
      </c>
      <c r="AB5279">
        <v>23</v>
      </c>
      <c r="AC5279">
        <v>1.3318000000000401</v>
      </c>
      <c r="AD5279">
        <v>-1.1104208304780001</v>
      </c>
      <c r="AE5279">
        <v>-10.30654</v>
      </c>
      <c r="AF5279">
        <v>-1.25694220080081</v>
      </c>
      <c r="AG5279">
        <v>-1.1104208304780001</v>
      </c>
      <c r="AH5279">
        <v>10.1977490077726</v>
      </c>
      <c r="AI5279">
        <v>96.168073023542405</v>
      </c>
      <c r="AJ5279">
        <v>97.026655533846593</v>
      </c>
      <c r="AK5279">
        <v>10.3347483250654</v>
      </c>
      <c r="AL5279">
        <v>89.724616752676198</v>
      </c>
      <c r="AM5279">
        <v>87.566684645435501</v>
      </c>
      <c r="AN5279">
        <v>1.00000002799009</v>
      </c>
    </row>
    <row r="5280" spans="1:40" x14ac:dyDescent="0.25">
      <c r="A5280" t="str">
        <f>"20190312154943256"</f>
        <v>20190312154943256</v>
      </c>
      <c r="B5280" t="str">
        <f>"1552376983251036"</f>
        <v>1552376983251036</v>
      </c>
      <c r="C5280" t="s">
        <v>40</v>
      </c>
      <c r="D5280">
        <v>4.3435739999999896</v>
      </c>
      <c r="E5280">
        <v>0.4418086</v>
      </c>
      <c r="F5280" t="s">
        <v>42</v>
      </c>
      <c r="G5280">
        <v>-420.60120000000001</v>
      </c>
      <c r="H5280" s="1">
        <v>-1.2613000000000001E-6</v>
      </c>
      <c r="I5280">
        <v>42.156379999999999</v>
      </c>
      <c r="J5280">
        <v>-422.02330000000001</v>
      </c>
      <c r="K5280">
        <v>1.110436</v>
      </c>
      <c r="L5280">
        <v>53.501800000000003</v>
      </c>
      <c r="M5280">
        <v>6.4626340000000001E-3</v>
      </c>
      <c r="N5280">
        <v>0</v>
      </c>
      <c r="O5280">
        <v>-0.99988469999999996</v>
      </c>
      <c r="P5280">
        <v>-3.5987599999999897E-2</v>
      </c>
      <c r="Q5280">
        <v>-9.0725670000000001E-3</v>
      </c>
      <c r="R5280">
        <v>-0.99931110000000001</v>
      </c>
      <c r="S5280">
        <v>0.370697</v>
      </c>
      <c r="T5280">
        <v>-0.2890298</v>
      </c>
      <c r="U5280">
        <v>-3.0131230000000002</v>
      </c>
      <c r="V5280">
        <v>4.2441369999999999E-2</v>
      </c>
      <c r="W5280">
        <v>4.7004689999999997E-3</v>
      </c>
      <c r="X5280">
        <v>0.99908790000000003</v>
      </c>
      <c r="Y5280">
        <v>-0.11513950000000001</v>
      </c>
      <c r="Z5280">
        <v>9.4810809999999995E-2</v>
      </c>
      <c r="AA5280">
        <v>0.98881439999999998</v>
      </c>
      <c r="AB5280">
        <v>23</v>
      </c>
      <c r="AC5280">
        <v>1.4220999999999999</v>
      </c>
      <c r="AD5280">
        <v>-1.1104372613</v>
      </c>
      <c r="AE5280">
        <v>-11.345420000000001</v>
      </c>
      <c r="AF5280">
        <v>-1.33614039193518</v>
      </c>
      <c r="AG5280">
        <v>-1.1104372613</v>
      </c>
      <c r="AH5280">
        <v>11.2482872287242</v>
      </c>
      <c r="AI5280">
        <v>95.598894008878801</v>
      </c>
      <c r="AJ5280">
        <v>96.774200680174005</v>
      </c>
      <c r="AK5280">
        <v>11.3816654158398</v>
      </c>
      <c r="AL5280">
        <v>89.730681972315907</v>
      </c>
      <c r="AM5280">
        <v>87.567531108909193</v>
      </c>
      <c r="AN5280">
        <v>0.99999999811135298</v>
      </c>
    </row>
    <row r="5281" spans="1:40" x14ac:dyDescent="0.25">
      <c r="A5281" t="str">
        <f>"20190312154943279"</f>
        <v>20190312154943279</v>
      </c>
      <c r="B5281" t="str">
        <f>"1552376983271531"</f>
        <v>1552376983271531</v>
      </c>
      <c r="C5281" t="s">
        <v>40</v>
      </c>
      <c r="D5281">
        <v>4.3660940000000004</v>
      </c>
      <c r="E5281">
        <v>0.44231239999999999</v>
      </c>
      <c r="F5281" t="s">
        <v>42</v>
      </c>
      <c r="G5281">
        <v>-420.5582</v>
      </c>
      <c r="H5281" s="1">
        <v>-9.0258780000000005E-7</v>
      </c>
      <c r="I5281">
        <v>41.346829999999997</v>
      </c>
      <c r="J5281">
        <v>-422.02109999999999</v>
      </c>
      <c r="K5281">
        <v>1.1104540000000001</v>
      </c>
      <c r="L5281">
        <v>53.269289999999998</v>
      </c>
      <c r="M5281">
        <v>7.0966240000000002E-3</v>
      </c>
      <c r="N5281">
        <v>0</v>
      </c>
      <c r="O5281">
        <v>-0.99988049999999995</v>
      </c>
      <c r="P5281">
        <v>-3.5285990000000003E-2</v>
      </c>
      <c r="Q5281">
        <v>-9.3677840000000005E-3</v>
      </c>
      <c r="R5281">
        <v>-0.99933340000000004</v>
      </c>
      <c r="S5281">
        <v>0.36312870000000003</v>
      </c>
      <c r="T5281">
        <v>-0.275227</v>
      </c>
      <c r="U5281">
        <v>-3.0126650000000001</v>
      </c>
      <c r="V5281">
        <v>4.237345E-2</v>
      </c>
      <c r="W5281">
        <v>4.4048330000000004E-3</v>
      </c>
      <c r="X5281">
        <v>0.99909219999999999</v>
      </c>
      <c r="Y5281">
        <v>-0.1121291</v>
      </c>
      <c r="Z5281">
        <v>9.0363239999999997E-2</v>
      </c>
      <c r="AA5281">
        <v>0.98957649999999997</v>
      </c>
      <c r="AB5281">
        <v>23</v>
      </c>
      <c r="AC5281">
        <v>1.4628999999999901</v>
      </c>
      <c r="AD5281">
        <v>-1.1104549025878001</v>
      </c>
      <c r="AE5281">
        <v>-11.922459999999999</v>
      </c>
      <c r="AF5281">
        <v>-1.36656681104082</v>
      </c>
      <c r="AG5281">
        <v>-1.1104549025878001</v>
      </c>
      <c r="AH5281">
        <v>11.8314269265409</v>
      </c>
      <c r="AI5281">
        <v>95.326659048471697</v>
      </c>
      <c r="AJ5281">
        <v>96.588645585444993</v>
      </c>
      <c r="AK5281">
        <v>11.9617422668187</v>
      </c>
      <c r="AL5281">
        <v>89.747620860653896</v>
      </c>
      <c r="AM5281">
        <v>87.5714296257825</v>
      </c>
      <c r="AN5281">
        <v>1.0000000679597401</v>
      </c>
    </row>
    <row r="5282" spans="1:40" x14ac:dyDescent="0.25">
      <c r="A5282" t="str">
        <f>"20190312154943302"</f>
        <v>20190312154943302</v>
      </c>
      <c r="B5282" t="str">
        <f>"1552376983291005"</f>
        <v>1552376983291005</v>
      </c>
      <c r="C5282" t="s">
        <v>40</v>
      </c>
      <c r="D5282">
        <v>4.3666219999999996</v>
      </c>
      <c r="E5282">
        <v>0.44270670000000001</v>
      </c>
      <c r="F5282" t="s">
        <v>42</v>
      </c>
      <c r="G5282">
        <v>-420.49220000000003</v>
      </c>
      <c r="H5282" s="1">
        <v>-5.2429819999999898E-7</v>
      </c>
      <c r="I5282">
        <v>40.506010000000003</v>
      </c>
      <c r="J5282">
        <v>-422.01859999999999</v>
      </c>
      <c r="K5282">
        <v>1.110465</v>
      </c>
      <c r="L5282">
        <v>53.032350000000001</v>
      </c>
      <c r="M5282">
        <v>7.7788040000000003E-3</v>
      </c>
      <c r="N5282">
        <v>0</v>
      </c>
      <c r="O5282">
        <v>-0.99987530000000002</v>
      </c>
      <c r="P5282">
        <v>-3.4183180000000001E-2</v>
      </c>
      <c r="Q5282">
        <v>-1.01122E-2</v>
      </c>
      <c r="R5282">
        <v>-0.99936440000000004</v>
      </c>
      <c r="S5282">
        <v>0.36083979999999999</v>
      </c>
      <c r="T5282">
        <v>-0.26208160000000003</v>
      </c>
      <c r="U5282">
        <v>-3.0122990000000001</v>
      </c>
      <c r="V5282">
        <v>4.1953049999999999E-2</v>
      </c>
      <c r="W5282">
        <v>3.6604950000000002E-3</v>
      </c>
      <c r="X5282">
        <v>0.99911289999999997</v>
      </c>
      <c r="Y5282">
        <v>-0.11076900000000001</v>
      </c>
      <c r="Z5282">
        <v>8.6100410000000002E-2</v>
      </c>
      <c r="AA5282">
        <v>0.99010960000000003</v>
      </c>
      <c r="AB5282">
        <v>23</v>
      </c>
      <c r="AC5282">
        <v>1.52639999999996</v>
      </c>
      <c r="AD5282">
        <v>-1.1104655242982</v>
      </c>
      <c r="AE5282">
        <v>-12.526339999999999</v>
      </c>
      <c r="AF5282">
        <v>-1.41792437936122</v>
      </c>
      <c r="AG5282">
        <v>-1.1104655242982</v>
      </c>
      <c r="AH5282">
        <v>12.441489811538</v>
      </c>
      <c r="AI5282">
        <v>95.067787973410603</v>
      </c>
      <c r="AJ5282">
        <v>96.501798787380594</v>
      </c>
      <c r="AK5282">
        <v>12.5711698722452</v>
      </c>
      <c r="AL5282">
        <v>89.790268621870794</v>
      </c>
      <c r="AM5282">
        <v>87.595545555108203</v>
      </c>
      <c r="AN5282">
        <v>1.0000000222871701</v>
      </c>
    </row>
    <row r="5283" spans="1:40" x14ac:dyDescent="0.25">
      <c r="A5283" t="str">
        <f>"20190312154943324"</f>
        <v>20190312154943324</v>
      </c>
      <c r="B5283" t="str">
        <f>"1552376983321244"</f>
        <v>1552376983321244</v>
      </c>
      <c r="C5283" t="s">
        <v>40</v>
      </c>
      <c r="D5283">
        <v>4.3939890000000004</v>
      </c>
      <c r="E5283">
        <v>0.44334020000000002</v>
      </c>
      <c r="F5283" t="s">
        <v>42</v>
      </c>
      <c r="G5283">
        <v>-420.43439999999998</v>
      </c>
      <c r="H5283" s="1">
        <v>-2.0658750000000001E-7</v>
      </c>
      <c r="I5283">
        <v>39.801220000000001</v>
      </c>
      <c r="J5283">
        <v>-422.01609999999999</v>
      </c>
      <c r="K5283">
        <v>1.1104889999999901</v>
      </c>
      <c r="L5283">
        <v>52.802860000000003</v>
      </c>
      <c r="M5283">
        <v>8.4739940000000003E-3</v>
      </c>
      <c r="N5283">
        <v>0</v>
      </c>
      <c r="O5283">
        <v>-0.99986980000000003</v>
      </c>
      <c r="P5283">
        <v>-3.3521990000000002E-2</v>
      </c>
      <c r="Q5283">
        <v>-1.033034E-2</v>
      </c>
      <c r="R5283">
        <v>-0.99938459999999996</v>
      </c>
      <c r="S5283">
        <v>0.36059570000000002</v>
      </c>
      <c r="T5283">
        <v>-0.25276579999999998</v>
      </c>
      <c r="U5283">
        <v>-3.0116879999999999</v>
      </c>
      <c r="V5283">
        <v>4.1986719999999998E-2</v>
      </c>
      <c r="W5283">
        <v>3.4425829999999999E-3</v>
      </c>
      <c r="X5283">
        <v>0.99911220000000001</v>
      </c>
      <c r="Y5283">
        <v>-0.1100531</v>
      </c>
      <c r="Z5283">
        <v>8.3081160000000001E-2</v>
      </c>
      <c r="AA5283">
        <v>0.99044730000000003</v>
      </c>
      <c r="AB5283">
        <v>23</v>
      </c>
      <c r="AC5283">
        <v>1.5817000000000101</v>
      </c>
      <c r="AD5283">
        <v>-1.1104892065874901</v>
      </c>
      <c r="AE5283">
        <v>-13.001639999999901</v>
      </c>
      <c r="AF5283">
        <v>-1.4609545833225399</v>
      </c>
      <c r="AG5283">
        <v>-1.1104892065874901</v>
      </c>
      <c r="AH5283">
        <v>12.9216871658254</v>
      </c>
      <c r="AI5283">
        <v>94.880981554249203</v>
      </c>
      <c r="AJ5283">
        <v>96.450594739620499</v>
      </c>
      <c r="AK5283">
        <v>13.051343753956401</v>
      </c>
      <c r="AL5283">
        <v>89.802754126395897</v>
      </c>
      <c r="AM5283">
        <v>87.5936164105606</v>
      </c>
      <c r="AN5283">
        <v>0.99999996211145403</v>
      </c>
    </row>
    <row r="5284" spans="1:40" x14ac:dyDescent="0.25">
      <c r="A5284" t="str">
        <f>"20190312154943348"</f>
        <v>20190312154943348</v>
      </c>
      <c r="B5284" t="str">
        <f>"1552376983341740"</f>
        <v>1552376983341740</v>
      </c>
      <c r="C5284" t="s">
        <v>40</v>
      </c>
      <c r="D5284">
        <v>4.4221690000000002</v>
      </c>
      <c r="E5284">
        <v>0.44359369999999998</v>
      </c>
      <c r="F5284" t="s">
        <v>65</v>
      </c>
      <c r="G5284">
        <v>-420.3963</v>
      </c>
      <c r="H5284" s="1">
        <v>-3.5058520000000002E-7</v>
      </c>
      <c r="I5284">
        <v>39.158329999999999</v>
      </c>
      <c r="J5284">
        <v>-422.01310000000001</v>
      </c>
      <c r="K5284">
        <v>1.1105149999999999</v>
      </c>
      <c r="L5284">
        <v>52.561459999999997</v>
      </c>
      <c r="M5284">
        <v>9.2424269999999992E-3</v>
      </c>
      <c r="N5284">
        <v>0</v>
      </c>
      <c r="O5284">
        <v>-0.99986319999999995</v>
      </c>
      <c r="P5284">
        <v>-3.2303199999999997E-2</v>
      </c>
      <c r="Q5284">
        <v>-1.0687540000000001E-2</v>
      </c>
      <c r="R5284">
        <v>-0.99942120000000001</v>
      </c>
      <c r="S5284">
        <v>0.35748289999999999</v>
      </c>
      <c r="T5284">
        <v>-0.24508070000000001</v>
      </c>
      <c r="U5284">
        <v>-3.0112920000000001</v>
      </c>
      <c r="V5284">
        <v>4.1536339999999998E-2</v>
      </c>
      <c r="W5284">
        <v>3.0849570000000002E-3</v>
      </c>
      <c r="X5284">
        <v>0.99913220000000003</v>
      </c>
      <c r="Y5284">
        <v>-0.1083191</v>
      </c>
      <c r="Z5284">
        <v>8.0594170000000007E-2</v>
      </c>
      <c r="AA5284">
        <v>0.99084380000000005</v>
      </c>
      <c r="AB5284">
        <v>23</v>
      </c>
      <c r="AC5284">
        <v>1.61680000000001</v>
      </c>
      <c r="AD5284">
        <v>-1.1105153505851999</v>
      </c>
      <c r="AE5284">
        <v>-13.4031299999999</v>
      </c>
      <c r="AF5284">
        <v>-1.48280843257909</v>
      </c>
      <c r="AG5284">
        <v>-1.1105153505851999</v>
      </c>
      <c r="AH5284">
        <v>13.3273229382952</v>
      </c>
      <c r="AI5284">
        <v>94.734158679786205</v>
      </c>
      <c r="AJ5284">
        <v>96.348662794459301</v>
      </c>
      <c r="AK5284">
        <v>13.4554636446769</v>
      </c>
      <c r="AL5284">
        <v>89.823244698040895</v>
      </c>
      <c r="AM5284">
        <v>87.619446766044106</v>
      </c>
      <c r="AN5284">
        <v>0.99999996878856301</v>
      </c>
    </row>
    <row r="5285" spans="1:40" x14ac:dyDescent="0.25">
      <c r="A5285" t="str">
        <f>"20190312154943369"</f>
        <v>20190312154943369</v>
      </c>
      <c r="B5285" t="str">
        <f>"1552376983361260"</f>
        <v>1552376983361260</v>
      </c>
      <c r="C5285" t="s">
        <v>40</v>
      </c>
      <c r="D5285">
        <v>4.4358500000000003</v>
      </c>
      <c r="E5285">
        <v>0.44386429999999999</v>
      </c>
      <c r="F5285" t="s">
        <v>65</v>
      </c>
      <c r="G5285">
        <v>-420.36529999999999</v>
      </c>
      <c r="H5285" s="1">
        <v>-6.1897029999999997E-7</v>
      </c>
      <c r="I5285">
        <v>38.729309999999998</v>
      </c>
      <c r="J5285">
        <v>-422.01029999999997</v>
      </c>
      <c r="K5285">
        <v>1.110525</v>
      </c>
      <c r="L5285">
        <v>52.341799999999999</v>
      </c>
      <c r="M5285">
        <v>9.9710440000000001E-3</v>
      </c>
      <c r="N5285">
        <v>0</v>
      </c>
      <c r="O5285">
        <v>-0.99985610000000003</v>
      </c>
      <c r="P5285">
        <v>-3.1211429999999998E-2</v>
      </c>
      <c r="Q5285">
        <v>-1.0549340000000001E-2</v>
      </c>
      <c r="R5285">
        <v>-0.99945740000000005</v>
      </c>
      <c r="S5285">
        <v>0.35867310000000002</v>
      </c>
      <c r="T5285">
        <v>-0.24171780000000001</v>
      </c>
      <c r="U5285">
        <v>-3.010742</v>
      </c>
      <c r="V5285">
        <v>4.1172739999999999E-2</v>
      </c>
      <c r="W5285">
        <v>3.2232390000000001E-3</v>
      </c>
      <c r="X5285">
        <v>0.9991468</v>
      </c>
      <c r="Y5285">
        <v>-0.10801239999999999</v>
      </c>
      <c r="Z5285">
        <v>7.9508339999999997E-2</v>
      </c>
      <c r="AA5285">
        <v>0.99096510000000004</v>
      </c>
      <c r="AB5285">
        <v>23</v>
      </c>
      <c r="AC5285">
        <v>1.64499999999998</v>
      </c>
      <c r="AD5285">
        <v>-1.1105256189703001</v>
      </c>
      <c r="AE5285">
        <v>-13.612489999999999</v>
      </c>
      <c r="AF5285">
        <v>-1.4993394316328601</v>
      </c>
      <c r="AG5285">
        <v>-1.1105256189703001</v>
      </c>
      <c r="AH5285">
        <v>13.539402317196499</v>
      </c>
      <c r="AI5285">
        <v>94.660641057944204</v>
      </c>
      <c r="AJ5285">
        <v>96.319128649346396</v>
      </c>
      <c r="AK5285">
        <v>13.6673589617213</v>
      </c>
      <c r="AL5285">
        <v>89.815321681008299</v>
      </c>
      <c r="AM5285">
        <v>87.640296388280106</v>
      </c>
      <c r="AN5285">
        <v>0.99999995586949797</v>
      </c>
    </row>
    <row r="5286" spans="1:40" x14ac:dyDescent="0.25">
      <c r="A5286" t="str">
        <f>"20190312154943391"</f>
        <v>20190312154943391</v>
      </c>
      <c r="B5286" t="str">
        <f>"1552376983381755"</f>
        <v>1552376983381755</v>
      </c>
      <c r="C5286" t="s">
        <v>40</v>
      </c>
      <c r="D5286">
        <v>4.4464750000000004</v>
      </c>
      <c r="E5286">
        <v>0.44408740000000002</v>
      </c>
      <c r="F5286" t="s">
        <v>65</v>
      </c>
      <c r="G5286">
        <v>-420.32859999999999</v>
      </c>
      <c r="H5286" s="1">
        <v>-9.0327859999999998E-7</v>
      </c>
      <c r="I5286">
        <v>38.273980000000002</v>
      </c>
      <c r="J5286">
        <v>-422.00700000000001</v>
      </c>
      <c r="K5286">
        <v>1.1105400000000001</v>
      </c>
      <c r="L5286">
        <v>52.114559999999997</v>
      </c>
      <c r="M5286">
        <v>1.0748539999999999E-2</v>
      </c>
      <c r="N5286">
        <v>0</v>
      </c>
      <c r="O5286">
        <v>-0.99984810000000002</v>
      </c>
      <c r="P5286">
        <v>-2.989698E-2</v>
      </c>
      <c r="Q5286">
        <v>-1.072504E-2</v>
      </c>
      <c r="R5286">
        <v>-0.99949569999999999</v>
      </c>
      <c r="S5286">
        <v>0.3598633</v>
      </c>
      <c r="T5286">
        <v>-0.2376394</v>
      </c>
      <c r="U5286">
        <v>-3.010345</v>
      </c>
      <c r="V5286">
        <v>4.063576E-2</v>
      </c>
      <c r="W5286">
        <v>3.0468100000000001E-3</v>
      </c>
      <c r="X5286">
        <v>0.99916939999999999</v>
      </c>
      <c r="Y5286">
        <v>-0.107653399999999</v>
      </c>
      <c r="Z5286">
        <v>7.8184080000000003E-2</v>
      </c>
      <c r="AA5286">
        <v>0.99110949999999998</v>
      </c>
      <c r="AB5286">
        <v>23</v>
      </c>
      <c r="AC5286">
        <v>1.6783999999999499</v>
      </c>
      <c r="AD5286">
        <v>-1.11054090327859</v>
      </c>
      <c r="AE5286">
        <v>-13.8405799999999</v>
      </c>
      <c r="AF5286">
        <v>-1.5198796044818601</v>
      </c>
      <c r="AG5286">
        <v>-1.11054090327859</v>
      </c>
      <c r="AH5286">
        <v>13.770451094287701</v>
      </c>
      <c r="AI5286">
        <v>94.583023421901402</v>
      </c>
      <c r="AJ5286">
        <v>96.298387172511994</v>
      </c>
      <c r="AK5286">
        <v>13.898512814331699</v>
      </c>
      <c r="AL5286">
        <v>89.825430379242704</v>
      </c>
      <c r="AM5286">
        <v>87.671090444925397</v>
      </c>
      <c r="AN5286">
        <v>1.00000001896915</v>
      </c>
    </row>
    <row r="5287" spans="1:40" x14ac:dyDescent="0.25">
      <c r="A5287" t="str">
        <f>"20190312154943413"</f>
        <v>20190312154943413</v>
      </c>
      <c r="B5287" t="str">
        <f>"1552376983400866"</f>
        <v>1552376983400866</v>
      </c>
      <c r="C5287" t="s">
        <v>40</v>
      </c>
      <c r="D5287">
        <v>4.4832369999999999</v>
      </c>
      <c r="E5287">
        <v>0.4443107</v>
      </c>
      <c r="F5287" t="s">
        <v>65</v>
      </c>
      <c r="G5287">
        <v>-420.29939999999999</v>
      </c>
      <c r="H5287" s="1">
        <v>-1.136008E-6</v>
      </c>
      <c r="I5287">
        <v>37.90146</v>
      </c>
      <c r="J5287">
        <v>-422.00360000000001</v>
      </c>
      <c r="K5287">
        <v>1.1105510000000001</v>
      </c>
      <c r="L5287">
        <v>51.878570000000003</v>
      </c>
      <c r="M5287">
        <v>1.1579519999999999E-2</v>
      </c>
      <c r="N5287">
        <v>0</v>
      </c>
      <c r="O5287">
        <v>-0.99983880000000003</v>
      </c>
      <c r="P5287">
        <v>-2.8586899999999998E-2</v>
      </c>
      <c r="Q5287">
        <v>-1.105836E-2</v>
      </c>
      <c r="R5287">
        <v>-0.99953020000000004</v>
      </c>
      <c r="S5287">
        <v>0.3616028</v>
      </c>
      <c r="T5287">
        <v>-0.2351704</v>
      </c>
      <c r="U5287">
        <v>-3.0097960000000001</v>
      </c>
      <c r="V5287">
        <v>4.0156839999999999E-2</v>
      </c>
      <c r="W5287">
        <v>2.7115949999999998E-3</v>
      </c>
      <c r="X5287">
        <v>0.99918969999999896</v>
      </c>
      <c r="Y5287">
        <v>-0.1074206</v>
      </c>
      <c r="Z5287">
        <v>7.7387880000000006E-2</v>
      </c>
      <c r="AA5287">
        <v>0.9911972</v>
      </c>
      <c r="AB5287">
        <v>23</v>
      </c>
      <c r="AC5287">
        <v>1.7042000000000099</v>
      </c>
      <c r="AD5287">
        <v>-1.110552136008</v>
      </c>
      <c r="AE5287">
        <v>-13.97711</v>
      </c>
      <c r="AF5287">
        <v>-1.5326879742811299</v>
      </c>
      <c r="AG5287">
        <v>-1.110552136008</v>
      </c>
      <c r="AH5287">
        <v>13.9093833017179</v>
      </c>
      <c r="AI5287">
        <v>94.537573664914206</v>
      </c>
      <c r="AJ5287">
        <v>96.288107339730601</v>
      </c>
      <c r="AK5287">
        <v>14.0375710971452</v>
      </c>
      <c r="AL5287">
        <v>89.844636858894106</v>
      </c>
      <c r="AM5287">
        <v>87.698555240774596</v>
      </c>
      <c r="AN5287">
        <v>0.99999999056615896</v>
      </c>
    </row>
    <row r="5288" spans="1:40" x14ac:dyDescent="0.25">
      <c r="A5288" t="str">
        <f>"20190312154943436"</f>
        <v>20190312154943436</v>
      </c>
      <c r="B5288" t="str">
        <f>"1552376983431123"</f>
        <v>1552376983431123</v>
      </c>
      <c r="C5288" t="s">
        <v>40</v>
      </c>
      <c r="D5288">
        <v>4.5213799999999997</v>
      </c>
      <c r="E5288">
        <v>0.44455420000000001</v>
      </c>
      <c r="F5288" t="s">
        <v>65</v>
      </c>
      <c r="G5288">
        <v>-420.27319999999997</v>
      </c>
      <c r="H5288" s="1">
        <v>-1.332978E-6</v>
      </c>
      <c r="I5288">
        <v>37.585830000000001</v>
      </c>
      <c r="J5288">
        <v>-422</v>
      </c>
      <c r="K5288">
        <v>1.1105659999999999</v>
      </c>
      <c r="L5288">
        <v>51.652740000000001</v>
      </c>
      <c r="M5288">
        <v>1.239606E-2</v>
      </c>
      <c r="N5288">
        <v>0</v>
      </c>
      <c r="O5288">
        <v>-0.99982910000000003</v>
      </c>
      <c r="P5288">
        <v>-2.7335680000000001E-2</v>
      </c>
      <c r="Q5288">
        <v>-1.100422E-2</v>
      </c>
      <c r="R5288">
        <v>-0.99956610000000001</v>
      </c>
      <c r="S5288">
        <v>0.3643188</v>
      </c>
      <c r="T5288">
        <v>-0.23381979999999999</v>
      </c>
      <c r="U5288">
        <v>-3.0092469999999998</v>
      </c>
      <c r="V5288">
        <v>3.9721979999999997E-2</v>
      </c>
      <c r="W5288">
        <v>2.764524E-3</v>
      </c>
      <c r="X5288">
        <v>0.99920699999999996</v>
      </c>
      <c r="Y5288">
        <v>-0.107516</v>
      </c>
      <c r="Z5288">
        <v>7.6954339999999996E-2</v>
      </c>
      <c r="AA5288">
        <v>0.99122069999999995</v>
      </c>
      <c r="AB5288">
        <v>23</v>
      </c>
      <c r="AC5288">
        <v>1.7268000000000201</v>
      </c>
      <c r="AD5288">
        <v>-1.1105673329779999</v>
      </c>
      <c r="AE5288">
        <v>-14.06691</v>
      </c>
      <c r="AF5288">
        <v>-1.5428032033713499</v>
      </c>
      <c r="AG5288">
        <v>-1.1105673329779999</v>
      </c>
      <c r="AH5288">
        <v>14.0012631301343</v>
      </c>
      <c r="AI5288">
        <v>94.507981843502904</v>
      </c>
      <c r="AJ5288">
        <v>96.288070566717394</v>
      </c>
      <c r="AK5288">
        <v>14.1297194156384</v>
      </c>
      <c r="AL5288">
        <v>89.841604249162899</v>
      </c>
      <c r="AM5288">
        <v>87.723490685094703</v>
      </c>
      <c r="AN5288">
        <v>1.0000000535685301</v>
      </c>
    </row>
    <row r="5289" spans="1:40" x14ac:dyDescent="0.25">
      <c r="A5289" t="str">
        <f>"20190312154943458"</f>
        <v>20190312154943458</v>
      </c>
      <c r="B5289" t="str">
        <f>"1552376983451619"</f>
        <v>1552376983451619</v>
      </c>
      <c r="C5289" t="s">
        <v>40</v>
      </c>
      <c r="D5289">
        <v>4.5447699999999998</v>
      </c>
      <c r="E5289">
        <v>0.4447604</v>
      </c>
      <c r="F5289" t="s">
        <v>65</v>
      </c>
      <c r="G5289">
        <v>-420.24220000000003</v>
      </c>
      <c r="H5289" s="1">
        <v>-1.583004E-6</v>
      </c>
      <c r="I5289">
        <v>37.185690000000001</v>
      </c>
      <c r="J5289">
        <v>-421.99619999999999</v>
      </c>
      <c r="K5289">
        <v>1.110579</v>
      </c>
      <c r="L5289">
        <v>51.423520000000003</v>
      </c>
      <c r="M5289">
        <v>1.324415E-2</v>
      </c>
      <c r="N5289">
        <v>0</v>
      </c>
      <c r="O5289">
        <v>-0.99981830000000005</v>
      </c>
      <c r="P5289">
        <v>-2.5794089999999999E-2</v>
      </c>
      <c r="Q5289">
        <v>-1.0772830000000001E-2</v>
      </c>
      <c r="R5289">
        <v>-0.99960959999999999</v>
      </c>
      <c r="S5289">
        <v>0.36557010000000001</v>
      </c>
      <c r="T5289">
        <v>-0.23096820000000001</v>
      </c>
      <c r="U5289">
        <v>-3.008759</v>
      </c>
      <c r="V5289">
        <v>3.902825E-2</v>
      </c>
      <c r="W5289">
        <v>2.9938809999999999E-3</v>
      </c>
      <c r="X5289">
        <v>0.99923360000000006</v>
      </c>
      <c r="Y5289">
        <v>-0.1071066</v>
      </c>
      <c r="Z5289">
        <v>7.6032039999999995E-2</v>
      </c>
      <c r="AA5289">
        <v>0.99133610000000005</v>
      </c>
      <c r="AB5289">
        <v>23</v>
      </c>
      <c r="AC5289">
        <v>1.75399999999996</v>
      </c>
      <c r="AD5289">
        <v>-1.1105805830040001</v>
      </c>
      <c r="AE5289">
        <v>-14.237830000000001</v>
      </c>
      <c r="AF5289">
        <v>-1.5559351587021499</v>
      </c>
      <c r="AG5289">
        <v>-1.1105805830040001</v>
      </c>
      <c r="AH5289">
        <v>14.1748582708834</v>
      </c>
      <c r="AI5289">
        <v>94.453254187383706</v>
      </c>
      <c r="AJ5289">
        <v>96.264121784369607</v>
      </c>
      <c r="AK5289">
        <v>14.303179032965399</v>
      </c>
      <c r="AL5289">
        <v>89.828462994217602</v>
      </c>
      <c r="AM5289">
        <v>87.763267837425701</v>
      </c>
      <c r="AN5289">
        <v>0.99999997749523195</v>
      </c>
    </row>
    <row r="5290" spans="1:40" x14ac:dyDescent="0.25">
      <c r="A5290" t="str">
        <f>"20190312154943480"</f>
        <v>20190312154943480</v>
      </c>
      <c r="B5290" t="str">
        <f>"1552376983471139"</f>
        <v>1552376983471139</v>
      </c>
      <c r="C5290" t="s">
        <v>40</v>
      </c>
      <c r="D5290">
        <v>4.554157</v>
      </c>
      <c r="E5290">
        <v>0.44493709999999997</v>
      </c>
      <c r="F5290" t="s">
        <v>65</v>
      </c>
      <c r="G5290">
        <v>-420.2063</v>
      </c>
      <c r="H5290" s="1">
        <v>-1.8181269999999999E-6</v>
      </c>
      <c r="I5290">
        <v>36.80791</v>
      </c>
      <c r="J5290">
        <v>-421.99220000000003</v>
      </c>
      <c r="K5290">
        <v>1.110587</v>
      </c>
      <c r="L5290">
        <v>51.196040000000004</v>
      </c>
      <c r="M5290">
        <v>1.410487E-2</v>
      </c>
      <c r="N5290">
        <v>0</v>
      </c>
      <c r="O5290">
        <v>-0.99980659999999999</v>
      </c>
      <c r="P5290">
        <v>-2.4542330000000001E-2</v>
      </c>
      <c r="Q5290">
        <v>-1.045973E-2</v>
      </c>
      <c r="R5290">
        <v>-0.99964459999999999</v>
      </c>
      <c r="S5290">
        <v>0.36840820000000002</v>
      </c>
      <c r="T5290">
        <v>-0.22858139999999999</v>
      </c>
      <c r="U5290">
        <v>-3.0082089999999999</v>
      </c>
      <c r="V5290">
        <v>3.8636780000000003E-2</v>
      </c>
      <c r="W5290">
        <v>3.3062080000000002E-3</v>
      </c>
      <c r="X5290">
        <v>0.99924780000000002</v>
      </c>
      <c r="Y5290">
        <v>-0.10720109999999999</v>
      </c>
      <c r="Z5290">
        <v>7.5258439999999996E-2</v>
      </c>
      <c r="AA5290">
        <v>0.99138490000000001</v>
      </c>
      <c r="AB5290">
        <v>23</v>
      </c>
      <c r="AC5290">
        <v>1.78590000000002</v>
      </c>
      <c r="AD5290">
        <v>-1.1105888181270001</v>
      </c>
      <c r="AE5290">
        <v>-14.38813</v>
      </c>
      <c r="AF5290">
        <v>-1.57352776724369</v>
      </c>
      <c r="AG5290">
        <v>-1.1105888181270001</v>
      </c>
      <c r="AH5290">
        <v>14.3278212476412</v>
      </c>
      <c r="AI5290">
        <v>94.405905592300201</v>
      </c>
      <c r="AJ5290">
        <v>96.267291836384004</v>
      </c>
      <c r="AK5290">
        <v>14.4566890698249</v>
      </c>
      <c r="AL5290">
        <v>89.810567880592004</v>
      </c>
      <c r="AM5290">
        <v>87.785712205075797</v>
      </c>
      <c r="AN5290">
        <v>0.999999948792472</v>
      </c>
    </row>
    <row r="5291" spans="1:40" x14ac:dyDescent="0.25">
      <c r="A5291" t="str">
        <f>"20190312154943503"</f>
        <v>20190312154943503</v>
      </c>
      <c r="B5291" t="str">
        <f>"1552376983491677"</f>
        <v>1552376983491677</v>
      </c>
      <c r="C5291" t="s">
        <v>40</v>
      </c>
      <c r="D5291">
        <v>4.5374280000000002</v>
      </c>
      <c r="E5291">
        <v>0.44507799999999997</v>
      </c>
      <c r="F5291" t="s">
        <v>65</v>
      </c>
      <c r="G5291">
        <v>-420.17540000000002</v>
      </c>
      <c r="H5291" s="1">
        <v>-2.039319E-6</v>
      </c>
      <c r="I5291">
        <v>36.453139999999998</v>
      </c>
      <c r="J5291">
        <v>-421.98790000000002</v>
      </c>
      <c r="K5291">
        <v>1.1105989999999999</v>
      </c>
      <c r="L5291">
        <v>50.965000000000003</v>
      </c>
      <c r="M5291">
        <v>1.499988E-2</v>
      </c>
      <c r="N5291">
        <v>0</v>
      </c>
      <c r="O5291">
        <v>-0.99979340000000005</v>
      </c>
      <c r="P5291">
        <v>-2.3446729999999999E-2</v>
      </c>
      <c r="Q5291">
        <v>-1.0997460000000001E-2</v>
      </c>
      <c r="R5291">
        <v>-0.99966480000000002</v>
      </c>
      <c r="S5291">
        <v>0.37066650000000001</v>
      </c>
      <c r="T5291">
        <v>-0.22657969999999999</v>
      </c>
      <c r="U5291">
        <v>-3.0078130000000001</v>
      </c>
      <c r="V5291">
        <v>3.8436699999999997E-2</v>
      </c>
      <c r="W5291">
        <v>2.7669080000000002E-3</v>
      </c>
      <c r="X5291">
        <v>0.99925719999999996</v>
      </c>
      <c r="Y5291">
        <v>-0.1070661</v>
      </c>
      <c r="Z5291">
        <v>7.460849E-2</v>
      </c>
      <c r="AA5291">
        <v>0.99144860000000001</v>
      </c>
      <c r="AB5291">
        <v>23</v>
      </c>
      <c r="AC5291">
        <v>1.8125</v>
      </c>
      <c r="AD5291">
        <v>-1.11060103931899</v>
      </c>
      <c r="AE5291">
        <v>-14.51186</v>
      </c>
      <c r="AF5291">
        <v>-1.5854561321892999</v>
      </c>
      <c r="AG5291">
        <v>-1.11060103931899</v>
      </c>
      <c r="AH5291">
        <v>14.4540607805646</v>
      </c>
      <c r="AI5291">
        <v>94.367685704572196</v>
      </c>
      <c r="AJ5291">
        <v>96.259710189239996</v>
      </c>
      <c r="AK5291">
        <v>14.583105940227201</v>
      </c>
      <c r="AL5291">
        <v>89.8414676460214</v>
      </c>
      <c r="AM5291">
        <v>87.797188238013305</v>
      </c>
      <c r="AN5291">
        <v>0.99999999371930504</v>
      </c>
    </row>
    <row r="5292" spans="1:40" x14ac:dyDescent="0.25">
      <c r="A5292" t="str">
        <f>"20190312154943524"</f>
        <v>20190312154943524</v>
      </c>
      <c r="B5292" t="str">
        <f>"1552376983520940"</f>
        <v>1552376983520940</v>
      </c>
      <c r="C5292" t="s">
        <v>40</v>
      </c>
      <c r="D5292">
        <v>4.5048240000000002</v>
      </c>
      <c r="E5292">
        <v>0.44528580000000001</v>
      </c>
      <c r="F5292" t="s">
        <v>65</v>
      </c>
      <c r="G5292">
        <v>-420.16320000000002</v>
      </c>
      <c r="H5292" s="1">
        <v>-2.1617469999999998E-6</v>
      </c>
      <c r="I5292">
        <v>36.25788</v>
      </c>
      <c r="J5292">
        <v>-421.98349999999999</v>
      </c>
      <c r="K5292">
        <v>1.110608</v>
      </c>
      <c r="L5292">
        <v>50.73901</v>
      </c>
      <c r="M5292">
        <v>1.589956E-2</v>
      </c>
      <c r="N5292">
        <v>0</v>
      </c>
      <c r="O5292">
        <v>-0.99977950000000004</v>
      </c>
      <c r="P5292">
        <v>-2.2249809999999998E-2</v>
      </c>
      <c r="Q5292">
        <v>-1.18174E-2</v>
      </c>
      <c r="R5292">
        <v>-0.99968279999999998</v>
      </c>
      <c r="S5292">
        <v>0.37310789999999999</v>
      </c>
      <c r="T5292">
        <v>-0.22709199999999999</v>
      </c>
      <c r="U5292">
        <v>-3.007263</v>
      </c>
      <c r="V5292">
        <v>3.8140380000000002E-2</v>
      </c>
      <c r="W5292">
        <v>1.9457960000000001E-3</v>
      </c>
      <c r="X5292">
        <v>0.99927049999999995</v>
      </c>
      <c r="Y5292">
        <v>-0.1069846</v>
      </c>
      <c r="Z5292">
        <v>7.4784809999999993E-2</v>
      </c>
      <c r="AA5292">
        <v>0.9914442</v>
      </c>
      <c r="AB5292">
        <v>23</v>
      </c>
      <c r="AC5292">
        <v>1.8202999999999701</v>
      </c>
      <c r="AD5292">
        <v>-1.1106101617469999</v>
      </c>
      <c r="AE5292">
        <v>-14.481129999999901</v>
      </c>
      <c r="AF5292">
        <v>-1.58065196755569</v>
      </c>
      <c r="AG5292">
        <v>-1.1106101617469999</v>
      </c>
      <c r="AH5292">
        <v>14.4247187174738</v>
      </c>
      <c r="AI5292">
        <v>94.376623480658097</v>
      </c>
      <c r="AJ5292">
        <v>96.253486690042195</v>
      </c>
      <c r="AK5292">
        <v>14.553502178244001</v>
      </c>
      <c r="AL5292">
        <v>89.888514031439996</v>
      </c>
      <c r="AM5292">
        <v>87.814182899815606</v>
      </c>
      <c r="AN5292">
        <v>1.0000000034394301</v>
      </c>
    </row>
    <row r="5293" spans="1:40" x14ac:dyDescent="0.25">
      <c r="A5293" t="str">
        <f>"20190312154943549"</f>
        <v>20190312154943549</v>
      </c>
      <c r="B5293" t="str">
        <f>"1552376983541436"</f>
        <v>1552376983541436</v>
      </c>
      <c r="C5293" t="s">
        <v>40</v>
      </c>
      <c r="D5293">
        <v>4.505433</v>
      </c>
      <c r="E5293">
        <v>0.4454188</v>
      </c>
      <c r="F5293" t="s">
        <v>65</v>
      </c>
      <c r="G5293">
        <v>-420.15499999999997</v>
      </c>
      <c r="H5293" s="1">
        <v>-2.2719269999999999E-6</v>
      </c>
      <c r="I5293">
        <v>36.082740000000001</v>
      </c>
      <c r="J5293">
        <v>-421.9785</v>
      </c>
      <c r="K5293">
        <v>1.1106279999999999</v>
      </c>
      <c r="L5293">
        <v>50.501069999999999</v>
      </c>
      <c r="M5293">
        <v>1.688131E-2</v>
      </c>
      <c r="N5293">
        <v>0</v>
      </c>
      <c r="O5293">
        <v>-0.99976359999999997</v>
      </c>
      <c r="P5293">
        <v>-2.0787759999999999E-2</v>
      </c>
      <c r="Q5293">
        <v>-1.197465E-2</v>
      </c>
      <c r="R5293">
        <v>-0.99971239999999995</v>
      </c>
      <c r="S5293">
        <v>0.37509160000000002</v>
      </c>
      <c r="T5293">
        <v>-0.2278309</v>
      </c>
      <c r="U5293">
        <v>-3.0065919999999999</v>
      </c>
      <c r="V5293">
        <v>3.7660350000000002E-2</v>
      </c>
      <c r="W5293">
        <v>1.787964E-3</v>
      </c>
      <c r="X5293">
        <v>0.99928899999999998</v>
      </c>
      <c r="Y5293">
        <v>-0.1066771</v>
      </c>
      <c r="Z5293">
        <v>7.5039709999999996E-2</v>
      </c>
      <c r="AA5293">
        <v>0.99145810000000001</v>
      </c>
      <c r="AB5293">
        <v>23</v>
      </c>
      <c r="AC5293">
        <v>1.8235000000000201</v>
      </c>
      <c r="AD5293">
        <v>-1.110630271927</v>
      </c>
      <c r="AE5293">
        <v>-14.4183299999999</v>
      </c>
      <c r="AF5293">
        <v>-1.57064428848223</v>
      </c>
      <c r="AG5293">
        <v>-1.110630271927</v>
      </c>
      <c r="AH5293">
        <v>14.363179092492199</v>
      </c>
      <c r="AI5293">
        <v>94.3954888811366</v>
      </c>
      <c r="AJ5293">
        <v>96.240619721091903</v>
      </c>
      <c r="AK5293">
        <v>14.491422867505699</v>
      </c>
      <c r="AL5293">
        <v>89.897557154516903</v>
      </c>
      <c r="AM5293">
        <v>87.841707053647596</v>
      </c>
      <c r="AN5293">
        <v>1.0000000021491899</v>
      </c>
    </row>
    <row r="5294" spans="1:40" x14ac:dyDescent="0.25">
      <c r="A5294" t="str">
        <f>"20190312154943569"</f>
        <v>20190312154943569</v>
      </c>
      <c r="B5294" t="str">
        <f>"1552376983560958"</f>
        <v>1552376983560958</v>
      </c>
      <c r="C5294" t="s">
        <v>40</v>
      </c>
      <c r="D5294">
        <v>4.483778</v>
      </c>
      <c r="E5294">
        <v>0.44551180000000001</v>
      </c>
      <c r="F5294" t="s">
        <v>65</v>
      </c>
      <c r="G5294">
        <v>-420.1266</v>
      </c>
      <c r="H5294" s="1">
        <v>-2.4472940000000001E-6</v>
      </c>
      <c r="I5294">
        <v>35.800609999999999</v>
      </c>
      <c r="J5294">
        <v>-421.97370000000001</v>
      </c>
      <c r="K5294">
        <v>1.110649</v>
      </c>
      <c r="L5294">
        <v>50.280180000000001</v>
      </c>
      <c r="M5294">
        <v>1.7824710000000001E-2</v>
      </c>
      <c r="N5294">
        <v>0</v>
      </c>
      <c r="O5294">
        <v>-0.99974719999999995</v>
      </c>
      <c r="P5294">
        <v>-1.899812E-2</v>
      </c>
      <c r="Q5294">
        <v>-1.1477879999999999E-2</v>
      </c>
      <c r="R5294">
        <v>-0.99975389999999997</v>
      </c>
      <c r="S5294">
        <v>0.37869259999999999</v>
      </c>
      <c r="T5294">
        <v>-0.22710649999999999</v>
      </c>
      <c r="U5294">
        <v>-3.0060120000000001</v>
      </c>
      <c r="V5294">
        <v>3.6813810000000002E-2</v>
      </c>
      <c r="W5294">
        <v>2.283874E-3</v>
      </c>
      <c r="X5294">
        <v>0.99931959999999997</v>
      </c>
      <c r="Y5294">
        <v>-0.1069339</v>
      </c>
      <c r="Z5294">
        <v>7.4808280000000005E-2</v>
      </c>
      <c r="AA5294">
        <v>0.99144790000000005</v>
      </c>
      <c r="AB5294">
        <v>23</v>
      </c>
      <c r="AC5294">
        <v>1.84710000000001</v>
      </c>
      <c r="AD5294">
        <v>-1.1106514472939999</v>
      </c>
      <c r="AE5294">
        <v>-14.479570000000001</v>
      </c>
      <c r="AF5294">
        <v>-1.57954349949911</v>
      </c>
      <c r="AG5294">
        <v>-1.1106514472939999</v>
      </c>
      <c r="AH5294">
        <v>14.426674431754201</v>
      </c>
      <c r="AI5294">
        <v>94.3762377824617</v>
      </c>
      <c r="AJ5294">
        <v>96.248295551922993</v>
      </c>
      <c r="AK5294">
        <v>14.5553234063698</v>
      </c>
      <c r="AL5294">
        <v>89.869143553974595</v>
      </c>
      <c r="AM5294">
        <v>87.890241971692404</v>
      </c>
      <c r="AN5294">
        <v>1.00000006781565</v>
      </c>
    </row>
    <row r="5295" spans="1:40" x14ac:dyDescent="0.25">
      <c r="A5295" t="str">
        <f>"20190312154943592"</f>
        <v>20190312154943592</v>
      </c>
      <c r="B5295" t="str">
        <f>"1552376983581452"</f>
        <v>1552376983581452</v>
      </c>
      <c r="C5295" t="s">
        <v>40</v>
      </c>
      <c r="D5295">
        <v>4.4619359999999997</v>
      </c>
      <c r="E5295">
        <v>0.44558120000000001</v>
      </c>
      <c r="F5295" t="s">
        <v>65</v>
      </c>
      <c r="G5295">
        <v>-420.08190000000002</v>
      </c>
      <c r="H5295" s="1">
        <v>-2.6786760000000001E-6</v>
      </c>
      <c r="I5295">
        <v>35.4268</v>
      </c>
      <c r="J5295">
        <v>-421.96850000000001</v>
      </c>
      <c r="K5295">
        <v>1.1106689999999999</v>
      </c>
      <c r="L5295">
        <v>50.052340000000001</v>
      </c>
      <c r="M5295">
        <v>1.8828810000000001E-2</v>
      </c>
      <c r="N5295">
        <v>0</v>
      </c>
      <c r="O5295">
        <v>-0.99972870000000003</v>
      </c>
      <c r="P5295">
        <v>-1.7553559999999999E-2</v>
      </c>
      <c r="Q5295">
        <v>-1.1054970000000001E-2</v>
      </c>
      <c r="R5295">
        <v>-0.99978489999999998</v>
      </c>
      <c r="S5295">
        <v>0.38278200000000001</v>
      </c>
      <c r="T5295">
        <v>-0.22472919999999999</v>
      </c>
      <c r="U5295">
        <v>-3.0054319999999999</v>
      </c>
      <c r="V5295">
        <v>3.6372929999999998E-2</v>
      </c>
      <c r="W5295">
        <v>2.7063489999999998E-3</v>
      </c>
      <c r="X5295">
        <v>0.99933459999999996</v>
      </c>
      <c r="Y5295">
        <v>-0.1072941</v>
      </c>
      <c r="Z5295">
        <v>7.4033890000000005E-2</v>
      </c>
      <c r="AA5295">
        <v>0.99146710000000005</v>
      </c>
      <c r="AB5295">
        <v>23</v>
      </c>
      <c r="AC5295">
        <v>1.8865999999999801</v>
      </c>
      <c r="AD5295">
        <v>-1.110671678676</v>
      </c>
      <c r="AE5295">
        <v>-14.6255399999999</v>
      </c>
      <c r="AF5295">
        <v>-1.6017719011774201</v>
      </c>
      <c r="AG5295">
        <v>-1.110671678676</v>
      </c>
      <c r="AH5295">
        <v>14.575790158841301</v>
      </c>
      <c r="AI5295">
        <v>94.331527744836293</v>
      </c>
      <c r="AJ5295">
        <v>96.271220065044503</v>
      </c>
      <c r="AK5295">
        <v>14.705540573395799</v>
      </c>
      <c r="AL5295">
        <v>89.844937431797405</v>
      </c>
      <c r="AM5295">
        <v>87.915517144944104</v>
      </c>
      <c r="AN5295">
        <v>0.99999997855942702</v>
      </c>
    </row>
    <row r="5296" spans="1:40" x14ac:dyDescent="0.25">
      <c r="A5296" t="str">
        <f>"20190312154943614"</f>
        <v>20190312154943614</v>
      </c>
      <c r="B5296" t="str">
        <f>"1552376983611079"</f>
        <v>1552376983611079</v>
      </c>
      <c r="C5296" t="s">
        <v>40</v>
      </c>
      <c r="D5296">
        <v>4.4867990000000004</v>
      </c>
      <c r="E5296">
        <v>0.44559739999999998</v>
      </c>
      <c r="F5296" t="s">
        <v>65</v>
      </c>
      <c r="G5296">
        <v>-420.03620000000001</v>
      </c>
      <c r="H5296" s="1">
        <v>-2.9175649999999999E-6</v>
      </c>
      <c r="I5296">
        <v>35.040950000000002</v>
      </c>
      <c r="J5296">
        <v>-421.96300000000002</v>
      </c>
      <c r="K5296">
        <v>1.110687</v>
      </c>
      <c r="L5296">
        <v>49.824680000000001</v>
      </c>
      <c r="M5296">
        <v>1.9869999999999999E-2</v>
      </c>
      <c r="N5296">
        <v>0</v>
      </c>
      <c r="O5296">
        <v>-0.9997085</v>
      </c>
      <c r="P5296">
        <v>-1.5719589999999999E-2</v>
      </c>
      <c r="Q5296">
        <v>-1.1260330000000001E-2</v>
      </c>
      <c r="R5296">
        <v>-0.99981310000000001</v>
      </c>
      <c r="S5296">
        <v>0.3868103</v>
      </c>
      <c r="T5296">
        <v>-0.222334</v>
      </c>
      <c r="U5296">
        <v>-3.0049739999999998</v>
      </c>
      <c r="V5296">
        <v>3.5580800000000003E-2</v>
      </c>
      <c r="W5296">
        <v>2.5003569999999999E-3</v>
      </c>
      <c r="X5296">
        <v>0.99936369999999997</v>
      </c>
      <c r="Y5296">
        <v>-0.1075926</v>
      </c>
      <c r="Z5296">
        <v>7.3250549999999998E-2</v>
      </c>
      <c r="AA5296">
        <v>0.99149290000000001</v>
      </c>
      <c r="AB5296">
        <v>23</v>
      </c>
      <c r="AC5296">
        <v>1.9268000000000101</v>
      </c>
      <c r="AD5296">
        <v>-1.110689917565</v>
      </c>
      <c r="AE5296">
        <v>-14.783729999999901</v>
      </c>
      <c r="AF5296">
        <v>-1.62362784806793</v>
      </c>
      <c r="AG5296">
        <v>-1.110689917565</v>
      </c>
      <c r="AH5296">
        <v>14.737306023931399</v>
      </c>
      <c r="AI5296">
        <v>94.284174187332894</v>
      </c>
      <c r="AJ5296">
        <v>96.286994526809806</v>
      </c>
      <c r="AK5296">
        <v>14.8680189778264</v>
      </c>
      <c r="AL5296">
        <v>89.856739950932706</v>
      </c>
      <c r="AM5296">
        <v>87.960933608852599</v>
      </c>
      <c r="AN5296">
        <v>1.0000000249957199</v>
      </c>
    </row>
    <row r="5297" spans="1:40" x14ac:dyDescent="0.25">
      <c r="A5297" t="str">
        <f>"20190312154943637"</f>
        <v>20190312154943637</v>
      </c>
      <c r="B5297" t="str">
        <f>"1552376983631579"</f>
        <v>1552376983631579</v>
      </c>
      <c r="C5297" t="s">
        <v>40</v>
      </c>
      <c r="D5297">
        <v>4.5462170000000004</v>
      </c>
      <c r="E5297">
        <v>0.41207729999999998</v>
      </c>
      <c r="F5297" t="s">
        <v>65</v>
      </c>
      <c r="G5297">
        <v>-419.9984</v>
      </c>
      <c r="H5297" s="1">
        <v>-3.0827079999999999E-6</v>
      </c>
      <c r="I5297">
        <v>34.772869999999998</v>
      </c>
      <c r="J5297">
        <v>-421.9572</v>
      </c>
      <c r="K5297">
        <v>1.110711</v>
      </c>
      <c r="L5297">
        <v>49.59619</v>
      </c>
      <c r="M5297">
        <v>2.0962680000000001E-2</v>
      </c>
      <c r="N5297">
        <v>0</v>
      </c>
      <c r="O5297">
        <v>-0.99968639999999998</v>
      </c>
      <c r="P5297">
        <v>-1.46964E-2</v>
      </c>
      <c r="Q5297">
        <v>-1.115411E-2</v>
      </c>
      <c r="R5297">
        <v>-0.99983</v>
      </c>
      <c r="S5297">
        <v>0.39212039999999998</v>
      </c>
      <c r="T5297">
        <v>-0.22168650000000001</v>
      </c>
      <c r="U5297">
        <v>-3.0042420000000001</v>
      </c>
      <c r="V5297">
        <v>3.5650069999999999E-2</v>
      </c>
      <c r="W5297">
        <v>2.607168E-3</v>
      </c>
      <c r="X5297">
        <v>0.9993609</v>
      </c>
      <c r="Y5297">
        <v>-0.1082621</v>
      </c>
      <c r="Z5297">
        <v>7.3042609999999994E-2</v>
      </c>
      <c r="AA5297">
        <v>0.99143530000000002</v>
      </c>
      <c r="AB5297">
        <v>23</v>
      </c>
      <c r="AC5297">
        <v>1.9587999999999901</v>
      </c>
      <c r="AD5297">
        <v>-1.110714082708</v>
      </c>
      <c r="AE5297">
        <v>-14.823319999999899</v>
      </c>
      <c r="AF5297">
        <v>-1.638561943282</v>
      </c>
      <c r="AG5297">
        <v>-1.110714082708</v>
      </c>
      <c r="AH5297">
        <v>14.7795713848863</v>
      </c>
      <c r="AI5297">
        <v>94.271737538521606</v>
      </c>
      <c r="AJ5297">
        <v>96.326357034742699</v>
      </c>
      <c r="AK5297">
        <v>14.9115492601019</v>
      </c>
      <c r="AL5297">
        <v>89.850620102902994</v>
      </c>
      <c r="AM5297">
        <v>87.956961521487599</v>
      </c>
      <c r="AN5297">
        <v>0.99999996663239699</v>
      </c>
    </row>
    <row r="5298" spans="1:40" x14ac:dyDescent="0.25">
      <c r="A5298" t="str">
        <f>"20190312154943658"</f>
        <v>20190312154943658</v>
      </c>
      <c r="B5298" t="str">
        <f>"1552376983651096"</f>
        <v>1552376983651096</v>
      </c>
      <c r="C5298" t="s">
        <v>40</v>
      </c>
      <c r="D5298">
        <v>4.4081289999999997</v>
      </c>
      <c r="E5298">
        <v>0.40751039999999999</v>
      </c>
      <c r="F5298" t="s">
        <v>65</v>
      </c>
      <c r="G5298">
        <v>-418.11750000000001</v>
      </c>
      <c r="H5298" s="1">
        <v>-4.8418080000000002E-6</v>
      </c>
      <c r="I5298">
        <v>32.148980000000002</v>
      </c>
      <c r="J5298">
        <v>-421.95139999999998</v>
      </c>
      <c r="K5298">
        <v>1.1107450000000001</v>
      </c>
      <c r="L5298">
        <v>49.379390000000001</v>
      </c>
      <c r="M5298">
        <v>2.2053509999999998E-2</v>
      </c>
      <c r="N5298">
        <v>0</v>
      </c>
      <c r="O5298">
        <v>-0.99966290000000002</v>
      </c>
      <c r="P5298">
        <v>-1.344266E-2</v>
      </c>
      <c r="Q5298">
        <v>-1.150463E-2</v>
      </c>
      <c r="R5298">
        <v>-0.99984340000000005</v>
      </c>
      <c r="S5298">
        <v>0.66201779999999999</v>
      </c>
      <c r="T5298">
        <v>-0.19150139999999999</v>
      </c>
      <c r="U5298">
        <v>-3.0081180000000001</v>
      </c>
      <c r="V5298">
        <v>3.5487739999999997E-2</v>
      </c>
      <c r="W5298">
        <v>2.2576470000000002E-3</v>
      </c>
      <c r="X5298">
        <v>0.99936749999999996</v>
      </c>
      <c r="Y5298">
        <v>-0.19292570000000001</v>
      </c>
      <c r="Z5298">
        <v>6.2172199999999997E-2</v>
      </c>
      <c r="AA5298">
        <v>0.97924169999999999</v>
      </c>
      <c r="AB5298">
        <v>23</v>
      </c>
      <c r="AC5298">
        <v>3.8338999999999701</v>
      </c>
      <c r="AD5298">
        <v>-1.110749841808</v>
      </c>
      <c r="AE5298">
        <v>-17.230409999999999</v>
      </c>
      <c r="AF5298">
        <v>-3.4393222461240298</v>
      </c>
      <c r="AG5298">
        <v>-1.110749841808</v>
      </c>
      <c r="AH5298">
        <v>17.2425035542465</v>
      </c>
      <c r="AI5298">
        <v>93.614843792678698</v>
      </c>
      <c r="AJ5298">
        <v>101.280603056735</v>
      </c>
      <c r="AK5298">
        <v>17.617225421216698</v>
      </c>
      <c r="AL5298">
        <v>89.870646237410497</v>
      </c>
      <c r="AM5298">
        <v>87.966269938653696</v>
      </c>
      <c r="AN5298">
        <v>0.99999993835826495</v>
      </c>
    </row>
    <row r="5299" spans="1:40" x14ac:dyDescent="0.25">
      <c r="A5299" t="str">
        <f>"20190312154943682"</f>
        <v>20190312154943682</v>
      </c>
      <c r="B5299" t="str">
        <f>"1552376983671592"</f>
        <v>1552376983671592</v>
      </c>
      <c r="C5299" t="s">
        <v>40</v>
      </c>
      <c r="D5299">
        <v>4.3814729999999997</v>
      </c>
      <c r="E5299">
        <v>0.40517629999999999</v>
      </c>
      <c r="F5299" t="s">
        <v>65</v>
      </c>
      <c r="G5299">
        <v>-417.85649999999998</v>
      </c>
      <c r="H5299" s="1">
        <v>-5.0524720000000004E-6</v>
      </c>
      <c r="I5299">
        <v>31.84909</v>
      </c>
      <c r="J5299">
        <v>-421.94490000000002</v>
      </c>
      <c r="K5299">
        <v>1.1107860000000001</v>
      </c>
      <c r="L5299">
        <v>49.145870000000002</v>
      </c>
      <c r="M5299">
        <v>2.3296089999999998E-2</v>
      </c>
      <c r="N5299">
        <v>0</v>
      </c>
      <c r="O5299">
        <v>-0.99963489999999999</v>
      </c>
      <c r="P5299">
        <v>-1.2478990000000001E-2</v>
      </c>
      <c r="Q5299">
        <v>-1.1856129999999999E-2</v>
      </c>
      <c r="R5299">
        <v>-0.99985210000000002</v>
      </c>
      <c r="S5299">
        <v>0.70257569999999903</v>
      </c>
      <c r="T5299">
        <v>-0.1905744</v>
      </c>
      <c r="U5299">
        <v>-3.0077210000000001</v>
      </c>
      <c r="V5299">
        <v>3.576704E-2</v>
      </c>
      <c r="W5299">
        <v>1.9090800000000001E-3</v>
      </c>
      <c r="X5299">
        <v>0.99935839999999998</v>
      </c>
      <c r="Y5299">
        <v>-0.20428479999999999</v>
      </c>
      <c r="Z5299">
        <v>6.1715220000000001E-2</v>
      </c>
      <c r="AA5299">
        <v>0.97696419999999995</v>
      </c>
      <c r="AB5299">
        <v>23</v>
      </c>
      <c r="AC5299">
        <v>4.0884000000000302</v>
      </c>
      <c r="AD5299">
        <v>-1.1107910524719999</v>
      </c>
      <c r="AE5299">
        <v>-17.296779999999998</v>
      </c>
      <c r="AF5299">
        <v>-3.6699705118070201</v>
      </c>
      <c r="AG5299">
        <v>-1.1107910524719999</v>
      </c>
      <c r="AH5299">
        <v>17.319688189228799</v>
      </c>
      <c r="AI5299">
        <v>93.590117837818497</v>
      </c>
      <c r="AJ5299">
        <v>101.96377701860899</v>
      </c>
      <c r="AK5299">
        <v>17.739056888456499</v>
      </c>
      <c r="AL5299">
        <v>89.890617714318694</v>
      </c>
      <c r="AM5299">
        <v>87.950258776064501</v>
      </c>
      <c r="AN5299">
        <v>1.0000000686936801</v>
      </c>
    </row>
    <row r="5300" spans="1:40" x14ac:dyDescent="0.25">
      <c r="A5300" t="str">
        <f>"20190312154943703"</f>
        <v>20190312154943703</v>
      </c>
      <c r="B5300" t="str">
        <f>"1552376983700872"</f>
        <v>1552376983700872</v>
      </c>
      <c r="C5300" t="s">
        <v>40</v>
      </c>
      <c r="D5300">
        <v>4.3979210000000002</v>
      </c>
      <c r="E5300">
        <v>0.4039645</v>
      </c>
      <c r="F5300" t="s">
        <v>65</v>
      </c>
      <c r="G5300">
        <v>-417.70530000000002</v>
      </c>
      <c r="H5300" s="1">
        <v>-5.2500550000000002E-6</v>
      </c>
      <c r="I5300">
        <v>31.527139999999999</v>
      </c>
      <c r="J5300">
        <v>-421.93819999999999</v>
      </c>
      <c r="K5300">
        <v>1.110833</v>
      </c>
      <c r="L5300">
        <v>48.921779999999998</v>
      </c>
      <c r="M5300">
        <v>2.4568719999999999E-2</v>
      </c>
      <c r="N5300">
        <v>0</v>
      </c>
      <c r="O5300">
        <v>-0.9996041</v>
      </c>
      <c r="P5300">
        <v>-1.112491E-2</v>
      </c>
      <c r="Q5300">
        <v>-1.2386019999999999E-2</v>
      </c>
      <c r="R5300">
        <v>-0.99986140000000001</v>
      </c>
      <c r="S5300">
        <v>0.72363279999999996</v>
      </c>
      <c r="T5300">
        <v>-0.18959400000000001</v>
      </c>
      <c r="U5300">
        <v>-3.0072329999999998</v>
      </c>
      <c r="V5300">
        <v>3.5686570000000001E-2</v>
      </c>
      <c r="W5300">
        <v>1.3826520000000001E-3</v>
      </c>
      <c r="X5300">
        <v>0.99936210000000003</v>
      </c>
      <c r="Y5300">
        <v>-0.20955309999999999</v>
      </c>
      <c r="Z5300">
        <v>6.132253E-2</v>
      </c>
      <c r="AA5300">
        <v>0.97587250000000003</v>
      </c>
      <c r="AB5300">
        <v>23</v>
      </c>
      <c r="AC5300">
        <v>4.2328999999999697</v>
      </c>
      <c r="AD5300">
        <v>-1.110838250055</v>
      </c>
      <c r="AE5300">
        <v>-17.3946399999999</v>
      </c>
      <c r="AF5300">
        <v>-3.7896269001001199</v>
      </c>
      <c r="AG5300">
        <v>-1.110838250055</v>
      </c>
      <c r="AH5300">
        <v>17.426299897710301</v>
      </c>
      <c r="AI5300">
        <v>93.564295991616603</v>
      </c>
      <c r="AJ5300">
        <v>102.26885766425499</v>
      </c>
      <c r="AK5300">
        <v>17.868160559629199</v>
      </c>
      <c r="AL5300">
        <v>89.920779852600802</v>
      </c>
      <c r="AM5300">
        <v>87.954874004092702</v>
      </c>
      <c r="AN5300">
        <v>1.00000002496066</v>
      </c>
    </row>
    <row r="5301" spans="1:40" x14ac:dyDescent="0.25">
      <c r="A5301" t="str">
        <f>"20190312154943727"</f>
        <v>20190312154943727</v>
      </c>
      <c r="B5301" t="str">
        <f>"1552376983721369"</f>
        <v>1552376983721369</v>
      </c>
      <c r="C5301" t="s">
        <v>40</v>
      </c>
      <c r="D5301">
        <v>4.3878870000000001</v>
      </c>
      <c r="E5301">
        <v>0.40401569999999998</v>
      </c>
      <c r="F5301" t="s">
        <v>65</v>
      </c>
      <c r="G5301">
        <v>-417.69529999999997</v>
      </c>
      <c r="H5301" s="1">
        <v>-5.2039999999999996E-6</v>
      </c>
      <c r="I5301">
        <v>31.621880000000001</v>
      </c>
      <c r="J5301">
        <v>-421.93099999999998</v>
      </c>
      <c r="K5301">
        <v>1.110892</v>
      </c>
      <c r="L5301">
        <v>48.694369999999999</v>
      </c>
      <c r="M5301">
        <v>2.5958060000000002E-2</v>
      </c>
      <c r="N5301">
        <v>0</v>
      </c>
      <c r="O5301">
        <v>-0.99956929999999999</v>
      </c>
      <c r="P5301">
        <v>-9.2029329999999999E-3</v>
      </c>
      <c r="Q5301">
        <v>-1.353359E-2</v>
      </c>
      <c r="R5301">
        <v>-0.99986640000000004</v>
      </c>
      <c r="S5301">
        <v>0.73730469999999904</v>
      </c>
      <c r="T5301">
        <v>-0.1930318</v>
      </c>
      <c r="U5301">
        <v>-3.0062259999999998</v>
      </c>
      <c r="V5301">
        <v>3.5156430000000002E-2</v>
      </c>
      <c r="W5301">
        <v>2.3872060000000001E-4</v>
      </c>
      <c r="X5301">
        <v>0.99938179999999999</v>
      </c>
      <c r="Y5301">
        <v>-0.21244250000000001</v>
      </c>
      <c r="Z5301">
        <v>6.2394400000000003E-2</v>
      </c>
      <c r="AA5301">
        <v>0.97517960000000004</v>
      </c>
      <c r="AB5301">
        <v>23</v>
      </c>
      <c r="AC5301">
        <v>4.2356999999999996</v>
      </c>
      <c r="AD5301">
        <v>-1.110897204</v>
      </c>
      <c r="AE5301">
        <v>-17.072489999999998</v>
      </c>
      <c r="AF5301">
        <v>-3.7760015293040499</v>
      </c>
      <c r="AG5301">
        <v>-1.110897204</v>
      </c>
      <c r="AH5301">
        <v>17.108459457788701</v>
      </c>
      <c r="AI5301">
        <v>93.628075607640298</v>
      </c>
      <c r="AJ5301">
        <v>102.44619378733</v>
      </c>
      <c r="AK5301">
        <v>17.555388493734899</v>
      </c>
      <c r="AL5301">
        <v>89.986322317101099</v>
      </c>
      <c r="AM5301">
        <v>87.985269723337396</v>
      </c>
      <c r="AN5301">
        <v>1.00000000686455</v>
      </c>
    </row>
    <row r="5302" spans="1:40" x14ac:dyDescent="0.25">
      <c r="A5302" t="str">
        <f>"20190312154943749"</f>
        <v>20190312154943749</v>
      </c>
      <c r="B5302" t="str">
        <f>"1552376983740888"</f>
        <v>1552376983740888</v>
      </c>
      <c r="C5302" t="s">
        <v>40</v>
      </c>
      <c r="D5302">
        <v>4.4131159999999996</v>
      </c>
      <c r="E5302">
        <v>0.40384419999999999</v>
      </c>
      <c r="F5302" t="s">
        <v>65</v>
      </c>
      <c r="G5302">
        <v>-417.7484</v>
      </c>
      <c r="H5302" s="1">
        <v>-5.1169850000000001E-6</v>
      </c>
      <c r="I5302">
        <v>31.76953</v>
      </c>
      <c r="J5302">
        <v>-421.92329999999998</v>
      </c>
      <c r="K5302">
        <v>1.1109579999999999</v>
      </c>
      <c r="L5302">
        <v>48.465150000000001</v>
      </c>
      <c r="M5302">
        <v>2.7474700000000001E-2</v>
      </c>
      <c r="N5302">
        <v>0</v>
      </c>
      <c r="O5302">
        <v>-0.99952890000000005</v>
      </c>
      <c r="P5302">
        <v>-5.9499260000000003E-3</v>
      </c>
      <c r="Q5302">
        <v>-1.510329E-2</v>
      </c>
      <c r="R5302">
        <v>-0.99986839999999999</v>
      </c>
      <c r="S5302">
        <v>0.74252320000000005</v>
      </c>
      <c r="T5302">
        <v>-0.19721169999999999</v>
      </c>
      <c r="U5302">
        <v>-3.004578</v>
      </c>
      <c r="V5302">
        <v>3.3424410000000002E-2</v>
      </c>
      <c r="W5302">
        <v>-1.328896E-3</v>
      </c>
      <c r="X5302">
        <v>0.99944040000000001</v>
      </c>
      <c r="Y5302">
        <v>-0.21266009999999999</v>
      </c>
      <c r="Z5302">
        <v>6.3755339999999994E-2</v>
      </c>
      <c r="AA5302">
        <v>0.97504409999999997</v>
      </c>
      <c r="AB5302">
        <v>23</v>
      </c>
      <c r="AC5302">
        <v>4.1748999999999796</v>
      </c>
      <c r="AD5302">
        <v>-1.1109631169849901</v>
      </c>
      <c r="AE5302">
        <v>-16.695620000000002</v>
      </c>
      <c r="AF5302">
        <v>-3.6991581623412801</v>
      </c>
      <c r="AG5302">
        <v>-1.1109631169849901</v>
      </c>
      <c r="AH5302">
        <v>16.734294516657702</v>
      </c>
      <c r="AI5302">
        <v>93.708924731482298</v>
      </c>
      <c r="AJ5302">
        <v>102.464927363897</v>
      </c>
      <c r="AK5302">
        <v>17.174243014687899</v>
      </c>
      <c r="AL5302">
        <v>90.076140151945594</v>
      </c>
      <c r="AM5302">
        <v>88.084563985683999</v>
      </c>
      <c r="AN5302">
        <v>1.00000003515029</v>
      </c>
    </row>
    <row r="5303" spans="1:40" x14ac:dyDescent="0.25">
      <c r="A5303" t="str">
        <f>"20190312154943772"</f>
        <v>20190312154943772</v>
      </c>
      <c r="B5303" t="str">
        <f>"1552376983761384"</f>
        <v>1552376983761384</v>
      </c>
      <c r="C5303" t="s">
        <v>40</v>
      </c>
      <c r="D5303">
        <v>4.3273199999999896</v>
      </c>
      <c r="E5303">
        <v>0.40359099999999998</v>
      </c>
      <c r="F5303" t="s">
        <v>65</v>
      </c>
      <c r="G5303">
        <v>-417.80840000000001</v>
      </c>
      <c r="H5303" s="1">
        <v>-4.9425230000000001E-6</v>
      </c>
      <c r="I5303">
        <v>32.085790000000003</v>
      </c>
      <c r="J5303">
        <v>-421.9153</v>
      </c>
      <c r="K5303">
        <v>1.1110120000000001</v>
      </c>
      <c r="L5303">
        <v>48.241729999999997</v>
      </c>
      <c r="M5303">
        <v>2.9047739999999999E-2</v>
      </c>
      <c r="N5303">
        <v>0</v>
      </c>
      <c r="O5303">
        <v>-0.99948409999999999</v>
      </c>
      <c r="P5303">
        <v>-5.6990519999999996E-4</v>
      </c>
      <c r="Q5303">
        <v>-1.6770199999999999E-2</v>
      </c>
      <c r="R5303">
        <v>-0.99985919999999895</v>
      </c>
      <c r="S5303">
        <v>0.75411989999999995</v>
      </c>
      <c r="T5303">
        <v>-0.20360300000000001</v>
      </c>
      <c r="U5303">
        <v>-3.0018009999999999</v>
      </c>
      <c r="V5303">
        <v>2.9623340000000001E-2</v>
      </c>
      <c r="W5303">
        <v>-2.9985609999999998E-3</v>
      </c>
      <c r="X5303">
        <v>0.99955669999999996</v>
      </c>
      <c r="Y5303">
        <v>-0.2148457</v>
      </c>
      <c r="Z5303">
        <v>6.582085E-2</v>
      </c>
      <c r="AA5303">
        <v>0.9744275</v>
      </c>
      <c r="AB5303">
        <v>23</v>
      </c>
      <c r="AC5303">
        <v>4.1068999999999898</v>
      </c>
      <c r="AD5303">
        <v>-1.1110169425229901</v>
      </c>
      <c r="AE5303">
        <v>-16.155939999999902</v>
      </c>
      <c r="AF5303">
        <v>-3.6197499837224298</v>
      </c>
      <c r="AG5303">
        <v>-1.1110169425229901</v>
      </c>
      <c r="AH5303">
        <v>16.1964832596924</v>
      </c>
      <c r="AI5303">
        <v>93.829933465541401</v>
      </c>
      <c r="AJ5303">
        <v>102.598002198651</v>
      </c>
      <c r="AK5303">
        <v>16.6331902704421</v>
      </c>
      <c r="AL5303">
        <v>90.171805136193001</v>
      </c>
      <c r="AM5303">
        <v>88.302451780487601</v>
      </c>
      <c r="AN5303">
        <v>1.00000006507785</v>
      </c>
    </row>
    <row r="5304" spans="1:40" x14ac:dyDescent="0.25">
      <c r="A5304" t="str">
        <f>"20190312154943793"</f>
        <v>20190312154943793</v>
      </c>
      <c r="B5304" t="str">
        <f>"1552376983780904"</f>
        <v>1552376983780904</v>
      </c>
      <c r="C5304" t="s">
        <v>40</v>
      </c>
      <c r="D5304">
        <v>4.3828959999999997</v>
      </c>
      <c r="E5304">
        <v>0.40305809999999997</v>
      </c>
      <c r="F5304" t="s">
        <v>65</v>
      </c>
      <c r="G5304">
        <v>-417.85669999999999</v>
      </c>
      <c r="H5304" s="1">
        <v>-4.7272859999999997E-6</v>
      </c>
      <c r="I5304">
        <v>32.487200000000001</v>
      </c>
      <c r="J5304">
        <v>-421.90719999999999</v>
      </c>
      <c r="K5304">
        <v>1.1110610000000001</v>
      </c>
      <c r="L5304">
        <v>48.022739999999999</v>
      </c>
      <c r="M5304">
        <v>3.068918E-2</v>
      </c>
      <c r="N5304">
        <v>0</v>
      </c>
      <c r="O5304">
        <v>-0.99943510000000002</v>
      </c>
      <c r="P5304">
        <v>6.9428229999999999E-3</v>
      </c>
      <c r="Q5304">
        <v>-1.8976799999999999E-2</v>
      </c>
      <c r="R5304">
        <v>-0.99979600000000002</v>
      </c>
      <c r="S5304">
        <v>0.77215579999999995</v>
      </c>
      <c r="T5304">
        <v>-0.2113719</v>
      </c>
      <c r="U5304">
        <v>-2.9973139999999998</v>
      </c>
      <c r="V5304">
        <v>2.375963E-2</v>
      </c>
      <c r="W5304">
        <v>-5.2142730000000002E-3</v>
      </c>
      <c r="X5304">
        <v>0.99970409999999998</v>
      </c>
      <c r="Y5304">
        <v>-0.21904889999999999</v>
      </c>
      <c r="Z5304">
        <v>6.8332160000000003E-2</v>
      </c>
      <c r="AA5304">
        <v>0.97331820000000002</v>
      </c>
      <c r="AB5304">
        <v>23</v>
      </c>
      <c r="AC5304">
        <v>4.0505000000000004</v>
      </c>
      <c r="AD5304">
        <v>-1.1110657272860001</v>
      </c>
      <c r="AE5304">
        <v>-15.5355399999999</v>
      </c>
      <c r="AF5304">
        <v>-3.5547495601437</v>
      </c>
      <c r="AG5304">
        <v>-1.1110657272860001</v>
      </c>
      <c r="AH5304">
        <v>15.5779330664335</v>
      </c>
      <c r="AI5304">
        <v>93.977694824001901</v>
      </c>
      <c r="AJ5304">
        <v>102.85430413842499</v>
      </c>
      <c r="AK5304">
        <v>16.016950711916799</v>
      </c>
      <c r="AL5304">
        <v>90.298757190504901</v>
      </c>
      <c r="AM5304">
        <v>88.638526848491395</v>
      </c>
      <c r="AN5304">
        <v>0.99999999810873197</v>
      </c>
    </row>
    <row r="5305" spans="1:40" x14ac:dyDescent="0.25">
      <c r="A5305" t="str">
        <f>"20190312154943816"</f>
        <v>20190312154943816</v>
      </c>
      <c r="B5305" t="str">
        <f>"1552376983811160"</f>
        <v>1552376983811160</v>
      </c>
      <c r="C5305" t="s">
        <v>40</v>
      </c>
      <c r="D5305">
        <v>4.3216210000000004</v>
      </c>
      <c r="E5305">
        <v>0.40258559999999999</v>
      </c>
      <c r="F5305" t="s">
        <v>65</v>
      </c>
      <c r="G5305">
        <v>-417.84690000000001</v>
      </c>
      <c r="H5305" s="1">
        <v>-4.5539060000000003E-6</v>
      </c>
      <c r="I5305">
        <v>32.83173</v>
      </c>
      <c r="J5305">
        <v>-421.89830000000001</v>
      </c>
      <c r="K5305">
        <v>1.11113</v>
      </c>
      <c r="L5305">
        <v>47.801299999999998</v>
      </c>
      <c r="M5305">
        <v>3.2467889999999999E-2</v>
      </c>
      <c r="N5305">
        <v>0</v>
      </c>
      <c r="O5305">
        <v>-0.99937889999999996</v>
      </c>
      <c r="P5305">
        <v>1.411978E-2</v>
      </c>
      <c r="Q5305">
        <v>-1.8556039999999999E-2</v>
      </c>
      <c r="R5305">
        <v>-0.99972850000000002</v>
      </c>
      <c r="S5305">
        <v>0.79940800000000001</v>
      </c>
      <c r="T5305">
        <v>-0.21875410000000001</v>
      </c>
      <c r="U5305">
        <v>-2.9909059999999998</v>
      </c>
      <c r="V5305">
        <v>1.8362880000000002E-2</v>
      </c>
      <c r="W5305">
        <v>-4.8027219999999997E-3</v>
      </c>
      <c r="X5305">
        <v>0.99981989999999998</v>
      </c>
      <c r="Y5305">
        <v>-0.22606380000000001</v>
      </c>
      <c r="Z5305">
        <v>7.0708980000000005E-2</v>
      </c>
      <c r="AA5305">
        <v>0.97154280000000004</v>
      </c>
      <c r="AB5305">
        <v>23</v>
      </c>
      <c r="AC5305">
        <v>4.0514000000000001</v>
      </c>
      <c r="AD5305">
        <v>-1.111134553906</v>
      </c>
      <c r="AE5305">
        <v>-14.9695699999999</v>
      </c>
      <c r="AF5305">
        <v>-3.54498939875565</v>
      </c>
      <c r="AG5305">
        <v>-1.111134553906</v>
      </c>
      <c r="AH5305">
        <v>15.016143400413499</v>
      </c>
      <c r="AI5305">
        <v>94.119122362807104</v>
      </c>
      <c r="AJ5305">
        <v>103.283099508989</v>
      </c>
      <c r="AK5305">
        <v>15.468876250586399</v>
      </c>
      <c r="AL5305">
        <v>90.275176745734399</v>
      </c>
      <c r="AM5305">
        <v>88.947813252290402</v>
      </c>
      <c r="AN5305">
        <v>1.00000004696825</v>
      </c>
    </row>
    <row r="5306" spans="1:40" x14ac:dyDescent="0.25">
      <c r="A5306" t="str">
        <f>"20190312154943838"</f>
        <v>20190312154943838</v>
      </c>
      <c r="B5306" t="str">
        <f>"1552376983831656"</f>
        <v>1552376983831656</v>
      </c>
      <c r="C5306" t="s">
        <v>40</v>
      </c>
      <c r="D5306">
        <v>4.3307390000000003</v>
      </c>
      <c r="E5306">
        <v>0.4025319</v>
      </c>
      <c r="F5306" t="s">
        <v>65</v>
      </c>
      <c r="G5306">
        <v>-417.67500000000001</v>
      </c>
      <c r="H5306" s="1">
        <v>-4.7530260000000004E-6</v>
      </c>
      <c r="I5306">
        <v>32.515740000000001</v>
      </c>
      <c r="J5306">
        <v>-421.8886</v>
      </c>
      <c r="K5306">
        <v>1.111221</v>
      </c>
      <c r="L5306">
        <v>47.572780000000002</v>
      </c>
      <c r="M5306">
        <v>3.444912E-2</v>
      </c>
      <c r="N5306">
        <v>0</v>
      </c>
      <c r="O5306">
        <v>-0.99931250000000005</v>
      </c>
      <c r="P5306">
        <v>2.0178459999999999E-2</v>
      </c>
      <c r="Q5306">
        <v>-1.6443260000000001E-2</v>
      </c>
      <c r="R5306">
        <v>-0.99966140000000003</v>
      </c>
      <c r="S5306">
        <v>0.8247681</v>
      </c>
      <c r="T5306">
        <v>-0.21699499999999999</v>
      </c>
      <c r="U5306">
        <v>-2.9851380000000001</v>
      </c>
      <c r="V5306">
        <v>1.4282130000000001E-2</v>
      </c>
      <c r="W5306">
        <v>-2.696197E-3</v>
      </c>
      <c r="X5306">
        <v>0.99989439999999996</v>
      </c>
      <c r="Y5306">
        <v>-0.2322922</v>
      </c>
      <c r="Z5306">
        <v>7.0137809999999995E-2</v>
      </c>
      <c r="AA5306">
        <v>0.97011389999999997</v>
      </c>
      <c r="AB5306">
        <v>22</v>
      </c>
      <c r="AC5306">
        <v>4.21359999999998</v>
      </c>
      <c r="AD5306">
        <v>-1.1112257530259999</v>
      </c>
      <c r="AE5306">
        <v>-15.057039999999899</v>
      </c>
      <c r="AF5306">
        <v>-3.6737915959711098</v>
      </c>
      <c r="AG5306">
        <v>-1.1112257530259999</v>
      </c>
      <c r="AH5306">
        <v>15.116913530290301</v>
      </c>
      <c r="AI5306">
        <v>94.085679237766499</v>
      </c>
      <c r="AJ5306">
        <v>103.659513835342</v>
      </c>
      <c r="AK5306">
        <v>15.596558660393301</v>
      </c>
      <c r="AL5306">
        <v>90.154480891377901</v>
      </c>
      <c r="AM5306">
        <v>89.181663456274293</v>
      </c>
      <c r="AN5306">
        <v>1.0000000299334699</v>
      </c>
    </row>
    <row r="5307" spans="1:40" x14ac:dyDescent="0.25">
      <c r="A5307" t="str">
        <f>"20190312154943859"</f>
        <v>20190312154943859</v>
      </c>
      <c r="B5307" t="str">
        <f>"1552376983851176"</f>
        <v>1552376983851176</v>
      </c>
      <c r="C5307" t="s">
        <v>40</v>
      </c>
      <c r="D5307">
        <v>4.291887</v>
      </c>
      <c r="E5307">
        <v>0.40259299999999998</v>
      </c>
      <c r="F5307" t="s">
        <v>65</v>
      </c>
      <c r="G5307">
        <v>-417.46809999999999</v>
      </c>
      <c r="H5307" s="1">
        <v>-5.090922E-6</v>
      </c>
      <c r="I5307">
        <v>31.942640000000001</v>
      </c>
      <c r="J5307">
        <v>-421.87900000000002</v>
      </c>
      <c r="K5307">
        <v>1.111327</v>
      </c>
      <c r="L5307">
        <v>47.356540000000003</v>
      </c>
      <c r="M5307">
        <v>3.6485999999999998E-2</v>
      </c>
      <c r="N5307">
        <v>0</v>
      </c>
      <c r="O5307">
        <v>-0.99924020000000002</v>
      </c>
      <c r="P5307">
        <v>2.443706E-2</v>
      </c>
      <c r="Q5307">
        <v>-1.5446669999999999E-2</v>
      </c>
      <c r="R5307">
        <v>-0.99958219999999998</v>
      </c>
      <c r="S5307">
        <v>0.8429565</v>
      </c>
      <c r="T5307">
        <v>-0.21190110000000001</v>
      </c>
      <c r="U5307">
        <v>-2.9805299999999999</v>
      </c>
      <c r="V5307">
        <v>1.205883E-2</v>
      </c>
      <c r="W5307">
        <v>-1.700947E-3</v>
      </c>
      <c r="X5307">
        <v>0.99992590000000003</v>
      </c>
      <c r="Y5307">
        <v>-0.23621420000000001</v>
      </c>
      <c r="Z5307">
        <v>6.8505540000000004E-2</v>
      </c>
      <c r="AA5307">
        <v>0.96928320000000001</v>
      </c>
      <c r="AB5307">
        <v>22</v>
      </c>
      <c r="AC5307">
        <v>4.4109000000000202</v>
      </c>
      <c r="AD5307">
        <v>-1.1113320909219999</v>
      </c>
      <c r="AE5307">
        <v>-15.4139</v>
      </c>
      <c r="AF5307">
        <v>-3.8271293687976802</v>
      </c>
      <c r="AG5307">
        <v>-1.1113320909219999</v>
      </c>
      <c r="AH5307">
        <v>15.490158302033199</v>
      </c>
      <c r="AI5307">
        <v>93.984220587197797</v>
      </c>
      <c r="AJ5307">
        <v>103.87804951342299</v>
      </c>
      <c r="AK5307">
        <v>15.9945922875163</v>
      </c>
      <c r="AL5307">
        <v>90.097457125709994</v>
      </c>
      <c r="AM5307">
        <v>89.309062228821404</v>
      </c>
      <c r="AN5307">
        <v>1.00000005704623</v>
      </c>
    </row>
    <row r="5308" spans="1:40" x14ac:dyDescent="0.25">
      <c r="A5308" t="str">
        <f>"20190312154943883"</f>
        <v>20190312154943883</v>
      </c>
      <c r="B5308" t="str">
        <f>"1552376983871672"</f>
        <v>1552376983871672</v>
      </c>
      <c r="C5308" t="s">
        <v>40</v>
      </c>
      <c r="D5308">
        <v>4.3331580000000001</v>
      </c>
      <c r="E5308">
        <v>0.40256229999999998</v>
      </c>
      <c r="F5308" t="s">
        <v>65</v>
      </c>
      <c r="G5308">
        <v>-417.29730000000001</v>
      </c>
      <c r="H5308" s="1">
        <v>-5.3996799999999996E-6</v>
      </c>
      <c r="I5308">
        <v>31.41103</v>
      </c>
      <c r="J5308">
        <v>-421.86810000000003</v>
      </c>
      <c r="K5308">
        <v>1.111462</v>
      </c>
      <c r="L5308">
        <v>47.129300000000001</v>
      </c>
      <c r="M5308">
        <v>3.8825499999999999E-2</v>
      </c>
      <c r="N5308">
        <v>0</v>
      </c>
      <c r="O5308">
        <v>-0.99915220000000005</v>
      </c>
      <c r="P5308">
        <v>2.7538819999999999E-2</v>
      </c>
      <c r="Q5308">
        <v>-1.540913E-2</v>
      </c>
      <c r="R5308">
        <v>-0.99950220000000001</v>
      </c>
      <c r="S5308">
        <v>0.85543819999999904</v>
      </c>
      <c r="T5308">
        <v>-0.20749390000000001</v>
      </c>
      <c r="U5308">
        <v>-2.9771420000000002</v>
      </c>
      <c r="V5308">
        <v>1.129761E-2</v>
      </c>
      <c r="W5308">
        <v>-1.6589420000000001E-3</v>
      </c>
      <c r="X5308">
        <v>0.99993480000000001</v>
      </c>
      <c r="Y5308">
        <v>-0.23801230000000001</v>
      </c>
      <c r="Z5308">
        <v>6.7098930000000001E-2</v>
      </c>
      <c r="AA5308">
        <v>0.96894159999999996</v>
      </c>
      <c r="AB5308">
        <v>22</v>
      </c>
      <c r="AC5308">
        <v>4.5708000000000197</v>
      </c>
      <c r="AD5308">
        <v>-1.11146739968</v>
      </c>
      <c r="AE5308">
        <v>-15.71827</v>
      </c>
      <c r="AF5308">
        <v>-3.93886672197244</v>
      </c>
      <c r="AG5308">
        <v>-1.11146739968</v>
      </c>
      <c r="AH5308">
        <v>15.811002989836499</v>
      </c>
      <c r="AI5308">
        <v>93.902229800014695</v>
      </c>
      <c r="AJ5308">
        <v>103.98888045535701</v>
      </c>
      <c r="AK5308">
        <v>16.3321108978182</v>
      </c>
      <c r="AL5308">
        <v>90.095050419019302</v>
      </c>
      <c r="AM5308">
        <v>89.352679964451994</v>
      </c>
      <c r="AN5308">
        <v>0.99999999616565505</v>
      </c>
    </row>
    <row r="5309" spans="1:40" x14ac:dyDescent="0.25">
      <c r="A5309" t="str">
        <f>"20190312154943904"</f>
        <v>20190312154943904</v>
      </c>
      <c r="B5309" t="str">
        <f>"1552376983900953"</f>
        <v>1552376983900953</v>
      </c>
      <c r="C5309" t="s">
        <v>40</v>
      </c>
      <c r="D5309">
        <v>4.3509270000000004</v>
      </c>
      <c r="E5309">
        <v>0.40270980000000001</v>
      </c>
      <c r="F5309" t="s">
        <v>65</v>
      </c>
      <c r="G5309">
        <v>-417.21480000000003</v>
      </c>
      <c r="H5309" s="1">
        <v>-5.5673960000000002E-6</v>
      </c>
      <c r="I5309">
        <v>31.117750000000001</v>
      </c>
      <c r="J5309">
        <v>-421.8569</v>
      </c>
      <c r="K5309">
        <v>1.1116109999999999</v>
      </c>
      <c r="L5309">
        <v>46.911830000000002</v>
      </c>
      <c r="M5309">
        <v>4.1297E-2</v>
      </c>
      <c r="N5309">
        <v>0</v>
      </c>
      <c r="O5309">
        <v>-0.99905310000000003</v>
      </c>
      <c r="P5309">
        <v>3.0497170000000001E-2</v>
      </c>
      <c r="Q5309">
        <v>-1.6470800000000001E-2</v>
      </c>
      <c r="R5309">
        <v>-0.9993995</v>
      </c>
      <c r="S5309">
        <v>0.86444089999999996</v>
      </c>
      <c r="T5309">
        <v>-0.20647879999999999</v>
      </c>
      <c r="U5309">
        <v>-2.9744869999999999</v>
      </c>
      <c r="V5309">
        <v>1.0815460000000001E-2</v>
      </c>
      <c r="W5309">
        <v>-2.7138119999999999E-3</v>
      </c>
      <c r="X5309">
        <v>0.99993779999999999</v>
      </c>
      <c r="Y5309">
        <v>-0.23855180000000001</v>
      </c>
      <c r="Z5309">
        <v>6.6787310000000003E-2</v>
      </c>
      <c r="AA5309">
        <v>0.96883050000000004</v>
      </c>
      <c r="AB5309">
        <v>22</v>
      </c>
      <c r="AC5309">
        <v>4.6420999999999699</v>
      </c>
      <c r="AD5309">
        <v>-1.1116165673959999</v>
      </c>
      <c r="AE5309">
        <v>-15.794079999999999</v>
      </c>
      <c r="AF5309">
        <v>-3.9677381412098498</v>
      </c>
      <c r="AG5309">
        <v>-1.1116165673959999</v>
      </c>
      <c r="AH5309">
        <v>15.899827914871899</v>
      </c>
      <c r="AI5309">
        <v>93.8806306797362</v>
      </c>
      <c r="AJ5309">
        <v>104.011757633588</v>
      </c>
      <c r="AK5309">
        <v>16.425077323186699</v>
      </c>
      <c r="AL5309">
        <v>90.155490169296201</v>
      </c>
      <c r="AM5309">
        <v>89.380305407007498</v>
      </c>
      <c r="AN5309">
        <v>0.99999997140971097</v>
      </c>
    </row>
    <row r="5310" spans="1:40" x14ac:dyDescent="0.25">
      <c r="A5310" t="str">
        <f>"20190312154943928"</f>
        <v>20190312154943928</v>
      </c>
      <c r="B5310" t="str">
        <f>"1552376983921454"</f>
        <v>1552376983921454</v>
      </c>
      <c r="C5310" t="s">
        <v>40</v>
      </c>
      <c r="D5310">
        <v>4.3434249999999999</v>
      </c>
      <c r="E5310">
        <v>0.40288590000000002</v>
      </c>
      <c r="F5310" t="s">
        <v>65</v>
      </c>
      <c r="G5310">
        <v>-417.2491</v>
      </c>
      <c r="H5310" s="1">
        <v>-5.5147169999999997E-6</v>
      </c>
      <c r="I5310">
        <v>31.206199999999999</v>
      </c>
      <c r="J5310">
        <v>-421.84440000000001</v>
      </c>
      <c r="K5310">
        <v>1.111788</v>
      </c>
      <c r="L5310">
        <v>46.686889999999998</v>
      </c>
      <c r="M5310">
        <v>4.414361E-2</v>
      </c>
      <c r="N5310">
        <v>0</v>
      </c>
      <c r="O5310">
        <v>-0.99893109999999996</v>
      </c>
      <c r="P5310">
        <v>3.4196459999999998E-2</v>
      </c>
      <c r="Q5310">
        <v>-1.757879E-2</v>
      </c>
      <c r="R5310">
        <v>-0.9992605</v>
      </c>
      <c r="S5310">
        <v>0.87185669999999904</v>
      </c>
      <c r="T5310">
        <v>-0.2103344</v>
      </c>
      <c r="U5310">
        <v>-2.9717410000000002</v>
      </c>
      <c r="V5310">
        <v>9.9684219999999994E-3</v>
      </c>
      <c r="W5310">
        <v>-3.814034E-3</v>
      </c>
      <c r="X5310">
        <v>0.99994300000000003</v>
      </c>
      <c r="Y5310">
        <v>-0.23822840000000001</v>
      </c>
      <c r="Z5310">
        <v>6.8055610000000002E-2</v>
      </c>
      <c r="AA5310">
        <v>0.96882179999999996</v>
      </c>
      <c r="AB5310">
        <v>22</v>
      </c>
      <c r="AC5310">
        <v>4.5952999999999999</v>
      </c>
      <c r="AD5310">
        <v>-1.1117935147169999</v>
      </c>
      <c r="AE5310">
        <v>-15.480689999999999</v>
      </c>
      <c r="AF5310">
        <v>-3.8889476146276198</v>
      </c>
      <c r="AG5310">
        <v>-1.1117935147169999</v>
      </c>
      <c r="AH5310">
        <v>15.594548055644699</v>
      </c>
      <c r="AI5310">
        <v>93.957141969544793</v>
      </c>
      <c r="AJ5310">
        <v>104.00273294533299</v>
      </c>
      <c r="AK5310">
        <v>16.1105532936798</v>
      </c>
      <c r="AL5310">
        <v>90.218528589730099</v>
      </c>
      <c r="AM5310">
        <v>89.428837854016294</v>
      </c>
      <c r="AN5310">
        <v>0.99999995977075995</v>
      </c>
    </row>
    <row r="5311" spans="1:40" x14ac:dyDescent="0.25">
      <c r="A5311" t="str">
        <f>"20190312154943949"</f>
        <v>20190312154943949</v>
      </c>
      <c r="B5311" t="str">
        <f>"1552376983940968"</f>
        <v>1552376983940968</v>
      </c>
      <c r="C5311" t="s">
        <v>40</v>
      </c>
      <c r="D5311">
        <v>4.3549020000000001</v>
      </c>
      <c r="E5311">
        <v>0.4030569</v>
      </c>
      <c r="F5311" t="s">
        <v>65</v>
      </c>
      <c r="G5311">
        <v>-417.29860000000002</v>
      </c>
      <c r="H5311" s="1">
        <v>-5.4123279999999998E-6</v>
      </c>
      <c r="I5311">
        <v>31.385619999999999</v>
      </c>
      <c r="J5311">
        <v>-421.83150000000001</v>
      </c>
      <c r="K5311">
        <v>1.1119619999999999</v>
      </c>
      <c r="L5311">
        <v>46.470700000000001</v>
      </c>
      <c r="M5311">
        <v>4.7157890000000001E-2</v>
      </c>
      <c r="N5311">
        <v>0</v>
      </c>
      <c r="O5311">
        <v>-0.99879320000000005</v>
      </c>
      <c r="P5311">
        <v>3.7815689999999999E-2</v>
      </c>
      <c r="Q5311">
        <v>-1.8798749999999999E-2</v>
      </c>
      <c r="R5311">
        <v>-0.999108</v>
      </c>
      <c r="S5311">
        <v>0.88183590000000001</v>
      </c>
      <c r="T5311">
        <v>-0.21567459999999999</v>
      </c>
      <c r="U5311">
        <v>-2.9682620000000002</v>
      </c>
      <c r="V5311">
        <v>9.3704559999999992E-3</v>
      </c>
      <c r="W5311">
        <v>-5.0244900000000004E-3</v>
      </c>
      <c r="X5311">
        <v>0.99994349999999999</v>
      </c>
      <c r="Y5311">
        <v>-0.23856620000000001</v>
      </c>
      <c r="Z5311">
        <v>6.9803130000000005E-2</v>
      </c>
      <c r="AA5311">
        <v>0.96861430000000004</v>
      </c>
      <c r="AB5311">
        <v>22</v>
      </c>
      <c r="AC5311">
        <v>4.5328999999999802</v>
      </c>
      <c r="AD5311">
        <v>-1.1119674123279999</v>
      </c>
      <c r="AE5311">
        <v>-15.08508</v>
      </c>
      <c r="AF5311">
        <v>-3.7974832061139501</v>
      </c>
      <c r="AG5311">
        <v>-1.1119674123279999</v>
      </c>
      <c r="AH5311">
        <v>15.2062935496901</v>
      </c>
      <c r="AI5311">
        <v>94.058142078071299</v>
      </c>
      <c r="AJ5311">
        <v>104.02173771215401</v>
      </c>
      <c r="AK5311">
        <v>15.7126927592359</v>
      </c>
      <c r="AL5311">
        <v>90.287883274714503</v>
      </c>
      <c r="AM5311">
        <v>89.463097798944801</v>
      </c>
      <c r="AN5311">
        <v>1.0000000270688201</v>
      </c>
    </row>
    <row r="5312" spans="1:40" x14ac:dyDescent="0.25">
      <c r="A5312" t="str">
        <f>"20190312154943973"</f>
        <v>20190312154943973</v>
      </c>
      <c r="B5312" t="str">
        <f>"1552376983961466"</f>
        <v>1552376983961466</v>
      </c>
      <c r="C5312" t="s">
        <v>40</v>
      </c>
      <c r="D5312">
        <v>4.3394269999999997</v>
      </c>
      <c r="E5312">
        <v>0.40328449999999999</v>
      </c>
      <c r="F5312" t="s">
        <v>65</v>
      </c>
      <c r="G5312">
        <v>-417.3304</v>
      </c>
      <c r="H5312" s="1">
        <v>-5.3511819999999996E-6</v>
      </c>
      <c r="I5312">
        <v>31.491759999999999</v>
      </c>
      <c r="J5312">
        <v>-421.81650000000002</v>
      </c>
      <c r="K5312">
        <v>1.112133</v>
      </c>
      <c r="L5312">
        <v>46.23874</v>
      </c>
      <c r="M5312">
        <v>5.0661629999999999E-2</v>
      </c>
      <c r="N5312">
        <v>0</v>
      </c>
      <c r="O5312">
        <v>-0.99862150000000005</v>
      </c>
      <c r="P5312">
        <v>4.1964080000000001E-2</v>
      </c>
      <c r="Q5312">
        <v>-1.952303E-2</v>
      </c>
      <c r="R5312">
        <v>-0.99892840000000005</v>
      </c>
      <c r="S5312">
        <v>0.89089969999999996</v>
      </c>
      <c r="T5312">
        <v>-0.22009409999999999</v>
      </c>
      <c r="U5312">
        <v>-2.9648129999999999</v>
      </c>
      <c r="V5312">
        <v>8.7314999999999997E-3</v>
      </c>
      <c r="W5312">
        <v>-5.7388109999999999E-3</v>
      </c>
      <c r="X5312">
        <v>0.99994539999999998</v>
      </c>
      <c r="Y5312">
        <v>-0.2381559</v>
      </c>
      <c r="Z5312">
        <v>7.1259829999999996E-2</v>
      </c>
      <c r="AA5312">
        <v>0.96860919999999895</v>
      </c>
      <c r="AB5312">
        <v>22</v>
      </c>
      <c r="AC5312">
        <v>4.48610000000002</v>
      </c>
      <c r="AD5312">
        <v>-1.112138351182</v>
      </c>
      <c r="AE5312">
        <v>-14.746979999999899</v>
      </c>
      <c r="AF5312">
        <v>-3.7138288852491401</v>
      </c>
      <c r="AG5312">
        <v>-1.112138351182</v>
      </c>
      <c r="AH5312">
        <v>14.8778851494683</v>
      </c>
      <c r="AI5312">
        <v>94.148153103052707</v>
      </c>
      <c r="AJ5312">
        <v>104.015790550587</v>
      </c>
      <c r="AK5312">
        <v>15.3746818901026</v>
      </c>
      <c r="AL5312">
        <v>90.328811458525095</v>
      </c>
      <c r="AM5312">
        <v>89.499707299589502</v>
      </c>
      <c r="AN5312">
        <v>0.99999998801255097</v>
      </c>
    </row>
    <row r="5313" spans="1:40" x14ac:dyDescent="0.25">
      <c r="A5313" t="str">
        <f>"20190312154943996"</f>
        <v>20190312154943996</v>
      </c>
      <c r="B5313" t="str">
        <f>"1552376983991721"</f>
        <v>1552376983991721</v>
      </c>
      <c r="C5313" t="s">
        <v>40</v>
      </c>
      <c r="D5313">
        <v>4.3844430000000001</v>
      </c>
      <c r="E5313">
        <v>0.40364830000000002</v>
      </c>
      <c r="F5313" t="s">
        <v>65</v>
      </c>
      <c r="G5313">
        <v>-417.31790000000001</v>
      </c>
      <c r="H5313" s="1">
        <v>-5.3713779999999998E-6</v>
      </c>
      <c r="I5313">
        <v>31.457599999999999</v>
      </c>
      <c r="J5313">
        <v>-421.80160000000001</v>
      </c>
      <c r="K5313">
        <v>1.112276</v>
      </c>
      <c r="L5313">
        <v>46.022770000000001</v>
      </c>
      <c r="M5313">
        <v>5.4173939999999997E-2</v>
      </c>
      <c r="N5313">
        <v>0</v>
      </c>
      <c r="O5313">
        <v>-0.99843700000000002</v>
      </c>
      <c r="P5313">
        <v>4.5806439999999997E-2</v>
      </c>
      <c r="Q5313">
        <v>-1.8907650000000002E-2</v>
      </c>
      <c r="R5313">
        <v>-0.99877179999999999</v>
      </c>
      <c r="S5313">
        <v>0.90118410000000004</v>
      </c>
      <c r="T5313">
        <v>-0.2227867</v>
      </c>
      <c r="U5313">
        <v>-2.9609990000000002</v>
      </c>
      <c r="V5313">
        <v>8.4014859999999997E-3</v>
      </c>
      <c r="W5313">
        <v>-5.1135959999999998E-3</v>
      </c>
      <c r="X5313">
        <v>0.9999517</v>
      </c>
      <c r="Y5313">
        <v>-0.23814730000000001</v>
      </c>
      <c r="Z5313">
        <v>7.2160089999999996E-2</v>
      </c>
      <c r="AA5313">
        <v>0.96854470000000004</v>
      </c>
      <c r="AB5313">
        <v>22</v>
      </c>
      <c r="AC5313">
        <v>4.48369999999999</v>
      </c>
      <c r="AD5313">
        <v>-1.112281371378</v>
      </c>
      <c r="AE5313">
        <v>-14.56517</v>
      </c>
      <c r="AF5313">
        <v>-3.66844579378678</v>
      </c>
      <c r="AG5313">
        <v>-1.112281371378</v>
      </c>
      <c r="AH5313">
        <v>14.708349332003399</v>
      </c>
      <c r="AI5313">
        <v>94.196539226487801</v>
      </c>
      <c r="AJ5313">
        <v>104.004556487174</v>
      </c>
      <c r="AK5313">
        <v>15.1996777749829</v>
      </c>
      <c r="AL5313">
        <v>90.292988725884101</v>
      </c>
      <c r="AM5313">
        <v>89.518618386265402</v>
      </c>
      <c r="AN5313">
        <v>1.0000000680819701</v>
      </c>
    </row>
    <row r="5314" spans="1:40" x14ac:dyDescent="0.25">
      <c r="A5314" t="str">
        <f>"20190312154944017"</f>
        <v>20190312154944017</v>
      </c>
      <c r="B5314" t="str">
        <f>"1552376984011241"</f>
        <v>1552376984011241</v>
      </c>
      <c r="C5314" t="s">
        <v>40</v>
      </c>
      <c r="D5314">
        <v>4.3668120000000004</v>
      </c>
      <c r="E5314">
        <v>0.40386480000000002</v>
      </c>
      <c r="F5314" t="s">
        <v>65</v>
      </c>
      <c r="G5314">
        <v>-417.25209999999998</v>
      </c>
      <c r="H5314" s="1">
        <v>-5.4987889999999997E-6</v>
      </c>
      <c r="I5314">
        <v>31.236160000000002</v>
      </c>
      <c r="J5314">
        <v>-421.78550000000001</v>
      </c>
      <c r="K5314">
        <v>1.112419</v>
      </c>
      <c r="L5314">
        <v>45.803710000000002</v>
      </c>
      <c r="M5314">
        <v>5.7998910000000001E-2</v>
      </c>
      <c r="N5314">
        <v>0</v>
      </c>
      <c r="O5314">
        <v>-0.9982219</v>
      </c>
      <c r="P5314">
        <v>4.9531249999999999E-2</v>
      </c>
      <c r="Q5314">
        <v>-1.7953719999999999E-2</v>
      </c>
      <c r="R5314">
        <v>-0.99861129999999998</v>
      </c>
      <c r="S5314">
        <v>0.91003420000000002</v>
      </c>
      <c r="T5314">
        <v>-0.22248960000000001</v>
      </c>
      <c r="U5314">
        <v>-2.9577640000000001</v>
      </c>
      <c r="V5314">
        <v>8.5002810000000002E-3</v>
      </c>
      <c r="W5314">
        <v>-4.1469139999999998E-3</v>
      </c>
      <c r="X5314">
        <v>0.99995529999999999</v>
      </c>
      <c r="Y5314">
        <v>-0.2373729</v>
      </c>
      <c r="Z5314">
        <v>7.2092160000000002E-2</v>
      </c>
      <c r="AA5314">
        <v>0.96873980000000004</v>
      </c>
      <c r="AB5314">
        <v>22</v>
      </c>
      <c r="AC5314">
        <v>4.5334000000000199</v>
      </c>
      <c r="AD5314">
        <v>-1.112424498789</v>
      </c>
      <c r="AE5314">
        <v>-14.567549999999899</v>
      </c>
      <c r="AF5314">
        <v>-3.6613200131825598</v>
      </c>
      <c r="AG5314">
        <v>-1.112424498789</v>
      </c>
      <c r="AH5314">
        <v>14.727680944308</v>
      </c>
      <c r="AI5314">
        <v>94.192382344733403</v>
      </c>
      <c r="AJ5314">
        <v>103.96079091275401</v>
      </c>
      <c r="AK5314">
        <v>15.2166796148756</v>
      </c>
      <c r="AL5314">
        <v>90.237601344831802</v>
      </c>
      <c r="AM5314">
        <v>89.512959733951803</v>
      </c>
      <c r="AN5314">
        <v>1.0000000268354401</v>
      </c>
    </row>
    <row r="5315" spans="1:40" x14ac:dyDescent="0.25">
      <c r="A5315" t="str">
        <f>"20190312154944039"</f>
        <v>20190312154944039</v>
      </c>
      <c r="B5315" t="str">
        <f>"1552376984031736"</f>
        <v>1552376984031736</v>
      </c>
      <c r="C5315" t="s">
        <v>40</v>
      </c>
      <c r="D5315">
        <v>4.3262660000000004</v>
      </c>
      <c r="E5315">
        <v>0.40387630000000002</v>
      </c>
      <c r="F5315" t="s">
        <v>65</v>
      </c>
      <c r="G5315">
        <v>-417.15010000000001</v>
      </c>
      <c r="H5315" s="1">
        <v>-5.6735629999999998E-6</v>
      </c>
      <c r="I5315">
        <v>30.908950000000001</v>
      </c>
      <c r="J5315">
        <v>-421.76859999999999</v>
      </c>
      <c r="K5315">
        <v>1.1125689999999999</v>
      </c>
      <c r="L5315">
        <v>45.590060000000001</v>
      </c>
      <c r="M5315">
        <v>6.198832E-2</v>
      </c>
      <c r="N5315">
        <v>0</v>
      </c>
      <c r="O5315">
        <v>-0.99798189999999998</v>
      </c>
      <c r="P5315">
        <v>5.2978579999999997E-2</v>
      </c>
      <c r="Q5315">
        <v>-1.763791E-2</v>
      </c>
      <c r="R5315">
        <v>-0.99843999999999999</v>
      </c>
      <c r="S5315">
        <v>0.91949460000000005</v>
      </c>
      <c r="T5315">
        <v>-0.22066530000000001</v>
      </c>
      <c r="U5315">
        <v>-2.95459</v>
      </c>
      <c r="V5315">
        <v>9.0445560000000005E-3</v>
      </c>
      <c r="W5315">
        <v>-3.813922E-3</v>
      </c>
      <c r="X5315">
        <v>0.99995179999999995</v>
      </c>
      <c r="Y5315">
        <v>-0.2366259</v>
      </c>
      <c r="Z5315">
        <v>7.152493E-2</v>
      </c>
      <c r="AA5315">
        <v>0.96896459999999995</v>
      </c>
      <c r="AB5315">
        <v>22</v>
      </c>
      <c r="AC5315">
        <v>4.6184999999999796</v>
      </c>
      <c r="AD5315">
        <v>-1.112574673563</v>
      </c>
      <c r="AE5315">
        <v>-14.68111</v>
      </c>
      <c r="AF5315">
        <v>-3.68024037841802</v>
      </c>
      <c r="AG5315">
        <v>-1.112574673563</v>
      </c>
      <c r="AH5315">
        <v>14.8615271992158</v>
      </c>
      <c r="AI5315">
        <v>94.1562514130392</v>
      </c>
      <c r="AJ5315">
        <v>103.90866112996299</v>
      </c>
      <c r="AK5315">
        <v>15.350797449651401</v>
      </c>
      <c r="AL5315">
        <v>90.218522168974701</v>
      </c>
      <c r="AM5315">
        <v>89.481774266500906</v>
      </c>
      <c r="AN5315">
        <v>0.99999997615874903</v>
      </c>
    </row>
    <row r="5316" spans="1:40" x14ac:dyDescent="0.25">
      <c r="A5316" t="str">
        <f>"20190312154944061"</f>
        <v>20190312154944061</v>
      </c>
      <c r="B5316" t="str">
        <f>"1552376984051256"</f>
        <v>1552376984051256</v>
      </c>
      <c r="C5316" t="s">
        <v>40</v>
      </c>
      <c r="D5316">
        <v>4.3497940000000002</v>
      </c>
      <c r="E5316">
        <v>0.40392289999999997</v>
      </c>
      <c r="F5316" t="s">
        <v>65</v>
      </c>
      <c r="G5316">
        <v>-417.09379999999999</v>
      </c>
      <c r="H5316" s="1">
        <v>-5.7459929999999997E-6</v>
      </c>
      <c r="I5316">
        <v>30.740790000000001</v>
      </c>
      <c r="J5316">
        <v>-421.75020000000001</v>
      </c>
      <c r="K5316">
        <v>1.112733</v>
      </c>
      <c r="L5316">
        <v>45.371029999999998</v>
      </c>
      <c r="M5316">
        <v>6.633298E-2</v>
      </c>
      <c r="N5316">
        <v>0</v>
      </c>
      <c r="O5316">
        <v>-0.99770239999999999</v>
      </c>
      <c r="P5316">
        <v>5.6903210000000003E-2</v>
      </c>
      <c r="Q5316">
        <v>-1.788694E-2</v>
      </c>
      <c r="R5316">
        <v>-0.99821970000000004</v>
      </c>
      <c r="S5316">
        <v>0.92916869999999996</v>
      </c>
      <c r="T5316">
        <v>-0.2211381</v>
      </c>
      <c r="U5316">
        <v>-2.9514770000000001</v>
      </c>
      <c r="V5316">
        <v>9.4700900000000005E-3</v>
      </c>
      <c r="W5316">
        <v>-4.0435000000000002E-3</v>
      </c>
      <c r="X5316">
        <v>0.99994700000000003</v>
      </c>
      <c r="Y5316">
        <v>-0.2355746</v>
      </c>
      <c r="Z5316">
        <v>7.1694019999999997E-2</v>
      </c>
      <c r="AA5316">
        <v>0.96920819999999996</v>
      </c>
      <c r="AB5316">
        <v>22</v>
      </c>
      <c r="AC5316">
        <v>4.6564000000000103</v>
      </c>
      <c r="AD5316">
        <v>-1.112738745993</v>
      </c>
      <c r="AE5316">
        <v>-14.630239999999899</v>
      </c>
      <c r="AF5316">
        <v>-3.6563772795166698</v>
      </c>
      <c r="AG5316">
        <v>-1.112738745993</v>
      </c>
      <c r="AH5316">
        <v>14.829021853666999</v>
      </c>
      <c r="AI5316">
        <v>94.166973099478696</v>
      </c>
      <c r="AJ5316">
        <v>103.851077137074</v>
      </c>
      <c r="AK5316">
        <v>15.313626985908099</v>
      </c>
      <c r="AL5316">
        <v>90.231676111687506</v>
      </c>
      <c r="AM5316">
        <v>89.457391274454807</v>
      </c>
      <c r="AN5316">
        <v>1.00000001765292</v>
      </c>
    </row>
    <row r="5317" spans="1:40" x14ac:dyDescent="0.25">
      <c r="A5317" t="str">
        <f>"20190312154944084"</f>
        <v>20190312154944084</v>
      </c>
      <c r="B5317" t="str">
        <f>"1552376984081512"</f>
        <v>1552376984081512</v>
      </c>
      <c r="C5317" t="s">
        <v>40</v>
      </c>
      <c r="D5317">
        <v>4.3941999999999997</v>
      </c>
      <c r="E5317">
        <v>0.40380359999999998</v>
      </c>
      <c r="F5317" t="s">
        <v>65</v>
      </c>
      <c r="G5317">
        <v>-417.05650000000003</v>
      </c>
      <c r="H5317" s="1">
        <v>-5.7837649999999997E-6</v>
      </c>
      <c r="I5317">
        <v>30.656389999999998</v>
      </c>
      <c r="J5317">
        <v>-421.73020000000002</v>
      </c>
      <c r="K5317">
        <v>1.112895</v>
      </c>
      <c r="L5317">
        <v>45.149439999999998</v>
      </c>
      <c r="M5317">
        <v>7.0986220000000003E-2</v>
      </c>
      <c r="N5317">
        <v>0</v>
      </c>
      <c r="O5317">
        <v>-0.99738210000000005</v>
      </c>
      <c r="P5317">
        <v>6.1915999999999999E-2</v>
      </c>
      <c r="Q5317">
        <v>-1.8382010000000001E-2</v>
      </c>
      <c r="R5317">
        <v>-0.99791260000000004</v>
      </c>
      <c r="S5317">
        <v>0.94027709999999998</v>
      </c>
      <c r="T5317">
        <v>-0.22291269999999999</v>
      </c>
      <c r="U5317">
        <v>-2.9477540000000002</v>
      </c>
      <c r="V5317">
        <v>9.1167479999999992E-3</v>
      </c>
      <c r="W5317">
        <v>-4.522557E-3</v>
      </c>
      <c r="X5317">
        <v>0.99994819999999995</v>
      </c>
      <c r="Y5317">
        <v>-0.2346982</v>
      </c>
      <c r="Z5317">
        <v>7.2285619999999995E-2</v>
      </c>
      <c r="AA5317">
        <v>0.96937689999999999</v>
      </c>
      <c r="AB5317">
        <v>22</v>
      </c>
      <c r="AC5317">
        <v>4.6736999999999904</v>
      </c>
      <c r="AD5317">
        <v>-1.112900783765</v>
      </c>
      <c r="AE5317">
        <v>-14.49305</v>
      </c>
      <c r="AF5317">
        <v>-3.6137018742356801</v>
      </c>
      <c r="AG5317">
        <v>-1.112900783765</v>
      </c>
      <c r="AH5317">
        <v>14.709715752697299</v>
      </c>
      <c r="AI5317">
        <v>94.202134877323601</v>
      </c>
      <c r="AJ5317">
        <v>103.802384600167</v>
      </c>
      <c r="AK5317">
        <v>15.1879270117917</v>
      </c>
      <c r="AL5317">
        <v>90.259124315765106</v>
      </c>
      <c r="AM5317">
        <v>89.477636230805899</v>
      </c>
      <c r="AN5317">
        <v>0.99999998564957604</v>
      </c>
    </row>
    <row r="5318" spans="1:40" x14ac:dyDescent="0.25">
      <c r="A5318" t="str">
        <f>"20190312154944106"</f>
        <v>20190312154944106</v>
      </c>
      <c r="B5318" t="str">
        <f>"1552376984101032"</f>
        <v>1552376984101032</v>
      </c>
      <c r="C5318" t="s">
        <v>40</v>
      </c>
      <c r="D5318">
        <v>4.3981190000000003</v>
      </c>
      <c r="E5318">
        <v>0.40371899999999999</v>
      </c>
      <c r="F5318" t="s">
        <v>65</v>
      </c>
      <c r="G5318">
        <v>-417.00459999999998</v>
      </c>
      <c r="H5318" s="1">
        <v>-5.8165379999999999E-6</v>
      </c>
      <c r="I5318">
        <v>30.59121</v>
      </c>
      <c r="J5318">
        <v>-421.70870000000002</v>
      </c>
      <c r="K5318">
        <v>1.113056</v>
      </c>
      <c r="L5318">
        <v>44.927059999999997</v>
      </c>
      <c r="M5318">
        <v>7.5937920000000006E-2</v>
      </c>
      <c r="N5318">
        <v>0</v>
      </c>
      <c r="O5318">
        <v>-0.99701709999999999</v>
      </c>
      <c r="P5318">
        <v>6.7022659999999998E-2</v>
      </c>
      <c r="Q5318">
        <v>-1.9836900000000001E-2</v>
      </c>
      <c r="R5318">
        <v>-0.99755470000000002</v>
      </c>
      <c r="S5318">
        <v>0.95526120000000003</v>
      </c>
      <c r="T5318">
        <v>-0.224967</v>
      </c>
      <c r="U5318">
        <v>-2.9428709999999998</v>
      </c>
      <c r="V5318">
        <v>8.9745529999999997E-3</v>
      </c>
      <c r="W5318">
        <v>-5.9596869999999904E-3</v>
      </c>
      <c r="X5318">
        <v>0.99994190000000005</v>
      </c>
      <c r="Y5318">
        <v>-0.23479439999999999</v>
      </c>
      <c r="Z5318">
        <v>7.2966390000000006E-2</v>
      </c>
      <c r="AA5318">
        <v>0.96930260000000001</v>
      </c>
      <c r="AB5318">
        <v>22</v>
      </c>
      <c r="AC5318">
        <v>4.7041000000000404</v>
      </c>
      <c r="AD5318">
        <v>-1.113061816538</v>
      </c>
      <c r="AE5318">
        <v>-14.335850000000001</v>
      </c>
      <c r="AF5318">
        <v>-3.5822805557850499</v>
      </c>
      <c r="AG5318">
        <v>-1.113061816538</v>
      </c>
      <c r="AH5318">
        <v>14.5723946710372</v>
      </c>
      <c r="AI5318">
        <v>94.242045263844005</v>
      </c>
      <c r="AJ5318">
        <v>103.810964756728</v>
      </c>
      <c r="AK5318">
        <v>15.047469123951201</v>
      </c>
      <c r="AL5318">
        <v>90.341466956948494</v>
      </c>
      <c r="AM5318">
        <v>89.485779919943397</v>
      </c>
      <c r="AN5318">
        <v>0.99999993192314596</v>
      </c>
    </row>
    <row r="5319" spans="1:40" x14ac:dyDescent="0.25">
      <c r="A5319" t="str">
        <f>"20190312154944128"</f>
        <v>20190312154944128</v>
      </c>
      <c r="B5319" t="str">
        <f>"1552376984121532"</f>
        <v>1552376984121532</v>
      </c>
      <c r="C5319" t="s">
        <v>40</v>
      </c>
      <c r="D5319">
        <v>4.6939549999999999</v>
      </c>
      <c r="E5319">
        <v>0.40365590000000001</v>
      </c>
      <c r="F5319" t="s">
        <v>65</v>
      </c>
      <c r="G5319">
        <v>-417.00850000000003</v>
      </c>
      <c r="H5319" s="1">
        <v>-5.7706869999999999E-6</v>
      </c>
      <c r="I5319">
        <v>30.710760000000001</v>
      </c>
      <c r="J5319">
        <v>-421.6875</v>
      </c>
      <c r="K5319">
        <v>1.1131960000000001</v>
      </c>
      <c r="L5319">
        <v>44.720579999999998</v>
      </c>
      <c r="M5319">
        <v>8.0785590000000004E-2</v>
      </c>
      <c r="N5319">
        <v>0</v>
      </c>
      <c r="O5319">
        <v>-0.99663559999999995</v>
      </c>
      <c r="P5319">
        <v>7.3012489999999999E-2</v>
      </c>
      <c r="Q5319">
        <v>-2.1081180000000001E-2</v>
      </c>
      <c r="R5319">
        <v>-0.99710849999999995</v>
      </c>
      <c r="S5319">
        <v>0.97122189999999997</v>
      </c>
      <c r="T5319">
        <v>-0.22999310000000001</v>
      </c>
      <c r="U5319">
        <v>-2.9375309999999999</v>
      </c>
      <c r="V5319">
        <v>7.8417750000000005E-3</v>
      </c>
      <c r="W5319">
        <v>-7.1946769999999896E-3</v>
      </c>
      <c r="X5319">
        <v>0.99994340000000004</v>
      </c>
      <c r="Y5319">
        <v>-0.2353026</v>
      </c>
      <c r="Z5319">
        <v>7.460659E-2</v>
      </c>
      <c r="AA5319">
        <v>0.96905450000000004</v>
      </c>
      <c r="AB5319">
        <v>22</v>
      </c>
      <c r="AC5319">
        <v>4.6789999999999701</v>
      </c>
      <c r="AD5319">
        <v>-1.1132017706870001</v>
      </c>
      <c r="AE5319">
        <v>-14.009819999999999</v>
      </c>
      <c r="AF5319">
        <v>-3.5118562800606301</v>
      </c>
      <c r="AG5319">
        <v>-1.1132017706870001</v>
      </c>
      <c r="AH5319">
        <v>14.2610478020943</v>
      </c>
      <c r="AI5319">
        <v>94.334421819227899</v>
      </c>
      <c r="AJ5319">
        <v>103.834122824094</v>
      </c>
      <c r="AK5319">
        <v>14.729217125417099</v>
      </c>
      <c r="AL5319">
        <v>90.412228171128803</v>
      </c>
      <c r="AM5319">
        <v>89.550683167658093</v>
      </c>
      <c r="AN5319">
        <v>1.0000000300079199</v>
      </c>
    </row>
    <row r="5320" spans="1:40" x14ac:dyDescent="0.25">
      <c r="A5320" t="str">
        <f>"20190312154944151"</f>
        <v>20190312154944151</v>
      </c>
      <c r="B5320" t="str">
        <f>"1552376984141048"</f>
        <v>1552376984141048</v>
      </c>
      <c r="C5320" t="s">
        <v>40</v>
      </c>
      <c r="D5320">
        <v>4.5362470000000004</v>
      </c>
      <c r="E5320">
        <v>0.40376220000000002</v>
      </c>
      <c r="F5320" t="s">
        <v>65</v>
      </c>
      <c r="G5320">
        <v>-416.96109999999999</v>
      </c>
      <c r="H5320" s="1">
        <v>-5.7735760000000003E-6</v>
      </c>
      <c r="I5320">
        <v>30.722670000000001</v>
      </c>
      <c r="J5320">
        <v>-421.6635</v>
      </c>
      <c r="K5320">
        <v>1.1133249999999999</v>
      </c>
      <c r="L5320">
        <v>44.500889999999998</v>
      </c>
      <c r="M5320">
        <v>8.6167750000000001E-2</v>
      </c>
      <c r="N5320">
        <v>0</v>
      </c>
      <c r="O5320">
        <v>-0.99618459999999998</v>
      </c>
      <c r="P5320">
        <v>7.9830570000000003E-2</v>
      </c>
      <c r="Q5320">
        <v>-2.104282E-2</v>
      </c>
      <c r="R5320">
        <v>-0.99658659999999999</v>
      </c>
      <c r="S5320">
        <v>0.98974609999999996</v>
      </c>
      <c r="T5320">
        <v>-0.23311580000000001</v>
      </c>
      <c r="U5320">
        <v>-2.931305</v>
      </c>
      <c r="V5320">
        <v>6.4059980000000004E-3</v>
      </c>
      <c r="W5320">
        <v>-7.1492860000000004E-3</v>
      </c>
      <c r="X5320">
        <v>0.99995389999999995</v>
      </c>
      <c r="Y5320">
        <v>-0.2361499</v>
      </c>
      <c r="Z5320">
        <v>7.5632179999999993E-2</v>
      </c>
      <c r="AA5320">
        <v>0.96876879999999999</v>
      </c>
      <c r="AB5320">
        <v>22</v>
      </c>
      <c r="AC5320">
        <v>4.7024000000000097</v>
      </c>
      <c r="AD5320">
        <v>-1.1133307735760001</v>
      </c>
      <c r="AE5320">
        <v>-13.778219999999999</v>
      </c>
      <c r="AF5320">
        <v>-3.47721995479196</v>
      </c>
      <c r="AG5320">
        <v>-1.1133307735760001</v>
      </c>
      <c r="AH5320">
        <v>14.0500327554458</v>
      </c>
      <c r="AI5320">
        <v>94.398516447001796</v>
      </c>
      <c r="AJ5320">
        <v>103.90072383944801</v>
      </c>
      <c r="AK5320">
        <v>14.516679525790201</v>
      </c>
      <c r="AL5320">
        <v>90.409627413871405</v>
      </c>
      <c r="AM5320">
        <v>89.632951451102997</v>
      </c>
      <c r="AN5320">
        <v>0.99999997561294696</v>
      </c>
    </row>
    <row r="5321" spans="1:40" x14ac:dyDescent="0.25">
      <c r="A5321" t="str">
        <f>"20190312154944174"</f>
        <v>20190312154944174</v>
      </c>
      <c r="B5321" t="str">
        <f>"1552376984161544"</f>
        <v>1552376984161544</v>
      </c>
      <c r="C5321" t="s">
        <v>40</v>
      </c>
      <c r="D5321">
        <v>4.5422159999999998</v>
      </c>
      <c r="E5321">
        <v>0.40416350000000001</v>
      </c>
      <c r="F5321" t="s">
        <v>65</v>
      </c>
      <c r="G5321">
        <v>-416.80689999999998</v>
      </c>
      <c r="H5321" s="1">
        <v>-5.9120399999999997E-6</v>
      </c>
      <c r="I5321">
        <v>30.42043</v>
      </c>
      <c r="J5321">
        <v>-421.63799999999998</v>
      </c>
      <c r="K5321">
        <v>1.1134329999999999</v>
      </c>
      <c r="L5321">
        <v>44.280790000000003</v>
      </c>
      <c r="M5321">
        <v>9.1780269999999997E-2</v>
      </c>
      <c r="N5321">
        <v>0</v>
      </c>
      <c r="O5321">
        <v>-0.99568279999999998</v>
      </c>
      <c r="P5321">
        <v>8.7112309999999998E-2</v>
      </c>
      <c r="Q5321">
        <v>-2.112197E-2</v>
      </c>
      <c r="R5321">
        <v>-0.99597449999999998</v>
      </c>
      <c r="S5321">
        <v>1.0087280000000001</v>
      </c>
      <c r="T5321">
        <v>-0.23124500000000001</v>
      </c>
      <c r="U5321">
        <v>-2.9245909999999999</v>
      </c>
      <c r="V5321">
        <v>4.7352820000000004E-3</v>
      </c>
      <c r="W5321">
        <v>-7.225291E-3</v>
      </c>
      <c r="X5321">
        <v>0.99996269999999998</v>
      </c>
      <c r="Y5321">
        <v>-0.23699339999999999</v>
      </c>
      <c r="Z5321">
        <v>7.5049889999999994E-2</v>
      </c>
      <c r="AA5321">
        <v>0.96860809999999997</v>
      </c>
      <c r="AB5321">
        <v>22</v>
      </c>
      <c r="AC5321">
        <v>4.8311000000000401</v>
      </c>
      <c r="AD5321">
        <v>-1.1134389120399999</v>
      </c>
      <c r="AE5321">
        <v>-13.86036</v>
      </c>
      <c r="AF5321">
        <v>-3.51823080637126</v>
      </c>
      <c r="AG5321">
        <v>-1.1134389120399999</v>
      </c>
      <c r="AH5321">
        <v>14.1637884933088</v>
      </c>
      <c r="AI5321">
        <v>94.362827510827898</v>
      </c>
      <c r="AJ5321">
        <v>103.949723615129</v>
      </c>
      <c r="AK5321">
        <v>14.636618417548901</v>
      </c>
      <c r="AL5321">
        <v>90.413982276059201</v>
      </c>
      <c r="AM5321">
        <v>89.728680234356901</v>
      </c>
      <c r="AN5321">
        <v>1.00000001455847</v>
      </c>
    </row>
    <row r="5322" spans="1:40" x14ac:dyDescent="0.25">
      <c r="A5322" t="str">
        <f>"20190312154944195"</f>
        <v>20190312154944195</v>
      </c>
      <c r="B5322" t="str">
        <f>"1552376984191800"</f>
        <v>1552376984191800</v>
      </c>
      <c r="C5322" t="s">
        <v>40</v>
      </c>
      <c r="D5322">
        <v>4.4858779999999996</v>
      </c>
      <c r="E5322">
        <v>0.4046998</v>
      </c>
      <c r="F5322" t="s">
        <v>65</v>
      </c>
      <c r="G5322">
        <v>-416.69819999999999</v>
      </c>
      <c r="H5322" s="1">
        <v>-5.9938439999999996E-6</v>
      </c>
      <c r="I5322">
        <v>30.249130000000001</v>
      </c>
      <c r="J5322">
        <v>-421.61189999999999</v>
      </c>
      <c r="K5322">
        <v>1.113532</v>
      </c>
      <c r="L5322">
        <v>44.068359999999998</v>
      </c>
      <c r="M5322">
        <v>9.7413520000000003E-2</v>
      </c>
      <c r="N5322">
        <v>0</v>
      </c>
      <c r="O5322">
        <v>-0.99514740000000002</v>
      </c>
      <c r="P5322">
        <v>9.4163510000000006E-2</v>
      </c>
      <c r="Q5322">
        <v>-2.188909E-2</v>
      </c>
      <c r="R5322">
        <v>-0.99531630000000004</v>
      </c>
      <c r="S5322">
        <v>1.027039</v>
      </c>
      <c r="T5322">
        <v>-0.2315004</v>
      </c>
      <c r="U5322">
        <v>-2.917389</v>
      </c>
      <c r="V5322">
        <v>3.3195540000000002E-3</v>
      </c>
      <c r="W5322">
        <v>-7.9887580000000003E-3</v>
      </c>
      <c r="X5322">
        <v>0.99996260000000003</v>
      </c>
      <c r="Y5322">
        <v>-0.2376501</v>
      </c>
      <c r="Z5322">
        <v>7.5164309999999998E-2</v>
      </c>
      <c r="AA5322">
        <v>0.96843829999999997</v>
      </c>
      <c r="AB5322">
        <v>22</v>
      </c>
      <c r="AC5322">
        <v>4.9137000000000004</v>
      </c>
      <c r="AD5322">
        <v>-1.113537993844</v>
      </c>
      <c r="AE5322">
        <v>-13.819229999999999</v>
      </c>
      <c r="AF5322">
        <v>-3.52370533627044</v>
      </c>
      <c r="AG5322">
        <v>-1.113537993844</v>
      </c>
      <c r="AH5322">
        <v>14.150632885260899</v>
      </c>
      <c r="AI5322">
        <v>94.366625513235206</v>
      </c>
      <c r="AJ5322">
        <v>103.98305928498</v>
      </c>
      <c r="AK5322">
        <v>14.625213749344701</v>
      </c>
      <c r="AL5322">
        <v>90.457726976343494</v>
      </c>
      <c r="AM5322">
        <v>89.809797151014607</v>
      </c>
      <c r="AN5322">
        <v>1.0000000205459501</v>
      </c>
    </row>
    <row r="5323" spans="1:40" x14ac:dyDescent="0.25">
      <c r="A5323" t="str">
        <f>"20190312154944218"</f>
        <v>20190312154944218</v>
      </c>
      <c r="B5323" t="str">
        <f>"1552376984211321"</f>
        <v>1552376984211321</v>
      </c>
      <c r="C5323" t="s">
        <v>40</v>
      </c>
      <c r="D5323">
        <v>4.9693480000000001</v>
      </c>
      <c r="E5323">
        <v>0.40479989999999999</v>
      </c>
      <c r="F5323" t="s">
        <v>65</v>
      </c>
      <c r="G5323">
        <v>-416.6651</v>
      </c>
      <c r="H5323" s="1">
        <v>-5.9910480000000004E-6</v>
      </c>
      <c r="I5323">
        <v>30.270209999999999</v>
      </c>
      <c r="J5323">
        <v>-421.584</v>
      </c>
      <c r="K5323">
        <v>1.113645</v>
      </c>
      <c r="L5323">
        <v>43.852719999999998</v>
      </c>
      <c r="M5323">
        <v>0.10335809999999999</v>
      </c>
      <c r="N5323">
        <v>0</v>
      </c>
      <c r="O5323">
        <v>-0.99454739999999997</v>
      </c>
      <c r="P5323">
        <v>0.1021294</v>
      </c>
      <c r="Q5323">
        <v>-2.3030800000000001E-2</v>
      </c>
      <c r="R5323">
        <v>-0.99450450000000001</v>
      </c>
      <c r="S5323">
        <v>1.0433650000000001</v>
      </c>
      <c r="T5323">
        <v>-0.23486280000000001</v>
      </c>
      <c r="U5323">
        <v>-2.9102480000000002</v>
      </c>
      <c r="V5323">
        <v>1.2984800000000001E-3</v>
      </c>
      <c r="W5323">
        <v>-9.1309709999999999E-3</v>
      </c>
      <c r="X5323">
        <v>0.9999574</v>
      </c>
      <c r="Y5323">
        <v>-0.23738490000000001</v>
      </c>
      <c r="Z5323">
        <v>7.6288830000000002E-2</v>
      </c>
      <c r="AA5323">
        <v>0.96841540000000004</v>
      </c>
      <c r="AB5323">
        <v>22</v>
      </c>
      <c r="AC5323">
        <v>4.9188999999999998</v>
      </c>
      <c r="AD5323">
        <v>-1.1136509910479999</v>
      </c>
      <c r="AE5323">
        <v>-13.582509999999999</v>
      </c>
      <c r="AF5323">
        <v>-3.46794217628001</v>
      </c>
      <c r="AG5323">
        <v>-1.1136509910479999</v>
      </c>
      <c r="AH5323">
        <v>13.9353878171595</v>
      </c>
      <c r="AI5323">
        <v>94.434414120943799</v>
      </c>
      <c r="AJ5323">
        <v>103.974680617082</v>
      </c>
      <c r="AK5323">
        <v>14.4035368948922</v>
      </c>
      <c r="AL5323">
        <v>90.523173407195998</v>
      </c>
      <c r="AM5323">
        <v>89.925599448570495</v>
      </c>
      <c r="AN5323">
        <v>0.99999993124823405</v>
      </c>
    </row>
    <row r="5324" spans="1:40" x14ac:dyDescent="0.25">
      <c r="A5324" t="str">
        <f>"20190312154944252"</f>
        <v>20190312154944252</v>
      </c>
      <c r="B5324" t="str">
        <f>"1552376984241576"</f>
        <v>1552376984241576</v>
      </c>
      <c r="C5324" t="s">
        <v>40</v>
      </c>
      <c r="D5324">
        <v>4.4804110000000001</v>
      </c>
      <c r="E5324">
        <v>0.40506510000000001</v>
      </c>
      <c r="F5324" t="s">
        <v>65</v>
      </c>
      <c r="G5324">
        <v>-416.54739999999998</v>
      </c>
      <c r="H5324" s="1">
        <v>-6.0594610000000002E-6</v>
      </c>
      <c r="I5324">
        <v>30.138000000000002</v>
      </c>
      <c r="J5324">
        <v>-421.53960000000001</v>
      </c>
      <c r="K5324">
        <v>1.11385</v>
      </c>
      <c r="L5324">
        <v>43.532899999999998</v>
      </c>
      <c r="M5324">
        <v>0.1126231</v>
      </c>
      <c r="N5324">
        <v>0</v>
      </c>
      <c r="O5324">
        <v>-0.99354039999999999</v>
      </c>
      <c r="P5324">
        <v>0.11328589999999999</v>
      </c>
      <c r="Q5324">
        <v>-2.301918E-2</v>
      </c>
      <c r="R5324">
        <v>-0.99329579999999995</v>
      </c>
      <c r="S5324">
        <v>1.0656129999999999</v>
      </c>
      <c r="T5324">
        <v>-0.23562159999999999</v>
      </c>
      <c r="U5324">
        <v>-2.9017029999999999</v>
      </c>
      <c r="V5324">
        <v>-6.0156870000000005E-4</v>
      </c>
      <c r="W5324">
        <v>-9.1070749999999992E-3</v>
      </c>
      <c r="X5324">
        <v>0.99995829999999997</v>
      </c>
      <c r="Y5324">
        <v>-0.23578979999999999</v>
      </c>
      <c r="Z5324">
        <v>7.6546349999999999E-2</v>
      </c>
      <c r="AA5324">
        <v>0.96878470000000005</v>
      </c>
      <c r="AB5324">
        <v>22</v>
      </c>
      <c r="AC5324">
        <v>4.99220000000002</v>
      </c>
      <c r="AD5324">
        <v>-1.1138560594609901</v>
      </c>
      <c r="AE5324">
        <v>-13.3948999999999</v>
      </c>
      <c r="AF5324">
        <v>-3.4308807495096501</v>
      </c>
      <c r="AG5324">
        <v>-1.1138560594609901</v>
      </c>
      <c r="AH5324">
        <v>13.7882388312843</v>
      </c>
      <c r="AI5324">
        <v>94.4824021201607</v>
      </c>
      <c r="AJ5324">
        <v>103.972950538462</v>
      </c>
      <c r="AK5324">
        <v>14.252268174121999</v>
      </c>
      <c r="AL5324">
        <v>90.521804199803199</v>
      </c>
      <c r="AM5324">
        <v>90.034468780787194</v>
      </c>
      <c r="AN5324">
        <v>0.99999995121942198</v>
      </c>
    </row>
    <row r="5325" spans="1:40" x14ac:dyDescent="0.25">
      <c r="A5325" t="str">
        <f>"20190312154944273"</f>
        <v>20190312154944273</v>
      </c>
      <c r="B5325" t="str">
        <f>"1552376984261097"</f>
        <v>1552376984261097</v>
      </c>
      <c r="C5325" t="s">
        <v>40</v>
      </c>
      <c r="D5325">
        <v>4.5768180000000003</v>
      </c>
      <c r="E5325">
        <v>0.40490880000000001</v>
      </c>
      <c r="F5325" t="s">
        <v>65</v>
      </c>
      <c r="G5325">
        <v>-416.28390000000002</v>
      </c>
      <c r="H5325" s="1">
        <v>-6.2727360000000002E-6</v>
      </c>
      <c r="I5325">
        <v>29.683199999999999</v>
      </c>
      <c r="J5325">
        <v>-421.50889999999998</v>
      </c>
      <c r="K5325">
        <v>1.113993</v>
      </c>
      <c r="L5325">
        <v>43.326450000000001</v>
      </c>
      <c r="M5325">
        <v>0.11889230000000001</v>
      </c>
      <c r="N5325">
        <v>0</v>
      </c>
      <c r="O5325">
        <v>-0.99280919999999895</v>
      </c>
      <c r="P5325">
        <v>0.1208475</v>
      </c>
      <c r="Q5325">
        <v>-2.2339620000000001E-2</v>
      </c>
      <c r="R5325">
        <v>-0.99241970000000002</v>
      </c>
      <c r="S5325">
        <v>1.096619</v>
      </c>
      <c r="T5325">
        <v>-0.23241100000000001</v>
      </c>
      <c r="U5325">
        <v>-2.8898009999999998</v>
      </c>
      <c r="V5325">
        <v>-1.9061519999999999E-3</v>
      </c>
      <c r="W5325">
        <v>-8.4192179999999991E-3</v>
      </c>
      <c r="X5325">
        <v>0.99996269999999998</v>
      </c>
      <c r="Y5325">
        <v>-0.24009050000000001</v>
      </c>
      <c r="Z5325">
        <v>7.5538309999999997E-2</v>
      </c>
      <c r="AA5325">
        <v>0.96780710000000003</v>
      </c>
      <c r="AB5325">
        <v>22</v>
      </c>
      <c r="AC5325">
        <v>5.2249999999999597</v>
      </c>
      <c r="AD5325">
        <v>-1.113999272736</v>
      </c>
      <c r="AE5325">
        <v>-13.64325</v>
      </c>
      <c r="AF5325">
        <v>-3.5450853693121198</v>
      </c>
      <c r="AG5325">
        <v>-1.113999272736</v>
      </c>
      <c r="AH5325">
        <v>14.085835311001199</v>
      </c>
      <c r="AI5325">
        <v>94.385702806744604</v>
      </c>
      <c r="AJ5325">
        <v>104.1266582655</v>
      </c>
      <c r="AK5325">
        <v>14.567751407269901</v>
      </c>
      <c r="AL5325">
        <v>90.482391376993903</v>
      </c>
      <c r="AM5325">
        <v>90.109218406273499</v>
      </c>
      <c r="AN5325">
        <v>0.999999959019233</v>
      </c>
    </row>
    <row r="5326" spans="1:40" x14ac:dyDescent="0.25">
      <c r="A5326" t="str">
        <f>"20190312154944296"</f>
        <v>20190312154944296</v>
      </c>
      <c r="B5326" t="str">
        <f>"1552376984291352"</f>
        <v>1552376984291352</v>
      </c>
      <c r="C5326" t="s">
        <v>40</v>
      </c>
      <c r="D5326">
        <v>4.4807220000000001</v>
      </c>
      <c r="E5326">
        <v>0.36351929999999999</v>
      </c>
      <c r="F5326" t="s">
        <v>65</v>
      </c>
      <c r="G5326">
        <v>-416.10520000000002</v>
      </c>
      <c r="H5326" s="1">
        <v>-8.6172029999999993E-6</v>
      </c>
      <c r="I5326">
        <v>29.42051</v>
      </c>
      <c r="J5326">
        <v>-421.47579999999999</v>
      </c>
      <c r="K5326">
        <v>1.1141239999999999</v>
      </c>
      <c r="L5326">
        <v>43.114649999999997</v>
      </c>
      <c r="M5326">
        <v>0.12554609999999999</v>
      </c>
      <c r="N5326">
        <v>0</v>
      </c>
      <c r="O5326">
        <v>-0.99198960000000003</v>
      </c>
      <c r="P5326">
        <v>0.12861919999999999</v>
      </c>
      <c r="Q5326">
        <v>-2.1866190000000001E-2</v>
      </c>
      <c r="R5326">
        <v>-0.99145309999999998</v>
      </c>
      <c r="S5326">
        <v>1.1196900000000001</v>
      </c>
      <c r="T5326">
        <v>-0.23082659999999999</v>
      </c>
      <c r="U5326">
        <v>-2.8813780000000002</v>
      </c>
      <c r="V5326">
        <v>-3.0371769999999998E-3</v>
      </c>
      <c r="W5326">
        <v>-7.936182E-3</v>
      </c>
      <c r="X5326">
        <v>0.99996390000000002</v>
      </c>
      <c r="Y5326">
        <v>-0.24128579999999999</v>
      </c>
      <c r="Z5326">
        <v>7.5021779999999996E-2</v>
      </c>
      <c r="AA5326">
        <v>0.96755000000000002</v>
      </c>
      <c r="AB5326">
        <v>22</v>
      </c>
      <c r="AC5326">
        <v>5.3705999999999596</v>
      </c>
      <c r="AD5326">
        <v>-1.1141326172029999</v>
      </c>
      <c r="AE5326">
        <v>-13.6941399999999</v>
      </c>
      <c r="AF5326">
        <v>-3.58810071618759</v>
      </c>
      <c r="AG5326">
        <v>-1.1141326172029999</v>
      </c>
      <c r="AH5326">
        <v>14.1787505062352</v>
      </c>
      <c r="AI5326">
        <v>94.356167617522104</v>
      </c>
      <c r="AJ5326">
        <v>104.20123530568</v>
      </c>
      <c r="AK5326">
        <v>14.668085224605401</v>
      </c>
      <c r="AL5326">
        <v>90.4547145053603</v>
      </c>
      <c r="AM5326">
        <v>90.174023170863606</v>
      </c>
      <c r="AN5326">
        <v>1.00000000436603</v>
      </c>
    </row>
    <row r="5327" spans="1:40" x14ac:dyDescent="0.25">
      <c r="A5327" t="str">
        <f>"20190312154944317"</f>
        <v>20190312154944317</v>
      </c>
      <c r="B5327" t="str">
        <f>"1552376984310872"</f>
        <v>1552376984310872</v>
      </c>
      <c r="C5327" t="s">
        <v>40</v>
      </c>
      <c r="D5327">
        <v>4.5250909999999998</v>
      </c>
      <c r="E5327">
        <v>0.35594500000000001</v>
      </c>
      <c r="F5327" t="s">
        <v>65</v>
      </c>
      <c r="G5327">
        <v>-414.6771</v>
      </c>
      <c r="H5327" s="1">
        <v>-6.3937969999999998E-6</v>
      </c>
      <c r="I5327">
        <v>30.026489999999999</v>
      </c>
      <c r="J5327">
        <v>-421.44130000000001</v>
      </c>
      <c r="K5327">
        <v>1.1142529999999999</v>
      </c>
      <c r="L5327">
        <v>42.90457</v>
      </c>
      <c r="M5327">
        <v>0.1323936</v>
      </c>
      <c r="N5327">
        <v>0</v>
      </c>
      <c r="O5327">
        <v>-0.99109860000000005</v>
      </c>
      <c r="P5327">
        <v>0.1359204</v>
      </c>
      <c r="Q5327">
        <v>-2.1238259999999998E-2</v>
      </c>
      <c r="R5327">
        <v>-0.99049200000000004</v>
      </c>
      <c r="S5327">
        <v>1.4700009999999999</v>
      </c>
      <c r="T5327">
        <v>-0.2408922</v>
      </c>
      <c r="U5327">
        <v>-2.8298649999999999</v>
      </c>
      <c r="V5327">
        <v>-3.5011399999999998E-3</v>
      </c>
      <c r="W5327">
        <v>-7.2928219999999896E-3</v>
      </c>
      <c r="X5327">
        <v>0.9999673</v>
      </c>
      <c r="Y5327">
        <v>-0.33806900000000001</v>
      </c>
      <c r="Z5327">
        <v>7.6405029999999999E-2</v>
      </c>
      <c r="AA5327">
        <v>0.93801469999999998</v>
      </c>
      <c r="AB5327">
        <v>22</v>
      </c>
      <c r="AC5327">
        <v>6.7642000000000104</v>
      </c>
      <c r="AD5327">
        <v>-1.114259393797</v>
      </c>
      <c r="AE5327">
        <v>-12.878079999999899</v>
      </c>
      <c r="AF5327">
        <v>-4.9703386917835397</v>
      </c>
      <c r="AG5327">
        <v>-1.114259393797</v>
      </c>
      <c r="AH5327">
        <v>13.580633886280101</v>
      </c>
      <c r="AI5327">
        <v>94.405907448995293</v>
      </c>
      <c r="AJ5327">
        <v>110.101980973642</v>
      </c>
      <c r="AK5327">
        <v>14.504463363423101</v>
      </c>
      <c r="AL5327">
        <v>90.4178516160637</v>
      </c>
      <c r="AM5327">
        <v>90.200606285609794</v>
      </c>
      <c r="AN5327">
        <v>1.0000000221516501</v>
      </c>
    </row>
    <row r="5328" spans="1:40" x14ac:dyDescent="0.25">
      <c r="A5328" t="str">
        <f>"20190312154944340"</f>
        <v>20190312154944340</v>
      </c>
      <c r="B5328" t="str">
        <f>"1552376984331369"</f>
        <v>1552376984331369</v>
      </c>
      <c r="C5328" t="s">
        <v>40</v>
      </c>
      <c r="D5328">
        <v>4.4859289999999996</v>
      </c>
      <c r="E5328">
        <v>0.35353000000000001</v>
      </c>
      <c r="F5328" t="s">
        <v>65</v>
      </c>
      <c r="G5328">
        <v>-414.37860000000001</v>
      </c>
      <c r="H5328" s="1">
        <v>-6.4090449999999997E-6</v>
      </c>
      <c r="I5328">
        <v>30.109359999999999</v>
      </c>
      <c r="J5328">
        <v>-421.40440000000001</v>
      </c>
      <c r="K5328">
        <v>1.1143829999999999</v>
      </c>
      <c r="L5328">
        <v>42.691249999999997</v>
      </c>
      <c r="M5328">
        <v>0.13960739999999999</v>
      </c>
      <c r="N5328">
        <v>0</v>
      </c>
      <c r="O5328">
        <v>-0.99010799999999999</v>
      </c>
      <c r="P5328">
        <v>0.14239669999999999</v>
      </c>
      <c r="Q5328">
        <v>-2.0629499999999999E-2</v>
      </c>
      <c r="R5328">
        <v>-0.989595</v>
      </c>
      <c r="S5328">
        <v>1.5514220000000001</v>
      </c>
      <c r="T5328">
        <v>-0.2447646</v>
      </c>
      <c r="U5328">
        <v>-2.8106689999999999</v>
      </c>
      <c r="V5328">
        <v>-2.7635089999999999E-3</v>
      </c>
      <c r="W5328">
        <v>-6.6544259999999997E-3</v>
      </c>
      <c r="X5328">
        <v>0.99997400000000003</v>
      </c>
      <c r="Y5328">
        <v>-0.35483239999999999</v>
      </c>
      <c r="Z5328">
        <v>7.7227519999999994E-2</v>
      </c>
      <c r="AA5328">
        <v>0.93173490000000003</v>
      </c>
      <c r="AB5328">
        <v>22</v>
      </c>
      <c r="AC5328">
        <v>7.0258000000000003</v>
      </c>
      <c r="AD5328">
        <v>-1.1143894090449999</v>
      </c>
      <c r="AE5328">
        <v>-12.5818899999999</v>
      </c>
      <c r="AF5328">
        <v>-5.16937189195583</v>
      </c>
      <c r="AG5328">
        <v>-1.1143894090449999</v>
      </c>
      <c r="AH5328">
        <v>13.359707760714899</v>
      </c>
      <c r="AI5328">
        <v>94.448285809082293</v>
      </c>
      <c r="AJ5328">
        <v>111.15332277800201</v>
      </c>
      <c r="AK5328">
        <v>14.368230961536</v>
      </c>
      <c r="AL5328">
        <v>90.3812733542362</v>
      </c>
      <c r="AM5328">
        <v>90.158341116122998</v>
      </c>
      <c r="AN5328">
        <v>0.99999995952168996</v>
      </c>
    </row>
    <row r="5329" spans="1:40" x14ac:dyDescent="0.25">
      <c r="A5329" t="str">
        <f>"20190312154944363"</f>
        <v>20190312154944363</v>
      </c>
      <c r="B5329" t="str">
        <f>"1552376984361624"</f>
        <v>1552376984361624</v>
      </c>
      <c r="C5329" t="s">
        <v>40</v>
      </c>
      <c r="D5329">
        <v>4.6502460000000001</v>
      </c>
      <c r="E5329">
        <v>0.35337350000000001</v>
      </c>
      <c r="F5329" t="s">
        <v>65</v>
      </c>
      <c r="G5329">
        <v>-414.22089999999997</v>
      </c>
      <c r="H5329" s="1">
        <v>-6.4566139999999899E-6</v>
      </c>
      <c r="I5329">
        <v>30.048729999999999</v>
      </c>
      <c r="J5329">
        <v>-421.3648</v>
      </c>
      <c r="K5329">
        <v>1.1145179999999999</v>
      </c>
      <c r="L5329">
        <v>42.47345</v>
      </c>
      <c r="M5329">
        <v>0.1472376</v>
      </c>
      <c r="N5329">
        <v>0</v>
      </c>
      <c r="O5329">
        <v>-0.98900160000000004</v>
      </c>
      <c r="P5329">
        <v>0.14944549999999901</v>
      </c>
      <c r="Q5329">
        <v>-2.091583E-2</v>
      </c>
      <c r="R5329">
        <v>-0.98854889999999995</v>
      </c>
      <c r="S5329">
        <v>1.5896300000000001</v>
      </c>
      <c r="T5329">
        <v>-0.24660370000000001</v>
      </c>
      <c r="U5329">
        <v>-2.7976679999999998</v>
      </c>
      <c r="V5329">
        <v>-2.1751019999999999E-3</v>
      </c>
      <c r="W5329">
        <v>-6.9098419999999898E-3</v>
      </c>
      <c r="X5329">
        <v>0.99997380000000002</v>
      </c>
      <c r="Y5329">
        <v>-0.35911149999999997</v>
      </c>
      <c r="Z5329">
        <v>7.7677910000000003E-2</v>
      </c>
      <c r="AA5329">
        <v>0.93005649999999995</v>
      </c>
      <c r="AB5329">
        <v>22</v>
      </c>
      <c r="AC5329">
        <v>7.1439000000000297</v>
      </c>
      <c r="AD5329">
        <v>-1.114524456614</v>
      </c>
      <c r="AE5329">
        <v>-12.424719999999899</v>
      </c>
      <c r="AF5329">
        <v>-5.2049822309734397</v>
      </c>
      <c r="AG5329">
        <v>-1.114524456614</v>
      </c>
      <c r="AH5329">
        <v>13.261039157488201</v>
      </c>
      <c r="AI5329">
        <v>94.473394569986795</v>
      </c>
      <c r="AJ5329">
        <v>111.430098508021</v>
      </c>
      <c r="AK5329">
        <v>14.289477398616601</v>
      </c>
      <c r="AL5329">
        <v>90.395907918866996</v>
      </c>
      <c r="AM5329">
        <v>90.124627233298995</v>
      </c>
      <c r="AN5329">
        <v>1.0000000388357999</v>
      </c>
    </row>
    <row r="5330" spans="1:40" x14ac:dyDescent="0.25">
      <c r="A5330" t="str">
        <f>"20190312154944387"</f>
        <v>20190312154944387</v>
      </c>
      <c r="B5330" t="str">
        <f>"1552376984381145"</f>
        <v>1552376984381145</v>
      </c>
      <c r="C5330" t="s">
        <v>40</v>
      </c>
      <c r="D5330">
        <v>4.4516419999999997</v>
      </c>
      <c r="E5330">
        <v>0.35347230000000002</v>
      </c>
      <c r="F5330" t="s">
        <v>65</v>
      </c>
      <c r="G5330">
        <v>-414.19279999999998</v>
      </c>
      <c r="H5330" s="1">
        <v>-6.4534650000000002E-6</v>
      </c>
      <c r="I5330">
        <v>30.06869</v>
      </c>
      <c r="J5330">
        <v>-421.32479999999998</v>
      </c>
      <c r="K5330">
        <v>1.1146339999999999</v>
      </c>
      <c r="L5330">
        <v>42.264009999999999</v>
      </c>
      <c r="M5330">
        <v>0.1548206</v>
      </c>
      <c r="N5330">
        <v>0</v>
      </c>
      <c r="O5330">
        <v>-0.98784280000000002</v>
      </c>
      <c r="P5330">
        <v>0.15656800000000001</v>
      </c>
      <c r="Q5330">
        <v>-2.1680669999999999E-2</v>
      </c>
      <c r="R5330">
        <v>-0.98742920000000001</v>
      </c>
      <c r="S5330">
        <v>1.6107479999999901</v>
      </c>
      <c r="T5330">
        <v>-0.25030780000000002</v>
      </c>
      <c r="U5330">
        <v>-2.7859500000000001</v>
      </c>
      <c r="V5330">
        <v>-1.7044670000000001E-3</v>
      </c>
      <c r="W5330">
        <v>-7.6446709999999996E-3</v>
      </c>
      <c r="X5330">
        <v>0.99996929999999995</v>
      </c>
      <c r="Y5330">
        <v>-0.3588886</v>
      </c>
      <c r="Z5330">
        <v>7.8848089999999996E-2</v>
      </c>
      <c r="AA5330">
        <v>0.93004410000000004</v>
      </c>
      <c r="AB5330">
        <v>22</v>
      </c>
      <c r="AC5330">
        <v>7.1319999999999997</v>
      </c>
      <c r="AD5330">
        <v>-1.1146404534649901</v>
      </c>
      <c r="AE5330">
        <v>-12.195319999999899</v>
      </c>
      <c r="AF5330">
        <v>-5.12580928996067</v>
      </c>
      <c r="AG5330">
        <v>-1.1146404534649901</v>
      </c>
      <c r="AH5330">
        <v>13.0711704493963</v>
      </c>
      <c r="AI5330">
        <v>94.539121464123994</v>
      </c>
      <c r="AJ5330">
        <v>111.412437954319</v>
      </c>
      <c r="AK5330">
        <v>14.0844538813089</v>
      </c>
      <c r="AL5330">
        <v>90.438011662018596</v>
      </c>
      <c r="AM5330">
        <v>90.097661669053906</v>
      </c>
      <c r="AN5330">
        <v>0.99999997357246995</v>
      </c>
    </row>
    <row r="5331" spans="1:40" x14ac:dyDescent="0.25">
      <c r="A5331" t="str">
        <f>"20190312154944408"</f>
        <v>20190312154944408</v>
      </c>
      <c r="B5331" t="str">
        <f>"1552376984401640"</f>
        <v>1552376984401640</v>
      </c>
      <c r="C5331" t="s">
        <v>40</v>
      </c>
      <c r="D5331">
        <v>4.4885070000000002</v>
      </c>
      <c r="E5331">
        <v>0.35384919999999997</v>
      </c>
      <c r="F5331" t="s">
        <v>65</v>
      </c>
      <c r="G5331">
        <v>-414.0326</v>
      </c>
      <c r="H5331" s="1">
        <v>-6.5606600000000003E-6</v>
      </c>
      <c r="I5331">
        <v>29.85153</v>
      </c>
      <c r="J5331">
        <v>-421.28339999999997</v>
      </c>
      <c r="K5331">
        <v>1.1147450000000001</v>
      </c>
      <c r="L5331">
        <v>42.05789</v>
      </c>
      <c r="M5331">
        <v>0.162498</v>
      </c>
      <c r="N5331">
        <v>0</v>
      </c>
      <c r="O5331">
        <v>-0.98660859999999995</v>
      </c>
      <c r="P5331">
        <v>0.16456860000000001</v>
      </c>
      <c r="Q5331">
        <v>-2.1710759999999999E-2</v>
      </c>
      <c r="R5331">
        <v>-0.98612710000000003</v>
      </c>
      <c r="S5331">
        <v>1.6298520000000001</v>
      </c>
      <c r="T5331">
        <v>-0.2491314</v>
      </c>
      <c r="U5331">
        <v>-2.774292</v>
      </c>
      <c r="V5331">
        <v>-2.0334749999999999E-3</v>
      </c>
      <c r="W5331">
        <v>-7.6547150000000003E-3</v>
      </c>
      <c r="X5331">
        <v>0.99996859999999999</v>
      </c>
      <c r="Y5331">
        <v>-0.35811419999999999</v>
      </c>
      <c r="Z5331">
        <v>7.8500520000000004E-2</v>
      </c>
      <c r="AA5331">
        <v>0.93037190000000003</v>
      </c>
      <c r="AB5331">
        <v>22</v>
      </c>
      <c r="AC5331">
        <v>7.2507999999999697</v>
      </c>
      <c r="AD5331">
        <v>-1.11475156066</v>
      </c>
      <c r="AE5331">
        <v>-12.20636</v>
      </c>
      <c r="AF5331">
        <v>-5.1390221659926398</v>
      </c>
      <c r="AG5331">
        <v>-1.11475156066</v>
      </c>
      <c r="AH5331">
        <v>13.1414318031653</v>
      </c>
      <c r="AI5331">
        <v>94.517067935167205</v>
      </c>
      <c r="AJ5331">
        <v>111.35823001985599</v>
      </c>
      <c r="AK5331">
        <v>14.1544851443563</v>
      </c>
      <c r="AL5331">
        <v>90.438587161295104</v>
      </c>
      <c r="AM5331">
        <v>90.116513033155101</v>
      </c>
      <c r="AN5331">
        <v>0.99999996533413205</v>
      </c>
    </row>
    <row r="5332" spans="1:40" x14ac:dyDescent="0.25">
      <c r="A5332" t="str">
        <f>"20190312154944429"</f>
        <v>20190312154944429</v>
      </c>
      <c r="B5332" t="str">
        <f>"1552376984421161"</f>
        <v>1552376984421161</v>
      </c>
      <c r="C5332" t="s">
        <v>40</v>
      </c>
      <c r="D5332">
        <v>4.4370219999999998</v>
      </c>
      <c r="E5332">
        <v>0.35402099999999997</v>
      </c>
      <c r="F5332" t="s">
        <v>65</v>
      </c>
      <c r="G5332">
        <v>-413.94839999999999</v>
      </c>
      <c r="H5332" s="1">
        <v>-6.6017200000000004E-6</v>
      </c>
      <c r="I5332">
        <v>29.777799999999999</v>
      </c>
      <c r="J5332">
        <v>-421.24149999999997</v>
      </c>
      <c r="K5332">
        <v>1.1148279999999999</v>
      </c>
      <c r="L5332">
        <v>41.858179999999997</v>
      </c>
      <c r="M5332">
        <v>0.17008989999999999</v>
      </c>
      <c r="N5332">
        <v>0</v>
      </c>
      <c r="O5332">
        <v>-0.98532779999999998</v>
      </c>
      <c r="P5332">
        <v>0.17272499999999999</v>
      </c>
      <c r="Q5332">
        <v>-2.0519550000000001E-2</v>
      </c>
      <c r="R5332">
        <v>-0.98475670000000004</v>
      </c>
      <c r="S5332">
        <v>1.6494139999999999</v>
      </c>
      <c r="T5332">
        <v>-0.25067319999999998</v>
      </c>
      <c r="U5332">
        <v>-2.7614139999999998</v>
      </c>
      <c r="V5332">
        <v>-2.618558E-3</v>
      </c>
      <c r="W5332">
        <v>-6.4494130000000002E-3</v>
      </c>
      <c r="X5332">
        <v>0.99997579999999997</v>
      </c>
      <c r="Y5332">
        <v>-0.35767280000000001</v>
      </c>
      <c r="Z5332">
        <v>7.9017630000000005E-2</v>
      </c>
      <c r="AA5332">
        <v>0.93049789999999999</v>
      </c>
      <c r="AB5332">
        <v>22</v>
      </c>
      <c r="AC5332">
        <v>7.2930999999999804</v>
      </c>
      <c r="AD5332">
        <v>-1.1148346017199999</v>
      </c>
      <c r="AE5332">
        <v>-12.0803799999999</v>
      </c>
      <c r="AF5332">
        <v>-5.1000208024361804</v>
      </c>
      <c r="AG5332">
        <v>-1.1148346017199999</v>
      </c>
      <c r="AH5332">
        <v>13.0633856261651</v>
      </c>
      <c r="AI5332">
        <v>94.545275184012894</v>
      </c>
      <c r="AJ5332">
        <v>111.325959213424</v>
      </c>
      <c r="AK5332">
        <v>14.0678751911002</v>
      </c>
      <c r="AL5332">
        <v>90.369526697332105</v>
      </c>
      <c r="AM5332">
        <v>90.150035609740598</v>
      </c>
      <c r="AN5332">
        <v>1.0000000261798401</v>
      </c>
    </row>
    <row r="5333" spans="1:40" x14ac:dyDescent="0.25">
      <c r="A5333" t="str">
        <f>"20190312154944452"</f>
        <v>20190312154944452</v>
      </c>
      <c r="B5333" t="str">
        <f>"1552376984441656"</f>
        <v>1552376984441656</v>
      </c>
      <c r="C5333" t="s">
        <v>40</v>
      </c>
      <c r="D5333">
        <v>4.4720440000000004</v>
      </c>
      <c r="E5333">
        <v>0.35458390000000001</v>
      </c>
      <c r="F5333" t="s">
        <v>65</v>
      </c>
      <c r="G5333">
        <v>-413.65789999999998</v>
      </c>
      <c r="H5333" s="1">
        <v>-9.4720119999999996E-6</v>
      </c>
      <c r="I5333">
        <v>29.383299999999998</v>
      </c>
      <c r="J5333">
        <v>-421.19540000000001</v>
      </c>
      <c r="K5333">
        <v>1.114895</v>
      </c>
      <c r="L5333">
        <v>41.64761</v>
      </c>
      <c r="M5333">
        <v>0.17823939999999999</v>
      </c>
      <c r="N5333">
        <v>0</v>
      </c>
      <c r="O5333">
        <v>-0.98388589999999998</v>
      </c>
      <c r="P5333">
        <v>0.1821306</v>
      </c>
      <c r="Q5333">
        <v>-2.0709100000000001E-2</v>
      </c>
      <c r="R5333">
        <v>-0.98305629999999999</v>
      </c>
      <c r="S5333">
        <v>1.670715</v>
      </c>
      <c r="T5333">
        <v>-0.2456053</v>
      </c>
      <c r="U5333">
        <v>-2.748291</v>
      </c>
      <c r="V5333">
        <v>-3.8983500000000001E-3</v>
      </c>
      <c r="W5333">
        <v>-6.6355829999999996E-3</v>
      </c>
      <c r="X5333">
        <v>0.99997040000000004</v>
      </c>
      <c r="Y5333">
        <v>-0.35724929999999999</v>
      </c>
      <c r="Z5333">
        <v>7.7437420000000007E-2</v>
      </c>
      <c r="AA5333">
        <v>0.93079339999999999</v>
      </c>
      <c r="AB5333">
        <v>22</v>
      </c>
      <c r="AC5333">
        <v>7.5375000000000201</v>
      </c>
      <c r="AD5333">
        <v>-1.1149044720119901</v>
      </c>
      <c r="AE5333">
        <v>-12.26431</v>
      </c>
      <c r="AF5333">
        <v>-5.1993903143138001</v>
      </c>
      <c r="AG5333">
        <v>-1.1149044720119901</v>
      </c>
      <c r="AH5333">
        <v>13.331530773174199</v>
      </c>
      <c r="AI5333">
        <v>94.455102128022105</v>
      </c>
      <c r="AJ5333">
        <v>111.30613170860499</v>
      </c>
      <c r="AK5333">
        <v>14.352922503043899</v>
      </c>
      <c r="AL5333">
        <v>90.380193685085203</v>
      </c>
      <c r="AM5333">
        <v>90.223364482124694</v>
      </c>
      <c r="AN5333">
        <v>1.0000000144853101</v>
      </c>
    </row>
    <row r="5334" spans="1:40" x14ac:dyDescent="0.25">
      <c r="A5334" t="str">
        <f>"20190312154944474"</f>
        <v>20190312154944474</v>
      </c>
      <c r="B5334" t="str">
        <f>"1552376984470936"</f>
        <v>1552376984470936</v>
      </c>
      <c r="C5334" t="s">
        <v>40</v>
      </c>
      <c r="D5334">
        <v>4.4509670000000003</v>
      </c>
      <c r="E5334">
        <v>0.35549109999999901</v>
      </c>
      <c r="F5334" t="s">
        <v>65</v>
      </c>
      <c r="G5334">
        <v>-413.53739999999999</v>
      </c>
      <c r="H5334" s="1">
        <v>-9.5030860000000006E-6</v>
      </c>
      <c r="I5334">
        <v>29.28351</v>
      </c>
      <c r="J5334">
        <v>-421.14929999999998</v>
      </c>
      <c r="K5334">
        <v>1.114927</v>
      </c>
      <c r="L5334">
        <v>41.445369999999997</v>
      </c>
      <c r="M5334">
        <v>0.1861881</v>
      </c>
      <c r="N5334">
        <v>0</v>
      </c>
      <c r="O5334">
        <v>-0.98241250000000002</v>
      </c>
      <c r="P5334">
        <v>0.19130230000000001</v>
      </c>
      <c r="Q5334">
        <v>-2.1353199999999999E-2</v>
      </c>
      <c r="R5334">
        <v>-0.98129900000000003</v>
      </c>
      <c r="S5334">
        <v>1.692688</v>
      </c>
      <c r="T5334">
        <v>-0.24643370000000001</v>
      </c>
      <c r="U5334">
        <v>-2.73291</v>
      </c>
      <c r="V5334">
        <v>-5.1456929999999998E-3</v>
      </c>
      <c r="W5334">
        <v>-7.2791569999999996E-3</v>
      </c>
      <c r="X5334">
        <v>0.99996019999999997</v>
      </c>
      <c r="Y5334">
        <v>-0.3574387</v>
      </c>
      <c r="Z5334">
        <v>7.7737650000000005E-2</v>
      </c>
      <c r="AA5334">
        <v>0.93069570000000001</v>
      </c>
      <c r="AB5334">
        <v>22</v>
      </c>
      <c r="AC5334">
        <v>7.6118999999999897</v>
      </c>
      <c r="AD5334">
        <v>-1.1149365030859999</v>
      </c>
      <c r="AE5334">
        <v>-12.161860000000001</v>
      </c>
      <c r="AF5334">
        <v>-5.1828548361381204</v>
      </c>
      <c r="AG5334">
        <v>-1.1149365030859999</v>
      </c>
      <c r="AH5334">
        <v>13.286310592854401</v>
      </c>
      <c r="AI5334">
        <v>94.470206828333801</v>
      </c>
      <c r="AJ5334">
        <v>111.310251604116</v>
      </c>
      <c r="AK5334">
        <v>14.304933303870699</v>
      </c>
      <c r="AL5334">
        <v>90.417068685682295</v>
      </c>
      <c r="AM5334">
        <v>90.294835623707996</v>
      </c>
      <c r="AN5334">
        <v>0.99999993293355804</v>
      </c>
    </row>
    <row r="5335" spans="1:40" x14ac:dyDescent="0.25">
      <c r="A5335" t="str">
        <f>"20190312154944497"</f>
        <v>20190312154944497</v>
      </c>
      <c r="B5335" t="str">
        <f>"1552376984491432"</f>
        <v>1552376984491432</v>
      </c>
      <c r="C5335" t="s">
        <v>40</v>
      </c>
      <c r="D5335">
        <v>4.4707129999999999</v>
      </c>
      <c r="E5335">
        <v>0.35643089999999999</v>
      </c>
      <c r="F5335" t="s">
        <v>65</v>
      </c>
      <c r="G5335">
        <v>-413.47739999999999</v>
      </c>
      <c r="H5335" s="1">
        <v>-9.5213970000000001E-6</v>
      </c>
      <c r="I5335">
        <v>29.258870000000002</v>
      </c>
      <c r="J5335">
        <v>-421.09949999999998</v>
      </c>
      <c r="K5335">
        <v>1.1149549999999999</v>
      </c>
      <c r="L5335">
        <v>41.23563</v>
      </c>
      <c r="M5335">
        <v>0.19453480000000001</v>
      </c>
      <c r="N5335">
        <v>0</v>
      </c>
      <c r="O5335">
        <v>-0.98079340000000004</v>
      </c>
      <c r="P5335">
        <v>0.1997612</v>
      </c>
      <c r="Q5335">
        <v>-2.164402E-2</v>
      </c>
      <c r="R5335">
        <v>-0.97960559999999997</v>
      </c>
      <c r="S5335">
        <v>1.711212</v>
      </c>
      <c r="T5335">
        <v>-0.24868390000000001</v>
      </c>
      <c r="U5335">
        <v>-2.7181700000000002</v>
      </c>
      <c r="V5335">
        <v>-5.2672709999999996E-3</v>
      </c>
      <c r="W5335">
        <v>-7.5566840000000001E-3</v>
      </c>
      <c r="X5335">
        <v>0.9999576</v>
      </c>
      <c r="Y5335">
        <v>-0.35628080000000001</v>
      </c>
      <c r="Z5335">
        <v>7.8493889999999997E-2</v>
      </c>
      <c r="AA5335">
        <v>0.93107609999999996</v>
      </c>
      <c r="AB5335">
        <v>21</v>
      </c>
      <c r="AC5335">
        <v>7.6220999999999801</v>
      </c>
      <c r="AD5335">
        <v>-1.1149645213970001</v>
      </c>
      <c r="AE5335">
        <v>-11.976760000000001</v>
      </c>
      <c r="AF5335">
        <v>-5.1147754951692903</v>
      </c>
      <c r="AG5335">
        <v>-1.1149645213970001</v>
      </c>
      <c r="AH5335">
        <v>13.1497066417677</v>
      </c>
      <c r="AI5335">
        <v>94.518278333270899</v>
      </c>
      <c r="AJ5335">
        <v>111.254292819778</v>
      </c>
      <c r="AK5335">
        <v>14.153404502610201</v>
      </c>
      <c r="AL5335">
        <v>90.432970210366804</v>
      </c>
      <c r="AM5335">
        <v>90.301802403092694</v>
      </c>
      <c r="AN5335">
        <v>1.00000002470731</v>
      </c>
    </row>
    <row r="5336" spans="1:40" x14ac:dyDescent="0.25">
      <c r="A5336" t="str">
        <f>"20190312154944518"</f>
        <v>20190312154944518</v>
      </c>
      <c r="B5336" t="str">
        <f>"1552376984510952"</f>
        <v>1552376984510952</v>
      </c>
      <c r="C5336" t="s">
        <v>40</v>
      </c>
      <c r="D5336">
        <v>4.4456049999999996</v>
      </c>
      <c r="E5336">
        <v>0.35710249999999999</v>
      </c>
      <c r="F5336" t="s">
        <v>65</v>
      </c>
      <c r="G5336">
        <v>-413.33409999999998</v>
      </c>
      <c r="H5336" s="1">
        <v>-9.550775E-6</v>
      </c>
      <c r="I5336">
        <v>29.07301</v>
      </c>
      <c r="J5336">
        <v>-421.05079999999998</v>
      </c>
      <c r="K5336">
        <v>1.114976</v>
      </c>
      <c r="L5336">
        <v>41.03754</v>
      </c>
      <c r="M5336">
        <v>0.20249059999999999</v>
      </c>
      <c r="N5336">
        <v>0</v>
      </c>
      <c r="O5336">
        <v>-0.97918170000000004</v>
      </c>
      <c r="P5336">
        <v>0.20830419999999999</v>
      </c>
      <c r="Q5336">
        <v>-2.1123220000000002E-2</v>
      </c>
      <c r="R5336">
        <v>-0.97783609999999999</v>
      </c>
      <c r="S5336">
        <v>1.7269289999999999</v>
      </c>
      <c r="T5336">
        <v>-0.24795329999999999</v>
      </c>
      <c r="U5336">
        <v>-2.7048030000000001</v>
      </c>
      <c r="V5336">
        <v>-5.8814330000000001E-3</v>
      </c>
      <c r="W5336">
        <v>-7.0304340000000003E-3</v>
      </c>
      <c r="X5336">
        <v>0.99995800000000001</v>
      </c>
      <c r="Y5336">
        <v>-0.35463080000000002</v>
      </c>
      <c r="Z5336">
        <v>7.8309299999999998E-2</v>
      </c>
      <c r="AA5336">
        <v>0.93172129999999997</v>
      </c>
      <c r="AB5336">
        <v>21</v>
      </c>
      <c r="AC5336">
        <v>7.7167000000000003</v>
      </c>
      <c r="AD5336">
        <v>-1.1149855507749999</v>
      </c>
      <c r="AE5336">
        <v>-11.96453</v>
      </c>
      <c r="AF5336">
        <v>-5.1025666321767398</v>
      </c>
      <c r="AG5336">
        <v>-1.1149855507749999</v>
      </c>
      <c r="AH5336">
        <v>13.1983920988708</v>
      </c>
      <c r="AI5336">
        <v>94.505332503383698</v>
      </c>
      <c r="AJ5336">
        <v>111.13675957138901</v>
      </c>
      <c r="AK5336">
        <v>14.194257043247299</v>
      </c>
      <c r="AL5336">
        <v>90.402817510703102</v>
      </c>
      <c r="AM5336">
        <v>90.336991556253395</v>
      </c>
      <c r="AN5336">
        <v>1.00000001001018</v>
      </c>
    </row>
    <row r="5337" spans="1:40" x14ac:dyDescent="0.25">
      <c r="A5337" t="str">
        <f>"20190312154944541"</f>
        <v>20190312154944541</v>
      </c>
      <c r="B5337" t="str">
        <f>"1552376984531458"</f>
        <v>1552376984531458</v>
      </c>
      <c r="C5337" t="s">
        <v>40</v>
      </c>
      <c r="D5337">
        <v>4.4393200000000004</v>
      </c>
      <c r="E5337">
        <v>0.357597</v>
      </c>
      <c r="F5337" t="s">
        <v>65</v>
      </c>
      <c r="G5337">
        <v>-413.15309999999999</v>
      </c>
      <c r="H5337" s="1">
        <v>-9.5903489999999993E-6</v>
      </c>
      <c r="I5337">
        <v>28.86008</v>
      </c>
      <c r="J5337">
        <v>-420.99880000000002</v>
      </c>
      <c r="K5337">
        <v>1.114987</v>
      </c>
      <c r="L5337">
        <v>40.83417</v>
      </c>
      <c r="M5337">
        <v>0.21071390000000001</v>
      </c>
      <c r="N5337">
        <v>0</v>
      </c>
      <c r="O5337">
        <v>-0.97744509999999996</v>
      </c>
      <c r="P5337">
        <v>0.2169411</v>
      </c>
      <c r="Q5337">
        <v>-2.065494E-2</v>
      </c>
      <c r="R5337">
        <v>-0.97596660000000002</v>
      </c>
      <c r="S5337">
        <v>1.7451779999999999</v>
      </c>
      <c r="T5337">
        <v>-0.2463844</v>
      </c>
      <c r="U5337">
        <v>-2.6909179999999999</v>
      </c>
      <c r="V5337">
        <v>-6.3201239999999999E-3</v>
      </c>
      <c r="W5337">
        <v>-6.5560760000000001E-3</v>
      </c>
      <c r="X5337">
        <v>0.99995849999999997</v>
      </c>
      <c r="Y5337">
        <v>-0.35343419999999998</v>
      </c>
      <c r="Z5337">
        <v>7.7832390000000001E-2</v>
      </c>
      <c r="AA5337">
        <v>0.93221589999999999</v>
      </c>
      <c r="AB5337">
        <v>21</v>
      </c>
      <c r="AC5337">
        <v>7.8457000000000203</v>
      </c>
      <c r="AD5337">
        <v>-1.114996590349</v>
      </c>
      <c r="AE5337">
        <v>-11.974089999999901</v>
      </c>
      <c r="AF5337">
        <v>-5.1151198032463503</v>
      </c>
      <c r="AG5337">
        <v>-1.114996590349</v>
      </c>
      <c r="AH5337">
        <v>13.278004310761199</v>
      </c>
      <c r="AI5337">
        <v>94.480530673723905</v>
      </c>
      <c r="AJ5337">
        <v>111.06831009100399</v>
      </c>
      <c r="AK5337">
        <v>14.2728086400205</v>
      </c>
      <c r="AL5337">
        <v>90.375638189511307</v>
      </c>
      <c r="AM5337">
        <v>90.362126637714496</v>
      </c>
      <c r="AN5337">
        <v>0.99999996391107004</v>
      </c>
    </row>
    <row r="5338" spans="1:40" x14ac:dyDescent="0.25">
      <c r="A5338" t="str">
        <f>"20190312154944565"</f>
        <v>20190312154944565</v>
      </c>
      <c r="B5338" t="str">
        <f>"1552376984561704"</f>
        <v>1552376984561704</v>
      </c>
      <c r="C5338" t="s">
        <v>40</v>
      </c>
      <c r="D5338">
        <v>4.4305159999999999</v>
      </c>
      <c r="E5338">
        <v>0.35892469999999999</v>
      </c>
      <c r="F5338" t="s">
        <v>65</v>
      </c>
      <c r="G5338">
        <v>-412.96350000000001</v>
      </c>
      <c r="H5338" s="1">
        <v>-9.6327789999999995E-6</v>
      </c>
      <c r="I5338">
        <v>28.645420000000001</v>
      </c>
      <c r="J5338">
        <v>-420.94170000000003</v>
      </c>
      <c r="K5338">
        <v>1.114987</v>
      </c>
      <c r="L5338">
        <v>40.618769999999998</v>
      </c>
      <c r="M5338">
        <v>0.21946189999999999</v>
      </c>
      <c r="N5338">
        <v>0</v>
      </c>
      <c r="O5338">
        <v>-0.975518</v>
      </c>
      <c r="P5338">
        <v>0.22581319999999999</v>
      </c>
      <c r="Q5338">
        <v>-2.1414570000000001E-2</v>
      </c>
      <c r="R5338">
        <v>-0.9739352</v>
      </c>
      <c r="S5338">
        <v>1.764465</v>
      </c>
      <c r="T5338">
        <v>-0.2448409</v>
      </c>
      <c r="U5338">
        <v>-2.6765140000000001</v>
      </c>
      <c r="V5338">
        <v>-6.4559839999999997E-3</v>
      </c>
      <c r="W5338">
        <v>-7.3080749999999998E-3</v>
      </c>
      <c r="X5338">
        <v>0.99995239999999996</v>
      </c>
      <c r="Y5338">
        <v>-0.35206229999999999</v>
      </c>
      <c r="Z5338">
        <v>7.7346349999999994E-2</v>
      </c>
      <c r="AA5338">
        <v>0.93277529999999997</v>
      </c>
      <c r="AB5338">
        <v>21</v>
      </c>
      <c r="AC5338">
        <v>7.97820000000001</v>
      </c>
      <c r="AD5338">
        <v>-1.114996632779</v>
      </c>
      <c r="AE5338">
        <v>-11.9733499999999</v>
      </c>
      <c r="AF5338">
        <v>-5.1249242278144802</v>
      </c>
      <c r="AG5338">
        <v>-1.114996632779</v>
      </c>
      <c r="AH5338">
        <v>13.352292784071899</v>
      </c>
      <c r="AI5338">
        <v>94.457798275272495</v>
      </c>
      <c r="AJ5338">
        <v>110.997977546714</v>
      </c>
      <c r="AK5338">
        <v>14.3454448666999</v>
      </c>
      <c r="AL5338">
        <v>90.418725604174298</v>
      </c>
      <c r="AM5338">
        <v>90.369913104187503</v>
      </c>
      <c r="AN5338">
        <v>0.99999994497768496</v>
      </c>
    </row>
    <row r="5339" spans="1:40" x14ac:dyDescent="0.25">
      <c r="A5339" t="str">
        <f>"20190312154944588"</f>
        <v>20190312154944588</v>
      </c>
      <c r="B5339" t="str">
        <f>"1552376984581225"</f>
        <v>1552376984581225</v>
      </c>
      <c r="C5339" t="s">
        <v>40</v>
      </c>
      <c r="D5339">
        <v>4.4257799999999996</v>
      </c>
      <c r="E5339">
        <v>0.3597938</v>
      </c>
      <c r="F5339" t="s">
        <v>65</v>
      </c>
      <c r="G5339">
        <v>-413.02089999999998</v>
      </c>
      <c r="H5339" s="1">
        <v>-9.6252060000000004E-6</v>
      </c>
      <c r="I5339">
        <v>28.757370000000002</v>
      </c>
      <c r="J5339">
        <v>-420.88650000000001</v>
      </c>
      <c r="K5339">
        <v>1.1149720000000001</v>
      </c>
      <c r="L5339">
        <v>40.418239999999997</v>
      </c>
      <c r="M5339">
        <v>0.2276378</v>
      </c>
      <c r="N5339">
        <v>0</v>
      </c>
      <c r="O5339">
        <v>-0.97364260000000002</v>
      </c>
      <c r="P5339">
        <v>0.2343625</v>
      </c>
      <c r="Q5339">
        <v>-2.2308189999999999E-2</v>
      </c>
      <c r="R5339">
        <v>-0.97189340000000002</v>
      </c>
      <c r="S5339">
        <v>1.7779849999999999</v>
      </c>
      <c r="T5339">
        <v>-0.25028410000000001</v>
      </c>
      <c r="U5339">
        <v>-2.6625369999999999</v>
      </c>
      <c r="V5339">
        <v>-6.8478769999999996E-3</v>
      </c>
      <c r="W5339">
        <v>-8.2002710000000003E-3</v>
      </c>
      <c r="X5339">
        <v>0.99994300000000003</v>
      </c>
      <c r="Y5339">
        <v>-0.34966380000000002</v>
      </c>
      <c r="Z5339">
        <v>7.9105350000000005E-2</v>
      </c>
      <c r="AA5339">
        <v>0.93352959999999996</v>
      </c>
      <c r="AB5339">
        <v>21</v>
      </c>
      <c r="AC5339">
        <v>7.8656000000000201</v>
      </c>
      <c r="AD5339">
        <v>-1.1149816252060001</v>
      </c>
      <c r="AE5339">
        <v>-11.660869999999999</v>
      </c>
      <c r="AF5339">
        <v>-4.9730824812885697</v>
      </c>
      <c r="AG5339">
        <v>-1.1149816252060001</v>
      </c>
      <c r="AH5339">
        <v>13.063264353490201</v>
      </c>
      <c r="AI5339">
        <v>94.560697055175098</v>
      </c>
      <c r="AJ5339">
        <v>110.84143748387299</v>
      </c>
      <c r="AK5339">
        <v>14.0222540612918</v>
      </c>
      <c r="AL5339">
        <v>90.469846151870001</v>
      </c>
      <c r="AM5339">
        <v>90.392370682379706</v>
      </c>
      <c r="AN5339">
        <v>1.00000007055643</v>
      </c>
    </row>
    <row r="5340" spans="1:40" x14ac:dyDescent="0.25">
      <c r="A5340" t="str">
        <f>"20190312154944608"</f>
        <v>20190312154944608</v>
      </c>
      <c r="B5340" t="str">
        <f>"1552376984600745"</f>
        <v>1552376984600745</v>
      </c>
      <c r="C5340" t="s">
        <v>40</v>
      </c>
      <c r="D5340">
        <v>4.4811310000000004</v>
      </c>
      <c r="E5340">
        <v>0.36071700000000001</v>
      </c>
      <c r="F5340" t="s">
        <v>65</v>
      </c>
      <c r="G5340">
        <v>-413.01929999999999</v>
      </c>
      <c r="H5340" s="1">
        <v>-9.6314849999999998E-6</v>
      </c>
      <c r="I5340">
        <v>28.808160000000001</v>
      </c>
      <c r="J5340">
        <v>-420.83179999999999</v>
      </c>
      <c r="K5340">
        <v>1.1149519999999999</v>
      </c>
      <c r="L5340">
        <v>40.225679999999997</v>
      </c>
      <c r="M5340">
        <v>0.23550160000000001</v>
      </c>
      <c r="N5340">
        <v>0</v>
      </c>
      <c r="O5340">
        <v>-0.97177049999999998</v>
      </c>
      <c r="P5340">
        <v>0.24264649999999999</v>
      </c>
      <c r="Q5340">
        <v>-2.2558410000000001E-2</v>
      </c>
      <c r="R5340">
        <v>-0.96985290000000002</v>
      </c>
      <c r="S5340">
        <v>1.7944639999999901</v>
      </c>
      <c r="T5340">
        <v>-0.25432090000000002</v>
      </c>
      <c r="U5340">
        <v>-2.648193</v>
      </c>
      <c r="V5340">
        <v>-7.2946319999999997E-3</v>
      </c>
      <c r="W5340">
        <v>-8.4515960000000005E-3</v>
      </c>
      <c r="X5340">
        <v>0.99993770000000004</v>
      </c>
      <c r="Y5340">
        <v>-0.34835729999999998</v>
      </c>
      <c r="Z5340">
        <v>8.0392580000000005E-2</v>
      </c>
      <c r="AA5340">
        <v>0.93390799999999996</v>
      </c>
      <c r="AB5340">
        <v>21</v>
      </c>
      <c r="AC5340">
        <v>7.8125</v>
      </c>
      <c r="AD5340">
        <v>-1.1149616314849999</v>
      </c>
      <c r="AE5340">
        <v>-11.41752</v>
      </c>
      <c r="AF5340">
        <v>-4.8719617245101698</v>
      </c>
      <c r="AG5340">
        <v>-1.1149616314849999</v>
      </c>
      <c r="AH5340">
        <v>12.8528846697599</v>
      </c>
      <c r="AI5340">
        <v>94.637449803726597</v>
      </c>
      <c r="AJ5340">
        <v>110.75950852271301</v>
      </c>
      <c r="AK5340">
        <v>13.7904240260742</v>
      </c>
      <c r="AL5340">
        <v>90.484246535080302</v>
      </c>
      <c r="AM5340">
        <v>90.417970252261298</v>
      </c>
      <c r="AN5340">
        <v>1.0000000225061201</v>
      </c>
    </row>
    <row r="5341" spans="1:40" x14ac:dyDescent="0.25">
      <c r="A5341" t="str">
        <f>"20190312154944631"</f>
        <v>20190312154944631</v>
      </c>
      <c r="B5341" t="str">
        <f>"1552376984621240"</f>
        <v>1552376984621240</v>
      </c>
      <c r="C5341" t="s">
        <v>40</v>
      </c>
      <c r="D5341">
        <v>4.4268599999999996</v>
      </c>
      <c r="E5341">
        <v>0.36116920000000002</v>
      </c>
      <c r="F5341" t="s">
        <v>65</v>
      </c>
      <c r="G5341">
        <v>-412.94630000000001</v>
      </c>
      <c r="H5341" s="1">
        <v>-9.6499370000000001E-6</v>
      </c>
      <c r="I5341">
        <v>28.744499999999999</v>
      </c>
      <c r="J5341">
        <v>-420.77280000000002</v>
      </c>
      <c r="K5341">
        <v>1.1149230000000001</v>
      </c>
      <c r="L5341">
        <v>40.024380000000001</v>
      </c>
      <c r="M5341">
        <v>0.24372830000000001</v>
      </c>
      <c r="N5341">
        <v>0</v>
      </c>
      <c r="O5341">
        <v>-0.96973989999999999</v>
      </c>
      <c r="P5341">
        <v>0.25144670000000002</v>
      </c>
      <c r="Q5341">
        <v>-2.252409E-2</v>
      </c>
      <c r="R5341">
        <v>-0.96760919999999895</v>
      </c>
      <c r="S5341">
        <v>1.8094790000000001</v>
      </c>
      <c r="T5341">
        <v>-0.25584970000000001</v>
      </c>
      <c r="U5341">
        <v>-2.6345830000000001</v>
      </c>
      <c r="V5341">
        <v>-7.9049459999999995E-3</v>
      </c>
      <c r="W5341">
        <v>-8.4216940000000004E-3</v>
      </c>
      <c r="X5341">
        <v>0.99993330000000002</v>
      </c>
      <c r="Y5341">
        <v>-0.3462558</v>
      </c>
      <c r="Z5341">
        <v>8.0877099999999993E-2</v>
      </c>
      <c r="AA5341">
        <v>0.93464740000000002</v>
      </c>
      <c r="AB5341">
        <v>21</v>
      </c>
      <c r="AC5341">
        <v>7.8265000000000002</v>
      </c>
      <c r="AD5341">
        <v>-1.11493264993699</v>
      </c>
      <c r="AE5341">
        <v>-11.27988</v>
      </c>
      <c r="AF5341">
        <v>-4.8092136193461101</v>
      </c>
      <c r="AG5341">
        <v>-1.11493264993699</v>
      </c>
      <c r="AH5341">
        <v>12.7632084226393</v>
      </c>
      <c r="AI5341">
        <v>94.673233937421401</v>
      </c>
      <c r="AJ5341">
        <v>110.64655333027</v>
      </c>
      <c r="AK5341">
        <v>13.6847031275849</v>
      </c>
      <c r="AL5341">
        <v>90.482533222370094</v>
      </c>
      <c r="AM5341">
        <v>90.452940819278197</v>
      </c>
      <c r="AN5341">
        <v>1.0000000087749901</v>
      </c>
    </row>
    <row r="5342" spans="1:40" x14ac:dyDescent="0.25">
      <c r="A5342" t="str">
        <f>"20190312154944653"</f>
        <v>20190312154944653</v>
      </c>
      <c r="B5342" t="str">
        <f>"1552376984651496"</f>
        <v>1552376984651496</v>
      </c>
      <c r="C5342" t="s">
        <v>40</v>
      </c>
      <c r="D5342">
        <v>4.4422899999999998</v>
      </c>
      <c r="E5342">
        <v>0.3782683</v>
      </c>
      <c r="F5342" t="s">
        <v>65</v>
      </c>
      <c r="G5342">
        <v>-412.78460000000001</v>
      </c>
      <c r="H5342" s="1">
        <v>-9.6895290000000003E-6</v>
      </c>
      <c r="I5342">
        <v>28.59177</v>
      </c>
      <c r="J5342">
        <v>-420.71089999999998</v>
      </c>
      <c r="K5342">
        <v>1.1148899999999999</v>
      </c>
      <c r="L5342">
        <v>39.81973</v>
      </c>
      <c r="M5342">
        <v>0.25209169999999997</v>
      </c>
      <c r="N5342">
        <v>0</v>
      </c>
      <c r="O5342">
        <v>-0.96759919999999999</v>
      </c>
      <c r="P5342">
        <v>0.26007409999999997</v>
      </c>
      <c r="Q5342">
        <v>-2.3299509999999999E-2</v>
      </c>
      <c r="R5342">
        <v>-0.96530749999999999</v>
      </c>
      <c r="S5342">
        <v>1.8299259999999999</v>
      </c>
      <c r="T5342">
        <v>-0.25540629999999998</v>
      </c>
      <c r="U5342">
        <v>-2.6189580000000001</v>
      </c>
      <c r="V5342">
        <v>-8.1938340000000005E-3</v>
      </c>
      <c r="W5342">
        <v>-9.1990960000000004E-3</v>
      </c>
      <c r="X5342">
        <v>0.99992409999999998</v>
      </c>
      <c r="Y5342">
        <v>-0.34568510000000002</v>
      </c>
      <c r="Z5342">
        <v>8.0710870000000004E-2</v>
      </c>
      <c r="AA5342">
        <v>0.93487299999999995</v>
      </c>
      <c r="AB5342">
        <v>21</v>
      </c>
      <c r="AC5342">
        <v>7.9262999999999604</v>
      </c>
      <c r="AD5342">
        <v>-1.114899689529</v>
      </c>
      <c r="AE5342">
        <v>-11.227959999999999</v>
      </c>
      <c r="AF5342">
        <v>-4.8078559587886396</v>
      </c>
      <c r="AG5342">
        <v>-1.114899689529</v>
      </c>
      <c r="AH5342">
        <v>12.7795211508199</v>
      </c>
      <c r="AI5342">
        <v>94.668057528236005</v>
      </c>
      <c r="AJ5342">
        <v>110.61708563187</v>
      </c>
      <c r="AK5342">
        <v>13.699439444094899</v>
      </c>
      <c r="AL5342">
        <v>90.527076818571601</v>
      </c>
      <c r="AM5342">
        <v>90.469497233282993</v>
      </c>
      <c r="AN5342">
        <v>0.999999984021823</v>
      </c>
    </row>
    <row r="5343" spans="1:40" x14ac:dyDescent="0.25">
      <c r="A5343" t="str">
        <f>"20190312154944675"</f>
        <v>20190312154944675</v>
      </c>
      <c r="B5343" t="str">
        <f>"1552376984671016"</f>
        <v>1552376984671016</v>
      </c>
      <c r="C5343" t="s">
        <v>40</v>
      </c>
      <c r="D5343">
        <v>4.4194009999999997</v>
      </c>
      <c r="E5343">
        <v>0.37972060000000002</v>
      </c>
      <c r="F5343" t="s">
        <v>65</v>
      </c>
      <c r="G5343">
        <v>-413.32569999999998</v>
      </c>
      <c r="H5343" s="1">
        <v>-9.4900819999999999E-6</v>
      </c>
      <c r="I5343">
        <v>28.507010000000001</v>
      </c>
      <c r="J5343">
        <v>-420.65039999999999</v>
      </c>
      <c r="K5343">
        <v>1.1148559999999901</v>
      </c>
      <c r="L5343">
        <v>39.625399999999999</v>
      </c>
      <c r="M5343">
        <v>0.26002900000000001</v>
      </c>
      <c r="N5343">
        <v>0</v>
      </c>
      <c r="O5343">
        <v>-0.96549660000000004</v>
      </c>
      <c r="P5343">
        <v>0.26686179999999998</v>
      </c>
      <c r="Q5343">
        <v>-2.4333710000000001E-2</v>
      </c>
      <c r="R5343">
        <v>-0.9634277</v>
      </c>
      <c r="S5343">
        <v>1.7218929999999999</v>
      </c>
      <c r="T5343">
        <v>-0.25994289999999998</v>
      </c>
      <c r="U5343">
        <v>-2.6376040000000001</v>
      </c>
      <c r="V5343">
        <v>-7.0155840000000001E-3</v>
      </c>
      <c r="W5343">
        <v>-1.0218970000000001E-2</v>
      </c>
      <c r="X5343">
        <v>0.99992320000000001</v>
      </c>
      <c r="Y5343">
        <v>-0.30815920000000002</v>
      </c>
      <c r="Z5343">
        <v>8.2808789999999993E-2</v>
      </c>
      <c r="AA5343">
        <v>0.94772389999999995</v>
      </c>
      <c r="AB5343">
        <v>21</v>
      </c>
      <c r="AC5343">
        <v>7.3247</v>
      </c>
      <c r="AD5343">
        <v>-1.1148654900820001</v>
      </c>
      <c r="AE5343">
        <v>-11.11839</v>
      </c>
      <c r="AF5343">
        <v>-4.1521769099399002</v>
      </c>
      <c r="AG5343">
        <v>-1.1148654900820001</v>
      </c>
      <c r="AH5343">
        <v>12.5526612731217</v>
      </c>
      <c r="AI5343">
        <v>94.819877241221903</v>
      </c>
      <c r="AJ5343">
        <v>108.303213746761</v>
      </c>
      <c r="AK5343">
        <v>13.268489107285101</v>
      </c>
      <c r="AL5343">
        <v>90.585514027759601</v>
      </c>
      <c r="AM5343">
        <v>90.401987631184397</v>
      </c>
      <c r="AN5343">
        <v>1.0000000258324799</v>
      </c>
    </row>
    <row r="5344" spans="1:40" x14ac:dyDescent="0.25">
      <c r="A5344" t="str">
        <f>"20190312154944699"</f>
        <v>20190312154944699</v>
      </c>
      <c r="B5344" t="str">
        <f>"1552376984691512"</f>
        <v>1552376984691512</v>
      </c>
      <c r="C5344" t="s">
        <v>40</v>
      </c>
      <c r="D5344">
        <v>4.4328240000000001</v>
      </c>
      <c r="E5344">
        <v>0.3795232</v>
      </c>
      <c r="F5344" t="s">
        <v>65</v>
      </c>
      <c r="G5344">
        <v>-413.29349999999999</v>
      </c>
      <c r="H5344" s="1">
        <v>-9.4941059999999992E-6</v>
      </c>
      <c r="I5344">
        <v>28.442609999999998</v>
      </c>
      <c r="J5344">
        <v>-420.58550000000002</v>
      </c>
      <c r="K5344">
        <v>1.1148229999999999</v>
      </c>
      <c r="L5344">
        <v>39.422969999999999</v>
      </c>
      <c r="M5344">
        <v>0.26828940000000001</v>
      </c>
      <c r="N5344">
        <v>0</v>
      </c>
      <c r="O5344">
        <v>-0.96323369999999997</v>
      </c>
      <c r="P5344">
        <v>0.27364129999999998</v>
      </c>
      <c r="Q5344">
        <v>-2.4493150000000002E-2</v>
      </c>
      <c r="R5344">
        <v>-0.96151969999999998</v>
      </c>
      <c r="S5344">
        <v>1.729095</v>
      </c>
      <c r="T5344">
        <v>-0.2620305</v>
      </c>
      <c r="U5344">
        <v>-2.6283259999999999</v>
      </c>
      <c r="V5344">
        <v>-5.4945749999999998E-3</v>
      </c>
      <c r="W5344">
        <v>-1.0360879999999999E-2</v>
      </c>
      <c r="X5344">
        <v>0.99993120000000002</v>
      </c>
      <c r="Y5344">
        <v>-0.30332249999999999</v>
      </c>
      <c r="Z5344">
        <v>8.3433199999999999E-2</v>
      </c>
      <c r="AA5344">
        <v>0.94922830000000002</v>
      </c>
      <c r="AB5344">
        <v>21</v>
      </c>
      <c r="AC5344">
        <v>7.29200000000003</v>
      </c>
      <c r="AD5344">
        <v>-1.1148324941059999</v>
      </c>
      <c r="AE5344">
        <v>-10.980359999999999</v>
      </c>
      <c r="AF5344">
        <v>-4.04942975293784</v>
      </c>
      <c r="AG5344">
        <v>-1.1148324941059999</v>
      </c>
      <c r="AH5344">
        <v>12.4452563376631</v>
      </c>
      <c r="AI5344">
        <v>94.868877822314403</v>
      </c>
      <c r="AJ5344">
        <v>108.023819512131</v>
      </c>
      <c r="AK5344">
        <v>13.134882493727799</v>
      </c>
      <c r="AL5344">
        <v>90.593645334396996</v>
      </c>
      <c r="AM5344">
        <v>90.314834449814498</v>
      </c>
      <c r="AN5344">
        <v>0.99999997146112196</v>
      </c>
    </row>
    <row r="5345" spans="1:40" x14ac:dyDescent="0.25">
      <c r="A5345" t="str">
        <f>"20190312154944721"</f>
        <v>20190312154944721</v>
      </c>
      <c r="B5345" t="str">
        <f>"1552376984711033"</f>
        <v>1552376984711033</v>
      </c>
      <c r="C5345" t="s">
        <v>40</v>
      </c>
      <c r="D5345">
        <v>4.6220089999999896</v>
      </c>
      <c r="E5345">
        <v>0.36563259999999997</v>
      </c>
      <c r="F5345" t="s">
        <v>65</v>
      </c>
      <c r="G5345">
        <v>-413.05919999999998</v>
      </c>
      <c r="H5345" s="1">
        <v>-9.5456810000000005E-6</v>
      </c>
      <c r="I5345">
        <v>28.169889999999999</v>
      </c>
      <c r="J5345">
        <v>-420.52030000000002</v>
      </c>
      <c r="K5345">
        <v>1.1147910000000001</v>
      </c>
      <c r="L5345">
        <v>39.225369999999998</v>
      </c>
      <c r="M5345">
        <v>0.27635019999999999</v>
      </c>
      <c r="N5345">
        <v>0</v>
      </c>
      <c r="O5345">
        <v>-0.96095229999999998</v>
      </c>
      <c r="P5345">
        <v>0.28114600000000001</v>
      </c>
      <c r="Q5345">
        <v>-2.4173099999999999E-2</v>
      </c>
      <c r="R5345">
        <v>-0.95936069999999996</v>
      </c>
      <c r="S5345">
        <v>1.7493590000000001</v>
      </c>
      <c r="T5345">
        <v>-0.2591251</v>
      </c>
      <c r="U5345">
        <v>-2.6156009999999998</v>
      </c>
      <c r="V5345">
        <v>-4.9324379999999999E-3</v>
      </c>
      <c r="W5345">
        <v>-1.0035260000000001E-2</v>
      </c>
      <c r="X5345">
        <v>0.99993750000000003</v>
      </c>
      <c r="Y5345">
        <v>-0.30260550000000003</v>
      </c>
      <c r="Z5345">
        <v>8.2405980000000004E-2</v>
      </c>
      <c r="AA5345">
        <v>0.94954680000000002</v>
      </c>
      <c r="AB5345">
        <v>21</v>
      </c>
      <c r="AC5345">
        <v>7.46110000000004</v>
      </c>
      <c r="AD5345">
        <v>-1.114800545681</v>
      </c>
      <c r="AE5345">
        <v>-11.0554799999999</v>
      </c>
      <c r="AF5345">
        <v>-4.0864426176234199</v>
      </c>
      <c r="AG5345">
        <v>-1.114800545681</v>
      </c>
      <c r="AH5345">
        <v>12.5989239119203</v>
      </c>
      <c r="AI5345">
        <v>94.811086094526999</v>
      </c>
      <c r="AJ5345">
        <v>107.970395305533</v>
      </c>
      <c r="AK5345">
        <v>13.291902695330601</v>
      </c>
      <c r="AL5345">
        <v>90.574987684122206</v>
      </c>
      <c r="AM5345">
        <v>90.282623251959606</v>
      </c>
      <c r="AN5345">
        <v>1.00000001964707</v>
      </c>
    </row>
    <row r="5346" spans="1:40" x14ac:dyDescent="0.25">
      <c r="A5346" t="str">
        <f>"20190312154944743"</f>
        <v>20190312154944743</v>
      </c>
      <c r="B5346" t="str">
        <f>"1552376984731529"</f>
        <v>1552376984731529</v>
      </c>
      <c r="C5346" t="s">
        <v>40</v>
      </c>
      <c r="D5346">
        <v>4.4069089999999997</v>
      </c>
      <c r="E5346">
        <v>0.36543039999999999</v>
      </c>
      <c r="F5346" t="s">
        <v>65</v>
      </c>
      <c r="G5346">
        <v>-411.75630000000001</v>
      </c>
      <c r="H5346" s="1">
        <v>-9.9028790000000006E-6</v>
      </c>
      <c r="I5346">
        <v>27.21191</v>
      </c>
      <c r="J5346">
        <v>-420.4538</v>
      </c>
      <c r="K5346">
        <v>1.114773</v>
      </c>
      <c r="L5346">
        <v>39.029240000000001</v>
      </c>
      <c r="M5346">
        <v>0.28435939999999998</v>
      </c>
      <c r="N5346">
        <v>0</v>
      </c>
      <c r="O5346">
        <v>-0.95861269999999998</v>
      </c>
      <c r="P5346">
        <v>0.28899740000000002</v>
      </c>
      <c r="Q5346">
        <v>-2.4446610000000001E-2</v>
      </c>
      <c r="R5346">
        <v>-0.95701780000000003</v>
      </c>
      <c r="S5346">
        <v>1.8758239999999999</v>
      </c>
      <c r="T5346">
        <v>-0.23861099999999999</v>
      </c>
      <c r="U5346">
        <v>-2.5713499999999998</v>
      </c>
      <c r="V5346">
        <v>-4.7807989999999996E-3</v>
      </c>
      <c r="W5346">
        <v>-1.0308360000000001E-2</v>
      </c>
      <c r="X5346">
        <v>0.99993540000000003</v>
      </c>
      <c r="Y5346">
        <v>-0.33354400000000001</v>
      </c>
      <c r="Z5346">
        <v>7.5335890000000003E-2</v>
      </c>
      <c r="AA5346">
        <v>0.93971959999999999</v>
      </c>
      <c r="AB5346">
        <v>21</v>
      </c>
      <c r="AC5346">
        <v>8.6974999999999891</v>
      </c>
      <c r="AD5346">
        <v>-1.1147829028789999</v>
      </c>
      <c r="AE5346">
        <v>-11.81733</v>
      </c>
      <c r="AF5346">
        <v>-4.9490989920453696</v>
      </c>
      <c r="AG5346">
        <v>-1.1147829028789999</v>
      </c>
      <c r="AH5346">
        <v>13.723632452619301</v>
      </c>
      <c r="AI5346">
        <v>94.3697002335999</v>
      </c>
      <c r="AJ5346">
        <v>109.830623269764</v>
      </c>
      <c r="AK5346">
        <v>14.631281879869601</v>
      </c>
      <c r="AL5346">
        <v>90.590636005293206</v>
      </c>
      <c r="AM5346">
        <v>90.273935214468395</v>
      </c>
      <c r="AN5346">
        <v>0.99999996124906299</v>
      </c>
    </row>
    <row r="5347" spans="1:40" x14ac:dyDescent="0.25">
      <c r="A5347" t="str">
        <f>"20190312154944766"</f>
        <v>20190312154944766</v>
      </c>
      <c r="B5347" t="str">
        <f>"1552376984760809"</f>
        <v>1552376984760809</v>
      </c>
      <c r="C5347" t="s">
        <v>40</v>
      </c>
      <c r="D5347">
        <v>4.4217899999999997</v>
      </c>
      <c r="E5347">
        <v>0.3660255</v>
      </c>
      <c r="F5347" t="s">
        <v>65</v>
      </c>
      <c r="G5347">
        <v>-410.94470000000001</v>
      </c>
      <c r="H5347" s="1">
        <v>-1.0099459999999999E-5</v>
      </c>
      <c r="I5347">
        <v>26.225539999999999</v>
      </c>
      <c r="J5347">
        <v>-420.38420000000002</v>
      </c>
      <c r="K5347">
        <v>1.114765</v>
      </c>
      <c r="L5347">
        <v>38.829529999999998</v>
      </c>
      <c r="M5347">
        <v>0.29253610000000002</v>
      </c>
      <c r="N5347">
        <v>0</v>
      </c>
      <c r="O5347">
        <v>-0.95614929999999998</v>
      </c>
      <c r="P5347">
        <v>0.2966645</v>
      </c>
      <c r="Q5347">
        <v>-2.4692990000000001E-2</v>
      </c>
      <c r="R5347">
        <v>-0.95466269999999998</v>
      </c>
      <c r="S5347">
        <v>1.898193</v>
      </c>
      <c r="T5347">
        <v>-0.2225306</v>
      </c>
      <c r="U5347">
        <v>-2.555847</v>
      </c>
      <c r="V5347">
        <v>-4.2610690000000001E-3</v>
      </c>
      <c r="W5347">
        <v>-1.054976E-2</v>
      </c>
      <c r="X5347">
        <v>0.99993529999999997</v>
      </c>
      <c r="Y5347">
        <v>-0.333756099999999</v>
      </c>
      <c r="Z5347">
        <v>7.0194640000000003E-2</v>
      </c>
      <c r="AA5347">
        <v>0.9400423</v>
      </c>
      <c r="AB5347">
        <v>21</v>
      </c>
      <c r="AC5347">
        <v>9.4395000000000095</v>
      </c>
      <c r="AD5347">
        <v>-1.1147750994600001</v>
      </c>
      <c r="AE5347">
        <v>-12.6039899999999</v>
      </c>
      <c r="AF5347">
        <v>-5.3123622854742703</v>
      </c>
      <c r="AG5347">
        <v>-1.1147750994600001</v>
      </c>
      <c r="AH5347">
        <v>14.740306796313201</v>
      </c>
      <c r="AI5347">
        <v>94.069629299087794</v>
      </c>
      <c r="AJ5347">
        <v>109.81901029676</v>
      </c>
      <c r="AK5347">
        <v>15.7079776236135</v>
      </c>
      <c r="AL5347">
        <v>90.604467918221104</v>
      </c>
      <c r="AM5347">
        <v>90.244155589004805</v>
      </c>
      <c r="AN5347">
        <v>1.00000002916558</v>
      </c>
    </row>
    <row r="5348" spans="1:40" x14ac:dyDescent="0.25">
      <c r="A5348" t="str">
        <f>"20190312154944789"</f>
        <v>20190312154944789</v>
      </c>
      <c r="B5348" t="str">
        <f>"1552376984781305"</f>
        <v>1552376984781305</v>
      </c>
      <c r="C5348" t="s">
        <v>40</v>
      </c>
      <c r="D5348">
        <v>4.3648499999999997</v>
      </c>
      <c r="E5348">
        <v>0.36697429999999998</v>
      </c>
      <c r="F5348" t="s">
        <v>65</v>
      </c>
      <c r="G5348">
        <v>-410.71089999999998</v>
      </c>
      <c r="H5348" s="1">
        <v>-1.016047E-5</v>
      </c>
      <c r="I5348">
        <v>25.985569999999999</v>
      </c>
      <c r="J5348">
        <v>-420.3141</v>
      </c>
      <c r="K5348">
        <v>1.114773</v>
      </c>
      <c r="L5348">
        <v>38.634459999999997</v>
      </c>
      <c r="M5348">
        <v>0.300562</v>
      </c>
      <c r="N5348">
        <v>0</v>
      </c>
      <c r="O5348">
        <v>-0.95365659999999997</v>
      </c>
      <c r="P5348">
        <v>0.303925099999999</v>
      </c>
      <c r="Q5348">
        <v>-2.4779929999999999E-2</v>
      </c>
      <c r="R5348">
        <v>-0.95237340000000004</v>
      </c>
      <c r="S5348">
        <v>1.9143680000000001</v>
      </c>
      <c r="T5348">
        <v>-0.22061839999999999</v>
      </c>
      <c r="U5348">
        <v>-2.5418699999999999</v>
      </c>
      <c r="V5348">
        <v>-3.4700429999999999E-3</v>
      </c>
      <c r="W5348">
        <v>-1.062752E-2</v>
      </c>
      <c r="X5348">
        <v>0.99993750000000003</v>
      </c>
      <c r="Y5348">
        <v>-0.33216040000000002</v>
      </c>
      <c r="Z5348">
        <v>6.9532289999999997E-2</v>
      </c>
      <c r="AA5348">
        <v>0.94065650000000001</v>
      </c>
      <c r="AB5348">
        <v>21</v>
      </c>
      <c r="AC5348">
        <v>9.60320000000001</v>
      </c>
      <c r="AD5348">
        <v>-1.11478316047</v>
      </c>
      <c r="AE5348">
        <v>-12.6488899999999</v>
      </c>
      <c r="AF5348">
        <v>-5.3306536259148602</v>
      </c>
      <c r="AG5348">
        <v>-1.11478316047</v>
      </c>
      <c r="AH5348">
        <v>14.8772567199139</v>
      </c>
      <c r="AI5348">
        <v>94.034991956007403</v>
      </c>
      <c r="AJ5348">
        <v>109.713054341495</v>
      </c>
      <c r="AK5348">
        <v>15.8427073786197</v>
      </c>
      <c r="AL5348">
        <v>90.608923508714199</v>
      </c>
      <c r="AM5348">
        <v>90.198830447432201</v>
      </c>
      <c r="AN5348">
        <v>0.99999999464301104</v>
      </c>
    </row>
    <row r="5349" spans="1:40" x14ac:dyDescent="0.25">
      <c r="A5349" t="str">
        <f>"20190312154944809"</f>
        <v>20190312154944809</v>
      </c>
      <c r="B5349" t="str">
        <f>"1552376984800825"</f>
        <v>1552376984800825</v>
      </c>
      <c r="C5349" t="s">
        <v>40</v>
      </c>
      <c r="D5349">
        <v>4.3705809999999996</v>
      </c>
      <c r="E5349">
        <v>0.3678013</v>
      </c>
      <c r="F5349" t="s">
        <v>65</v>
      </c>
      <c r="G5349">
        <v>-410.5616</v>
      </c>
      <c r="H5349" s="1">
        <v>-1.019922E-5</v>
      </c>
      <c r="I5349">
        <v>25.82996</v>
      </c>
      <c r="J5349">
        <v>-420.2466</v>
      </c>
      <c r="K5349">
        <v>1.114784</v>
      </c>
      <c r="L5349">
        <v>38.45102</v>
      </c>
      <c r="M5349">
        <v>0.3081449</v>
      </c>
      <c r="N5349">
        <v>0</v>
      </c>
      <c r="O5349">
        <v>-0.95123369999999996</v>
      </c>
      <c r="P5349">
        <v>0.31034089999999998</v>
      </c>
      <c r="Q5349">
        <v>-2.4526530000000001E-2</v>
      </c>
      <c r="R5349">
        <v>-0.95030910000000002</v>
      </c>
      <c r="S5349">
        <v>1.9265749999999999</v>
      </c>
      <c r="T5349">
        <v>-0.220221</v>
      </c>
      <c r="U5349">
        <v>-2.52948</v>
      </c>
      <c r="V5349">
        <v>-2.2537120000000002E-3</v>
      </c>
      <c r="W5349">
        <v>-1.0359139999999999E-2</v>
      </c>
      <c r="X5349">
        <v>0.99994380000000005</v>
      </c>
      <c r="Y5349">
        <v>-0.32974819999999999</v>
      </c>
      <c r="Z5349">
        <v>6.9356669999999995E-2</v>
      </c>
      <c r="AA5349">
        <v>0.94151779999999996</v>
      </c>
      <c r="AB5349">
        <v>21</v>
      </c>
      <c r="AC5349">
        <v>9.6850000000000005</v>
      </c>
      <c r="AD5349">
        <v>-1.1147941992199999</v>
      </c>
      <c r="AE5349">
        <v>-12.62106</v>
      </c>
      <c r="AF5349">
        <v>-5.2981030436390704</v>
      </c>
      <c r="AG5349">
        <v>-1.1147941992199999</v>
      </c>
      <c r="AH5349">
        <v>14.9182150616287</v>
      </c>
      <c r="AI5349">
        <v>94.028009910269105</v>
      </c>
      <c r="AJ5349">
        <v>109.552149867694</v>
      </c>
      <c r="AK5349">
        <v>15.8702804824817</v>
      </c>
      <c r="AL5349">
        <v>90.593545619181398</v>
      </c>
      <c r="AM5349">
        <v>90.1291352245903</v>
      </c>
      <c r="AN5349">
        <v>0.99999999707887899</v>
      </c>
    </row>
    <row r="5350" spans="1:40" x14ac:dyDescent="0.25">
      <c r="A5350" t="str">
        <f>"20190312154944824"</f>
        <v>20190312154944824</v>
      </c>
      <c r="B5350" t="str">
        <f>"1552376984821321"</f>
        <v>1552376984821321</v>
      </c>
      <c r="C5350" t="s">
        <v>40</v>
      </c>
      <c r="D5350">
        <v>4.3274269999999904</v>
      </c>
      <c r="E5350">
        <v>0.3682011</v>
      </c>
      <c r="F5350" t="s">
        <v>65</v>
      </c>
      <c r="G5350">
        <v>-410.36860000000001</v>
      </c>
      <c r="H5350" s="1">
        <v>-1.02475E-5</v>
      </c>
      <c r="I5350">
        <v>25.610690000000002</v>
      </c>
      <c r="J5350">
        <v>-420.19929999999999</v>
      </c>
      <c r="K5350">
        <v>1.1148</v>
      </c>
      <c r="L5350">
        <v>38.325009999999999</v>
      </c>
      <c r="M5350">
        <v>0.31337480000000001</v>
      </c>
      <c r="N5350">
        <v>0</v>
      </c>
      <c r="O5350">
        <v>-0.94952349999999996</v>
      </c>
      <c r="P5350">
        <v>0.31505729999999998</v>
      </c>
      <c r="Q5350">
        <v>-2.435588E-2</v>
      </c>
      <c r="R5350">
        <v>-0.94876020000000005</v>
      </c>
      <c r="S5350">
        <v>1.9374690000000001</v>
      </c>
      <c r="T5350">
        <v>-0.21865490000000001</v>
      </c>
      <c r="U5350">
        <v>-2.518494</v>
      </c>
      <c r="V5350">
        <v>-1.7182569999999999E-3</v>
      </c>
      <c r="W5350">
        <v>-1.0181559999999999E-2</v>
      </c>
      <c r="X5350">
        <v>0.99994669999999997</v>
      </c>
      <c r="Y5350">
        <v>-0.32911629999999997</v>
      </c>
      <c r="Z5350">
        <v>6.8847340000000007E-2</v>
      </c>
      <c r="AA5350">
        <v>0.94177619999999895</v>
      </c>
      <c r="AB5350">
        <v>21</v>
      </c>
      <c r="AC5350">
        <v>9.8306999999999807</v>
      </c>
      <c r="AD5350">
        <v>-1.1148102474999999</v>
      </c>
      <c r="AE5350">
        <v>-12.714319999999899</v>
      </c>
      <c r="AF5350">
        <v>-5.3250502702956997</v>
      </c>
      <c r="AG5350">
        <v>-1.1148102474999999</v>
      </c>
      <c r="AH5350">
        <v>15.0821966680165</v>
      </c>
      <c r="AI5350">
        <v>93.987007661781803</v>
      </c>
      <c r="AJ5350">
        <v>109.44652739349701</v>
      </c>
      <c r="AK5350">
        <v>16.033453109103998</v>
      </c>
      <c r="AL5350">
        <v>90.5833704905953</v>
      </c>
      <c r="AM5350">
        <v>90.098454024921097</v>
      </c>
      <c r="AN5350">
        <v>1.00000000970602</v>
      </c>
    </row>
    <row r="5351" spans="1:40" x14ac:dyDescent="0.25">
      <c r="A5351" t="str">
        <f>"20190312154944837"</f>
        <v>20190312154944837</v>
      </c>
      <c r="B5351" t="str">
        <f>"1552376984831081"</f>
        <v>1552376984831081</v>
      </c>
      <c r="C5351" t="s">
        <v>40</v>
      </c>
      <c r="D5351">
        <v>4.3711089999999997</v>
      </c>
      <c r="E5351">
        <v>0.37436120000000001</v>
      </c>
      <c r="F5351" t="s">
        <v>65</v>
      </c>
      <c r="G5351">
        <v>-410.28949999999998</v>
      </c>
      <c r="H5351" s="1">
        <v>-1.0270089999999999E-5</v>
      </c>
      <c r="I5351">
        <v>25.548929999999999</v>
      </c>
      <c r="J5351">
        <v>-420.15320000000003</v>
      </c>
      <c r="K5351">
        <v>1.1148129999999901</v>
      </c>
      <c r="L5351">
        <v>38.204830000000001</v>
      </c>
      <c r="M5351">
        <v>0.31840000000000002</v>
      </c>
      <c r="N5351">
        <v>0</v>
      </c>
      <c r="O5351">
        <v>-0.94785030000000003</v>
      </c>
      <c r="P5351">
        <v>0.31936110000000001</v>
      </c>
      <c r="Q5351">
        <v>-2.4442060000000002E-2</v>
      </c>
      <c r="R5351">
        <v>-0.94731849999999995</v>
      </c>
      <c r="S5351">
        <v>1.9468380000000001</v>
      </c>
      <c r="T5351">
        <v>-0.21900929999999999</v>
      </c>
      <c r="U5351">
        <v>-2.5099179999999999</v>
      </c>
      <c r="V5351">
        <v>-9.6107820000000004E-4</v>
      </c>
      <c r="W5351">
        <v>-1.0257840000000001E-2</v>
      </c>
      <c r="X5351">
        <v>0.99994700000000003</v>
      </c>
      <c r="Y5351">
        <v>-0.32786379999999998</v>
      </c>
      <c r="Z5351">
        <v>6.8910109999999997E-2</v>
      </c>
      <c r="AA5351">
        <v>0.9422085</v>
      </c>
      <c r="AB5351">
        <v>21</v>
      </c>
      <c r="AC5351">
        <v>9.8637000000000494</v>
      </c>
      <c r="AD5351">
        <v>-1.11482327008999</v>
      </c>
      <c r="AE5351">
        <v>-12.655900000000001</v>
      </c>
      <c r="AF5351">
        <v>-5.2946495051670697</v>
      </c>
      <c r="AG5351">
        <v>-1.11482327008999</v>
      </c>
      <c r="AH5351">
        <v>15.0653008694877</v>
      </c>
      <c r="AI5351">
        <v>93.993533891489804</v>
      </c>
      <c r="AJ5351">
        <v>109.363854200707</v>
      </c>
      <c r="AK5351">
        <v>16.007480582349199</v>
      </c>
      <c r="AL5351">
        <v>90.5877412025594</v>
      </c>
      <c r="AM5351">
        <v>90.055068626323205</v>
      </c>
      <c r="AN5351">
        <v>1.0000000748808799</v>
      </c>
    </row>
    <row r="5352" spans="1:40" x14ac:dyDescent="0.25">
      <c r="A5352" t="str">
        <f>"20190312154944854"</f>
        <v>20190312154944854</v>
      </c>
      <c r="B5352" t="str">
        <f>"1552376984851577"</f>
        <v>1552376984851577</v>
      </c>
      <c r="C5352" t="s">
        <v>40</v>
      </c>
      <c r="D5352">
        <v>4.3589180000000001</v>
      </c>
      <c r="E5352">
        <v>0.3750096</v>
      </c>
      <c r="F5352" t="s">
        <v>65</v>
      </c>
      <c r="G5352">
        <v>-410.77010000000001</v>
      </c>
      <c r="H5352" s="1">
        <v>-1.012596E-5</v>
      </c>
      <c r="I5352">
        <v>25.85521</v>
      </c>
      <c r="J5352">
        <v>-420.09829999999999</v>
      </c>
      <c r="K5352">
        <v>1.114838</v>
      </c>
      <c r="L5352">
        <v>38.063870000000001</v>
      </c>
      <c r="M5352">
        <v>0.32433040000000002</v>
      </c>
      <c r="N5352">
        <v>0</v>
      </c>
      <c r="O5352">
        <v>-0.94583740000000005</v>
      </c>
      <c r="P5352">
        <v>0.323912799999999</v>
      </c>
      <c r="Q5352">
        <v>-2.467453E-2</v>
      </c>
      <c r="R5352">
        <v>-0.94576559999999998</v>
      </c>
      <c r="S5352">
        <v>1.9119569999999999</v>
      </c>
      <c r="T5352">
        <v>-0.22716149999999999</v>
      </c>
      <c r="U5352">
        <v>-2.5164179999999998</v>
      </c>
      <c r="V5352">
        <v>4.9460879999999995E-4</v>
      </c>
      <c r="W5352">
        <v>-1.0471319999999999E-2</v>
      </c>
      <c r="X5352">
        <v>0.99994499999999997</v>
      </c>
      <c r="Y5352">
        <v>-0.31237979999999999</v>
      </c>
      <c r="Z5352">
        <v>7.1557629999999997E-2</v>
      </c>
      <c r="AA5352">
        <v>0.94725839999999994</v>
      </c>
      <c r="AB5352">
        <v>21</v>
      </c>
      <c r="AC5352">
        <v>9.3281999999999794</v>
      </c>
      <c r="AD5352">
        <v>-1.11484812596</v>
      </c>
      <c r="AE5352">
        <v>-12.20866</v>
      </c>
      <c r="AF5352">
        <v>-4.8383369289808904</v>
      </c>
      <c r="AG5352">
        <v>-1.11484812596</v>
      </c>
      <c r="AH5352">
        <v>14.4979623296963</v>
      </c>
      <c r="AI5352">
        <v>94.171892162221198</v>
      </c>
      <c r="AJ5352">
        <v>108.45515903730301</v>
      </c>
      <c r="AK5352">
        <v>15.3245979489052</v>
      </c>
      <c r="AL5352">
        <v>90.599973437777905</v>
      </c>
      <c r="AM5352">
        <v>89.971659446830699</v>
      </c>
      <c r="AN5352">
        <v>0.99999994810270199</v>
      </c>
    </row>
    <row r="5353" spans="1:40" x14ac:dyDescent="0.25">
      <c r="A5353" t="str">
        <f>"20190312154944877"</f>
        <v>20190312154944877</v>
      </c>
      <c r="B5353" t="str">
        <f>"1552376984871097"</f>
        <v>1552376984871097</v>
      </c>
      <c r="C5353" t="s">
        <v>40</v>
      </c>
      <c r="D5353">
        <v>4.3346799999999996</v>
      </c>
      <c r="E5353">
        <v>0.37537300000000001</v>
      </c>
      <c r="F5353" t="s">
        <v>65</v>
      </c>
      <c r="G5353">
        <v>-410.66359999999997</v>
      </c>
      <c r="H5353" s="1">
        <v>-1.0152220000000001E-5</v>
      </c>
      <c r="I5353">
        <v>25.730740000000001</v>
      </c>
      <c r="J5353">
        <v>-420.01979999999998</v>
      </c>
      <c r="K5353">
        <v>1.114881</v>
      </c>
      <c r="L5353">
        <v>37.866729999999997</v>
      </c>
      <c r="M5353">
        <v>0.33270949999999999</v>
      </c>
      <c r="N5353">
        <v>0</v>
      </c>
      <c r="O5353">
        <v>-0.94292260000000006</v>
      </c>
      <c r="P5353">
        <v>0.33084279999999999</v>
      </c>
      <c r="Q5353">
        <v>-2.4652589999999999E-2</v>
      </c>
      <c r="R5353">
        <v>-0.94336419999999999</v>
      </c>
      <c r="S5353">
        <v>1.9192199999999999</v>
      </c>
      <c r="T5353">
        <v>-0.2267835</v>
      </c>
      <c r="U5353">
        <v>-2.5088200000000001</v>
      </c>
      <c r="V5353">
        <v>2.0307849999999998E-3</v>
      </c>
      <c r="W5353">
        <v>-1.042628E-2</v>
      </c>
      <c r="X5353">
        <v>0.99994360000000004</v>
      </c>
      <c r="Y5353">
        <v>-0.30707099999999998</v>
      </c>
      <c r="Z5353">
        <v>7.1295700000000004E-2</v>
      </c>
      <c r="AA5353">
        <v>0.94901230000000003</v>
      </c>
      <c r="AB5353">
        <v>21</v>
      </c>
      <c r="AC5353">
        <v>9.3561999999999994</v>
      </c>
      <c r="AD5353">
        <v>-1.11489115222</v>
      </c>
      <c r="AE5353">
        <v>-12.1359899999999</v>
      </c>
      <c r="AF5353">
        <v>-4.7597003926857502</v>
      </c>
      <c r="AG5353">
        <v>-1.11489115222</v>
      </c>
      <c r="AH5353">
        <v>14.4810089241154</v>
      </c>
      <c r="AI5353">
        <v>94.183184789600602</v>
      </c>
      <c r="AJ5353">
        <v>108.194954226691</v>
      </c>
      <c r="AK5353">
        <v>15.283891833225599</v>
      </c>
      <c r="AL5353">
        <v>90.597392653516806</v>
      </c>
      <c r="AM5353">
        <v>89.883638187566206</v>
      </c>
      <c r="AN5353">
        <v>1.0000000172916499</v>
      </c>
    </row>
    <row r="5354" spans="1:40" x14ac:dyDescent="0.25">
      <c r="A5354" t="str">
        <f>"20190312154944899"</f>
        <v>20190312154944899</v>
      </c>
      <c r="B5354" t="str">
        <f>"1552376984891593"</f>
        <v>1552376984891593</v>
      </c>
      <c r="C5354" t="s">
        <v>40</v>
      </c>
      <c r="D5354">
        <v>4.3533900000000001</v>
      </c>
      <c r="E5354">
        <v>0.37595899999999999</v>
      </c>
      <c r="F5354" t="s">
        <v>65</v>
      </c>
      <c r="G5354">
        <v>-410.45299999999997</v>
      </c>
      <c r="H5354" s="1">
        <v>-1.020881E-5</v>
      </c>
      <c r="I5354">
        <v>25.530550000000002</v>
      </c>
      <c r="J5354">
        <v>-419.94670000000002</v>
      </c>
      <c r="K5354">
        <v>1.114924</v>
      </c>
      <c r="L5354">
        <v>37.68777</v>
      </c>
      <c r="M5354">
        <v>0.34040920000000002</v>
      </c>
      <c r="N5354">
        <v>0</v>
      </c>
      <c r="O5354">
        <v>-0.94017030000000001</v>
      </c>
      <c r="P5354">
        <v>0.3373119</v>
      </c>
      <c r="Q5354">
        <v>-2.514359E-2</v>
      </c>
      <c r="R5354">
        <v>-0.94105749999999999</v>
      </c>
      <c r="S5354">
        <v>1.935303</v>
      </c>
      <c r="T5354">
        <v>-0.2255337</v>
      </c>
      <c r="U5354">
        <v>-2.495514</v>
      </c>
      <c r="V5354">
        <v>3.3448390000000001E-3</v>
      </c>
      <c r="W5354">
        <v>-1.0894930000000001E-2</v>
      </c>
      <c r="X5354">
        <v>0.99993500000000002</v>
      </c>
      <c r="Y5354">
        <v>-0.30557909999999999</v>
      </c>
      <c r="Z5354">
        <v>7.0792149999999998E-2</v>
      </c>
      <c r="AA5354">
        <v>0.94953140000000003</v>
      </c>
      <c r="AB5354">
        <v>21</v>
      </c>
      <c r="AC5354">
        <v>9.4936999999999898</v>
      </c>
      <c r="AD5354">
        <v>-1.11493420881</v>
      </c>
      <c r="AE5354">
        <v>-12.157220000000001</v>
      </c>
      <c r="AF5354">
        <v>-4.7628633400540199</v>
      </c>
      <c r="AG5354">
        <v>-1.11493420881</v>
      </c>
      <c r="AH5354">
        <v>14.5868661104707</v>
      </c>
      <c r="AI5354">
        <v>94.155749624230296</v>
      </c>
      <c r="AJ5354">
        <v>108.082753302124</v>
      </c>
      <c r="AK5354">
        <v>15.3852074542661</v>
      </c>
      <c r="AL5354">
        <v>90.624245890930396</v>
      </c>
      <c r="AM5354">
        <v>89.808343099244098</v>
      </c>
      <c r="AN5354">
        <v>0.99999994583631902</v>
      </c>
    </row>
    <row r="5355" spans="1:40" x14ac:dyDescent="0.25">
      <c r="A5355" t="str">
        <f>"20190312154944912"</f>
        <v>20190312154944912</v>
      </c>
      <c r="B5355" t="str">
        <f>"1552376984901353"</f>
        <v>1552376984901353</v>
      </c>
      <c r="C5355" t="s">
        <v>40</v>
      </c>
      <c r="D5355">
        <v>4.3697800000000004</v>
      </c>
      <c r="E5355">
        <v>0.37631009999999998</v>
      </c>
      <c r="F5355" t="s">
        <v>65</v>
      </c>
      <c r="G5355">
        <v>-410.34809999999999</v>
      </c>
      <c r="H5355" s="1">
        <v>-1.0238899999999999E-5</v>
      </c>
      <c r="I5355">
        <v>25.450009999999999</v>
      </c>
      <c r="J5355">
        <v>-419.9008</v>
      </c>
      <c r="K5355">
        <v>1.1149549999999999</v>
      </c>
      <c r="L5355">
        <v>37.577820000000003</v>
      </c>
      <c r="M5355">
        <v>0.34518729999999997</v>
      </c>
      <c r="N5355">
        <v>0</v>
      </c>
      <c r="O5355">
        <v>-0.93842639999999999</v>
      </c>
      <c r="P5355">
        <v>0.34166410000000003</v>
      </c>
      <c r="Q5355">
        <v>-2.5584200000000001E-2</v>
      </c>
      <c r="R5355">
        <v>-0.93947409999999998</v>
      </c>
      <c r="S5355">
        <v>1.9479979999999999</v>
      </c>
      <c r="T5355">
        <v>-0.226272</v>
      </c>
      <c r="U5355">
        <v>-2.4836119999999999</v>
      </c>
      <c r="V5355">
        <v>3.8048859999999999E-3</v>
      </c>
      <c r="W5355">
        <v>-1.1325190000000001E-2</v>
      </c>
      <c r="X5355">
        <v>0.9999287</v>
      </c>
      <c r="Y5355">
        <v>-0.3059383</v>
      </c>
      <c r="Z5355">
        <v>7.0992070000000004E-2</v>
      </c>
      <c r="AA5355">
        <v>0.94940080000000004</v>
      </c>
      <c r="AB5355">
        <v>21</v>
      </c>
      <c r="AC5355">
        <v>9.5527000000000104</v>
      </c>
      <c r="AD5355">
        <v>-1.1149652389</v>
      </c>
      <c r="AE5355">
        <v>-12.12781</v>
      </c>
      <c r="AF5355">
        <v>-4.7538261356409404</v>
      </c>
      <c r="AG5355">
        <v>-1.1149652389</v>
      </c>
      <c r="AH5355">
        <v>14.603835550977299</v>
      </c>
      <c r="AI5355">
        <v>94.152269758522706</v>
      </c>
      <c r="AJ5355">
        <v>108.03105383454</v>
      </c>
      <c r="AK5355">
        <v>15.3985071747831</v>
      </c>
      <c r="AL5355">
        <v>90.648899414858704</v>
      </c>
      <c r="AM5355">
        <v>89.781981598125995</v>
      </c>
      <c r="AN5355">
        <v>1.00000007108484</v>
      </c>
    </row>
    <row r="5356" spans="1:40" x14ac:dyDescent="0.25">
      <c r="A5356" t="str">
        <f>"20190312154944925"</f>
        <v>20190312154944925</v>
      </c>
      <c r="B5356" t="str">
        <f>"1552376984920873"</f>
        <v>1552376984920873</v>
      </c>
      <c r="C5356" t="s">
        <v>40</v>
      </c>
      <c r="D5356">
        <v>4.354724</v>
      </c>
      <c r="E5356">
        <v>0.37673289999999998</v>
      </c>
      <c r="F5356" t="s">
        <v>65</v>
      </c>
      <c r="G5356">
        <v>-410.31389999999999</v>
      </c>
      <c r="H5356" s="1">
        <v>-1.025131E-5</v>
      </c>
      <c r="I5356">
        <v>25.44979</v>
      </c>
      <c r="J5356">
        <v>-419.85169999999999</v>
      </c>
      <c r="K5356">
        <v>1.1149849999999999</v>
      </c>
      <c r="L5356">
        <v>37.461489999999998</v>
      </c>
      <c r="M5356">
        <v>0.35027170000000002</v>
      </c>
      <c r="N5356">
        <v>0</v>
      </c>
      <c r="O5356">
        <v>-0.93654020000000004</v>
      </c>
      <c r="P5356">
        <v>0.34612799999999999</v>
      </c>
      <c r="Q5356">
        <v>-2.617158E-2</v>
      </c>
      <c r="R5356">
        <v>-0.93782239999999994</v>
      </c>
      <c r="S5356">
        <v>1.9567870000000001</v>
      </c>
      <c r="T5356">
        <v>-0.22757669999999999</v>
      </c>
      <c r="U5356">
        <v>-2.4754640000000001</v>
      </c>
      <c r="V5356">
        <v>4.4747490000000001E-3</v>
      </c>
      <c r="W5356">
        <v>-1.1899180000000001E-2</v>
      </c>
      <c r="X5356">
        <v>0.99991920000000001</v>
      </c>
      <c r="Y5356">
        <v>-0.30435269999999998</v>
      </c>
      <c r="Z5356">
        <v>7.1321739999999995E-2</v>
      </c>
      <c r="AA5356">
        <v>0.9498856</v>
      </c>
      <c r="AB5356">
        <v>21</v>
      </c>
      <c r="AC5356">
        <v>9.5378000000000007</v>
      </c>
      <c r="AD5356">
        <v>-1.1149952513099901</v>
      </c>
      <c r="AE5356">
        <v>-12.011699999999999</v>
      </c>
      <c r="AF5356">
        <v>-4.7008102176272004</v>
      </c>
      <c r="AG5356">
        <v>-1.1149952513099901</v>
      </c>
      <c r="AH5356">
        <v>14.5150298676625</v>
      </c>
      <c r="AI5356">
        <v>94.179727849459894</v>
      </c>
      <c r="AJ5356">
        <v>107.944966929583</v>
      </c>
      <c r="AK5356">
        <v>15.297938526864501</v>
      </c>
      <c r="AL5356">
        <v>90.681788876496498</v>
      </c>
      <c r="AM5356">
        <v>89.743596762020104</v>
      </c>
      <c r="AN5356">
        <v>1.0000000101959601</v>
      </c>
    </row>
    <row r="5357" spans="1:40" x14ac:dyDescent="0.25">
      <c r="A5357" t="str">
        <f>"20190312154944938"</f>
        <v>20190312154944938</v>
      </c>
      <c r="B5357" t="str">
        <f>"1552376984931609"</f>
        <v>1552376984931609</v>
      </c>
      <c r="C5357" t="s">
        <v>40</v>
      </c>
      <c r="D5357">
        <v>4.4164709999999996</v>
      </c>
      <c r="E5357">
        <v>0.38304310000000003</v>
      </c>
      <c r="F5357" t="s">
        <v>65</v>
      </c>
      <c r="G5357">
        <v>-410.29939999999999</v>
      </c>
      <c r="H5357" s="1">
        <v>-1.02587899999999E-5</v>
      </c>
      <c r="I5357">
        <v>25.471900000000002</v>
      </c>
      <c r="J5357">
        <v>-419.80450000000002</v>
      </c>
      <c r="K5357">
        <v>1.1150169999999999</v>
      </c>
      <c r="L5357">
        <v>37.352260000000001</v>
      </c>
      <c r="M5357">
        <v>0.35510449999999999</v>
      </c>
      <c r="N5357">
        <v>0</v>
      </c>
      <c r="O5357">
        <v>-0.93471850000000001</v>
      </c>
      <c r="P5357">
        <v>0.35040149999999998</v>
      </c>
      <c r="Q5357">
        <v>-2.6225209999999999E-2</v>
      </c>
      <c r="R5357">
        <v>-0.93623259999999997</v>
      </c>
      <c r="S5357">
        <v>1.965546</v>
      </c>
      <c r="T5357">
        <v>-0.2294302</v>
      </c>
      <c r="U5357">
        <v>-2.4670719999999999</v>
      </c>
      <c r="V5357">
        <v>5.0801090000000002E-3</v>
      </c>
      <c r="W5357">
        <v>-1.193994E-2</v>
      </c>
      <c r="X5357">
        <v>0.99991580000000002</v>
      </c>
      <c r="Y5357">
        <v>-0.30304409999999998</v>
      </c>
      <c r="Z5357">
        <v>7.1830190000000002E-2</v>
      </c>
      <c r="AA5357">
        <v>0.95026560000000004</v>
      </c>
      <c r="AB5357">
        <v>21</v>
      </c>
      <c r="AC5357">
        <v>9.5051000000000201</v>
      </c>
      <c r="AD5357">
        <v>-1.1150272587900001</v>
      </c>
      <c r="AE5357">
        <v>-11.88036</v>
      </c>
      <c r="AF5357">
        <v>-4.6413672618446098</v>
      </c>
      <c r="AG5357">
        <v>-1.1150272587900001</v>
      </c>
      <c r="AH5357">
        <v>14.4041975800711</v>
      </c>
      <c r="AI5357">
        <v>94.213901165700705</v>
      </c>
      <c r="AJ5357">
        <v>107.860147072871</v>
      </c>
      <c r="AK5357">
        <v>15.174534054556499</v>
      </c>
      <c r="AL5357">
        <v>90.684124433287906</v>
      </c>
      <c r="AM5357">
        <v>89.708909189290296</v>
      </c>
      <c r="AN5357">
        <v>0.99999998838214699</v>
      </c>
    </row>
    <row r="5358" spans="1:40" x14ac:dyDescent="0.25">
      <c r="A5358" t="str">
        <f>"20190312154944952"</f>
        <v>20190312154944952</v>
      </c>
      <c r="B5358" t="str">
        <f>"1552376984941369"</f>
        <v>1552376984941369</v>
      </c>
      <c r="C5358" t="s">
        <v>40</v>
      </c>
      <c r="D5358">
        <v>4.3816870000000003</v>
      </c>
      <c r="E5358">
        <v>0.38352340000000001</v>
      </c>
      <c r="F5358" t="s">
        <v>65</v>
      </c>
      <c r="G5358">
        <v>-411.11509999999998</v>
      </c>
      <c r="H5358" s="1">
        <v>-1.0035840000000001E-5</v>
      </c>
      <c r="I5358">
        <v>26.20898</v>
      </c>
      <c r="J5358">
        <v>-419.75819999999999</v>
      </c>
      <c r="K5358">
        <v>1.115048</v>
      </c>
      <c r="L5358">
        <v>37.246429999999997</v>
      </c>
      <c r="M5358">
        <v>0.35981289999999999</v>
      </c>
      <c r="N5358">
        <v>0</v>
      </c>
      <c r="O5358">
        <v>-0.93291599999999997</v>
      </c>
      <c r="P5358">
        <v>0.3547785</v>
      </c>
      <c r="Q5358">
        <v>-2.6902329999999999E-2</v>
      </c>
      <c r="R5358">
        <v>-0.93456360000000005</v>
      </c>
      <c r="S5358">
        <v>1.930023</v>
      </c>
      <c r="T5358">
        <v>-0.24766189999999999</v>
      </c>
      <c r="U5358">
        <v>-2.4750670000000001</v>
      </c>
      <c r="V5358">
        <v>5.4450180000000003E-3</v>
      </c>
      <c r="W5358">
        <v>-1.2607470000000001E-2</v>
      </c>
      <c r="X5358">
        <v>0.99990570000000001</v>
      </c>
      <c r="Y5358">
        <v>-0.28800009999999998</v>
      </c>
      <c r="Z5358">
        <v>7.7581140000000007E-2</v>
      </c>
      <c r="AA5358">
        <v>0.95448259999999996</v>
      </c>
      <c r="AB5358">
        <v>21</v>
      </c>
      <c r="AC5358">
        <v>8.6431000000000004</v>
      </c>
      <c r="AD5358">
        <v>-1.11505803584</v>
      </c>
      <c r="AE5358">
        <v>-11.0374499999999</v>
      </c>
      <c r="AF5358">
        <v>-4.0665561559151504</v>
      </c>
      <c r="AG5358">
        <v>-1.11505803584</v>
      </c>
      <c r="AH5358">
        <v>13.3239743831335</v>
      </c>
      <c r="AI5358">
        <v>94.576372588514104</v>
      </c>
      <c r="AJ5358">
        <v>106.972500646659</v>
      </c>
      <c r="AK5358">
        <v>13.9752827075126</v>
      </c>
      <c r="AL5358">
        <v>90.7223739569298</v>
      </c>
      <c r="AM5358">
        <v>89.687997111064703</v>
      </c>
      <c r="AN5358">
        <v>1.00000000270665</v>
      </c>
    </row>
    <row r="5359" spans="1:40" x14ac:dyDescent="0.25">
      <c r="A5359" t="str">
        <f>"20190312154944967"</f>
        <v>20190312154944967</v>
      </c>
      <c r="B5359" t="str">
        <f>"1552376984960889"</f>
        <v>1552376984960889</v>
      </c>
      <c r="C5359" t="s">
        <v>40</v>
      </c>
      <c r="D5359">
        <v>4.338851</v>
      </c>
      <c r="E5359">
        <v>0.38433349999999999</v>
      </c>
      <c r="F5359" t="s">
        <v>65</v>
      </c>
      <c r="G5359">
        <v>-410.96769999999998</v>
      </c>
      <c r="H5359" s="1">
        <v>-1.00739E-5</v>
      </c>
      <c r="I5359">
        <v>26.053550000000001</v>
      </c>
      <c r="J5359">
        <v>-419.7</v>
      </c>
      <c r="K5359">
        <v>1.115083</v>
      </c>
      <c r="L5359">
        <v>37.115049999999997</v>
      </c>
      <c r="M5359">
        <v>0.36569960000000001</v>
      </c>
      <c r="N5359">
        <v>0</v>
      </c>
      <c r="O5359">
        <v>-0.93062409999999995</v>
      </c>
      <c r="P5359">
        <v>0.3598382</v>
      </c>
      <c r="Q5359">
        <v>-2.7249519999999999E-2</v>
      </c>
      <c r="R5359">
        <v>-0.93261680000000002</v>
      </c>
      <c r="S5359">
        <v>1.937775</v>
      </c>
      <c r="T5359">
        <v>-0.2458023</v>
      </c>
      <c r="U5359">
        <v>-2.467346</v>
      </c>
      <c r="V5359">
        <v>6.3444959999999998E-3</v>
      </c>
      <c r="W5359">
        <v>-1.2936990000000001E-2</v>
      </c>
      <c r="X5359">
        <v>0.99989620000000001</v>
      </c>
      <c r="Y5359">
        <v>-0.28528740000000002</v>
      </c>
      <c r="Z5359">
        <v>7.6881420000000006E-2</v>
      </c>
      <c r="AA5359">
        <v>0.95535360000000003</v>
      </c>
      <c r="AB5359">
        <v>21</v>
      </c>
      <c r="AC5359">
        <v>8.7323000000000093</v>
      </c>
      <c r="AD5359">
        <v>-1.1150930739</v>
      </c>
      <c r="AE5359">
        <v>-11.061499999999899</v>
      </c>
      <c r="AF5359">
        <v>-4.0563208511227504</v>
      </c>
      <c r="AG5359">
        <v>-1.1150930739</v>
      </c>
      <c r="AH5359">
        <v>13.4049394749493</v>
      </c>
      <c r="AI5359">
        <v>94.552276864903007</v>
      </c>
      <c r="AJ5359">
        <v>106.835760907877</v>
      </c>
      <c r="AK5359">
        <v>14.049539983137</v>
      </c>
      <c r="AL5359">
        <v>90.741255593587496</v>
      </c>
      <c r="AM5359">
        <v>89.636454298362693</v>
      </c>
      <c r="AN5359">
        <v>1.00000001455709</v>
      </c>
    </row>
    <row r="5360" spans="1:40" x14ac:dyDescent="0.25">
      <c r="A5360" t="str">
        <f>"20190312154944991"</f>
        <v>20190312154944991</v>
      </c>
      <c r="B5360" t="str">
        <f>"1552376984981385"</f>
        <v>1552376984981385</v>
      </c>
      <c r="C5360" t="s">
        <v>40</v>
      </c>
      <c r="D5360">
        <v>4.3776250000000001</v>
      </c>
      <c r="E5360">
        <v>0.38500319999999999</v>
      </c>
      <c r="F5360" t="s">
        <v>65</v>
      </c>
      <c r="G5360">
        <v>-410.62360000000001</v>
      </c>
      <c r="H5360" s="1">
        <v>-1.015783E-5</v>
      </c>
      <c r="I5360">
        <v>25.64133</v>
      </c>
      <c r="J5360">
        <v>-419.61369999999999</v>
      </c>
      <c r="K5360">
        <v>1.1151249999999999</v>
      </c>
      <c r="L5360">
        <v>36.925260000000002</v>
      </c>
      <c r="M5360">
        <v>0.37430819999999998</v>
      </c>
      <c r="N5360">
        <v>0</v>
      </c>
      <c r="O5360">
        <v>-0.92719499999999999</v>
      </c>
      <c r="P5360">
        <v>0.36778060000000001</v>
      </c>
      <c r="Q5360">
        <v>-2.82017E-2</v>
      </c>
      <c r="R5360">
        <v>-0.92948509999999995</v>
      </c>
      <c r="S5360">
        <v>1.9453739999999999</v>
      </c>
      <c r="T5360">
        <v>-0.2390014</v>
      </c>
      <c r="U5360">
        <v>-2.4591980000000002</v>
      </c>
      <c r="V5360">
        <v>7.0836400000000004E-3</v>
      </c>
      <c r="W5360">
        <v>-1.3870179999999999E-2</v>
      </c>
      <c r="X5360">
        <v>0.99987870000000001</v>
      </c>
      <c r="Y5360">
        <v>-0.27986919999999998</v>
      </c>
      <c r="Z5360">
        <v>7.4558979999999997E-2</v>
      </c>
      <c r="AA5360">
        <v>0.9571385</v>
      </c>
      <c r="AB5360">
        <v>21</v>
      </c>
      <c r="AC5360">
        <v>8.9900999999999804</v>
      </c>
      <c r="AD5360">
        <v>-1.1151351578299999</v>
      </c>
      <c r="AE5360">
        <v>-11.2839299999999</v>
      </c>
      <c r="AF5360">
        <v>-4.0879032532019002</v>
      </c>
      <c r="AG5360">
        <v>-1.1151351578299999</v>
      </c>
      <c r="AH5360">
        <v>13.746747959733</v>
      </c>
      <c r="AI5360">
        <v>94.446076343630097</v>
      </c>
      <c r="AJ5360">
        <v>106.561024230219</v>
      </c>
      <c r="AK5360">
        <v>14.3849768472594</v>
      </c>
      <c r="AL5360">
        <v>90.794728268472198</v>
      </c>
      <c r="AM5360">
        <v>89.594094878014403</v>
      </c>
      <c r="AN5360">
        <v>0.99999998728128603</v>
      </c>
    </row>
    <row r="5361" spans="1:40" x14ac:dyDescent="0.25">
      <c r="A5361" t="str">
        <f>"20190312154945012"</f>
        <v>20190312154945012</v>
      </c>
      <c r="B5361" t="str">
        <f>"1552376985000905"</f>
        <v>1552376985000905</v>
      </c>
      <c r="C5361" t="s">
        <v>40</v>
      </c>
      <c r="D5361">
        <v>4.3337680000000001</v>
      </c>
      <c r="E5361">
        <v>0.38564490000000001</v>
      </c>
      <c r="F5361" t="s">
        <v>65</v>
      </c>
      <c r="G5361">
        <v>-410.5258</v>
      </c>
      <c r="H5361" s="1">
        <v>-1.018917E-5</v>
      </c>
      <c r="I5361">
        <v>25.598880000000001</v>
      </c>
      <c r="J5361">
        <v>-419.53100000000001</v>
      </c>
      <c r="K5361">
        <v>1.115157</v>
      </c>
      <c r="L5361">
        <v>36.747709999999998</v>
      </c>
      <c r="M5361">
        <v>0.38244250000000002</v>
      </c>
      <c r="N5361">
        <v>0</v>
      </c>
      <c r="O5361">
        <v>-0.9238693</v>
      </c>
      <c r="P5361">
        <v>0.37527480000000002</v>
      </c>
      <c r="Q5361">
        <v>-2.854046E-2</v>
      </c>
      <c r="R5361">
        <v>-0.92647420000000003</v>
      </c>
      <c r="S5361">
        <v>1.961212</v>
      </c>
      <c r="T5361">
        <v>-0.24065020000000001</v>
      </c>
      <c r="U5361">
        <v>-2.4442750000000002</v>
      </c>
      <c r="V5361">
        <v>7.7975519999999897E-3</v>
      </c>
      <c r="W5361">
        <v>-1.419103E-2</v>
      </c>
      <c r="X5361">
        <v>0.99986889999999995</v>
      </c>
      <c r="Y5361">
        <v>-0.27803309999999998</v>
      </c>
      <c r="Z5361">
        <v>7.4920009999999995E-2</v>
      </c>
      <c r="AA5361">
        <v>0.95764530000000003</v>
      </c>
      <c r="AB5361">
        <v>21</v>
      </c>
      <c r="AC5361">
        <v>9.0052000000000003</v>
      </c>
      <c r="AD5361">
        <v>-1.1151671891699999</v>
      </c>
      <c r="AE5361">
        <v>-11.14883</v>
      </c>
      <c r="AF5361">
        <v>-4.0318416033225004</v>
      </c>
      <c r="AG5361">
        <v>-1.1151671891699999</v>
      </c>
      <c r="AH5361">
        <v>13.662704828491099</v>
      </c>
      <c r="AI5361">
        <v>94.476202728362594</v>
      </c>
      <c r="AJ5361">
        <v>106.441242810837</v>
      </c>
      <c r="AK5361">
        <v>14.2887664899584</v>
      </c>
      <c r="AL5361">
        <v>90.813113417256901</v>
      </c>
      <c r="AM5361">
        <v>89.553183659032797</v>
      </c>
      <c r="AN5361">
        <v>1.0000000021684301</v>
      </c>
    </row>
    <row r="5362" spans="1:40" x14ac:dyDescent="0.25">
      <c r="A5362" t="str">
        <f>"20190312154945034"</f>
        <v>20190312154945034</v>
      </c>
      <c r="B5362" t="str">
        <f>"1552376985031161"</f>
        <v>1552376985031161</v>
      </c>
      <c r="C5362" t="s">
        <v>40</v>
      </c>
      <c r="D5362">
        <v>4.3627580000000004</v>
      </c>
      <c r="E5362">
        <v>0.3864052</v>
      </c>
      <c r="F5362" t="s">
        <v>65</v>
      </c>
      <c r="G5362">
        <v>-410.30329999999998</v>
      </c>
      <c r="H5362" s="1">
        <v>-1.024998E-5</v>
      </c>
      <c r="I5362">
        <v>25.397929999999999</v>
      </c>
      <c r="J5362">
        <v>-419.44439999999997</v>
      </c>
      <c r="K5362">
        <v>1.115183</v>
      </c>
      <c r="L5362">
        <v>36.566279999999999</v>
      </c>
      <c r="M5362">
        <v>0.39082329999999998</v>
      </c>
      <c r="N5362">
        <v>0</v>
      </c>
      <c r="O5362">
        <v>-0.92035520000000004</v>
      </c>
      <c r="P5362">
        <v>0.38350780000000001</v>
      </c>
      <c r="Q5362">
        <v>-2.814322E-2</v>
      </c>
      <c r="R5362">
        <v>-0.92310890000000001</v>
      </c>
      <c r="S5362">
        <v>1.9759519999999999</v>
      </c>
      <c r="T5362">
        <v>-0.23879349999999999</v>
      </c>
      <c r="U5362">
        <v>-2.4303590000000002</v>
      </c>
      <c r="V5362">
        <v>7.9839850000000007E-3</v>
      </c>
      <c r="W5362">
        <v>-1.378305E-2</v>
      </c>
      <c r="X5362">
        <v>0.99987320000000002</v>
      </c>
      <c r="Y5362">
        <v>-0.27551569999999997</v>
      </c>
      <c r="Z5362">
        <v>7.416615E-2</v>
      </c>
      <c r="AA5362">
        <v>0.95843120000000004</v>
      </c>
      <c r="AB5362">
        <v>21</v>
      </c>
      <c r="AC5362">
        <v>9.1410999999999891</v>
      </c>
      <c r="AD5362">
        <v>-1.1151932499799999</v>
      </c>
      <c r="AE5362">
        <v>-11.16835</v>
      </c>
      <c r="AF5362">
        <v>-4.0245896110147896</v>
      </c>
      <c r="AG5362">
        <v>-1.1151932499799999</v>
      </c>
      <c r="AH5362">
        <v>13.7705925085759</v>
      </c>
      <c r="AI5362">
        <v>94.444773699843694</v>
      </c>
      <c r="AJ5362">
        <v>106.291515562006</v>
      </c>
      <c r="AK5362">
        <v>14.3899338274759</v>
      </c>
      <c r="AL5362">
        <v>90.789735547486103</v>
      </c>
      <c r="AM5362">
        <v>89.542503067157895</v>
      </c>
      <c r="AN5362">
        <v>1.000000066281</v>
      </c>
    </row>
    <row r="5363" spans="1:40" x14ac:dyDescent="0.25">
      <c r="A5363" t="str">
        <f>"20190312154945046"</f>
        <v>20190312154945046</v>
      </c>
      <c r="B5363" t="str">
        <f>"1552376985040921"</f>
        <v>1552376985040921</v>
      </c>
      <c r="C5363" t="s">
        <v>40</v>
      </c>
      <c r="D5363">
        <v>4.4206379999999896</v>
      </c>
      <c r="E5363">
        <v>0.38605929999999999</v>
      </c>
      <c r="F5363" t="s">
        <v>65</v>
      </c>
      <c r="G5363">
        <v>-410.06569999999999</v>
      </c>
      <c r="H5363" s="1">
        <v>-1.0315879999999999E-5</v>
      </c>
      <c r="I5363">
        <v>25.193000000000001</v>
      </c>
      <c r="J5363">
        <v>-419.39229999999998</v>
      </c>
      <c r="K5363">
        <v>1.1151930000000001</v>
      </c>
      <c r="L5363">
        <v>36.458950000000002</v>
      </c>
      <c r="M5363">
        <v>0.39580169999999998</v>
      </c>
      <c r="N5363">
        <v>0</v>
      </c>
      <c r="O5363">
        <v>-0.91822519999999996</v>
      </c>
      <c r="P5363">
        <v>0.38891029999999999</v>
      </c>
      <c r="Q5363">
        <v>-2.7779600000000002E-2</v>
      </c>
      <c r="R5363">
        <v>-0.92085669999999997</v>
      </c>
      <c r="S5363">
        <v>1.9916689999999999</v>
      </c>
      <c r="T5363">
        <v>-0.23682449999999999</v>
      </c>
      <c r="U5363">
        <v>-2.4152529999999999</v>
      </c>
      <c r="V5363">
        <v>7.5400889999999998E-3</v>
      </c>
      <c r="W5363">
        <v>-1.3420649999999999E-2</v>
      </c>
      <c r="X5363">
        <v>0.99988149999999998</v>
      </c>
      <c r="Y5363">
        <v>-0.27699279999999998</v>
      </c>
      <c r="Z5363">
        <v>7.3514159999999995E-2</v>
      </c>
      <c r="AA5363">
        <v>0.95805569999999896</v>
      </c>
      <c r="AB5363">
        <v>21</v>
      </c>
      <c r="AC5363">
        <v>9.3265999999999796</v>
      </c>
      <c r="AD5363">
        <v>-1.1152033158800001</v>
      </c>
      <c r="AE5363">
        <v>-11.26595</v>
      </c>
      <c r="AF5363">
        <v>-4.0815242986538101</v>
      </c>
      <c r="AG5363">
        <v>-1.1152033158800001</v>
      </c>
      <c r="AH5363">
        <v>13.956447440980799</v>
      </c>
      <c r="AI5363">
        <v>94.385634941503795</v>
      </c>
      <c r="AJ5363">
        <v>106.301412394322</v>
      </c>
      <c r="AK5363">
        <v>14.583721891516999</v>
      </c>
      <c r="AL5363">
        <v>90.7689696955524</v>
      </c>
      <c r="AM5363">
        <v>89.567941713014406</v>
      </c>
      <c r="AN5363">
        <v>0.9999999904154</v>
      </c>
    </row>
    <row r="5364" spans="1:40" x14ac:dyDescent="0.25">
      <c r="A5364" t="str">
        <f>"20190312154945060"</f>
        <v>20190312154945060</v>
      </c>
      <c r="B5364" t="str">
        <f>"1552376985051657"</f>
        <v>1552376985051657</v>
      </c>
      <c r="C5364" t="s">
        <v>40</v>
      </c>
      <c r="D5364">
        <v>4.3709280000000001</v>
      </c>
      <c r="E5364">
        <v>0.38605929999999999</v>
      </c>
      <c r="F5364" t="s">
        <v>65</v>
      </c>
      <c r="G5364">
        <v>-409.92540000000002</v>
      </c>
      <c r="H5364" s="1">
        <v>-2.1190559999999998E-6</v>
      </c>
      <c r="I5364">
        <v>25.133050000000001</v>
      </c>
      <c r="J5364">
        <v>-419.33929999999998</v>
      </c>
      <c r="K5364">
        <v>1.1151899999999999</v>
      </c>
      <c r="L5364">
        <v>36.351649999999999</v>
      </c>
      <c r="M5364">
        <v>0.40080349999999998</v>
      </c>
      <c r="N5364">
        <v>0</v>
      </c>
      <c r="O5364">
        <v>-0.91605309999999995</v>
      </c>
      <c r="P5364">
        <v>0.39417029999999997</v>
      </c>
      <c r="Q5364">
        <v>-2.7785489999999999E-2</v>
      </c>
      <c r="R5364">
        <v>-0.91861749999999998</v>
      </c>
      <c r="S5364">
        <v>2.0082089999999999</v>
      </c>
      <c r="T5364">
        <v>-0.23656559999999999</v>
      </c>
      <c r="U5364">
        <v>-2.4025569999999998</v>
      </c>
      <c r="V5364">
        <v>7.2749519999999899E-3</v>
      </c>
      <c r="W5364">
        <v>-1.3426449999999999E-2</v>
      </c>
      <c r="X5364">
        <v>0.99988339999999998</v>
      </c>
      <c r="Y5364">
        <v>-0.27813690000000002</v>
      </c>
      <c r="Z5364">
        <v>7.3324020000000004E-2</v>
      </c>
      <c r="AA5364">
        <v>0.95773869999999905</v>
      </c>
      <c r="AB5364">
        <v>21</v>
      </c>
      <c r="AC5364">
        <v>9.4138999999999502</v>
      </c>
      <c r="AD5364">
        <v>-1.1151921190559999</v>
      </c>
      <c r="AE5364">
        <v>-11.2186</v>
      </c>
      <c r="AF5364">
        <v>-4.1038017751948503</v>
      </c>
      <c r="AG5364">
        <v>-1.1151921190559999</v>
      </c>
      <c r="AH5364">
        <v>13.9703783467523</v>
      </c>
      <c r="AI5364">
        <v>94.379700325022498</v>
      </c>
      <c r="AJ5364">
        <v>106.37016273928501</v>
      </c>
      <c r="AK5364">
        <v>14.603298039275399</v>
      </c>
      <c r="AL5364">
        <v>90.769302030538299</v>
      </c>
      <c r="AM5364">
        <v>89.583134702688199</v>
      </c>
      <c r="AN5364">
        <v>1.0000000040408801</v>
      </c>
    </row>
    <row r="5365" spans="1:40" x14ac:dyDescent="0.25">
      <c r="A5365" t="str">
        <f>"20190312154945076"</f>
        <v>20190312154945076</v>
      </c>
      <c r="B5365" t="str">
        <f>"1552376985071177"</f>
        <v>1552376985071177</v>
      </c>
      <c r="C5365" t="s">
        <v>40</v>
      </c>
      <c r="D5365">
        <v>4.3730900000000004</v>
      </c>
      <c r="E5365">
        <v>0.3739924</v>
      </c>
      <c r="F5365" t="s">
        <v>65</v>
      </c>
      <c r="G5365">
        <v>-409.82369999999997</v>
      </c>
      <c r="H5365" s="1">
        <v>-2.1719969999999998E-6</v>
      </c>
      <c r="I5365">
        <v>25.100370000000002</v>
      </c>
      <c r="J5365">
        <v>-419.27699999999999</v>
      </c>
      <c r="K5365">
        <v>1.1151869999999999</v>
      </c>
      <c r="L5365">
        <v>36.227290000000004</v>
      </c>
      <c r="M5365">
        <v>0.40661419999999998</v>
      </c>
      <c r="N5365">
        <v>0</v>
      </c>
      <c r="O5365">
        <v>-0.91348839999999998</v>
      </c>
      <c r="P5365">
        <v>0.40049879999999999</v>
      </c>
      <c r="Q5365">
        <v>-2.77431E-2</v>
      </c>
      <c r="R5365">
        <v>-0.91587730000000001</v>
      </c>
      <c r="S5365">
        <v>2.0220950000000002</v>
      </c>
      <c r="T5365">
        <v>-0.23698150000000001</v>
      </c>
      <c r="U5365">
        <v>-2.39093</v>
      </c>
      <c r="V5365">
        <v>6.7278040000000004E-3</v>
      </c>
      <c r="W5365">
        <v>-1.3387799999999899E-2</v>
      </c>
      <c r="X5365">
        <v>0.99988779999999999</v>
      </c>
      <c r="Y5365">
        <v>-0.27757379999999998</v>
      </c>
      <c r="Z5365">
        <v>7.3311429999999997E-2</v>
      </c>
      <c r="AA5365">
        <v>0.95790299999999995</v>
      </c>
      <c r="AB5365">
        <v>21</v>
      </c>
      <c r="AC5365">
        <v>9.4533000000000094</v>
      </c>
      <c r="AD5365">
        <v>-1.115189171997</v>
      </c>
      <c r="AE5365">
        <v>-11.12692</v>
      </c>
      <c r="AF5365">
        <v>-4.0876878162733199</v>
      </c>
      <c r="AG5365">
        <v>-1.115189171997</v>
      </c>
      <c r="AH5365">
        <v>13.928328766825</v>
      </c>
      <c r="AI5365">
        <v>94.3931788554506</v>
      </c>
      <c r="AJ5365">
        <v>106.355916001406</v>
      </c>
      <c r="AK5365">
        <v>14.558543224149</v>
      </c>
      <c r="AL5365">
        <v>90.767087310857903</v>
      </c>
      <c r="AM5365">
        <v>89.614487788045295</v>
      </c>
      <c r="AN5365">
        <v>1.0000000545621599</v>
      </c>
    </row>
    <row r="5366" spans="1:40" x14ac:dyDescent="0.25">
      <c r="A5366" t="str">
        <f>"20190312154945088"</f>
        <v>20190312154945088</v>
      </c>
      <c r="B5366" t="str">
        <f>"1552376985080937"</f>
        <v>1552376985080937</v>
      </c>
      <c r="C5366" t="s">
        <v>40</v>
      </c>
      <c r="D5366">
        <v>4.3410929999999999</v>
      </c>
      <c r="E5366">
        <v>0.37439529999999999</v>
      </c>
      <c r="F5366" t="s">
        <v>65</v>
      </c>
      <c r="G5366">
        <v>-409.82889999999998</v>
      </c>
      <c r="H5366" s="1">
        <v>-2.334366E-6</v>
      </c>
      <c r="I5366">
        <v>25.844380000000001</v>
      </c>
      <c r="J5366">
        <v>-419.22199999999998</v>
      </c>
      <c r="K5366">
        <v>1.115184</v>
      </c>
      <c r="L5366">
        <v>36.119050000000001</v>
      </c>
      <c r="M5366">
        <v>0.41167700000000002</v>
      </c>
      <c r="N5366">
        <v>0</v>
      </c>
      <c r="O5366">
        <v>-0.91121799999999997</v>
      </c>
      <c r="P5366">
        <v>0.40667809999999999</v>
      </c>
      <c r="Q5366">
        <v>-2.8498809999999999E-2</v>
      </c>
      <c r="R5366">
        <v>-0.91312720000000003</v>
      </c>
      <c r="S5366">
        <v>2.1272579999999999</v>
      </c>
      <c r="T5366">
        <v>-0.25108750000000002</v>
      </c>
      <c r="U5366">
        <v>-2.3377379999999999</v>
      </c>
      <c r="V5366">
        <v>5.5204369999999996E-3</v>
      </c>
      <c r="W5366">
        <v>-1.4156800000000001E-2</v>
      </c>
      <c r="X5366">
        <v>0.99988449999999995</v>
      </c>
      <c r="Y5366">
        <v>-0.30664380000000002</v>
      </c>
      <c r="Z5366">
        <v>7.7319059999999995E-2</v>
      </c>
      <c r="AA5366">
        <v>0.94867869999999999</v>
      </c>
      <c r="AB5366">
        <v>21</v>
      </c>
      <c r="AC5366">
        <v>9.3931000000000004</v>
      </c>
      <c r="AD5366">
        <v>-1.115186334366</v>
      </c>
      <c r="AE5366">
        <v>-10.27467</v>
      </c>
      <c r="AF5366">
        <v>-4.3021501163291598</v>
      </c>
      <c r="AG5366">
        <v>-1.115186334366</v>
      </c>
      <c r="AH5366">
        <v>13.1463733850716</v>
      </c>
      <c r="AI5366">
        <v>94.609288020125405</v>
      </c>
      <c r="AJ5366">
        <v>108.12068178326</v>
      </c>
      <c r="AK5366">
        <v>13.877293301054999</v>
      </c>
      <c r="AL5366">
        <v>90.811152026571804</v>
      </c>
      <c r="AM5366">
        <v>89.683668936359396</v>
      </c>
      <c r="AN5366">
        <v>0.99999995177557899</v>
      </c>
    </row>
    <row r="5367" spans="1:40" x14ac:dyDescent="0.25">
      <c r="A5367" t="str">
        <f>"20190312154945111"</f>
        <v>20190312154945111</v>
      </c>
      <c r="B5367" t="str">
        <f>"1552376985101433"</f>
        <v>1552376985101433</v>
      </c>
      <c r="C5367" t="s">
        <v>40</v>
      </c>
      <c r="D5367">
        <v>4.3506159999999996</v>
      </c>
      <c r="E5367">
        <v>0.37578339999999999</v>
      </c>
      <c r="F5367" t="s">
        <v>65</v>
      </c>
      <c r="G5367">
        <v>-409.80040000000002</v>
      </c>
      <c r="H5367" s="1">
        <v>-2.360059E-6</v>
      </c>
      <c r="I5367">
        <v>25.884119999999999</v>
      </c>
      <c r="J5367">
        <v>-419.12950000000001</v>
      </c>
      <c r="K5367">
        <v>1.11517</v>
      </c>
      <c r="L5367">
        <v>35.940640000000002</v>
      </c>
      <c r="M5367">
        <v>0.42003960000000001</v>
      </c>
      <c r="N5367">
        <v>0</v>
      </c>
      <c r="O5367">
        <v>-0.90739349999999996</v>
      </c>
      <c r="P5367">
        <v>0.41629169999999999</v>
      </c>
      <c r="Q5367">
        <v>-2.914081E-2</v>
      </c>
      <c r="R5367">
        <v>-0.90876389999999996</v>
      </c>
      <c r="S5367">
        <v>2.1398009999999998</v>
      </c>
      <c r="T5367">
        <v>-0.25327739999999999</v>
      </c>
      <c r="U5367">
        <v>-2.3245239999999998</v>
      </c>
      <c r="V5367">
        <v>4.1635350000000003E-3</v>
      </c>
      <c r="W5367">
        <v>-1.4813979999999999E-2</v>
      </c>
      <c r="X5367">
        <v>0.99988160000000004</v>
      </c>
      <c r="Y5367">
        <v>-0.30331649999999999</v>
      </c>
      <c r="Z5367">
        <v>7.7761129999999998E-2</v>
      </c>
      <c r="AA5367">
        <v>0.94971170000000005</v>
      </c>
      <c r="AB5367">
        <v>21</v>
      </c>
      <c r="AC5367">
        <v>9.3290999999999809</v>
      </c>
      <c r="AD5367">
        <v>-1.115172360059</v>
      </c>
      <c r="AE5367">
        <v>-10.056520000000001</v>
      </c>
      <c r="AF5367">
        <v>-4.2136119668586502</v>
      </c>
      <c r="AG5367">
        <v>-1.115172360059</v>
      </c>
      <c r="AH5367">
        <v>12.959490680895</v>
      </c>
      <c r="AI5367">
        <v>94.678305763360996</v>
      </c>
      <c r="AJ5367">
        <v>108.011269122195</v>
      </c>
      <c r="AK5367">
        <v>13.672839277491001</v>
      </c>
      <c r="AL5367">
        <v>90.848809578205802</v>
      </c>
      <c r="AM5367">
        <v>89.761420147543106</v>
      </c>
      <c r="AN5367">
        <v>1.0000000015228401</v>
      </c>
    </row>
    <row r="5368" spans="1:40" x14ac:dyDescent="0.25">
      <c r="A5368" t="str">
        <f>"20190312154945123"</f>
        <v>20190312154945123</v>
      </c>
      <c r="B5368" t="str">
        <f>"1552376985120953"</f>
        <v>1552376985120953</v>
      </c>
      <c r="C5368" t="s">
        <v>40</v>
      </c>
      <c r="D5368">
        <v>4.406301</v>
      </c>
      <c r="E5368">
        <v>0.38353969999999998</v>
      </c>
      <c r="F5368" t="s">
        <v>65</v>
      </c>
      <c r="G5368">
        <v>-409.70710000000003</v>
      </c>
      <c r="H5368" s="1">
        <v>-2.4084180000000002E-6</v>
      </c>
      <c r="I5368">
        <v>25.85323</v>
      </c>
      <c r="J5368">
        <v>-419.0763</v>
      </c>
      <c r="K5368">
        <v>1.1151599999999999</v>
      </c>
      <c r="L5368">
        <v>35.839449999999999</v>
      </c>
      <c r="M5368">
        <v>0.42478329999999997</v>
      </c>
      <c r="N5368">
        <v>0</v>
      </c>
      <c r="O5368">
        <v>-0.90518270000000001</v>
      </c>
      <c r="P5368">
        <v>0.42127940000000003</v>
      </c>
      <c r="Q5368">
        <v>-2.9545789999999999E-2</v>
      </c>
      <c r="R5368">
        <v>-0.90644970000000002</v>
      </c>
      <c r="S5368">
        <v>2.154175</v>
      </c>
      <c r="T5368">
        <v>-0.25495370000000001</v>
      </c>
      <c r="U5368">
        <v>-2.3062130000000001</v>
      </c>
      <c r="V5368">
        <v>3.9015719999999999E-3</v>
      </c>
      <c r="W5368">
        <v>-1.522182E-2</v>
      </c>
      <c r="X5368">
        <v>0.9998766</v>
      </c>
      <c r="Y5368">
        <v>-0.30521209999999999</v>
      </c>
      <c r="Z5368">
        <v>7.8279810000000005E-2</v>
      </c>
      <c r="AA5368">
        <v>0.94906159999999995</v>
      </c>
      <c r="AB5368">
        <v>21</v>
      </c>
      <c r="AC5368">
        <v>9.3691999999999709</v>
      </c>
      <c r="AD5368">
        <v>-1.1151624084180001</v>
      </c>
      <c r="AE5368">
        <v>-9.9862199999999994</v>
      </c>
      <c r="AF5368">
        <v>-4.2113587612616596</v>
      </c>
      <c r="AG5368">
        <v>-1.1151624084180001</v>
      </c>
      <c r="AH5368">
        <v>12.934771269781301</v>
      </c>
      <c r="AI5368">
        <v>94.686551079446403</v>
      </c>
      <c r="AJ5368">
        <v>108.034437289057</v>
      </c>
      <c r="AK5368">
        <v>13.6487156031168</v>
      </c>
      <c r="AL5368">
        <v>90.872179664323497</v>
      </c>
      <c r="AM5368">
        <v>89.776429936937305</v>
      </c>
      <c r="AN5368">
        <v>1.00000007064786</v>
      </c>
    </row>
    <row r="5369" spans="1:40" x14ac:dyDescent="0.25">
      <c r="A5369" t="str">
        <f>"20190312154945137"</f>
        <v>20190312154945137</v>
      </c>
      <c r="B5369" t="str">
        <f>"1552376985131689"</f>
        <v>1552376985131689</v>
      </c>
      <c r="C5369" t="s">
        <v>40</v>
      </c>
      <c r="D5369">
        <v>4.3718969999999997</v>
      </c>
      <c r="E5369">
        <v>0.38402459999999999</v>
      </c>
      <c r="F5369" t="s">
        <v>65</v>
      </c>
      <c r="G5369">
        <v>-409.56700000000001</v>
      </c>
      <c r="H5369" s="1">
        <v>-2.3870440000000001E-6</v>
      </c>
      <c r="I5369">
        <v>25.384</v>
      </c>
      <c r="J5369">
        <v>-419.01900000000001</v>
      </c>
      <c r="K5369">
        <v>1.1151420000000001</v>
      </c>
      <c r="L5369">
        <v>35.732419999999998</v>
      </c>
      <c r="M5369">
        <v>0.4298052</v>
      </c>
      <c r="N5369">
        <v>0</v>
      </c>
      <c r="O5369">
        <v>-0.90280870000000002</v>
      </c>
      <c r="P5369">
        <v>0.42659279999999999</v>
      </c>
      <c r="Q5369">
        <v>-2.9465809999999999E-2</v>
      </c>
      <c r="R5369">
        <v>-0.90396370000000004</v>
      </c>
      <c r="S5369">
        <v>2.1106259999999999</v>
      </c>
      <c r="T5369">
        <v>-0.2475137</v>
      </c>
      <c r="U5369">
        <v>-2.3206180000000001</v>
      </c>
      <c r="V5369">
        <v>3.5867799999999999E-3</v>
      </c>
      <c r="W5369">
        <v>-1.514603E-2</v>
      </c>
      <c r="X5369">
        <v>0.99987890000000001</v>
      </c>
      <c r="Y5369">
        <v>-0.28738819999999998</v>
      </c>
      <c r="Z5369">
        <v>7.6015830000000006E-2</v>
      </c>
      <c r="AA5369">
        <v>0.954793</v>
      </c>
      <c r="AB5369">
        <v>21</v>
      </c>
      <c r="AC5369">
        <v>9.4520000000000497</v>
      </c>
      <c r="AD5369">
        <v>-1.1151443870440001</v>
      </c>
      <c r="AE5369">
        <v>-10.3484199999999</v>
      </c>
      <c r="AF5369">
        <v>-4.0602553710660496</v>
      </c>
      <c r="AG5369">
        <v>-1.1151443870440001</v>
      </c>
      <c r="AH5369">
        <v>13.3221902373717</v>
      </c>
      <c r="AI5369">
        <v>94.577885360566896</v>
      </c>
      <c r="AJ5369">
        <v>106.94985111530799</v>
      </c>
      <c r="AK5369">
        <v>13.9717562748191</v>
      </c>
      <c r="AL5369">
        <v>90.867836742617698</v>
      </c>
      <c r="AM5369">
        <v>89.794468635599898</v>
      </c>
      <c r="AN5369">
        <v>1.00000004094036</v>
      </c>
    </row>
    <row r="5370" spans="1:40" x14ac:dyDescent="0.25">
      <c r="A5370" t="str">
        <f>"20190312154945150"</f>
        <v>20190312154945150</v>
      </c>
      <c r="B5370" t="str">
        <f>"1552376985141449"</f>
        <v>1552376985141449</v>
      </c>
      <c r="C5370" t="s">
        <v>40</v>
      </c>
      <c r="D5370">
        <v>4.3840579999999996</v>
      </c>
      <c r="E5370">
        <v>0.3844013</v>
      </c>
      <c r="F5370" t="s">
        <v>65</v>
      </c>
      <c r="G5370">
        <v>-409.52289999999999</v>
      </c>
      <c r="H5370" s="1">
        <v>-2.4144320000000002E-6</v>
      </c>
      <c r="I5370">
        <v>25.390029999999999</v>
      </c>
      <c r="J5370">
        <v>-418.96699999999998</v>
      </c>
      <c r="K5370">
        <v>1.115129</v>
      </c>
      <c r="L5370">
        <v>35.63617</v>
      </c>
      <c r="M5370">
        <v>0.43431799999999998</v>
      </c>
      <c r="N5370">
        <v>0</v>
      </c>
      <c r="O5370">
        <v>-0.90064639999999996</v>
      </c>
      <c r="P5370">
        <v>0.43149609999999999</v>
      </c>
      <c r="Q5370">
        <v>-2.9326629999999999E-2</v>
      </c>
      <c r="R5370">
        <v>-0.90163800000000005</v>
      </c>
      <c r="S5370">
        <v>2.1207579999999999</v>
      </c>
      <c r="T5370">
        <v>-0.2490472</v>
      </c>
      <c r="U5370">
        <v>-2.3097840000000001</v>
      </c>
      <c r="V5370">
        <v>3.1600349999999998E-3</v>
      </c>
      <c r="W5370">
        <v>-1.5012589999999999E-2</v>
      </c>
      <c r="X5370">
        <v>0.9998823</v>
      </c>
      <c r="Y5370">
        <v>-0.287074</v>
      </c>
      <c r="Z5370">
        <v>7.638839E-2</v>
      </c>
      <c r="AA5370">
        <v>0.95485779999999998</v>
      </c>
      <c r="AB5370">
        <v>20</v>
      </c>
      <c r="AC5370">
        <v>9.4440999999999899</v>
      </c>
      <c r="AD5370">
        <v>-1.1151314144319999</v>
      </c>
      <c r="AE5370">
        <v>-10.246139999999899</v>
      </c>
      <c r="AF5370">
        <v>-4.0303145951844801</v>
      </c>
      <c r="AG5370">
        <v>-1.1151314144319999</v>
      </c>
      <c r="AH5370">
        <v>13.2464193804419</v>
      </c>
      <c r="AI5370">
        <v>94.604566187006895</v>
      </c>
      <c r="AJ5370">
        <v>106.922745303044</v>
      </c>
      <c r="AK5370">
        <v>13.8908091992568</v>
      </c>
      <c r="AL5370">
        <v>90.860190369597703</v>
      </c>
      <c r="AM5370">
        <v>89.818922621383706</v>
      </c>
      <c r="AN5370">
        <v>0.99999998876649898</v>
      </c>
    </row>
    <row r="5371" spans="1:40" x14ac:dyDescent="0.25">
      <c r="A5371" t="str">
        <f>"20190312154945161"</f>
        <v>20190312154945161</v>
      </c>
      <c r="B5371" t="str">
        <f>"1552376985151209"</f>
        <v>1552376985151209</v>
      </c>
      <c r="C5371" t="s">
        <v>40</v>
      </c>
      <c r="D5371">
        <v>4.3809180000000003</v>
      </c>
      <c r="E5371">
        <v>0.38510139999999998</v>
      </c>
      <c r="F5371" t="s">
        <v>65</v>
      </c>
      <c r="G5371">
        <v>-409.32670000000002</v>
      </c>
      <c r="H5371" s="1">
        <v>-2.4946760000000002E-6</v>
      </c>
      <c r="I5371">
        <v>25.228390000000001</v>
      </c>
      <c r="J5371">
        <v>-418.91239999999999</v>
      </c>
      <c r="K5371">
        <v>1.1151150000000001</v>
      </c>
      <c r="L5371">
        <v>35.536499999999997</v>
      </c>
      <c r="M5371">
        <v>0.43898930000000003</v>
      </c>
      <c r="N5371">
        <v>0</v>
      </c>
      <c r="O5371">
        <v>-0.89837900000000004</v>
      </c>
      <c r="P5371">
        <v>0.43606460000000002</v>
      </c>
      <c r="Q5371">
        <v>-2.9194089999999999E-2</v>
      </c>
      <c r="R5371">
        <v>-0.89944210000000002</v>
      </c>
      <c r="S5371">
        <v>2.1302189999999999</v>
      </c>
      <c r="T5371">
        <v>-0.24641009999999999</v>
      </c>
      <c r="U5371">
        <v>-2.2998050000000001</v>
      </c>
      <c r="V5371">
        <v>3.2796919999999999E-3</v>
      </c>
      <c r="W5371">
        <v>-1.4879389999999999E-2</v>
      </c>
      <c r="X5371">
        <v>0.99988390000000005</v>
      </c>
      <c r="Y5371">
        <v>-0.28632839999999998</v>
      </c>
      <c r="Z5371">
        <v>7.5468789999999994E-2</v>
      </c>
      <c r="AA5371">
        <v>0.95515470000000002</v>
      </c>
      <c r="AB5371">
        <v>20</v>
      </c>
      <c r="AC5371">
        <v>9.5856999999999708</v>
      </c>
      <c r="AD5371">
        <v>-1.1151174946760001</v>
      </c>
      <c r="AE5371">
        <v>-10.3081099999999</v>
      </c>
      <c r="AF5371">
        <v>-4.0613695961104002</v>
      </c>
      <c r="AG5371">
        <v>-1.1151174946760001</v>
      </c>
      <c r="AH5371">
        <v>13.385973858498399</v>
      </c>
      <c r="AI5371">
        <v>94.557783718497902</v>
      </c>
      <c r="AJ5371">
        <v>106.878052615157</v>
      </c>
      <c r="AK5371">
        <v>14.032907972460499</v>
      </c>
      <c r="AL5371">
        <v>90.852557723998402</v>
      </c>
      <c r="AM5371">
        <v>89.812066345104697</v>
      </c>
      <c r="AN5371">
        <v>0.99999998305279802</v>
      </c>
    </row>
    <row r="5372" spans="1:40" x14ac:dyDescent="0.25">
      <c r="A5372" t="str">
        <f>"20190312154945175"</f>
        <v>20190312154945175</v>
      </c>
      <c r="B5372" t="str">
        <f>"1552376985171705"</f>
        <v>1552376985171705</v>
      </c>
      <c r="C5372" t="s">
        <v>40</v>
      </c>
      <c r="D5372">
        <v>4.3881880000000004</v>
      </c>
      <c r="E5372">
        <v>0.38639040000000002</v>
      </c>
      <c r="F5372" t="s">
        <v>65</v>
      </c>
      <c r="G5372">
        <v>-409.25549999999998</v>
      </c>
      <c r="H5372" s="1">
        <v>-2.5265810000000002E-6</v>
      </c>
      <c r="I5372">
        <v>25.18252</v>
      </c>
      <c r="J5372">
        <v>-418.85610000000003</v>
      </c>
      <c r="K5372">
        <v>1.1150990000000001</v>
      </c>
      <c r="L5372">
        <v>35.435090000000002</v>
      </c>
      <c r="M5372">
        <v>0.44374249999999998</v>
      </c>
      <c r="N5372">
        <v>0</v>
      </c>
      <c r="O5372">
        <v>-0.89604069999999902</v>
      </c>
      <c r="P5372">
        <v>0.44089440000000002</v>
      </c>
      <c r="Q5372">
        <v>-2.892865E-2</v>
      </c>
      <c r="R5372">
        <v>-0.89709269999999997</v>
      </c>
      <c r="S5372">
        <v>2.137054</v>
      </c>
      <c r="T5372">
        <v>-0.24677379999999999</v>
      </c>
      <c r="U5372">
        <v>-2.2913209999999999</v>
      </c>
      <c r="V5372">
        <v>3.2006040000000001E-3</v>
      </c>
      <c r="W5372">
        <v>-1.461609E-2</v>
      </c>
      <c r="X5372">
        <v>0.99988809999999995</v>
      </c>
      <c r="Y5372">
        <v>-0.28453689999999998</v>
      </c>
      <c r="Z5372">
        <v>7.5455170000000002E-2</v>
      </c>
      <c r="AA5372">
        <v>0.95569099999999996</v>
      </c>
      <c r="AB5372">
        <v>20</v>
      </c>
      <c r="AC5372">
        <v>9.6006000000000409</v>
      </c>
      <c r="AD5372">
        <v>-1.115101526581</v>
      </c>
      <c r="AE5372">
        <v>-10.25257</v>
      </c>
      <c r="AF5372">
        <v>-4.0280522202003199</v>
      </c>
      <c r="AG5372">
        <v>-1.115101526581</v>
      </c>
      <c r="AH5372">
        <v>13.3640532753983</v>
      </c>
      <c r="AI5372">
        <v>94.567676940617702</v>
      </c>
      <c r="AJ5372">
        <v>106.773304183516</v>
      </c>
      <c r="AK5372">
        <v>14.0023775142269</v>
      </c>
      <c r="AL5372">
        <v>90.837470053710604</v>
      </c>
      <c r="AM5372">
        <v>89.816599002649099</v>
      </c>
      <c r="AN5372">
        <v>1.00000004323723</v>
      </c>
    </row>
    <row r="5373" spans="1:40" x14ac:dyDescent="0.25">
      <c r="A5373" t="str">
        <f>"20190312154945191"</f>
        <v>20190312154945191</v>
      </c>
      <c r="B5373" t="str">
        <f>"1552376985181465"</f>
        <v>1552376985181465</v>
      </c>
      <c r="C5373" t="s">
        <v>40</v>
      </c>
      <c r="D5373">
        <v>4.287445</v>
      </c>
      <c r="E5373">
        <v>0.38661190000000001</v>
      </c>
      <c r="F5373" t="s">
        <v>65</v>
      </c>
      <c r="G5373">
        <v>-409.17520000000002</v>
      </c>
      <c r="H5373" s="1">
        <v>-2.5558639999999998E-6</v>
      </c>
      <c r="I5373">
        <v>25.100359999999998</v>
      </c>
      <c r="J5373">
        <v>-418.78949999999998</v>
      </c>
      <c r="K5373">
        <v>1.115083</v>
      </c>
      <c r="L5373">
        <v>35.31653</v>
      </c>
      <c r="M5373">
        <v>0.44929629999999998</v>
      </c>
      <c r="N5373">
        <v>0</v>
      </c>
      <c r="O5373">
        <v>-0.89326870000000003</v>
      </c>
      <c r="P5373">
        <v>0.44652579999999997</v>
      </c>
      <c r="Q5373">
        <v>-2.8907820000000001E-2</v>
      </c>
      <c r="R5373">
        <v>-0.89430370000000003</v>
      </c>
      <c r="S5373">
        <v>2.1399539999999999</v>
      </c>
      <c r="T5373">
        <v>-0.2464924</v>
      </c>
      <c r="U5373">
        <v>-2.2844850000000001</v>
      </c>
      <c r="V5373">
        <v>3.120669E-3</v>
      </c>
      <c r="W5373">
        <v>-1.45979E-2</v>
      </c>
      <c r="X5373">
        <v>0.99988860000000002</v>
      </c>
      <c r="Y5373">
        <v>-0.280665</v>
      </c>
      <c r="Z5373">
        <v>7.5215240000000003E-2</v>
      </c>
      <c r="AA5373">
        <v>0.95685419999999999</v>
      </c>
      <c r="AB5373">
        <v>20</v>
      </c>
      <c r="AC5373">
        <v>9.6142999999999503</v>
      </c>
      <c r="AD5373">
        <v>-1.115085555864</v>
      </c>
      <c r="AE5373">
        <v>-10.2161699999999</v>
      </c>
      <c r="AF5373">
        <v>-3.9733696756078398</v>
      </c>
      <c r="AG5373">
        <v>-1.115085555864</v>
      </c>
      <c r="AH5373">
        <v>13.362401227213599</v>
      </c>
      <c r="AI5373">
        <v>94.573244916929099</v>
      </c>
      <c r="AJ5373">
        <v>106.56008083218001</v>
      </c>
      <c r="AK5373">
        <v>13.985165316612299</v>
      </c>
      <c r="AL5373">
        <v>90.836427747716797</v>
      </c>
      <c r="AM5373">
        <v>89.821179496987398</v>
      </c>
      <c r="AN5373">
        <v>1.0000000248346801</v>
      </c>
    </row>
    <row r="5374" spans="1:40" x14ac:dyDescent="0.25">
      <c r="A5374" t="str">
        <f>"20190312154945204"</f>
        <v>20190312154945204</v>
      </c>
      <c r="B5374" t="str">
        <f>"1552376985200985"</f>
        <v>1552376985200985</v>
      </c>
      <c r="C5374" t="s">
        <v>40</v>
      </c>
      <c r="D5374">
        <v>4.359375</v>
      </c>
      <c r="E5374">
        <v>0.38709510000000003</v>
      </c>
      <c r="F5374" t="s">
        <v>65</v>
      </c>
      <c r="G5374">
        <v>-409.03699999999998</v>
      </c>
      <c r="H5374" s="1">
        <v>-2.620501E-6</v>
      </c>
      <c r="I5374">
        <v>25.023150000000001</v>
      </c>
      <c r="J5374">
        <v>-418.72640000000001</v>
      </c>
      <c r="K5374">
        <v>1.1150679999999999</v>
      </c>
      <c r="L5374">
        <v>35.205599999999997</v>
      </c>
      <c r="M5374">
        <v>0.45448670000000002</v>
      </c>
      <c r="N5374">
        <v>0</v>
      </c>
      <c r="O5374">
        <v>-0.89063899999999996</v>
      </c>
      <c r="P5374">
        <v>0.45163809999999899</v>
      </c>
      <c r="Q5374">
        <v>-2.866428E-2</v>
      </c>
      <c r="R5374">
        <v>-0.891740599999999</v>
      </c>
      <c r="S5374">
        <v>2.1524960000000002</v>
      </c>
      <c r="T5374">
        <v>-0.24611379999999999</v>
      </c>
      <c r="U5374">
        <v>-2.271881</v>
      </c>
      <c r="V5374">
        <v>3.2149739999999998E-3</v>
      </c>
      <c r="W5374">
        <v>-1.435492E-2</v>
      </c>
      <c r="X5374">
        <v>0.9998918</v>
      </c>
      <c r="Y5374">
        <v>-0.28052500000000002</v>
      </c>
      <c r="Z5374">
        <v>7.4964009999999998E-2</v>
      </c>
      <c r="AA5374">
        <v>0.95691490000000001</v>
      </c>
      <c r="AB5374">
        <v>20</v>
      </c>
      <c r="AC5374">
        <v>9.6894000000000293</v>
      </c>
      <c r="AD5374">
        <v>-1.1150706205009999</v>
      </c>
      <c r="AE5374">
        <v>-10.1824499999999</v>
      </c>
      <c r="AF5374">
        <v>-3.9773463634841102</v>
      </c>
      <c r="AG5374">
        <v>-1.1150706205009999</v>
      </c>
      <c r="AH5374">
        <v>13.389697212637801</v>
      </c>
      <c r="AI5374">
        <v>94.5642842689048</v>
      </c>
      <c r="AJ5374">
        <v>106.543803563913</v>
      </c>
      <c r="AK5374">
        <v>14.012375174464401</v>
      </c>
      <c r="AL5374">
        <v>90.822504576230401</v>
      </c>
      <c r="AM5374">
        <v>89.815776260329699</v>
      </c>
      <c r="AN5374">
        <v>1.0000000057466301</v>
      </c>
    </row>
    <row r="5375" spans="1:40" x14ac:dyDescent="0.25">
      <c r="A5375" t="str">
        <f>"20190312154945223"</f>
        <v>20190312154945223</v>
      </c>
      <c r="B5375" t="str">
        <f>"1552376985221482"</f>
        <v>1552376985221482</v>
      </c>
      <c r="C5375" t="s">
        <v>40</v>
      </c>
      <c r="D5375">
        <v>4.3877220000000001</v>
      </c>
      <c r="E5375">
        <v>0.38751550000000001</v>
      </c>
      <c r="F5375" t="s">
        <v>65</v>
      </c>
      <c r="G5375">
        <v>-408.92739999999998</v>
      </c>
      <c r="H5375" s="1">
        <v>-2.670988E-6</v>
      </c>
      <c r="I5375">
        <v>24.958459999999999</v>
      </c>
      <c r="J5375">
        <v>-418.64139999999998</v>
      </c>
      <c r="K5375">
        <v>1.1150469999999999</v>
      </c>
      <c r="L5375">
        <v>35.058839999999996</v>
      </c>
      <c r="M5375">
        <v>0.46135609999999999</v>
      </c>
      <c r="N5375">
        <v>0</v>
      </c>
      <c r="O5375">
        <v>-0.88710049999999996</v>
      </c>
      <c r="P5375">
        <v>0.45848899999999998</v>
      </c>
      <c r="Q5375">
        <v>-2.809758E-2</v>
      </c>
      <c r="R5375">
        <v>-0.88825609999999999</v>
      </c>
      <c r="S5375">
        <v>2.1622919999999999</v>
      </c>
      <c r="T5375">
        <v>-0.24605540000000001</v>
      </c>
      <c r="U5375">
        <v>-2.2611690000000002</v>
      </c>
      <c r="V5375">
        <v>3.2461E-3</v>
      </c>
      <c r="W5375">
        <v>-1.3790490000000001E-2</v>
      </c>
      <c r="X5375">
        <v>0.9998996</v>
      </c>
      <c r="Y5375">
        <v>-0.27754509999999899</v>
      </c>
      <c r="Z5375">
        <v>7.4713219999999997E-2</v>
      </c>
      <c r="AA5375">
        <v>0.95780299999999996</v>
      </c>
      <c r="AB5375">
        <v>20</v>
      </c>
      <c r="AC5375">
        <v>9.7140000000000004</v>
      </c>
      <c r="AD5375">
        <v>-1.115049670988</v>
      </c>
      <c r="AE5375">
        <v>-10.100379999999999</v>
      </c>
      <c r="AF5375">
        <v>-3.9329240792732798</v>
      </c>
      <c r="AG5375">
        <v>-1.115049670988</v>
      </c>
      <c r="AH5375">
        <v>13.3584552537642</v>
      </c>
      <c r="AI5375">
        <v>94.578088219599906</v>
      </c>
      <c r="AJ5375">
        <v>106.40519788146101</v>
      </c>
      <c r="AK5375">
        <v>13.9699518377451</v>
      </c>
      <c r="AL5375">
        <v>90.790161950640197</v>
      </c>
      <c r="AM5375">
        <v>89.813994148523605</v>
      </c>
      <c r="AN5375">
        <v>0.99999996242990397</v>
      </c>
    </row>
    <row r="5376" spans="1:40" x14ac:dyDescent="0.25">
      <c r="A5376" t="str">
        <f>"20190312154945236"</f>
        <v>20190312154945236</v>
      </c>
      <c r="B5376" t="str">
        <f>"1552376985231242"</f>
        <v>1552376985231242</v>
      </c>
      <c r="C5376" t="s">
        <v>40</v>
      </c>
      <c r="D5376">
        <v>4.3281549999999998</v>
      </c>
      <c r="E5376">
        <v>0.39361970000000002</v>
      </c>
      <c r="F5376" t="s">
        <v>65</v>
      </c>
      <c r="G5376">
        <v>-408.7715</v>
      </c>
      <c r="H5376" s="1">
        <v>-2.7442010000000002E-6</v>
      </c>
      <c r="I5376">
        <v>24.872710000000001</v>
      </c>
      <c r="J5376">
        <v>-418.58760000000001</v>
      </c>
      <c r="K5376">
        <v>1.1150370000000001</v>
      </c>
      <c r="L5376">
        <v>34.967440000000003</v>
      </c>
      <c r="M5376">
        <v>0.46563539999999998</v>
      </c>
      <c r="N5376">
        <v>0</v>
      </c>
      <c r="O5376">
        <v>-0.88486180000000003</v>
      </c>
      <c r="P5376">
        <v>0.46273180000000003</v>
      </c>
      <c r="Q5376">
        <v>-2.8156750000000001E-2</v>
      </c>
      <c r="R5376">
        <v>-0.88605159999999905</v>
      </c>
      <c r="S5376">
        <v>2.176453</v>
      </c>
      <c r="T5376">
        <v>-0.2458844</v>
      </c>
      <c r="U5376">
        <v>-2.2461850000000001</v>
      </c>
      <c r="V5376">
        <v>3.2931979999999998E-3</v>
      </c>
      <c r="W5376">
        <v>-1.3851E-2</v>
      </c>
      <c r="X5376">
        <v>0.99989870000000003</v>
      </c>
      <c r="Y5376">
        <v>-0.2792154</v>
      </c>
      <c r="Z5376">
        <v>7.4589680000000005E-2</v>
      </c>
      <c r="AA5376">
        <v>0.95732709999999999</v>
      </c>
      <c r="AB5376">
        <v>20</v>
      </c>
      <c r="AC5376">
        <v>9.8161000000000005</v>
      </c>
      <c r="AD5376">
        <v>-1.115039744201</v>
      </c>
      <c r="AE5376">
        <v>-10.09473</v>
      </c>
      <c r="AF5376">
        <v>-3.96099342394055</v>
      </c>
      <c r="AG5376">
        <v>-1.115039744201</v>
      </c>
      <c r="AH5376">
        <v>13.4203760661836</v>
      </c>
      <c r="AI5376">
        <v>94.556111774170603</v>
      </c>
      <c r="AJ5376">
        <v>106.443845159811</v>
      </c>
      <c r="AK5376">
        <v>14.037067937907899</v>
      </c>
      <c r="AL5376">
        <v>90.793629177823505</v>
      </c>
      <c r="AM5376">
        <v>89.8112952199494</v>
      </c>
      <c r="AN5376">
        <v>1.0000000528078701</v>
      </c>
    </row>
    <row r="5377" spans="1:40" x14ac:dyDescent="0.25">
      <c r="A5377" t="str">
        <f>"20190312154945248"</f>
        <v>20190312154945248</v>
      </c>
      <c r="B5377" t="str">
        <f>"1552376985241001"</f>
        <v>1552376985241001</v>
      </c>
      <c r="C5377" t="s">
        <v>40</v>
      </c>
      <c r="D5377">
        <v>4.3402710000000004</v>
      </c>
      <c r="E5377">
        <v>0.39380349999999997</v>
      </c>
      <c r="F5377" t="s">
        <v>65</v>
      </c>
      <c r="G5377">
        <v>-409.60359999999997</v>
      </c>
      <c r="H5377" s="1">
        <v>-2.3936389999999999E-6</v>
      </c>
      <c r="I5377">
        <v>25.51126</v>
      </c>
      <c r="J5377">
        <v>-418.53019999999998</v>
      </c>
      <c r="K5377">
        <v>1.1150249999999999</v>
      </c>
      <c r="L5377">
        <v>34.870849999999997</v>
      </c>
      <c r="M5377">
        <v>0.47015449999999998</v>
      </c>
      <c r="N5377">
        <v>0</v>
      </c>
      <c r="O5377">
        <v>-0.8824689</v>
      </c>
      <c r="P5377">
        <v>0.4670646</v>
      </c>
      <c r="Q5377">
        <v>-2.8254580000000001E-2</v>
      </c>
      <c r="R5377">
        <v>-0.88377190000000005</v>
      </c>
      <c r="S5377">
        <v>2.1446230000000002</v>
      </c>
      <c r="T5377">
        <v>-0.26617960000000002</v>
      </c>
      <c r="U5377">
        <v>-2.257355</v>
      </c>
      <c r="V5377">
        <v>3.509945E-3</v>
      </c>
      <c r="W5377">
        <v>-1.3948210000000001E-2</v>
      </c>
      <c r="X5377">
        <v>0.99989660000000002</v>
      </c>
      <c r="Y5377">
        <v>-0.264489799999999</v>
      </c>
      <c r="Z5377">
        <v>8.0608379999999993E-2</v>
      </c>
      <c r="AA5377">
        <v>0.96101369999999997</v>
      </c>
      <c r="AB5377">
        <v>20</v>
      </c>
      <c r="AC5377">
        <v>8.9266000000000005</v>
      </c>
      <c r="AD5377">
        <v>-1.1150273936389901</v>
      </c>
      <c r="AE5377">
        <v>-9.3595899999999901</v>
      </c>
      <c r="AF5377">
        <v>-3.4516938544079698</v>
      </c>
      <c r="AG5377">
        <v>-1.1150273936389901</v>
      </c>
      <c r="AH5377">
        <v>12.3657914577193</v>
      </c>
      <c r="AI5377">
        <v>94.963700878673706</v>
      </c>
      <c r="AJ5377">
        <v>105.596143649688</v>
      </c>
      <c r="AK5377">
        <v>12.8868256343029</v>
      </c>
      <c r="AL5377">
        <v>90.799199447419198</v>
      </c>
      <c r="AM5377">
        <v>89.798874994868299</v>
      </c>
      <c r="AN5377">
        <v>1.0000000414838299</v>
      </c>
    </row>
    <row r="5378" spans="1:40" x14ac:dyDescent="0.25">
      <c r="A5378" t="str">
        <f>"20190312154945259"</f>
        <v>20190312154945259</v>
      </c>
      <c r="B5378" t="str">
        <f>"1552376985250761"</f>
        <v>1552376985250761</v>
      </c>
      <c r="C5378" t="s">
        <v>40</v>
      </c>
      <c r="D5378">
        <v>4.2973189999999999</v>
      </c>
      <c r="E5378">
        <v>0.39459660000000002</v>
      </c>
      <c r="F5378" t="s">
        <v>65</v>
      </c>
      <c r="G5378">
        <v>-409.29020000000003</v>
      </c>
      <c r="H5378" s="1">
        <v>-2.5161919999999999E-6</v>
      </c>
      <c r="I5378">
        <v>25.227969999999999</v>
      </c>
      <c r="J5378">
        <v>-418.47660000000002</v>
      </c>
      <c r="K5378">
        <v>1.115008</v>
      </c>
      <c r="L5378">
        <v>34.78152</v>
      </c>
      <c r="M5378">
        <v>0.47433540000000002</v>
      </c>
      <c r="N5378">
        <v>0</v>
      </c>
      <c r="O5378">
        <v>-0.88022860000000003</v>
      </c>
      <c r="P5378">
        <v>0.4710319</v>
      </c>
      <c r="Q5378">
        <v>-2.8382170000000002E-2</v>
      </c>
      <c r="R5378">
        <v>-0.88165969999999905</v>
      </c>
      <c r="S5378">
        <v>2.1539920000000001</v>
      </c>
      <c r="T5378">
        <v>-0.25992920000000003</v>
      </c>
      <c r="U5378">
        <v>-2.2478940000000001</v>
      </c>
      <c r="V5378">
        <v>3.7584979999999999E-3</v>
      </c>
      <c r="W5378">
        <v>-1.407482E-2</v>
      </c>
      <c r="X5378">
        <v>0.9998939</v>
      </c>
      <c r="Y5378">
        <v>-0.26414510000000002</v>
      </c>
      <c r="Z5378">
        <v>7.8590119999999999E-2</v>
      </c>
      <c r="AA5378">
        <v>0.96127569999999996</v>
      </c>
      <c r="AB5378">
        <v>20</v>
      </c>
      <c r="AC5378">
        <v>9.1863999999999901</v>
      </c>
      <c r="AD5378">
        <v>-1.1150105161920001</v>
      </c>
      <c r="AE5378">
        <v>-9.5535499999999907</v>
      </c>
      <c r="AF5378">
        <v>-3.5299235576684902</v>
      </c>
      <c r="AG5378">
        <v>-1.1150105161920001</v>
      </c>
      <c r="AH5378">
        <v>12.6783104537814</v>
      </c>
      <c r="AI5378">
        <v>94.8427476258111</v>
      </c>
      <c r="AJ5378">
        <v>105.558385046483</v>
      </c>
      <c r="AK5378">
        <v>13.2076933919843</v>
      </c>
      <c r="AL5378">
        <v>90.806454396039399</v>
      </c>
      <c r="AM5378">
        <v>89.784632090977993</v>
      </c>
      <c r="AN5378">
        <v>1.0000000190612199</v>
      </c>
    </row>
    <row r="5379" spans="1:40" x14ac:dyDescent="0.25">
      <c r="A5379" t="str">
        <f>"20190312154945272"</f>
        <v>20190312154945272</v>
      </c>
      <c r="B5379" t="str">
        <f>"1552376985261497"</f>
        <v>1552376985261497</v>
      </c>
      <c r="C5379" t="s">
        <v>40</v>
      </c>
      <c r="D5379">
        <v>4.3513769999999896</v>
      </c>
      <c r="E5379">
        <v>0.39505709999999999</v>
      </c>
      <c r="F5379" t="s">
        <v>65</v>
      </c>
      <c r="G5379">
        <v>-409.02159999999998</v>
      </c>
      <c r="H5379" s="1">
        <v>-2.6164660000000002E-6</v>
      </c>
      <c r="I5379">
        <v>24.964020000000001</v>
      </c>
      <c r="J5379">
        <v>-418.4203</v>
      </c>
      <c r="K5379">
        <v>1.1149960000000001</v>
      </c>
      <c r="L5379">
        <v>34.688870000000001</v>
      </c>
      <c r="M5379">
        <v>0.47867340000000003</v>
      </c>
      <c r="N5379">
        <v>0</v>
      </c>
      <c r="O5379">
        <v>-0.87787739999999903</v>
      </c>
      <c r="P5379">
        <v>0.47526970000000002</v>
      </c>
      <c r="Q5379">
        <v>-2.8200070000000001E-2</v>
      </c>
      <c r="R5379">
        <v>-0.87938850000000002</v>
      </c>
      <c r="S5379">
        <v>2.1585079999999999</v>
      </c>
      <c r="T5379">
        <v>-0.25454959999999999</v>
      </c>
      <c r="U5379">
        <v>-2.2412719999999999</v>
      </c>
      <c r="V5379">
        <v>3.8806090000000001E-3</v>
      </c>
      <c r="W5379">
        <v>-1.3893290000000001E-2</v>
      </c>
      <c r="X5379">
        <v>0.99989589999999995</v>
      </c>
      <c r="Y5379">
        <v>-0.26191179999999997</v>
      </c>
      <c r="Z5379">
        <v>7.6823630000000004E-2</v>
      </c>
      <c r="AA5379">
        <v>0.96202929999999998</v>
      </c>
      <c r="AB5379">
        <v>20</v>
      </c>
      <c r="AC5379">
        <v>9.3987000000000194</v>
      </c>
      <c r="AD5379">
        <v>-1.114998616466</v>
      </c>
      <c r="AE5379">
        <v>-9.72485</v>
      </c>
      <c r="AF5379">
        <v>-3.5719658837850701</v>
      </c>
      <c r="AG5379">
        <v>-1.114998616466</v>
      </c>
      <c r="AH5379">
        <v>12.9494404406875</v>
      </c>
      <c r="AI5379">
        <v>94.744907736740402</v>
      </c>
      <c r="AJ5379">
        <v>105.420954336479</v>
      </c>
      <c r="AK5379">
        <v>13.4792496050989</v>
      </c>
      <c r="AL5379">
        <v>90.796052533830405</v>
      </c>
      <c r="AM5379">
        <v>89.777635450526901</v>
      </c>
      <c r="AN5379">
        <v>0.99999994673502102</v>
      </c>
    </row>
    <row r="5380" spans="1:40" x14ac:dyDescent="0.25">
      <c r="A5380" t="str">
        <f>"20190312154945285"</f>
        <v>20190312154945285</v>
      </c>
      <c r="B5380" t="str">
        <f>"1552376985281017"</f>
        <v>1552376985281017</v>
      </c>
      <c r="C5380" t="s">
        <v>40</v>
      </c>
      <c r="D5380">
        <v>4.4103070000000004</v>
      </c>
      <c r="E5380">
        <v>0.39614460000000001</v>
      </c>
      <c r="F5380" t="s">
        <v>65</v>
      </c>
      <c r="G5380">
        <v>-408.7697</v>
      </c>
      <c r="H5380" s="1">
        <v>-2.7160490000000002E-6</v>
      </c>
      <c r="I5380">
        <v>24.741340000000001</v>
      </c>
      <c r="J5380">
        <v>-418.35849999999999</v>
      </c>
      <c r="K5380">
        <v>1.1149849999999999</v>
      </c>
      <c r="L5380">
        <v>34.587980000000002</v>
      </c>
      <c r="M5380">
        <v>0.48339270000000001</v>
      </c>
      <c r="N5380">
        <v>0</v>
      </c>
      <c r="O5380">
        <v>-0.8752877</v>
      </c>
      <c r="P5380">
        <v>0.47979889999999997</v>
      </c>
      <c r="Q5380">
        <v>-2.8167359999999999E-2</v>
      </c>
      <c r="R5380">
        <v>-0.87692649999999905</v>
      </c>
      <c r="S5380">
        <v>2.1661069999999998</v>
      </c>
      <c r="T5380">
        <v>-0.25026520000000002</v>
      </c>
      <c r="U5380">
        <v>-2.232758</v>
      </c>
      <c r="V5380">
        <v>4.1064819999999998E-3</v>
      </c>
      <c r="W5380">
        <v>-1.386014E-2</v>
      </c>
      <c r="X5380">
        <v>0.99989550000000005</v>
      </c>
      <c r="Y5380">
        <v>-0.26031870000000001</v>
      </c>
      <c r="Z5380">
        <v>7.5368690000000002E-2</v>
      </c>
      <c r="AA5380">
        <v>0.9625766</v>
      </c>
      <c r="AB5380">
        <v>20</v>
      </c>
      <c r="AC5380">
        <v>9.5887999999999902</v>
      </c>
      <c r="AD5380">
        <v>-1.114987716049</v>
      </c>
      <c r="AE5380">
        <v>-9.8466399999999901</v>
      </c>
      <c r="AF5380">
        <v>-3.60977685786724</v>
      </c>
      <c r="AG5380">
        <v>-1.114987716049</v>
      </c>
      <c r="AH5380">
        <v>13.168479491487499</v>
      </c>
      <c r="AI5380">
        <v>94.668328469131097</v>
      </c>
      <c r="AJ5380">
        <v>105.32949997020999</v>
      </c>
      <c r="AK5380">
        <v>13.699727686646201</v>
      </c>
      <c r="AL5380">
        <v>90.794152962332504</v>
      </c>
      <c r="AM5380">
        <v>89.764692645945203</v>
      </c>
      <c r="AN5380">
        <v>0.99999998879774299</v>
      </c>
    </row>
    <row r="5381" spans="1:40" x14ac:dyDescent="0.25">
      <c r="A5381" t="str">
        <f>"20190312154945296"</f>
        <v>20190312154945296</v>
      </c>
      <c r="B5381" t="str">
        <f>"1552376985290778"</f>
        <v>1552376985290778</v>
      </c>
      <c r="C5381" t="s">
        <v>40</v>
      </c>
      <c r="D5381">
        <v>4.3957769999999998</v>
      </c>
      <c r="E5381">
        <v>0.39685959999999998</v>
      </c>
      <c r="F5381" t="s">
        <v>65</v>
      </c>
      <c r="G5381">
        <v>-408.274</v>
      </c>
      <c r="H5381" s="1">
        <v>-2.897867E-6</v>
      </c>
      <c r="I5381">
        <v>24.239570000000001</v>
      </c>
      <c r="J5381">
        <v>-418.30349999999999</v>
      </c>
      <c r="K5381">
        <v>1.1149800000000001</v>
      </c>
      <c r="L5381">
        <v>34.499879999999997</v>
      </c>
      <c r="M5381">
        <v>0.48752509999999999</v>
      </c>
      <c r="N5381">
        <v>0</v>
      </c>
      <c r="O5381">
        <v>-0.87299259999999901</v>
      </c>
      <c r="P5381">
        <v>0.48379850000000002</v>
      </c>
      <c r="Q5381">
        <v>-2.8064459999999999E-2</v>
      </c>
      <c r="R5381">
        <v>-0.87472950000000005</v>
      </c>
      <c r="S5381">
        <v>2.1695250000000001</v>
      </c>
      <c r="T5381">
        <v>-0.23987439999999999</v>
      </c>
      <c r="U5381">
        <v>-2.226318</v>
      </c>
      <c r="V5381">
        <v>4.2670410000000001E-3</v>
      </c>
      <c r="W5381">
        <v>-1.375734E-2</v>
      </c>
      <c r="X5381">
        <v>0.99989629999999996</v>
      </c>
      <c r="Y5381">
        <v>-0.25808740000000002</v>
      </c>
      <c r="Z5381">
        <v>7.2128849999999994E-2</v>
      </c>
      <c r="AA5381">
        <v>0.96342530000000004</v>
      </c>
      <c r="AB5381">
        <v>20</v>
      </c>
      <c r="AC5381">
        <v>10.029499999999899</v>
      </c>
      <c r="AD5381">
        <v>-1.11498289786699</v>
      </c>
      <c r="AE5381">
        <v>-10.260309999999899</v>
      </c>
      <c r="AF5381">
        <v>-3.7313688562524598</v>
      </c>
      <c r="AG5381">
        <v>-1.11498289786699</v>
      </c>
      <c r="AH5381">
        <v>13.7650894131255</v>
      </c>
      <c r="AI5381">
        <v>94.470252360736893</v>
      </c>
      <c r="AJ5381">
        <v>105.16695681418101</v>
      </c>
      <c r="AK5381">
        <v>14.3053831460499</v>
      </c>
      <c r="AL5381">
        <v>90.788262353026994</v>
      </c>
      <c r="AM5381">
        <v>89.755492688396103</v>
      </c>
      <c r="AN5381">
        <v>1.00000004139822</v>
      </c>
    </row>
    <row r="5382" spans="1:40" x14ac:dyDescent="0.25">
      <c r="A5382" t="str">
        <f>"20190312154945308"</f>
        <v>20190312154945308</v>
      </c>
      <c r="B5382" t="str">
        <f>"1552376985301357"</f>
        <v>1552376985301357</v>
      </c>
      <c r="C5382" t="s">
        <v>40</v>
      </c>
      <c r="D5382">
        <v>4.4319009999999999</v>
      </c>
      <c r="E5382">
        <v>0.39755760000000001</v>
      </c>
      <c r="F5382" t="s">
        <v>65</v>
      </c>
      <c r="G5382">
        <v>-407.99059999999997</v>
      </c>
      <c r="H5382" s="1">
        <v>-3.0069610000000002E-6</v>
      </c>
      <c r="I5382">
        <v>23.975739999999998</v>
      </c>
      <c r="J5382">
        <v>-418.25170000000003</v>
      </c>
      <c r="K5382">
        <v>1.11497</v>
      </c>
      <c r="L5382">
        <v>34.417299999999997</v>
      </c>
      <c r="M5382">
        <v>0.49139369999999999</v>
      </c>
      <c r="N5382">
        <v>0</v>
      </c>
      <c r="O5382">
        <v>-0.87082099999999996</v>
      </c>
      <c r="P5382">
        <v>0.48764570000000002</v>
      </c>
      <c r="Q5382">
        <v>-2.7729E-2</v>
      </c>
      <c r="R5382">
        <v>-0.87260139999999997</v>
      </c>
      <c r="S5382">
        <v>2.174744</v>
      </c>
      <c r="T5382">
        <v>-0.23512430000000001</v>
      </c>
      <c r="U5382">
        <v>-2.2192989999999999</v>
      </c>
      <c r="V5382">
        <v>4.3014689999999996E-3</v>
      </c>
      <c r="W5382">
        <v>-1.3423239999999999E-2</v>
      </c>
      <c r="X5382">
        <v>0.99990060000000003</v>
      </c>
      <c r="Y5382">
        <v>-0.25656319999999999</v>
      </c>
      <c r="Z5382">
        <v>7.0583590000000002E-2</v>
      </c>
      <c r="AA5382">
        <v>0.96394679999999999</v>
      </c>
      <c r="AB5382">
        <v>20</v>
      </c>
      <c r="AC5382">
        <v>10.261100000000001</v>
      </c>
      <c r="AD5382">
        <v>-1.114973006961</v>
      </c>
      <c r="AE5382">
        <v>-10.441560000000001</v>
      </c>
      <c r="AF5382">
        <v>-3.7831065143198899</v>
      </c>
      <c r="AG5382">
        <v>-1.114973006961</v>
      </c>
      <c r="AH5382">
        <v>14.054877841929001</v>
      </c>
      <c r="AI5382">
        <v>94.380502040591395</v>
      </c>
      <c r="AJ5382">
        <v>105.06507073305499</v>
      </c>
      <c r="AK5382">
        <v>14.5977618440804</v>
      </c>
      <c r="AL5382">
        <v>90.769118137658793</v>
      </c>
      <c r="AM5382">
        <v>89.753521000895105</v>
      </c>
      <c r="AN5382">
        <v>0.99999994794400604</v>
      </c>
    </row>
    <row r="5383" spans="1:40" x14ac:dyDescent="0.25">
      <c r="A5383" t="str">
        <f>"20190312154945319"</f>
        <v>20190312154945319</v>
      </c>
      <c r="B5383" t="str">
        <f>"1552376985311104"</f>
        <v>1552376985311104</v>
      </c>
      <c r="C5383" t="s">
        <v>40</v>
      </c>
      <c r="D5383">
        <v>4.3880999999999997</v>
      </c>
      <c r="E5383">
        <v>0.39755760000000001</v>
      </c>
      <c r="F5383" t="s">
        <v>65</v>
      </c>
      <c r="G5383">
        <v>-407.71929999999998</v>
      </c>
      <c r="H5383" s="1">
        <v>-3.1118480000000001E-6</v>
      </c>
      <c r="I5383">
        <v>23.725159999999999</v>
      </c>
      <c r="J5383">
        <v>-418.19290000000001</v>
      </c>
      <c r="K5383">
        <v>1.1149610000000001</v>
      </c>
      <c r="L5383">
        <v>34.324710000000003</v>
      </c>
      <c r="M5383">
        <v>0.49573660000000003</v>
      </c>
      <c r="N5383">
        <v>0</v>
      </c>
      <c r="O5383">
        <v>-0.86835599999999902</v>
      </c>
      <c r="P5383">
        <v>0.49182340000000002</v>
      </c>
      <c r="Q5383">
        <v>-2.7770260000000001E-2</v>
      </c>
      <c r="R5383">
        <v>-0.87025219999999903</v>
      </c>
      <c r="S5383">
        <v>2.1795650000000002</v>
      </c>
      <c r="T5383">
        <v>-0.23073089999999999</v>
      </c>
      <c r="U5383">
        <v>-2.2126160000000001</v>
      </c>
      <c r="V5383">
        <v>4.5010010000000001E-3</v>
      </c>
      <c r="W5383">
        <v>-1.346427E-2</v>
      </c>
      <c r="X5383">
        <v>0.99989919999999999</v>
      </c>
      <c r="Y5383">
        <v>-0.25433480000000003</v>
      </c>
      <c r="Z5383">
        <v>6.9118280000000004E-2</v>
      </c>
      <c r="AA5383">
        <v>0.96464320000000003</v>
      </c>
      <c r="AB5383">
        <v>20</v>
      </c>
      <c r="AC5383">
        <v>10.473599999999999</v>
      </c>
      <c r="AD5383">
        <v>-1.114964111848</v>
      </c>
      <c r="AE5383">
        <v>-10.599549999999899</v>
      </c>
      <c r="AF5383">
        <v>-3.8192362478019</v>
      </c>
      <c r="AG5383">
        <v>-1.114964111848</v>
      </c>
      <c r="AH5383">
        <v>14.317633409220999</v>
      </c>
      <c r="AI5383">
        <v>94.302970600032097</v>
      </c>
      <c r="AJ5383">
        <v>104.935902898411</v>
      </c>
      <c r="AK5383">
        <v>14.8601593843429</v>
      </c>
      <c r="AL5383">
        <v>90.771469172995793</v>
      </c>
      <c r="AM5383">
        <v>89.742087383374994</v>
      </c>
      <c r="AN5383">
        <v>0.99999997786863704</v>
      </c>
    </row>
    <row r="5384" spans="1:40" x14ac:dyDescent="0.25">
      <c r="A5384" t="str">
        <f>"20190312154945335"</f>
        <v>20190312154945335</v>
      </c>
      <c r="B5384" t="str">
        <f>"1552376985331600"</f>
        <v>1552376985331600</v>
      </c>
      <c r="C5384" t="s">
        <v>40</v>
      </c>
      <c r="D5384">
        <v>4.3973129999999996</v>
      </c>
      <c r="E5384">
        <v>0.39859749999999999</v>
      </c>
      <c r="F5384" t="s">
        <v>65</v>
      </c>
      <c r="G5384">
        <v>-407.59530000000001</v>
      </c>
      <c r="H5384" s="1">
        <v>-3.1730919999999999E-6</v>
      </c>
      <c r="I5384">
        <v>23.67051</v>
      </c>
      <c r="J5384">
        <v>-418.1232</v>
      </c>
      <c r="K5384">
        <v>1.1149560000000001</v>
      </c>
      <c r="L5384">
        <v>34.216189999999997</v>
      </c>
      <c r="M5384">
        <v>0.50082950000000004</v>
      </c>
      <c r="N5384">
        <v>0</v>
      </c>
      <c r="O5384">
        <v>-0.86542889999999995</v>
      </c>
      <c r="P5384">
        <v>0.49693169999999998</v>
      </c>
      <c r="Q5384">
        <v>-2.7966540000000002E-2</v>
      </c>
      <c r="R5384">
        <v>-0.86733930000000004</v>
      </c>
      <c r="S5384">
        <v>2.1903380000000001</v>
      </c>
      <c r="T5384">
        <v>-0.23044249999999999</v>
      </c>
      <c r="U5384">
        <v>-2.202026</v>
      </c>
      <c r="V5384">
        <v>4.4950659999999998E-3</v>
      </c>
      <c r="W5384">
        <v>-1.366332E-2</v>
      </c>
      <c r="X5384">
        <v>0.99989649999999997</v>
      </c>
      <c r="Y5384">
        <v>-0.25335679999999999</v>
      </c>
      <c r="Z5384">
        <v>6.8844589999999997E-2</v>
      </c>
      <c r="AA5384">
        <v>0.96492009999999995</v>
      </c>
      <c r="AB5384">
        <v>20</v>
      </c>
      <c r="AC5384">
        <v>10.527899999999899</v>
      </c>
      <c r="AD5384">
        <v>-1.1149591730920001</v>
      </c>
      <c r="AE5384">
        <v>-10.545680000000001</v>
      </c>
      <c r="AF5384">
        <v>-3.8086267653389201</v>
      </c>
      <c r="AG5384">
        <v>-1.1149591730920001</v>
      </c>
      <c r="AH5384">
        <v>14.320505004033601</v>
      </c>
      <c r="AI5384">
        <v>94.302938829654195</v>
      </c>
      <c r="AJ5384">
        <v>104.893405016938</v>
      </c>
      <c r="AK5384">
        <v>14.860203072834199</v>
      </c>
      <c r="AL5384">
        <v>90.782874968208802</v>
      </c>
      <c r="AM5384">
        <v>89.742426765716502</v>
      </c>
      <c r="AN5384">
        <v>0.99999995132200703</v>
      </c>
    </row>
    <row r="5385" spans="1:40" x14ac:dyDescent="0.25">
      <c r="A5385" t="str">
        <f>"20190312154945357"</f>
        <v>20190312154945357</v>
      </c>
      <c r="B5385" t="str">
        <f>"1552376985351120"</f>
        <v>1552376985351120</v>
      </c>
      <c r="C5385" t="s">
        <v>40</v>
      </c>
      <c r="D5385">
        <v>4.3948859999999996</v>
      </c>
      <c r="E5385">
        <v>0.40903060000000002</v>
      </c>
      <c r="F5385" t="s">
        <v>65</v>
      </c>
      <c r="G5385">
        <v>-407.32260000000002</v>
      </c>
      <c r="H5385" s="1">
        <v>-3.2802809999999999E-6</v>
      </c>
      <c r="I5385">
        <v>23.42671</v>
      </c>
      <c r="J5385">
        <v>-418.01139999999998</v>
      </c>
      <c r="K5385">
        <v>1.114946</v>
      </c>
      <c r="L5385">
        <v>34.04504</v>
      </c>
      <c r="M5385">
        <v>0.5088625</v>
      </c>
      <c r="N5385">
        <v>0</v>
      </c>
      <c r="O5385">
        <v>-0.86072979999999999</v>
      </c>
      <c r="P5385">
        <v>0.50516470000000002</v>
      </c>
      <c r="Q5385">
        <v>-2.7660959999999998E-2</v>
      </c>
      <c r="R5385">
        <v>-0.86257980000000001</v>
      </c>
      <c r="S5385">
        <v>2.19577</v>
      </c>
      <c r="T5385">
        <v>-0.22667229999999999</v>
      </c>
      <c r="U5385">
        <v>-2.1935120000000001</v>
      </c>
      <c r="V5385">
        <v>4.2849689999999996E-3</v>
      </c>
      <c r="W5385">
        <v>-1.336437E-2</v>
      </c>
      <c r="X5385">
        <v>0.9999015</v>
      </c>
      <c r="Y5385">
        <v>-0.2474867</v>
      </c>
      <c r="Z5385">
        <v>6.7390190000000003E-2</v>
      </c>
      <c r="AA5385">
        <v>0.96654479999999998</v>
      </c>
      <c r="AB5385">
        <v>20</v>
      </c>
      <c r="AC5385">
        <v>10.688799999999899</v>
      </c>
      <c r="AD5385">
        <v>-1.1149492802809999</v>
      </c>
      <c r="AE5385">
        <v>-10.61833</v>
      </c>
      <c r="AF5385">
        <v>-3.7766027685816801</v>
      </c>
      <c r="AG5385">
        <v>-1.1149492802809999</v>
      </c>
      <c r="AH5385">
        <v>14.500713773349601</v>
      </c>
      <c r="AI5385">
        <v>94.255373426352094</v>
      </c>
      <c r="AJ5385">
        <v>104.597963954585</v>
      </c>
      <c r="AK5385">
        <v>15.0258623814365</v>
      </c>
      <c r="AL5385">
        <v>90.765744801278302</v>
      </c>
      <c r="AM5385">
        <v>89.754466678806594</v>
      </c>
      <c r="AN5385">
        <v>0.999999988523538</v>
      </c>
    </row>
    <row r="5386" spans="1:40" x14ac:dyDescent="0.25">
      <c r="A5386" t="str">
        <f>"20190312154945369"</f>
        <v>20190312154945369</v>
      </c>
      <c r="B5386" t="str">
        <f>"1552376985361855"</f>
        <v>1552376985361855</v>
      </c>
      <c r="C5386" t="s">
        <v>40</v>
      </c>
      <c r="D5386">
        <v>4.3733300000000002</v>
      </c>
      <c r="E5386">
        <v>0.40928039999999999</v>
      </c>
      <c r="F5386" t="s">
        <v>65</v>
      </c>
      <c r="G5386">
        <v>-407.4742</v>
      </c>
      <c r="H5386" s="1">
        <v>-3.1325559999999999E-6</v>
      </c>
      <c r="I5386">
        <v>23.165790000000001</v>
      </c>
      <c r="J5386">
        <v>-417.95499999999998</v>
      </c>
      <c r="K5386">
        <v>1.1149389999999999</v>
      </c>
      <c r="L5386">
        <v>33.959780000000002</v>
      </c>
      <c r="M5386">
        <v>0.51286520000000002</v>
      </c>
      <c r="N5386">
        <v>0</v>
      </c>
      <c r="O5386">
        <v>-0.85835090000000003</v>
      </c>
      <c r="P5386">
        <v>0.50939489999999998</v>
      </c>
      <c r="Q5386">
        <v>-2.7203350000000001E-2</v>
      </c>
      <c r="R5386">
        <v>-0.86010299999999995</v>
      </c>
      <c r="S5386">
        <v>2.1449280000000002</v>
      </c>
      <c r="T5386">
        <v>-0.22695480000000001</v>
      </c>
      <c r="U5386">
        <v>-2.2145389999999998</v>
      </c>
      <c r="V5386">
        <v>4.0322999999999999E-3</v>
      </c>
      <c r="W5386">
        <v>-1.2911799999999999E-2</v>
      </c>
      <c r="X5386">
        <v>0.99990849999999998</v>
      </c>
      <c r="Y5386">
        <v>-0.22698550000000001</v>
      </c>
      <c r="Z5386">
        <v>6.7383269999999995E-2</v>
      </c>
      <c r="AA5386">
        <v>0.97156419999999999</v>
      </c>
      <c r="AB5386">
        <v>20</v>
      </c>
      <c r="AC5386">
        <v>10.480799999999901</v>
      </c>
      <c r="AD5386">
        <v>-1.1149421325559901</v>
      </c>
      <c r="AE5386">
        <v>-10.793990000000001</v>
      </c>
      <c r="AF5386">
        <v>-3.4417921556969602</v>
      </c>
      <c r="AG5386">
        <v>-1.1149421325559901</v>
      </c>
      <c r="AH5386">
        <v>14.561785431006401</v>
      </c>
      <c r="AI5386">
        <v>94.261419510436198</v>
      </c>
      <c r="AJ5386">
        <v>103.298255812714</v>
      </c>
      <c r="AK5386">
        <v>15.0044868003086</v>
      </c>
      <c r="AL5386">
        <v>90.739812209647397</v>
      </c>
      <c r="AM5386">
        <v>89.768946339236507</v>
      </c>
      <c r="AN5386">
        <v>0.99999999119738903</v>
      </c>
    </row>
    <row r="5387" spans="1:40" x14ac:dyDescent="0.25">
      <c r="A5387" t="str">
        <f>"20190312154945382"</f>
        <v>20190312154945382</v>
      </c>
      <c r="B5387" t="str">
        <f>"1552376985371616"</f>
        <v>1552376985371616</v>
      </c>
      <c r="C5387" t="s">
        <v>40</v>
      </c>
      <c r="D5387">
        <v>4.3671059999999997</v>
      </c>
      <c r="E5387">
        <v>0.4098367</v>
      </c>
      <c r="F5387" t="s">
        <v>65</v>
      </c>
      <c r="G5387">
        <v>-407.04059999999998</v>
      </c>
      <c r="H5387" s="1">
        <v>-3.3042839999999998E-6</v>
      </c>
      <c r="I5387">
        <v>22.78389</v>
      </c>
      <c r="J5387">
        <v>-417.89080000000001</v>
      </c>
      <c r="K5387">
        <v>1.1149309999999999</v>
      </c>
      <c r="L5387">
        <v>33.864040000000003</v>
      </c>
      <c r="M5387">
        <v>0.51736059999999995</v>
      </c>
      <c r="N5387">
        <v>0</v>
      </c>
      <c r="O5387">
        <v>-0.85564889999999905</v>
      </c>
      <c r="P5387">
        <v>0.51406379999999996</v>
      </c>
      <c r="Q5387">
        <v>-2.6997799999999999E-2</v>
      </c>
      <c r="R5387">
        <v>-0.8573269</v>
      </c>
      <c r="S5387">
        <v>2.1538089999999999</v>
      </c>
      <c r="T5387">
        <v>-0.2200192</v>
      </c>
      <c r="U5387">
        <v>-2.2054140000000002</v>
      </c>
      <c r="V5387">
        <v>3.8413710000000001E-3</v>
      </c>
      <c r="W5387">
        <v>-1.271104E-2</v>
      </c>
      <c r="X5387">
        <v>0.99991180000000002</v>
      </c>
      <c r="Y5387">
        <v>-0.2260036</v>
      </c>
      <c r="Z5387">
        <v>6.516624E-2</v>
      </c>
      <c r="AA5387">
        <v>0.97194429999999998</v>
      </c>
      <c r="AB5387">
        <v>20</v>
      </c>
      <c r="AC5387">
        <v>10.850199999999999</v>
      </c>
      <c r="AD5387">
        <v>-1.1149343042840001</v>
      </c>
      <c r="AE5387">
        <v>-11.08015</v>
      </c>
      <c r="AF5387">
        <v>-3.5336245271198798</v>
      </c>
      <c r="AG5387">
        <v>-1.1149343042840001</v>
      </c>
      <c r="AH5387">
        <v>15.018090705502599</v>
      </c>
      <c r="AI5387">
        <v>94.133349811779695</v>
      </c>
      <c r="AJ5387">
        <v>103.240361310814</v>
      </c>
      <c r="AK5387">
        <v>15.468439780412099</v>
      </c>
      <c r="AL5387">
        <v>90.728308582192994</v>
      </c>
      <c r="AM5387">
        <v>89.779887322979604</v>
      </c>
      <c r="AN5387">
        <v>0.99999996722413997</v>
      </c>
    </row>
    <row r="5388" spans="1:40" x14ac:dyDescent="0.25">
      <c r="A5388" t="str">
        <f>"20190312154945397"</f>
        <v>20190312154945397</v>
      </c>
      <c r="B5388" t="str">
        <f>"1552376985391136"</f>
        <v>1552376985391136</v>
      </c>
      <c r="C5388" t="s">
        <v>40</v>
      </c>
      <c r="D5388">
        <v>4.2727940000000002</v>
      </c>
      <c r="E5388">
        <v>0.41022140000000001</v>
      </c>
      <c r="F5388" t="s">
        <v>65</v>
      </c>
      <c r="G5388">
        <v>-406.85149999999999</v>
      </c>
      <c r="H5388" s="1">
        <v>-3.386181E-6</v>
      </c>
      <c r="I5388">
        <v>22.648980000000002</v>
      </c>
      <c r="J5388">
        <v>-417.81819999999999</v>
      </c>
      <c r="K5388">
        <v>1.1149119999999999</v>
      </c>
      <c r="L5388">
        <v>33.757170000000002</v>
      </c>
      <c r="M5388">
        <v>0.52238079999999998</v>
      </c>
      <c r="N5388">
        <v>0</v>
      </c>
      <c r="O5388">
        <v>-0.85259359999999995</v>
      </c>
      <c r="P5388">
        <v>0.51914159999999998</v>
      </c>
      <c r="Q5388">
        <v>-2.7191369999999999E-2</v>
      </c>
      <c r="R5388">
        <v>-0.85425569999999895</v>
      </c>
      <c r="S5388">
        <v>2.161743</v>
      </c>
      <c r="T5388">
        <v>-0.21832979999999999</v>
      </c>
      <c r="U5388">
        <v>-2.196167</v>
      </c>
      <c r="V5388">
        <v>3.7842700000000002E-3</v>
      </c>
      <c r="W5388">
        <v>-1.2908579999999999E-2</v>
      </c>
      <c r="X5388">
        <v>0.99990950000000001</v>
      </c>
      <c r="Y5388">
        <v>-0.22413849999999999</v>
      </c>
      <c r="Z5388">
        <v>6.4479030000000007E-2</v>
      </c>
      <c r="AA5388">
        <v>0.97242189999999995</v>
      </c>
      <c r="AB5388">
        <v>20</v>
      </c>
      <c r="AC5388">
        <v>10.966699999999999</v>
      </c>
      <c r="AD5388">
        <v>-1.1149153861809999</v>
      </c>
      <c r="AE5388">
        <v>-11.10819</v>
      </c>
      <c r="AF5388">
        <v>-3.5297849643617498</v>
      </c>
      <c r="AG5388">
        <v>-1.1149153861809999</v>
      </c>
      <c r="AH5388">
        <v>15.123949052586701</v>
      </c>
      <c r="AI5388">
        <v>94.106176219963402</v>
      </c>
      <c r="AJ5388">
        <v>103.137124722259</v>
      </c>
      <c r="AK5388">
        <v>15.570364580131599</v>
      </c>
      <c r="AL5388">
        <v>90.739627710020201</v>
      </c>
      <c r="AM5388">
        <v>89.783158711521395</v>
      </c>
      <c r="AN5388">
        <v>0.99999998016364899</v>
      </c>
    </row>
    <row r="5389" spans="1:40" x14ac:dyDescent="0.25">
      <c r="A5389" t="str">
        <f>"20190312154945411"</f>
        <v>20190312154945411</v>
      </c>
      <c r="B5389" t="str">
        <f>"1552376985400897"</f>
        <v>1552376985400897</v>
      </c>
      <c r="C5389" t="s">
        <v>40</v>
      </c>
      <c r="D5389">
        <v>4.3024940000000003</v>
      </c>
      <c r="E5389">
        <v>0.40997470000000003</v>
      </c>
      <c r="F5389" t="s">
        <v>65</v>
      </c>
      <c r="G5389">
        <v>-405.72480000000002</v>
      </c>
      <c r="H5389" s="1">
        <v>-3.79756E-6</v>
      </c>
      <c r="I5389">
        <v>21.586790000000001</v>
      </c>
      <c r="J5389">
        <v>-417.75060000000002</v>
      </c>
      <c r="K5389">
        <v>1.1148940000000001</v>
      </c>
      <c r="L5389">
        <v>33.658659999999998</v>
      </c>
      <c r="M5389">
        <v>0.52699980000000002</v>
      </c>
      <c r="N5389">
        <v>0</v>
      </c>
      <c r="O5389">
        <v>-0.84974620000000001</v>
      </c>
      <c r="P5389">
        <v>0.52392890000000003</v>
      </c>
      <c r="Q5389">
        <v>-2.688625E-2</v>
      </c>
      <c r="R5389">
        <v>-0.85133789999999998</v>
      </c>
      <c r="S5389">
        <v>2.1718139999999999</v>
      </c>
      <c r="T5389">
        <v>-0.20022400000000001</v>
      </c>
      <c r="U5389">
        <v>-2.185638</v>
      </c>
      <c r="V5389">
        <v>3.5984070000000001E-3</v>
      </c>
      <c r="W5389">
        <v>-1.260883E-2</v>
      </c>
      <c r="X5389">
        <v>0.99991410000000003</v>
      </c>
      <c r="Y5389">
        <v>-0.22372049999999999</v>
      </c>
      <c r="Z5389">
        <v>5.9001350000000001E-2</v>
      </c>
      <c r="AA5389">
        <v>0.97286589999999995</v>
      </c>
      <c r="AB5389">
        <v>20</v>
      </c>
      <c r="AC5389">
        <v>12.0258</v>
      </c>
      <c r="AD5389">
        <v>-1.1148977975600001</v>
      </c>
      <c r="AE5389">
        <v>-12.071869999999899</v>
      </c>
      <c r="AF5389">
        <v>-3.8409523249303699</v>
      </c>
      <c r="AG5389">
        <v>-1.1148977975600001</v>
      </c>
      <c r="AH5389">
        <v>16.5265506161407</v>
      </c>
      <c r="AI5389">
        <v>93.7594837097257</v>
      </c>
      <c r="AJ5389">
        <v>103.083895442371</v>
      </c>
      <c r="AK5389">
        <v>17.003611002644501</v>
      </c>
      <c r="AL5389">
        <v>90.722451837304902</v>
      </c>
      <c r="AM5389">
        <v>89.793809644205595</v>
      </c>
      <c r="AN5389">
        <v>1.0000000692528499</v>
      </c>
    </row>
    <row r="5390" spans="1:40" x14ac:dyDescent="0.25">
      <c r="A5390" t="str">
        <f>"20190312154945425"</f>
        <v>20190312154945425</v>
      </c>
      <c r="B5390" t="str">
        <f>"1552376985421391"</f>
        <v>1552376985421391</v>
      </c>
      <c r="C5390" t="s">
        <v>40</v>
      </c>
      <c r="D5390">
        <v>4.2851419999999996</v>
      </c>
      <c r="E5390">
        <v>0.41014020000000001</v>
      </c>
      <c r="F5390" t="s">
        <v>65</v>
      </c>
      <c r="G5390">
        <v>-405.12479999999999</v>
      </c>
      <c r="H5390" s="1">
        <v>-4.0140129999999997E-6</v>
      </c>
      <c r="I5390">
        <v>21.106480000000001</v>
      </c>
      <c r="J5390">
        <v>-417.67739999999998</v>
      </c>
      <c r="K5390">
        <v>1.1148690000000001</v>
      </c>
      <c r="L5390">
        <v>33.552950000000003</v>
      </c>
      <c r="M5390">
        <v>0.53194830000000004</v>
      </c>
      <c r="N5390">
        <v>0</v>
      </c>
      <c r="O5390">
        <v>-0.8466572</v>
      </c>
      <c r="P5390">
        <v>0.5290205</v>
      </c>
      <c r="Q5390">
        <v>-2.7192729999999998E-2</v>
      </c>
      <c r="R5390">
        <v>-0.84817339999999997</v>
      </c>
      <c r="S5390">
        <v>2.185486</v>
      </c>
      <c r="T5390">
        <v>-0.19298409999999999</v>
      </c>
      <c r="U5390">
        <v>-2.1727289999999999</v>
      </c>
      <c r="V5390">
        <v>3.4385280000000002E-3</v>
      </c>
      <c r="W5390">
        <v>-1.2921210000000001E-2</v>
      </c>
      <c r="X5390">
        <v>0.99991059999999998</v>
      </c>
      <c r="Y5390">
        <v>-0.2240752</v>
      </c>
      <c r="Z5390">
        <v>5.6713430000000002E-2</v>
      </c>
      <c r="AA5390">
        <v>0.97292029999999996</v>
      </c>
      <c r="AB5390">
        <v>20</v>
      </c>
      <c r="AC5390">
        <v>12.552599999999901</v>
      </c>
      <c r="AD5390">
        <v>-1.1148730140129901</v>
      </c>
      <c r="AE5390">
        <v>-12.44647</v>
      </c>
      <c r="AF5390">
        <v>-3.9914002068548302</v>
      </c>
      <c r="AG5390">
        <v>-1.1148730140129901</v>
      </c>
      <c r="AH5390">
        <v>17.1487602053706</v>
      </c>
      <c r="AI5390">
        <v>93.623096495580199</v>
      </c>
      <c r="AJ5390">
        <v>103.10240465273201</v>
      </c>
      <c r="AK5390">
        <v>17.642397627022198</v>
      </c>
      <c r="AL5390">
        <v>90.740351405422899</v>
      </c>
      <c r="AM5390">
        <v>89.802970019975504</v>
      </c>
      <c r="AN5390">
        <v>0.99999999456751498</v>
      </c>
    </row>
    <row r="5391" spans="1:40" x14ac:dyDescent="0.25">
      <c r="A5391" t="str">
        <f>"20190312154945438"</f>
        <v>20190312154945438</v>
      </c>
      <c r="B5391" t="str">
        <f>"1552376985431152"</f>
        <v>1552376985431152</v>
      </c>
      <c r="C5391" t="s">
        <v>40</v>
      </c>
      <c r="D5391">
        <v>4.3396559999999997</v>
      </c>
      <c r="E5391">
        <v>0.41035300000000002</v>
      </c>
      <c r="F5391" t="s">
        <v>65</v>
      </c>
      <c r="G5391">
        <v>-404.51080000000002</v>
      </c>
      <c r="H5391" s="1">
        <v>-4.2171300000000002E-6</v>
      </c>
      <c r="I5391">
        <v>20.605830000000001</v>
      </c>
      <c r="J5391">
        <v>-417.60910000000001</v>
      </c>
      <c r="K5391">
        <v>1.114846</v>
      </c>
      <c r="L5391">
        <v>33.456119999999999</v>
      </c>
      <c r="M5391">
        <v>0.53647389999999995</v>
      </c>
      <c r="N5391">
        <v>0</v>
      </c>
      <c r="O5391">
        <v>-0.84379680000000001</v>
      </c>
      <c r="P5391">
        <v>0.53372399999999998</v>
      </c>
      <c r="Q5391">
        <v>-2.741553E-2</v>
      </c>
      <c r="R5391">
        <v>-0.84521440000000003</v>
      </c>
      <c r="S5391">
        <v>2.1972049999999999</v>
      </c>
      <c r="T5391">
        <v>-0.1860473</v>
      </c>
      <c r="U5391">
        <v>-2.1605829999999999</v>
      </c>
      <c r="V5391">
        <v>3.2360140000000002E-3</v>
      </c>
      <c r="W5391">
        <v>-1.315098E-2</v>
      </c>
      <c r="X5391">
        <v>0.99990829999999997</v>
      </c>
      <c r="Y5391">
        <v>-0.22428339999999999</v>
      </c>
      <c r="Z5391">
        <v>5.454705E-2</v>
      </c>
      <c r="AA5391">
        <v>0.97299619999999998</v>
      </c>
      <c r="AB5391">
        <v>20</v>
      </c>
      <c r="AC5391">
        <v>13.098299999999901</v>
      </c>
      <c r="AD5391">
        <v>-1.1148502171300001</v>
      </c>
      <c r="AE5391">
        <v>-12.850289999999999</v>
      </c>
      <c r="AF5391">
        <v>-4.1435841944767597</v>
      </c>
      <c r="AG5391">
        <v>-1.1148502171300001</v>
      </c>
      <c r="AH5391">
        <v>17.806011364783199</v>
      </c>
      <c r="AI5391">
        <v>93.489661450821899</v>
      </c>
      <c r="AJ5391">
        <v>103.09998642257599</v>
      </c>
      <c r="AK5391">
        <v>18.315736995986299</v>
      </c>
      <c r="AL5391">
        <v>90.753517360719798</v>
      </c>
      <c r="AM5391">
        <v>89.814573699068703</v>
      </c>
      <c r="AN5391">
        <v>1.0000000142352199</v>
      </c>
    </row>
    <row r="5392" spans="1:40" x14ac:dyDescent="0.25">
      <c r="A5392" t="str">
        <f>"20190312154945451"</f>
        <v>20190312154945451</v>
      </c>
      <c r="B5392" t="str">
        <f>"1552376985440911"</f>
        <v>1552376985440911</v>
      </c>
      <c r="C5392" t="s">
        <v>40</v>
      </c>
      <c r="D5392">
        <v>4.3270949999999999</v>
      </c>
      <c r="E5392">
        <v>0.41086630000000002</v>
      </c>
      <c r="F5392" t="s">
        <v>65</v>
      </c>
      <c r="G5392">
        <v>-404.44009999999997</v>
      </c>
      <c r="H5392" s="1">
        <v>-4.255156E-6</v>
      </c>
      <c r="I5392">
        <v>20.63448</v>
      </c>
      <c r="J5392">
        <v>-417.54309999999998</v>
      </c>
      <c r="K5392">
        <v>1.1148199999999999</v>
      </c>
      <c r="L5392">
        <v>33.363309999999998</v>
      </c>
      <c r="M5392">
        <v>0.54080039999999996</v>
      </c>
      <c r="N5392">
        <v>0</v>
      </c>
      <c r="O5392">
        <v>-0.84103079999999997</v>
      </c>
      <c r="P5392">
        <v>0.53815789999999997</v>
      </c>
      <c r="Q5392">
        <v>-2.741816E-2</v>
      </c>
      <c r="R5392">
        <v>-0.84239830000000004</v>
      </c>
      <c r="S5392">
        <v>2.2075499999999999</v>
      </c>
      <c r="T5392">
        <v>-0.1868851</v>
      </c>
      <c r="U5392">
        <v>-2.1493229999999999</v>
      </c>
      <c r="V5392">
        <v>3.1163079999999999E-3</v>
      </c>
      <c r="W5392">
        <v>-1.315975E-2</v>
      </c>
      <c r="X5392">
        <v>0.99990860000000004</v>
      </c>
      <c r="Y5392">
        <v>-0.2240974</v>
      </c>
      <c r="Z5392">
        <v>5.4659779999999998E-2</v>
      </c>
      <c r="AA5392">
        <v>0.97303269999999997</v>
      </c>
      <c r="AB5392">
        <v>20</v>
      </c>
      <c r="AC5392">
        <v>13.103</v>
      </c>
      <c r="AD5392">
        <v>-1.1148242551559999</v>
      </c>
      <c r="AE5392">
        <v>-12.72883</v>
      </c>
      <c r="AF5392">
        <v>-4.12133930608399</v>
      </c>
      <c r="AG5392">
        <v>-1.1148242551559999</v>
      </c>
      <c r="AH5392">
        <v>17.727223007681499</v>
      </c>
      <c r="AI5392">
        <v>93.505221370573807</v>
      </c>
      <c r="AJ5392">
        <v>103.08799673710401</v>
      </c>
      <c r="AK5392">
        <v>18.2341083236836</v>
      </c>
      <c r="AL5392">
        <v>90.754019861687993</v>
      </c>
      <c r="AM5392">
        <v>89.821432961004902</v>
      </c>
      <c r="AN5392">
        <v>1.00000004937478</v>
      </c>
    </row>
    <row r="5393" spans="1:40" x14ac:dyDescent="0.25">
      <c r="A5393" t="str">
        <f>"20190312154945463"</f>
        <v>20190312154945463</v>
      </c>
      <c r="B5393" t="str">
        <f>"1552376985461407"</f>
        <v>1552376985461407</v>
      </c>
      <c r="C5393" t="s">
        <v>40</v>
      </c>
      <c r="D5393">
        <v>4.2921680000000002</v>
      </c>
      <c r="E5393">
        <v>0.411997</v>
      </c>
      <c r="F5393" t="s">
        <v>65</v>
      </c>
      <c r="G5393">
        <v>-404.40710000000001</v>
      </c>
      <c r="H5393" s="1">
        <v>-4.2783729999999999E-6</v>
      </c>
      <c r="I5393">
        <v>20.678509999999999</v>
      </c>
      <c r="J5393">
        <v>-417.4794</v>
      </c>
      <c r="K5393">
        <v>1.114798</v>
      </c>
      <c r="L5393">
        <v>33.274290000000001</v>
      </c>
      <c r="M5393">
        <v>0.54493519999999995</v>
      </c>
      <c r="N5393">
        <v>0</v>
      </c>
      <c r="O5393">
        <v>-0.83835780000000004</v>
      </c>
      <c r="P5393">
        <v>0.5425913</v>
      </c>
      <c r="Q5393">
        <v>-2.7743719999999999E-2</v>
      </c>
      <c r="R5393">
        <v>-0.83953889999999998</v>
      </c>
      <c r="S5393">
        <v>2.2157589999999998</v>
      </c>
      <c r="T5393">
        <v>-0.1880463</v>
      </c>
      <c r="U5393">
        <v>-2.1396480000000002</v>
      </c>
      <c r="V5393">
        <v>2.766096E-3</v>
      </c>
      <c r="W5393">
        <v>-1.349435E-2</v>
      </c>
      <c r="X5393">
        <v>0.99990509999999999</v>
      </c>
      <c r="Y5393">
        <v>-0.22328490000000001</v>
      </c>
      <c r="Z5393">
        <v>5.4865190000000001E-2</v>
      </c>
      <c r="AA5393">
        <v>0.97320790000000001</v>
      </c>
      <c r="AB5393">
        <v>20</v>
      </c>
      <c r="AC5393">
        <v>13.072299999999901</v>
      </c>
      <c r="AD5393">
        <v>-1.1148022783730001</v>
      </c>
      <c r="AE5393">
        <v>-12.59578</v>
      </c>
      <c r="AF5393">
        <v>-4.0804057472094701</v>
      </c>
      <c r="AG5393">
        <v>-1.1148022783730001</v>
      </c>
      <c r="AH5393">
        <v>17.618666581293802</v>
      </c>
      <c r="AI5393">
        <v>93.527384995785596</v>
      </c>
      <c r="AJ5393">
        <v>103.039562416088</v>
      </c>
      <c r="AK5393">
        <v>18.119324139838199</v>
      </c>
      <c r="AL5393">
        <v>90.773192785884206</v>
      </c>
      <c r="AM5393">
        <v>89.841499736078106</v>
      </c>
      <c r="AN5393">
        <v>0.99999997888750602</v>
      </c>
    </row>
    <row r="5394" spans="1:40" x14ac:dyDescent="0.25">
      <c r="A5394" t="str">
        <f>"20190312154945475"</f>
        <v>20190312154945475</v>
      </c>
      <c r="B5394" t="str">
        <f>"1552376985471168"</f>
        <v>1552376985471168</v>
      </c>
      <c r="C5394" t="s">
        <v>40</v>
      </c>
      <c r="D5394">
        <v>4.3245630000000004</v>
      </c>
      <c r="E5394">
        <v>0.41255999999999998</v>
      </c>
      <c r="F5394" t="s">
        <v>65</v>
      </c>
      <c r="G5394">
        <v>-404.42840000000001</v>
      </c>
      <c r="H5394" s="1">
        <v>-4.2776640000000004E-6</v>
      </c>
      <c r="I5394">
        <v>20.730309999999999</v>
      </c>
      <c r="J5394">
        <v>-417.42110000000002</v>
      </c>
      <c r="K5394">
        <v>1.1147659999999999</v>
      </c>
      <c r="L5394">
        <v>33.19406</v>
      </c>
      <c r="M5394">
        <v>0.54864899999999905</v>
      </c>
      <c r="N5394">
        <v>0</v>
      </c>
      <c r="O5394">
        <v>-0.83593200000000001</v>
      </c>
      <c r="P5394">
        <v>0.54649999999999999</v>
      </c>
      <c r="Q5394">
        <v>-2.8161729999999999E-2</v>
      </c>
      <c r="R5394">
        <v>-0.83698549999999905</v>
      </c>
      <c r="S5394">
        <v>2.2191160000000001</v>
      </c>
      <c r="T5394">
        <v>-0.18955430000000001</v>
      </c>
      <c r="U5394">
        <v>-2.1329039999999999</v>
      </c>
      <c r="V5394">
        <v>2.535729E-3</v>
      </c>
      <c r="W5394">
        <v>-1.392039E-2</v>
      </c>
      <c r="X5394">
        <v>0.99989989999999995</v>
      </c>
      <c r="Y5394">
        <v>-0.2212141</v>
      </c>
      <c r="Z5394">
        <v>5.5184879999999999E-2</v>
      </c>
      <c r="AA5394">
        <v>0.97366269999999999</v>
      </c>
      <c r="AB5394">
        <v>20</v>
      </c>
      <c r="AC5394">
        <v>12.992699999999999</v>
      </c>
      <c r="AD5394">
        <v>-1.1147702776639901</v>
      </c>
      <c r="AE5394">
        <v>-12.463749999999999</v>
      </c>
      <c r="AF5394">
        <v>-4.0078312135499896</v>
      </c>
      <c r="AG5394">
        <v>-1.1147702776639901</v>
      </c>
      <c r="AH5394">
        <v>17.482030791931599</v>
      </c>
      <c r="AI5394">
        <v>93.556598934490694</v>
      </c>
      <c r="AJ5394">
        <v>102.912180567108</v>
      </c>
      <c r="AK5394">
        <v>17.9701648411558</v>
      </c>
      <c r="AL5394">
        <v>90.797605350360698</v>
      </c>
      <c r="AM5394">
        <v>89.854699197155597</v>
      </c>
      <c r="AN5394">
        <v>1.0000000085996601</v>
      </c>
    </row>
    <row r="5395" spans="1:40" x14ac:dyDescent="0.25">
      <c r="A5395" t="str">
        <f>"20190312154945491"</f>
        <v>20190312154945491</v>
      </c>
      <c r="B5395" t="str">
        <f>"1552376985480927"</f>
        <v>1552376985480927</v>
      </c>
      <c r="C5395" t="s">
        <v>40</v>
      </c>
      <c r="D5395">
        <v>4.3276269999999997</v>
      </c>
      <c r="E5395">
        <v>0.4130607</v>
      </c>
      <c r="F5395" t="s">
        <v>65</v>
      </c>
      <c r="G5395">
        <v>-404.48809999999997</v>
      </c>
      <c r="H5395" s="1">
        <v>-4.2701449999999998E-6</v>
      </c>
      <c r="I5395">
        <v>20.844280000000001</v>
      </c>
      <c r="J5395">
        <v>-417.3383</v>
      </c>
      <c r="K5395">
        <v>1.1147129999999901</v>
      </c>
      <c r="L5395">
        <v>33.080930000000002</v>
      </c>
      <c r="M5395">
        <v>0.55385640000000003</v>
      </c>
      <c r="N5395">
        <v>0</v>
      </c>
      <c r="O5395">
        <v>-0.83249130000000005</v>
      </c>
      <c r="P5395">
        <v>0.55229439999999996</v>
      </c>
      <c r="Q5395">
        <v>-2.95231E-2</v>
      </c>
      <c r="R5395">
        <v>-0.83312649999999999</v>
      </c>
      <c r="S5395">
        <v>2.2252200000000002</v>
      </c>
      <c r="T5395">
        <v>-0.191805</v>
      </c>
      <c r="U5395">
        <v>-2.1248779999999998</v>
      </c>
      <c r="V5395">
        <v>1.827653E-3</v>
      </c>
      <c r="W5395">
        <v>-1.5298300000000001E-2</v>
      </c>
      <c r="X5395">
        <v>0.99988129999999997</v>
      </c>
      <c r="Y5395">
        <v>-0.2182704</v>
      </c>
      <c r="Z5395">
        <v>5.5628499999999997E-2</v>
      </c>
      <c r="AA5395">
        <v>0.97430159999999999</v>
      </c>
      <c r="AB5395">
        <v>20</v>
      </c>
      <c r="AC5395">
        <v>12.850199999999999</v>
      </c>
      <c r="AD5395">
        <v>-1.1147172701450001</v>
      </c>
      <c r="AE5395">
        <v>-12.236649999999999</v>
      </c>
      <c r="AF5395">
        <v>-3.9053153103723299</v>
      </c>
      <c r="AG5395">
        <v>-1.1147172701450001</v>
      </c>
      <c r="AH5395">
        <v>17.237784106884</v>
      </c>
      <c r="AI5395">
        <v>93.608794026540295</v>
      </c>
      <c r="AJ5395">
        <v>102.76518591439</v>
      </c>
      <c r="AK5395">
        <v>17.709751076210299</v>
      </c>
      <c r="AL5395">
        <v>90.876562220804402</v>
      </c>
      <c r="AM5395">
        <v>89.895270881962404</v>
      </c>
      <c r="AN5395">
        <v>0.99999999619403401</v>
      </c>
    </row>
    <row r="5396" spans="1:40" x14ac:dyDescent="0.25">
      <c r="A5396" t="str">
        <f>"20190312154945503"</f>
        <v>20190312154945503</v>
      </c>
      <c r="B5396" t="str">
        <f>"1552376985491664"</f>
        <v>1552376985491664</v>
      </c>
      <c r="C5396" t="s">
        <v>40</v>
      </c>
      <c r="D5396">
        <v>4.3632229999999996</v>
      </c>
      <c r="E5396">
        <v>0.4133193</v>
      </c>
      <c r="F5396" t="s">
        <v>65</v>
      </c>
      <c r="G5396">
        <v>-404.64109999999999</v>
      </c>
      <c r="H5396" s="1">
        <v>-4.243464E-6</v>
      </c>
      <c r="I5396">
        <v>21.094850000000001</v>
      </c>
      <c r="J5396">
        <v>-417.27480000000003</v>
      </c>
      <c r="K5396">
        <v>1.1146739999999999</v>
      </c>
      <c r="L5396">
        <v>32.995150000000002</v>
      </c>
      <c r="M5396">
        <v>0.55778090000000002</v>
      </c>
      <c r="N5396">
        <v>0</v>
      </c>
      <c r="O5396">
        <v>-0.82986689999999996</v>
      </c>
      <c r="P5396">
        <v>0.55632809999999999</v>
      </c>
      <c r="Q5396">
        <v>-3.0222209999999999E-2</v>
      </c>
      <c r="R5396">
        <v>-0.83041309999999902</v>
      </c>
      <c r="S5396">
        <v>2.236542</v>
      </c>
      <c r="T5396">
        <v>-0.19635269999999999</v>
      </c>
      <c r="U5396">
        <v>-2.1112980000000001</v>
      </c>
      <c r="V5396">
        <v>1.6924069999999999E-3</v>
      </c>
      <c r="W5396">
        <v>-1.6005829999999999E-2</v>
      </c>
      <c r="X5396">
        <v>0.9998705</v>
      </c>
      <c r="Y5396">
        <v>-0.21918899999999999</v>
      </c>
      <c r="Z5396">
        <v>5.684177E-2</v>
      </c>
      <c r="AA5396">
        <v>0.97402520000000004</v>
      </c>
      <c r="AB5396">
        <v>20</v>
      </c>
      <c r="AC5396">
        <v>12.633699999999999</v>
      </c>
      <c r="AD5396">
        <v>-1.1146782434639999</v>
      </c>
      <c r="AE5396">
        <v>-11.9003</v>
      </c>
      <c r="AF5396">
        <v>-3.8311141715657602</v>
      </c>
      <c r="AG5396">
        <v>-1.1146782434639999</v>
      </c>
      <c r="AH5396">
        <v>16.854683504126101</v>
      </c>
      <c r="AI5396">
        <v>93.689874154735506</v>
      </c>
      <c r="AJ5396">
        <v>102.80589612013701</v>
      </c>
      <c r="AK5396">
        <v>17.320516718801599</v>
      </c>
      <c r="AL5396">
        <v>90.917105636805999</v>
      </c>
      <c r="AM5396">
        <v>89.903019755343394</v>
      </c>
      <c r="AN5396">
        <v>1.0000000338028401</v>
      </c>
    </row>
    <row r="5397" spans="1:40" x14ac:dyDescent="0.25">
      <c r="A5397" t="str">
        <f>"20190312154945516"</f>
        <v>20190312154945516</v>
      </c>
      <c r="B5397" t="str">
        <f>"1552376985511690"</f>
        <v>1552376985511690</v>
      </c>
      <c r="C5397" t="s">
        <v>40</v>
      </c>
      <c r="D5397">
        <v>4.3708850000000004</v>
      </c>
      <c r="E5397">
        <v>0.40187590000000001</v>
      </c>
      <c r="F5397" t="s">
        <v>65</v>
      </c>
      <c r="G5397">
        <v>-404.7953</v>
      </c>
      <c r="H5397" s="1">
        <v>-4.2103189999999996E-6</v>
      </c>
      <c r="I5397">
        <v>21.311969999999999</v>
      </c>
      <c r="J5397">
        <v>-417.20960000000002</v>
      </c>
      <c r="K5397">
        <v>1.114627</v>
      </c>
      <c r="L5397">
        <v>32.908110000000001</v>
      </c>
      <c r="M5397">
        <v>0.5617297</v>
      </c>
      <c r="N5397">
        <v>0</v>
      </c>
      <c r="O5397">
        <v>-0.82719929999999997</v>
      </c>
      <c r="P5397">
        <v>0.56039490000000003</v>
      </c>
      <c r="Q5397">
        <v>-3.0450149999999999E-2</v>
      </c>
      <c r="R5397">
        <v>-0.82766629999999997</v>
      </c>
      <c r="S5397">
        <v>2.2447509999999999</v>
      </c>
      <c r="T5397">
        <v>-0.2005017</v>
      </c>
      <c r="U5397">
        <v>-2.1015009999999998</v>
      </c>
      <c r="V5397">
        <v>1.5493600000000001E-3</v>
      </c>
      <c r="W5397">
        <v>-1.6243529999999999E-2</v>
      </c>
      <c r="X5397">
        <v>0.99986679999999994</v>
      </c>
      <c r="Y5397">
        <v>-0.21852479999999999</v>
      </c>
      <c r="Z5397">
        <v>5.7895000000000002E-2</v>
      </c>
      <c r="AA5397">
        <v>0.97411250000000005</v>
      </c>
      <c r="AB5397">
        <v>20</v>
      </c>
      <c r="AC5397">
        <v>12.414300000000001</v>
      </c>
      <c r="AD5397">
        <v>-1.1146312103189999</v>
      </c>
      <c r="AE5397">
        <v>-11.596139999999901</v>
      </c>
      <c r="AF5397">
        <v>-3.7394825689137399</v>
      </c>
      <c r="AG5397">
        <v>-1.1146312103189999</v>
      </c>
      <c r="AH5397">
        <v>16.4964458780581</v>
      </c>
      <c r="AI5397">
        <v>93.770118324694906</v>
      </c>
      <c r="AJ5397">
        <v>102.772194528656</v>
      </c>
      <c r="AK5397">
        <v>16.951662432514599</v>
      </c>
      <c r="AL5397">
        <v>90.930726705768194</v>
      </c>
      <c r="AM5397">
        <v>89.911216456137097</v>
      </c>
      <c r="AN5397">
        <v>0.99999993526275299</v>
      </c>
    </row>
    <row r="5398" spans="1:40" x14ac:dyDescent="0.25">
      <c r="A5398" t="str">
        <f>"20190312154945528"</f>
        <v>20190312154945528</v>
      </c>
      <c r="B5398" t="str">
        <f>"1552376985521450"</f>
        <v>1552376985521450</v>
      </c>
      <c r="C5398" t="s">
        <v>40</v>
      </c>
      <c r="D5398">
        <v>4.3365530000000003</v>
      </c>
      <c r="E5398">
        <v>0.39982689999999999</v>
      </c>
      <c r="F5398" t="s">
        <v>65</v>
      </c>
      <c r="G5398">
        <v>-404.84460000000001</v>
      </c>
      <c r="H5398" s="1">
        <v>-4.3262000000000002E-6</v>
      </c>
      <c r="I5398">
        <v>22.091999999999999</v>
      </c>
      <c r="J5398">
        <v>-417.14760000000001</v>
      </c>
      <c r="K5398">
        <v>1.1145830000000001</v>
      </c>
      <c r="L5398">
        <v>32.825710000000001</v>
      </c>
      <c r="M5398">
        <v>0.5654479</v>
      </c>
      <c r="N5398">
        <v>0</v>
      </c>
      <c r="O5398">
        <v>-0.82466209999999995</v>
      </c>
      <c r="P5398">
        <v>0.56437040000000005</v>
      </c>
      <c r="Q5398">
        <v>-3.0553919999999998E-2</v>
      </c>
      <c r="R5398">
        <v>-0.82495620000000003</v>
      </c>
      <c r="S5398">
        <v>2.3307799999999999</v>
      </c>
      <c r="T5398">
        <v>-0.21010609999999999</v>
      </c>
      <c r="U5398">
        <v>-2.038818</v>
      </c>
      <c r="V5398">
        <v>1.237391E-3</v>
      </c>
      <c r="W5398">
        <v>-1.6358649999999999E-2</v>
      </c>
      <c r="X5398">
        <v>0.99986540000000002</v>
      </c>
      <c r="Y5398">
        <v>-0.24678430000000001</v>
      </c>
      <c r="Z5398">
        <v>6.0655349999999997E-2</v>
      </c>
      <c r="AA5398">
        <v>0.96717030000000004</v>
      </c>
      <c r="AB5398">
        <v>20</v>
      </c>
      <c r="AC5398">
        <v>12.3029999999999</v>
      </c>
      <c r="AD5398">
        <v>-1.1145873261999999</v>
      </c>
      <c r="AE5398">
        <v>-10.73371</v>
      </c>
      <c r="AF5398">
        <v>-4.0579629659550998</v>
      </c>
      <c r="AG5398">
        <v>-1.1145873261999999</v>
      </c>
      <c r="AH5398">
        <v>15.736642814484901</v>
      </c>
      <c r="AI5398">
        <v>93.923427081038994</v>
      </c>
      <c r="AJ5398">
        <v>104.459690511384</v>
      </c>
      <c r="AK5398">
        <v>16.289606975352999</v>
      </c>
      <c r="AL5398">
        <v>90.937323433414306</v>
      </c>
      <c r="AM5398">
        <v>89.929093210232793</v>
      </c>
      <c r="AN5398">
        <v>0.99999997734173396</v>
      </c>
    </row>
    <row r="5399" spans="1:40" x14ac:dyDescent="0.25">
      <c r="A5399" t="str">
        <f>"20190312154945539"</f>
        <v>20190312154945539</v>
      </c>
      <c r="B5399" t="str">
        <f>"1552376985531210"</f>
        <v>1552376985531210</v>
      </c>
      <c r="C5399" t="s">
        <v>40</v>
      </c>
      <c r="D5399">
        <v>4.3397569999999996</v>
      </c>
      <c r="E5399">
        <v>0.39984340000000002</v>
      </c>
      <c r="F5399" t="s">
        <v>65</v>
      </c>
      <c r="G5399">
        <v>-404.67869999999999</v>
      </c>
      <c r="H5399" s="1">
        <v>-4.4114090000000003E-6</v>
      </c>
      <c r="I5399">
        <v>22.13664</v>
      </c>
      <c r="J5399">
        <v>-417.0806</v>
      </c>
      <c r="K5399">
        <v>1.1145320000000001</v>
      </c>
      <c r="L5399">
        <v>32.737850000000002</v>
      </c>
      <c r="M5399">
        <v>0.56937799999999905</v>
      </c>
      <c r="N5399">
        <v>0</v>
      </c>
      <c r="O5399">
        <v>-0.8219535</v>
      </c>
      <c r="P5399">
        <v>0.56842029999999999</v>
      </c>
      <c r="Q5399">
        <v>-3.0339430000000001E-2</v>
      </c>
      <c r="R5399">
        <v>-0.82217879999999999</v>
      </c>
      <c r="S5399">
        <v>2.3542179999999999</v>
      </c>
      <c r="T5399">
        <v>-0.21044360000000001</v>
      </c>
      <c r="U5399">
        <v>-2.0181879999999999</v>
      </c>
      <c r="V5399">
        <v>1.093643E-3</v>
      </c>
      <c r="W5399">
        <v>-1.6155019999999999E-2</v>
      </c>
      <c r="X5399">
        <v>0.99986889999999995</v>
      </c>
      <c r="Y5399">
        <v>-0.25181100000000001</v>
      </c>
      <c r="Z5399">
        <v>6.0622259999999997E-2</v>
      </c>
      <c r="AA5399">
        <v>0.96587590000000001</v>
      </c>
      <c r="AB5399">
        <v>20</v>
      </c>
      <c r="AC5399">
        <v>12.401899999999999</v>
      </c>
      <c r="AD5399">
        <v>-1.1145364114089999</v>
      </c>
      <c r="AE5399">
        <v>-10.60121</v>
      </c>
      <c r="AF5399">
        <v>-4.1387938345977897</v>
      </c>
      <c r="AG5399">
        <v>-1.1145364114089999</v>
      </c>
      <c r="AH5399">
        <v>15.703377419154601</v>
      </c>
      <c r="AI5399">
        <v>93.9260896066952</v>
      </c>
      <c r="AJ5399">
        <v>104.76514733365801</v>
      </c>
      <c r="AK5399">
        <v>16.277833645361898</v>
      </c>
      <c r="AL5399">
        <v>90.9256547315088</v>
      </c>
      <c r="AM5399">
        <v>89.937330680846799</v>
      </c>
      <c r="AN5399">
        <v>0.99999999895670999</v>
      </c>
    </row>
    <row r="5400" spans="1:40" x14ac:dyDescent="0.25">
      <c r="A5400" t="str">
        <f>"20190312154945551"</f>
        <v>20190312154945551</v>
      </c>
      <c r="B5400" t="str">
        <f>"1552376985540971"</f>
        <v>1552376985540971</v>
      </c>
      <c r="C5400" t="s">
        <v>40</v>
      </c>
      <c r="D5400">
        <v>4.2983729999999998</v>
      </c>
      <c r="E5400">
        <v>0.39992369999999999</v>
      </c>
      <c r="F5400" t="s">
        <v>65</v>
      </c>
      <c r="G5400">
        <v>-404.47379999999998</v>
      </c>
      <c r="H5400" s="1">
        <v>-4.4886370000000001E-6</v>
      </c>
      <c r="I5400">
        <v>22.034189999999999</v>
      </c>
      <c r="J5400">
        <v>-417.02229999999997</v>
      </c>
      <c r="K5400">
        <v>1.1144860000000001</v>
      </c>
      <c r="L5400">
        <v>32.661900000000003</v>
      </c>
      <c r="M5400">
        <v>0.57274910000000001</v>
      </c>
      <c r="N5400">
        <v>0</v>
      </c>
      <c r="O5400">
        <v>-0.81960840000000001</v>
      </c>
      <c r="P5400">
        <v>0.57198319999999903</v>
      </c>
      <c r="Q5400">
        <v>-2.996652E-2</v>
      </c>
      <c r="R5400">
        <v>-0.81971799999999995</v>
      </c>
      <c r="S5400">
        <v>2.3637700000000001</v>
      </c>
      <c r="T5400">
        <v>-0.20897460000000001</v>
      </c>
      <c r="U5400">
        <v>-2.0069270000000001</v>
      </c>
      <c r="V5400">
        <v>8.6295169999999995E-4</v>
      </c>
      <c r="W5400">
        <v>-1.5792899999999999E-2</v>
      </c>
      <c r="X5400">
        <v>0.99987490000000001</v>
      </c>
      <c r="Y5400">
        <v>-0.25246299999999999</v>
      </c>
      <c r="Z5400">
        <v>6.0086149999999998E-2</v>
      </c>
      <c r="AA5400">
        <v>0.96573909999999996</v>
      </c>
      <c r="AB5400">
        <v>20</v>
      </c>
      <c r="AC5400">
        <v>12.548499999999899</v>
      </c>
      <c r="AD5400">
        <v>-1.114490488637</v>
      </c>
      <c r="AE5400">
        <v>-10.62771</v>
      </c>
      <c r="AF5400">
        <v>-4.1790699167123098</v>
      </c>
      <c r="AG5400">
        <v>-1.114490488637</v>
      </c>
      <c r="AH5400">
        <v>15.82660040164</v>
      </c>
      <c r="AI5400">
        <v>93.894984279586893</v>
      </c>
      <c r="AJ5400">
        <v>104.791545506326</v>
      </c>
      <c r="AK5400">
        <v>16.4069495851979</v>
      </c>
      <c r="AL5400">
        <v>90.904904145993598</v>
      </c>
      <c r="AM5400">
        <v>89.9505503357897</v>
      </c>
      <c r="AN5400">
        <v>0.99999998801302803</v>
      </c>
    </row>
    <row r="5401" spans="1:40" x14ac:dyDescent="0.25">
      <c r="A5401" t="str">
        <f>"20190312154945563"</f>
        <v>20190312154945563</v>
      </c>
      <c r="B5401" t="str">
        <f>"1552376985561467"</f>
        <v>1552376985561467</v>
      </c>
      <c r="C5401" t="s">
        <v>40</v>
      </c>
      <c r="D5401">
        <v>4.2578480000000001</v>
      </c>
      <c r="E5401">
        <v>0.40054129999999999</v>
      </c>
      <c r="F5401" t="s">
        <v>65</v>
      </c>
      <c r="G5401">
        <v>-404.17869999999999</v>
      </c>
      <c r="H5401" s="1">
        <v>-4.5930760000000003E-6</v>
      </c>
      <c r="I5401">
        <v>21.848749999999999</v>
      </c>
      <c r="J5401">
        <v>-416.95499999999998</v>
      </c>
      <c r="K5401">
        <v>1.1144320000000001</v>
      </c>
      <c r="L5401">
        <v>32.574770000000001</v>
      </c>
      <c r="M5401">
        <v>0.57659199999999999</v>
      </c>
      <c r="N5401">
        <v>0</v>
      </c>
      <c r="O5401">
        <v>-0.81690949999999996</v>
      </c>
      <c r="P5401">
        <v>0.57573819999999998</v>
      </c>
      <c r="Q5401">
        <v>-3.002055E-2</v>
      </c>
      <c r="R5401">
        <v>-0.8170828</v>
      </c>
      <c r="S5401">
        <v>2.3721009999999998</v>
      </c>
      <c r="T5401">
        <v>-0.20583750000000001</v>
      </c>
      <c r="U5401">
        <v>-1.997101</v>
      </c>
      <c r="V5401">
        <v>9.684095E-4</v>
      </c>
      <c r="W5401">
        <v>-1.5855589999999999E-2</v>
      </c>
      <c r="X5401">
        <v>0.99987380000000003</v>
      </c>
      <c r="Y5401">
        <v>-0.25198579999999998</v>
      </c>
      <c r="Z5401">
        <v>5.9031529999999999E-2</v>
      </c>
      <c r="AA5401">
        <v>0.96592880000000003</v>
      </c>
      <c r="AB5401">
        <v>20</v>
      </c>
      <c r="AC5401">
        <v>12.7762999999999</v>
      </c>
      <c r="AD5401">
        <v>-1.1144365930759901</v>
      </c>
      <c r="AE5401">
        <v>-10.72602</v>
      </c>
      <c r="AF5401">
        <v>-4.2340733175644303</v>
      </c>
      <c r="AG5401">
        <v>-1.1144365930759901</v>
      </c>
      <c r="AH5401">
        <v>16.058846855899201</v>
      </c>
      <c r="AI5401">
        <v>93.839010451441496</v>
      </c>
      <c r="AJ5401">
        <v>104.770457289473</v>
      </c>
      <c r="AK5401">
        <v>16.6449964890271</v>
      </c>
      <c r="AL5401">
        <v>90.908496478497398</v>
      </c>
      <c r="AM5401">
        <v>89.944507236972399</v>
      </c>
      <c r="AN5401">
        <v>0.99999997673882302</v>
      </c>
    </row>
    <row r="5402" spans="1:40" x14ac:dyDescent="0.25">
      <c r="A5402" t="str">
        <f>"20190312154945574"</f>
        <v>20190312154945574</v>
      </c>
      <c r="B5402" t="str">
        <f>"1552376985571226"</f>
        <v>1552376985571226</v>
      </c>
      <c r="C5402" t="s">
        <v>40</v>
      </c>
      <c r="D5402">
        <v>4.2473489999999998</v>
      </c>
      <c r="E5402">
        <v>0.40112880000000001</v>
      </c>
      <c r="F5402" t="s">
        <v>65</v>
      </c>
      <c r="G5402">
        <v>-404.21589999999998</v>
      </c>
      <c r="H5402" s="1">
        <v>-4.5874320000000004E-6</v>
      </c>
      <c r="I5402">
        <v>21.914159999999999</v>
      </c>
      <c r="J5402">
        <v>-416.89920000000001</v>
      </c>
      <c r="K5402">
        <v>1.1143879999999999</v>
      </c>
      <c r="L5402">
        <v>32.503419999999998</v>
      </c>
      <c r="M5402">
        <v>0.57969989999999905</v>
      </c>
      <c r="N5402">
        <v>0</v>
      </c>
      <c r="O5402">
        <v>-0.81470739999999997</v>
      </c>
      <c r="P5402">
        <v>0.57879329999999996</v>
      </c>
      <c r="Q5402">
        <v>-3.0225149999999999E-2</v>
      </c>
      <c r="R5402">
        <v>-0.81491429999999998</v>
      </c>
      <c r="S5402">
        <v>2.3769230000000001</v>
      </c>
      <c r="T5402">
        <v>-0.2079366</v>
      </c>
      <c r="U5402">
        <v>-1.9891049999999999</v>
      </c>
      <c r="V5402">
        <v>1.0301170000000001E-3</v>
      </c>
      <c r="W5402">
        <v>-1.6068410000000002E-2</v>
      </c>
      <c r="X5402">
        <v>0.99987040000000005</v>
      </c>
      <c r="Y5402">
        <v>-0.25114360000000002</v>
      </c>
      <c r="Z5402">
        <v>5.9521369999999997E-2</v>
      </c>
      <c r="AA5402">
        <v>0.96611800000000003</v>
      </c>
      <c r="AB5402">
        <v>20</v>
      </c>
      <c r="AC5402">
        <v>12.683299999999999</v>
      </c>
      <c r="AD5402">
        <v>-1.114392587432</v>
      </c>
      <c r="AE5402">
        <v>-10.589259999999999</v>
      </c>
      <c r="AF5402">
        <v>-4.1760080008483902</v>
      </c>
      <c r="AG5402">
        <v>-1.114392587432</v>
      </c>
      <c r="AH5402">
        <v>15.908883912533801</v>
      </c>
      <c r="AI5402">
        <v>93.876043121911295</v>
      </c>
      <c r="AJ5402">
        <v>104.70805448087</v>
      </c>
      <c r="AK5402">
        <v>16.485554312929601</v>
      </c>
      <c r="AL5402">
        <v>90.9206916658392</v>
      </c>
      <c r="AM5402">
        <v>89.940971014220807</v>
      </c>
      <c r="AN5402">
        <v>1.0000000358685599</v>
      </c>
    </row>
    <row r="5403" spans="1:40" x14ac:dyDescent="0.25">
      <c r="A5403" t="str">
        <f>"20190312154945586"</f>
        <v>20190312154945586</v>
      </c>
      <c r="B5403" t="str">
        <f>"1552376985580986"</f>
        <v>1552376985580986</v>
      </c>
      <c r="C5403" t="s">
        <v>40</v>
      </c>
      <c r="D5403">
        <v>4.2637080000000003</v>
      </c>
      <c r="E5403">
        <v>0.40142040000000001</v>
      </c>
      <c r="F5403" t="s">
        <v>65</v>
      </c>
      <c r="G5403">
        <v>-404.16559999999998</v>
      </c>
      <c r="H5403" s="1">
        <v>-4.6080069999999997E-6</v>
      </c>
      <c r="I5403">
        <v>21.89818</v>
      </c>
      <c r="J5403">
        <v>-416.83409999999998</v>
      </c>
      <c r="K5403">
        <v>1.1143350000000001</v>
      </c>
      <c r="L5403">
        <v>32.420589999999997</v>
      </c>
      <c r="M5403">
        <v>0.58328970000000002</v>
      </c>
      <c r="N5403">
        <v>0</v>
      </c>
      <c r="O5403">
        <v>-0.81214140000000001</v>
      </c>
      <c r="P5403">
        <v>0.58240289999999995</v>
      </c>
      <c r="Q5403">
        <v>-3.0243289999999999E-2</v>
      </c>
      <c r="R5403">
        <v>-0.81233789999999995</v>
      </c>
      <c r="S5403">
        <v>2.3806759999999998</v>
      </c>
      <c r="T5403">
        <v>-0.208347</v>
      </c>
      <c r="U5403">
        <v>-1.982758</v>
      </c>
      <c r="V5403">
        <v>1.004626E-3</v>
      </c>
      <c r="W5403">
        <v>-1.6096869999999999E-2</v>
      </c>
      <c r="X5403">
        <v>0.99986989999999998</v>
      </c>
      <c r="Y5403">
        <v>-0.24913969999999999</v>
      </c>
      <c r="Z5403">
        <v>5.9478719999999999E-2</v>
      </c>
      <c r="AA5403">
        <v>0.96663940000000004</v>
      </c>
      <c r="AB5403">
        <v>20</v>
      </c>
      <c r="AC5403">
        <v>12.6684999999999</v>
      </c>
      <c r="AD5403">
        <v>-1.114339608007</v>
      </c>
      <c r="AE5403">
        <v>-10.522410000000001</v>
      </c>
      <c r="AF5403">
        <v>-4.1324932689181502</v>
      </c>
      <c r="AG5403">
        <v>-1.114339608007</v>
      </c>
      <c r="AH5403">
        <v>15.8640458584537</v>
      </c>
      <c r="AI5403">
        <v>93.8886788695159</v>
      </c>
      <c r="AJ5403">
        <v>104.600740160588</v>
      </c>
      <c r="AK5403">
        <v>16.431287362186399</v>
      </c>
      <c r="AL5403">
        <v>90.922322577458004</v>
      </c>
      <c r="AM5403">
        <v>89.942431699944905</v>
      </c>
      <c r="AN5403">
        <v>0.99999996771160204</v>
      </c>
    </row>
    <row r="5404" spans="1:40" x14ac:dyDescent="0.25">
      <c r="A5404" t="str">
        <f>"20190312154945599"</f>
        <v>20190312154945599</v>
      </c>
      <c r="B5404" t="str">
        <f>"1552376985591722"</f>
        <v>1552376985591722</v>
      </c>
      <c r="C5404" t="s">
        <v>40</v>
      </c>
      <c r="D5404">
        <v>4.2146499999999998</v>
      </c>
      <c r="E5404">
        <v>0.40180159999999998</v>
      </c>
      <c r="F5404" t="s">
        <v>65</v>
      </c>
      <c r="G5404">
        <v>-404.00310000000002</v>
      </c>
      <c r="H5404" s="1">
        <v>-4.668803E-6</v>
      </c>
      <c r="I5404">
        <v>21.814579999999999</v>
      </c>
      <c r="J5404">
        <v>-416.76319999999998</v>
      </c>
      <c r="K5404">
        <v>1.114277</v>
      </c>
      <c r="L5404">
        <v>32.331299999999999</v>
      </c>
      <c r="M5404">
        <v>0.58710769999999901</v>
      </c>
      <c r="N5404">
        <v>0</v>
      </c>
      <c r="O5404">
        <v>-0.80938569999999999</v>
      </c>
      <c r="P5404">
        <v>0.58629739999999997</v>
      </c>
      <c r="Q5404">
        <v>-3.0240019999999999E-2</v>
      </c>
      <c r="R5404">
        <v>-0.80953129999999995</v>
      </c>
      <c r="S5404">
        <v>2.3876040000000001</v>
      </c>
      <c r="T5404">
        <v>-0.2073567</v>
      </c>
      <c r="U5404">
        <v>-1.9735720000000001</v>
      </c>
      <c r="V5404">
        <v>9.0892999999999996E-4</v>
      </c>
      <c r="W5404">
        <v>-1.610632E-2</v>
      </c>
      <c r="X5404">
        <v>0.99986989999999998</v>
      </c>
      <c r="Y5404">
        <v>-0.24818609999999999</v>
      </c>
      <c r="Z5404">
        <v>5.9035990000000003E-2</v>
      </c>
      <c r="AA5404">
        <v>0.96691179999999999</v>
      </c>
      <c r="AB5404">
        <v>20</v>
      </c>
      <c r="AC5404">
        <v>12.7600999999999</v>
      </c>
      <c r="AD5404">
        <v>-1.1142816688029999</v>
      </c>
      <c r="AE5404">
        <v>-10.516719999999999</v>
      </c>
      <c r="AF5404">
        <v>-4.1350317779844099</v>
      </c>
      <c r="AG5404">
        <v>-1.1142816688029999</v>
      </c>
      <c r="AH5404">
        <v>15.9328788834107</v>
      </c>
      <c r="AI5404">
        <v>93.872637828130905</v>
      </c>
      <c r="AJ5404">
        <v>104.548894155486</v>
      </c>
      <c r="AK5404">
        <v>16.498386010631599</v>
      </c>
      <c r="AL5404">
        <v>90.922864036862805</v>
      </c>
      <c r="AM5404">
        <v>89.947915385263897</v>
      </c>
      <c r="AN5404">
        <v>1.00000002831184</v>
      </c>
    </row>
    <row r="5405" spans="1:40" x14ac:dyDescent="0.25">
      <c r="A5405" t="str">
        <f>"20190312154945615"</f>
        <v>20190312154945615</v>
      </c>
      <c r="B5405" t="str">
        <f>"1552376985610773"</f>
        <v>1552376985610773</v>
      </c>
      <c r="C5405" t="s">
        <v>40</v>
      </c>
      <c r="D5405">
        <v>4.2535920000000003</v>
      </c>
      <c r="E5405">
        <v>0.40235009999999999</v>
      </c>
      <c r="F5405" t="s">
        <v>65</v>
      </c>
      <c r="G5405">
        <v>-403.85309999999998</v>
      </c>
      <c r="H5405" s="1">
        <v>-4.7256759999999997E-6</v>
      </c>
      <c r="I5405">
        <v>21.74165</v>
      </c>
      <c r="J5405">
        <v>-416.67610000000002</v>
      </c>
      <c r="K5405">
        <v>1.1142129999999999</v>
      </c>
      <c r="L5405">
        <v>32.222499999999997</v>
      </c>
      <c r="M5405">
        <v>0.59170849999999997</v>
      </c>
      <c r="N5405">
        <v>0</v>
      </c>
      <c r="O5405">
        <v>-0.80602850000000004</v>
      </c>
      <c r="P5405">
        <v>0.59107189999999998</v>
      </c>
      <c r="Q5405">
        <v>-2.9138819999999999E-2</v>
      </c>
      <c r="R5405">
        <v>-0.80609259999999905</v>
      </c>
      <c r="S5405">
        <v>2.3943789999999998</v>
      </c>
      <c r="T5405">
        <v>-0.20666129999999999</v>
      </c>
      <c r="U5405">
        <v>-1.9640200000000001</v>
      </c>
      <c r="V5405">
        <v>7.0471599999999998E-4</v>
      </c>
      <c r="W5405">
        <v>-1.5021390000000001E-2</v>
      </c>
      <c r="X5405">
        <v>0.99988690000000002</v>
      </c>
      <c r="Y5405">
        <v>-0.24633240000000001</v>
      </c>
      <c r="Z5405">
        <v>5.863165E-2</v>
      </c>
      <c r="AA5405">
        <v>0.96741029999999995</v>
      </c>
      <c r="AB5405">
        <v>20</v>
      </c>
      <c r="AC5405">
        <v>12.823</v>
      </c>
      <c r="AD5405">
        <v>-1.114217725676</v>
      </c>
      <c r="AE5405">
        <v>-10.480849999999901</v>
      </c>
      <c r="AF5405">
        <v>-4.1158770761245798</v>
      </c>
      <c r="AG5405">
        <v>-1.114217725676</v>
      </c>
      <c r="AH5405">
        <v>15.9646765193952</v>
      </c>
      <c r="AI5405">
        <v>93.866330809786007</v>
      </c>
      <c r="AJ5405">
        <v>104.456701256721</v>
      </c>
      <c r="AK5405">
        <v>16.524310019329299</v>
      </c>
      <c r="AL5405">
        <v>90.860694640496405</v>
      </c>
      <c r="AM5405">
        <v>89.959618186947196</v>
      </c>
      <c r="AN5405">
        <v>0.99999997578689104</v>
      </c>
    </row>
    <row r="5406" spans="1:40" x14ac:dyDescent="0.25">
      <c r="A5406" t="str">
        <f>"20190312154945637"</f>
        <v>20190312154945637</v>
      </c>
      <c r="B5406" t="str">
        <f>"1552376985631268"</f>
        <v>1552376985631268</v>
      </c>
      <c r="C5406" t="s">
        <v>40</v>
      </c>
      <c r="D5406">
        <v>4.040972</v>
      </c>
      <c r="E5406">
        <v>0.4027522</v>
      </c>
      <c r="F5406" t="s">
        <v>65</v>
      </c>
      <c r="G5406">
        <v>-403.33339999999998</v>
      </c>
      <c r="H5406" s="1">
        <v>-4.9030969999999998E-6</v>
      </c>
      <c r="I5406">
        <v>21.378229999999999</v>
      </c>
      <c r="J5406">
        <v>-416.55790000000002</v>
      </c>
      <c r="K5406">
        <v>1.114125</v>
      </c>
      <c r="L5406">
        <v>32.076749999999997</v>
      </c>
      <c r="M5406">
        <v>0.59778569999999998</v>
      </c>
      <c r="N5406">
        <v>0</v>
      </c>
      <c r="O5406">
        <v>-0.80153200000000002</v>
      </c>
      <c r="P5406">
        <v>0.59726650000000003</v>
      </c>
      <c r="Q5406">
        <v>-2.7519129999999999E-2</v>
      </c>
      <c r="R5406">
        <v>-0.80157069999999997</v>
      </c>
      <c r="S5406">
        <v>2.4025880000000002</v>
      </c>
      <c r="T5406">
        <v>-0.20063400000000001</v>
      </c>
      <c r="U5406">
        <v>-1.952698</v>
      </c>
      <c r="V5406">
        <v>5.7351799999999997E-4</v>
      </c>
      <c r="W5406">
        <v>-1.342235E-2</v>
      </c>
      <c r="X5406">
        <v>0.99990979999999996</v>
      </c>
      <c r="Y5406">
        <v>-0.2434693</v>
      </c>
      <c r="Z5406">
        <v>5.6642680000000001E-2</v>
      </c>
      <c r="AA5406">
        <v>0.96825320000000004</v>
      </c>
      <c r="AB5406">
        <v>20</v>
      </c>
      <c r="AC5406">
        <v>13.224500000000001</v>
      </c>
      <c r="AD5406">
        <v>-1.114129903097</v>
      </c>
      <c r="AE5406">
        <v>-10.698519999999901</v>
      </c>
      <c r="AF5406">
        <v>-4.1868937983365102</v>
      </c>
      <c r="AG5406">
        <v>-1.114129903097</v>
      </c>
      <c r="AH5406">
        <v>16.411854381316999</v>
      </c>
      <c r="AI5406">
        <v>93.763430021153596</v>
      </c>
      <c r="AJ5406">
        <v>104.311684538059</v>
      </c>
      <c r="AK5406">
        <v>16.974107615809402</v>
      </c>
      <c r="AL5406">
        <v>90.769067062656504</v>
      </c>
      <c r="AM5406">
        <v>89.967136878475102</v>
      </c>
      <c r="AN5406">
        <v>1.00000004826922</v>
      </c>
    </row>
    <row r="5407" spans="1:40" x14ac:dyDescent="0.25">
      <c r="A5407" t="str">
        <f>"20190312154945647"</f>
        <v>20190312154945647</v>
      </c>
      <c r="B5407" t="str">
        <f>"1552376985641029"</f>
        <v>1552376985641029</v>
      </c>
      <c r="C5407" t="s">
        <v>40</v>
      </c>
      <c r="D5407">
        <v>4.1292679999999997</v>
      </c>
      <c r="E5407">
        <v>0.41109370000000001</v>
      </c>
      <c r="F5407" t="s">
        <v>65</v>
      </c>
      <c r="G5407">
        <v>-402.75240000000002</v>
      </c>
      <c r="H5407" s="1">
        <v>-5.1074990000000004E-6</v>
      </c>
      <c r="I5407">
        <v>21.006270000000001</v>
      </c>
      <c r="J5407">
        <v>-416.49560000000002</v>
      </c>
      <c r="K5407">
        <v>1.114085</v>
      </c>
      <c r="L5407">
        <v>32.000520000000002</v>
      </c>
      <c r="M5407">
        <v>0.60092619999999997</v>
      </c>
      <c r="N5407">
        <v>0</v>
      </c>
      <c r="O5407">
        <v>-0.79918059999999902</v>
      </c>
      <c r="P5407">
        <v>0.60046489999999997</v>
      </c>
      <c r="Q5407">
        <v>-2.7200240000000001E-2</v>
      </c>
      <c r="R5407">
        <v>-0.79918869999999997</v>
      </c>
      <c r="S5407">
        <v>2.4149479999999999</v>
      </c>
      <c r="T5407">
        <v>-0.19489110000000001</v>
      </c>
      <c r="U5407">
        <v>-1.936523</v>
      </c>
      <c r="V5407">
        <v>5.0340659999999996E-4</v>
      </c>
      <c r="W5407">
        <v>-1.311438E-2</v>
      </c>
      <c r="X5407">
        <v>0.99991390000000002</v>
      </c>
      <c r="Y5407">
        <v>-0.2461151</v>
      </c>
      <c r="Z5407">
        <v>5.4965220000000002E-2</v>
      </c>
      <c r="AA5407">
        <v>0.96768080000000001</v>
      </c>
      <c r="AB5407">
        <v>20</v>
      </c>
      <c r="AC5407">
        <v>13.7432</v>
      </c>
      <c r="AD5407">
        <v>-1.1140901074989999</v>
      </c>
      <c r="AE5407">
        <v>-10.994249999999999</v>
      </c>
      <c r="AF5407">
        <v>-4.3595303553645204</v>
      </c>
      <c r="AG5407">
        <v>-1.1140901074989999</v>
      </c>
      <c r="AH5407">
        <v>16.978693187044801</v>
      </c>
      <c r="AI5407">
        <v>93.636562022909303</v>
      </c>
      <c r="AJ5407">
        <v>104.40045236572</v>
      </c>
      <c r="AK5407">
        <v>17.564814944279199</v>
      </c>
      <c r="AL5407">
        <v>90.7514201471013</v>
      </c>
      <c r="AM5407">
        <v>89.971154445275502</v>
      </c>
      <c r="AN5407">
        <v>1.0000000238970901</v>
      </c>
    </row>
    <row r="5408" spans="1:40" x14ac:dyDescent="0.25">
      <c r="A5408" t="str">
        <f>"20190312154945658"</f>
        <v>20190312154945658</v>
      </c>
      <c r="B5408" t="str">
        <f>"1552376985651765"</f>
        <v>1552376985651765</v>
      </c>
      <c r="C5408" t="s">
        <v>40</v>
      </c>
      <c r="D5408">
        <v>4.136533</v>
      </c>
      <c r="E5408">
        <v>0.41120459999999898</v>
      </c>
      <c r="F5408" t="s">
        <v>42</v>
      </c>
      <c r="G5408">
        <v>-396.87040000000002</v>
      </c>
      <c r="H5408" s="1">
        <v>-2.2316919999999999E-6</v>
      </c>
      <c r="I5408">
        <v>15.686400000000001</v>
      </c>
      <c r="J5408">
        <v>-416.4348</v>
      </c>
      <c r="K5408">
        <v>1.114044</v>
      </c>
      <c r="L5408">
        <v>31.926939999999998</v>
      </c>
      <c r="M5408">
        <v>0.6039255</v>
      </c>
      <c r="N5408">
        <v>0</v>
      </c>
      <c r="O5408">
        <v>-0.79691669999999903</v>
      </c>
      <c r="P5408">
        <v>0.60350000000000004</v>
      </c>
      <c r="Q5408">
        <v>-2.7046290000000001E-2</v>
      </c>
      <c r="R5408">
        <v>-0.79690439999999996</v>
      </c>
      <c r="S5408">
        <v>2.3689879999999999</v>
      </c>
      <c r="T5408">
        <v>-0.13448299999999999</v>
      </c>
      <c r="U5408">
        <v>-1.9692989999999999</v>
      </c>
      <c r="V5408">
        <v>4.5866309999999998E-4</v>
      </c>
      <c r="W5408">
        <v>-1.2970860000000001E-2</v>
      </c>
      <c r="X5408">
        <v>0.99991580000000002</v>
      </c>
      <c r="Y5408">
        <v>-0.226107</v>
      </c>
      <c r="Z5408">
        <v>3.7784239999999997E-2</v>
      </c>
      <c r="AA5408">
        <v>0.97336940000000005</v>
      </c>
      <c r="AB5408">
        <v>20</v>
      </c>
      <c r="AC5408">
        <v>19.5643999999999</v>
      </c>
      <c r="AD5408">
        <v>-1.1140462316919999</v>
      </c>
      <c r="AE5408">
        <v>-16.240539999999999</v>
      </c>
      <c r="AF5408">
        <v>-5.7726113366052596</v>
      </c>
      <c r="AG5408">
        <v>-1.1140462316919999</v>
      </c>
      <c r="AH5408">
        <v>24.712805919238601</v>
      </c>
      <c r="AI5408">
        <v>92.513556951575794</v>
      </c>
      <c r="AJ5408">
        <v>103.14785159921099</v>
      </c>
      <c r="AK5408">
        <v>25.402498244302802</v>
      </c>
      <c r="AL5408">
        <v>90.743196352726002</v>
      </c>
      <c r="AM5408">
        <v>89.973718329077997</v>
      </c>
      <c r="AN5408">
        <v>1.0000000303353</v>
      </c>
    </row>
    <row r="5409" spans="1:40" x14ac:dyDescent="0.25">
      <c r="A5409" t="str">
        <f>"20190312154945670"</f>
        <v>20190312154945670</v>
      </c>
      <c r="B5409" t="str">
        <f>"1552376985661525"</f>
        <v>1552376985661525</v>
      </c>
      <c r="C5409" t="s">
        <v>40</v>
      </c>
      <c r="D5409">
        <v>4.1988969999999997</v>
      </c>
      <c r="E5409">
        <v>0.41155760000000002</v>
      </c>
      <c r="F5409" t="s">
        <v>42</v>
      </c>
      <c r="G5409">
        <v>-398.3535</v>
      </c>
      <c r="H5409" s="1">
        <v>-1.3104340000000001E-6</v>
      </c>
      <c r="I5409">
        <v>17.008320000000001</v>
      </c>
      <c r="J5409">
        <v>-416.37150000000003</v>
      </c>
      <c r="K5409">
        <v>1.1140019999999999</v>
      </c>
      <c r="L5409">
        <v>31.850739999999998</v>
      </c>
      <c r="M5409">
        <v>0.6070101</v>
      </c>
      <c r="N5409">
        <v>0</v>
      </c>
      <c r="O5409">
        <v>-0.79456979999999999</v>
      </c>
      <c r="P5409">
        <v>0.60663509999999998</v>
      </c>
      <c r="Q5409">
        <v>-2.718276E-2</v>
      </c>
      <c r="R5409">
        <v>-0.79451590000000005</v>
      </c>
      <c r="S5409">
        <v>2.3759160000000001</v>
      </c>
      <c r="T5409">
        <v>-0.14638709999999999</v>
      </c>
      <c r="U5409">
        <v>-1.9603269999999999</v>
      </c>
      <c r="V5409">
        <v>3.9218409999999999E-4</v>
      </c>
      <c r="W5409">
        <v>-1.3118309999999999E-2</v>
      </c>
      <c r="X5409">
        <v>0.99991390000000002</v>
      </c>
      <c r="Y5409">
        <v>-0.22578699999999999</v>
      </c>
      <c r="Z5409">
        <v>4.1028929999999998E-2</v>
      </c>
      <c r="AA5409">
        <v>0.97331230000000002</v>
      </c>
      <c r="AB5409">
        <v>20</v>
      </c>
      <c r="AC5409">
        <v>18.018000000000001</v>
      </c>
      <c r="AD5409">
        <v>-1.1140033104339999</v>
      </c>
      <c r="AE5409">
        <v>-14.842420000000001</v>
      </c>
      <c r="AF5409">
        <v>-5.2955246645059901</v>
      </c>
      <c r="AG5409">
        <v>-1.1140033104339999</v>
      </c>
      <c r="AH5409">
        <v>22.681040980565101</v>
      </c>
      <c r="AI5409">
        <v>92.7383535660517</v>
      </c>
      <c r="AJ5409">
        <v>103.14188425231301</v>
      </c>
      <c r="AK5409">
        <v>23.3176586476885</v>
      </c>
      <c r="AL5409">
        <v>90.751645337571404</v>
      </c>
      <c r="AM5409">
        <v>89.977527572554095</v>
      </c>
      <c r="AN5409">
        <v>1.0000000256394099</v>
      </c>
    </row>
    <row r="5410" spans="1:40" x14ac:dyDescent="0.25">
      <c r="A5410" t="str">
        <f>"20190312154945682"</f>
        <v>20190312154945682</v>
      </c>
      <c r="B5410" t="str">
        <f>"1552376985671285"</f>
        <v>1552376985671285</v>
      </c>
      <c r="C5410" t="s">
        <v>40</v>
      </c>
      <c r="D5410">
        <v>4.1767919999999998</v>
      </c>
      <c r="E5410">
        <v>0.41190199999999999</v>
      </c>
      <c r="F5410" t="s">
        <v>42</v>
      </c>
      <c r="G5410">
        <v>-398.86660000000001</v>
      </c>
      <c r="H5410" s="1">
        <v>-9.8315259999999997E-7</v>
      </c>
      <c r="I5410">
        <v>17.497779999999999</v>
      </c>
      <c r="J5410">
        <v>-416.30810000000002</v>
      </c>
      <c r="K5410">
        <v>1.1139619999999999</v>
      </c>
      <c r="L5410">
        <v>31.774930000000001</v>
      </c>
      <c r="M5410">
        <v>0.61005330000000002</v>
      </c>
      <c r="N5410">
        <v>0</v>
      </c>
      <c r="O5410">
        <v>-0.79223580000000005</v>
      </c>
      <c r="P5410">
        <v>0.60959090000000005</v>
      </c>
      <c r="Q5410">
        <v>-2.743019E-2</v>
      </c>
      <c r="R5410">
        <v>-0.79224139999999998</v>
      </c>
      <c r="S5410">
        <v>2.3812869999999999</v>
      </c>
      <c r="T5410">
        <v>-0.15154419999999999</v>
      </c>
      <c r="U5410">
        <v>-1.952515</v>
      </c>
      <c r="V5410">
        <v>4.9792990000000002E-4</v>
      </c>
      <c r="W5410">
        <v>-1.337501E-2</v>
      </c>
      <c r="X5410">
        <v>0.99991039999999998</v>
      </c>
      <c r="Y5410">
        <v>-0.22497990000000001</v>
      </c>
      <c r="Z5410">
        <v>4.2372750000000001E-2</v>
      </c>
      <c r="AA5410">
        <v>0.97344169999999997</v>
      </c>
      <c r="AB5410">
        <v>20</v>
      </c>
      <c r="AC5410">
        <v>17.441500000000001</v>
      </c>
      <c r="AD5410">
        <v>-1.1139629831525999</v>
      </c>
      <c r="AE5410">
        <v>-14.277150000000001</v>
      </c>
      <c r="AF5410">
        <v>-5.0960152805846901</v>
      </c>
      <c r="AG5410">
        <v>-1.1139629831525999</v>
      </c>
      <c r="AH5410">
        <v>21.8997899301466</v>
      </c>
      <c r="AI5410">
        <v>92.836271006087003</v>
      </c>
      <c r="AJ5410">
        <v>103.099440396742</v>
      </c>
      <c r="AK5410">
        <v>22.512465086088099</v>
      </c>
      <c r="AL5410">
        <v>90.766354494441302</v>
      </c>
      <c r="AM5410">
        <v>89.971468164142294</v>
      </c>
      <c r="AN5410">
        <v>0.99999997342742197</v>
      </c>
    </row>
    <row r="5411" spans="1:40" x14ac:dyDescent="0.25">
      <c r="A5411" t="str">
        <f>"20190312154945696"</f>
        <v>20190312154945696</v>
      </c>
      <c r="B5411" t="str">
        <f>"1552376985691781"</f>
        <v>1552376985691781</v>
      </c>
      <c r="C5411" t="s">
        <v>40</v>
      </c>
      <c r="D5411">
        <v>4.0503460000000002</v>
      </c>
      <c r="E5411">
        <v>0.41027659999999999</v>
      </c>
      <c r="F5411" t="s">
        <v>42</v>
      </c>
      <c r="G5411">
        <v>-399.483</v>
      </c>
      <c r="H5411" s="1">
        <v>-5.95613E-7</v>
      </c>
      <c r="I5411">
        <v>18.064609999999998</v>
      </c>
      <c r="J5411">
        <v>-416.23329999999999</v>
      </c>
      <c r="K5411">
        <v>1.1139159999999999</v>
      </c>
      <c r="L5411">
        <v>31.686340000000001</v>
      </c>
      <c r="M5411">
        <v>0.61357159999999999</v>
      </c>
      <c r="N5411">
        <v>0</v>
      </c>
      <c r="O5411">
        <v>-0.7895143</v>
      </c>
      <c r="P5411">
        <v>0.61298079999999999</v>
      </c>
      <c r="Q5411">
        <v>-2.7358770000000001E-2</v>
      </c>
      <c r="R5411">
        <v>-0.78962399999999999</v>
      </c>
      <c r="S5411">
        <v>2.3866580000000002</v>
      </c>
      <c r="T5411">
        <v>-0.15801689999999999</v>
      </c>
      <c r="U5411">
        <v>-1.9448240000000001</v>
      </c>
      <c r="V5411">
        <v>6.5980369999999995E-4</v>
      </c>
      <c r="W5411">
        <v>-1.331398E-2</v>
      </c>
      <c r="X5411">
        <v>0.99991110000000005</v>
      </c>
      <c r="Y5411">
        <v>-0.22353010000000001</v>
      </c>
      <c r="Z5411">
        <v>4.4046490000000001E-2</v>
      </c>
      <c r="AA5411">
        <v>0.97370129999999999</v>
      </c>
      <c r="AB5411">
        <v>20</v>
      </c>
      <c r="AC5411">
        <v>16.7502999999999</v>
      </c>
      <c r="AD5411">
        <v>-1.1139165956129999</v>
      </c>
      <c r="AE5411">
        <v>-13.621729999999999</v>
      </c>
      <c r="AF5411">
        <v>-4.8542524052964504</v>
      </c>
      <c r="AG5411">
        <v>-1.1139165956129999</v>
      </c>
      <c r="AH5411">
        <v>20.978287953610099</v>
      </c>
      <c r="AI5411">
        <v>92.961366208892599</v>
      </c>
      <c r="AJ5411">
        <v>103.028605165889</v>
      </c>
      <c r="AK5411">
        <v>21.5613808013515</v>
      </c>
      <c r="AL5411">
        <v>90.762857437386998</v>
      </c>
      <c r="AM5411">
        <v>89.962192677098699</v>
      </c>
      <c r="AN5411">
        <v>0.99999995265378505</v>
      </c>
    </row>
    <row r="5412" spans="1:40" x14ac:dyDescent="0.25">
      <c r="A5412" t="str">
        <f>"20190312154945708"</f>
        <v>20190312154945708</v>
      </c>
      <c r="B5412" t="str">
        <f>"1552376985701541"</f>
        <v>1552376985701541</v>
      </c>
      <c r="C5412" t="s">
        <v>40</v>
      </c>
      <c r="D5412">
        <v>4.0591220000000003</v>
      </c>
      <c r="E5412">
        <v>0.4098</v>
      </c>
      <c r="F5412" t="s">
        <v>42</v>
      </c>
      <c r="G5412">
        <v>-396.65600000000001</v>
      </c>
      <c r="H5412" s="1">
        <v>-2.2320809999999999E-6</v>
      </c>
      <c r="I5412">
        <v>15.99427</v>
      </c>
      <c r="J5412">
        <v>-416.15660000000003</v>
      </c>
      <c r="K5412">
        <v>1.1138680000000001</v>
      </c>
      <c r="L5412">
        <v>31.59601</v>
      </c>
      <c r="M5412">
        <v>0.61713079999999998</v>
      </c>
      <c r="N5412">
        <v>0</v>
      </c>
      <c r="O5412">
        <v>-0.78673570000000004</v>
      </c>
      <c r="P5412">
        <v>0.61633149999999903</v>
      </c>
      <c r="Q5412">
        <v>-2.7124780000000001E-2</v>
      </c>
      <c r="R5412">
        <v>-0.78701969999999899</v>
      </c>
      <c r="S5412">
        <v>2.4049070000000001</v>
      </c>
      <c r="T5412">
        <v>-0.13683580000000001</v>
      </c>
      <c r="U5412">
        <v>-1.927643</v>
      </c>
      <c r="V5412">
        <v>9.2663740000000004E-4</v>
      </c>
      <c r="W5412">
        <v>-1.30895E-2</v>
      </c>
      <c r="X5412">
        <v>0.99991390000000002</v>
      </c>
      <c r="Y5412">
        <v>-0.2272159</v>
      </c>
      <c r="Z5412">
        <v>3.8057300000000002E-2</v>
      </c>
      <c r="AA5412">
        <v>0.97310050000000003</v>
      </c>
      <c r="AB5412">
        <v>20</v>
      </c>
      <c r="AC5412">
        <v>19.500599999999999</v>
      </c>
      <c r="AD5412">
        <v>-1.1138702320809999</v>
      </c>
      <c r="AE5412">
        <v>-15.6017399999999</v>
      </c>
      <c r="AF5412">
        <v>-5.7027209102958301</v>
      </c>
      <c r="AG5412">
        <v>-1.1138702320809999</v>
      </c>
      <c r="AH5412">
        <v>24.2629890300528</v>
      </c>
      <c r="AI5412">
        <v>92.5588678155803</v>
      </c>
      <c r="AJ5412">
        <v>103.22660662459499</v>
      </c>
      <c r="AK5412">
        <v>24.949035439212999</v>
      </c>
      <c r="AL5412">
        <v>90.749994523290994</v>
      </c>
      <c r="AM5412">
        <v>89.946903031390704</v>
      </c>
      <c r="AN5412">
        <v>1.0000000005401599</v>
      </c>
    </row>
    <row r="5413" spans="1:40" x14ac:dyDescent="0.25">
      <c r="A5413" t="str">
        <f>"20190312154945721"</f>
        <v>20190312154945721</v>
      </c>
      <c r="B5413" t="str">
        <f>"1552376985711809"</f>
        <v>1552376985711809</v>
      </c>
      <c r="C5413" t="s">
        <v>40</v>
      </c>
      <c r="D5413">
        <v>4.0825120000000004</v>
      </c>
      <c r="E5413">
        <v>0.40967690000000001</v>
      </c>
      <c r="F5413" t="s">
        <v>42</v>
      </c>
      <c r="G5413">
        <v>-395.774</v>
      </c>
      <c r="H5413" s="1">
        <v>-2.7191689999999999E-6</v>
      </c>
      <c r="I5413">
        <v>15.43871</v>
      </c>
      <c r="J5413">
        <v>-416.0874</v>
      </c>
      <c r="K5413">
        <v>1.113826</v>
      </c>
      <c r="L5413">
        <v>31.515260000000001</v>
      </c>
      <c r="M5413">
        <v>0.62027889999999997</v>
      </c>
      <c r="N5413">
        <v>0</v>
      </c>
      <c r="O5413">
        <v>-0.78425599999999995</v>
      </c>
      <c r="P5413">
        <v>0.61921660000000001</v>
      </c>
      <c r="Q5413">
        <v>-2.695297E-2</v>
      </c>
      <c r="R5413">
        <v>-0.78475760000000006</v>
      </c>
      <c r="S5413">
        <v>2.4161069999999998</v>
      </c>
      <c r="T5413">
        <v>-0.13203599999999999</v>
      </c>
      <c r="U5413">
        <v>-1.9152530000000001</v>
      </c>
      <c r="V5413">
        <v>1.2640259999999999E-3</v>
      </c>
      <c r="W5413">
        <v>-1.292539E-2</v>
      </c>
      <c r="X5413">
        <v>0.99991569999999996</v>
      </c>
      <c r="Y5413">
        <v>-0.22862569999999999</v>
      </c>
      <c r="Z5413">
        <v>3.6640899999999997E-2</v>
      </c>
      <c r="AA5413">
        <v>0.97282460000000004</v>
      </c>
      <c r="AB5413">
        <v>20</v>
      </c>
      <c r="AC5413">
        <v>20.313400000000001</v>
      </c>
      <c r="AD5413">
        <v>-1.1138287191689999</v>
      </c>
      <c r="AE5413">
        <v>-16.076549999999902</v>
      </c>
      <c r="AF5413">
        <v>-5.9485501437205102</v>
      </c>
      <c r="AG5413">
        <v>-1.1138287191689999</v>
      </c>
      <c r="AH5413">
        <v>25.164062972997002</v>
      </c>
      <c r="AI5413">
        <v>92.466519135647303</v>
      </c>
      <c r="AJ5413">
        <v>103.30003822289601</v>
      </c>
      <c r="AK5413">
        <v>25.881575078363401</v>
      </c>
      <c r="AL5413">
        <v>90.740590891625899</v>
      </c>
      <c r="AM5413">
        <v>89.927570577783101</v>
      </c>
      <c r="AN5413">
        <v>1.0000000352874301</v>
      </c>
    </row>
    <row r="5414" spans="1:40" x14ac:dyDescent="0.25">
      <c r="A5414" t="str">
        <f>"20190312154945733"</f>
        <v>20190312154945733</v>
      </c>
      <c r="B5414" t="str">
        <f>"1552376985721569"</f>
        <v>1552376985721569</v>
      </c>
      <c r="C5414" t="s">
        <v>40</v>
      </c>
      <c r="D5414">
        <v>4.0867420000000001</v>
      </c>
      <c r="E5414">
        <v>0.40985319999999997</v>
      </c>
      <c r="F5414" t="s">
        <v>42</v>
      </c>
      <c r="G5414">
        <v>-394.90010000000001</v>
      </c>
      <c r="H5414" s="1">
        <v>-3.2357319999999998E-6</v>
      </c>
      <c r="I5414">
        <v>14.85524</v>
      </c>
      <c r="J5414">
        <v>-416.01850000000002</v>
      </c>
      <c r="K5414">
        <v>1.113788</v>
      </c>
      <c r="L5414">
        <v>31.43561</v>
      </c>
      <c r="M5414">
        <v>0.6233592</v>
      </c>
      <c r="N5414">
        <v>0</v>
      </c>
      <c r="O5414">
        <v>-0.78181009999999995</v>
      </c>
      <c r="P5414">
        <v>0.62211110000000003</v>
      </c>
      <c r="Q5414">
        <v>-2.6497759999999999E-2</v>
      </c>
      <c r="R5414">
        <v>-0.78248050000000002</v>
      </c>
      <c r="S5414">
        <v>2.4238279999999999</v>
      </c>
      <c r="T5414">
        <v>-0.1274227</v>
      </c>
      <c r="U5414">
        <v>-1.9059140000000001</v>
      </c>
      <c r="V5414">
        <v>1.5079900000000001E-3</v>
      </c>
      <c r="W5414">
        <v>-1.24785E-2</v>
      </c>
      <c r="X5414">
        <v>0.99992099999999995</v>
      </c>
      <c r="Y5414">
        <v>-0.2286657</v>
      </c>
      <c r="Z5414">
        <v>3.5273579999999999E-2</v>
      </c>
      <c r="AA5414">
        <v>0.9728658</v>
      </c>
      <c r="AB5414">
        <v>20</v>
      </c>
      <c r="AC5414">
        <v>21.118400000000001</v>
      </c>
      <c r="AD5414">
        <v>-1.1137912357319999</v>
      </c>
      <c r="AE5414">
        <v>-16.580369999999899</v>
      </c>
      <c r="AF5414">
        <v>-6.1650493949206799</v>
      </c>
      <c r="AG5414">
        <v>-1.1137912357319999</v>
      </c>
      <c r="AH5414">
        <v>26.084726978597701</v>
      </c>
      <c r="AI5414">
        <v>92.379508111691905</v>
      </c>
      <c r="AJ5414">
        <v>103.29767261921501</v>
      </c>
      <c r="AK5414">
        <v>26.826504552524</v>
      </c>
      <c r="AL5414">
        <v>90.714983943268393</v>
      </c>
      <c r="AM5414">
        <v>89.9135917767059</v>
      </c>
      <c r="AN5414">
        <v>0.999999996618545</v>
      </c>
    </row>
    <row r="5415" spans="1:40" x14ac:dyDescent="0.25">
      <c r="A5415" t="str">
        <f>"20190312154945749"</f>
        <v>20190312154945749</v>
      </c>
      <c r="B5415" t="str">
        <f>"1552376985741088"</f>
        <v>1552376985741088</v>
      </c>
      <c r="C5415" t="s">
        <v>40</v>
      </c>
      <c r="D5415">
        <v>4.0910630000000001</v>
      </c>
      <c r="E5415">
        <v>0.40941060000000001</v>
      </c>
      <c r="F5415" t="s">
        <v>42</v>
      </c>
      <c r="G5415">
        <v>-394.38189999999997</v>
      </c>
      <c r="H5415" s="1">
        <v>-3.5374569999999999E-6</v>
      </c>
      <c r="I5415">
        <v>14.53532</v>
      </c>
      <c r="J5415">
        <v>-415.92899999999997</v>
      </c>
      <c r="K5415">
        <v>1.1137429999999999</v>
      </c>
      <c r="L5415">
        <v>31.332699999999999</v>
      </c>
      <c r="M5415">
        <v>0.62730629999999998</v>
      </c>
      <c r="N5415">
        <v>0</v>
      </c>
      <c r="O5415">
        <v>-0.77864690000000003</v>
      </c>
      <c r="P5415">
        <v>0.6254364</v>
      </c>
      <c r="Q5415">
        <v>-2.5940609999999999E-2</v>
      </c>
      <c r="R5415">
        <v>-0.77984430000000005</v>
      </c>
      <c r="S5415">
        <v>2.4298099999999998</v>
      </c>
      <c r="T5415">
        <v>-0.12508</v>
      </c>
      <c r="U5415">
        <v>-1.8979189999999999</v>
      </c>
      <c r="V5415">
        <v>2.3150559999999998E-3</v>
      </c>
      <c r="W5415">
        <v>-1.1927429999999999E-2</v>
      </c>
      <c r="X5415">
        <v>0.99992619999999999</v>
      </c>
      <c r="Y5415">
        <v>-0.2269159</v>
      </c>
      <c r="Z5415">
        <v>3.4495599999999897E-2</v>
      </c>
      <c r="AA5415">
        <v>0.97330329999999998</v>
      </c>
      <c r="AB5415">
        <v>20</v>
      </c>
      <c r="AC5415">
        <v>21.5471</v>
      </c>
      <c r="AD5415">
        <v>-1.1137465374569999</v>
      </c>
      <c r="AE5415">
        <v>-16.797379999999901</v>
      </c>
      <c r="AF5415">
        <v>-6.23073702641795</v>
      </c>
      <c r="AG5415">
        <v>-1.1137465374569999</v>
      </c>
      <c r="AH5415">
        <v>26.554335185216701</v>
      </c>
      <c r="AI5415">
        <v>92.338269284424101</v>
      </c>
      <c r="AJ5415">
        <v>103.20505951938701</v>
      </c>
      <c r="AK5415">
        <v>27.298264273958999</v>
      </c>
      <c r="AL5415">
        <v>90.683407594348793</v>
      </c>
      <c r="AM5415">
        <v>89.867347509109806</v>
      </c>
      <c r="AN5415">
        <v>1.0000000142585601</v>
      </c>
    </row>
    <row r="5416" spans="1:40" x14ac:dyDescent="0.25">
      <c r="A5416" t="str">
        <f>"20190312154945760"</f>
        <v>20190312154945760</v>
      </c>
      <c r="B5416" t="str">
        <f>"1552376985751825"</f>
        <v>1552376985751825</v>
      </c>
      <c r="C5416" t="s">
        <v>40</v>
      </c>
      <c r="D5416">
        <v>4.0904629999999997</v>
      </c>
      <c r="E5416">
        <v>0.40941060000000001</v>
      </c>
      <c r="F5416" t="s">
        <v>42</v>
      </c>
      <c r="G5416">
        <v>-393.50319999999999</v>
      </c>
      <c r="H5416" s="1">
        <v>-4.0463429999999998E-6</v>
      </c>
      <c r="I5416">
        <v>14.00812</v>
      </c>
      <c r="J5416">
        <v>-415.86149999999998</v>
      </c>
      <c r="K5416">
        <v>1.1137109999999999</v>
      </c>
      <c r="L5416">
        <v>31.255739999999999</v>
      </c>
      <c r="M5416">
        <v>0.63023200000000001</v>
      </c>
      <c r="N5416">
        <v>0</v>
      </c>
      <c r="O5416">
        <v>-0.77628090000000005</v>
      </c>
      <c r="P5416">
        <v>0.62793739999999998</v>
      </c>
      <c r="Q5416">
        <v>-2.5733880000000001E-2</v>
      </c>
      <c r="R5416">
        <v>-0.77783829999999998</v>
      </c>
      <c r="S5416">
        <v>2.4406430000000001</v>
      </c>
      <c r="T5416">
        <v>-0.12121129999999999</v>
      </c>
      <c r="U5416">
        <v>-1.8854679999999999</v>
      </c>
      <c r="V5416">
        <v>2.8680160000000001E-3</v>
      </c>
      <c r="W5416">
        <v>-1.1725670000000001E-2</v>
      </c>
      <c r="X5416">
        <v>0.99992720000000002</v>
      </c>
      <c r="Y5416">
        <v>-0.22848969999999999</v>
      </c>
      <c r="Z5416">
        <v>3.3360590000000002E-2</v>
      </c>
      <c r="AA5416">
        <v>0.97297460000000002</v>
      </c>
      <c r="AB5416">
        <v>20</v>
      </c>
      <c r="AC5416">
        <v>22.3582999999999</v>
      </c>
      <c r="AD5416">
        <v>-1.1137150463429999</v>
      </c>
      <c r="AE5416">
        <v>-17.247620000000001</v>
      </c>
      <c r="AF5416">
        <v>-6.4768784648174602</v>
      </c>
      <c r="AG5416">
        <v>-1.1137150463429999</v>
      </c>
      <c r="AH5416">
        <v>27.439917526760901</v>
      </c>
      <c r="AI5416">
        <v>92.262116657501593</v>
      </c>
      <c r="AJ5416">
        <v>103.280928744856</v>
      </c>
      <c r="AK5416">
        <v>28.215942120154502</v>
      </c>
      <c r="AL5416">
        <v>90.6718467580462</v>
      </c>
      <c r="AM5416">
        <v>89.835663274526993</v>
      </c>
      <c r="AN5416">
        <v>1.00000006107628</v>
      </c>
    </row>
    <row r="5417" spans="1:40" x14ac:dyDescent="0.25">
      <c r="A5417" t="str">
        <f>"20190312154945771"</f>
        <v>20190312154945771</v>
      </c>
      <c r="B5417" t="str">
        <f>"1552376985761586"</f>
        <v>1552376985761586</v>
      </c>
      <c r="C5417" t="s">
        <v>40</v>
      </c>
      <c r="D5417">
        <v>4.1137189999999997</v>
      </c>
      <c r="E5417">
        <v>0.39284970000000002</v>
      </c>
      <c r="F5417" t="s">
        <v>42</v>
      </c>
      <c r="G5417">
        <v>-393.20650000000001</v>
      </c>
      <c r="H5417" s="1">
        <v>-4.2108749999999997E-6</v>
      </c>
      <c r="I5417">
        <v>13.871379999999901</v>
      </c>
      <c r="J5417">
        <v>-415.80489999999998</v>
      </c>
      <c r="K5417">
        <v>1.113685</v>
      </c>
      <c r="L5417">
        <v>31.191770000000002</v>
      </c>
      <c r="M5417">
        <v>0.63264880000000001</v>
      </c>
      <c r="N5417">
        <v>0</v>
      </c>
      <c r="O5417">
        <v>-0.77431269999999996</v>
      </c>
      <c r="P5417">
        <v>0.63015350000000003</v>
      </c>
      <c r="Q5417">
        <v>-2.5358430000000001E-2</v>
      </c>
      <c r="R5417">
        <v>-0.77605639999999998</v>
      </c>
      <c r="S5417">
        <v>2.4468079999999999</v>
      </c>
      <c r="T5417">
        <v>-0.12028469999999999</v>
      </c>
      <c r="U5417">
        <v>-1.8775630000000001</v>
      </c>
      <c r="V5417">
        <v>3.1366200000000001E-3</v>
      </c>
      <c r="W5417">
        <v>-1.1355769999999999E-2</v>
      </c>
      <c r="X5417">
        <v>0.9999306</v>
      </c>
      <c r="Y5417">
        <v>-0.22862689999999999</v>
      </c>
      <c r="Z5417">
        <v>3.3041170000000002E-2</v>
      </c>
      <c r="AA5417">
        <v>0.97295330000000002</v>
      </c>
      <c r="AB5417">
        <v>20</v>
      </c>
      <c r="AC5417">
        <v>22.598399999999899</v>
      </c>
      <c r="AD5417">
        <v>-1.1136892108750001</v>
      </c>
      <c r="AE5417">
        <v>-17.32039</v>
      </c>
      <c r="AF5417">
        <v>-6.5311507499486101</v>
      </c>
      <c r="AG5417">
        <v>-1.1136892108750001</v>
      </c>
      <c r="AH5417">
        <v>27.668623675309199</v>
      </c>
      <c r="AI5417">
        <v>92.243380187199406</v>
      </c>
      <c r="AJ5417">
        <v>103.281495257532</v>
      </c>
      <c r="AK5417">
        <v>28.450816681825799</v>
      </c>
      <c r="AL5417">
        <v>90.650651679671199</v>
      </c>
      <c r="AM5417">
        <v>89.820273028458899</v>
      </c>
      <c r="AN5417">
        <v>0.99999999835683795</v>
      </c>
    </row>
    <row r="5418" spans="1:40" x14ac:dyDescent="0.25">
      <c r="A5418" t="str">
        <f>"20190312154945783"</f>
        <v>20190312154945783</v>
      </c>
      <c r="B5418" t="str">
        <f>"1552376985771345"</f>
        <v>1552376985771345</v>
      </c>
      <c r="C5418" t="s">
        <v>40</v>
      </c>
      <c r="D5418">
        <v>4.1116339999999996</v>
      </c>
      <c r="E5418">
        <v>0.39012210000000003</v>
      </c>
      <c r="F5418" t="s">
        <v>42</v>
      </c>
      <c r="G5418">
        <v>-399.19400000000002</v>
      </c>
      <c r="H5418" s="1">
        <v>-3.6631029999999998E-7</v>
      </c>
      <c r="I5418">
        <v>19.589099999999998</v>
      </c>
      <c r="J5418">
        <v>-415.73590000000002</v>
      </c>
      <c r="K5418">
        <v>1.1136549999999901</v>
      </c>
      <c r="L5418">
        <v>31.114039999999999</v>
      </c>
      <c r="M5418">
        <v>0.63556769999999996</v>
      </c>
      <c r="N5418">
        <v>0</v>
      </c>
      <c r="O5418">
        <v>-0.77191880000000002</v>
      </c>
      <c r="P5418">
        <v>0.63294519999999999</v>
      </c>
      <c r="Q5418">
        <v>-2.4993560000000001E-2</v>
      </c>
      <c r="R5418">
        <v>-0.77379299999999995</v>
      </c>
      <c r="S5418">
        <v>2.555542</v>
      </c>
      <c r="T5418">
        <v>-0.17133689999999999</v>
      </c>
      <c r="U5418">
        <v>-1.785034</v>
      </c>
      <c r="V5418">
        <v>3.3128070000000001E-3</v>
      </c>
      <c r="W5418">
        <v>-1.099872E-2</v>
      </c>
      <c r="X5418">
        <v>0.99993399999999999</v>
      </c>
      <c r="Y5418">
        <v>-0.26774730000000002</v>
      </c>
      <c r="Z5418">
        <v>4.714289E-2</v>
      </c>
      <c r="AA5418">
        <v>0.96233519999999995</v>
      </c>
      <c r="AB5418">
        <v>20</v>
      </c>
      <c r="AC5418">
        <v>16.541899999999998</v>
      </c>
      <c r="AD5418">
        <v>-1.1136553663102999</v>
      </c>
      <c r="AE5418">
        <v>-11.524940000000001</v>
      </c>
      <c r="AF5418">
        <v>-5.4280922964030296</v>
      </c>
      <c r="AG5418">
        <v>-1.1136553663102999</v>
      </c>
      <c r="AH5418">
        <v>19.352657750451701</v>
      </c>
      <c r="AI5418">
        <v>93.171352747869307</v>
      </c>
      <c r="AJ5418">
        <v>105.66790737663599</v>
      </c>
      <c r="AK5418">
        <v>20.130319825062401</v>
      </c>
      <c r="AL5418">
        <v>90.630192957890799</v>
      </c>
      <c r="AM5418">
        <v>89.810178306782007</v>
      </c>
      <c r="AN5418">
        <v>0.99999997544392805</v>
      </c>
    </row>
    <row r="5419" spans="1:40" x14ac:dyDescent="0.25">
      <c r="A5419" t="str">
        <f>"20190312154945796"</f>
        <v>20190312154945796</v>
      </c>
      <c r="B5419" t="str">
        <f>"1552376985791840"</f>
        <v>1552376985791840</v>
      </c>
      <c r="C5419" t="s">
        <v>40</v>
      </c>
      <c r="D5419">
        <v>4.1171300000000004</v>
      </c>
      <c r="E5419">
        <v>0.38815959999999999</v>
      </c>
      <c r="F5419" t="s">
        <v>42</v>
      </c>
      <c r="G5419">
        <v>-398.79950000000002</v>
      </c>
      <c r="H5419" s="1">
        <v>-5.6097919999999899E-7</v>
      </c>
      <c r="I5419">
        <v>19.54278</v>
      </c>
      <c r="J5419">
        <v>-415.66390000000001</v>
      </c>
      <c r="K5419">
        <v>1.113626</v>
      </c>
      <c r="L5419">
        <v>31.033809999999999</v>
      </c>
      <c r="M5419">
        <v>0.63855519999999999</v>
      </c>
      <c r="N5419">
        <v>0</v>
      </c>
      <c r="O5419">
        <v>-0.76944969999999901</v>
      </c>
      <c r="P5419">
        <v>0.63555930000000005</v>
      </c>
      <c r="Q5419">
        <v>-2.4694480000000001E-2</v>
      </c>
      <c r="R5419">
        <v>-0.77165729999999999</v>
      </c>
      <c r="S5419">
        <v>2.5789490000000002</v>
      </c>
      <c r="T5419">
        <v>-0.16957990000000001</v>
      </c>
      <c r="U5419">
        <v>-1.7619929999999999</v>
      </c>
      <c r="V5419">
        <v>3.8086719999999999E-3</v>
      </c>
      <c r="W5419">
        <v>-1.070483E-2</v>
      </c>
      <c r="X5419">
        <v>0.99993540000000003</v>
      </c>
      <c r="Y5419">
        <v>-0.2739838</v>
      </c>
      <c r="Z5419">
        <v>4.6571410000000001E-2</v>
      </c>
      <c r="AA5419">
        <v>0.96060599999999996</v>
      </c>
      <c r="AB5419">
        <v>20</v>
      </c>
      <c r="AC5419">
        <v>16.8643999999999</v>
      </c>
      <c r="AD5419">
        <v>-1.1136265609792</v>
      </c>
      <c r="AE5419">
        <v>-11.49103</v>
      </c>
      <c r="AF5419">
        <v>-5.6224554839515601</v>
      </c>
      <c r="AG5419">
        <v>-1.1136265609792</v>
      </c>
      <c r="AH5419">
        <v>19.554295166387</v>
      </c>
      <c r="AI5419">
        <v>93.132839392527003</v>
      </c>
      <c r="AJ5419">
        <v>106.041555280945</v>
      </c>
      <c r="AK5419">
        <v>20.377012274632499</v>
      </c>
      <c r="AL5419">
        <v>90.61335332374</v>
      </c>
      <c r="AM5419">
        <v>89.781766126238395</v>
      </c>
      <c r="AN5419">
        <v>0.99999995177044498</v>
      </c>
    </row>
    <row r="5420" spans="1:40" x14ac:dyDescent="0.25">
      <c r="A5420" t="str">
        <f>"20190312154945809"</f>
        <v>20190312154945809</v>
      </c>
      <c r="B5420" t="str">
        <f>"1552376985801601"</f>
        <v>1552376985801601</v>
      </c>
      <c r="C5420" t="s">
        <v>40</v>
      </c>
      <c r="D5420">
        <v>4.1115719999999998</v>
      </c>
      <c r="E5420">
        <v>0.3880343</v>
      </c>
      <c r="F5420" t="s">
        <v>42</v>
      </c>
      <c r="G5420">
        <v>-398.83359999999999</v>
      </c>
      <c r="H5420" s="1">
        <v>-5.6381279999999996E-7</v>
      </c>
      <c r="I5420">
        <v>19.736540000000002</v>
      </c>
      <c r="J5420">
        <v>-415.58359999999999</v>
      </c>
      <c r="K5420">
        <v>1.1135930000000001</v>
      </c>
      <c r="L5420">
        <v>30.944700000000001</v>
      </c>
      <c r="M5420">
        <v>0.64184839999999999</v>
      </c>
      <c r="N5420">
        <v>0</v>
      </c>
      <c r="O5420">
        <v>-0.76670490000000002</v>
      </c>
      <c r="P5420">
        <v>0.6385518</v>
      </c>
      <c r="Q5420">
        <v>-2.4158679999999998E-2</v>
      </c>
      <c r="R5420">
        <v>-0.76919989999999905</v>
      </c>
      <c r="S5420">
        <v>2.5970460000000002</v>
      </c>
      <c r="T5420">
        <v>-0.17184099999999999</v>
      </c>
      <c r="U5420">
        <v>-1.7432559999999999</v>
      </c>
      <c r="V5420">
        <v>4.2173080000000003E-3</v>
      </c>
      <c r="W5420">
        <v>-1.017596E-2</v>
      </c>
      <c r="X5420">
        <v>0.99993929999999998</v>
      </c>
      <c r="Y5420">
        <v>-0.27771849999999998</v>
      </c>
      <c r="Z5420">
        <v>4.7068220000000001E-2</v>
      </c>
      <c r="AA5420">
        <v>0.95950869999999999</v>
      </c>
      <c r="AB5420">
        <v>20</v>
      </c>
      <c r="AC5420">
        <v>16.75</v>
      </c>
      <c r="AD5420">
        <v>-1.1135935638128001</v>
      </c>
      <c r="AE5420">
        <v>-11.208159999999999</v>
      </c>
      <c r="AF5420">
        <v>-5.6317223847549904</v>
      </c>
      <c r="AG5420">
        <v>-1.1135935638128001</v>
      </c>
      <c r="AH5420">
        <v>19.2873062999602</v>
      </c>
      <c r="AI5420">
        <v>93.1722472053453</v>
      </c>
      <c r="AJ5420">
        <v>106.27733617204601</v>
      </c>
      <c r="AK5420">
        <v>20.123532790064498</v>
      </c>
      <c r="AL5420">
        <v>90.583049640897798</v>
      </c>
      <c r="AM5420">
        <v>89.758352815409694</v>
      </c>
      <c r="AN5420">
        <v>0.999999969766588</v>
      </c>
    </row>
    <row r="5421" spans="1:40" x14ac:dyDescent="0.25">
      <c r="A5421" t="str">
        <f>"20190312154945822"</f>
        <v>20190312154945822</v>
      </c>
      <c r="B5421" t="str">
        <f>"1552376985811868"</f>
        <v>1552376985811868</v>
      </c>
      <c r="C5421" t="s">
        <v>40</v>
      </c>
      <c r="D5421">
        <v>4.1316119999999996</v>
      </c>
      <c r="E5421">
        <v>0.3878144</v>
      </c>
      <c r="F5421" t="s">
        <v>42</v>
      </c>
      <c r="G5421">
        <v>-398.65199999999999</v>
      </c>
      <c r="H5421" s="1">
        <v>-6.3495569999999998E-7</v>
      </c>
      <c r="I5421">
        <v>19.68122</v>
      </c>
      <c r="J5421">
        <v>-415.50599999999997</v>
      </c>
      <c r="K5421">
        <v>1.1135619999999999</v>
      </c>
      <c r="L5421">
        <v>30.859249999999999</v>
      </c>
      <c r="M5421">
        <v>0.64497689999999996</v>
      </c>
      <c r="N5421">
        <v>0</v>
      </c>
      <c r="O5421">
        <v>-0.76407499999999995</v>
      </c>
      <c r="P5421">
        <v>0.64155629999999997</v>
      </c>
      <c r="Q5421">
        <v>-2.3223799999999999E-2</v>
      </c>
      <c r="R5421">
        <v>-0.76672450000000003</v>
      </c>
      <c r="S5421">
        <v>2.6045530000000001</v>
      </c>
      <c r="T5421">
        <v>-0.17130139999999999</v>
      </c>
      <c r="U5421">
        <v>-1.7326349999999999</v>
      </c>
      <c r="V5421">
        <v>4.40194E-3</v>
      </c>
      <c r="W5421">
        <v>-9.2495560000000008E-3</v>
      </c>
      <c r="X5421">
        <v>0.99994749999999999</v>
      </c>
      <c r="Y5421">
        <v>-0.27779110000000001</v>
      </c>
      <c r="Z5421">
        <v>4.679751E-2</v>
      </c>
      <c r="AA5421">
        <v>0.95950100000000005</v>
      </c>
      <c r="AB5421">
        <v>20</v>
      </c>
      <c r="AC5421">
        <v>16.8539999999999</v>
      </c>
      <c r="AD5421">
        <v>-1.1135626349557</v>
      </c>
      <c r="AE5421">
        <v>-11.17803</v>
      </c>
      <c r="AF5421">
        <v>-5.6515649577997404</v>
      </c>
      <c r="AG5421">
        <v>-1.1135626349557</v>
      </c>
      <c r="AH5421">
        <v>19.354500091285299</v>
      </c>
      <c r="AI5421">
        <v>93.161158980245702</v>
      </c>
      <c r="AJ5421">
        <v>106.277943321851</v>
      </c>
      <c r="AK5421">
        <v>20.193486127901799</v>
      </c>
      <c r="AL5421">
        <v>90.529968095651299</v>
      </c>
      <c r="AM5421">
        <v>89.747775803759396</v>
      </c>
      <c r="AN5421">
        <v>0.99999996705910399</v>
      </c>
    </row>
    <row r="5422" spans="1:40" x14ac:dyDescent="0.25">
      <c r="A5422" t="str">
        <f>"20190312154945836"</f>
        <v>20190312154945836</v>
      </c>
      <c r="B5422" t="str">
        <f>"1552376985831388"</f>
        <v>1552376985831388</v>
      </c>
      <c r="C5422" t="s">
        <v>40</v>
      </c>
      <c r="D5422">
        <v>4.1186619999999996</v>
      </c>
      <c r="E5422">
        <v>0.38819140000000002</v>
      </c>
      <c r="F5422" t="s">
        <v>42</v>
      </c>
      <c r="G5422">
        <v>-398.4855</v>
      </c>
      <c r="H5422" s="1">
        <v>-7.0452009999999995E-7</v>
      </c>
      <c r="I5422">
        <v>19.646940000000001</v>
      </c>
      <c r="J5422">
        <v>-415.43060000000003</v>
      </c>
      <c r="K5422">
        <v>1.113529</v>
      </c>
      <c r="L5422">
        <v>30.777100000000001</v>
      </c>
      <c r="M5422">
        <v>0.64795459999999905</v>
      </c>
      <c r="N5422">
        <v>0</v>
      </c>
      <c r="O5422">
        <v>-0.7615516</v>
      </c>
      <c r="P5422">
        <v>0.64424879999999995</v>
      </c>
      <c r="Q5422">
        <v>-2.225152E-2</v>
      </c>
      <c r="R5422">
        <v>-0.76449250000000002</v>
      </c>
      <c r="S5422">
        <v>2.6128849999999999</v>
      </c>
      <c r="T5422">
        <v>-0.17094790000000001</v>
      </c>
      <c r="U5422">
        <v>-1.721252</v>
      </c>
      <c r="V5422">
        <v>4.7982279999999999E-3</v>
      </c>
      <c r="W5422">
        <v>-8.2838909999999998E-3</v>
      </c>
      <c r="X5422">
        <v>0.99995420000000002</v>
      </c>
      <c r="Y5422">
        <v>-0.27837109999999998</v>
      </c>
      <c r="Z5422">
        <v>4.6587620000000003E-2</v>
      </c>
      <c r="AA5422">
        <v>0.9593431</v>
      </c>
      <c r="AB5422">
        <v>20</v>
      </c>
      <c r="AC5422">
        <v>16.9451</v>
      </c>
      <c r="AD5422">
        <v>-1.1135297045201</v>
      </c>
      <c r="AE5422">
        <v>-11.13016</v>
      </c>
      <c r="AF5422">
        <v>-5.6761581795848404</v>
      </c>
      <c r="AG5422">
        <v>-1.1135297045201</v>
      </c>
      <c r="AH5422">
        <v>19.399210915492699</v>
      </c>
      <c r="AI5422">
        <v>93.153290814999707</v>
      </c>
      <c r="AJ5422">
        <v>106.30933730139201</v>
      </c>
      <c r="AK5422">
        <v>20.2432236619143</v>
      </c>
      <c r="AL5422">
        <v>90.474637409470105</v>
      </c>
      <c r="AM5422">
        <v>89.725071304701601</v>
      </c>
      <c r="AN5422">
        <v>1.0000000239698299</v>
      </c>
    </row>
    <row r="5423" spans="1:40" x14ac:dyDescent="0.25">
      <c r="A5423" t="str">
        <f>"20190312154945848"</f>
        <v>20190312154945848</v>
      </c>
      <c r="B5423" t="str">
        <f>"1552376985841148"</f>
        <v>1552376985841148</v>
      </c>
      <c r="C5423" t="s">
        <v>40</v>
      </c>
      <c r="D5423">
        <v>4.1027570000000004</v>
      </c>
      <c r="E5423">
        <v>0.38865290000000002</v>
      </c>
      <c r="F5423" t="s">
        <v>42</v>
      </c>
      <c r="G5423">
        <v>-398.54680000000002</v>
      </c>
      <c r="H5423" s="1">
        <v>-6.9400829999999998E-7</v>
      </c>
      <c r="I5423">
        <v>19.716200000000001</v>
      </c>
      <c r="J5423">
        <v>-415.3528</v>
      </c>
      <c r="K5423">
        <v>1.1134919999999999</v>
      </c>
      <c r="L5423">
        <v>30.692630000000001</v>
      </c>
      <c r="M5423">
        <v>0.65099069999999903</v>
      </c>
      <c r="N5423">
        <v>0</v>
      </c>
      <c r="O5423">
        <v>-0.75895809999999997</v>
      </c>
      <c r="P5423">
        <v>0.64704969999999995</v>
      </c>
      <c r="Q5423">
        <v>-2.1117790000000001E-2</v>
      </c>
      <c r="R5423">
        <v>-0.76215519999999903</v>
      </c>
      <c r="S5423">
        <v>2.6165470000000002</v>
      </c>
      <c r="T5423">
        <v>-0.172567</v>
      </c>
      <c r="U5423">
        <v>-1.7141419999999901</v>
      </c>
      <c r="V5423">
        <v>5.132869E-3</v>
      </c>
      <c r="W5423">
        <v>-7.1577059999999998E-3</v>
      </c>
      <c r="X5423">
        <v>0.99996119999999999</v>
      </c>
      <c r="Y5423">
        <v>-0.27695609999999998</v>
      </c>
      <c r="Z5423">
        <v>4.6894520000000002E-2</v>
      </c>
      <c r="AA5423">
        <v>0.95973759999999997</v>
      </c>
      <c r="AB5423">
        <v>20</v>
      </c>
      <c r="AC5423">
        <v>16.805999999999901</v>
      </c>
      <c r="AD5423">
        <v>-1.1134926940083001</v>
      </c>
      <c r="AE5423">
        <v>-10.976429999999899</v>
      </c>
      <c r="AF5423">
        <v>-5.59282926281566</v>
      </c>
      <c r="AG5423">
        <v>-1.1134926940083001</v>
      </c>
      <c r="AH5423">
        <v>19.213942320348199</v>
      </c>
      <c r="AI5423">
        <v>93.184823426583094</v>
      </c>
      <c r="AJ5423">
        <v>106.229317632686</v>
      </c>
      <c r="AK5423">
        <v>20.042334809903899</v>
      </c>
      <c r="AL5423">
        <v>90.410109850666302</v>
      </c>
      <c r="AM5423">
        <v>89.705899441311701</v>
      </c>
      <c r="AN5423">
        <v>0.99999999030239595</v>
      </c>
    </row>
    <row r="5424" spans="1:40" x14ac:dyDescent="0.25">
      <c r="A5424" t="str">
        <f>"20190312154945859"</f>
        <v>20190312154945859</v>
      </c>
      <c r="B5424" t="str">
        <f>"1552376985851884"</f>
        <v>1552376985851884</v>
      </c>
      <c r="C5424" t="s">
        <v>40</v>
      </c>
      <c r="D5424">
        <v>4.0628830000000002</v>
      </c>
      <c r="E5424">
        <v>0.3890962</v>
      </c>
      <c r="F5424" t="s">
        <v>42</v>
      </c>
      <c r="G5424">
        <v>-398.1866</v>
      </c>
      <c r="H5424" s="1">
        <v>-8.568601E-7</v>
      </c>
      <c r="I5424">
        <v>19.508209999999998</v>
      </c>
      <c r="J5424">
        <v>-415.28840000000002</v>
      </c>
      <c r="K5424">
        <v>1.1134550000000001</v>
      </c>
      <c r="L5424">
        <v>30.623259999999998</v>
      </c>
      <c r="M5424">
        <v>0.65345659999999905</v>
      </c>
      <c r="N5424">
        <v>0</v>
      </c>
      <c r="O5424">
        <v>-0.75683639999999996</v>
      </c>
      <c r="P5424">
        <v>0.64945189999999997</v>
      </c>
      <c r="Q5424">
        <v>-2.0941830000000002E-2</v>
      </c>
      <c r="R5424">
        <v>-0.76011459999999997</v>
      </c>
      <c r="S5424">
        <v>2.6201479999999999</v>
      </c>
      <c r="T5424">
        <v>-0.16995689999999999</v>
      </c>
      <c r="U5424">
        <v>-1.7071229999999999</v>
      </c>
      <c r="V5424">
        <v>5.2316289999999998E-3</v>
      </c>
      <c r="W5424">
        <v>-6.9899050000000002E-3</v>
      </c>
      <c r="X5424">
        <v>0.99996189999999996</v>
      </c>
      <c r="Y5424">
        <v>-0.27627580000000002</v>
      </c>
      <c r="Z5424">
        <v>4.6089940000000003E-2</v>
      </c>
      <c r="AA5424">
        <v>0.95997259999999995</v>
      </c>
      <c r="AB5424">
        <v>20</v>
      </c>
      <c r="AC5424">
        <v>17.101800000000001</v>
      </c>
      <c r="AD5424">
        <v>-1.1134558568600901</v>
      </c>
      <c r="AE5424">
        <v>-11.115049999999901</v>
      </c>
      <c r="AF5424">
        <v>-5.6637318630794997</v>
      </c>
      <c r="AG5424">
        <v>-1.1134558568600901</v>
      </c>
      <c r="AH5424">
        <v>19.531244546362501</v>
      </c>
      <c r="AI5424">
        <v>93.1340041873773</v>
      </c>
      <c r="AJ5424">
        <v>106.171268597016</v>
      </c>
      <c r="AK5424">
        <v>20.366324069204399</v>
      </c>
      <c r="AL5424">
        <v>90.400495310986699</v>
      </c>
      <c r="AM5424">
        <v>89.700241052385095</v>
      </c>
      <c r="AN5424">
        <v>1.0000000150827499</v>
      </c>
    </row>
    <row r="5425" spans="1:40" x14ac:dyDescent="0.25">
      <c r="A5425" t="str">
        <f>"20190312154945871"</f>
        <v>20190312154945871</v>
      </c>
      <c r="B5425" t="str">
        <f>"1552376985861644"</f>
        <v>1552376985861644</v>
      </c>
      <c r="C5425" t="s">
        <v>40</v>
      </c>
      <c r="D5425">
        <v>4.0281409999999997</v>
      </c>
      <c r="E5425">
        <v>0.38954709999999998</v>
      </c>
      <c r="F5425" t="s">
        <v>42</v>
      </c>
      <c r="G5425">
        <v>-398.1884</v>
      </c>
      <c r="H5425" s="1">
        <v>-8.5162029999999998E-7</v>
      </c>
      <c r="I5425">
        <v>19.53293</v>
      </c>
      <c r="J5425">
        <v>-415.221</v>
      </c>
      <c r="K5425">
        <v>1.1134120000000001</v>
      </c>
      <c r="L5425">
        <v>30.551179999999999</v>
      </c>
      <c r="M5425">
        <v>0.65599499999999999</v>
      </c>
      <c r="N5425">
        <v>0</v>
      </c>
      <c r="O5425">
        <v>-0.75463740000000001</v>
      </c>
      <c r="P5425">
        <v>0.65208650000000001</v>
      </c>
      <c r="Q5425">
        <v>-2.1202450000000001E-2</v>
      </c>
      <c r="R5425">
        <v>-0.75784830000000003</v>
      </c>
      <c r="S5425">
        <v>2.6228639999999999</v>
      </c>
      <c r="T5425">
        <v>-0.1707864</v>
      </c>
      <c r="U5425">
        <v>-1.7010799999999999</v>
      </c>
      <c r="V5425">
        <v>5.1158030000000004E-3</v>
      </c>
      <c r="W5425">
        <v>-7.2611129999999996E-3</v>
      </c>
      <c r="X5425">
        <v>0.99996050000000003</v>
      </c>
      <c r="Y5425">
        <v>-0.27504959999999901</v>
      </c>
      <c r="Z5425">
        <v>4.620573E-2</v>
      </c>
      <c r="AA5425">
        <v>0.96031909999999998</v>
      </c>
      <c r="AB5425">
        <v>20</v>
      </c>
      <c r="AC5425">
        <v>17.032599999999999</v>
      </c>
      <c r="AD5425">
        <v>-1.1134128516202999</v>
      </c>
      <c r="AE5425">
        <v>-11.018249999999901</v>
      </c>
      <c r="AF5425">
        <v>-5.60916513202862</v>
      </c>
      <c r="AG5425">
        <v>-1.1134128516202999</v>
      </c>
      <c r="AH5425">
        <v>19.4314267342973</v>
      </c>
      <c r="AI5425">
        <v>93.151056381927305</v>
      </c>
      <c r="AJ5425">
        <v>106.10155688187901</v>
      </c>
      <c r="AK5425">
        <v>20.255437951001799</v>
      </c>
      <c r="AL5425">
        <v>90.416034806817507</v>
      </c>
      <c r="AM5425">
        <v>89.706877058156394</v>
      </c>
      <c r="AN5425">
        <v>0.99999994838129003</v>
      </c>
    </row>
    <row r="5426" spans="1:40" x14ac:dyDescent="0.25">
      <c r="A5426" t="str">
        <f>"20190312154945882"</f>
        <v>20190312154945882</v>
      </c>
      <c r="B5426" t="str">
        <f>"1552376985871404"</f>
        <v>1552376985871404</v>
      </c>
      <c r="C5426" t="s">
        <v>40</v>
      </c>
      <c r="D5426">
        <v>4.0823</v>
      </c>
      <c r="E5426">
        <v>0.38998519999999998</v>
      </c>
      <c r="F5426" t="s">
        <v>42</v>
      </c>
      <c r="G5426">
        <v>-398.08229999999998</v>
      </c>
      <c r="H5426" s="1">
        <v>-9.0890060000000005E-7</v>
      </c>
      <c r="I5426">
        <v>19.492640000000002</v>
      </c>
      <c r="J5426">
        <v>-415.15410000000003</v>
      </c>
      <c r="K5426">
        <v>1.1133690000000001</v>
      </c>
      <c r="L5426">
        <v>30.479859999999999</v>
      </c>
      <c r="M5426">
        <v>0.65848409999999902</v>
      </c>
      <c r="N5426">
        <v>0</v>
      </c>
      <c r="O5426">
        <v>-0.75246639999999998</v>
      </c>
      <c r="P5426">
        <v>0.65476519999999905</v>
      </c>
      <c r="Q5426">
        <v>-2.1834449999999998E-2</v>
      </c>
      <c r="R5426">
        <v>-0.7555172</v>
      </c>
      <c r="S5426">
        <v>2.6259459999999999</v>
      </c>
      <c r="T5426">
        <v>-0.17059479999999999</v>
      </c>
      <c r="U5426">
        <v>-1.694366</v>
      </c>
      <c r="V5426">
        <v>4.8715970000000001E-3</v>
      </c>
      <c r="W5426">
        <v>-7.9047379999999997E-3</v>
      </c>
      <c r="X5426">
        <v>0.99995690000000004</v>
      </c>
      <c r="Y5426">
        <v>-0.27412550000000002</v>
      </c>
      <c r="Z5426">
        <v>4.605277E-2</v>
      </c>
      <c r="AA5426">
        <v>0.96059059999999996</v>
      </c>
      <c r="AB5426">
        <v>19</v>
      </c>
      <c r="AC5426">
        <v>17.0718</v>
      </c>
      <c r="AD5426">
        <v>-1.1133699089005999</v>
      </c>
      <c r="AE5426">
        <v>-10.987219999999899</v>
      </c>
      <c r="AF5426">
        <v>-5.5947614618827597</v>
      </c>
      <c r="AG5426">
        <v>-1.1133699089005999</v>
      </c>
      <c r="AH5426">
        <v>19.452402351249699</v>
      </c>
      <c r="AI5426">
        <v>93.148423333544102</v>
      </c>
      <c r="AJ5426">
        <v>106.045916901029</v>
      </c>
      <c r="AK5426">
        <v>20.271578764475102</v>
      </c>
      <c r="AL5426">
        <v>90.452912837993594</v>
      </c>
      <c r="AM5426">
        <v>89.720868230074203</v>
      </c>
      <c r="AN5426">
        <v>1.0000000095988899</v>
      </c>
    </row>
    <row r="5427" spans="1:40" x14ac:dyDescent="0.25">
      <c r="A5427" t="str">
        <f>"20190312154945893"</f>
        <v>20190312154945893</v>
      </c>
      <c r="B5427" t="str">
        <f>"1552376985891899"</f>
        <v>1552376985891899</v>
      </c>
      <c r="C5427" t="s">
        <v>40</v>
      </c>
      <c r="D5427">
        <v>4.0218619999999996</v>
      </c>
      <c r="E5427">
        <v>0.39065699999999998</v>
      </c>
      <c r="F5427" t="s">
        <v>42</v>
      </c>
      <c r="G5427">
        <v>-398.1497</v>
      </c>
      <c r="H5427" s="1">
        <v>-8.6362579999999997E-7</v>
      </c>
      <c r="I5427">
        <v>19.56851</v>
      </c>
      <c r="J5427">
        <v>-415.08839999999998</v>
      </c>
      <c r="K5427">
        <v>1.113321</v>
      </c>
      <c r="L5427">
        <v>30.410550000000001</v>
      </c>
      <c r="M5427">
        <v>0.66086540000000005</v>
      </c>
      <c r="N5427">
        <v>0</v>
      </c>
      <c r="O5427">
        <v>-0.75037619999999905</v>
      </c>
      <c r="P5427">
        <v>0.65724320000000003</v>
      </c>
      <c r="Q5427">
        <v>-2.208208E-2</v>
      </c>
      <c r="R5427">
        <v>-0.75335529999999995</v>
      </c>
      <c r="S5427">
        <v>2.6293030000000002</v>
      </c>
      <c r="T5427">
        <v>-0.17215469999999999</v>
      </c>
      <c r="U5427">
        <v>-1.6871640000000001</v>
      </c>
      <c r="V5427">
        <v>4.7524230000000004E-3</v>
      </c>
      <c r="W5427">
        <v>-8.1631919999999997E-3</v>
      </c>
      <c r="X5427">
        <v>0.99995540000000005</v>
      </c>
      <c r="Y5427">
        <v>-0.27347959999999999</v>
      </c>
      <c r="Z5427">
        <v>4.6379759999999999E-2</v>
      </c>
      <c r="AA5427">
        <v>0.96075900000000003</v>
      </c>
      <c r="AB5427">
        <v>19</v>
      </c>
      <c r="AC5427">
        <v>16.938699999999901</v>
      </c>
      <c r="AD5427">
        <v>-1.1133218636258</v>
      </c>
      <c r="AE5427">
        <v>-10.8420399999999</v>
      </c>
      <c r="AF5427">
        <v>-5.5288589558358696</v>
      </c>
      <c r="AG5427">
        <v>-1.1133218636258</v>
      </c>
      <c r="AH5427">
        <v>19.272609716443899</v>
      </c>
      <c r="AI5427">
        <v>93.178217639251002</v>
      </c>
      <c r="AJ5427">
        <v>106.00694166739</v>
      </c>
      <c r="AK5427">
        <v>20.08086781511</v>
      </c>
      <c r="AL5427">
        <v>90.4677216378049</v>
      </c>
      <c r="AM5427">
        <v>89.727696125007299</v>
      </c>
      <c r="AN5427">
        <v>1.00000001260858</v>
      </c>
    </row>
    <row r="5428" spans="1:40" x14ac:dyDescent="0.25">
      <c r="A5428" t="str">
        <f>"20190312154945905"</f>
        <v>20190312154945905</v>
      </c>
      <c r="B5428" t="str">
        <f>"1552376985900684"</f>
        <v>1552376985900684</v>
      </c>
      <c r="C5428" t="s">
        <v>40</v>
      </c>
      <c r="D5428">
        <v>3.9812609999999999</v>
      </c>
      <c r="E5428">
        <v>0.3909125</v>
      </c>
      <c r="F5428" t="s">
        <v>42</v>
      </c>
      <c r="G5428">
        <v>-398.10149999999999</v>
      </c>
      <c r="H5428" s="1">
        <v>-8.8973190000000002E-7</v>
      </c>
      <c r="I5428">
        <v>19.549659999999999</v>
      </c>
      <c r="J5428">
        <v>-415.01900000000001</v>
      </c>
      <c r="K5428">
        <v>1.1132690000000001</v>
      </c>
      <c r="L5428">
        <v>30.337340000000001</v>
      </c>
      <c r="M5428">
        <v>0.66336070000000003</v>
      </c>
      <c r="N5428">
        <v>0</v>
      </c>
      <c r="O5428">
        <v>-0.74817119999999904</v>
      </c>
      <c r="P5428">
        <v>0.6599931</v>
      </c>
      <c r="Q5428">
        <v>-2.2327369999999999E-2</v>
      </c>
      <c r="R5428">
        <v>-0.75093980000000005</v>
      </c>
      <c r="S5428">
        <v>2.6307369999999999</v>
      </c>
      <c r="T5428">
        <v>-0.17241809999999999</v>
      </c>
      <c r="U5428">
        <v>-1.682007</v>
      </c>
      <c r="V5428">
        <v>4.4228089999999998E-3</v>
      </c>
      <c r="W5428">
        <v>-8.4213889999999996E-3</v>
      </c>
      <c r="X5428">
        <v>0.99995480000000003</v>
      </c>
      <c r="Y5428">
        <v>-0.27184950000000002</v>
      </c>
      <c r="Z5428">
        <v>4.6339989999999998E-2</v>
      </c>
      <c r="AA5428">
        <v>0.96122339999999995</v>
      </c>
      <c r="AB5428">
        <v>19</v>
      </c>
      <c r="AC5428">
        <v>16.9175</v>
      </c>
      <c r="AD5428">
        <v>-1.1132698897319</v>
      </c>
      <c r="AE5428">
        <v>-10.78768</v>
      </c>
      <c r="AF5428">
        <v>-5.4847074824208599</v>
      </c>
      <c r="AG5428">
        <v>-1.1132698897319</v>
      </c>
      <c r="AH5428">
        <v>19.2360726224146</v>
      </c>
      <c r="AI5428">
        <v>93.185564351919595</v>
      </c>
      <c r="AJ5428">
        <v>105.914237016694</v>
      </c>
      <c r="AK5428">
        <v>20.033668559450501</v>
      </c>
      <c r="AL5428">
        <v>90.482515730728906</v>
      </c>
      <c r="AM5428">
        <v>89.746581908666499</v>
      </c>
      <c r="AN5428">
        <v>1.00000004153758</v>
      </c>
    </row>
    <row r="5429" spans="1:40" x14ac:dyDescent="0.25">
      <c r="A5429" t="str">
        <f>"20190312154945916"</f>
        <v>20190312154945916</v>
      </c>
      <c r="B5429" t="str">
        <f>"1552376985911821"</f>
        <v>1552376985911821</v>
      </c>
      <c r="C5429" t="s">
        <v>40</v>
      </c>
      <c r="D5429">
        <v>4.0018560000000001</v>
      </c>
      <c r="E5429">
        <v>0.3911887</v>
      </c>
      <c r="F5429" t="s">
        <v>42</v>
      </c>
      <c r="G5429">
        <v>-398.18810000000002</v>
      </c>
      <c r="H5429" s="1">
        <v>-8.4511820000000002E-7</v>
      </c>
      <c r="I5429">
        <v>19.646889999999999</v>
      </c>
      <c r="J5429">
        <v>-414.95179999999999</v>
      </c>
      <c r="K5429">
        <v>1.1132059999999999</v>
      </c>
      <c r="L5429">
        <v>30.267119999999998</v>
      </c>
      <c r="M5429">
        <v>0.66570059999999998</v>
      </c>
      <c r="N5429">
        <v>0</v>
      </c>
      <c r="O5429">
        <v>-0.74609040000000004</v>
      </c>
      <c r="P5429">
        <v>0.66241680000000003</v>
      </c>
      <c r="Q5429">
        <v>-2.2423990000000001E-2</v>
      </c>
      <c r="R5429">
        <v>-0.74880000000000002</v>
      </c>
      <c r="S5429">
        <v>2.6351619999999998</v>
      </c>
      <c r="T5429">
        <v>-0.1743007</v>
      </c>
      <c r="U5429">
        <v>-1.67376699999999</v>
      </c>
      <c r="V5429">
        <v>4.3201009999999998E-3</v>
      </c>
      <c r="W5429">
        <v>-8.5296239999999995E-3</v>
      </c>
      <c r="X5429">
        <v>0.99995429999999996</v>
      </c>
      <c r="Y5429">
        <v>-0.27168389999999998</v>
      </c>
      <c r="Z5429">
        <v>4.6754110000000002E-2</v>
      </c>
      <c r="AA5429">
        <v>0.96125020000000005</v>
      </c>
      <c r="AB5429">
        <v>19</v>
      </c>
      <c r="AC5429">
        <v>16.763699999999901</v>
      </c>
      <c r="AD5429">
        <v>-1.11320684511819</v>
      </c>
      <c r="AE5429">
        <v>-10.620229999999999</v>
      </c>
      <c r="AF5429">
        <v>-5.4208057539351504</v>
      </c>
      <c r="AG5429">
        <v>-1.11320684511819</v>
      </c>
      <c r="AH5429">
        <v>19.025219545441399</v>
      </c>
      <c r="AI5429">
        <v>93.220781873729194</v>
      </c>
      <c r="AJ5429">
        <v>105.903703039904</v>
      </c>
      <c r="AK5429">
        <v>19.8137160384961</v>
      </c>
      <c r="AL5429">
        <v>90.488717377369397</v>
      </c>
      <c r="AM5429">
        <v>89.752466673346703</v>
      </c>
      <c r="AN5429">
        <v>1.0000000099233599</v>
      </c>
    </row>
    <row r="5430" spans="1:40" x14ac:dyDescent="0.25">
      <c r="A5430" t="str">
        <f>"20190312154945927"</f>
        <v>20190312154945927</v>
      </c>
      <c r="B5430" t="str">
        <f>"1552376985921581"</f>
        <v>1552376985921581</v>
      </c>
      <c r="C5430" t="s">
        <v>40</v>
      </c>
      <c r="D5430">
        <v>4.2163380000000004</v>
      </c>
      <c r="E5430">
        <v>0.39142260000000001</v>
      </c>
      <c r="F5430" t="s">
        <v>42</v>
      </c>
      <c r="G5430">
        <v>-398.15839999999997</v>
      </c>
      <c r="H5430" s="1">
        <v>-8.6290879999999998E-7</v>
      </c>
      <c r="I5430">
        <v>19.661110000000001</v>
      </c>
      <c r="J5430">
        <v>-414.8877</v>
      </c>
      <c r="K5430">
        <v>1.1131500000000001</v>
      </c>
      <c r="L5430">
        <v>30.20035</v>
      </c>
      <c r="M5430">
        <v>0.66790680000000002</v>
      </c>
      <c r="N5430">
        <v>0</v>
      </c>
      <c r="O5430">
        <v>-0.74411619999999901</v>
      </c>
      <c r="P5430">
        <v>0.66504350000000001</v>
      </c>
      <c r="Q5430">
        <v>-2.2369050000000001E-2</v>
      </c>
      <c r="R5430">
        <v>-0.74646990000000002</v>
      </c>
      <c r="S5430">
        <v>2.6389469999999999</v>
      </c>
      <c r="T5430">
        <v>-0.17493220000000001</v>
      </c>
      <c r="U5430">
        <v>-1.6666559999999999</v>
      </c>
      <c r="V5430">
        <v>3.76743E-3</v>
      </c>
      <c r="W5430">
        <v>-8.4889839999999998E-3</v>
      </c>
      <c r="X5430">
        <v>0.99995679999999998</v>
      </c>
      <c r="Y5430">
        <v>-0.27130169999999998</v>
      </c>
      <c r="Z5430">
        <v>4.6831360000000002E-2</v>
      </c>
      <c r="AA5430">
        <v>0.96135429999999999</v>
      </c>
      <c r="AB5430">
        <v>19</v>
      </c>
      <c r="AC5430">
        <v>16.729299999999999</v>
      </c>
      <c r="AD5430">
        <v>-1.1131508629088001</v>
      </c>
      <c r="AE5430">
        <v>-10.539239999999999</v>
      </c>
      <c r="AF5430">
        <v>-5.3927389864078403</v>
      </c>
      <c r="AG5430">
        <v>-1.1131508629088001</v>
      </c>
      <c r="AH5430">
        <v>18.957767465638199</v>
      </c>
      <c r="AI5430">
        <v>93.232451447501901</v>
      </c>
      <c r="AJ5430">
        <v>105.87896724622099</v>
      </c>
      <c r="AK5430">
        <v>19.741268599062501</v>
      </c>
      <c r="AL5430">
        <v>90.486388831908798</v>
      </c>
      <c r="AM5430">
        <v>89.784133857312597</v>
      </c>
      <c r="AN5430">
        <v>0.99999992912219604</v>
      </c>
    </row>
    <row r="5431" spans="1:40" x14ac:dyDescent="0.25">
      <c r="A5431" t="str">
        <f>"20190312154945939"</f>
        <v>20190312154945939</v>
      </c>
      <c r="B5431" t="str">
        <f>"1552376985931341"</f>
        <v>1552376985931341</v>
      </c>
      <c r="C5431" t="s">
        <v>40</v>
      </c>
      <c r="D5431">
        <v>3.9979550000000001</v>
      </c>
      <c r="E5431">
        <v>0.39166380000000001</v>
      </c>
      <c r="F5431" t="s">
        <v>42</v>
      </c>
      <c r="G5431">
        <v>-397.83909999999997</v>
      </c>
      <c r="H5431" s="1">
        <v>-1.022294E-6</v>
      </c>
      <c r="I5431">
        <v>19.50151</v>
      </c>
      <c r="J5431">
        <v>-414.81990000000002</v>
      </c>
      <c r="K5431">
        <v>1.1130880000000001</v>
      </c>
      <c r="L5431">
        <v>30.130189999999999</v>
      </c>
      <c r="M5431">
        <v>0.67017969999999905</v>
      </c>
      <c r="N5431">
        <v>0</v>
      </c>
      <c r="O5431">
        <v>-0.74206969999999906</v>
      </c>
      <c r="P5431">
        <v>0.66753819999999997</v>
      </c>
      <c r="Q5431">
        <v>-2.2133280000000002E-2</v>
      </c>
      <c r="R5431">
        <v>-0.74424630000000003</v>
      </c>
      <c r="S5431">
        <v>2.6433110000000002</v>
      </c>
      <c r="T5431">
        <v>-0.17258989999999999</v>
      </c>
      <c r="U5431">
        <v>-1.6588130000000001</v>
      </c>
      <c r="V5431">
        <v>3.4806490000000002E-3</v>
      </c>
      <c r="W5431">
        <v>-8.2663879999999995E-3</v>
      </c>
      <c r="X5431">
        <v>0.99995979999999995</v>
      </c>
      <c r="Y5431">
        <v>-0.271153599999999</v>
      </c>
      <c r="Z5431">
        <v>4.6114370000000002E-2</v>
      </c>
      <c r="AA5431">
        <v>0.96143080000000003</v>
      </c>
      <c r="AB5431">
        <v>19</v>
      </c>
      <c r="AC5431">
        <v>16.980799999999999</v>
      </c>
      <c r="AD5431">
        <v>-1.11308902229399</v>
      </c>
      <c r="AE5431">
        <v>-10.628679999999999</v>
      </c>
      <c r="AF5431">
        <v>-5.4614758107373698</v>
      </c>
      <c r="AG5431">
        <v>-1.11308902229399</v>
      </c>
      <c r="AH5431">
        <v>19.209950098511801</v>
      </c>
      <c r="AI5431">
        <v>93.190058900459803</v>
      </c>
      <c r="AJ5431">
        <v>105.87069108651301</v>
      </c>
      <c r="AK5431">
        <v>20.002221576368299</v>
      </c>
      <c r="AL5431">
        <v>90.473634526709205</v>
      </c>
      <c r="AM5431">
        <v>89.800566290502502</v>
      </c>
      <c r="AN5431">
        <v>1.00000002485203</v>
      </c>
    </row>
    <row r="5432" spans="1:40" x14ac:dyDescent="0.25">
      <c r="A5432" t="str">
        <f>"20190312154945950"</f>
        <v>20190312154945950</v>
      </c>
      <c r="B5432" t="str">
        <f>"1552376985941101"</f>
        <v>1552376985941101</v>
      </c>
      <c r="C5432" t="s">
        <v>40</v>
      </c>
      <c r="D5432">
        <v>4.008928</v>
      </c>
      <c r="E5432">
        <v>0.391957</v>
      </c>
      <c r="F5432" t="s">
        <v>42</v>
      </c>
      <c r="G5432">
        <v>-397.77629999999999</v>
      </c>
      <c r="H5432" s="1">
        <v>-1.052367E-6</v>
      </c>
      <c r="I5432">
        <v>19.499379999999999</v>
      </c>
      <c r="J5432">
        <v>-414.7543</v>
      </c>
      <c r="K5432">
        <v>1.1130310000000001</v>
      </c>
      <c r="L5432">
        <v>30.062560000000001</v>
      </c>
      <c r="M5432">
        <v>0.67233790000000004</v>
      </c>
      <c r="N5432">
        <v>0</v>
      </c>
      <c r="O5432">
        <v>-0.74011519999999897</v>
      </c>
      <c r="P5432">
        <v>0.66985629999999996</v>
      </c>
      <c r="Q5432">
        <v>-2.1967029999999999E-2</v>
      </c>
      <c r="R5432">
        <v>-0.74216579999999999</v>
      </c>
      <c r="S5432">
        <v>2.6473689999999999</v>
      </c>
      <c r="T5432">
        <v>-0.1728952</v>
      </c>
      <c r="U5432">
        <v>-1.65127599999999</v>
      </c>
      <c r="V5432">
        <v>3.274917E-3</v>
      </c>
      <c r="W5432">
        <v>-8.112368E-3</v>
      </c>
      <c r="X5432">
        <v>0.99996169999999995</v>
      </c>
      <c r="Y5432">
        <v>-0.27098109999999997</v>
      </c>
      <c r="Z5432">
        <v>4.6108999999999997E-2</v>
      </c>
      <c r="AA5432">
        <v>0.96147969999999905</v>
      </c>
      <c r="AB5432">
        <v>19</v>
      </c>
      <c r="AC5432">
        <v>16.978000000000002</v>
      </c>
      <c r="AD5432">
        <v>-1.1130320523670001</v>
      </c>
      <c r="AE5432">
        <v>-10.563179999999999</v>
      </c>
      <c r="AF5432">
        <v>-5.4472942578140797</v>
      </c>
      <c r="AG5432">
        <v>-1.1130320523670001</v>
      </c>
      <c r="AH5432">
        <v>19.175349491854</v>
      </c>
      <c r="AI5432">
        <v>93.195829988913999</v>
      </c>
      <c r="AJ5432">
        <v>105.858679997525</v>
      </c>
      <c r="AK5432">
        <v>19.965116659202302</v>
      </c>
      <c r="AL5432">
        <v>90.464809561205101</v>
      </c>
      <c r="AM5432">
        <v>89.812354561685297</v>
      </c>
      <c r="AN5432">
        <v>0.99999996853140605</v>
      </c>
    </row>
    <row r="5433" spans="1:40" x14ac:dyDescent="0.25">
      <c r="A5433" t="str">
        <f>"20190312154945960"</f>
        <v>20190312154945960</v>
      </c>
      <c r="B5433" t="str">
        <f>"1552376985951837"</f>
        <v>1552376985951837</v>
      </c>
      <c r="C5433" t="s">
        <v>40</v>
      </c>
      <c r="D5433">
        <v>4.0242250000000004</v>
      </c>
      <c r="E5433">
        <v>0.39218809999999998</v>
      </c>
      <c r="F5433" t="s">
        <v>42</v>
      </c>
      <c r="G5433">
        <v>-397.8091</v>
      </c>
      <c r="H5433" s="1">
        <v>-1.0282379999999999E-6</v>
      </c>
      <c r="I5433">
        <v>19.54814</v>
      </c>
      <c r="J5433">
        <v>-414.6925</v>
      </c>
      <c r="K5433">
        <v>1.1129739999999999</v>
      </c>
      <c r="L5433">
        <v>29.999110000000002</v>
      </c>
      <c r="M5433">
        <v>0.67432950000000003</v>
      </c>
      <c r="N5433">
        <v>0</v>
      </c>
      <c r="O5433">
        <v>-0.7383016</v>
      </c>
      <c r="P5433">
        <v>0.67204900000000001</v>
      </c>
      <c r="Q5433">
        <v>-2.206205E-2</v>
      </c>
      <c r="R5433">
        <v>-0.74017829999999996</v>
      </c>
      <c r="S5433">
        <v>2.650604</v>
      </c>
      <c r="T5433">
        <v>-0.17410229999999999</v>
      </c>
      <c r="U5433">
        <v>-1.644684</v>
      </c>
      <c r="V5433">
        <v>3.008269E-3</v>
      </c>
      <c r="W5433">
        <v>-8.2195800000000006E-3</v>
      </c>
      <c r="X5433">
        <v>0.99996169999999995</v>
      </c>
      <c r="Y5433">
        <v>-0.27062520000000001</v>
      </c>
      <c r="Z5433">
        <v>4.634833E-2</v>
      </c>
      <c r="AA5433">
        <v>0.96156839999999999</v>
      </c>
      <c r="AB5433">
        <v>19</v>
      </c>
      <c r="AC5433">
        <v>16.883399999999899</v>
      </c>
      <c r="AD5433">
        <v>-1.112975028238</v>
      </c>
      <c r="AE5433">
        <v>-10.4509699999999</v>
      </c>
      <c r="AF5433">
        <v>-5.4011905696487803</v>
      </c>
      <c r="AG5433">
        <v>-1.112975028238</v>
      </c>
      <c r="AH5433">
        <v>19.042933326046001</v>
      </c>
      <c r="AI5433">
        <v>93.218217282197998</v>
      </c>
      <c r="AJ5433">
        <v>105.835048162579</v>
      </c>
      <c r="AK5433">
        <v>19.8253595842138</v>
      </c>
      <c r="AL5433">
        <v>90.470952543537095</v>
      </c>
      <c r="AM5433">
        <v>89.827632800971003</v>
      </c>
      <c r="AN5433">
        <v>1.00000000632232</v>
      </c>
    </row>
    <row r="5434" spans="1:40" x14ac:dyDescent="0.25">
      <c r="A5434" t="str">
        <f>"20190312154945972"</f>
        <v>20190312154945972</v>
      </c>
      <c r="B5434" t="str">
        <f>"1552376985961598"</f>
        <v>1552376985961598</v>
      </c>
      <c r="C5434" t="s">
        <v>40</v>
      </c>
      <c r="D5434">
        <v>3.9897480000000001</v>
      </c>
      <c r="E5434">
        <v>0.39247880000000002</v>
      </c>
      <c r="F5434" t="s">
        <v>42</v>
      </c>
      <c r="G5434">
        <v>-397.93979999999999</v>
      </c>
      <c r="H5434" s="1">
        <v>-9.6611620000000006E-7</v>
      </c>
      <c r="I5434">
        <v>19.660499999999999</v>
      </c>
      <c r="J5434">
        <v>-414.62470000000002</v>
      </c>
      <c r="K5434">
        <v>1.1129119999999999</v>
      </c>
      <c r="L5434">
        <v>29.929839999999999</v>
      </c>
      <c r="M5434">
        <v>0.67646030000000001</v>
      </c>
      <c r="N5434">
        <v>0</v>
      </c>
      <c r="O5434">
        <v>-0.73634960000000005</v>
      </c>
      <c r="P5434">
        <v>0.67442930000000001</v>
      </c>
      <c r="Q5434">
        <v>-2.2128129999999999E-2</v>
      </c>
      <c r="R5434">
        <v>-0.73800809999999994</v>
      </c>
      <c r="S5434">
        <v>2.654175</v>
      </c>
      <c r="T5434">
        <v>-0.17633099999999999</v>
      </c>
      <c r="U5434">
        <v>-1.6379699999999999</v>
      </c>
      <c r="V5434">
        <v>2.6755619999999998E-3</v>
      </c>
      <c r="W5434">
        <v>-8.2993010000000002E-3</v>
      </c>
      <c r="X5434">
        <v>0.99996200000000002</v>
      </c>
      <c r="Y5434">
        <v>-0.2701539</v>
      </c>
      <c r="Z5434">
        <v>4.684468E-2</v>
      </c>
      <c r="AA5434">
        <v>0.96167689999999995</v>
      </c>
      <c r="AB5434">
        <v>19</v>
      </c>
      <c r="AC5434">
        <v>16.684899999999999</v>
      </c>
      <c r="AD5434">
        <v>-1.1129129661161901</v>
      </c>
      <c r="AE5434">
        <v>-10.26934</v>
      </c>
      <c r="AF5434">
        <v>-5.3224535952103498</v>
      </c>
      <c r="AG5434">
        <v>-1.1129129661161901</v>
      </c>
      <c r="AH5434">
        <v>18.789664914507799</v>
      </c>
      <c r="AI5434">
        <v>93.261635204958907</v>
      </c>
      <c r="AJ5434">
        <v>105.815567256656</v>
      </c>
      <c r="AK5434">
        <v>19.560638924708002</v>
      </c>
      <c r="AL5434">
        <v>90.475520370014493</v>
      </c>
      <c r="AM5434">
        <v>89.8466961298558</v>
      </c>
      <c r="AN5434">
        <v>1.0000000192365499</v>
      </c>
    </row>
    <row r="5435" spans="1:40" x14ac:dyDescent="0.25">
      <c r="A5435" t="str">
        <f>"20190312154945985"</f>
        <v>20190312154945985</v>
      </c>
      <c r="B5435" t="str">
        <f>"1552376985981118"</f>
        <v>1552376985981118</v>
      </c>
      <c r="C5435" t="s">
        <v>40</v>
      </c>
      <c r="D5435">
        <v>4.0219699999999996</v>
      </c>
      <c r="E5435">
        <v>0.39299469999999997</v>
      </c>
      <c r="F5435" t="s">
        <v>42</v>
      </c>
      <c r="G5435">
        <v>-398.00439999999998</v>
      </c>
      <c r="H5435" s="1">
        <v>-9.5406019999999994E-7</v>
      </c>
      <c r="I5435">
        <v>19.729980000000001</v>
      </c>
      <c r="J5435">
        <v>-414.54739999999998</v>
      </c>
      <c r="K5435">
        <v>1.1128370000000001</v>
      </c>
      <c r="L5435">
        <v>29.851230000000001</v>
      </c>
      <c r="M5435">
        <v>0.67884290000000003</v>
      </c>
      <c r="N5435">
        <v>0</v>
      </c>
      <c r="O5435">
        <v>-0.73415410000000003</v>
      </c>
      <c r="P5435">
        <v>0.67694779999999999</v>
      </c>
      <c r="Q5435">
        <v>-2.225017E-2</v>
      </c>
      <c r="R5435">
        <v>-0.73569499999999999</v>
      </c>
      <c r="S5435">
        <v>2.6576230000000001</v>
      </c>
      <c r="T5435">
        <v>-0.17795729999999901</v>
      </c>
      <c r="U5435">
        <v>-1.630981</v>
      </c>
      <c r="V5435">
        <v>2.4948069999999999E-3</v>
      </c>
      <c r="W5435">
        <v>-8.4352400000000001E-3</v>
      </c>
      <c r="X5435">
        <v>0.99996130000000005</v>
      </c>
      <c r="Y5435">
        <v>-0.26940720000000001</v>
      </c>
      <c r="Z5435">
        <v>4.7165029999999997E-2</v>
      </c>
      <c r="AA5435">
        <v>0.96187069999999997</v>
      </c>
      <c r="AB5435">
        <v>19</v>
      </c>
      <c r="AC5435">
        <v>16.542999999999999</v>
      </c>
      <c r="AD5435">
        <v>-1.1128379540602</v>
      </c>
      <c r="AE5435">
        <v>-10.12125</v>
      </c>
      <c r="AF5435">
        <v>-5.2575624845466304</v>
      </c>
      <c r="AG5435">
        <v>-1.1128379540602</v>
      </c>
      <c r="AH5435">
        <v>18.601181419134299</v>
      </c>
      <c r="AI5435">
        <v>93.294923408679395</v>
      </c>
      <c r="AJ5435">
        <v>105.782769559583</v>
      </c>
      <c r="AK5435">
        <v>19.361929701826099</v>
      </c>
      <c r="AL5435">
        <v>90.483309387917998</v>
      </c>
      <c r="AM5435">
        <v>89.857052852727307</v>
      </c>
      <c r="AN5435">
        <v>0.99999998941675705</v>
      </c>
    </row>
    <row r="5436" spans="1:40" x14ac:dyDescent="0.25">
      <c r="A5436" t="str">
        <f>"20190312154945999"</f>
        <v>20190312154945999</v>
      </c>
      <c r="B5436" t="str">
        <f>"1552376985991864"</f>
        <v>1552376985991864</v>
      </c>
      <c r="C5436" t="s">
        <v>40</v>
      </c>
      <c r="D5436">
        <v>4.0067000000000004</v>
      </c>
      <c r="E5436">
        <v>0.39335389999999998</v>
      </c>
      <c r="F5436" t="s">
        <v>42</v>
      </c>
      <c r="G5436">
        <v>-397.95920000000001</v>
      </c>
      <c r="H5436" s="1">
        <v>-9.7219409999999997E-7</v>
      </c>
      <c r="I5436">
        <v>19.717860000000002</v>
      </c>
      <c r="J5436">
        <v>-414.4633</v>
      </c>
      <c r="K5436">
        <v>1.112752</v>
      </c>
      <c r="L5436">
        <v>29.76624</v>
      </c>
      <c r="M5436">
        <v>0.68132729999999997</v>
      </c>
      <c r="N5436">
        <v>0</v>
      </c>
      <c r="O5436">
        <v>-0.73184910000000003</v>
      </c>
      <c r="P5436">
        <v>0.67954680000000001</v>
      </c>
      <c r="Q5436">
        <v>-2.229281E-2</v>
      </c>
      <c r="R5436">
        <v>-0.73329369999999905</v>
      </c>
      <c r="S5436">
        <v>2.6599119999999998</v>
      </c>
      <c r="T5436">
        <v>-0.17844279999999901</v>
      </c>
      <c r="U5436">
        <v>-1.624878</v>
      </c>
      <c r="V5436">
        <v>2.3435370000000001E-3</v>
      </c>
      <c r="W5436">
        <v>-8.4930939999999996E-3</v>
      </c>
      <c r="X5436">
        <v>0.99996119999999999</v>
      </c>
      <c r="Y5436">
        <v>-0.26811439999999997</v>
      </c>
      <c r="Z5436">
        <v>4.7173270000000003E-2</v>
      </c>
      <c r="AA5436">
        <v>0.96223150000000002</v>
      </c>
      <c r="AB5436">
        <v>19</v>
      </c>
      <c r="AC5436">
        <v>16.504099999999902</v>
      </c>
      <c r="AD5436">
        <v>-1.1127529721941001</v>
      </c>
      <c r="AE5436">
        <v>-10.04838</v>
      </c>
      <c r="AF5436">
        <v>-5.2154753319943001</v>
      </c>
      <c r="AG5436">
        <v>-1.1127529721941001</v>
      </c>
      <c r="AH5436">
        <v>18.538875408641601</v>
      </c>
      <c r="AI5436">
        <v>93.306858403070706</v>
      </c>
      <c r="AJ5436">
        <v>105.71269499392</v>
      </c>
      <c r="AK5436">
        <v>19.2906532686922</v>
      </c>
      <c r="AL5436">
        <v>90.486624285173704</v>
      </c>
      <c r="AM5436">
        <v>89.865720256551199</v>
      </c>
      <c r="AN5436">
        <v>1.0000000131583999</v>
      </c>
    </row>
    <row r="5437" spans="1:40" x14ac:dyDescent="0.25">
      <c r="A5437" t="str">
        <f>"20190312154946011"</f>
        <v>20190312154946011</v>
      </c>
      <c r="B5437" t="str">
        <f>"1552376986001613"</f>
        <v>1552376986001613</v>
      </c>
      <c r="C5437" t="s">
        <v>40</v>
      </c>
      <c r="D5437">
        <v>4.0642889999999996</v>
      </c>
      <c r="E5437">
        <v>0.39335389999999998</v>
      </c>
      <c r="F5437" t="s">
        <v>42</v>
      </c>
      <c r="G5437">
        <v>-397.90660000000003</v>
      </c>
      <c r="H5437" s="1">
        <v>-9.9594500000000004E-7</v>
      </c>
      <c r="I5437">
        <v>19.713709999999999</v>
      </c>
      <c r="J5437">
        <v>-414.38749999999999</v>
      </c>
      <c r="K5437">
        <v>1.112673</v>
      </c>
      <c r="L5437">
        <v>29.689879999999999</v>
      </c>
      <c r="M5437">
        <v>0.68350999999999995</v>
      </c>
      <c r="N5437">
        <v>0</v>
      </c>
      <c r="O5437">
        <v>-0.72981130000000005</v>
      </c>
      <c r="P5437">
        <v>0.68187749999999903</v>
      </c>
      <c r="Q5437">
        <v>-2.2262569999999999E-2</v>
      </c>
      <c r="R5437">
        <v>-0.73112739999999998</v>
      </c>
      <c r="S5437">
        <v>2.6636350000000002</v>
      </c>
      <c r="T5437">
        <v>-0.1790195</v>
      </c>
      <c r="U5437">
        <v>-1.6172489999999999</v>
      </c>
      <c r="V5437">
        <v>2.145615E-3</v>
      </c>
      <c r="W5437">
        <v>-8.4770499999999999E-3</v>
      </c>
      <c r="X5437">
        <v>0.99996180000000001</v>
      </c>
      <c r="Y5437">
        <v>-0.26784160000000001</v>
      </c>
      <c r="Z5437">
        <v>4.7231910000000002E-2</v>
      </c>
      <c r="AA5437">
        <v>0.96230450000000001</v>
      </c>
      <c r="AB5437">
        <v>19</v>
      </c>
      <c r="AC5437">
        <v>16.480899999999899</v>
      </c>
      <c r="AD5437">
        <v>-1.112673995945</v>
      </c>
      <c r="AE5437">
        <v>-9.9761699999999998</v>
      </c>
      <c r="AF5437">
        <v>-5.1923086143227799</v>
      </c>
      <c r="AG5437">
        <v>-1.112673995945</v>
      </c>
      <c r="AH5437">
        <v>18.4856758497519</v>
      </c>
      <c r="AI5437">
        <v>93.316501484078699</v>
      </c>
      <c r="AJ5437">
        <v>105.689139816563</v>
      </c>
      <c r="AK5437">
        <v>19.2332608725021</v>
      </c>
      <c r="AL5437">
        <v>90.485704989090095</v>
      </c>
      <c r="AM5437">
        <v>89.877060808426705</v>
      </c>
      <c r="AN5437">
        <v>1.00000003274983</v>
      </c>
    </row>
    <row r="5438" spans="1:40" x14ac:dyDescent="0.25">
      <c r="A5438" t="str">
        <f>"20190312154946024"</f>
        <v>20190312154946024</v>
      </c>
      <c r="B5438" t="str">
        <f>"1552376986021640"</f>
        <v>1552376986021640</v>
      </c>
      <c r="C5438" t="s">
        <v>40</v>
      </c>
      <c r="D5438">
        <v>4.0940519999999996</v>
      </c>
      <c r="E5438">
        <v>0.40279340000000002</v>
      </c>
      <c r="F5438" t="s">
        <v>42</v>
      </c>
      <c r="G5438">
        <v>-397.83190000000002</v>
      </c>
      <c r="H5438" s="1">
        <v>-1.0299089999999999E-6</v>
      </c>
      <c r="I5438">
        <v>19.70872</v>
      </c>
      <c r="J5438">
        <v>-414.30650000000003</v>
      </c>
      <c r="K5438">
        <v>1.112584</v>
      </c>
      <c r="L5438">
        <v>29.60867</v>
      </c>
      <c r="M5438">
        <v>0.68578109999999903</v>
      </c>
      <c r="N5438">
        <v>0</v>
      </c>
      <c r="O5438">
        <v>-0.72767780000000004</v>
      </c>
      <c r="P5438">
        <v>0.68435159999999995</v>
      </c>
      <c r="Q5438">
        <v>-2.225564E-2</v>
      </c>
      <c r="R5438">
        <v>-0.72881269999999998</v>
      </c>
      <c r="S5438">
        <v>2.6686709999999998</v>
      </c>
      <c r="T5438">
        <v>-0.17935789999999999</v>
      </c>
      <c r="U5438">
        <v>-1.6089169999999999</v>
      </c>
      <c r="V5438">
        <v>1.8712290000000001E-3</v>
      </c>
      <c r="W5438">
        <v>-8.4857470000000001E-3</v>
      </c>
      <c r="X5438">
        <v>0.99996229999999997</v>
      </c>
      <c r="Y5438">
        <v>-0.26784390000000002</v>
      </c>
      <c r="Z5438">
        <v>4.7216380000000002E-2</v>
      </c>
      <c r="AA5438">
        <v>0.96230470000000001</v>
      </c>
      <c r="AB5438">
        <v>19</v>
      </c>
      <c r="AC5438">
        <v>16.474599999999999</v>
      </c>
      <c r="AD5438">
        <v>-1.1125850299089901</v>
      </c>
      <c r="AE5438">
        <v>-9.8999500000000005</v>
      </c>
      <c r="AF5438">
        <v>-5.1821301304341798</v>
      </c>
      <c r="AG5438">
        <v>-1.1125850299089901</v>
      </c>
      <c r="AH5438">
        <v>18.441900103109901</v>
      </c>
      <c r="AI5438">
        <v>93.323991903824293</v>
      </c>
      <c r="AJ5438">
        <v>105.695236893668</v>
      </c>
      <c r="AK5438">
        <v>19.1884339525303</v>
      </c>
      <c r="AL5438">
        <v>90.486203297373507</v>
      </c>
      <c r="AM5438">
        <v>89.892782558845099</v>
      </c>
      <c r="AN5438">
        <v>1.0000000554107</v>
      </c>
    </row>
    <row r="5439" spans="1:40" x14ac:dyDescent="0.25">
      <c r="A5439" t="str">
        <f>"20190312154946039"</f>
        <v>20190312154946039</v>
      </c>
      <c r="B5439" t="str">
        <f>"1552376986031401"</f>
        <v>1552376986031401</v>
      </c>
      <c r="C5439" t="s">
        <v>40</v>
      </c>
      <c r="D5439">
        <v>4.1069500000000003</v>
      </c>
      <c r="E5439">
        <v>0.40320780000000001</v>
      </c>
      <c r="F5439" t="s">
        <v>42</v>
      </c>
      <c r="G5439">
        <v>-396.94060000000002</v>
      </c>
      <c r="H5439" s="1">
        <v>-1.5971159999999999E-6</v>
      </c>
      <c r="I5439">
        <v>18.65551</v>
      </c>
      <c r="J5439">
        <v>-414.21910000000003</v>
      </c>
      <c r="K5439">
        <v>1.11249</v>
      </c>
      <c r="L5439">
        <v>29.521640000000001</v>
      </c>
      <c r="M5439">
        <v>0.68812329999999999</v>
      </c>
      <c r="N5439">
        <v>0</v>
      </c>
      <c r="O5439">
        <v>-0.72546390000000005</v>
      </c>
      <c r="P5439">
        <v>0.68697039999999998</v>
      </c>
      <c r="Q5439">
        <v>-2.2579220000000001E-2</v>
      </c>
      <c r="R5439">
        <v>-0.72633499999999995</v>
      </c>
      <c r="S5439">
        <v>2.6190190000000002</v>
      </c>
      <c r="T5439">
        <v>-0.1677932</v>
      </c>
      <c r="U5439">
        <v>-1.651886</v>
      </c>
      <c r="V5439">
        <v>1.4887209999999999E-3</v>
      </c>
      <c r="W5439">
        <v>-8.8268510000000001E-3</v>
      </c>
      <c r="X5439">
        <v>0.99995990000000001</v>
      </c>
      <c r="Y5439">
        <v>-0.24542810000000001</v>
      </c>
      <c r="Z5439">
        <v>4.3916829999999997E-2</v>
      </c>
      <c r="AA5439">
        <v>0.96841949999999999</v>
      </c>
      <c r="AB5439">
        <v>19</v>
      </c>
      <c r="AC5439">
        <v>17.278500000000001</v>
      </c>
      <c r="AD5439">
        <v>-1.1124915971160001</v>
      </c>
      <c r="AE5439">
        <v>-10.86613</v>
      </c>
      <c r="AF5439">
        <v>-5.0431857720028903</v>
      </c>
      <c r="AG5439">
        <v>-1.1124915971160001</v>
      </c>
      <c r="AH5439">
        <v>19.716017140676101</v>
      </c>
      <c r="AI5439">
        <v>93.129002000709605</v>
      </c>
      <c r="AJ5439">
        <v>104.348114127296</v>
      </c>
      <c r="AK5439">
        <v>20.3811847588902</v>
      </c>
      <c r="AL5439">
        <v>90.505747893649001</v>
      </c>
      <c r="AM5439">
        <v>89.914699212285498</v>
      </c>
      <c r="AN5439">
        <v>0.99999996559839999</v>
      </c>
    </row>
    <row r="5440" spans="1:40" x14ac:dyDescent="0.25">
      <c r="A5440" t="str">
        <f>"20190312154946052"</f>
        <v>20190312154946052</v>
      </c>
      <c r="B5440" t="str">
        <f>"1552376986041161"</f>
        <v>1552376986041161</v>
      </c>
      <c r="C5440" t="s">
        <v>40</v>
      </c>
      <c r="D5440">
        <v>4.1757650000000002</v>
      </c>
      <c r="E5440">
        <v>0.40370600000000001</v>
      </c>
      <c r="F5440" t="s">
        <v>42</v>
      </c>
      <c r="G5440">
        <v>-397.36189999999999</v>
      </c>
      <c r="H5440" s="1">
        <v>-1.345534E-6</v>
      </c>
      <c r="I5440">
        <v>18.950869999999998</v>
      </c>
      <c r="J5440">
        <v>-414.13690000000003</v>
      </c>
      <c r="K5440">
        <v>1.112406</v>
      </c>
      <c r="L5440">
        <v>29.44</v>
      </c>
      <c r="M5440">
        <v>0.69026449999999995</v>
      </c>
      <c r="N5440">
        <v>0</v>
      </c>
      <c r="O5440">
        <v>-0.72342700000000004</v>
      </c>
      <c r="P5440">
        <v>0.68904770000000004</v>
      </c>
      <c r="Q5440">
        <v>-2.272271E-2</v>
      </c>
      <c r="R5440">
        <v>-0.72436</v>
      </c>
      <c r="S5440">
        <v>2.622528</v>
      </c>
      <c r="T5440">
        <v>-0.17307410000000001</v>
      </c>
      <c r="U5440">
        <v>-1.644531</v>
      </c>
      <c r="V5440">
        <v>1.5763050000000001E-3</v>
      </c>
      <c r="W5440">
        <v>-8.9837489999999992E-3</v>
      </c>
      <c r="X5440">
        <v>0.99995840000000003</v>
      </c>
      <c r="Y5440">
        <v>-0.24502669999999999</v>
      </c>
      <c r="Z5440">
        <v>4.5202899999999997E-2</v>
      </c>
      <c r="AA5440">
        <v>0.96846200000000005</v>
      </c>
      <c r="AB5440">
        <v>19</v>
      </c>
      <c r="AC5440">
        <v>16.774999999999999</v>
      </c>
      <c r="AD5440">
        <v>-1.112407345534</v>
      </c>
      <c r="AE5440">
        <v>-10.489129999999999</v>
      </c>
      <c r="AF5440">
        <v>-4.8802462900052701</v>
      </c>
      <c r="AG5440">
        <v>-1.112407345534</v>
      </c>
      <c r="AH5440">
        <v>19.108701057796001</v>
      </c>
      <c r="AI5440">
        <v>93.228304533757296</v>
      </c>
      <c r="AJ5440">
        <v>104.326742415556</v>
      </c>
      <c r="AK5440">
        <v>19.753397431067899</v>
      </c>
      <c r="AL5440">
        <v>90.514737827440598</v>
      </c>
      <c r="AM5440">
        <v>89.909680693801107</v>
      </c>
      <c r="AN5440">
        <v>0.99999999710705401</v>
      </c>
    </row>
    <row r="5441" spans="1:40" x14ac:dyDescent="0.25">
      <c r="A5441" t="str">
        <f>"20190312154946063"</f>
        <v>20190312154946063</v>
      </c>
      <c r="B5441" t="str">
        <f>"1552376986061656"</f>
        <v>1552376986061656</v>
      </c>
      <c r="C5441" t="s">
        <v>40</v>
      </c>
      <c r="D5441">
        <v>4.2204769999999998</v>
      </c>
      <c r="E5441">
        <v>0.40480060000000001</v>
      </c>
      <c r="F5441" t="s">
        <v>42</v>
      </c>
      <c r="G5441">
        <v>-397.4665</v>
      </c>
      <c r="H5441" s="1">
        <v>-1.283221E-6</v>
      </c>
      <c r="I5441">
        <v>19.023669999999999</v>
      </c>
      <c r="J5441">
        <v>-414.06819999999999</v>
      </c>
      <c r="K5441">
        <v>1.1123350000000001</v>
      </c>
      <c r="L5441">
        <v>29.372039999999998</v>
      </c>
      <c r="M5441">
        <v>0.69201440000000003</v>
      </c>
      <c r="N5441">
        <v>0</v>
      </c>
      <c r="O5441">
        <v>-0.72175339999999999</v>
      </c>
      <c r="P5441">
        <v>0.69094440000000001</v>
      </c>
      <c r="Q5441">
        <v>-2.3192040000000001E-2</v>
      </c>
      <c r="R5441">
        <v>-0.72253559999999994</v>
      </c>
      <c r="S5441">
        <v>2.6242679999999998</v>
      </c>
      <c r="T5441">
        <v>-0.1751152</v>
      </c>
      <c r="U5441">
        <v>-1.63974</v>
      </c>
      <c r="V5441">
        <v>1.3668879999999999E-3</v>
      </c>
      <c r="W5441">
        <v>-9.4657019999999994E-3</v>
      </c>
      <c r="X5441">
        <v>0.99995429999999996</v>
      </c>
      <c r="Y5441">
        <v>-0.24421290000000001</v>
      </c>
      <c r="Z5441">
        <v>4.5651629999999999E-2</v>
      </c>
      <c r="AA5441">
        <v>0.96864649999999997</v>
      </c>
      <c r="AB5441">
        <v>19</v>
      </c>
      <c r="AC5441">
        <v>16.601699999999902</v>
      </c>
      <c r="AD5441">
        <v>-1.112336283221</v>
      </c>
      <c r="AE5441">
        <v>-10.348369999999999</v>
      </c>
      <c r="AF5441">
        <v>-4.8060278887932597</v>
      </c>
      <c r="AG5441">
        <v>-1.112336283221</v>
      </c>
      <c r="AH5441">
        <v>18.8982714949505</v>
      </c>
      <c r="AI5441">
        <v>93.264810456762604</v>
      </c>
      <c r="AJ5441">
        <v>104.26844948532199</v>
      </c>
      <c r="AK5441">
        <v>19.531509454511902</v>
      </c>
      <c r="AL5441">
        <v>90.542352855047397</v>
      </c>
      <c r="AM5441">
        <v>89.921679556068298</v>
      </c>
      <c r="AN5441">
        <v>1.00000003499282</v>
      </c>
    </row>
    <row r="5442" spans="1:40" x14ac:dyDescent="0.25">
      <c r="A5442" t="str">
        <f>"20190312154946075"</f>
        <v>20190312154946075</v>
      </c>
      <c r="B5442" t="str">
        <f>"1552376986071417"</f>
        <v>1552376986071417</v>
      </c>
      <c r="C5442" t="s">
        <v>40</v>
      </c>
      <c r="D5442">
        <v>4.2398400000000001</v>
      </c>
      <c r="E5442">
        <v>0.4050648</v>
      </c>
      <c r="F5442" t="s">
        <v>42</v>
      </c>
      <c r="G5442">
        <v>-398.08879999999999</v>
      </c>
      <c r="H5442" s="1">
        <v>-9.249626E-7</v>
      </c>
      <c r="I5442">
        <v>19.384810000000002</v>
      </c>
      <c r="J5442">
        <v>-414.00630000000001</v>
      </c>
      <c r="K5442">
        <v>1.1122749999999999</v>
      </c>
      <c r="L5442">
        <v>29.3111</v>
      </c>
      <c r="M5442">
        <v>0.69352849999999999</v>
      </c>
      <c r="N5442">
        <v>0</v>
      </c>
      <c r="O5442">
        <v>-0.72029889999999996</v>
      </c>
      <c r="P5442">
        <v>0.69247259999999999</v>
      </c>
      <c r="Q5442">
        <v>-2.3388869999999999E-2</v>
      </c>
      <c r="R5442">
        <v>-0.72106539999999997</v>
      </c>
      <c r="S5442">
        <v>2.6220400000000001</v>
      </c>
      <c r="T5442">
        <v>-0.18252209999999999</v>
      </c>
      <c r="U5442">
        <v>-1.6387940000000001</v>
      </c>
      <c r="V5442">
        <v>1.3451470000000001E-3</v>
      </c>
      <c r="W5442">
        <v>-9.6726329999999999E-3</v>
      </c>
      <c r="X5442">
        <v>0.99995230000000002</v>
      </c>
      <c r="Y5442">
        <v>-0.24195649999999999</v>
      </c>
      <c r="Z5442">
        <v>4.749159E-2</v>
      </c>
      <c r="AA5442">
        <v>0.96912410000000004</v>
      </c>
      <c r="AB5442">
        <v>19</v>
      </c>
      <c r="AC5442">
        <v>15.9175</v>
      </c>
      <c r="AD5442">
        <v>-1.1122759249626</v>
      </c>
      <c r="AE5442">
        <v>-9.9262899999999892</v>
      </c>
      <c r="AF5442">
        <v>-4.5655717167312</v>
      </c>
      <c r="AG5442">
        <v>-1.1122759249626</v>
      </c>
      <c r="AH5442">
        <v>18.1271141185948</v>
      </c>
      <c r="AI5442">
        <v>93.405172826345506</v>
      </c>
      <c r="AJ5442">
        <v>104.136728939176</v>
      </c>
      <c r="AK5442">
        <v>18.726288182723899</v>
      </c>
      <c r="AL5442">
        <v>90.554209697759504</v>
      </c>
      <c r="AM5442">
        <v>89.922925124092799</v>
      </c>
      <c r="AN5442">
        <v>0.99999998576244697</v>
      </c>
    </row>
    <row r="5443" spans="1:40" x14ac:dyDescent="0.25">
      <c r="A5443" t="str">
        <f>"20190312154946086"</f>
        <v>20190312154946086</v>
      </c>
      <c r="B5443" t="str">
        <f>"1552376986081176"</f>
        <v>1552376986081176</v>
      </c>
      <c r="C5443" t="s">
        <v>40</v>
      </c>
      <c r="D5443">
        <v>4.1879549999999997</v>
      </c>
      <c r="E5443">
        <v>0.40508339999999998</v>
      </c>
      <c r="F5443" t="s">
        <v>42</v>
      </c>
      <c r="G5443">
        <v>-398.38350000000003</v>
      </c>
      <c r="H5443" s="1">
        <v>-7.508855E-7</v>
      </c>
      <c r="I5443">
        <v>19.58099</v>
      </c>
      <c r="J5443">
        <v>-413.93810000000002</v>
      </c>
      <c r="K5443">
        <v>1.112212</v>
      </c>
      <c r="L5443">
        <v>29.244109999999999</v>
      </c>
      <c r="M5443">
        <v>0.69518080000000004</v>
      </c>
      <c r="N5443">
        <v>0</v>
      </c>
      <c r="O5443">
        <v>-0.71870429999999996</v>
      </c>
      <c r="P5443">
        <v>0.69406319999999999</v>
      </c>
      <c r="Q5443">
        <v>-2.3722279999999998E-2</v>
      </c>
      <c r="R5443">
        <v>-0.71952320000000003</v>
      </c>
      <c r="S5443">
        <v>2.6241759999999998</v>
      </c>
      <c r="T5443">
        <v>-0.1868293</v>
      </c>
      <c r="U5443">
        <v>-1.634369</v>
      </c>
      <c r="V5443">
        <v>1.425906E-3</v>
      </c>
      <c r="W5443">
        <v>-1.0016300000000001E-2</v>
      </c>
      <c r="X5443">
        <v>0.99994879999999997</v>
      </c>
      <c r="Y5443">
        <v>-0.2412001</v>
      </c>
      <c r="Z5443">
        <v>4.8517230000000001E-2</v>
      </c>
      <c r="AA5443">
        <v>0.96926190000000001</v>
      </c>
      <c r="AB5443">
        <v>19</v>
      </c>
      <c r="AC5443">
        <v>15.554599999999899</v>
      </c>
      <c r="AD5443">
        <v>-1.1122127508855</v>
      </c>
      <c r="AE5443">
        <v>-9.6631199999999993</v>
      </c>
      <c r="AF5443">
        <v>-4.4455614834348003</v>
      </c>
      <c r="AG5443">
        <v>-1.1122127508855</v>
      </c>
      <c r="AH5443">
        <v>17.694576604294301</v>
      </c>
      <c r="AI5443">
        <v>93.488525323039497</v>
      </c>
      <c r="AJ5443">
        <v>104.103018554556</v>
      </c>
      <c r="AK5443">
        <v>18.2783499066921</v>
      </c>
      <c r="AL5443">
        <v>90.5739013237161</v>
      </c>
      <c r="AM5443">
        <v>89.918297476423902</v>
      </c>
      <c r="AN5443">
        <v>0.99999998104752497</v>
      </c>
    </row>
    <row r="5444" spans="1:40" x14ac:dyDescent="0.25">
      <c r="A5444" t="str">
        <f>"20190312154946096"</f>
        <v>20190312154946096</v>
      </c>
      <c r="B5444" t="str">
        <f>"1552376986091912"</f>
        <v>1552376986091912</v>
      </c>
      <c r="C5444" t="s">
        <v>40</v>
      </c>
      <c r="D5444">
        <v>4.2446849999999996</v>
      </c>
      <c r="E5444">
        <v>0.40523559999999997</v>
      </c>
      <c r="F5444" t="s">
        <v>42</v>
      </c>
      <c r="G5444">
        <v>-398.6909</v>
      </c>
      <c r="H5444" s="1">
        <v>-6.4684449999999995E-7</v>
      </c>
      <c r="I5444">
        <v>19.79494</v>
      </c>
      <c r="J5444">
        <v>-413.87329999999997</v>
      </c>
      <c r="K5444">
        <v>1.1121559999999999</v>
      </c>
      <c r="L5444">
        <v>29.180599999999998</v>
      </c>
      <c r="M5444">
        <v>0.69668839999999999</v>
      </c>
      <c r="N5444">
        <v>0</v>
      </c>
      <c r="O5444">
        <v>-0.71724339999999998</v>
      </c>
      <c r="P5444">
        <v>0.69577529999999999</v>
      </c>
      <c r="Q5444">
        <v>-2.3808090000000001E-2</v>
      </c>
      <c r="R5444">
        <v>-0.71786499999999998</v>
      </c>
      <c r="S5444">
        <v>2.6276860000000002</v>
      </c>
      <c r="T5444">
        <v>-0.1916764</v>
      </c>
      <c r="U5444">
        <v>-1.6284479999999999</v>
      </c>
      <c r="V5444">
        <v>1.140573E-3</v>
      </c>
      <c r="W5444">
        <v>-1.0113479999999999E-2</v>
      </c>
      <c r="X5444">
        <v>0.99994819999999995</v>
      </c>
      <c r="Y5444">
        <v>-0.24125050000000001</v>
      </c>
      <c r="Z5444">
        <v>4.9697039999999998E-2</v>
      </c>
      <c r="AA5444">
        <v>0.96918959999999998</v>
      </c>
      <c r="AB5444">
        <v>19</v>
      </c>
      <c r="AC5444">
        <v>15.1823999999999</v>
      </c>
      <c r="AD5444">
        <v>-1.1121566468445001</v>
      </c>
      <c r="AE5444">
        <v>-9.3856599999999908</v>
      </c>
      <c r="AF5444">
        <v>-4.3341762977413101</v>
      </c>
      <c r="AG5444">
        <v>-1.1121566468445001</v>
      </c>
      <c r="AH5444">
        <v>17.243878515012899</v>
      </c>
      <c r="AI5444">
        <v>93.579199311446601</v>
      </c>
      <c r="AJ5444">
        <v>104.108792866101</v>
      </c>
      <c r="AK5444">
        <v>17.814974679396801</v>
      </c>
      <c r="AL5444">
        <v>90.579469602777394</v>
      </c>
      <c r="AM5444">
        <v>89.934646623909501</v>
      </c>
      <c r="AN5444">
        <v>0.999999993033859</v>
      </c>
    </row>
    <row r="5445" spans="1:40" x14ac:dyDescent="0.25">
      <c r="A5445" t="str">
        <f>"20190312154946108"</f>
        <v>20190312154946108</v>
      </c>
      <c r="B5445" t="str">
        <f>"1552376986101673"</f>
        <v>1552376986101673</v>
      </c>
      <c r="C5445" t="s">
        <v>40</v>
      </c>
      <c r="D5445">
        <v>4.2693890000000003</v>
      </c>
      <c r="E5445">
        <v>0.40546510000000002</v>
      </c>
      <c r="F5445" t="s">
        <v>42</v>
      </c>
      <c r="G5445">
        <v>-398.69720000000001</v>
      </c>
      <c r="H5445" s="1">
        <v>-6.4999469999999996E-7</v>
      </c>
      <c r="I5445">
        <v>19.818020000000001</v>
      </c>
      <c r="J5445">
        <v>-413.80130000000003</v>
      </c>
      <c r="K5445">
        <v>1.1120969999999999</v>
      </c>
      <c r="L5445">
        <v>29.11035</v>
      </c>
      <c r="M5445">
        <v>0.69833829999999997</v>
      </c>
      <c r="N5445">
        <v>0</v>
      </c>
      <c r="O5445">
        <v>-0.71563710000000003</v>
      </c>
      <c r="P5445">
        <v>0.69730809999999999</v>
      </c>
      <c r="Q5445">
        <v>-2.3880060000000002E-2</v>
      </c>
      <c r="R5445">
        <v>-0.71637329999999999</v>
      </c>
      <c r="S5445">
        <v>2.630646</v>
      </c>
      <c r="T5445">
        <v>-0.1927828</v>
      </c>
      <c r="U5445">
        <v>-1.622925</v>
      </c>
      <c r="V5445">
        <v>1.303048E-3</v>
      </c>
      <c r="W5445">
        <v>-1.019522E-2</v>
      </c>
      <c r="X5445">
        <v>0.99994720000000004</v>
      </c>
      <c r="Y5445">
        <v>-0.24096300000000001</v>
      </c>
      <c r="Z5445">
        <v>4.9895450000000001E-2</v>
      </c>
      <c r="AA5445">
        <v>0.96925090000000003</v>
      </c>
      <c r="AB5445">
        <v>19</v>
      </c>
      <c r="AC5445">
        <v>15.104100000000001</v>
      </c>
      <c r="AD5445">
        <v>-1.1120976499947</v>
      </c>
      <c r="AE5445">
        <v>-9.2923299999999998</v>
      </c>
      <c r="AF5445">
        <v>-4.3033449202226004</v>
      </c>
      <c r="AG5445">
        <v>-1.1120976499947</v>
      </c>
      <c r="AH5445">
        <v>17.131942361414801</v>
      </c>
      <c r="AI5445">
        <v>93.602466650513506</v>
      </c>
      <c r="AJ5445">
        <v>104.100309668159</v>
      </c>
      <c r="AK5445">
        <v>17.699123926352001</v>
      </c>
      <c r="AL5445">
        <v>90.584153184602698</v>
      </c>
      <c r="AM5445">
        <v>89.925336949147805</v>
      </c>
      <c r="AN5445">
        <v>1.00000002161638</v>
      </c>
    </row>
    <row r="5446" spans="1:40" x14ac:dyDescent="0.25">
      <c r="A5446" t="str">
        <f>"20190312154946118"</f>
        <v>20190312154946118</v>
      </c>
      <c r="B5446" t="str">
        <f>"1552376986111940"</f>
        <v>1552376986111940</v>
      </c>
      <c r="C5446" t="s">
        <v>40</v>
      </c>
      <c r="D5446">
        <v>4.2536509999999996</v>
      </c>
      <c r="E5446">
        <v>0.40563870000000002</v>
      </c>
      <c r="F5446" t="s">
        <v>42</v>
      </c>
      <c r="G5446">
        <v>-398.70850000000002</v>
      </c>
      <c r="H5446" s="1">
        <v>-6.4759389999999995E-7</v>
      </c>
      <c r="I5446">
        <v>19.829170000000001</v>
      </c>
      <c r="J5446">
        <v>-413.7346</v>
      </c>
      <c r="K5446">
        <v>1.1120479999999999</v>
      </c>
      <c r="L5446">
        <v>29.045500000000001</v>
      </c>
      <c r="M5446">
        <v>0.69982089999999997</v>
      </c>
      <c r="N5446">
        <v>0</v>
      </c>
      <c r="O5446">
        <v>-0.71418740000000003</v>
      </c>
      <c r="P5446">
        <v>0.69913419999999904</v>
      </c>
      <c r="Q5446">
        <v>-2.3774750000000001E-2</v>
      </c>
      <c r="R5446">
        <v>-0.71459510000000004</v>
      </c>
      <c r="S5446">
        <v>2.6325069999999999</v>
      </c>
      <c r="T5446">
        <v>-0.1939737</v>
      </c>
      <c r="U5446">
        <v>-1.618835</v>
      </c>
      <c r="V5446">
        <v>8.255332E-4</v>
      </c>
      <c r="W5446">
        <v>-1.0101850000000001E-2</v>
      </c>
      <c r="X5446">
        <v>0.99994859999999997</v>
      </c>
      <c r="Y5446">
        <v>-0.24033309999999999</v>
      </c>
      <c r="Z5446">
        <v>5.0118009999999998E-2</v>
      </c>
      <c r="AA5446">
        <v>0.96939580000000003</v>
      </c>
      <c r="AB5446">
        <v>19</v>
      </c>
      <c r="AC5446">
        <v>15.0260999999999</v>
      </c>
      <c r="AD5446">
        <v>-1.1120486475939</v>
      </c>
      <c r="AE5446">
        <v>-9.2163299999999992</v>
      </c>
      <c r="AF5446">
        <v>-4.2650968088870398</v>
      </c>
      <c r="AG5446">
        <v>-1.1120486475939</v>
      </c>
      <c r="AH5446">
        <v>17.0315810186022</v>
      </c>
      <c r="AI5446">
        <v>93.624131991600805</v>
      </c>
      <c r="AJ5446">
        <v>104.05904277960499</v>
      </c>
      <c r="AK5446">
        <v>17.5926818585741</v>
      </c>
      <c r="AL5446">
        <v>90.578803234602205</v>
      </c>
      <c r="AM5446">
        <v>89.952698011215901</v>
      </c>
      <c r="AN5446">
        <v>0.99999996576022199</v>
      </c>
    </row>
    <row r="5447" spans="1:40" x14ac:dyDescent="0.25">
      <c r="A5447" t="str">
        <f>"20190312154946129"</f>
        <v>20190312154946129</v>
      </c>
      <c r="B5447" t="str">
        <f>"1552376986121700"</f>
        <v>1552376986121700</v>
      </c>
      <c r="C5447" t="s">
        <v>40</v>
      </c>
      <c r="D5447">
        <v>4.2448160000000001</v>
      </c>
      <c r="E5447">
        <v>0.40579159999999997</v>
      </c>
      <c r="F5447" t="s">
        <v>42</v>
      </c>
      <c r="G5447">
        <v>-398.71929999999998</v>
      </c>
      <c r="H5447" s="1">
        <v>-6.4935349999999997E-7</v>
      </c>
      <c r="I5447">
        <v>19.854939999999999</v>
      </c>
      <c r="J5447">
        <v>-413.67320000000001</v>
      </c>
      <c r="K5447">
        <v>1.112006</v>
      </c>
      <c r="L5447">
        <v>28.985959999999999</v>
      </c>
      <c r="M5447">
        <v>0.70116179999999995</v>
      </c>
      <c r="N5447">
        <v>0</v>
      </c>
      <c r="O5447">
        <v>-0.71287140000000004</v>
      </c>
      <c r="P5447">
        <v>0.70072469999999998</v>
      </c>
      <c r="Q5447">
        <v>-2.3955830000000001E-2</v>
      </c>
      <c r="R5447">
        <v>-0.71302959999999904</v>
      </c>
      <c r="S5447">
        <v>2.635529</v>
      </c>
      <c r="T5447">
        <v>-0.19519069999999999</v>
      </c>
      <c r="U5447">
        <v>-1.613159</v>
      </c>
      <c r="V5447">
        <v>4.7229169999999998E-4</v>
      </c>
      <c r="W5447">
        <v>-1.0293139999999999E-2</v>
      </c>
      <c r="X5447">
        <v>0.99994689999999997</v>
      </c>
      <c r="Y5447">
        <v>-0.24050579999999999</v>
      </c>
      <c r="Z5447">
        <v>5.036935E-2</v>
      </c>
      <c r="AA5447">
        <v>0.96933990000000003</v>
      </c>
      <c r="AB5447">
        <v>19</v>
      </c>
      <c r="AC5447">
        <v>14.953900000000001</v>
      </c>
      <c r="AD5447">
        <v>-1.1120066493534999</v>
      </c>
      <c r="AE5447">
        <v>-9.1310199999999995</v>
      </c>
      <c r="AF5447">
        <v>-4.2411989739665801</v>
      </c>
      <c r="AG5447">
        <v>-1.1120066493534999</v>
      </c>
      <c r="AH5447">
        <v>16.9277472711765</v>
      </c>
      <c r="AI5447">
        <v>93.646058511150898</v>
      </c>
      <c r="AJ5447">
        <v>104.065745414999</v>
      </c>
      <c r="AK5447">
        <v>17.4863648366894</v>
      </c>
      <c r="AL5447">
        <v>90.589763901859897</v>
      </c>
      <c r="AM5447">
        <v>89.972938243923906</v>
      </c>
      <c r="AN5447">
        <v>0.99999998730505901</v>
      </c>
    </row>
    <row r="5448" spans="1:40" x14ac:dyDescent="0.25">
      <c r="A5448" t="str">
        <f>"20190312154946140"</f>
        <v>20190312154946140</v>
      </c>
      <c r="B5448" t="str">
        <f>"1552376986131459"</f>
        <v>1552376986131459</v>
      </c>
      <c r="C5448" t="s">
        <v>40</v>
      </c>
      <c r="D5448">
        <v>4.2779540000000003</v>
      </c>
      <c r="E5448">
        <v>0.40611069999999999</v>
      </c>
      <c r="F5448" t="s">
        <v>42</v>
      </c>
      <c r="G5448">
        <v>-398.83350000000002</v>
      </c>
      <c r="H5448" s="1">
        <v>-6.1831350000000003E-7</v>
      </c>
      <c r="I5448">
        <v>19.941120000000002</v>
      </c>
      <c r="J5448">
        <v>-413.60700000000003</v>
      </c>
      <c r="K5448">
        <v>1.111964</v>
      </c>
      <c r="L5448">
        <v>28.922029999999999</v>
      </c>
      <c r="M5448">
        <v>0.70257419999999904</v>
      </c>
      <c r="N5448">
        <v>0</v>
      </c>
      <c r="O5448">
        <v>-0.71147950000000004</v>
      </c>
      <c r="P5448">
        <v>0.70236269999999901</v>
      </c>
      <c r="Q5448">
        <v>-2.3926309999999999E-2</v>
      </c>
      <c r="R5448">
        <v>-0.71141719999999997</v>
      </c>
      <c r="S5448">
        <v>2.6382750000000001</v>
      </c>
      <c r="T5448">
        <v>-0.1976976</v>
      </c>
      <c r="U5448">
        <v>-1.6080319999999999</v>
      </c>
      <c r="V5448">
        <v>1.5525679999999999E-4</v>
      </c>
      <c r="W5448">
        <v>-1.0273849999999999E-2</v>
      </c>
      <c r="X5448">
        <v>0.99994720000000004</v>
      </c>
      <c r="Y5448">
        <v>-0.24036660000000001</v>
      </c>
      <c r="Z5448">
        <v>5.0938740000000003E-2</v>
      </c>
      <c r="AA5448">
        <v>0.96934469999999995</v>
      </c>
      <c r="AB5448">
        <v>19</v>
      </c>
      <c r="AC5448">
        <v>14.773499999999901</v>
      </c>
      <c r="AD5448">
        <v>-1.1119646183134999</v>
      </c>
      <c r="AE5448">
        <v>-8.9809099999999908</v>
      </c>
      <c r="AF5448">
        <v>-4.1843695743681399</v>
      </c>
      <c r="AG5448">
        <v>-1.1119646183134999</v>
      </c>
      <c r="AH5448">
        <v>16.701689351212799</v>
      </c>
      <c r="AI5448">
        <v>93.6951428700322</v>
      </c>
      <c r="AJ5448">
        <v>104.065128139679</v>
      </c>
      <c r="AK5448">
        <v>17.253748613901099</v>
      </c>
      <c r="AL5448">
        <v>90.588658606556194</v>
      </c>
      <c r="AM5448">
        <v>89.991103970980404</v>
      </c>
      <c r="AN5448">
        <v>0.99999998944316804</v>
      </c>
    </row>
    <row r="5449" spans="1:40" x14ac:dyDescent="0.25">
      <c r="A5449" t="str">
        <f>"20190312154946150"</f>
        <v>20190312154946150</v>
      </c>
      <c r="B5449" t="str">
        <f>"1552376986141219"</f>
        <v>1552376986141219</v>
      </c>
      <c r="C5449" t="s">
        <v>40</v>
      </c>
      <c r="D5449">
        <v>4.2685009999999997</v>
      </c>
      <c r="E5449">
        <v>0.406418</v>
      </c>
      <c r="F5449" t="s">
        <v>42</v>
      </c>
      <c r="G5449">
        <v>-398.84480000000002</v>
      </c>
      <c r="H5449" s="1">
        <v>-6.1652889999999996E-7</v>
      </c>
      <c r="I5449">
        <v>19.95458</v>
      </c>
      <c r="J5449">
        <v>-413.54169999999999</v>
      </c>
      <c r="K5449">
        <v>1.1119300000000001</v>
      </c>
      <c r="L5449">
        <v>28.859100000000002</v>
      </c>
      <c r="M5449">
        <v>0.70394100000000004</v>
      </c>
      <c r="N5449">
        <v>0</v>
      </c>
      <c r="O5449">
        <v>-0.71012739999999996</v>
      </c>
      <c r="P5449">
        <v>0.70393660000000002</v>
      </c>
      <c r="Q5449">
        <v>-2.3868460000000001E-2</v>
      </c>
      <c r="R5449">
        <v>-0.70986179999999999</v>
      </c>
      <c r="S5449">
        <v>2.6401059999999998</v>
      </c>
      <c r="T5449">
        <v>-0.1988665</v>
      </c>
      <c r="U5449">
        <v>-1.6037600000000001</v>
      </c>
      <c r="V5449">
        <v>-1.3619350000000001E-4</v>
      </c>
      <c r="W5449">
        <v>-1.0227409999999999E-2</v>
      </c>
      <c r="X5449">
        <v>0.99994769999999999</v>
      </c>
      <c r="Y5449">
        <v>-0.23992820000000001</v>
      </c>
      <c r="Z5449">
        <v>5.1163390000000003E-2</v>
      </c>
      <c r="AA5449">
        <v>0.96944149999999996</v>
      </c>
      <c r="AB5449">
        <v>19</v>
      </c>
      <c r="AC5449">
        <v>14.6968999999999</v>
      </c>
      <c r="AD5449">
        <v>-1.11193061652889</v>
      </c>
      <c r="AE5449">
        <v>-8.9045199999999998</v>
      </c>
      <c r="AF5449">
        <v>-4.1514205059099298</v>
      </c>
      <c r="AG5449">
        <v>-1.11193061652889</v>
      </c>
      <c r="AH5449">
        <v>16.601136064667799</v>
      </c>
      <c r="AI5449">
        <v>93.717756470620003</v>
      </c>
      <c r="AJ5449">
        <v>104.03993506598501</v>
      </c>
      <c r="AK5449">
        <v>17.148422684039399</v>
      </c>
      <c r="AL5449">
        <v>90.585997638325097</v>
      </c>
      <c r="AM5449">
        <v>90.007803720833394</v>
      </c>
      <c r="AN5449">
        <v>1.0000000105996301</v>
      </c>
    </row>
    <row r="5450" spans="1:40" x14ac:dyDescent="0.25">
      <c r="A5450" t="str">
        <f>"20190312154946161"</f>
        <v>20190312154946161</v>
      </c>
      <c r="B5450" t="str">
        <f>"1552376986151956"</f>
        <v>1552376986151956</v>
      </c>
      <c r="C5450" t="s">
        <v>40</v>
      </c>
      <c r="D5450">
        <v>4.2488029999999997</v>
      </c>
      <c r="E5450">
        <v>0.40671950000000001</v>
      </c>
      <c r="F5450" t="s">
        <v>42</v>
      </c>
      <c r="G5450">
        <v>-398.87700000000001</v>
      </c>
      <c r="H5450" s="1">
        <v>-6.0804839999999996E-7</v>
      </c>
      <c r="I5450">
        <v>19.979849999999999</v>
      </c>
      <c r="J5450">
        <v>-413.47539999999998</v>
      </c>
      <c r="K5450">
        <v>1.1118950000000001</v>
      </c>
      <c r="L5450">
        <v>28.795349999999999</v>
      </c>
      <c r="M5450">
        <v>0.7053043</v>
      </c>
      <c r="N5450">
        <v>0</v>
      </c>
      <c r="O5450">
        <v>-0.70877369999999995</v>
      </c>
      <c r="P5450">
        <v>0.7054435</v>
      </c>
      <c r="Q5450">
        <v>-2.3950829999999999E-2</v>
      </c>
      <c r="R5450">
        <v>-0.70836140000000003</v>
      </c>
      <c r="S5450">
        <v>2.6418759999999999</v>
      </c>
      <c r="T5450">
        <v>-0.20031599999999999</v>
      </c>
      <c r="U5450">
        <v>-1.5996090000000001</v>
      </c>
      <c r="V5450">
        <v>-3.4265279999999999E-4</v>
      </c>
      <c r="W5450">
        <v>-1.032229E-2</v>
      </c>
      <c r="X5450">
        <v>0.99994669999999997</v>
      </c>
      <c r="Y5450">
        <v>-0.23944489999999999</v>
      </c>
      <c r="Z5450">
        <v>5.145744E-2</v>
      </c>
      <c r="AA5450">
        <v>0.9695454</v>
      </c>
      <c r="AB5450">
        <v>19</v>
      </c>
      <c r="AC5450">
        <v>14.5984</v>
      </c>
      <c r="AD5450">
        <v>-1.1118956080483999</v>
      </c>
      <c r="AE5450">
        <v>-8.8155000000000001</v>
      </c>
      <c r="AF5450">
        <v>-4.1122540402352099</v>
      </c>
      <c r="AG5450">
        <v>-1.1118956080483999</v>
      </c>
      <c r="AH5450">
        <v>16.476005090412901</v>
      </c>
      <c r="AI5450">
        <v>93.746214016765506</v>
      </c>
      <c r="AJ5450">
        <v>104.014157864415</v>
      </c>
      <c r="AK5450">
        <v>17.017805054528601</v>
      </c>
      <c r="AL5450">
        <v>90.591434134401496</v>
      </c>
      <c r="AM5450">
        <v>90.019633604980996</v>
      </c>
      <c r="AN5450">
        <v>1.0000000349613301</v>
      </c>
    </row>
    <row r="5451" spans="1:40" x14ac:dyDescent="0.25">
      <c r="A5451" t="str">
        <f>"20190312154946174"</f>
        <v>20190312154946174</v>
      </c>
      <c r="B5451" t="str">
        <f>"1552376986171475"</f>
        <v>1552376986171475</v>
      </c>
      <c r="C5451" t="s">
        <v>40</v>
      </c>
      <c r="D5451">
        <v>4.3524330000000004</v>
      </c>
      <c r="E5451">
        <v>0.40709790000000001</v>
      </c>
      <c r="F5451" t="s">
        <v>42</v>
      </c>
      <c r="G5451">
        <v>-398.86779999999999</v>
      </c>
      <c r="H5451" s="1">
        <v>-6.1180780000000004E-7</v>
      </c>
      <c r="I5451">
        <v>19.977709999999998</v>
      </c>
      <c r="J5451">
        <v>-413.40030000000002</v>
      </c>
      <c r="K5451">
        <v>1.111856</v>
      </c>
      <c r="L5451">
        <v>28.723389999999998</v>
      </c>
      <c r="M5451">
        <v>0.70681640000000001</v>
      </c>
      <c r="N5451">
        <v>0</v>
      </c>
      <c r="O5451">
        <v>-0.70726610000000001</v>
      </c>
      <c r="P5451">
        <v>0.70724629999999999</v>
      </c>
      <c r="Q5451">
        <v>-2.3853630000000001E-2</v>
      </c>
      <c r="R5451">
        <v>-0.70656479999999999</v>
      </c>
      <c r="S5451">
        <v>2.643494</v>
      </c>
      <c r="T5451">
        <v>-0.2012166</v>
      </c>
      <c r="U5451">
        <v>-1.5957030000000001</v>
      </c>
      <c r="V5451">
        <v>-7.5366509999999997E-4</v>
      </c>
      <c r="W5451">
        <v>-1.025036E-2</v>
      </c>
      <c r="X5451">
        <v>0.99994720000000004</v>
      </c>
      <c r="Y5451">
        <v>-0.23867279999999999</v>
      </c>
      <c r="Z5451">
        <v>5.159412E-2</v>
      </c>
      <c r="AA5451">
        <v>0.96972849999999999</v>
      </c>
      <c r="AB5451">
        <v>19</v>
      </c>
      <c r="AC5451">
        <v>14.532500000000001</v>
      </c>
      <c r="AD5451">
        <v>-1.1118566118077999</v>
      </c>
      <c r="AE5451">
        <v>-8.7456800000000001</v>
      </c>
      <c r="AF5451">
        <v>-4.0796031046851198</v>
      </c>
      <c r="AG5451">
        <v>-1.1118566118077999</v>
      </c>
      <c r="AH5451">
        <v>16.3884321801781</v>
      </c>
      <c r="AI5451">
        <v>93.766623505863905</v>
      </c>
      <c r="AJ5451">
        <v>103.97862974536601</v>
      </c>
      <c r="AK5451">
        <v>16.925132080467598</v>
      </c>
      <c r="AL5451">
        <v>90.587312639661405</v>
      </c>
      <c r="AM5451">
        <v>90.043184101340003</v>
      </c>
      <c r="AN5451">
        <v>1.0000000203395201</v>
      </c>
    </row>
    <row r="5452" spans="1:40" x14ac:dyDescent="0.25">
      <c r="A5452" t="str">
        <f>"20190312154946185"</f>
        <v>20190312154946185</v>
      </c>
      <c r="B5452" t="str">
        <f>"1552376986181235"</f>
        <v>1552376986181235</v>
      </c>
      <c r="C5452" t="s">
        <v>40</v>
      </c>
      <c r="D5452">
        <v>4.3447149999999999</v>
      </c>
      <c r="E5452">
        <v>0.40709790000000001</v>
      </c>
      <c r="F5452" t="s">
        <v>42</v>
      </c>
      <c r="G5452">
        <v>-398.58909999999997</v>
      </c>
      <c r="H5452" s="1">
        <v>-6.9988849999999996E-7</v>
      </c>
      <c r="I5452">
        <v>19.813559999999999</v>
      </c>
      <c r="J5452">
        <v>-413.33249999999998</v>
      </c>
      <c r="K5452">
        <v>1.1118239999999999</v>
      </c>
      <c r="L5452">
        <v>28.658629999999999</v>
      </c>
      <c r="M5452">
        <v>0.7081655</v>
      </c>
      <c r="N5452">
        <v>0</v>
      </c>
      <c r="O5452">
        <v>-0.70591590000000004</v>
      </c>
      <c r="P5452">
        <v>0.70872190000000002</v>
      </c>
      <c r="Q5452">
        <v>-2.370245E-2</v>
      </c>
      <c r="R5452">
        <v>-0.70509009999999905</v>
      </c>
      <c r="S5452">
        <v>2.6452939999999998</v>
      </c>
      <c r="T5452">
        <v>-0.19857929999999999</v>
      </c>
      <c r="U5452">
        <v>-1.5913090000000001</v>
      </c>
      <c r="V5452">
        <v>-9.3294760000000004E-4</v>
      </c>
      <c r="W5452">
        <v>-1.012469E-2</v>
      </c>
      <c r="X5452">
        <v>0.99994830000000001</v>
      </c>
      <c r="Y5452">
        <v>-0.23833650000000001</v>
      </c>
      <c r="Z5452">
        <v>5.0847650000000001E-2</v>
      </c>
      <c r="AA5452">
        <v>0.96985060000000001</v>
      </c>
      <c r="AB5452">
        <v>19</v>
      </c>
      <c r="AC5452">
        <v>14.743399999999999</v>
      </c>
      <c r="AD5452">
        <v>-1.1118246998885</v>
      </c>
      <c r="AE5452">
        <v>-8.8450699999999998</v>
      </c>
      <c r="AF5452">
        <v>-4.12695100678821</v>
      </c>
      <c r="AG5452">
        <v>-1.1118246998885</v>
      </c>
      <c r="AH5452">
        <v>16.616693292255</v>
      </c>
      <c r="AI5452">
        <v>93.715416123553794</v>
      </c>
      <c r="AJ5452">
        <v>103.947866059742</v>
      </c>
      <c r="AK5452">
        <v>17.1575748503274</v>
      </c>
      <c r="AL5452">
        <v>90.580111922416904</v>
      </c>
      <c r="AM5452">
        <v>90.053456708188406</v>
      </c>
      <c r="AN5452">
        <v>0.99999999120585503</v>
      </c>
    </row>
    <row r="5453" spans="1:40" x14ac:dyDescent="0.25">
      <c r="A5453" t="str">
        <f>"20190312154946197"</f>
        <v>20190312154946197</v>
      </c>
      <c r="B5453" t="str">
        <f>"1552376986191972"</f>
        <v>1552376986191972</v>
      </c>
      <c r="C5453" t="s">
        <v>40</v>
      </c>
      <c r="D5453">
        <v>4.3262609999999997</v>
      </c>
      <c r="E5453">
        <v>0.39329999999999998</v>
      </c>
      <c r="F5453" t="s">
        <v>42</v>
      </c>
      <c r="G5453">
        <v>-398.46890000000002</v>
      </c>
      <c r="H5453" s="1">
        <v>-7.4254769999999895E-7</v>
      </c>
      <c r="I5453">
        <v>19.76033</v>
      </c>
      <c r="J5453">
        <v>-413.25560000000002</v>
      </c>
      <c r="K5453">
        <v>1.1117889999999999</v>
      </c>
      <c r="L5453">
        <v>28.585509999999999</v>
      </c>
      <c r="M5453">
        <v>0.70965859999999903</v>
      </c>
      <c r="N5453">
        <v>0</v>
      </c>
      <c r="O5453">
        <v>-0.70441589999999998</v>
      </c>
      <c r="P5453">
        <v>0.71019690000000002</v>
      </c>
      <c r="Q5453">
        <v>-2.351812E-2</v>
      </c>
      <c r="R5453">
        <v>-0.70361010000000002</v>
      </c>
      <c r="S5453">
        <v>2.6487729999999998</v>
      </c>
      <c r="T5453">
        <v>-0.198133</v>
      </c>
      <c r="U5453">
        <v>-1.5857239999999999</v>
      </c>
      <c r="V5453">
        <v>-9.0767769999999998E-4</v>
      </c>
      <c r="W5453">
        <v>-9.9999149999999998E-3</v>
      </c>
      <c r="X5453">
        <v>0.99994959999999999</v>
      </c>
      <c r="Y5453">
        <v>-0.2383576</v>
      </c>
      <c r="Z5453">
        <v>5.0647919999999999E-2</v>
      </c>
      <c r="AA5453">
        <v>0.96985589999999999</v>
      </c>
      <c r="AB5453">
        <v>19</v>
      </c>
      <c r="AC5453">
        <v>14.7866999999999</v>
      </c>
      <c r="AD5453">
        <v>-1.1117897425476999</v>
      </c>
      <c r="AE5453">
        <v>-8.8251799999999996</v>
      </c>
      <c r="AF5453">
        <v>-4.1362597259720202</v>
      </c>
      <c r="AG5453">
        <v>-1.1117897425476999</v>
      </c>
      <c r="AH5453">
        <v>16.642261676176599</v>
      </c>
      <c r="AI5453">
        <v>93.709453688945104</v>
      </c>
      <c r="AJ5453">
        <v>103.957459409202</v>
      </c>
      <c r="AK5453">
        <v>17.184574322649699</v>
      </c>
      <c r="AL5453">
        <v>90.572962467390596</v>
      </c>
      <c r="AM5453">
        <v>90.052008708323299</v>
      </c>
      <c r="AN5453">
        <v>1.0000000123594801</v>
      </c>
    </row>
    <row r="5454" spans="1:40" x14ac:dyDescent="0.25">
      <c r="A5454" t="str">
        <f>"20190312154946211"</f>
        <v>20190312154946211</v>
      </c>
      <c r="B5454" t="str">
        <f>"1552376986201731"</f>
        <v>1552376986201731</v>
      </c>
      <c r="C5454" t="s">
        <v>40</v>
      </c>
      <c r="D5454">
        <v>4.3140340000000004</v>
      </c>
      <c r="E5454">
        <v>0.39329999999999998</v>
      </c>
      <c r="F5454" t="s">
        <v>42</v>
      </c>
      <c r="G5454">
        <v>-394.5865</v>
      </c>
      <c r="H5454" s="1">
        <v>-2.7723090000000002E-6</v>
      </c>
      <c r="I5454">
        <v>18.303820000000002</v>
      </c>
      <c r="J5454">
        <v>-413.17500000000001</v>
      </c>
      <c r="K5454">
        <v>1.11175</v>
      </c>
      <c r="L5454">
        <v>28.509119999999999</v>
      </c>
      <c r="M5454">
        <v>0.7112058</v>
      </c>
      <c r="N5454">
        <v>0</v>
      </c>
      <c r="O5454">
        <v>-0.70285549999999997</v>
      </c>
      <c r="P5454">
        <v>0.71187069999999997</v>
      </c>
      <c r="Q5454">
        <v>-2.3222449999999999E-2</v>
      </c>
      <c r="R5454">
        <v>-0.70192670000000001</v>
      </c>
      <c r="S5454">
        <v>2.7295229999999999</v>
      </c>
      <c r="T5454">
        <v>-0.16254959999999999</v>
      </c>
      <c r="U5454">
        <v>-1.5032350000000001</v>
      </c>
      <c r="V5454">
        <v>-1.0860080000000001E-3</v>
      </c>
      <c r="W5454">
        <v>-9.7876549999999993E-3</v>
      </c>
      <c r="X5454">
        <v>0.99995149999999999</v>
      </c>
      <c r="Y5454">
        <v>-0.2715321</v>
      </c>
      <c r="Z5454">
        <v>4.1761819999999998E-2</v>
      </c>
      <c r="AA5454">
        <v>0.96152289999999996</v>
      </c>
      <c r="AB5454">
        <v>19</v>
      </c>
      <c r="AC5454">
        <v>18.5885</v>
      </c>
      <c r="AD5454">
        <v>-1.1117527723089999</v>
      </c>
      <c r="AE5454">
        <v>-10.205299999999999</v>
      </c>
      <c r="AF5454">
        <v>-5.7915662023574699</v>
      </c>
      <c r="AG5454">
        <v>-1.1117527723089999</v>
      </c>
      <c r="AH5454">
        <v>20.339036539833799</v>
      </c>
      <c r="AI5454">
        <v>93.009340214065006</v>
      </c>
      <c r="AJ5454">
        <v>105.894369743154</v>
      </c>
      <c r="AK5454">
        <v>21.1767476414987</v>
      </c>
      <c r="AL5454">
        <v>90.560800282635597</v>
      </c>
      <c r="AM5454">
        <v>90.062226668446002</v>
      </c>
      <c r="AN5454">
        <v>0.99999998997801198</v>
      </c>
    </row>
    <row r="5455" spans="1:40" x14ac:dyDescent="0.25">
      <c r="A5455" t="str">
        <f>"20190312154946223"</f>
        <v>20190312154946223</v>
      </c>
      <c r="B5455" t="str">
        <f>"1552376986221757"</f>
        <v>1552376986221757</v>
      </c>
      <c r="C5455" t="s">
        <v>40</v>
      </c>
      <c r="D5455">
        <v>4.3075070000000002</v>
      </c>
      <c r="E5455">
        <v>0.38605790000000001</v>
      </c>
      <c r="F5455" t="s">
        <v>42</v>
      </c>
      <c r="G5455">
        <v>-394.36649999999997</v>
      </c>
      <c r="H5455" s="1">
        <v>-2.892851E-6</v>
      </c>
      <c r="I5455">
        <v>18.210290000000001</v>
      </c>
      <c r="J5455">
        <v>-413.09089999999998</v>
      </c>
      <c r="K5455">
        <v>1.1117090000000001</v>
      </c>
      <c r="L5455">
        <v>28.42963</v>
      </c>
      <c r="M5455">
        <v>0.71279910000000002</v>
      </c>
      <c r="N5455">
        <v>0</v>
      </c>
      <c r="O5455">
        <v>-0.70124169999999997</v>
      </c>
      <c r="P5455">
        <v>0.71343080000000003</v>
      </c>
      <c r="Q5455">
        <v>-2.3066110000000001E-2</v>
      </c>
      <c r="R5455">
        <v>-0.70034580000000002</v>
      </c>
      <c r="S5455">
        <v>2.733276</v>
      </c>
      <c r="T5455">
        <v>-0.1615616</v>
      </c>
      <c r="U5455">
        <v>-1.4966429999999999</v>
      </c>
      <c r="V5455">
        <v>-1.0402339999999999E-3</v>
      </c>
      <c r="W5455">
        <v>-9.7464289999999992E-3</v>
      </c>
      <c r="X5455">
        <v>0.99995199999999995</v>
      </c>
      <c r="Y5455">
        <v>-0.27170450000000002</v>
      </c>
      <c r="Z5455">
        <v>4.1438089999999997E-2</v>
      </c>
      <c r="AA5455">
        <v>0.96148820000000002</v>
      </c>
      <c r="AB5455">
        <v>19</v>
      </c>
      <c r="AC5455">
        <v>18.724399999999999</v>
      </c>
      <c r="AD5455">
        <v>-1.1117118928509999</v>
      </c>
      <c r="AE5455">
        <v>-10.219340000000001</v>
      </c>
      <c r="AF5455">
        <v>-5.8306763234642904</v>
      </c>
      <c r="AG5455">
        <v>-1.1117118928509999</v>
      </c>
      <c r="AH5455">
        <v>20.459215681422499</v>
      </c>
      <c r="AI5455">
        <v>92.991397487043102</v>
      </c>
      <c r="AJ5455">
        <v>105.907033530462</v>
      </c>
      <c r="AK5455">
        <v>21.3028682580698</v>
      </c>
      <c r="AL5455">
        <v>90.558438066959695</v>
      </c>
      <c r="AM5455">
        <v>90.059603857391195</v>
      </c>
      <c r="AN5455">
        <v>1.00000003863451</v>
      </c>
    </row>
    <row r="5456" spans="1:40" x14ac:dyDescent="0.25">
      <c r="A5456" t="str">
        <f>"20190312154946241"</f>
        <v>20190312154946241</v>
      </c>
      <c r="B5456" t="str">
        <f>"1552376986231517"</f>
        <v>1552376986231517</v>
      </c>
      <c r="C5456" t="s">
        <v>40</v>
      </c>
      <c r="D5456">
        <v>4.3062820000000004</v>
      </c>
      <c r="E5456">
        <v>0.38686949999999998</v>
      </c>
      <c r="F5456" t="s">
        <v>65</v>
      </c>
      <c r="G5456">
        <v>-400.13049999999998</v>
      </c>
      <c r="H5456" s="1">
        <v>-6.3358329999999998E-6</v>
      </c>
      <c r="I5456">
        <v>21.6769</v>
      </c>
      <c r="J5456">
        <v>-412.98700000000002</v>
      </c>
      <c r="K5456">
        <v>1.111656</v>
      </c>
      <c r="L5456">
        <v>28.331969999999998</v>
      </c>
      <c r="M5456">
        <v>0.71473189999999998</v>
      </c>
      <c r="N5456">
        <v>0</v>
      </c>
      <c r="O5456">
        <v>-0.69927499999999998</v>
      </c>
      <c r="P5456">
        <v>0.71528789999999998</v>
      </c>
      <c r="Q5456">
        <v>-2.2790950000000001E-2</v>
      </c>
      <c r="R5456">
        <v>-0.69845819999999903</v>
      </c>
      <c r="S5456">
        <v>2.7770079999999999</v>
      </c>
      <c r="T5456">
        <v>-0.2382059</v>
      </c>
      <c r="U5456">
        <v>-1.4468989999999999</v>
      </c>
      <c r="V5456">
        <v>-9.3199839999999999E-4</v>
      </c>
      <c r="W5456">
        <v>-9.6513840000000007E-3</v>
      </c>
      <c r="X5456">
        <v>0.99995299999999998</v>
      </c>
      <c r="Y5456">
        <v>-0.287609</v>
      </c>
      <c r="Z5456">
        <v>6.1066349999999998E-2</v>
      </c>
      <c r="AA5456">
        <v>0.95579910000000001</v>
      </c>
      <c r="AB5456">
        <v>19</v>
      </c>
      <c r="AC5456">
        <v>12.856499999999899</v>
      </c>
      <c r="AD5456">
        <v>-1.111662335833</v>
      </c>
      <c r="AE5456">
        <v>-6.6550700000000003</v>
      </c>
      <c r="AF5456">
        <v>-4.2091844115452002</v>
      </c>
      <c r="AG5456">
        <v>-1.111662335833</v>
      </c>
      <c r="AH5456">
        <v>13.762718457031401</v>
      </c>
      <c r="AI5456">
        <v>94.416852569251304</v>
      </c>
      <c r="AJ5456">
        <v>107.005707342101</v>
      </c>
      <c r="AK5456">
        <v>14.434869098361</v>
      </c>
      <c r="AL5456">
        <v>90.552992149475301</v>
      </c>
      <c r="AM5456">
        <v>90.053402069267406</v>
      </c>
      <c r="AN5456">
        <v>1.00000001002156</v>
      </c>
    </row>
    <row r="5457" spans="1:40" x14ac:dyDescent="0.25">
      <c r="A5457" t="str">
        <f>"20190312154946253"</f>
        <v>20190312154946253</v>
      </c>
      <c r="B5457" t="str">
        <f>"1552376986242253"</f>
        <v>1552376986242253</v>
      </c>
      <c r="C5457" t="s">
        <v>40</v>
      </c>
      <c r="D5457">
        <v>4.2669600000000001</v>
      </c>
      <c r="E5457">
        <v>0.38716119999999998</v>
      </c>
      <c r="F5457" t="s">
        <v>42</v>
      </c>
      <c r="G5457">
        <v>-399.79969999999997</v>
      </c>
      <c r="H5457" s="1">
        <v>-5.6918760000000001E-7</v>
      </c>
      <c r="I5457">
        <v>21.472999999999999</v>
      </c>
      <c r="J5457">
        <v>-412.9092</v>
      </c>
      <c r="K5457">
        <v>1.111618</v>
      </c>
      <c r="L5457">
        <v>28.259219999999999</v>
      </c>
      <c r="M5457">
        <v>0.71616369999999996</v>
      </c>
      <c r="N5457">
        <v>0</v>
      </c>
      <c r="O5457">
        <v>-0.69781150000000003</v>
      </c>
      <c r="P5457">
        <v>0.71626140000000005</v>
      </c>
      <c r="Q5457">
        <v>-2.285454E-2</v>
      </c>
      <c r="R5457">
        <v>-0.69745780000000002</v>
      </c>
      <c r="S5457">
        <v>2.7765200000000001</v>
      </c>
      <c r="T5457">
        <v>-0.2340536</v>
      </c>
      <c r="U5457">
        <v>-1.4441219999999999</v>
      </c>
      <c r="V5457">
        <v>-2.801918E-4</v>
      </c>
      <c r="W5457">
        <v>-9.8619380000000006E-3</v>
      </c>
      <c r="X5457">
        <v>0.99995129999999999</v>
      </c>
      <c r="Y5457">
        <v>-0.28641430000000001</v>
      </c>
      <c r="Z5457">
        <v>5.9911140000000002E-2</v>
      </c>
      <c r="AA5457">
        <v>0.95623089999999999</v>
      </c>
      <c r="AB5457">
        <v>19</v>
      </c>
      <c r="AC5457">
        <v>13.109500000000001</v>
      </c>
      <c r="AD5457">
        <v>-1.1116185691875999</v>
      </c>
      <c r="AE5457">
        <v>-6.7862200000000001</v>
      </c>
      <c r="AF5457">
        <v>-4.2640969988963402</v>
      </c>
      <c r="AG5457">
        <v>-1.1116185691875999</v>
      </c>
      <c r="AH5457">
        <v>14.045594359661299</v>
      </c>
      <c r="AI5457">
        <v>94.330775351159502</v>
      </c>
      <c r="AJ5457">
        <v>106.887746750037</v>
      </c>
      <c r="AK5457">
        <v>14.720629741132299</v>
      </c>
      <c r="AL5457">
        <v>90.565056602153604</v>
      </c>
      <c r="AM5457">
        <v>90.016054589032507</v>
      </c>
      <c r="AN5457">
        <v>0.99999996935012403</v>
      </c>
    </row>
    <row r="5458" spans="1:40" x14ac:dyDescent="0.25">
      <c r="A5458" t="str">
        <f>"20190312154946263"</f>
        <v>20190312154946263</v>
      </c>
      <c r="B5458" t="str">
        <f>"1552376986251037"</f>
        <v>1552376986251037</v>
      </c>
      <c r="C5458" t="s">
        <v>40</v>
      </c>
      <c r="D5458">
        <v>4.3451320000000004</v>
      </c>
      <c r="E5458">
        <v>0.3873856</v>
      </c>
      <c r="F5458" t="s">
        <v>42</v>
      </c>
      <c r="G5458">
        <v>-399.55029999999999</v>
      </c>
      <c r="H5458" s="1">
        <v>-6.4717099999999997E-7</v>
      </c>
      <c r="I5458">
        <v>21.323060000000002</v>
      </c>
      <c r="J5458">
        <v>-412.84210000000002</v>
      </c>
      <c r="K5458">
        <v>1.1115889999999999</v>
      </c>
      <c r="L5458">
        <v>28.196529999999999</v>
      </c>
      <c r="M5458">
        <v>0.71739280000000005</v>
      </c>
      <c r="N5458">
        <v>0</v>
      </c>
      <c r="O5458">
        <v>-0.69655029999999996</v>
      </c>
      <c r="P5458">
        <v>0.71708209999999994</v>
      </c>
      <c r="Q5458">
        <v>-2.2739550000000001E-2</v>
      </c>
      <c r="R5458">
        <v>-0.69661799999999996</v>
      </c>
      <c r="S5458">
        <v>2.7770079999999999</v>
      </c>
      <c r="T5458">
        <v>-0.23107920000000001</v>
      </c>
      <c r="U5458">
        <v>-1.441864</v>
      </c>
      <c r="V5458">
        <v>3.0635230000000002E-4</v>
      </c>
      <c r="W5458">
        <v>-9.8791629999999998E-3</v>
      </c>
      <c r="X5458">
        <v>0.99995109999999998</v>
      </c>
      <c r="Y5458">
        <v>-0.285468099999999</v>
      </c>
      <c r="Z5458">
        <v>5.9057709999999999E-2</v>
      </c>
      <c r="AA5458">
        <v>0.9565669</v>
      </c>
      <c r="AB5458">
        <v>19</v>
      </c>
      <c r="AC5458">
        <v>13.2918</v>
      </c>
      <c r="AD5458">
        <v>-1.1115896471709901</v>
      </c>
      <c r="AE5458">
        <v>-6.8734699999999904</v>
      </c>
      <c r="AF5458">
        <v>-4.3040361602677004</v>
      </c>
      <c r="AG5458">
        <v>-1.1115896471709901</v>
      </c>
      <c r="AH5458">
        <v>14.2457310408788</v>
      </c>
      <c r="AI5458">
        <v>94.271773926066601</v>
      </c>
      <c r="AJ5458">
        <v>106.811043920613</v>
      </c>
      <c r="AK5458">
        <v>14.923176997598301</v>
      </c>
      <c r="AL5458">
        <v>90.566043582688096</v>
      </c>
      <c r="AM5458">
        <v>89.982446448346295</v>
      </c>
      <c r="AN5458">
        <v>0.99999994705225903</v>
      </c>
    </row>
    <row r="5459" spans="1:40" x14ac:dyDescent="0.25">
      <c r="A5459" t="str">
        <f>"20190312154946275"</f>
        <v>20190312154946275</v>
      </c>
      <c r="B5459" t="str">
        <f>"1552376986271533"</f>
        <v>1552376986271533</v>
      </c>
      <c r="C5459" t="s">
        <v>40</v>
      </c>
      <c r="D5459">
        <v>4.3627440000000002</v>
      </c>
      <c r="E5459">
        <v>0.39272580000000001</v>
      </c>
      <c r="F5459" t="s">
        <v>42</v>
      </c>
      <c r="G5459">
        <v>-399.3886</v>
      </c>
      <c r="H5459" s="1">
        <v>-6.9706120000000003E-7</v>
      </c>
      <c r="I5459">
        <v>21.223310000000001</v>
      </c>
      <c r="J5459">
        <v>-412.77749999999997</v>
      </c>
      <c r="K5459">
        <v>1.1115660000000001</v>
      </c>
      <c r="L5459">
        <v>28.13644</v>
      </c>
      <c r="M5459">
        <v>0.71856949999999997</v>
      </c>
      <c r="N5459">
        <v>0</v>
      </c>
      <c r="O5459">
        <v>-0.69533900000000004</v>
      </c>
      <c r="P5459">
        <v>0.71761830000000004</v>
      </c>
      <c r="Q5459">
        <v>-2.2846709999999999E-2</v>
      </c>
      <c r="R5459">
        <v>-0.69606210000000002</v>
      </c>
      <c r="S5459">
        <v>2.777679</v>
      </c>
      <c r="T5459">
        <v>-0.22950470000000001</v>
      </c>
      <c r="U5459">
        <v>-1.4397279999999999</v>
      </c>
      <c r="V5459">
        <v>1.2236860000000001E-3</v>
      </c>
      <c r="W5459">
        <v>-1.012351E-2</v>
      </c>
      <c r="X5459">
        <v>0.99994799999999995</v>
      </c>
      <c r="Y5459">
        <v>-0.28455710000000001</v>
      </c>
      <c r="Z5459">
        <v>5.8562339999999997E-2</v>
      </c>
      <c r="AA5459">
        <v>0.95686870000000002</v>
      </c>
      <c r="AB5459">
        <v>19</v>
      </c>
      <c r="AC5459">
        <v>13.3888999999999</v>
      </c>
      <c r="AD5459">
        <v>-1.1115666970611999</v>
      </c>
      <c r="AE5459">
        <v>-6.9131299999999998</v>
      </c>
      <c r="AF5459">
        <v>-4.3191070763180903</v>
      </c>
      <c r="AG5459">
        <v>-1.1115666970611999</v>
      </c>
      <c r="AH5459">
        <v>14.350895044269301</v>
      </c>
      <c r="AI5459">
        <v>94.241856953818896</v>
      </c>
      <c r="AJ5459">
        <v>106.749919120111</v>
      </c>
      <c r="AK5459">
        <v>15.027922512122201</v>
      </c>
      <c r="AL5459">
        <v>90.5800443090165</v>
      </c>
      <c r="AM5459">
        <v>89.929884345735701</v>
      </c>
      <c r="AN5459">
        <v>0.99999999278307306</v>
      </c>
    </row>
    <row r="5460" spans="1:40" x14ac:dyDescent="0.25">
      <c r="A5460" t="str">
        <f>"20190312154946287"</f>
        <v>20190312154946287</v>
      </c>
      <c r="B5460" t="str">
        <f>"1552376986281294"</f>
        <v>1552376986281294</v>
      </c>
      <c r="C5460" t="s">
        <v>40</v>
      </c>
      <c r="D5460">
        <v>4.384112</v>
      </c>
      <c r="E5460">
        <v>0.39272580000000001</v>
      </c>
      <c r="F5460" t="s">
        <v>42</v>
      </c>
      <c r="G5460">
        <v>-396.9479</v>
      </c>
      <c r="H5460" s="1">
        <v>-1.4391159999999999E-6</v>
      </c>
      <c r="I5460">
        <v>19.67605</v>
      </c>
      <c r="J5460">
        <v>-412.70260000000002</v>
      </c>
      <c r="K5460">
        <v>1.1115389999999901</v>
      </c>
      <c r="L5460">
        <v>28.066990000000001</v>
      </c>
      <c r="M5460">
        <v>0.71992769999999995</v>
      </c>
      <c r="N5460">
        <v>0</v>
      </c>
      <c r="O5460">
        <v>-0.69393549999999904</v>
      </c>
      <c r="P5460">
        <v>0.71828499999999995</v>
      </c>
      <c r="Q5460">
        <v>-2.2790459999999998E-2</v>
      </c>
      <c r="R5460">
        <v>-0.69537569999999904</v>
      </c>
      <c r="S5460">
        <v>2.7491460000000001</v>
      </c>
      <c r="T5460">
        <v>-0.19304760000000001</v>
      </c>
      <c r="U5460">
        <v>-1.46933</v>
      </c>
      <c r="V5460">
        <v>2.220007E-3</v>
      </c>
      <c r="W5460">
        <v>-1.022903E-2</v>
      </c>
      <c r="X5460">
        <v>0.99994519999999998</v>
      </c>
      <c r="Y5460">
        <v>-0.27118350000000002</v>
      </c>
      <c r="Z5460">
        <v>4.9075720000000003E-2</v>
      </c>
      <c r="AA5460">
        <v>0.96127580000000001</v>
      </c>
      <c r="AB5460">
        <v>19</v>
      </c>
      <c r="AC5460">
        <v>15.7547</v>
      </c>
      <c r="AD5460">
        <v>-1.11154043911599</v>
      </c>
      <c r="AE5460">
        <v>-8.3909400000000005</v>
      </c>
      <c r="AF5460">
        <v>-4.8733634053607204</v>
      </c>
      <c r="AG5460">
        <v>-1.11154043911599</v>
      </c>
      <c r="AH5460">
        <v>17.100059361705199</v>
      </c>
      <c r="AI5460">
        <v>93.577078756842099</v>
      </c>
      <c r="AJ5460">
        <v>105.90707620731099</v>
      </c>
      <c r="AK5460">
        <v>17.815645461288799</v>
      </c>
      <c r="AL5460">
        <v>90.586090478961793</v>
      </c>
      <c r="AM5460">
        <v>89.872796206625495</v>
      </c>
      <c r="AN5460">
        <v>0.99999998224442999</v>
      </c>
    </row>
    <row r="5461" spans="1:40" x14ac:dyDescent="0.25">
      <c r="A5461" t="str">
        <f>"20190312154946298"</f>
        <v>20190312154946298</v>
      </c>
      <c r="B5461" t="str">
        <f>"1552376986291053"</f>
        <v>1552376986291053</v>
      </c>
      <c r="C5461" t="s">
        <v>40</v>
      </c>
      <c r="D5461">
        <v>4.3553069999999998</v>
      </c>
      <c r="E5461">
        <v>0.39271830000000002</v>
      </c>
      <c r="F5461" t="s">
        <v>42</v>
      </c>
      <c r="G5461">
        <v>-396.74439999999998</v>
      </c>
      <c r="H5461" s="1">
        <v>-1.529511E-6</v>
      </c>
      <c r="I5461">
        <v>19.559270000000001</v>
      </c>
      <c r="J5461">
        <v>-412.62380000000002</v>
      </c>
      <c r="K5461">
        <v>1.111518</v>
      </c>
      <c r="L5461">
        <v>27.994289999999999</v>
      </c>
      <c r="M5461">
        <v>0.72135039999999995</v>
      </c>
      <c r="N5461">
        <v>0</v>
      </c>
      <c r="O5461">
        <v>-0.69245990000000002</v>
      </c>
      <c r="P5461">
        <v>0.7187673</v>
      </c>
      <c r="Q5461">
        <v>-2.325702E-2</v>
      </c>
      <c r="R5461">
        <v>-0.69486169999999903</v>
      </c>
      <c r="S5461">
        <v>2.7507929999999998</v>
      </c>
      <c r="T5461">
        <v>-0.1916023</v>
      </c>
      <c r="U5461">
        <v>-1.4665220000000001</v>
      </c>
      <c r="V5461">
        <v>3.5675120000000001E-3</v>
      </c>
      <c r="W5461">
        <v>-1.087657E-2</v>
      </c>
      <c r="X5461">
        <v>0.99993449999999995</v>
      </c>
      <c r="Y5461">
        <v>-0.27023960000000002</v>
      </c>
      <c r="Z5461">
        <v>4.8606530000000002E-2</v>
      </c>
      <c r="AA5461">
        <v>0.96156540000000001</v>
      </c>
      <c r="AB5461">
        <v>19</v>
      </c>
      <c r="AC5461">
        <v>15.8794</v>
      </c>
      <c r="AD5461">
        <v>-1.1115195295110001</v>
      </c>
      <c r="AE5461">
        <v>-8.4350199999999997</v>
      </c>
      <c r="AF5461">
        <v>-4.89292038132937</v>
      </c>
      <c r="AG5461">
        <v>-1.1115195295110001</v>
      </c>
      <c r="AH5461">
        <v>17.231000477923899</v>
      </c>
      <c r="AI5461">
        <v>93.550859742312795</v>
      </c>
      <c r="AJ5461">
        <v>105.85244251184299</v>
      </c>
      <c r="AK5461">
        <v>17.946685571233701</v>
      </c>
      <c r="AL5461">
        <v>90.623193834547905</v>
      </c>
      <c r="AM5461">
        <v>89.795584097060001</v>
      </c>
      <c r="AN5461">
        <v>1.00000001560354</v>
      </c>
    </row>
    <row r="5462" spans="1:40" x14ac:dyDescent="0.25">
      <c r="A5462" t="str">
        <f>"20190312154946309"</f>
        <v>20190312154946309</v>
      </c>
      <c r="B5462" t="str">
        <f>"1552376986301789"</f>
        <v>1552376986301789</v>
      </c>
      <c r="C5462" t="s">
        <v>40</v>
      </c>
      <c r="D5462">
        <v>4.3616380000000001</v>
      </c>
      <c r="E5462">
        <v>0.39242199999999999</v>
      </c>
      <c r="F5462" t="s">
        <v>65</v>
      </c>
      <c r="G5462">
        <v>-400.47840000000002</v>
      </c>
      <c r="H5462" s="1">
        <v>-6.2041810000000004E-6</v>
      </c>
      <c r="I5462">
        <v>21.542000000000002</v>
      </c>
      <c r="J5462">
        <v>-412.56150000000002</v>
      </c>
      <c r="K5462">
        <v>1.1115010000000001</v>
      </c>
      <c r="L5462">
        <v>27.936920000000001</v>
      </c>
      <c r="M5462">
        <v>0.72247340000000004</v>
      </c>
      <c r="N5462">
        <v>0</v>
      </c>
      <c r="O5462">
        <v>-0.69129099999999999</v>
      </c>
      <c r="P5462">
        <v>0.71878589999999998</v>
      </c>
      <c r="Q5462">
        <v>-2.3416719999999999E-2</v>
      </c>
      <c r="R5462">
        <v>-0.69483760000000006</v>
      </c>
      <c r="S5462">
        <v>2.752167</v>
      </c>
      <c r="T5462">
        <v>-0.25187290000000001</v>
      </c>
      <c r="U5462">
        <v>-1.462097</v>
      </c>
      <c r="V5462">
        <v>5.1593560000000004E-3</v>
      </c>
      <c r="W5462">
        <v>-1.1178449999999999E-2</v>
      </c>
      <c r="X5462">
        <v>0.99992420000000004</v>
      </c>
      <c r="Y5462">
        <v>-0.2690186</v>
      </c>
      <c r="Z5462">
        <v>6.3734330000000006E-2</v>
      </c>
      <c r="AA5462">
        <v>0.96102390000000004</v>
      </c>
      <c r="AB5462">
        <v>19</v>
      </c>
      <c r="AC5462">
        <v>12.0831</v>
      </c>
      <c r="AD5462">
        <v>-1.1115072041809999</v>
      </c>
      <c r="AE5462">
        <v>-6.3949199999999999</v>
      </c>
      <c r="AF5462">
        <v>-3.70854197145206</v>
      </c>
      <c r="AG5462">
        <v>-1.1115072041809999</v>
      </c>
      <c r="AH5462">
        <v>13.0650837488686</v>
      </c>
      <c r="AI5462">
        <v>94.678742092062905</v>
      </c>
      <c r="AJ5462">
        <v>105.846666048366</v>
      </c>
      <c r="AK5462">
        <v>13.6266336702767</v>
      </c>
      <c r="AL5462">
        <v>90.640491351651605</v>
      </c>
      <c r="AM5462">
        <v>89.704370890800803</v>
      </c>
      <c r="AN5462">
        <v>0.99999999122218797</v>
      </c>
    </row>
    <row r="5463" spans="1:40" x14ac:dyDescent="0.25">
      <c r="A5463" t="str">
        <f>"20190312154946318"</f>
        <v>20190312154946318</v>
      </c>
      <c r="B5463" t="str">
        <f>"1552376986311080"</f>
        <v>1552376986311080</v>
      </c>
      <c r="C5463" t="s">
        <v>40</v>
      </c>
      <c r="D5463">
        <v>4.3629199999999999</v>
      </c>
      <c r="E5463">
        <v>0.3920942</v>
      </c>
      <c r="F5463" t="s">
        <v>65</v>
      </c>
      <c r="G5463">
        <v>-400.1773</v>
      </c>
      <c r="H5463" s="1">
        <v>-6.2856149999999998E-6</v>
      </c>
      <c r="I5463">
        <v>21.36992</v>
      </c>
      <c r="J5463">
        <v>-412.4939</v>
      </c>
      <c r="K5463">
        <v>1.1114900000000001</v>
      </c>
      <c r="L5463">
        <v>27.874970000000001</v>
      </c>
      <c r="M5463">
        <v>0.72368710000000003</v>
      </c>
      <c r="N5463">
        <v>0</v>
      </c>
      <c r="O5463">
        <v>-0.69002319999999995</v>
      </c>
      <c r="P5463">
        <v>0.71905369999999902</v>
      </c>
      <c r="Q5463">
        <v>-2.3385860000000001E-2</v>
      </c>
      <c r="R5463">
        <v>-0.69456149999999905</v>
      </c>
      <c r="S5463">
        <v>2.7539669999999998</v>
      </c>
      <c r="T5463">
        <v>-0.24717510000000001</v>
      </c>
      <c r="U5463">
        <v>-1.460358</v>
      </c>
      <c r="V5463">
        <v>6.5304059999999999E-3</v>
      </c>
      <c r="W5463">
        <v>-1.130517E-2</v>
      </c>
      <c r="X5463">
        <v>0.99991479999999999</v>
      </c>
      <c r="Y5463">
        <v>-0.26816230000000002</v>
      </c>
      <c r="Z5463">
        <v>6.2422180000000001E-2</v>
      </c>
      <c r="AA5463">
        <v>0.96134929999999996</v>
      </c>
      <c r="AB5463">
        <v>19</v>
      </c>
      <c r="AC5463">
        <v>12.3165999999999</v>
      </c>
      <c r="AD5463">
        <v>-1.1114962856149999</v>
      </c>
      <c r="AE5463">
        <v>-6.5050499999999998</v>
      </c>
      <c r="AF5463">
        <v>-3.76740411345676</v>
      </c>
      <c r="AG5463">
        <v>-1.1114962856149999</v>
      </c>
      <c r="AH5463">
        <v>13.3181654495624</v>
      </c>
      <c r="AI5463">
        <v>94.591340013521304</v>
      </c>
      <c r="AJ5463">
        <v>105.79499372021</v>
      </c>
      <c r="AK5463">
        <v>13.8853263803537</v>
      </c>
      <c r="AL5463">
        <v>90.647752306503193</v>
      </c>
      <c r="AM5463">
        <v>89.625808736268894</v>
      </c>
      <c r="AN5463">
        <v>1.0000000301651399</v>
      </c>
    </row>
    <row r="5464" spans="1:40" x14ac:dyDescent="0.25">
      <c r="A5464" t="str">
        <f>"20190312154946329"</f>
        <v>20190312154946329</v>
      </c>
      <c r="B5464" t="str">
        <f>"1552376986321816"</f>
        <v>1552376986321816</v>
      </c>
      <c r="C5464" t="s">
        <v>40</v>
      </c>
      <c r="D5464">
        <v>4.3578190000000001</v>
      </c>
      <c r="E5464">
        <v>0.39194659999999998</v>
      </c>
      <c r="F5464" t="s">
        <v>65</v>
      </c>
      <c r="G5464">
        <v>-400.01080000000002</v>
      </c>
      <c r="H5464" s="1">
        <v>-6.330646E-6</v>
      </c>
      <c r="I5464">
        <v>21.27469</v>
      </c>
      <c r="J5464">
        <v>-412.43209999999999</v>
      </c>
      <c r="K5464">
        <v>1.1114809999999999</v>
      </c>
      <c r="L5464">
        <v>27.818390000000001</v>
      </c>
      <c r="M5464">
        <v>0.72479519999999997</v>
      </c>
      <c r="N5464">
        <v>0</v>
      </c>
      <c r="O5464">
        <v>-0.68886159999999996</v>
      </c>
      <c r="P5464">
        <v>0.71915220000000002</v>
      </c>
      <c r="Q5464">
        <v>-2.329086E-2</v>
      </c>
      <c r="R5464">
        <v>-0.69446239999999904</v>
      </c>
      <c r="S5464">
        <v>2.7563780000000002</v>
      </c>
      <c r="T5464">
        <v>-0.2454278</v>
      </c>
      <c r="U5464">
        <v>-1.4573969999999901</v>
      </c>
      <c r="V5464">
        <v>7.9962680000000008E-3</v>
      </c>
      <c r="W5464">
        <v>-1.135394E-2</v>
      </c>
      <c r="X5464">
        <v>0.9999036</v>
      </c>
      <c r="Y5464">
        <v>-0.26780979999999999</v>
      </c>
      <c r="Z5464">
        <v>6.187811E-2</v>
      </c>
      <c r="AA5464">
        <v>0.96148270000000002</v>
      </c>
      <c r="AB5464">
        <v>19</v>
      </c>
      <c r="AC5464">
        <v>12.421299999999899</v>
      </c>
      <c r="AD5464">
        <v>-1.111487330646</v>
      </c>
      <c r="AE5464">
        <v>-6.5437000000000003</v>
      </c>
      <c r="AF5464">
        <v>-3.7902285645937899</v>
      </c>
      <c r="AG5464">
        <v>-1.111487330646</v>
      </c>
      <c r="AH5464">
        <v>13.427401058423399</v>
      </c>
      <c r="AI5464">
        <v>94.554823217043307</v>
      </c>
      <c r="AJ5464">
        <v>105.763081786418</v>
      </c>
      <c r="AK5464">
        <v>13.9962972189719</v>
      </c>
      <c r="AL5464">
        <v>90.650546800544603</v>
      </c>
      <c r="AM5464">
        <v>89.541813188845097</v>
      </c>
      <c r="AN5464">
        <v>1.0000000307742001</v>
      </c>
    </row>
    <row r="5465" spans="1:40" x14ac:dyDescent="0.25">
      <c r="A5465" t="str">
        <f>"20190312154946340"</f>
        <v>20190312154946340</v>
      </c>
      <c r="B5465" t="str">
        <f>"1552376986331576"</f>
        <v>1552376986331576</v>
      </c>
      <c r="C5465" t="s">
        <v>40</v>
      </c>
      <c r="D5465">
        <v>4.3761479999999997</v>
      </c>
      <c r="E5465">
        <v>0.39181949999999999</v>
      </c>
      <c r="F5465" t="s">
        <v>42</v>
      </c>
      <c r="G5465">
        <v>-399.84210000000002</v>
      </c>
      <c r="H5465" s="1">
        <v>-4.6855959999999999E-7</v>
      </c>
      <c r="I5465">
        <v>21.170159999999999</v>
      </c>
      <c r="J5465">
        <v>-412.36309999999997</v>
      </c>
      <c r="K5465">
        <v>1.1114740000000001</v>
      </c>
      <c r="L5465">
        <v>27.755520000000001</v>
      </c>
      <c r="M5465">
        <v>0.72602959999999905</v>
      </c>
      <c r="N5465">
        <v>0</v>
      </c>
      <c r="O5465">
        <v>-0.68756349999999999</v>
      </c>
      <c r="P5465">
        <v>0.71923389999999998</v>
      </c>
      <c r="Q5465">
        <v>-2.2846910000000002E-2</v>
      </c>
      <c r="R5465">
        <v>-0.69439269999999997</v>
      </c>
      <c r="S5465">
        <v>2.757568</v>
      </c>
      <c r="T5465">
        <v>-0.2434453</v>
      </c>
      <c r="U5465">
        <v>-1.4561459999999999</v>
      </c>
      <c r="V5465">
        <v>9.6797169999999991E-3</v>
      </c>
      <c r="W5465">
        <v>-1.107088E-2</v>
      </c>
      <c r="X5465">
        <v>0.99989189999999994</v>
      </c>
      <c r="Y5465">
        <v>-0.26664139999999997</v>
      </c>
      <c r="Z5465">
        <v>6.1248219999999999E-2</v>
      </c>
      <c r="AA5465">
        <v>0.96184769999999997</v>
      </c>
      <c r="AB5465">
        <v>19</v>
      </c>
      <c r="AC5465">
        <v>12.5209999999999</v>
      </c>
      <c r="AD5465">
        <v>-1.1114744685596001</v>
      </c>
      <c r="AE5465">
        <v>-6.5853599999999997</v>
      </c>
      <c r="AF5465">
        <v>-3.8045955976250001</v>
      </c>
      <c r="AG5465">
        <v>-1.1114744685596001</v>
      </c>
      <c r="AH5465">
        <v>13.5358560074054</v>
      </c>
      <c r="AI5465">
        <v>94.519837452663793</v>
      </c>
      <c r="AJ5465">
        <v>105.699364743402</v>
      </c>
      <c r="AK5465">
        <v>14.104244786905101</v>
      </c>
      <c r="AL5465">
        <v>90.634327634457904</v>
      </c>
      <c r="AM5465">
        <v>89.445350435826398</v>
      </c>
      <c r="AN5465">
        <v>1.00000003649539</v>
      </c>
    </row>
    <row r="5466" spans="1:40" x14ac:dyDescent="0.25">
      <c r="A5466" t="str">
        <f>"20190312154946352"</f>
        <v>20190312154946352</v>
      </c>
      <c r="B5466" t="str">
        <f>"1552376986341336"</f>
        <v>1552376986341336</v>
      </c>
      <c r="C5466" t="s">
        <v>40</v>
      </c>
      <c r="D5466">
        <v>4.3741269999999997</v>
      </c>
      <c r="E5466">
        <v>0.39160620000000002</v>
      </c>
      <c r="F5466" t="s">
        <v>42</v>
      </c>
      <c r="G5466">
        <v>-399.67149999999998</v>
      </c>
      <c r="H5466" s="1">
        <v>-5.2039650000000004E-7</v>
      </c>
      <c r="I5466">
        <v>21.062000000000001</v>
      </c>
      <c r="J5466">
        <v>-412.28809999999999</v>
      </c>
      <c r="K5466">
        <v>1.1114679999999999</v>
      </c>
      <c r="L5466">
        <v>27.687470000000001</v>
      </c>
      <c r="M5466">
        <v>0.72736769999999995</v>
      </c>
      <c r="N5466">
        <v>0</v>
      </c>
      <c r="O5466">
        <v>-0.68615090000000001</v>
      </c>
      <c r="P5466">
        <v>0.71965519999999905</v>
      </c>
      <c r="Q5466">
        <v>-2.24064E-2</v>
      </c>
      <c r="R5466">
        <v>-0.69397069999999905</v>
      </c>
      <c r="S5466">
        <v>2.7587280000000001</v>
      </c>
      <c r="T5466">
        <v>-0.2415986</v>
      </c>
      <c r="U5466">
        <v>-1.4549559999999999</v>
      </c>
      <c r="V5466">
        <v>1.102829E-2</v>
      </c>
      <c r="W5466">
        <v>-1.0808669999999999E-2</v>
      </c>
      <c r="X5466">
        <v>0.99988080000000001</v>
      </c>
      <c r="Y5466">
        <v>-0.26530019999999999</v>
      </c>
      <c r="Z5466">
        <v>6.0641390000000003E-2</v>
      </c>
      <c r="AA5466">
        <v>0.96225700000000003</v>
      </c>
      <c r="AB5466">
        <v>19</v>
      </c>
      <c r="AC5466">
        <v>12.6166</v>
      </c>
      <c r="AD5466">
        <v>-1.1114685203965</v>
      </c>
      <c r="AE5466">
        <v>-6.62547</v>
      </c>
      <c r="AF5466">
        <v>-3.81478775936103</v>
      </c>
      <c r="AG5466">
        <v>-1.1114685203965</v>
      </c>
      <c r="AH5466">
        <v>13.6409120560962</v>
      </c>
      <c r="AI5466">
        <v>94.486792596057001</v>
      </c>
      <c r="AJ5466">
        <v>105.624064816638</v>
      </c>
      <c r="AK5466">
        <v>14.207830574825801</v>
      </c>
      <c r="AL5466">
        <v>90.619303212094707</v>
      </c>
      <c r="AM5466">
        <v>89.368075823490798</v>
      </c>
      <c r="AN5466">
        <v>1.00000003236806</v>
      </c>
    </row>
    <row r="5467" spans="1:40" x14ac:dyDescent="0.25">
      <c r="A5467" t="str">
        <f>"20190312154946362"</f>
        <v>20190312154946362</v>
      </c>
      <c r="B5467" t="str">
        <f>"1552376986351096"</f>
        <v>1552376986351096</v>
      </c>
      <c r="C5467" t="s">
        <v>40</v>
      </c>
      <c r="D5467">
        <v>4.3769939999999998</v>
      </c>
      <c r="E5467">
        <v>0.39156239999999998</v>
      </c>
      <c r="F5467" t="s">
        <v>42</v>
      </c>
      <c r="G5467">
        <v>-399.3931</v>
      </c>
      <c r="H5467" s="1">
        <v>-6.1003209999999996E-7</v>
      </c>
      <c r="I5467">
        <v>20.904240000000001</v>
      </c>
      <c r="J5467">
        <v>-412.21600000000001</v>
      </c>
      <c r="K5467">
        <v>1.111462</v>
      </c>
      <c r="L5467">
        <v>27.622219999999999</v>
      </c>
      <c r="M5467">
        <v>0.72865249999999904</v>
      </c>
      <c r="N5467">
        <v>0</v>
      </c>
      <c r="O5467">
        <v>-0.68478919999999999</v>
      </c>
      <c r="P5467">
        <v>0.71999219999999997</v>
      </c>
      <c r="Q5467">
        <v>-2.2245910000000001E-2</v>
      </c>
      <c r="R5467">
        <v>-0.69362590000000002</v>
      </c>
      <c r="S5467">
        <v>2.760834</v>
      </c>
      <c r="T5467">
        <v>-0.2379674</v>
      </c>
      <c r="U5467">
        <v>-1.4523010000000001</v>
      </c>
      <c r="V5467">
        <v>1.2418469999999999E-2</v>
      </c>
      <c r="W5467">
        <v>-1.0820379999999999E-2</v>
      </c>
      <c r="X5467">
        <v>0.99986430000000004</v>
      </c>
      <c r="Y5467">
        <v>-0.26459739999999998</v>
      </c>
      <c r="Z5467">
        <v>5.9610620000000003E-2</v>
      </c>
      <c r="AA5467">
        <v>0.9625148</v>
      </c>
      <c r="AB5467">
        <v>19</v>
      </c>
      <c r="AC5467">
        <v>12.822900000000001</v>
      </c>
      <c r="AD5467">
        <v>-1.1114626100320999</v>
      </c>
      <c r="AE5467">
        <v>-6.7179799999999998</v>
      </c>
      <c r="AF5467">
        <v>-3.86338698043649</v>
      </c>
      <c r="AG5467">
        <v>-1.1114626100320999</v>
      </c>
      <c r="AH5467">
        <v>13.8630169598938</v>
      </c>
      <c r="AI5467">
        <v>94.416281484486205</v>
      </c>
      <c r="AJ5467">
        <v>105.572249202222</v>
      </c>
      <c r="AK5467">
        <v>14.4341382605408</v>
      </c>
      <c r="AL5467">
        <v>90.619974230551904</v>
      </c>
      <c r="AM5467">
        <v>89.288414102122402</v>
      </c>
      <c r="AN5467">
        <v>0.99999995871748604</v>
      </c>
    </row>
    <row r="5468" spans="1:40" x14ac:dyDescent="0.25">
      <c r="A5468" t="str">
        <f>"20190312154946374"</f>
        <v>20190312154946374</v>
      </c>
      <c r="B5468" t="str">
        <f>"1552376986371592"</f>
        <v>1552376986371592</v>
      </c>
      <c r="C5468" t="s">
        <v>40</v>
      </c>
      <c r="D5468">
        <v>4.354317</v>
      </c>
      <c r="E5468">
        <v>0.391428</v>
      </c>
      <c r="F5468" t="s">
        <v>42</v>
      </c>
      <c r="G5468">
        <v>-399.40289999999999</v>
      </c>
      <c r="H5468" s="1">
        <v>-6.0247290000000001E-7</v>
      </c>
      <c r="I5468">
        <v>20.893170000000001</v>
      </c>
      <c r="J5468">
        <v>-412.14429999999999</v>
      </c>
      <c r="K5468">
        <v>1.1114539999999999</v>
      </c>
      <c r="L5468">
        <v>27.55771</v>
      </c>
      <c r="M5468">
        <v>0.72992819999999903</v>
      </c>
      <c r="N5468">
        <v>0</v>
      </c>
      <c r="O5468">
        <v>-0.68343240000000005</v>
      </c>
      <c r="P5468">
        <v>0.72067119999999996</v>
      </c>
      <c r="Q5468">
        <v>-2.2352009999999999E-2</v>
      </c>
      <c r="R5468">
        <v>-0.69291709999999995</v>
      </c>
      <c r="S5468">
        <v>2.7619630000000002</v>
      </c>
      <c r="T5468">
        <v>-0.23958460000000001</v>
      </c>
      <c r="U5468">
        <v>-1.4504999999999999</v>
      </c>
      <c r="V5468">
        <v>1.330072E-2</v>
      </c>
      <c r="W5468">
        <v>-1.110188E-2</v>
      </c>
      <c r="X5468">
        <v>0.99984989999999996</v>
      </c>
      <c r="Y5468">
        <v>-0.26343070000000002</v>
      </c>
      <c r="Z5468">
        <v>5.9885729999999998E-2</v>
      </c>
      <c r="AA5468">
        <v>0.9628177</v>
      </c>
      <c r="AB5468">
        <v>19</v>
      </c>
      <c r="AC5468">
        <v>12.741400000000001</v>
      </c>
      <c r="AD5468">
        <v>-1.1114546024729</v>
      </c>
      <c r="AE5468">
        <v>-6.6645399999999899</v>
      </c>
      <c r="AF5468">
        <v>-3.82066265105734</v>
      </c>
      <c r="AG5468">
        <v>-1.1114546024729</v>
      </c>
      <c r="AH5468">
        <v>13.773641814700801</v>
      </c>
      <c r="AI5468">
        <v>94.446269908430295</v>
      </c>
      <c r="AJ5468">
        <v>105.50345212529101</v>
      </c>
      <c r="AK5468">
        <v>14.33687564521</v>
      </c>
      <c r="AL5468">
        <v>90.636103941209299</v>
      </c>
      <c r="AM5468">
        <v>89.237855429690697</v>
      </c>
      <c r="AN5468">
        <v>0.99999999171103104</v>
      </c>
    </row>
    <row r="5469" spans="1:40" x14ac:dyDescent="0.25">
      <c r="A5469" t="str">
        <f>"20190312154946386"</f>
        <v>20190312154946386</v>
      </c>
      <c r="B5469" t="str">
        <f>"1552376986381352"</f>
        <v>1552376986381352</v>
      </c>
      <c r="C5469" t="s">
        <v>40</v>
      </c>
      <c r="D5469">
        <v>4.3598879999999998</v>
      </c>
      <c r="E5469">
        <v>0.39138640000000002</v>
      </c>
      <c r="F5469" t="s">
        <v>42</v>
      </c>
      <c r="G5469">
        <v>-399.33179999999999</v>
      </c>
      <c r="H5469" s="1">
        <v>-6.2469410000000001E-7</v>
      </c>
      <c r="I5469">
        <v>20.850480000000001</v>
      </c>
      <c r="J5469">
        <v>-412.07139999999998</v>
      </c>
      <c r="K5469">
        <v>1.1114440000000001</v>
      </c>
      <c r="L5469">
        <v>27.492249999999999</v>
      </c>
      <c r="M5469">
        <v>0.73122159999999903</v>
      </c>
      <c r="N5469">
        <v>0</v>
      </c>
      <c r="O5469">
        <v>-0.68205109999999902</v>
      </c>
      <c r="P5469">
        <v>0.72124370000000004</v>
      </c>
      <c r="Q5469">
        <v>-2.2573099999999999E-2</v>
      </c>
      <c r="R5469">
        <v>-0.69231339999999997</v>
      </c>
      <c r="S5469">
        <v>2.7640989999999999</v>
      </c>
      <c r="T5469">
        <v>-0.23978089999999999</v>
      </c>
      <c r="U5469">
        <v>-1.4469909999999999</v>
      </c>
      <c r="V5469">
        <v>1.4362929999999999E-2</v>
      </c>
      <c r="W5469">
        <v>-1.150088E-2</v>
      </c>
      <c r="X5469">
        <v>0.99983069999999996</v>
      </c>
      <c r="Y5469">
        <v>-0.26287199999999999</v>
      </c>
      <c r="Z5469">
        <v>5.9820430000000001E-2</v>
      </c>
      <c r="AA5469">
        <v>0.96297449999999996</v>
      </c>
      <c r="AB5469">
        <v>19</v>
      </c>
      <c r="AC5469">
        <v>12.7395999999999</v>
      </c>
      <c r="AD5469">
        <v>-1.1114446246941001</v>
      </c>
      <c r="AE5469">
        <v>-6.6417700000000002</v>
      </c>
      <c r="AF5469">
        <v>-3.8098838187161999</v>
      </c>
      <c r="AG5469">
        <v>-1.1114446246941001</v>
      </c>
      <c r="AH5469">
        <v>13.7639633516812</v>
      </c>
      <c r="AI5469">
        <v>94.4500147481575</v>
      </c>
      <c r="AJ5469">
        <v>105.472160976466</v>
      </c>
      <c r="AK5469">
        <v>14.3247063150454</v>
      </c>
      <c r="AL5469">
        <v>90.658966414589898</v>
      </c>
      <c r="AM5469">
        <v>89.176981993570607</v>
      </c>
      <c r="AN5469">
        <v>0.99999999633072401</v>
      </c>
    </row>
    <row r="5470" spans="1:40" x14ac:dyDescent="0.25">
      <c r="A5470" t="str">
        <f>"20190312154946395"</f>
        <v>20190312154946395</v>
      </c>
      <c r="B5470" t="str">
        <f>"1552376986391112"</f>
        <v>1552376986391112</v>
      </c>
      <c r="C5470" t="s">
        <v>40</v>
      </c>
      <c r="D5470">
        <v>4.3703979999999998</v>
      </c>
      <c r="E5470">
        <v>0.39124019999999998</v>
      </c>
      <c r="F5470" t="s">
        <v>42</v>
      </c>
      <c r="G5470">
        <v>-399.21699999999998</v>
      </c>
      <c r="H5470" s="1">
        <v>-6.6002930000000002E-7</v>
      </c>
      <c r="I5470">
        <v>20.779319999999998</v>
      </c>
      <c r="J5470">
        <v>-412.00080000000003</v>
      </c>
      <c r="K5470">
        <v>1.111435</v>
      </c>
      <c r="L5470">
        <v>27.429169999999999</v>
      </c>
      <c r="M5470">
        <v>0.73247469999999903</v>
      </c>
      <c r="N5470">
        <v>0</v>
      </c>
      <c r="O5470">
        <v>-0.68070819999999999</v>
      </c>
      <c r="P5470">
        <v>0.72211639999999999</v>
      </c>
      <c r="Q5470">
        <v>-2.2708280000000001E-2</v>
      </c>
      <c r="R5470">
        <v>-0.69139899999999999</v>
      </c>
      <c r="S5470">
        <v>2.7656559999999999</v>
      </c>
      <c r="T5470">
        <v>-0.2391305</v>
      </c>
      <c r="U5470">
        <v>-1.4443049999999999</v>
      </c>
      <c r="V5470">
        <v>1.49371E-2</v>
      </c>
      <c r="W5470">
        <v>-1.1811210000000001E-2</v>
      </c>
      <c r="X5470">
        <v>0.99981869999999995</v>
      </c>
      <c r="Y5470">
        <v>-0.26207449999999999</v>
      </c>
      <c r="Z5470">
        <v>5.95428E-2</v>
      </c>
      <c r="AA5470">
        <v>0.96320899999999998</v>
      </c>
      <c r="AB5470">
        <v>20</v>
      </c>
      <c r="AC5470">
        <v>12.783799999999999</v>
      </c>
      <c r="AD5470">
        <v>-1.1114356600293001</v>
      </c>
      <c r="AE5470">
        <v>-6.6498499999999998</v>
      </c>
      <c r="AF5470">
        <v>-3.8087567081649301</v>
      </c>
      <c r="AG5470">
        <v>-1.1114356600293001</v>
      </c>
      <c r="AH5470">
        <v>13.8090808537708</v>
      </c>
      <c r="AI5470">
        <v>94.436616337113804</v>
      </c>
      <c r="AJ5470">
        <v>105.419674710642</v>
      </c>
      <c r="AK5470">
        <v>14.3677636017007</v>
      </c>
      <c r="AL5470">
        <v>90.676748201043907</v>
      </c>
      <c r="AM5470">
        <v>89.144075697588207</v>
      </c>
      <c r="AN5470">
        <v>1.00000002725388</v>
      </c>
    </row>
    <row r="5471" spans="1:40" x14ac:dyDescent="0.25">
      <c r="A5471" t="str">
        <f>"20190312154946408"</f>
        <v>20190312154946408</v>
      </c>
      <c r="B5471" t="str">
        <f>"1552376986401847"</f>
        <v>1552376986401847</v>
      </c>
      <c r="C5471" t="s">
        <v>40</v>
      </c>
      <c r="D5471">
        <v>4.3964749999999997</v>
      </c>
      <c r="E5471">
        <v>0.3910361</v>
      </c>
      <c r="F5471" t="s">
        <v>42</v>
      </c>
      <c r="G5471">
        <v>-399.20639999999997</v>
      </c>
      <c r="H5471" s="1">
        <v>-6.636824E-7</v>
      </c>
      <c r="I5471">
        <v>20.774049999999999</v>
      </c>
      <c r="J5471">
        <v>-411.92270000000002</v>
      </c>
      <c r="K5471">
        <v>1.111426</v>
      </c>
      <c r="L5471">
        <v>27.35962</v>
      </c>
      <c r="M5471">
        <v>0.73385599999999995</v>
      </c>
      <c r="N5471">
        <v>0</v>
      </c>
      <c r="O5471">
        <v>-0.67922209999999905</v>
      </c>
      <c r="P5471">
        <v>0.72312049999999894</v>
      </c>
      <c r="Q5471">
        <v>-2.3192919999999999E-2</v>
      </c>
      <c r="R5471">
        <v>-0.69033279999999997</v>
      </c>
      <c r="S5471">
        <v>2.7682190000000002</v>
      </c>
      <c r="T5471">
        <v>-0.24047170000000001</v>
      </c>
      <c r="U5471">
        <v>-1.4399109999999999</v>
      </c>
      <c r="V5471">
        <v>1.5504560000000001E-2</v>
      </c>
      <c r="W5471">
        <v>-1.248865E-2</v>
      </c>
      <c r="X5471">
        <v>0.99980179999999996</v>
      </c>
      <c r="Y5471">
        <v>-0.26166519999999999</v>
      </c>
      <c r="Z5471">
        <v>5.9758510000000001E-2</v>
      </c>
      <c r="AA5471">
        <v>0.96330700000000002</v>
      </c>
      <c r="AB5471">
        <v>20</v>
      </c>
      <c r="AC5471">
        <v>12.7163</v>
      </c>
      <c r="AD5471">
        <v>-1.11142666368239</v>
      </c>
      <c r="AE5471">
        <v>-6.5855699999999997</v>
      </c>
      <c r="AF5471">
        <v>-3.78176676325366</v>
      </c>
      <c r="AG5471">
        <v>-1.11142666368239</v>
      </c>
      <c r="AH5471">
        <v>13.7231142131885</v>
      </c>
      <c r="AI5471">
        <v>94.464533157761807</v>
      </c>
      <c r="AJ5471">
        <v>105.406951432998</v>
      </c>
      <c r="AK5471">
        <v>14.277986300196901</v>
      </c>
      <c r="AL5471">
        <v>90.715565539390397</v>
      </c>
      <c r="AM5471">
        <v>89.111549259369795</v>
      </c>
      <c r="AN5471">
        <v>0.99999999852142796</v>
      </c>
    </row>
    <row r="5472" spans="1:40" x14ac:dyDescent="0.25">
      <c r="A5472" t="str">
        <f>"20190312154946420"</f>
        <v>20190312154946420</v>
      </c>
      <c r="B5472" t="str">
        <f>"1552376986411607"</f>
        <v>1552376986411607</v>
      </c>
      <c r="C5472" t="s">
        <v>40</v>
      </c>
      <c r="D5472">
        <v>4.4147720000000001</v>
      </c>
      <c r="E5472">
        <v>0.3910361</v>
      </c>
      <c r="F5472" t="s">
        <v>42</v>
      </c>
      <c r="G5472">
        <v>-399.23790000000002</v>
      </c>
      <c r="H5472" s="1">
        <v>-6.5392149999999996E-7</v>
      </c>
      <c r="I5472">
        <v>20.793430000000001</v>
      </c>
      <c r="J5472">
        <v>-411.8426</v>
      </c>
      <c r="K5472">
        <v>1.111413</v>
      </c>
      <c r="L5472">
        <v>27.288640000000001</v>
      </c>
      <c r="M5472">
        <v>0.73527010000000004</v>
      </c>
      <c r="N5472">
        <v>0</v>
      </c>
      <c r="O5472">
        <v>-0.67769409999999997</v>
      </c>
      <c r="P5472">
        <v>0.72447629999999996</v>
      </c>
      <c r="Q5472">
        <v>-2.3458779999999999E-2</v>
      </c>
      <c r="R5472">
        <v>-0.68890059999999997</v>
      </c>
      <c r="S5472">
        <v>2.7713619999999999</v>
      </c>
      <c r="T5472">
        <v>-0.24282290000000001</v>
      </c>
      <c r="U5472">
        <v>-1.4345699999999999</v>
      </c>
      <c r="V5472">
        <v>1.5616430000000001E-2</v>
      </c>
      <c r="W5472">
        <v>-1.2951910000000001E-2</v>
      </c>
      <c r="X5472">
        <v>0.99979419999999997</v>
      </c>
      <c r="Y5472">
        <v>-0.26152619999999999</v>
      </c>
      <c r="Z5472">
        <v>6.0225880000000002E-2</v>
      </c>
      <c r="AA5472">
        <v>0.96331549999999999</v>
      </c>
      <c r="AB5472">
        <v>20</v>
      </c>
      <c r="AC5472">
        <v>12.6046999999999</v>
      </c>
      <c r="AD5472">
        <v>-1.1114136539215</v>
      </c>
      <c r="AE5472">
        <v>-6.4952100000000002</v>
      </c>
      <c r="AF5472">
        <v>-3.7436029842609502</v>
      </c>
      <c r="AG5472">
        <v>-1.1114136539215</v>
      </c>
      <c r="AH5472">
        <v>13.586896332958</v>
      </c>
      <c r="AI5472">
        <v>94.509109833051298</v>
      </c>
      <c r="AJ5472">
        <v>105.404500472034</v>
      </c>
      <c r="AK5472">
        <v>14.1369570833485</v>
      </c>
      <c r="AL5472">
        <v>90.742110504096203</v>
      </c>
      <c r="AM5472">
        <v>89.105133061157602</v>
      </c>
      <c r="AN5472">
        <v>1.0000000336061099</v>
      </c>
    </row>
    <row r="5473" spans="1:40" x14ac:dyDescent="0.25">
      <c r="A5473" t="str">
        <f>"20190312154946434"</f>
        <v>20190312154946434</v>
      </c>
      <c r="B5473" t="str">
        <f>"1552376986421367"</f>
        <v>1552376986421367</v>
      </c>
      <c r="C5473" t="s">
        <v>40</v>
      </c>
      <c r="D5473">
        <v>4.5491239999999999</v>
      </c>
      <c r="E5473">
        <v>0.39276840000000002</v>
      </c>
      <c r="F5473" t="s">
        <v>42</v>
      </c>
      <c r="G5473">
        <v>-399.1533</v>
      </c>
      <c r="H5473" s="1">
        <v>-6.8323759999999905E-7</v>
      </c>
      <c r="I5473">
        <v>20.753250000000001</v>
      </c>
      <c r="J5473">
        <v>-411.7627</v>
      </c>
      <c r="K5473">
        <v>1.1114029999999999</v>
      </c>
      <c r="L5473">
        <v>27.21808</v>
      </c>
      <c r="M5473">
        <v>0.73667700000000003</v>
      </c>
      <c r="N5473">
        <v>0</v>
      </c>
      <c r="O5473">
        <v>-0.67616739999999997</v>
      </c>
      <c r="P5473">
        <v>0.72581280000000004</v>
      </c>
      <c r="Q5473">
        <v>-2.3970809999999999E-2</v>
      </c>
      <c r="R5473">
        <v>-0.6874749</v>
      </c>
      <c r="S5473">
        <v>2.7743229999999999</v>
      </c>
      <c r="T5473">
        <v>-0.24299370000000001</v>
      </c>
      <c r="U5473">
        <v>-1.4288639999999999</v>
      </c>
      <c r="V5473">
        <v>1.574149E-2</v>
      </c>
      <c r="W5473">
        <v>-1.365975E-2</v>
      </c>
      <c r="X5473">
        <v>0.99978279999999997</v>
      </c>
      <c r="Y5473">
        <v>-0.26150810000000002</v>
      </c>
      <c r="Z5473">
        <v>6.0163290000000001E-2</v>
      </c>
      <c r="AA5473">
        <v>0.96332439999999997</v>
      </c>
      <c r="AB5473">
        <v>20</v>
      </c>
      <c r="AC5473">
        <v>12.6093999999999</v>
      </c>
      <c r="AD5473">
        <v>-1.1114036832376</v>
      </c>
      <c r="AE5473">
        <v>-6.4648299999999903</v>
      </c>
      <c r="AF5473">
        <v>-3.7407583284527899</v>
      </c>
      <c r="AG5473">
        <v>-1.1114036832376</v>
      </c>
      <c r="AH5473">
        <v>13.5775512102203</v>
      </c>
      <c r="AI5473">
        <v>94.5121830924938</v>
      </c>
      <c r="AJ5473">
        <v>105.403442312583</v>
      </c>
      <c r="AK5473">
        <v>14.127221520354199</v>
      </c>
      <c r="AL5473">
        <v>90.782670353155893</v>
      </c>
      <c r="AM5473">
        <v>89.097957654461894</v>
      </c>
      <c r="AN5473">
        <v>1.0000000152266599</v>
      </c>
    </row>
    <row r="5474" spans="1:40" x14ac:dyDescent="0.25">
      <c r="A5474" t="str">
        <f>"20190312154946447"</f>
        <v>20190312154946447</v>
      </c>
      <c r="B5474" t="str">
        <f>"1552376986441863"</f>
        <v>1552376986441863</v>
      </c>
      <c r="C5474" t="s">
        <v>40</v>
      </c>
      <c r="D5474">
        <v>4.4104130000000001</v>
      </c>
      <c r="E5474">
        <v>0.43111850000000002</v>
      </c>
      <c r="F5474" t="s">
        <v>42</v>
      </c>
      <c r="G5474">
        <v>-399.13510000000002</v>
      </c>
      <c r="H5474" s="1">
        <v>-6.7179599999999996E-7</v>
      </c>
      <c r="I5474">
        <v>20.677949999999999</v>
      </c>
      <c r="J5474">
        <v>-411.67059999999998</v>
      </c>
      <c r="K5474">
        <v>1.111389</v>
      </c>
      <c r="L5474">
        <v>27.137049999999999</v>
      </c>
      <c r="M5474">
        <v>0.73829290000000003</v>
      </c>
      <c r="N5474">
        <v>0</v>
      </c>
      <c r="O5474">
        <v>-0.6744059</v>
      </c>
      <c r="P5474">
        <v>0.72735119999999998</v>
      </c>
      <c r="Q5474">
        <v>-2.4014339999999999E-2</v>
      </c>
      <c r="R5474">
        <v>-0.68584499999999904</v>
      </c>
      <c r="S5474">
        <v>2.7675480000000001</v>
      </c>
      <c r="T5474">
        <v>-0.24358279999999999</v>
      </c>
      <c r="U5474">
        <v>-1.4333800000000001</v>
      </c>
      <c r="V5474">
        <v>1.589202E-2</v>
      </c>
      <c r="W5474">
        <v>-1.3928609999999999E-2</v>
      </c>
      <c r="X5474">
        <v>0.99977669999999996</v>
      </c>
      <c r="Y5474">
        <v>-0.25699490000000003</v>
      </c>
      <c r="Z5474">
        <v>6.0126979999999997E-2</v>
      </c>
      <c r="AA5474">
        <v>0.96454050000000002</v>
      </c>
      <c r="AB5474">
        <v>20</v>
      </c>
      <c r="AC5474">
        <v>12.5354999999999</v>
      </c>
      <c r="AD5474">
        <v>-1.1113896717959999</v>
      </c>
      <c r="AE5474">
        <v>-6.4590999999999896</v>
      </c>
      <c r="AF5474">
        <v>-3.6627415995707899</v>
      </c>
      <c r="AG5474">
        <v>-1.1113896717959999</v>
      </c>
      <c r="AH5474">
        <v>13.527583321613299</v>
      </c>
      <c r="AI5474">
        <v>94.534171641905502</v>
      </c>
      <c r="AJ5474">
        <v>105.150205273186</v>
      </c>
      <c r="AK5474">
        <v>14.0586760952442</v>
      </c>
      <c r="AL5474">
        <v>90.798076369269197</v>
      </c>
      <c r="AM5474">
        <v>89.089327650230203</v>
      </c>
      <c r="AN5474">
        <v>1.00000000616955</v>
      </c>
    </row>
    <row r="5475" spans="1:40" x14ac:dyDescent="0.25">
      <c r="A5475" t="str">
        <f>"20190312154946459"</f>
        <v>20190312154946459</v>
      </c>
      <c r="B5475" t="str">
        <f>"1552376986451624"</f>
        <v>1552376986451624</v>
      </c>
      <c r="C5475" t="s">
        <v>40</v>
      </c>
      <c r="D5475">
        <v>4.4915629999999904</v>
      </c>
      <c r="E5475">
        <v>0.43457479999999998</v>
      </c>
      <c r="F5475" t="s">
        <v>42</v>
      </c>
      <c r="G5475">
        <v>-391.68119999999999</v>
      </c>
      <c r="H5475" s="1">
        <v>-4.8703029999999996E-6</v>
      </c>
      <c r="I5475">
        <v>14.218540000000001</v>
      </c>
      <c r="J5475">
        <v>-411.58859999999999</v>
      </c>
      <c r="K5475">
        <v>1.11138</v>
      </c>
      <c r="L5475">
        <v>27.065339999999999</v>
      </c>
      <c r="M5475">
        <v>0.73972640000000001</v>
      </c>
      <c r="N5475">
        <v>0</v>
      </c>
      <c r="O5475">
        <v>-0.67283630000000005</v>
      </c>
      <c r="P5475">
        <v>0.72871640000000004</v>
      </c>
      <c r="Q5475">
        <v>-2.418762E-2</v>
      </c>
      <c r="R5475">
        <v>-0.68438849999999996</v>
      </c>
      <c r="S5475">
        <v>2.5599059999999998</v>
      </c>
      <c r="T5475">
        <v>-0.14232890000000001</v>
      </c>
      <c r="U5475">
        <v>-1.654388</v>
      </c>
      <c r="V5475">
        <v>1.6023099999999998E-2</v>
      </c>
      <c r="W5475">
        <v>-1.430528E-2</v>
      </c>
      <c r="X5475">
        <v>0.99976929999999997</v>
      </c>
      <c r="Y5475">
        <v>-0.1628696</v>
      </c>
      <c r="Z5475">
        <v>3.4226369999999999E-2</v>
      </c>
      <c r="AA5475">
        <v>0.98605379999999998</v>
      </c>
      <c r="AB5475">
        <v>20</v>
      </c>
      <c r="AC5475">
        <v>19.907399999999999</v>
      </c>
      <c r="AD5475">
        <v>-1.111384870303</v>
      </c>
      <c r="AE5475">
        <v>-12.8468</v>
      </c>
      <c r="AF5475">
        <v>-3.8829473733393698</v>
      </c>
      <c r="AG5475">
        <v>-1.111384870303</v>
      </c>
      <c r="AH5475">
        <v>23.3196342548685</v>
      </c>
      <c r="AI5475">
        <v>92.691579262819701</v>
      </c>
      <c r="AJ5475">
        <v>99.453576473563203</v>
      </c>
      <c r="AK5475">
        <v>23.6668079473109</v>
      </c>
      <c r="AL5475">
        <v>90.819660112458294</v>
      </c>
      <c r="AM5475">
        <v>89.081810760329304</v>
      </c>
      <c r="AN5475">
        <v>1.00000001699598</v>
      </c>
    </row>
    <row r="5476" spans="1:40" x14ac:dyDescent="0.25">
      <c r="A5476" t="str">
        <f>"20190312154946475"</f>
        <v>20190312154946475</v>
      </c>
      <c r="B5476" t="str">
        <f>"1552376986471144"</f>
        <v>1552376986471144</v>
      </c>
      <c r="C5476" t="s">
        <v>40</v>
      </c>
      <c r="D5476">
        <v>4.4501629999999999</v>
      </c>
      <c r="E5476">
        <v>0.43797589999999997</v>
      </c>
      <c r="F5476" t="s">
        <v>42</v>
      </c>
      <c r="G5476">
        <v>-394.54489999999998</v>
      </c>
      <c r="H5476" s="1">
        <v>-3.2198329999999999E-6</v>
      </c>
      <c r="I5476">
        <v>15.891629999999999</v>
      </c>
      <c r="J5476">
        <v>-411.48579999999998</v>
      </c>
      <c r="K5476">
        <v>1.111364</v>
      </c>
      <c r="L5476">
        <v>26.975919999999999</v>
      </c>
      <c r="M5476">
        <v>0.74151309999999904</v>
      </c>
      <c r="N5476">
        <v>0</v>
      </c>
      <c r="O5476">
        <v>-0.67087050000000004</v>
      </c>
      <c r="P5476">
        <v>0.73047799999999996</v>
      </c>
      <c r="Q5476">
        <v>-2.379856E-2</v>
      </c>
      <c r="R5476">
        <v>-0.68252179999999996</v>
      </c>
      <c r="S5476">
        <v>2.5445859999999998</v>
      </c>
      <c r="T5476">
        <v>-0.1659273</v>
      </c>
      <c r="U5476">
        <v>-1.6682129999999999</v>
      </c>
      <c r="V5476">
        <v>1.6112290000000001E-2</v>
      </c>
      <c r="W5476">
        <v>-1.41694E-2</v>
      </c>
      <c r="X5476">
        <v>0.99976980000000004</v>
      </c>
      <c r="Y5476">
        <v>-0.153533</v>
      </c>
      <c r="Z5476">
        <v>3.9668130000000003E-2</v>
      </c>
      <c r="AA5476">
        <v>0.98734699999999997</v>
      </c>
      <c r="AB5476">
        <v>20</v>
      </c>
      <c r="AC5476">
        <v>16.940899999999999</v>
      </c>
      <c r="AD5476">
        <v>-1.111367219833</v>
      </c>
      <c r="AE5476">
        <v>-11.084289999999999</v>
      </c>
      <c r="AF5476">
        <v>-3.1366944021173602</v>
      </c>
      <c r="AG5476">
        <v>-1.111367219833</v>
      </c>
      <c r="AH5476">
        <v>19.938845842754802</v>
      </c>
      <c r="AI5476">
        <v>93.151615941422406</v>
      </c>
      <c r="AJ5476">
        <v>98.940256911208806</v>
      </c>
      <c r="AK5476">
        <v>20.214637330675401</v>
      </c>
      <c r="AL5476">
        <v>90.811873974196999</v>
      </c>
      <c r="AM5476">
        <v>89.0767011521162</v>
      </c>
      <c r="AN5476">
        <v>1.0000000153887201</v>
      </c>
    </row>
    <row r="5477" spans="1:40" x14ac:dyDescent="0.25">
      <c r="A5477" t="str">
        <f>"20190312154946487"</f>
        <v>20190312154946487</v>
      </c>
      <c r="B5477" t="str">
        <f>"1552376986481880"</f>
        <v>1552376986481880</v>
      </c>
      <c r="C5477" t="s">
        <v>40</v>
      </c>
      <c r="D5477">
        <v>4.4344530000000004</v>
      </c>
      <c r="E5477">
        <v>0.43886269999999999</v>
      </c>
      <c r="F5477" t="s">
        <v>42</v>
      </c>
      <c r="G5477">
        <v>-395.30619999999999</v>
      </c>
      <c r="H5477" s="1">
        <v>-2.8005039999999998E-6</v>
      </c>
      <c r="I5477">
        <v>16.226879999999898</v>
      </c>
      <c r="J5477">
        <v>-411.40530000000001</v>
      </c>
      <c r="K5477">
        <v>1.1113599999999999</v>
      </c>
      <c r="L5477">
        <v>26.90598</v>
      </c>
      <c r="M5477">
        <v>0.74290929999999999</v>
      </c>
      <c r="N5477">
        <v>0</v>
      </c>
      <c r="O5477">
        <v>-0.66932700000000001</v>
      </c>
      <c r="P5477">
        <v>0.73195149999999998</v>
      </c>
      <c r="Q5477">
        <v>-2.3344400000000001E-2</v>
      </c>
      <c r="R5477">
        <v>-0.68095699999999904</v>
      </c>
      <c r="S5477">
        <v>2.5304570000000002</v>
      </c>
      <c r="T5477">
        <v>-0.17381479999999999</v>
      </c>
      <c r="U5477">
        <v>-1.681122</v>
      </c>
      <c r="V5477">
        <v>1.604307E-2</v>
      </c>
      <c r="W5477">
        <v>-1.391293E-2</v>
      </c>
      <c r="X5477">
        <v>0.99977450000000001</v>
      </c>
      <c r="Y5477">
        <v>-0.14535770000000001</v>
      </c>
      <c r="Z5477">
        <v>4.1354790000000002E-2</v>
      </c>
      <c r="AA5477">
        <v>0.98851449999999996</v>
      </c>
      <c r="AB5477">
        <v>20</v>
      </c>
      <c r="AC5477">
        <v>16.0991</v>
      </c>
      <c r="AD5477">
        <v>-1.1113628005039999</v>
      </c>
      <c r="AE5477">
        <v>-10.6791</v>
      </c>
      <c r="AF5477">
        <v>-2.8327090222623301</v>
      </c>
      <c r="AG5477">
        <v>-1.1113628005039999</v>
      </c>
      <c r="AH5477">
        <v>19.045784603566201</v>
      </c>
      <c r="AI5477">
        <v>93.303291431692898</v>
      </c>
      <c r="AJ5477">
        <v>98.4596747060138</v>
      </c>
      <c r="AK5477">
        <v>19.287334674459</v>
      </c>
      <c r="AL5477">
        <v>90.797177889082803</v>
      </c>
      <c r="AM5477">
        <v>89.080671374631706</v>
      </c>
      <c r="AN5477">
        <v>1.0000000002832199</v>
      </c>
    </row>
    <row r="5478" spans="1:40" x14ac:dyDescent="0.25">
      <c r="A5478" t="str">
        <f>"20190312154946497"</f>
        <v>20190312154946497</v>
      </c>
      <c r="B5478" t="str">
        <f>"1552376986491641"</f>
        <v>1552376986491641</v>
      </c>
      <c r="C5478" t="s">
        <v>40</v>
      </c>
      <c r="D5478">
        <v>4.4134060000000002</v>
      </c>
      <c r="E5478">
        <v>0.43973679999999898</v>
      </c>
      <c r="F5478" t="s">
        <v>42</v>
      </c>
      <c r="G5478">
        <v>-394.96980000000002</v>
      </c>
      <c r="H5478" s="1">
        <v>-3.0025789999999999E-6</v>
      </c>
      <c r="I5478">
        <v>15.98409</v>
      </c>
      <c r="J5478">
        <v>-411.32920000000001</v>
      </c>
      <c r="K5478">
        <v>1.1113519999999999</v>
      </c>
      <c r="L5478">
        <v>26.840420000000002</v>
      </c>
      <c r="M5478">
        <v>0.74421859999999995</v>
      </c>
      <c r="N5478">
        <v>0</v>
      </c>
      <c r="O5478">
        <v>-0.66787319999999994</v>
      </c>
      <c r="P5478">
        <v>0.73319669999999904</v>
      </c>
      <c r="Q5478">
        <v>-2.26038E-2</v>
      </c>
      <c r="R5478">
        <v>-0.67964089999999999</v>
      </c>
      <c r="S5478">
        <v>2.5294189999999999</v>
      </c>
      <c r="T5478">
        <v>-0.17103860000000001</v>
      </c>
      <c r="U5478">
        <v>-1.6808780000000001</v>
      </c>
      <c r="V5478">
        <v>1.6185370000000001E-2</v>
      </c>
      <c r="W5478">
        <v>-1.335312E-2</v>
      </c>
      <c r="X5478">
        <v>0.9997798</v>
      </c>
      <c r="Y5478">
        <v>-0.14333750000000001</v>
      </c>
      <c r="Z5478">
        <v>4.0589720000000003E-2</v>
      </c>
      <c r="AA5478">
        <v>0.98884119999999998</v>
      </c>
      <c r="AB5478">
        <v>20</v>
      </c>
      <c r="AC5478">
        <v>16.359399999999901</v>
      </c>
      <c r="AD5478">
        <v>-1.111355002579</v>
      </c>
      <c r="AE5478">
        <v>-10.85633</v>
      </c>
      <c r="AF5478">
        <v>-2.8375502531404999</v>
      </c>
      <c r="AG5478">
        <v>-1.111355002579</v>
      </c>
      <c r="AH5478">
        <v>19.364394632225</v>
      </c>
      <c r="AI5478">
        <v>93.250065094365794</v>
      </c>
      <c r="AJ5478">
        <v>98.336473588251195</v>
      </c>
      <c r="AK5478">
        <v>19.6027187107656</v>
      </c>
      <c r="AL5478">
        <v>90.765100187861194</v>
      </c>
      <c r="AM5478">
        <v>89.072523380143494</v>
      </c>
      <c r="AN5478">
        <v>0.99999996025190396</v>
      </c>
    </row>
    <row r="5479" spans="1:40" x14ac:dyDescent="0.25">
      <c r="A5479" t="str">
        <f>"20190312154946508"</f>
        <v>20190312154946508</v>
      </c>
      <c r="B5479" t="str">
        <f>"1552376986501400"</f>
        <v>1552376986501400</v>
      </c>
      <c r="C5479" t="s">
        <v>40</v>
      </c>
      <c r="D5479">
        <v>4.4486860000000004</v>
      </c>
      <c r="E5479">
        <v>0.44013269999999999</v>
      </c>
      <c r="F5479" t="s">
        <v>42</v>
      </c>
      <c r="G5479">
        <v>-394.4522</v>
      </c>
      <c r="H5479" s="1">
        <v>-3.313188E-6</v>
      </c>
      <c r="I5479">
        <v>15.612259999999999</v>
      </c>
      <c r="J5479">
        <v>-411.26</v>
      </c>
      <c r="K5479">
        <v>1.1113459999999999</v>
      </c>
      <c r="L5479">
        <v>26.780819999999999</v>
      </c>
      <c r="M5479">
        <v>0.7454075</v>
      </c>
      <c r="N5479">
        <v>0</v>
      </c>
      <c r="O5479">
        <v>-0.66654849999999999</v>
      </c>
      <c r="P5479">
        <v>0.73437430000000004</v>
      </c>
      <c r="Q5479">
        <v>-2.1938800000000001E-2</v>
      </c>
      <c r="R5479">
        <v>-0.67839039999999995</v>
      </c>
      <c r="S5479">
        <v>2.5277099999999999</v>
      </c>
      <c r="T5479">
        <v>-0.1664505</v>
      </c>
      <c r="U5479">
        <v>-1.6816709999999999</v>
      </c>
      <c r="V5479">
        <v>1.624546E-2</v>
      </c>
      <c r="W5479">
        <v>-1.285059E-2</v>
      </c>
      <c r="X5479">
        <v>0.99978540000000005</v>
      </c>
      <c r="Y5479">
        <v>-0.14110899999999901</v>
      </c>
      <c r="Z5479">
        <v>3.9401890000000002E-2</v>
      </c>
      <c r="AA5479">
        <v>0.98920969999999997</v>
      </c>
      <c r="AB5479">
        <v>20</v>
      </c>
      <c r="AC5479">
        <v>16.807799999999901</v>
      </c>
      <c r="AD5479">
        <v>-1.1113493131879999</v>
      </c>
      <c r="AE5479">
        <v>-11.168559999999999</v>
      </c>
      <c r="AF5479">
        <v>-2.8694989284952901</v>
      </c>
      <c r="AG5479">
        <v>-1.1113493131879999</v>
      </c>
      <c r="AH5479">
        <v>19.913458940391699</v>
      </c>
      <c r="AI5479">
        <v>93.161714338072301</v>
      </c>
      <c r="AJ5479">
        <v>98.199790454199203</v>
      </c>
      <c r="AK5479">
        <v>20.149813109982599</v>
      </c>
      <c r="AL5479">
        <v>90.736304874778597</v>
      </c>
      <c r="AM5479">
        <v>89.069085837445201</v>
      </c>
      <c r="AN5479">
        <v>0.99999994934355796</v>
      </c>
    </row>
    <row r="5480" spans="1:40" x14ac:dyDescent="0.25">
      <c r="A5480" t="str">
        <f>"20190312154946518"</f>
        <v>20190312154946518</v>
      </c>
      <c r="B5480" t="str">
        <f>"1552376986511159"</f>
        <v>1552376986511159</v>
      </c>
      <c r="C5480" t="s">
        <v>40</v>
      </c>
      <c r="D5480">
        <v>4.4490100000000004</v>
      </c>
      <c r="E5480">
        <v>0.44045780000000001</v>
      </c>
      <c r="F5480" t="s">
        <v>42</v>
      </c>
      <c r="G5480">
        <v>-393.77699999999999</v>
      </c>
      <c r="H5480" s="1">
        <v>-3.7116550000000002E-6</v>
      </c>
      <c r="I5480">
        <v>15.16534</v>
      </c>
      <c r="J5480">
        <v>-411.18700000000001</v>
      </c>
      <c r="K5480">
        <v>1.111345</v>
      </c>
      <c r="L5480">
        <v>26.71829</v>
      </c>
      <c r="M5480">
        <v>0.74665550000000003</v>
      </c>
      <c r="N5480">
        <v>0</v>
      </c>
      <c r="O5480">
        <v>-0.66515249999999904</v>
      </c>
      <c r="P5480">
        <v>0.73559560000000002</v>
      </c>
      <c r="Q5480">
        <v>-2.157825E-2</v>
      </c>
      <c r="R5480">
        <v>-0.67707769999999901</v>
      </c>
      <c r="S5480">
        <v>2.5285030000000002</v>
      </c>
      <c r="T5480">
        <v>-0.16073009999999999</v>
      </c>
      <c r="U5480">
        <v>-1.6799010000000001</v>
      </c>
      <c r="V5480">
        <v>1.632424E-2</v>
      </c>
      <c r="W5480">
        <v>-1.265585E-2</v>
      </c>
      <c r="X5480">
        <v>0.99978670000000003</v>
      </c>
      <c r="Y5480">
        <v>-0.13994589999999901</v>
      </c>
      <c r="Z5480">
        <v>3.7961960000000003E-2</v>
      </c>
      <c r="AA5480">
        <v>0.98943110000000001</v>
      </c>
      <c r="AB5480">
        <v>20</v>
      </c>
      <c r="AC5480">
        <v>17.409999999999901</v>
      </c>
      <c r="AD5480">
        <v>-1.111348711655</v>
      </c>
      <c r="AE5480">
        <v>-11.552949999999999</v>
      </c>
      <c r="AF5480">
        <v>-2.94601180223771</v>
      </c>
      <c r="AG5480">
        <v>-1.111348711655</v>
      </c>
      <c r="AH5480">
        <v>20.626197401095801</v>
      </c>
      <c r="AI5480">
        <v>93.0532138604935</v>
      </c>
      <c r="AJ5480">
        <v>98.128502131464401</v>
      </c>
      <c r="AK5480">
        <v>20.865140802946801</v>
      </c>
      <c r="AL5480">
        <v>90.725146114754594</v>
      </c>
      <c r="AM5480">
        <v>89.064573520661995</v>
      </c>
      <c r="AN5480">
        <v>1.00000004842384</v>
      </c>
    </row>
    <row r="5481" spans="1:40" x14ac:dyDescent="0.25">
      <c r="A5481" t="str">
        <f>"20190312154946530"</f>
        <v>20190312154946530</v>
      </c>
      <c r="B5481" t="str">
        <f>"1552376986520920"</f>
        <v>1552376986520920</v>
      </c>
      <c r="C5481" t="s">
        <v>40</v>
      </c>
      <c r="D5481">
        <v>4.4269210000000001</v>
      </c>
      <c r="E5481">
        <v>0.44091609999999998</v>
      </c>
      <c r="F5481" t="s">
        <v>42</v>
      </c>
      <c r="G5481">
        <v>-393.3252</v>
      </c>
      <c r="H5481" s="1">
        <v>-3.976769E-6</v>
      </c>
      <c r="I5481">
        <v>14.87482</v>
      </c>
      <c r="J5481">
        <v>-411.11059999999998</v>
      </c>
      <c r="K5481">
        <v>1.11134</v>
      </c>
      <c r="L5481">
        <v>26.653079999999999</v>
      </c>
      <c r="M5481">
        <v>0.74795730000000005</v>
      </c>
      <c r="N5481">
        <v>0</v>
      </c>
      <c r="O5481">
        <v>-0.66369040000000001</v>
      </c>
      <c r="P5481">
        <v>0.73656739999999998</v>
      </c>
      <c r="Q5481">
        <v>-2.121485E-2</v>
      </c>
      <c r="R5481">
        <v>-0.67603150000000001</v>
      </c>
      <c r="S5481">
        <v>2.529785</v>
      </c>
      <c r="T5481">
        <v>-0.15740109999999999</v>
      </c>
      <c r="U5481">
        <v>-1.6773990000000001</v>
      </c>
      <c r="V5481">
        <v>1.685296E-2</v>
      </c>
      <c r="W5481">
        <v>-1.2459970000000001E-2</v>
      </c>
      <c r="X5481">
        <v>0.99978040000000001</v>
      </c>
      <c r="Y5481">
        <v>-0.138957</v>
      </c>
      <c r="Z5481">
        <v>3.7090579999999998E-2</v>
      </c>
      <c r="AA5481">
        <v>0.98960360000000003</v>
      </c>
      <c r="AB5481">
        <v>20</v>
      </c>
      <c r="AC5481">
        <v>17.7853999999999</v>
      </c>
      <c r="AD5481">
        <v>-1.1113439767690001</v>
      </c>
      <c r="AE5481">
        <v>-11.7782599999999</v>
      </c>
      <c r="AF5481">
        <v>-2.9863703120972902</v>
      </c>
      <c r="AG5481">
        <v>-1.1113439767690001</v>
      </c>
      <c r="AH5481">
        <v>21.06345896969</v>
      </c>
      <c r="AI5481">
        <v>92.990371639030798</v>
      </c>
      <c r="AJ5481">
        <v>98.069593428947599</v>
      </c>
      <c r="AK5481">
        <v>21.303117068717601</v>
      </c>
      <c r="AL5481">
        <v>90.713922124194795</v>
      </c>
      <c r="AM5481">
        <v>89.034275888884693</v>
      </c>
      <c r="AN5481">
        <v>1.0000000606686501</v>
      </c>
    </row>
    <row r="5482" spans="1:40" x14ac:dyDescent="0.25">
      <c r="A5482" t="str">
        <f>"20190312154946541"</f>
        <v>20190312154946541</v>
      </c>
      <c r="B5482" t="str">
        <f>"1552376986531656"</f>
        <v>1552376986531656</v>
      </c>
      <c r="C5482" t="s">
        <v>40</v>
      </c>
      <c r="D5482">
        <v>4.4559009999999999</v>
      </c>
      <c r="E5482">
        <v>0.44131599999999999</v>
      </c>
      <c r="F5482" t="s">
        <v>42</v>
      </c>
      <c r="G5482">
        <v>-392.75369999999998</v>
      </c>
      <c r="H5482" s="1">
        <v>-4.3161820000000002E-6</v>
      </c>
      <c r="I5482">
        <v>14.48437</v>
      </c>
      <c r="J5482">
        <v>-411.03269999999998</v>
      </c>
      <c r="K5482">
        <v>1.1113360000000001</v>
      </c>
      <c r="L5482">
        <v>26.586819999999999</v>
      </c>
      <c r="M5482">
        <v>0.74927999999999995</v>
      </c>
      <c r="N5482">
        <v>0</v>
      </c>
      <c r="O5482">
        <v>-0.66219899999999998</v>
      </c>
      <c r="P5482">
        <v>0.73761929999999998</v>
      </c>
      <c r="Q5482">
        <v>-2.089363E-2</v>
      </c>
      <c r="R5482">
        <v>-0.67489370000000004</v>
      </c>
      <c r="S5482">
        <v>2.529541</v>
      </c>
      <c r="T5482">
        <v>-0.15314049999999901</v>
      </c>
      <c r="U5482">
        <v>-1.6768189999999901</v>
      </c>
      <c r="V5482">
        <v>1.729636E-2</v>
      </c>
      <c r="W5482">
        <v>-1.230579E-2</v>
      </c>
      <c r="X5482">
        <v>0.99977470000000002</v>
      </c>
      <c r="Y5482">
        <v>-0.13714470000000001</v>
      </c>
      <c r="Z5482">
        <v>3.5989350000000003E-2</v>
      </c>
      <c r="AA5482">
        <v>0.98989700000000003</v>
      </c>
      <c r="AB5482">
        <v>20</v>
      </c>
      <c r="AC5482">
        <v>18.279</v>
      </c>
      <c r="AD5482">
        <v>-1.1113403161819999</v>
      </c>
      <c r="AE5482">
        <v>-12.1024499999999</v>
      </c>
      <c r="AF5482">
        <v>-3.02853796452594</v>
      </c>
      <c r="AG5482">
        <v>-1.1113403161819999</v>
      </c>
      <c r="AH5482">
        <v>21.6554480397518</v>
      </c>
      <c r="AI5482">
        <v>92.909530812762199</v>
      </c>
      <c r="AJ5482">
        <v>97.961242194398494</v>
      </c>
      <c r="AK5482">
        <v>21.894418222536402</v>
      </c>
      <c r="AL5482">
        <v>90.705087610189295</v>
      </c>
      <c r="AM5482">
        <v>89.008867120322407</v>
      </c>
      <c r="AN5482">
        <v>1.0000000236484301</v>
      </c>
    </row>
    <row r="5483" spans="1:40" x14ac:dyDescent="0.25">
      <c r="A5483" t="str">
        <f>"20190312154946554"</f>
        <v>20190312154946554</v>
      </c>
      <c r="B5483" t="str">
        <f>"1552376986541416"</f>
        <v>1552376986541416</v>
      </c>
      <c r="C5483" t="s">
        <v>40</v>
      </c>
      <c r="D5483">
        <v>4.4286859999999999</v>
      </c>
      <c r="E5483">
        <v>0.44162829999999897</v>
      </c>
      <c r="F5483" t="s">
        <v>42</v>
      </c>
      <c r="G5483">
        <v>-392.40480000000002</v>
      </c>
      <c r="H5483" s="1">
        <v>-4.5218819999999998E-6</v>
      </c>
      <c r="I5483">
        <v>14.25436</v>
      </c>
      <c r="J5483">
        <v>-410.95150000000001</v>
      </c>
      <c r="K5483">
        <v>1.1113390000000001</v>
      </c>
      <c r="L5483">
        <v>26.518039999999999</v>
      </c>
      <c r="M5483">
        <v>0.75065539999999997</v>
      </c>
      <c r="N5483">
        <v>0</v>
      </c>
      <c r="O5483">
        <v>-0.66064160000000005</v>
      </c>
      <c r="P5483">
        <v>0.73869879999999999</v>
      </c>
      <c r="Q5483">
        <v>-2.0784420000000001E-2</v>
      </c>
      <c r="R5483">
        <v>-0.67371539999999996</v>
      </c>
      <c r="S5483">
        <v>2.5302120000000001</v>
      </c>
      <c r="T5483">
        <v>-0.15095249999999999</v>
      </c>
      <c r="U5483">
        <v>-1.6751100000000001</v>
      </c>
      <c r="V5483">
        <v>1.7776380000000001E-2</v>
      </c>
      <c r="W5483">
        <v>-1.23626E-2</v>
      </c>
      <c r="X5483">
        <v>0.99976560000000003</v>
      </c>
      <c r="Y5483">
        <v>-0.1356974</v>
      </c>
      <c r="Z5483">
        <v>3.5380399999999999E-2</v>
      </c>
      <c r="AA5483">
        <v>0.99011839999999995</v>
      </c>
      <c r="AB5483">
        <v>20</v>
      </c>
      <c r="AC5483">
        <v>18.546699999999898</v>
      </c>
      <c r="AD5483">
        <v>-1.11134352188199</v>
      </c>
      <c r="AE5483">
        <v>-12.263680000000001</v>
      </c>
      <c r="AF5483">
        <v>-3.0394359945640201</v>
      </c>
      <c r="AG5483">
        <v>-1.11134352188199</v>
      </c>
      <c r="AH5483">
        <v>21.969952525361801</v>
      </c>
      <c r="AI5483">
        <v>92.868547006273303</v>
      </c>
      <c r="AJ5483">
        <v>97.876595107632198</v>
      </c>
      <c r="AK5483">
        <v>22.2070274813026</v>
      </c>
      <c r="AL5483">
        <v>90.708342816371996</v>
      </c>
      <c r="AM5483">
        <v>88.981356994125093</v>
      </c>
      <c r="AN5483">
        <v>1.00000004425401</v>
      </c>
    </row>
    <row r="5484" spans="1:40" x14ac:dyDescent="0.25">
      <c r="A5484" t="str">
        <f>"20190312154946564"</f>
        <v>20190312154946564</v>
      </c>
      <c r="B5484" t="str">
        <f>"1552376986551175"</f>
        <v>1552376986551175</v>
      </c>
      <c r="C5484" t="s">
        <v>40</v>
      </c>
      <c r="D5484">
        <v>4.4573090000000004</v>
      </c>
      <c r="E5484">
        <v>0.44185479999999999</v>
      </c>
      <c r="F5484" t="s">
        <v>42</v>
      </c>
      <c r="G5484">
        <v>-392.21910000000003</v>
      </c>
      <c r="H5484" s="1">
        <v>-4.6306210000000001E-6</v>
      </c>
      <c r="I5484">
        <v>14.13612</v>
      </c>
      <c r="J5484">
        <v>-410.87479999999999</v>
      </c>
      <c r="K5484">
        <v>1.111337</v>
      </c>
      <c r="L5484">
        <v>26.453309999999998</v>
      </c>
      <c r="M5484">
        <v>0.75194859999999997</v>
      </c>
      <c r="N5484">
        <v>0</v>
      </c>
      <c r="O5484">
        <v>-0.65917109999999901</v>
      </c>
      <c r="P5484">
        <v>0.73964430000000003</v>
      </c>
      <c r="Q5484">
        <v>-2.0788540000000001E-2</v>
      </c>
      <c r="R5484">
        <v>-0.67267690000000002</v>
      </c>
      <c r="S5484">
        <v>2.5310969999999999</v>
      </c>
      <c r="T5484">
        <v>-0.15016389999999999</v>
      </c>
      <c r="U5484">
        <v>-1.6730349999999901</v>
      </c>
      <c r="V5484">
        <v>1.8331099999999999E-2</v>
      </c>
      <c r="W5484">
        <v>-1.2519890000000001E-2</v>
      </c>
      <c r="X5484">
        <v>0.99975360000000002</v>
      </c>
      <c r="Y5484">
        <v>-0.13449159999999999</v>
      </c>
      <c r="Z5484">
        <v>3.5109500000000002E-2</v>
      </c>
      <c r="AA5484">
        <v>0.99029250000000002</v>
      </c>
      <c r="AB5484">
        <v>20</v>
      </c>
      <c r="AC5484">
        <v>18.6556999999999</v>
      </c>
      <c r="AD5484">
        <v>-1.111341630621</v>
      </c>
      <c r="AE5484">
        <v>-12.317189999999901</v>
      </c>
      <c r="AF5484">
        <v>-3.02802237851669</v>
      </c>
      <c r="AG5484">
        <v>-1.111341630621</v>
      </c>
      <c r="AH5484">
        <v>22.093400804041799</v>
      </c>
      <c r="AI5484">
        <v>92.853036870954597</v>
      </c>
      <c r="AJ5484">
        <v>97.804080332093605</v>
      </c>
      <c r="AK5484">
        <v>22.327614266481401</v>
      </c>
      <c r="AL5484">
        <v>90.717355584952003</v>
      </c>
      <c r="AM5484">
        <v>88.9495641862773</v>
      </c>
      <c r="AN5484">
        <v>1.0000000187928899</v>
      </c>
    </row>
    <row r="5485" spans="1:40" x14ac:dyDescent="0.25">
      <c r="A5485" t="str">
        <f>"20190312154946576"</f>
        <v>20190312154946576</v>
      </c>
      <c r="B5485" t="str">
        <f>"1552376986571672"</f>
        <v>1552376986571672</v>
      </c>
      <c r="C5485" t="s">
        <v>40</v>
      </c>
      <c r="D5485">
        <v>4.4451929999999997</v>
      </c>
      <c r="E5485">
        <v>0.44240259999999998</v>
      </c>
      <c r="F5485" t="s">
        <v>42</v>
      </c>
      <c r="G5485">
        <v>-392.16770000000002</v>
      </c>
      <c r="H5485" s="1">
        <v>-4.6595110000000001E-6</v>
      </c>
      <c r="I5485">
        <v>14.1105</v>
      </c>
      <c r="J5485">
        <v>-410.79480000000001</v>
      </c>
      <c r="K5485">
        <v>1.1113409999999999</v>
      </c>
      <c r="L5485">
        <v>26.38617</v>
      </c>
      <c r="M5485">
        <v>0.75329699999999999</v>
      </c>
      <c r="N5485">
        <v>0</v>
      </c>
      <c r="O5485">
        <v>-0.65763179999999999</v>
      </c>
      <c r="P5485">
        <v>0.74053459999999904</v>
      </c>
      <c r="Q5485">
        <v>-2.0891739999999999E-2</v>
      </c>
      <c r="R5485">
        <v>-0.67169369999999995</v>
      </c>
      <c r="S5485">
        <v>2.5322879999999999</v>
      </c>
      <c r="T5485">
        <v>-0.15043599999999999</v>
      </c>
      <c r="U5485">
        <v>-1.67077599999999</v>
      </c>
      <c r="V5485">
        <v>1.9052449999999999E-2</v>
      </c>
      <c r="W5485">
        <v>-1.2768180000000001E-2</v>
      </c>
      <c r="X5485">
        <v>0.99973699999999999</v>
      </c>
      <c r="Y5485">
        <v>-0.13329240000000001</v>
      </c>
      <c r="Z5485">
        <v>3.5081479999999998E-2</v>
      </c>
      <c r="AA5485">
        <v>0.99045570000000005</v>
      </c>
      <c r="AB5485">
        <v>20</v>
      </c>
      <c r="AC5485">
        <v>18.627099999999899</v>
      </c>
      <c r="AD5485">
        <v>-1.1113456595109901</v>
      </c>
      <c r="AE5485">
        <v>-12.27567</v>
      </c>
      <c r="AF5485">
        <v>-2.9952105928888599</v>
      </c>
      <c r="AG5485">
        <v>-1.1113456595109901</v>
      </c>
      <c r="AH5485">
        <v>22.050592483395999</v>
      </c>
      <c r="AI5485">
        <v>92.859043990236003</v>
      </c>
      <c r="AJ5485">
        <v>97.735347504640899</v>
      </c>
      <c r="AK5485">
        <v>22.280821451182302</v>
      </c>
      <c r="AL5485">
        <v>90.731582671416504</v>
      </c>
      <c r="AM5485">
        <v>88.908220013305197</v>
      </c>
      <c r="AN5485">
        <v>1.00000004572025</v>
      </c>
    </row>
    <row r="5486" spans="1:40" x14ac:dyDescent="0.25">
      <c r="A5486" t="str">
        <f>"20190312154946589"</f>
        <v>20190312154946589</v>
      </c>
      <c r="B5486" t="str">
        <f>"1552376986581432"</f>
        <v>1552376986581432</v>
      </c>
      <c r="C5486" t="s">
        <v>40</v>
      </c>
      <c r="D5486">
        <v>4.4633459999999996</v>
      </c>
      <c r="E5486">
        <v>0.44273030000000002</v>
      </c>
      <c r="F5486" t="s">
        <v>42</v>
      </c>
      <c r="G5486">
        <v>-391.85730000000001</v>
      </c>
      <c r="H5486" s="1">
        <v>-4.8454850000000002E-6</v>
      </c>
      <c r="I5486">
        <v>13.889150000000001</v>
      </c>
      <c r="J5486">
        <v>-410.70859999999999</v>
      </c>
      <c r="K5486">
        <v>1.1113470000000001</v>
      </c>
      <c r="L5486">
        <v>26.313960000000002</v>
      </c>
      <c r="M5486">
        <v>0.75474730000000001</v>
      </c>
      <c r="N5486">
        <v>0</v>
      </c>
      <c r="O5486">
        <v>-0.65596880000000002</v>
      </c>
      <c r="P5486">
        <v>0.74158659999999998</v>
      </c>
      <c r="Q5486">
        <v>-2.1051810000000001E-2</v>
      </c>
      <c r="R5486">
        <v>-0.67052769999999995</v>
      </c>
      <c r="S5486">
        <v>2.531647</v>
      </c>
      <c r="T5486">
        <v>-0.14856929999999999</v>
      </c>
      <c r="U5486">
        <v>-1.6706540000000001</v>
      </c>
      <c r="V5486">
        <v>1.9690099999999999E-2</v>
      </c>
      <c r="W5486">
        <v>-1.3079850000000001E-2</v>
      </c>
      <c r="X5486">
        <v>0.99972059999999996</v>
      </c>
      <c r="Y5486">
        <v>-0.1310453</v>
      </c>
      <c r="Z5486">
        <v>3.4535049999999998E-2</v>
      </c>
      <c r="AA5486">
        <v>0.99077470000000001</v>
      </c>
      <c r="AB5486">
        <v>20</v>
      </c>
      <c r="AC5486">
        <v>18.851299999999899</v>
      </c>
      <c r="AD5486">
        <v>-1.11135184548499</v>
      </c>
      <c r="AE5486">
        <v>-12.4248099999999</v>
      </c>
      <c r="AF5486">
        <v>-2.9811414351083201</v>
      </c>
      <c r="AG5486">
        <v>-1.11135184548499</v>
      </c>
      <c r="AH5486">
        <v>22.324850594308799</v>
      </c>
      <c r="AI5486">
        <v>92.824851418890205</v>
      </c>
      <c r="AJ5486">
        <v>97.605977005973699</v>
      </c>
      <c r="AK5486">
        <v>22.5504159881541</v>
      </c>
      <c r="AL5486">
        <v>90.749441549385494</v>
      </c>
      <c r="AM5486">
        <v>88.871670960080607</v>
      </c>
      <c r="AN5486">
        <v>1.00000003028919</v>
      </c>
    </row>
    <row r="5487" spans="1:40" x14ac:dyDescent="0.25">
      <c r="A5487" t="str">
        <f>"20190312154946599"</f>
        <v>20190312154946599</v>
      </c>
      <c r="B5487" t="str">
        <f>"1552376986591192"</f>
        <v>1552376986591192</v>
      </c>
      <c r="C5487" t="s">
        <v>40</v>
      </c>
      <c r="D5487">
        <v>4.4587300000000001</v>
      </c>
      <c r="E5487">
        <v>0.4430444</v>
      </c>
      <c r="F5487" t="s">
        <v>42</v>
      </c>
      <c r="G5487">
        <v>-391.94799999999998</v>
      </c>
      <c r="H5487" s="1">
        <v>-4.7911590000000003E-6</v>
      </c>
      <c r="I5487">
        <v>13.953720000000001</v>
      </c>
      <c r="J5487">
        <v>-410.63010000000003</v>
      </c>
      <c r="K5487">
        <v>1.1113569999999999</v>
      </c>
      <c r="L5487">
        <v>26.248719999999999</v>
      </c>
      <c r="M5487">
        <v>0.75606419999999996</v>
      </c>
      <c r="N5487">
        <v>0</v>
      </c>
      <c r="O5487">
        <v>-0.65445200000000003</v>
      </c>
      <c r="P5487">
        <v>0.74274059999999997</v>
      </c>
      <c r="Q5487">
        <v>-2.1040489999999998E-2</v>
      </c>
      <c r="R5487">
        <v>-0.66924919999999899</v>
      </c>
      <c r="S5487">
        <v>2.5325009999999999</v>
      </c>
      <c r="T5487">
        <v>-0.15002209999999999</v>
      </c>
      <c r="U5487">
        <v>-1.6685179999999999</v>
      </c>
      <c r="V5487">
        <v>1.997757E-2</v>
      </c>
      <c r="W5487">
        <v>-1.3196640000000001E-2</v>
      </c>
      <c r="X5487">
        <v>0.99971339999999997</v>
      </c>
      <c r="Y5487">
        <v>-0.12977749999999999</v>
      </c>
      <c r="Z5487">
        <v>3.4782819999999999E-2</v>
      </c>
      <c r="AA5487">
        <v>0.99093290000000001</v>
      </c>
      <c r="AB5487">
        <v>20</v>
      </c>
      <c r="AC5487">
        <v>18.682099999999899</v>
      </c>
      <c r="AD5487">
        <v>-1.1113617911589999</v>
      </c>
      <c r="AE5487">
        <v>-12.295</v>
      </c>
      <c r="AF5487">
        <v>-2.9235962697798898</v>
      </c>
      <c r="AG5487">
        <v>-1.1113617911589999</v>
      </c>
      <c r="AH5487">
        <v>22.117399031807999</v>
      </c>
      <c r="AI5487">
        <v>92.851830751678605</v>
      </c>
      <c r="AJ5487">
        <v>97.530008327308906</v>
      </c>
      <c r="AK5487">
        <v>22.337454647110999</v>
      </c>
      <c r="AL5487">
        <v>90.756133672079002</v>
      </c>
      <c r="AM5487">
        <v>88.855193778699899</v>
      </c>
      <c r="AN5487">
        <v>1.0000000683749699</v>
      </c>
    </row>
    <row r="5488" spans="1:40" x14ac:dyDescent="0.25">
      <c r="A5488" t="str">
        <f>"20190312154946610"</f>
        <v>20190312154946610</v>
      </c>
      <c r="B5488" t="str">
        <f>"1552376986601928"</f>
        <v>1552376986601928</v>
      </c>
      <c r="C5488" t="s">
        <v>40</v>
      </c>
      <c r="D5488">
        <v>4.4511139999999996</v>
      </c>
      <c r="E5488">
        <v>0.44334970000000001</v>
      </c>
      <c r="F5488" t="s">
        <v>42</v>
      </c>
      <c r="G5488">
        <v>-391.91809999999998</v>
      </c>
      <c r="H5488" s="1">
        <v>-4.8071530000000001E-6</v>
      </c>
      <c r="I5488">
        <v>13.94322</v>
      </c>
      <c r="J5488">
        <v>-410.55549999999999</v>
      </c>
      <c r="K5488">
        <v>1.11137</v>
      </c>
      <c r="L5488">
        <v>26.186800000000002</v>
      </c>
      <c r="M5488">
        <v>0.75731879999999996</v>
      </c>
      <c r="N5488">
        <v>0</v>
      </c>
      <c r="O5488">
        <v>-0.6530011</v>
      </c>
      <c r="P5488">
        <v>0.74371869999999995</v>
      </c>
      <c r="Q5488">
        <v>-2.0858539999999998E-2</v>
      </c>
      <c r="R5488">
        <v>-0.66816739999999997</v>
      </c>
      <c r="S5488">
        <v>2.533569</v>
      </c>
      <c r="T5488">
        <v>-0.150476</v>
      </c>
      <c r="U5488">
        <v>-1.6661379999999999</v>
      </c>
      <c r="V5488">
        <v>2.0437110000000001E-2</v>
      </c>
      <c r="W5488">
        <v>-1.312663E-2</v>
      </c>
      <c r="X5488">
        <v>0.99970499999999995</v>
      </c>
      <c r="Y5488">
        <v>-0.12871459999999901</v>
      </c>
      <c r="Z5488">
        <v>3.4804549999999997E-2</v>
      </c>
      <c r="AA5488">
        <v>0.99107069999999997</v>
      </c>
      <c r="AB5488">
        <v>20</v>
      </c>
      <c r="AC5488">
        <v>18.6374</v>
      </c>
      <c r="AD5488">
        <v>-1.1113748071529901</v>
      </c>
      <c r="AE5488">
        <v>-12.24358</v>
      </c>
      <c r="AF5488">
        <v>-2.89085246454448</v>
      </c>
      <c r="AG5488">
        <v>-1.1113748071529901</v>
      </c>
      <c r="AH5488">
        <v>22.0553795660012</v>
      </c>
      <c r="AI5488">
        <v>92.860281367559395</v>
      </c>
      <c r="AJ5488">
        <v>97.467329051446001</v>
      </c>
      <c r="AK5488">
        <v>22.271774732475201</v>
      </c>
      <c r="AL5488">
        <v>90.752122072112599</v>
      </c>
      <c r="AM5488">
        <v>88.828857446947495</v>
      </c>
      <c r="AN5488">
        <v>1.0000000354526499</v>
      </c>
    </row>
    <row r="5489" spans="1:40" x14ac:dyDescent="0.25">
      <c r="A5489" t="str">
        <f>"20190312154946622"</f>
        <v>20190312154946622</v>
      </c>
      <c r="B5489" t="str">
        <f>"1552376986611688"</f>
        <v>1552376986611688</v>
      </c>
      <c r="C5489" t="s">
        <v>40</v>
      </c>
      <c r="D5489">
        <v>4.5233220000000003</v>
      </c>
      <c r="E5489">
        <v>0.44356469999999998</v>
      </c>
      <c r="F5489" t="s">
        <v>42</v>
      </c>
      <c r="G5489">
        <v>-391.86669999999998</v>
      </c>
      <c r="H5489" s="1">
        <v>-4.83617E-6</v>
      </c>
      <c r="I5489">
        <v>13.916639999999999</v>
      </c>
      <c r="J5489">
        <v>-410.46980000000002</v>
      </c>
      <c r="K5489">
        <v>1.1113869999999999</v>
      </c>
      <c r="L5489">
        <v>26.116029999999999</v>
      </c>
      <c r="M5489">
        <v>0.75875649999999994</v>
      </c>
      <c r="N5489">
        <v>0</v>
      </c>
      <c r="O5489">
        <v>-0.6513312</v>
      </c>
      <c r="P5489">
        <v>0.74484349999999999</v>
      </c>
      <c r="Q5489">
        <v>-2.0854709999999999E-2</v>
      </c>
      <c r="R5489">
        <v>-0.6669136</v>
      </c>
      <c r="S5489">
        <v>2.5345460000000002</v>
      </c>
      <c r="T5489">
        <v>-0.1507232</v>
      </c>
      <c r="U5489">
        <v>-1.6640630000000001</v>
      </c>
      <c r="V5489">
        <v>2.095733E-2</v>
      </c>
      <c r="W5489">
        <v>-1.32411E-2</v>
      </c>
      <c r="X5489">
        <v>0.99969269999999999</v>
      </c>
      <c r="Y5489">
        <v>-0.12727140000000001</v>
      </c>
      <c r="Z5489">
        <v>3.4759499999999999E-2</v>
      </c>
      <c r="AA5489">
        <v>0.99125870000000005</v>
      </c>
      <c r="AB5489">
        <v>21</v>
      </c>
      <c r="AC5489">
        <v>18.603100000000001</v>
      </c>
      <c r="AD5489">
        <v>-1.1113918361699999</v>
      </c>
      <c r="AE5489">
        <v>-12.199389999999999</v>
      </c>
      <c r="AF5489">
        <v>-2.8533718720197601</v>
      </c>
      <c r="AG5489">
        <v>-1.1113918361699999</v>
      </c>
      <c r="AH5489">
        <v>22.006761441730699</v>
      </c>
      <c r="AI5489">
        <v>92.867152343509204</v>
      </c>
      <c r="AJ5489">
        <v>97.387690938782498</v>
      </c>
      <c r="AK5489">
        <v>22.218786465664301</v>
      </c>
      <c r="AL5489">
        <v>90.758681305030194</v>
      </c>
      <c r="AM5489">
        <v>88.799040244027907</v>
      </c>
      <c r="AN5489">
        <v>1.00000001542161</v>
      </c>
    </row>
    <row r="5490" spans="1:40" x14ac:dyDescent="0.25">
      <c r="A5490" t="str">
        <f>"20190312154946636"</f>
        <v>20190312154946636</v>
      </c>
      <c r="B5490" t="str">
        <f>"1552376986621451"</f>
        <v>1552376986621451</v>
      </c>
      <c r="C5490" t="s">
        <v>40</v>
      </c>
      <c r="D5490">
        <v>4.5235190000000003</v>
      </c>
      <c r="E5490">
        <v>0.443745</v>
      </c>
      <c r="F5490" t="s">
        <v>42</v>
      </c>
      <c r="G5490">
        <v>-391.80540000000002</v>
      </c>
      <c r="H5490" s="1">
        <v>-4.8696220000000001E-6</v>
      </c>
      <c r="I5490">
        <v>13.89134</v>
      </c>
      <c r="J5490">
        <v>-410.37810000000002</v>
      </c>
      <c r="K5490">
        <v>1.11141</v>
      </c>
      <c r="L5490">
        <v>26.04074</v>
      </c>
      <c r="M5490">
        <v>0.76029910000000001</v>
      </c>
      <c r="N5490">
        <v>0</v>
      </c>
      <c r="O5490">
        <v>-0.64953139999999998</v>
      </c>
      <c r="P5490">
        <v>0.74617290000000003</v>
      </c>
      <c r="Q5490">
        <v>-2.0765639999999998E-2</v>
      </c>
      <c r="R5490">
        <v>-0.66542869999999998</v>
      </c>
      <c r="S5490">
        <v>2.536133</v>
      </c>
      <c r="T5490">
        <v>-0.15101709999999999</v>
      </c>
      <c r="U5490">
        <v>-1.6611020000000001</v>
      </c>
      <c r="V5490">
        <v>2.1335360000000001E-2</v>
      </c>
      <c r="W5490">
        <v>-1.326287E-2</v>
      </c>
      <c r="X5490">
        <v>0.99968440000000003</v>
      </c>
      <c r="Y5490">
        <v>-0.12601370000000001</v>
      </c>
      <c r="Z5490">
        <v>3.4721799999999997E-2</v>
      </c>
      <c r="AA5490">
        <v>0.99142070000000004</v>
      </c>
      <c r="AB5490">
        <v>21</v>
      </c>
      <c r="AC5490">
        <v>18.572700000000001</v>
      </c>
      <c r="AD5490">
        <v>-1.1114148696220001</v>
      </c>
      <c r="AE5490">
        <v>-12.1494</v>
      </c>
      <c r="AF5490">
        <v>-2.8193800538967602</v>
      </c>
      <c r="AG5490">
        <v>-1.1114148696220001</v>
      </c>
      <c r="AH5490">
        <v>21.957754396208099</v>
      </c>
      <c r="AI5490">
        <v>92.874058534692495</v>
      </c>
      <c r="AJ5490">
        <v>97.316755310480403</v>
      </c>
      <c r="AK5490">
        <v>22.165900049962399</v>
      </c>
      <c r="AL5490">
        <v>90.759928755044498</v>
      </c>
      <c r="AM5490">
        <v>88.777373604943705</v>
      </c>
      <c r="AN5490">
        <v>1.0000000004551599</v>
      </c>
    </row>
    <row r="5491" spans="1:40" x14ac:dyDescent="0.25">
      <c r="A5491" t="str">
        <f>"20190312154946647"</f>
        <v>20190312154946647</v>
      </c>
      <c r="B5491" t="str">
        <f>"1552376986640968"</f>
        <v>1552376986640968</v>
      </c>
      <c r="C5491" t="s">
        <v>40</v>
      </c>
      <c r="D5491">
        <v>4.4981210000000003</v>
      </c>
      <c r="E5491">
        <v>0.4441696</v>
      </c>
      <c r="F5491" t="s">
        <v>42</v>
      </c>
      <c r="G5491">
        <v>-391.6397</v>
      </c>
      <c r="H5491" s="1">
        <v>-4.9628729999999998E-6</v>
      </c>
      <c r="I5491">
        <v>13.80725</v>
      </c>
      <c r="J5491">
        <v>-410.291</v>
      </c>
      <c r="K5491">
        <v>1.111437</v>
      </c>
      <c r="L5491">
        <v>25.969480000000001</v>
      </c>
      <c r="M5491">
        <v>0.76176379999999999</v>
      </c>
      <c r="N5491">
        <v>0</v>
      </c>
      <c r="O5491">
        <v>-0.64781390000000005</v>
      </c>
      <c r="P5491">
        <v>0.74756959999999995</v>
      </c>
      <c r="Q5491">
        <v>-2.084921E-2</v>
      </c>
      <c r="R5491">
        <v>-0.66385629999999995</v>
      </c>
      <c r="S5491">
        <v>2.5384220000000002</v>
      </c>
      <c r="T5491">
        <v>-0.15055940000000001</v>
      </c>
      <c r="U5491">
        <v>-1.657227</v>
      </c>
      <c r="V5491">
        <v>2.1490970000000002E-2</v>
      </c>
      <c r="W5491">
        <v>-1.344536E-2</v>
      </c>
      <c r="X5491">
        <v>0.99967859999999997</v>
      </c>
      <c r="Y5491">
        <v>-0.12525169999999999</v>
      </c>
      <c r="Z5491">
        <v>3.4523909999999998E-2</v>
      </c>
      <c r="AA5491">
        <v>0.99152419999999997</v>
      </c>
      <c r="AB5491">
        <v>21</v>
      </c>
      <c r="AC5491">
        <v>18.6512999999999</v>
      </c>
      <c r="AD5491">
        <v>-1.1114419628729999</v>
      </c>
      <c r="AE5491">
        <v>-12.1622299999999</v>
      </c>
      <c r="AF5491">
        <v>-2.8108960408278798</v>
      </c>
      <c r="AG5491">
        <v>-1.1114419628729999</v>
      </c>
      <c r="AH5491">
        <v>22.032437228620299</v>
      </c>
      <c r="AI5491">
        <v>92.864697776879794</v>
      </c>
      <c r="AJ5491">
        <v>97.270512855399801</v>
      </c>
      <c r="AK5491">
        <v>22.238811344635099</v>
      </c>
      <c r="AL5491">
        <v>90.770385616682603</v>
      </c>
      <c r="AM5491">
        <v>88.768451941064598</v>
      </c>
      <c r="AN5491">
        <v>0.99999997139751395</v>
      </c>
    </row>
    <row r="5492" spans="1:40" x14ac:dyDescent="0.25">
      <c r="A5492" t="str">
        <f>"20190312154946661"</f>
        <v>20190312154946661</v>
      </c>
      <c r="B5492" t="str">
        <f>"1552376986651704"</f>
        <v>1552376986651704</v>
      </c>
      <c r="C5492" t="s">
        <v>40</v>
      </c>
      <c r="D5492">
        <v>4.534497</v>
      </c>
      <c r="E5492">
        <v>0.44435780000000002</v>
      </c>
      <c r="F5492" t="s">
        <v>42</v>
      </c>
      <c r="G5492">
        <v>-391.61369999999999</v>
      </c>
      <c r="H5492" s="1">
        <v>-4.9757529999999996E-6</v>
      </c>
      <c r="I5492">
        <v>13.803929999999999</v>
      </c>
      <c r="J5492">
        <v>-410.1986</v>
      </c>
      <c r="K5492">
        <v>1.1114569999999999</v>
      </c>
      <c r="L5492">
        <v>25.894380000000002</v>
      </c>
      <c r="M5492">
        <v>0.7633238</v>
      </c>
      <c r="N5492">
        <v>0</v>
      </c>
      <c r="O5492">
        <v>-0.6459762</v>
      </c>
      <c r="P5492">
        <v>0.74890950000000001</v>
      </c>
      <c r="Q5492">
        <v>-2.1079839999999999E-2</v>
      </c>
      <c r="R5492">
        <v>-0.66233739999999997</v>
      </c>
      <c r="S5492">
        <v>2.5397340000000002</v>
      </c>
      <c r="T5492">
        <v>-0.151133399999999</v>
      </c>
      <c r="U5492">
        <v>-1.654266</v>
      </c>
      <c r="V5492">
        <v>2.1878040000000001E-2</v>
      </c>
      <c r="W5492">
        <v>-1.376549E-2</v>
      </c>
      <c r="X5492">
        <v>0.9996659</v>
      </c>
      <c r="Y5492">
        <v>-0.123902399999999</v>
      </c>
      <c r="Z5492">
        <v>3.4548599999999999E-2</v>
      </c>
      <c r="AA5492">
        <v>0.99169280000000004</v>
      </c>
      <c r="AB5492">
        <v>21</v>
      </c>
      <c r="AC5492">
        <v>18.584900000000001</v>
      </c>
      <c r="AD5492">
        <v>-1.111461975753</v>
      </c>
      <c r="AE5492">
        <v>-12.090450000000001</v>
      </c>
      <c r="AF5492">
        <v>-2.7695863274424699</v>
      </c>
      <c r="AG5492">
        <v>-1.111461975753</v>
      </c>
      <c r="AH5492">
        <v>21.941865636718301</v>
      </c>
      <c r="AI5492">
        <v>92.877040955319401</v>
      </c>
      <c r="AJ5492">
        <v>97.194047462000697</v>
      </c>
      <c r="AK5492">
        <v>22.1438800522515</v>
      </c>
      <c r="AL5492">
        <v>90.788729371172707</v>
      </c>
      <c r="AM5492">
        <v>88.746261844717907</v>
      </c>
      <c r="AN5492">
        <v>1.0000000244859899</v>
      </c>
    </row>
    <row r="5493" spans="1:40" x14ac:dyDescent="0.25">
      <c r="A5493" t="str">
        <f>"20190312154946677"</f>
        <v>20190312154946677</v>
      </c>
      <c r="B5493" t="str">
        <f>"1552376986671225"</f>
        <v>1552376986671225</v>
      </c>
      <c r="C5493" t="s">
        <v>40</v>
      </c>
      <c r="D5493">
        <v>4.5481429999999996</v>
      </c>
      <c r="E5493">
        <v>0.44479730000000001</v>
      </c>
      <c r="F5493" t="s">
        <v>42</v>
      </c>
      <c r="G5493">
        <v>-391.59309999999999</v>
      </c>
      <c r="H5493" s="1">
        <v>-4.9831310000000004E-6</v>
      </c>
      <c r="I5493">
        <v>13.817130000000001</v>
      </c>
      <c r="J5493">
        <v>-410.08479999999997</v>
      </c>
      <c r="K5493">
        <v>1.111491</v>
      </c>
      <c r="L5493">
        <v>25.802340000000001</v>
      </c>
      <c r="M5493">
        <v>0.7652525</v>
      </c>
      <c r="N5493">
        <v>0</v>
      </c>
      <c r="O5493">
        <v>-0.64369129999999997</v>
      </c>
      <c r="P5493">
        <v>0.75046179999999996</v>
      </c>
      <c r="Q5493">
        <v>-2.1069290000000001E-2</v>
      </c>
      <c r="R5493">
        <v>-0.66057819999999901</v>
      </c>
      <c r="S5493">
        <v>2.5421140000000002</v>
      </c>
      <c r="T5493">
        <v>-0.15186189999999999</v>
      </c>
      <c r="U5493">
        <v>-1.6501459999999999</v>
      </c>
      <c r="V5493">
        <v>2.2523359999999999E-2</v>
      </c>
      <c r="W5493">
        <v>-1.3849169999999999E-2</v>
      </c>
      <c r="X5493">
        <v>0.99965040000000005</v>
      </c>
      <c r="Y5493">
        <v>-0.12248589999999999</v>
      </c>
      <c r="Z5493">
        <v>3.4581889999999997E-2</v>
      </c>
      <c r="AA5493">
        <v>0.99186759999999996</v>
      </c>
      <c r="AB5493">
        <v>21</v>
      </c>
      <c r="AC5493">
        <v>18.491699999999899</v>
      </c>
      <c r="AD5493">
        <v>-1.1114959831309901</v>
      </c>
      <c r="AE5493">
        <v>-11.98521</v>
      </c>
      <c r="AF5493">
        <v>-2.7243716572355399</v>
      </c>
      <c r="AG5493">
        <v>-1.1114959831309901</v>
      </c>
      <c r="AH5493">
        <v>21.810652846596</v>
      </c>
      <c r="AI5493">
        <v>92.894877564040897</v>
      </c>
      <c r="AJ5493">
        <v>97.119946791250399</v>
      </c>
      <c r="AK5493">
        <v>22.008230320541301</v>
      </c>
      <c r="AL5493">
        <v>90.793524349086795</v>
      </c>
      <c r="AM5493">
        <v>88.709273602964103</v>
      </c>
      <c r="AN5493">
        <v>1.0000000117377601</v>
      </c>
    </row>
    <row r="5494" spans="1:40" x14ac:dyDescent="0.25">
      <c r="A5494" t="str">
        <f>"20190312154946689"</f>
        <v>20190312154946689</v>
      </c>
      <c r="B5494" t="str">
        <f>"1552376986680985"</f>
        <v>1552376986680985</v>
      </c>
      <c r="C5494" t="s">
        <v>40</v>
      </c>
      <c r="D5494">
        <v>4.5324629999999999</v>
      </c>
      <c r="E5494">
        <v>0.44498009999999899</v>
      </c>
      <c r="F5494" t="s">
        <v>42</v>
      </c>
      <c r="G5494">
        <v>-391.56360000000001</v>
      </c>
      <c r="H5494" s="1">
        <v>-4.9979409999999997E-6</v>
      </c>
      <c r="I5494">
        <v>13.81245</v>
      </c>
      <c r="J5494">
        <v>-409.99220000000003</v>
      </c>
      <c r="K5494">
        <v>1.111526</v>
      </c>
      <c r="L5494">
        <v>25.727910000000001</v>
      </c>
      <c r="M5494">
        <v>0.76682359999999905</v>
      </c>
      <c r="N5494">
        <v>0</v>
      </c>
      <c r="O5494">
        <v>-0.64181960000000005</v>
      </c>
      <c r="P5494">
        <v>0.75186319999999995</v>
      </c>
      <c r="Q5494">
        <v>-2.1529489999999998E-2</v>
      </c>
      <c r="R5494">
        <v>-0.65896779999999999</v>
      </c>
      <c r="S5494">
        <v>2.5437620000000001</v>
      </c>
      <c r="T5494">
        <v>-0.15265629999999999</v>
      </c>
      <c r="U5494">
        <v>-1.6467290000000001</v>
      </c>
      <c r="V5494">
        <v>2.2835850000000001E-2</v>
      </c>
      <c r="W5494">
        <v>-1.437626E-2</v>
      </c>
      <c r="X5494">
        <v>0.99963590000000002</v>
      </c>
      <c r="Y5494">
        <v>-0.12128709999999999</v>
      </c>
      <c r="Z5494">
        <v>3.4655209999999999E-2</v>
      </c>
      <c r="AA5494">
        <v>0.99201229999999996</v>
      </c>
      <c r="AB5494">
        <v>21</v>
      </c>
      <c r="AC5494">
        <v>18.428599999999999</v>
      </c>
      <c r="AD5494">
        <v>-1.111530997941</v>
      </c>
      <c r="AE5494">
        <v>-11.915459999999999</v>
      </c>
      <c r="AF5494">
        <v>-2.6839613183822402</v>
      </c>
      <c r="AG5494">
        <v>-1.111530997941</v>
      </c>
      <c r="AH5494">
        <v>21.723865004623001</v>
      </c>
      <c r="AI5494">
        <v>92.906997566643795</v>
      </c>
      <c r="AJ5494">
        <v>97.043143381064496</v>
      </c>
      <c r="AK5494">
        <v>21.917241164367301</v>
      </c>
      <c r="AL5494">
        <v>90.823727363872706</v>
      </c>
      <c r="AM5494">
        <v>88.691353222291795</v>
      </c>
      <c r="AN5494">
        <v>1.0000000427328</v>
      </c>
    </row>
    <row r="5495" spans="1:40" x14ac:dyDescent="0.25">
      <c r="A5495" t="str">
        <f>"20190312154946701"</f>
        <v>20190312154946701</v>
      </c>
      <c r="B5495" t="str">
        <f>"1552376986691720"</f>
        <v>1552376986691720</v>
      </c>
      <c r="C5495" t="s">
        <v>40</v>
      </c>
      <c r="D5495">
        <v>4.5632729999999997</v>
      </c>
      <c r="E5495">
        <v>0.44520609999999999</v>
      </c>
      <c r="F5495" t="s">
        <v>42</v>
      </c>
      <c r="G5495">
        <v>-391.67469999999997</v>
      </c>
      <c r="H5495" s="1">
        <v>-4.9276010000000003E-6</v>
      </c>
      <c r="I5495">
        <v>13.912660000000001</v>
      </c>
      <c r="J5495">
        <v>-409.90249999999997</v>
      </c>
      <c r="K5495">
        <v>1.111556</v>
      </c>
      <c r="L5495">
        <v>25.656189999999999</v>
      </c>
      <c r="M5495">
        <v>0.76835200000000003</v>
      </c>
      <c r="N5495">
        <v>0</v>
      </c>
      <c r="O5495">
        <v>-0.63998959999999905</v>
      </c>
      <c r="P5495">
        <v>0.75346630000000003</v>
      </c>
      <c r="Q5495">
        <v>-2.1562169999999999E-2</v>
      </c>
      <c r="R5495">
        <v>-0.65713319999999997</v>
      </c>
      <c r="S5495">
        <v>2.5462039999999999</v>
      </c>
      <c r="T5495">
        <v>-0.15450720000000001</v>
      </c>
      <c r="U5495">
        <v>-1.6423650000000001</v>
      </c>
      <c r="V5495">
        <v>2.278498E-2</v>
      </c>
      <c r="W5495">
        <v>-1.4463200000000001E-2</v>
      </c>
      <c r="X5495">
        <v>0.99963579999999996</v>
      </c>
      <c r="Y5495">
        <v>-0.1205374</v>
      </c>
      <c r="Z5495">
        <v>3.4975020000000002E-2</v>
      </c>
      <c r="AA5495">
        <v>0.99209250000000004</v>
      </c>
      <c r="AB5495">
        <v>21</v>
      </c>
      <c r="AC5495">
        <v>18.227799999999998</v>
      </c>
      <c r="AD5495">
        <v>-1.1115609276009999</v>
      </c>
      <c r="AE5495">
        <v>-11.7435299999999</v>
      </c>
      <c r="AF5495">
        <v>-2.6355755968745198</v>
      </c>
      <c r="AG5495">
        <v>-1.1115609276009999</v>
      </c>
      <c r="AH5495">
        <v>21.465216109116501</v>
      </c>
      <c r="AI5495">
        <v>92.942316598027205</v>
      </c>
      <c r="AJ5495">
        <v>96.999943364392806</v>
      </c>
      <c r="AK5495">
        <v>21.6549608411949</v>
      </c>
      <c r="AL5495">
        <v>90.828709182224401</v>
      </c>
      <c r="AM5495">
        <v>88.694267272228302</v>
      </c>
      <c r="AN5495">
        <v>1.0000000360547301</v>
      </c>
    </row>
    <row r="5496" spans="1:40" x14ac:dyDescent="0.25">
      <c r="A5496" t="str">
        <f>"20190312154946714"</f>
        <v>20190312154946714</v>
      </c>
      <c r="B5496" t="str">
        <f>"1552376986701480"</f>
        <v>1552376986701480</v>
      </c>
      <c r="C5496" t="s">
        <v>40</v>
      </c>
      <c r="D5496">
        <v>4.543266</v>
      </c>
      <c r="E5496">
        <v>0.44547550000000002</v>
      </c>
      <c r="F5496" t="s">
        <v>42</v>
      </c>
      <c r="G5496">
        <v>-391.71030000000002</v>
      </c>
      <c r="H5496" s="1">
        <v>-4.9006829999999997E-6</v>
      </c>
      <c r="I5496">
        <v>13.969729999999901</v>
      </c>
      <c r="J5496">
        <v>-409.80810000000002</v>
      </c>
      <c r="K5496">
        <v>1.1115919999999999</v>
      </c>
      <c r="L5496">
        <v>25.58118</v>
      </c>
      <c r="M5496">
        <v>0.76996739999999997</v>
      </c>
      <c r="N5496">
        <v>0</v>
      </c>
      <c r="O5496">
        <v>-0.6380458</v>
      </c>
      <c r="P5496">
        <v>0.75493999999999895</v>
      </c>
      <c r="Q5496">
        <v>-2.1783319999999998E-2</v>
      </c>
      <c r="R5496">
        <v>-0.65543219999999902</v>
      </c>
      <c r="S5496">
        <v>2.5490110000000001</v>
      </c>
      <c r="T5496">
        <v>-0.15574669999999999</v>
      </c>
      <c r="U5496">
        <v>-1.637451</v>
      </c>
      <c r="V5496">
        <v>2.3064149999999999E-2</v>
      </c>
      <c r="W5496">
        <v>-1.472628E-2</v>
      </c>
      <c r="X5496">
        <v>0.99962549999999994</v>
      </c>
      <c r="Y5496">
        <v>-0.11986860000000001</v>
      </c>
      <c r="Z5496">
        <v>3.5150420000000002E-2</v>
      </c>
      <c r="AA5496">
        <v>0.99216729999999997</v>
      </c>
      <c r="AB5496">
        <v>21</v>
      </c>
      <c r="AC5496">
        <v>18.097799999999999</v>
      </c>
      <c r="AD5496">
        <v>-1.111596900683</v>
      </c>
      <c r="AE5496">
        <v>-11.61145</v>
      </c>
      <c r="AF5496">
        <v>-2.5999013235453101</v>
      </c>
      <c r="AG5496">
        <v>-1.111596900683</v>
      </c>
      <c r="AH5496">
        <v>21.286973137102802</v>
      </c>
      <c r="AI5496">
        <v>92.967237088218795</v>
      </c>
      <c r="AJ5496">
        <v>96.963377490898196</v>
      </c>
      <c r="AK5496">
        <v>21.473946071961699</v>
      </c>
      <c r="AL5496">
        <v>90.843784208915196</v>
      </c>
      <c r="AM5496">
        <v>88.678260978776393</v>
      </c>
      <c r="AN5496">
        <v>0.99999997929405504</v>
      </c>
    </row>
    <row r="5497" spans="1:40" x14ac:dyDescent="0.25">
      <c r="A5497" t="str">
        <f>"20190312154946726"</f>
        <v>20190312154946726</v>
      </c>
      <c r="B5497" t="str">
        <f>"1552376986721000"</f>
        <v>1552376986721000</v>
      </c>
      <c r="C5497" t="s">
        <v>40</v>
      </c>
      <c r="D5497">
        <v>4.5931379999999997</v>
      </c>
      <c r="E5497">
        <v>0.44592399999999999</v>
      </c>
      <c r="F5497" t="s">
        <v>42</v>
      </c>
      <c r="G5497">
        <v>-391.85469999999998</v>
      </c>
      <c r="H5497" s="1">
        <v>-4.8111270000000001E-6</v>
      </c>
      <c r="I5497">
        <v>14.089740000000001</v>
      </c>
      <c r="J5497">
        <v>-409.72089999999997</v>
      </c>
      <c r="K5497">
        <v>1.1116239999999999</v>
      </c>
      <c r="L5497">
        <v>25.51202</v>
      </c>
      <c r="M5497">
        <v>0.77146320000000002</v>
      </c>
      <c r="N5497">
        <v>0</v>
      </c>
      <c r="O5497">
        <v>-0.6362371</v>
      </c>
      <c r="P5497">
        <v>0.75646000000000002</v>
      </c>
      <c r="Q5497">
        <v>-2.1955160000000001E-2</v>
      </c>
      <c r="R5497">
        <v>-0.65367219999999904</v>
      </c>
      <c r="S5497">
        <v>2.5514220000000001</v>
      </c>
      <c r="T5497">
        <v>-0.15797269999999999</v>
      </c>
      <c r="U5497">
        <v>-1.633087</v>
      </c>
      <c r="V5497">
        <v>2.308756E-2</v>
      </c>
      <c r="W5497">
        <v>-1.4932000000000001E-2</v>
      </c>
      <c r="X5497">
        <v>0.99962189999999995</v>
      </c>
      <c r="Y5497">
        <v>-0.1191469</v>
      </c>
      <c r="Z5497">
        <v>3.5551529999999998E-2</v>
      </c>
      <c r="AA5497">
        <v>0.99224000000000001</v>
      </c>
      <c r="AB5497">
        <v>21</v>
      </c>
      <c r="AC5497">
        <v>17.8661999999999</v>
      </c>
      <c r="AD5497">
        <v>-1.1116288111269901</v>
      </c>
      <c r="AE5497">
        <v>-11.422280000000001</v>
      </c>
      <c r="AF5497">
        <v>-2.5483275433752302</v>
      </c>
      <c r="AG5497">
        <v>-1.1116288111269901</v>
      </c>
      <c r="AH5497">
        <v>20.993197055861302</v>
      </c>
      <c r="AI5497">
        <v>93.009040044495293</v>
      </c>
      <c r="AJ5497">
        <v>96.921172469911198</v>
      </c>
      <c r="AK5497">
        <v>21.1764967477691</v>
      </c>
      <c r="AL5497">
        <v>90.855572399808096</v>
      </c>
      <c r="AM5497">
        <v>88.676915133533797</v>
      </c>
      <c r="AN5497">
        <v>0.99999997150518105</v>
      </c>
    </row>
    <row r="5498" spans="1:40" x14ac:dyDescent="0.25">
      <c r="A5498" t="str">
        <f>"20190312154946738"</f>
        <v>20190312154946738</v>
      </c>
      <c r="B5498" t="str">
        <f>"1552376986731736"</f>
        <v>1552376986731736</v>
      </c>
      <c r="C5498" t="s">
        <v>40</v>
      </c>
      <c r="D5498">
        <v>4.6220150000000002</v>
      </c>
      <c r="E5498">
        <v>0.44592399999999999</v>
      </c>
      <c r="F5498" t="s">
        <v>42</v>
      </c>
      <c r="G5498">
        <v>-392.11020000000002</v>
      </c>
      <c r="H5498" s="1">
        <v>-4.6587680000000001E-6</v>
      </c>
      <c r="I5498">
        <v>14.2677</v>
      </c>
      <c r="J5498">
        <v>-409.6268</v>
      </c>
      <c r="K5498">
        <v>1.111667</v>
      </c>
      <c r="L5498">
        <v>25.438079999999999</v>
      </c>
      <c r="M5498">
        <v>0.77308679999999996</v>
      </c>
      <c r="N5498">
        <v>0</v>
      </c>
      <c r="O5498">
        <v>-0.63426319999999903</v>
      </c>
      <c r="P5498">
        <v>0.75808599999999904</v>
      </c>
      <c r="Q5498">
        <v>-2.2050799999999999E-2</v>
      </c>
      <c r="R5498">
        <v>-0.65178169999999902</v>
      </c>
      <c r="S5498">
        <v>2.5527340000000001</v>
      </c>
      <c r="T5498">
        <v>-0.16113540000000001</v>
      </c>
      <c r="U5498">
        <v>-1.6299129999999999</v>
      </c>
      <c r="V5498">
        <v>2.315147E-2</v>
      </c>
      <c r="W5498">
        <v>-1.5047980000000001E-2</v>
      </c>
      <c r="X5498">
        <v>0.99961869999999997</v>
      </c>
      <c r="Y5498">
        <v>-0.1176864</v>
      </c>
      <c r="Z5498">
        <v>3.6139119999999997E-2</v>
      </c>
      <c r="AA5498">
        <v>0.99239299999999997</v>
      </c>
      <c r="AB5498">
        <v>21</v>
      </c>
      <c r="AC5498">
        <v>17.516599999999901</v>
      </c>
      <c r="AD5498">
        <v>-1.111671658768</v>
      </c>
      <c r="AE5498">
        <v>-11.17038</v>
      </c>
      <c r="AF5498">
        <v>-2.4674545845038498</v>
      </c>
      <c r="AG5498">
        <v>-1.111671658768</v>
      </c>
      <c r="AH5498">
        <v>20.568404898371799</v>
      </c>
      <c r="AI5498">
        <v>93.071704661973399</v>
      </c>
      <c r="AJ5498">
        <v>96.840702852205496</v>
      </c>
      <c r="AK5498">
        <v>20.74568451671</v>
      </c>
      <c r="AL5498">
        <v>90.862218296281895</v>
      </c>
      <c r="AM5498">
        <v>88.673249687973197</v>
      </c>
      <c r="AN5498">
        <v>0.99999998882746499</v>
      </c>
    </row>
    <row r="5499" spans="1:40" x14ac:dyDescent="0.25">
      <c r="A5499" t="str">
        <f>"20190312154946755"</f>
        <v>20190312154946755</v>
      </c>
      <c r="B5499" t="str">
        <f>"1552376986751256"</f>
        <v>1552376986751256</v>
      </c>
      <c r="C5499" t="s">
        <v>40</v>
      </c>
      <c r="D5499">
        <v>4.6485050000000001</v>
      </c>
      <c r="E5499">
        <v>0.45440750000000002</v>
      </c>
      <c r="F5499" t="s">
        <v>42</v>
      </c>
      <c r="G5499">
        <v>-392.03050000000002</v>
      </c>
      <c r="H5499" s="1">
        <v>-4.6969849999999999E-6</v>
      </c>
      <c r="I5499">
        <v>14.26465</v>
      </c>
      <c r="J5499">
        <v>-409.50869999999998</v>
      </c>
      <c r="K5499">
        <v>1.11172</v>
      </c>
      <c r="L5499">
        <v>25.34573</v>
      </c>
      <c r="M5499">
        <v>0.77513240000000005</v>
      </c>
      <c r="N5499">
        <v>0</v>
      </c>
      <c r="O5499">
        <v>-0.63176160000000003</v>
      </c>
      <c r="P5499">
        <v>0.76032449999999996</v>
      </c>
      <c r="Q5499">
        <v>-2.182628E-2</v>
      </c>
      <c r="R5499">
        <v>-0.64917650000000005</v>
      </c>
      <c r="S5499">
        <v>2.5567929999999999</v>
      </c>
      <c r="T5499">
        <v>-0.16152939999999999</v>
      </c>
      <c r="U5499">
        <v>-1.623535</v>
      </c>
      <c r="V5499">
        <v>2.2948070000000001E-2</v>
      </c>
      <c r="W5499">
        <v>-1.4837629999999999E-2</v>
      </c>
      <c r="X5499">
        <v>0.99962649999999997</v>
      </c>
      <c r="Y5499">
        <v>-0.1169539</v>
      </c>
      <c r="Z5499">
        <v>3.6085270000000003E-2</v>
      </c>
      <c r="AA5499">
        <v>0.99248159999999996</v>
      </c>
      <c r="AB5499">
        <v>21</v>
      </c>
      <c r="AC5499">
        <v>17.478199999999902</v>
      </c>
      <c r="AD5499">
        <v>-1.1117246969850001</v>
      </c>
      <c r="AE5499">
        <v>-11.08108</v>
      </c>
      <c r="AF5499">
        <v>-2.4457511641640202</v>
      </c>
      <c r="AG5499">
        <v>-1.1117246969850001</v>
      </c>
      <c r="AH5499">
        <v>20.4898732510763</v>
      </c>
      <c r="AI5499">
        <v>93.083819410254804</v>
      </c>
      <c r="AJ5499">
        <v>96.806842189776503</v>
      </c>
      <c r="AK5499">
        <v>20.6652494880673</v>
      </c>
      <c r="AL5499">
        <v>90.850164812451197</v>
      </c>
      <c r="AM5499">
        <v>88.684912157381603</v>
      </c>
      <c r="AN5499">
        <v>0.99999995434149402</v>
      </c>
    </row>
    <row r="5500" spans="1:40" x14ac:dyDescent="0.25">
      <c r="A5500" t="str">
        <f>"20190312154946765"</f>
        <v>20190312154946765</v>
      </c>
      <c r="B5500" t="str">
        <f>"1552376986761017"</f>
        <v>1552376986761017</v>
      </c>
      <c r="C5500" t="s">
        <v>40</v>
      </c>
      <c r="D5500">
        <v>4.6658850000000003</v>
      </c>
      <c r="E5500">
        <v>0.45439230000000003</v>
      </c>
      <c r="F5500" t="s">
        <v>42</v>
      </c>
      <c r="G5500">
        <v>-397.10079999999999</v>
      </c>
      <c r="H5500" s="1">
        <v>-1.787697E-6</v>
      </c>
      <c r="I5500">
        <v>17.154150000000001</v>
      </c>
      <c r="J5500">
        <v>-409.42509999999999</v>
      </c>
      <c r="K5500">
        <v>1.1117589999999999</v>
      </c>
      <c r="L5500">
        <v>25.2807</v>
      </c>
      <c r="M5500">
        <v>0.77658260000000001</v>
      </c>
      <c r="N5500">
        <v>0</v>
      </c>
      <c r="O5500">
        <v>-0.6299785</v>
      </c>
      <c r="P5500">
        <v>0.76181549999999998</v>
      </c>
      <c r="Q5500">
        <v>-2.1716269999999999E-2</v>
      </c>
      <c r="R5500">
        <v>-0.64743019999999996</v>
      </c>
      <c r="S5500">
        <v>2.519196</v>
      </c>
      <c r="T5500">
        <v>-0.22571430000000001</v>
      </c>
      <c r="U5500">
        <v>-1.6631469999999999</v>
      </c>
      <c r="V5500">
        <v>2.2950390000000001E-2</v>
      </c>
      <c r="W5500">
        <v>-1.472978E-2</v>
      </c>
      <c r="X5500">
        <v>0.99962810000000002</v>
      </c>
      <c r="Y5500">
        <v>-9.6244629999999998E-2</v>
      </c>
      <c r="Z5500">
        <v>4.981199E-2</v>
      </c>
      <c r="AA5500">
        <v>0.99411050000000001</v>
      </c>
      <c r="AB5500">
        <v>21</v>
      </c>
      <c r="AC5500">
        <v>12.3242999999999</v>
      </c>
      <c r="AD5500">
        <v>-1.1117607876969999</v>
      </c>
      <c r="AE5500">
        <v>-8.1265499999999893</v>
      </c>
      <c r="AF5500">
        <v>-1.4449453409706901</v>
      </c>
      <c r="AG5500">
        <v>-1.1117607876969999</v>
      </c>
      <c r="AH5500">
        <v>14.6078803020848</v>
      </c>
      <c r="AI5500">
        <v>94.331159207076794</v>
      </c>
      <c r="AJ5500">
        <v>95.649062781161007</v>
      </c>
      <c r="AK5500">
        <v>14.7212107520913</v>
      </c>
      <c r="AL5500">
        <v>90.843984737818701</v>
      </c>
      <c r="AM5500">
        <v>88.684781355952794</v>
      </c>
      <c r="AN5500">
        <v>1.0000000125648001</v>
      </c>
    </row>
    <row r="5501" spans="1:40" x14ac:dyDescent="0.25">
      <c r="A5501" t="str">
        <f>"20190312154946775"</f>
        <v>20190312154946775</v>
      </c>
      <c r="B5501" t="str">
        <f>"1552376986771752"</f>
        <v>1552376986771752</v>
      </c>
      <c r="C5501" t="s">
        <v>40</v>
      </c>
      <c r="D5501">
        <v>4.6689730000000003</v>
      </c>
      <c r="E5501">
        <v>0.45449909999999999</v>
      </c>
      <c r="F5501" t="s">
        <v>42</v>
      </c>
      <c r="G5501">
        <v>-397.61259999999999</v>
      </c>
      <c r="H5501" s="1">
        <v>-1.4798039999999999E-6</v>
      </c>
      <c r="I5501">
        <v>17.525980000000001</v>
      </c>
      <c r="J5501">
        <v>-409.34930000000003</v>
      </c>
      <c r="K5501">
        <v>1.1117980000000001</v>
      </c>
      <c r="L5501">
        <v>25.222200000000001</v>
      </c>
      <c r="M5501">
        <v>0.77790700000000002</v>
      </c>
      <c r="N5501">
        <v>0</v>
      </c>
      <c r="O5501">
        <v>-0.62834219999999996</v>
      </c>
      <c r="P5501">
        <v>0.76343229999999995</v>
      </c>
      <c r="Q5501">
        <v>-2.154911E-2</v>
      </c>
      <c r="R5501">
        <v>-0.64552869999999996</v>
      </c>
      <c r="S5501">
        <v>2.5233759999999998</v>
      </c>
      <c r="T5501">
        <v>-0.23749300000000001</v>
      </c>
      <c r="U5501">
        <v>-1.656555</v>
      </c>
      <c r="V5501">
        <v>2.255917E-2</v>
      </c>
      <c r="W5501">
        <v>-1.4554889999999999E-2</v>
      </c>
      <c r="X5501">
        <v>0.99963959999999996</v>
      </c>
      <c r="Y5501">
        <v>-9.6547720000000004E-2</v>
      </c>
      <c r="Z5501">
        <v>5.2289040000000002E-2</v>
      </c>
      <c r="AA5501">
        <v>0.99395389999999995</v>
      </c>
      <c r="AB5501">
        <v>21</v>
      </c>
      <c r="AC5501">
        <v>11.736700000000001</v>
      </c>
      <c r="AD5501">
        <v>-1.1117994798040001</v>
      </c>
      <c r="AE5501">
        <v>-7.6962199999999896</v>
      </c>
      <c r="AF5501">
        <v>-1.37909884581885</v>
      </c>
      <c r="AG5501">
        <v>-1.1117994798040001</v>
      </c>
      <c r="AH5501">
        <v>13.879153303936899</v>
      </c>
      <c r="AI5501">
        <v>94.557590789865003</v>
      </c>
      <c r="AJ5501">
        <v>95.674555111354493</v>
      </c>
      <c r="AK5501">
        <v>13.9917442852568</v>
      </c>
      <c r="AL5501">
        <v>90.833963177285796</v>
      </c>
      <c r="AM5501">
        <v>88.707208204340503</v>
      </c>
      <c r="AN5501">
        <v>1.00000004543107</v>
      </c>
    </row>
    <row r="5502" spans="1:40" x14ac:dyDescent="0.25">
      <c r="A5502" t="str">
        <f>"20190312154946788"</f>
        <v>20190312154946788</v>
      </c>
      <c r="B5502" t="str">
        <f>"1552376986781512"</f>
        <v>1552376986781512</v>
      </c>
      <c r="C5502" t="s">
        <v>40</v>
      </c>
      <c r="D5502">
        <v>4.6686170000000002</v>
      </c>
      <c r="E5502">
        <v>0.45460519999999999</v>
      </c>
      <c r="F5502" t="s">
        <v>42</v>
      </c>
      <c r="G5502">
        <v>-397.822</v>
      </c>
      <c r="H5502" s="1">
        <v>-1.3511629999999999E-6</v>
      </c>
      <c r="I5502">
        <v>17.693169999999999</v>
      </c>
      <c r="J5502">
        <v>-409.26249999999999</v>
      </c>
      <c r="K5502">
        <v>1.1118410000000001</v>
      </c>
      <c r="L5502">
        <v>25.155360000000002</v>
      </c>
      <c r="M5502">
        <v>0.77942290000000003</v>
      </c>
      <c r="N5502">
        <v>0</v>
      </c>
      <c r="O5502">
        <v>-0.62646059999999903</v>
      </c>
      <c r="P5502">
        <v>0.76504969999999894</v>
      </c>
      <c r="Q5502">
        <v>-2.132647E-2</v>
      </c>
      <c r="R5502">
        <v>-0.64361829999999998</v>
      </c>
      <c r="S5502">
        <v>2.527069</v>
      </c>
      <c r="T5502">
        <v>-0.24373300000000001</v>
      </c>
      <c r="U5502">
        <v>-1.6505430000000001</v>
      </c>
      <c r="V5502">
        <v>2.247178E-2</v>
      </c>
      <c r="W5502">
        <v>-1.431814E-2</v>
      </c>
      <c r="X5502">
        <v>0.99964489999999995</v>
      </c>
      <c r="Y5502">
        <v>-9.6373799999999996E-2</v>
      </c>
      <c r="Z5502">
        <v>5.350953E-2</v>
      </c>
      <c r="AA5502">
        <v>0.99390579999999995</v>
      </c>
      <c r="AB5502">
        <v>21</v>
      </c>
      <c r="AC5502">
        <v>11.4405</v>
      </c>
      <c r="AD5502">
        <v>-1.111842351163</v>
      </c>
      <c r="AE5502">
        <v>-7.4621899999999997</v>
      </c>
      <c r="AF5502">
        <v>-1.34196078482355</v>
      </c>
      <c r="AG5502">
        <v>-1.111842351163</v>
      </c>
      <c r="AH5502">
        <v>13.502608330291901</v>
      </c>
      <c r="AI5502">
        <v>94.684300018415598</v>
      </c>
      <c r="AJ5502">
        <v>95.675720035344696</v>
      </c>
      <c r="AK5502">
        <v>13.614605535347399</v>
      </c>
      <c r="AL5502">
        <v>90.820397059993894</v>
      </c>
      <c r="AM5502">
        <v>88.712221373319494</v>
      </c>
      <c r="AN5502">
        <v>0.99999995806271802</v>
      </c>
    </row>
    <row r="5503" spans="1:40" x14ac:dyDescent="0.25">
      <c r="A5503" t="str">
        <f>"20190312154946799"</f>
        <v>20190312154946799</v>
      </c>
      <c r="B5503" t="str">
        <f>"1552376986791272"</f>
        <v>1552376986791272</v>
      </c>
      <c r="C5503" t="s">
        <v>40</v>
      </c>
      <c r="D5503">
        <v>4.621912</v>
      </c>
      <c r="E5503">
        <v>0.4547773</v>
      </c>
      <c r="F5503" t="s">
        <v>42</v>
      </c>
      <c r="G5503">
        <v>-397.98660000000001</v>
      </c>
      <c r="H5503" s="1">
        <v>-1.2495629999999999E-6</v>
      </c>
      <c r="I5503">
        <v>17.827289999999898</v>
      </c>
      <c r="J5503">
        <v>-409.17689999999999</v>
      </c>
      <c r="K5503">
        <v>1.1118840000000001</v>
      </c>
      <c r="L5503">
        <v>25.089939999999999</v>
      </c>
      <c r="M5503">
        <v>0.7809275</v>
      </c>
      <c r="N5503">
        <v>0</v>
      </c>
      <c r="O5503">
        <v>-0.62458369999999996</v>
      </c>
      <c r="P5503">
        <v>0.76668329999999996</v>
      </c>
      <c r="Q5503">
        <v>-2.0985070000000001E-2</v>
      </c>
      <c r="R5503">
        <v>-0.64168269999999905</v>
      </c>
      <c r="S5503">
        <v>2.5307309999999998</v>
      </c>
      <c r="T5503">
        <v>-0.2495377</v>
      </c>
      <c r="U5503">
        <v>-1.644684</v>
      </c>
      <c r="V5503">
        <v>2.2343229999999999E-2</v>
      </c>
      <c r="W5503">
        <v>-1.3952590000000001E-2</v>
      </c>
      <c r="X5503">
        <v>0.99965300000000001</v>
      </c>
      <c r="Y5503">
        <v>-9.6168299999999998E-2</v>
      </c>
      <c r="Z5503">
        <v>5.4625140000000003E-2</v>
      </c>
      <c r="AA5503">
        <v>0.99386509999999995</v>
      </c>
      <c r="AB5503">
        <v>21</v>
      </c>
      <c r="AC5503">
        <v>11.190299999999899</v>
      </c>
      <c r="AD5503">
        <v>-1.1118852495630001</v>
      </c>
      <c r="AE5503">
        <v>-7.2626499999999998</v>
      </c>
      <c r="AF5503">
        <v>-1.3086166174465801</v>
      </c>
      <c r="AG5503">
        <v>-1.1118852495630001</v>
      </c>
      <c r="AH5503">
        <v>13.183678230565199</v>
      </c>
      <c r="AI5503">
        <v>94.797339519672093</v>
      </c>
      <c r="AJ5503">
        <v>95.668631279918102</v>
      </c>
      <c r="AK5503">
        <v>13.2950418557721</v>
      </c>
      <c r="AL5503">
        <v>90.799450454475107</v>
      </c>
      <c r="AM5503">
        <v>88.7195960334316</v>
      </c>
      <c r="AN5503">
        <v>1.0000000075517701</v>
      </c>
    </row>
    <row r="5504" spans="1:40" x14ac:dyDescent="0.25">
      <c r="A5504" t="str">
        <f>"20190312154946809"</f>
        <v>20190312154946809</v>
      </c>
      <c r="B5504" t="str">
        <f>"1552376986801032"</f>
        <v>1552376986801032</v>
      </c>
      <c r="C5504" t="s">
        <v>40</v>
      </c>
      <c r="D5504">
        <v>4.624028</v>
      </c>
      <c r="E5504">
        <v>0.45533590000000002</v>
      </c>
      <c r="F5504" t="s">
        <v>42</v>
      </c>
      <c r="G5504">
        <v>-397.67919999999998</v>
      </c>
      <c r="H5504" s="1">
        <v>-1.4261789999999901E-6</v>
      </c>
      <c r="I5504">
        <v>17.65072</v>
      </c>
      <c r="J5504">
        <v>-409.09730000000002</v>
      </c>
      <c r="K5504">
        <v>1.1119250000000001</v>
      </c>
      <c r="L5504">
        <v>25.029240000000001</v>
      </c>
      <c r="M5504">
        <v>0.78233090000000005</v>
      </c>
      <c r="N5504">
        <v>0</v>
      </c>
      <c r="O5504">
        <v>-0.62282479999999996</v>
      </c>
      <c r="P5504">
        <v>0.76828560000000001</v>
      </c>
      <c r="Q5504">
        <v>-2.084273E-2</v>
      </c>
      <c r="R5504">
        <v>-0.63976789999999994</v>
      </c>
      <c r="S5504">
        <v>2.534027</v>
      </c>
      <c r="T5504">
        <v>-0.24505279999999999</v>
      </c>
      <c r="U5504">
        <v>-1.6395569999999999</v>
      </c>
      <c r="V5504">
        <v>2.2096250000000001E-2</v>
      </c>
      <c r="W5504">
        <v>-1.378394E-2</v>
      </c>
      <c r="X5504">
        <v>0.99966080000000002</v>
      </c>
      <c r="Y5504">
        <v>-9.6011799999999994E-2</v>
      </c>
      <c r="Z5504">
        <v>5.3506409999999997E-2</v>
      </c>
      <c r="AA5504">
        <v>0.99394110000000002</v>
      </c>
      <c r="AB5504">
        <v>21</v>
      </c>
      <c r="AC5504">
        <v>11.418100000000001</v>
      </c>
      <c r="AD5504">
        <v>-1.1119264261790001</v>
      </c>
      <c r="AE5504">
        <v>-7.3785199999999902</v>
      </c>
      <c r="AF5504">
        <v>-1.3301650011970501</v>
      </c>
      <c r="AG5504">
        <v>-1.1119264261790001</v>
      </c>
      <c r="AH5504">
        <v>13.4386777347614</v>
      </c>
      <c r="AI5504">
        <v>94.707025001748406</v>
      </c>
      <c r="AJ5504">
        <v>95.652744003939006</v>
      </c>
      <c r="AK5504">
        <v>13.5500471794905</v>
      </c>
      <c r="AL5504">
        <v>90.789786615171295</v>
      </c>
      <c r="AM5504">
        <v>88.733754743611598</v>
      </c>
      <c r="AN5504">
        <v>0.99999997816131203</v>
      </c>
    </row>
    <row r="5505" spans="1:40" x14ac:dyDescent="0.25">
      <c r="A5505" t="str">
        <f>"20190312154946821"</f>
        <v>20190312154946821</v>
      </c>
      <c r="B5505" t="str">
        <f>"1552376986811769"</f>
        <v>1552376986811769</v>
      </c>
      <c r="C5505" t="s">
        <v>40</v>
      </c>
      <c r="D5505">
        <v>4.6316389999999998</v>
      </c>
      <c r="E5505">
        <v>0.45597070000000001</v>
      </c>
      <c r="F5505" t="s">
        <v>42</v>
      </c>
      <c r="G5505">
        <v>-397.47</v>
      </c>
      <c r="H5505" s="1">
        <v>-1.5479409999999999E-6</v>
      </c>
      <c r="I5505">
        <v>17.52187</v>
      </c>
      <c r="J5505">
        <v>-409.0027</v>
      </c>
      <c r="K5505">
        <v>1.111969</v>
      </c>
      <c r="L5505">
        <v>24.957609999999999</v>
      </c>
      <c r="M5505">
        <v>0.78400110000000001</v>
      </c>
      <c r="N5505">
        <v>0</v>
      </c>
      <c r="O5505">
        <v>-0.62072059999999996</v>
      </c>
      <c r="P5505">
        <v>0.77001750000000002</v>
      </c>
      <c r="Q5505">
        <v>-2.0726080000000001E-2</v>
      </c>
      <c r="R5505">
        <v>-0.63768639999999999</v>
      </c>
      <c r="S5505">
        <v>2.5351560000000002</v>
      </c>
      <c r="T5505">
        <v>-0.2424393</v>
      </c>
      <c r="U5505">
        <v>-1.636871</v>
      </c>
      <c r="V5505">
        <v>2.2074630000000001E-2</v>
      </c>
      <c r="W5505">
        <v>-1.3626849999999999E-2</v>
      </c>
      <c r="X5505">
        <v>0.99966350000000004</v>
      </c>
      <c r="Y5505">
        <v>-9.4331429999999994E-2</v>
      </c>
      <c r="Z5505">
        <v>5.2731930000000003E-2</v>
      </c>
      <c r="AA5505">
        <v>0.99414329999999995</v>
      </c>
      <c r="AB5505">
        <v>21</v>
      </c>
      <c r="AC5505">
        <v>11.532699999999901</v>
      </c>
      <c r="AD5505">
        <v>-1.111970547941</v>
      </c>
      <c r="AE5505">
        <v>-7.4357399999999902</v>
      </c>
      <c r="AF5505">
        <v>-1.32031794357932</v>
      </c>
      <c r="AG5505">
        <v>-1.111970547941</v>
      </c>
      <c r="AH5505">
        <v>13.568395248333101</v>
      </c>
      <c r="AI5505">
        <v>94.663162600784204</v>
      </c>
      <c r="AJ5505">
        <v>95.557858664046904</v>
      </c>
      <c r="AK5505">
        <v>13.677758134526799</v>
      </c>
      <c r="AL5505">
        <v>90.780785121935594</v>
      </c>
      <c r="AM5505">
        <v>88.734996709709904</v>
      </c>
      <c r="AN5505">
        <v>1.0000000467814001</v>
      </c>
    </row>
    <row r="5506" spans="1:40" x14ac:dyDescent="0.25">
      <c r="A5506" t="str">
        <f>"20190312154946834"</f>
        <v>20190312154946834</v>
      </c>
      <c r="B5506" t="str">
        <f>"1552376986821528"</f>
        <v>1552376986821528</v>
      </c>
      <c r="C5506" t="s">
        <v>40</v>
      </c>
      <c r="D5506">
        <v>4.6160899999999998</v>
      </c>
      <c r="E5506">
        <v>0.45618760000000003</v>
      </c>
      <c r="F5506" t="s">
        <v>42</v>
      </c>
      <c r="G5506">
        <v>-397.26069999999999</v>
      </c>
      <c r="H5506" s="1">
        <v>-1.6693959999999999E-6</v>
      </c>
      <c r="I5506">
        <v>17.394919999999999</v>
      </c>
      <c r="J5506">
        <v>-408.91649999999998</v>
      </c>
      <c r="K5506">
        <v>1.112012</v>
      </c>
      <c r="L5506">
        <v>24.892759999999999</v>
      </c>
      <c r="M5506">
        <v>0.78553070000000003</v>
      </c>
      <c r="N5506">
        <v>0</v>
      </c>
      <c r="O5506">
        <v>-0.61878330000000004</v>
      </c>
      <c r="P5506">
        <v>0.77168040000000004</v>
      </c>
      <c r="Q5506">
        <v>-2.0335909999999999E-2</v>
      </c>
      <c r="R5506">
        <v>-0.63568549999999902</v>
      </c>
      <c r="S5506">
        <v>2.5365600000000001</v>
      </c>
      <c r="T5506">
        <v>-0.24021300000000001</v>
      </c>
      <c r="U5506">
        <v>-1.6337280000000001</v>
      </c>
      <c r="V5506">
        <v>2.1939429999999999E-2</v>
      </c>
      <c r="W5506">
        <v>-1.319089E-2</v>
      </c>
      <c r="X5506">
        <v>0.99967229999999996</v>
      </c>
      <c r="Y5506">
        <v>-9.3036270000000004E-2</v>
      </c>
      <c r="Z5506">
        <v>5.2070140000000001E-2</v>
      </c>
      <c r="AA5506">
        <v>0.99430019999999997</v>
      </c>
      <c r="AB5506">
        <v>21</v>
      </c>
      <c r="AC5506">
        <v>11.655799999999999</v>
      </c>
      <c r="AD5506">
        <v>-1.1120136693960001</v>
      </c>
      <c r="AE5506">
        <v>-7.4978399999999903</v>
      </c>
      <c r="AF5506">
        <v>-1.3142023308678299</v>
      </c>
      <c r="AG5506">
        <v>-1.1120136693960001</v>
      </c>
      <c r="AH5506">
        <v>13.707613995170901</v>
      </c>
      <c r="AI5506">
        <v>94.616817012082606</v>
      </c>
      <c r="AJ5506">
        <v>95.4764309964837</v>
      </c>
      <c r="AK5506">
        <v>13.815295277625699</v>
      </c>
      <c r="AL5506">
        <v>90.755804227155707</v>
      </c>
      <c r="AM5506">
        <v>88.742753016951397</v>
      </c>
      <c r="AN5506">
        <v>1.0000000227775001</v>
      </c>
    </row>
    <row r="5507" spans="1:40" x14ac:dyDescent="0.25">
      <c r="A5507" t="str">
        <f>"20190312154946846"</f>
        <v>20190312154946846</v>
      </c>
      <c r="B5507" t="str">
        <f>"1552376986841047"</f>
        <v>1552376986841047</v>
      </c>
      <c r="C5507" t="s">
        <v>40</v>
      </c>
      <c r="D5507">
        <v>4.6237709999999996</v>
      </c>
      <c r="E5507">
        <v>0.45625949999999998</v>
      </c>
      <c r="F5507" t="s">
        <v>42</v>
      </c>
      <c r="G5507">
        <v>-397.05869999999999</v>
      </c>
      <c r="H5507" s="1">
        <v>-1.783877E-6</v>
      </c>
      <c r="I5507">
        <v>17.287769999999998</v>
      </c>
      <c r="J5507">
        <v>-408.81889999999999</v>
      </c>
      <c r="K5507">
        <v>1.112063</v>
      </c>
      <c r="L5507">
        <v>24.81964</v>
      </c>
      <c r="M5507">
        <v>0.78726319999999905</v>
      </c>
      <c r="N5507">
        <v>0</v>
      </c>
      <c r="O5507">
        <v>-0.61657669999999998</v>
      </c>
      <c r="P5507">
        <v>0.77338989999999996</v>
      </c>
      <c r="Q5507">
        <v>-2.0408180000000001E-2</v>
      </c>
      <c r="R5507">
        <v>-0.633602</v>
      </c>
      <c r="S5507">
        <v>2.539612</v>
      </c>
      <c r="T5507">
        <v>-0.2381636</v>
      </c>
      <c r="U5507">
        <v>-1.628784</v>
      </c>
      <c r="V5507">
        <v>2.205056E-2</v>
      </c>
      <c r="W5507">
        <v>-1.320469E-2</v>
      </c>
      <c r="X5507">
        <v>0.99966969999999999</v>
      </c>
      <c r="Y5507">
        <v>-9.2195940000000004E-2</v>
      </c>
      <c r="Z5507">
        <v>5.143611E-2</v>
      </c>
      <c r="AA5507">
        <v>0.9944115</v>
      </c>
      <c r="AB5507">
        <v>22</v>
      </c>
      <c r="AC5507">
        <v>11.7601999999999</v>
      </c>
      <c r="AD5507">
        <v>-1.1120647838769999</v>
      </c>
      <c r="AE5507">
        <v>-7.5318699999999899</v>
      </c>
      <c r="AF5507">
        <v>-1.3132071463231001</v>
      </c>
      <c r="AG5507">
        <v>-1.1120647838769999</v>
      </c>
      <c r="AH5507">
        <v>13.815093507943001</v>
      </c>
      <c r="AI5507">
        <v>94.581614958411606</v>
      </c>
      <c r="AJ5507">
        <v>95.429990776387598</v>
      </c>
      <c r="AK5507">
        <v>13.921853674202399</v>
      </c>
      <c r="AL5507">
        <v>90.7565949571174</v>
      </c>
      <c r="AM5507">
        <v>88.736383446224394</v>
      </c>
      <c r="AN5507">
        <v>1.0000000500661901</v>
      </c>
    </row>
    <row r="5508" spans="1:40" x14ac:dyDescent="0.25">
      <c r="A5508" t="str">
        <f>"20190312154946858"</f>
        <v>20190312154946858</v>
      </c>
      <c r="B5508" t="str">
        <f>"1552376986851786"</f>
        <v>1552376986851786</v>
      </c>
      <c r="C5508" t="s">
        <v>40</v>
      </c>
      <c r="D5508">
        <v>4.6068749999999996</v>
      </c>
      <c r="E5508">
        <v>0.4565922</v>
      </c>
      <c r="F5508" t="s">
        <v>42</v>
      </c>
      <c r="G5508">
        <v>-396.5718</v>
      </c>
      <c r="H5508" s="1">
        <v>-2.063892E-6</v>
      </c>
      <c r="I5508">
        <v>17.00666</v>
      </c>
      <c r="J5508">
        <v>-408.72089999999997</v>
      </c>
      <c r="K5508">
        <v>1.1121160000000001</v>
      </c>
      <c r="L5508">
        <v>24.74689</v>
      </c>
      <c r="M5508">
        <v>0.78901480000000002</v>
      </c>
      <c r="N5508">
        <v>0</v>
      </c>
      <c r="O5508">
        <v>-0.61433289999999996</v>
      </c>
      <c r="P5508">
        <v>0.77518980000000004</v>
      </c>
      <c r="Q5508">
        <v>-2.0440079999999999E-2</v>
      </c>
      <c r="R5508">
        <v>-0.63139809999999996</v>
      </c>
      <c r="S5508">
        <v>2.5435490000000001</v>
      </c>
      <c r="T5508">
        <v>-0.23096079999999999</v>
      </c>
      <c r="U5508">
        <v>-1.6226499999999999</v>
      </c>
      <c r="V5508">
        <v>2.2052059999999998E-2</v>
      </c>
      <c r="W5508">
        <v>-1.3165909999999999E-2</v>
      </c>
      <c r="X5508">
        <v>0.99967010000000001</v>
      </c>
      <c r="Y5508">
        <v>-9.1877070000000005E-2</v>
      </c>
      <c r="Z5508">
        <v>4.9711859999999997E-2</v>
      </c>
      <c r="AA5508">
        <v>0.99452870000000004</v>
      </c>
      <c r="AB5508">
        <v>22</v>
      </c>
      <c r="AC5508">
        <v>12.149099999999899</v>
      </c>
      <c r="AD5508">
        <v>-1.1121180638920001</v>
      </c>
      <c r="AE5508">
        <v>-7.7402300000000004</v>
      </c>
      <c r="AF5508">
        <v>-1.3484333210143</v>
      </c>
      <c r="AG5508">
        <v>-1.1121180638920001</v>
      </c>
      <c r="AH5508">
        <v>14.2562914523025</v>
      </c>
      <c r="AI5508">
        <v>94.440808643392103</v>
      </c>
      <c r="AJ5508">
        <v>95.403254448199107</v>
      </c>
      <c r="AK5508">
        <v>14.363040241615</v>
      </c>
      <c r="AL5508">
        <v>90.754372892862094</v>
      </c>
      <c r="AM5508">
        <v>88.736298021454402</v>
      </c>
      <c r="AN5508">
        <v>0.99999997168518995</v>
      </c>
    </row>
    <row r="5509" spans="1:40" x14ac:dyDescent="0.25">
      <c r="A5509" t="str">
        <f>"20190312154946870"</f>
        <v>20190312154946870</v>
      </c>
      <c r="B5509" t="str">
        <f>"1552376986861544"</f>
        <v>1552376986861544</v>
      </c>
      <c r="C5509" t="s">
        <v>40</v>
      </c>
      <c r="D5509">
        <v>4.615799</v>
      </c>
      <c r="E5509">
        <v>0.45694030000000002</v>
      </c>
      <c r="F5509" t="s">
        <v>42</v>
      </c>
      <c r="G5509">
        <v>-396.69240000000002</v>
      </c>
      <c r="H5509" s="1">
        <v>-1.988687E-6</v>
      </c>
      <c r="I5509">
        <v>17.109279999999998</v>
      </c>
      <c r="J5509">
        <v>-408.63549999999998</v>
      </c>
      <c r="K5509">
        <v>1.1121589999999999</v>
      </c>
      <c r="L5509">
        <v>24.683720000000001</v>
      </c>
      <c r="M5509">
        <v>0.7905432</v>
      </c>
      <c r="N5509">
        <v>0</v>
      </c>
      <c r="O5509">
        <v>-0.61236420000000003</v>
      </c>
      <c r="P5509">
        <v>0.77680260000000001</v>
      </c>
      <c r="Q5509">
        <v>-2.0612229999999999E-2</v>
      </c>
      <c r="R5509">
        <v>-0.62940699999999905</v>
      </c>
      <c r="S5509">
        <v>2.5467219999999999</v>
      </c>
      <c r="T5509">
        <v>-0.23546230000000001</v>
      </c>
      <c r="U5509">
        <v>-1.617065</v>
      </c>
      <c r="V5509">
        <v>2.1983579999999999E-2</v>
      </c>
      <c r="W5509">
        <v>-1.327426E-2</v>
      </c>
      <c r="X5509">
        <v>0.99967019999999995</v>
      </c>
      <c r="Y5509">
        <v>-9.1449210000000003E-2</v>
      </c>
      <c r="Z5509">
        <v>5.052127E-2</v>
      </c>
      <c r="AA5509">
        <v>0.9945273</v>
      </c>
      <c r="AB5509">
        <v>22</v>
      </c>
      <c r="AC5509">
        <v>11.9430999999999</v>
      </c>
      <c r="AD5509">
        <v>-1.1121609886870001</v>
      </c>
      <c r="AE5509">
        <v>-7.5744400000000001</v>
      </c>
      <c r="AF5509">
        <v>-1.31749135984055</v>
      </c>
      <c r="AG5509">
        <v>-1.1121609886870001</v>
      </c>
      <c r="AH5509">
        <v>13.993675404376701</v>
      </c>
      <c r="AI5509">
        <v>94.524163152282597</v>
      </c>
      <c r="AJ5509">
        <v>95.378489345445999</v>
      </c>
      <c r="AK5509">
        <v>14.0994906599873</v>
      </c>
      <c r="AL5509">
        <v>90.760581414611806</v>
      </c>
      <c r="AM5509">
        <v>88.740221154172701</v>
      </c>
      <c r="AN5509">
        <v>0.99999999626810099</v>
      </c>
    </row>
    <row r="5510" spans="1:40" x14ac:dyDescent="0.25">
      <c r="A5510" t="str">
        <f>"20190312154946882"</f>
        <v>20190312154946882</v>
      </c>
      <c r="B5510" t="str">
        <f>"1552376986871306"</f>
        <v>1552376986871306</v>
      </c>
      <c r="C5510" t="s">
        <v>40</v>
      </c>
      <c r="D5510">
        <v>4.6262280000000002</v>
      </c>
      <c r="E5510">
        <v>0.4572928</v>
      </c>
      <c r="F5510" t="s">
        <v>42</v>
      </c>
      <c r="G5510">
        <v>-396.6078</v>
      </c>
      <c r="H5510" s="1">
        <v>-2.0349210000000001E-6</v>
      </c>
      <c r="I5510">
        <v>17.074159999999999</v>
      </c>
      <c r="J5510">
        <v>-408.54379999999998</v>
      </c>
      <c r="K5510">
        <v>1.112204</v>
      </c>
      <c r="L5510">
        <v>24.61636</v>
      </c>
      <c r="M5510">
        <v>0.79218639999999996</v>
      </c>
      <c r="N5510">
        <v>0</v>
      </c>
      <c r="O5510">
        <v>-0.61023629999999995</v>
      </c>
      <c r="P5510">
        <v>0.77850589999999997</v>
      </c>
      <c r="Q5510">
        <v>-2.0644550000000001E-2</v>
      </c>
      <c r="R5510">
        <v>-0.62729809999999997</v>
      </c>
      <c r="S5510">
        <v>2.549042</v>
      </c>
      <c r="T5510">
        <v>-0.23570160000000001</v>
      </c>
      <c r="U5510">
        <v>-1.6127009999999999</v>
      </c>
      <c r="V5510">
        <v>2.196157E-2</v>
      </c>
      <c r="W5510">
        <v>-1.323388E-2</v>
      </c>
      <c r="X5510">
        <v>0.99967119999999998</v>
      </c>
      <c r="Y5510">
        <v>-9.0400010000000003E-2</v>
      </c>
      <c r="Z5510">
        <v>5.0386210000000001E-2</v>
      </c>
      <c r="AA5510">
        <v>0.99463009999999996</v>
      </c>
      <c r="AB5510">
        <v>22</v>
      </c>
      <c r="AC5510">
        <v>11.9359999999999</v>
      </c>
      <c r="AD5510">
        <v>-1.1122060349209999</v>
      </c>
      <c r="AE5510">
        <v>-7.5422000000000002</v>
      </c>
      <c r="AF5510">
        <v>-1.3009141963883699</v>
      </c>
      <c r="AG5510">
        <v>-1.1122060349209999</v>
      </c>
      <c r="AH5510">
        <v>13.9717333443034</v>
      </c>
      <c r="AI5510">
        <v>94.531856407770405</v>
      </c>
      <c r="AJ5510">
        <v>95.319497886752501</v>
      </c>
      <c r="AK5510">
        <v>14.0761753560688</v>
      </c>
      <c r="AL5510">
        <v>90.758267622301602</v>
      </c>
      <c r="AM5510">
        <v>88.741483299697705</v>
      </c>
      <c r="AN5510">
        <v>0.99999997712307898</v>
      </c>
    </row>
    <row r="5511" spans="1:40" x14ac:dyDescent="0.25">
      <c r="A5511" t="str">
        <f>"20190312154946891"</f>
        <v>20190312154946891</v>
      </c>
      <c r="B5511" t="str">
        <f>"1552376986881064"</f>
        <v>1552376986881064</v>
      </c>
      <c r="C5511" t="s">
        <v>40</v>
      </c>
      <c r="D5511">
        <v>4.6567109999999996</v>
      </c>
      <c r="E5511">
        <v>0.45767370000000002</v>
      </c>
      <c r="F5511" t="s">
        <v>42</v>
      </c>
      <c r="G5511">
        <v>-396.55799999999999</v>
      </c>
      <c r="H5511" s="1">
        <v>-2.0602869999999998E-6</v>
      </c>
      <c r="I5511">
        <v>17.063790000000001</v>
      </c>
      <c r="J5511">
        <v>-408.46850000000001</v>
      </c>
      <c r="K5511">
        <v>1.112239</v>
      </c>
      <c r="L5511">
        <v>24.56137</v>
      </c>
      <c r="M5511">
        <v>0.79354139999999995</v>
      </c>
      <c r="N5511">
        <v>0</v>
      </c>
      <c r="O5511">
        <v>-0.60847240000000002</v>
      </c>
      <c r="P5511">
        <v>0.77999569999999996</v>
      </c>
      <c r="Q5511">
        <v>-2.1082219999999999E-2</v>
      </c>
      <c r="R5511">
        <v>-0.62542980000000004</v>
      </c>
      <c r="S5511">
        <v>2.551666</v>
      </c>
      <c r="T5511">
        <v>-0.2367793</v>
      </c>
      <c r="U5511">
        <v>-1.60788</v>
      </c>
      <c r="V5511">
        <v>2.1799410000000002E-2</v>
      </c>
      <c r="W5511">
        <v>-1.360748E-2</v>
      </c>
      <c r="X5511">
        <v>0.99966969999999999</v>
      </c>
      <c r="Y5511">
        <v>-8.9980389999999993E-2</v>
      </c>
      <c r="Z5511">
        <v>5.0475249999999999E-2</v>
      </c>
      <c r="AA5511">
        <v>0.99466370000000004</v>
      </c>
      <c r="AB5511">
        <v>22</v>
      </c>
      <c r="AC5511">
        <v>11.9104999999999</v>
      </c>
      <c r="AD5511">
        <v>-1.1122410602870001</v>
      </c>
      <c r="AE5511">
        <v>-7.4975799999999904</v>
      </c>
      <c r="AF5511">
        <v>-1.2895510657448099</v>
      </c>
      <c r="AG5511">
        <v>-1.1122410602870001</v>
      </c>
      <c r="AH5511">
        <v>13.926937963327701</v>
      </c>
      <c r="AI5511">
        <v>94.546729731980193</v>
      </c>
      <c r="AJ5511">
        <v>95.290161859865407</v>
      </c>
      <c r="AK5511">
        <v>14.0306672386501</v>
      </c>
      <c r="AL5511">
        <v>90.779675280403893</v>
      </c>
      <c r="AM5511">
        <v>88.750771114911501</v>
      </c>
      <c r="AN5511">
        <v>0.99999994344319199</v>
      </c>
    </row>
    <row r="5512" spans="1:40" x14ac:dyDescent="0.25">
      <c r="A5512" t="str">
        <f>"20190312154946901"</f>
        <v>20190312154946901</v>
      </c>
      <c r="B5512" t="str">
        <f>"1552376986891802"</f>
        <v>1552376986891802</v>
      </c>
      <c r="C5512" t="s">
        <v>40</v>
      </c>
      <c r="D5512">
        <v>4.627262</v>
      </c>
      <c r="E5512">
        <v>0.4580051</v>
      </c>
      <c r="F5512" t="s">
        <v>42</v>
      </c>
      <c r="G5512">
        <v>-396.57240000000002</v>
      </c>
      <c r="H5512" s="1">
        <v>-2.0491189999999999E-6</v>
      </c>
      <c r="I5512">
        <v>17.08841</v>
      </c>
      <c r="J5512">
        <v>-408.38709999999998</v>
      </c>
      <c r="K5512">
        <v>1.112277</v>
      </c>
      <c r="L5512">
        <v>24.502199999999998</v>
      </c>
      <c r="M5512">
        <v>0.79500419999999905</v>
      </c>
      <c r="N5512">
        <v>0</v>
      </c>
      <c r="O5512">
        <v>-0.60655919999999997</v>
      </c>
      <c r="P5512">
        <v>0.78164919999999904</v>
      </c>
      <c r="Q5512">
        <v>-2.1396450000000001E-2</v>
      </c>
      <c r="R5512">
        <v>-0.62335149999999995</v>
      </c>
      <c r="S5512">
        <v>2.553528</v>
      </c>
      <c r="T5512">
        <v>-0.23874619999999999</v>
      </c>
      <c r="U5512">
        <v>-1.604095</v>
      </c>
      <c r="V5512">
        <v>2.155408E-2</v>
      </c>
      <c r="W5512">
        <v>-1.3850080000000001E-2</v>
      </c>
      <c r="X5512">
        <v>0.9996718</v>
      </c>
      <c r="Y5512">
        <v>-8.8942399999999894E-2</v>
      </c>
      <c r="Z5512">
        <v>5.072161E-2</v>
      </c>
      <c r="AA5512">
        <v>0.99474450000000003</v>
      </c>
      <c r="AB5512">
        <v>22</v>
      </c>
      <c r="AC5512">
        <v>11.814699999999901</v>
      </c>
      <c r="AD5512">
        <v>-1.112279049119</v>
      </c>
      <c r="AE5512">
        <v>-7.4137899999999899</v>
      </c>
      <c r="AF5512">
        <v>-1.26431544975392</v>
      </c>
      <c r="AG5512">
        <v>-1.112279049119</v>
      </c>
      <c r="AH5512">
        <v>13.8022461368215</v>
      </c>
      <c r="AI5512">
        <v>94.5882009305938</v>
      </c>
      <c r="AJ5512">
        <v>95.233810433454494</v>
      </c>
      <c r="AK5512">
        <v>13.904591207978701</v>
      </c>
      <c r="AL5512">
        <v>90.793576458596803</v>
      </c>
      <c r="AM5512">
        <v>88.764828118428895</v>
      </c>
      <c r="AN5512">
        <v>1.00000005539794</v>
      </c>
    </row>
    <row r="5513" spans="1:40" x14ac:dyDescent="0.25">
      <c r="A5513" t="str">
        <f>"20190312154946911"</f>
        <v>20190312154946911</v>
      </c>
      <c r="B5513" t="str">
        <f>"1552376986901561"</f>
        <v>1552376986901561</v>
      </c>
      <c r="C5513" t="s">
        <v>40</v>
      </c>
      <c r="D5513">
        <v>4.6605660000000002</v>
      </c>
      <c r="E5513">
        <v>0.45840439999999999</v>
      </c>
      <c r="F5513" t="s">
        <v>42</v>
      </c>
      <c r="G5513">
        <v>-396.51499999999999</v>
      </c>
      <c r="H5513" s="1">
        <v>-2.079048E-6</v>
      </c>
      <c r="I5513">
        <v>17.07254</v>
      </c>
      <c r="J5513">
        <v>-408.31479999999999</v>
      </c>
      <c r="K5513">
        <v>1.112311</v>
      </c>
      <c r="L5513">
        <v>24.44998</v>
      </c>
      <c r="M5513">
        <v>0.79630849999999997</v>
      </c>
      <c r="N5513">
        <v>0</v>
      </c>
      <c r="O5513">
        <v>-0.60484490000000002</v>
      </c>
      <c r="P5513">
        <v>0.78325849999999997</v>
      </c>
      <c r="Q5513">
        <v>-2.179124E-2</v>
      </c>
      <c r="R5513">
        <v>-0.62131459999999905</v>
      </c>
      <c r="S5513">
        <v>2.5559080000000001</v>
      </c>
      <c r="T5513">
        <v>-0.2394607</v>
      </c>
      <c r="U5513">
        <v>-1.599518</v>
      </c>
      <c r="V5513">
        <v>2.1115020000000002E-2</v>
      </c>
      <c r="W5513">
        <v>-1.4175989999999999E-2</v>
      </c>
      <c r="X5513">
        <v>0.99967649999999997</v>
      </c>
      <c r="Y5513">
        <v>-8.8487579999999996E-2</v>
      </c>
      <c r="Z5513">
        <v>5.0734219999999997E-2</v>
      </c>
      <c r="AA5513">
        <v>0.99478440000000001</v>
      </c>
      <c r="AB5513">
        <v>22</v>
      </c>
      <c r="AC5513">
        <v>11.799799999999999</v>
      </c>
      <c r="AD5513">
        <v>-1.112313079048</v>
      </c>
      <c r="AE5513">
        <v>-7.3774399999999902</v>
      </c>
      <c r="AF5513">
        <v>-1.25435202045648</v>
      </c>
      <c r="AG5513">
        <v>-1.112313079048</v>
      </c>
      <c r="AH5513">
        <v>13.7708944433823</v>
      </c>
      <c r="AI5513">
        <v>94.598955675636503</v>
      </c>
      <c r="AJ5513">
        <v>95.204549189273493</v>
      </c>
      <c r="AK5513">
        <v>13.872569089675601</v>
      </c>
      <c r="AL5513">
        <v>90.812251641409404</v>
      </c>
      <c r="AM5513">
        <v>88.789986892944995</v>
      </c>
      <c r="AN5513">
        <v>0.99999995370716399</v>
      </c>
    </row>
    <row r="5514" spans="1:40" x14ac:dyDescent="0.25">
      <c r="A5514" t="str">
        <f>"20190312154946922"</f>
        <v>20190312154946922</v>
      </c>
      <c r="B5514" t="str">
        <f>"1552376986911321"</f>
        <v>1552376986911321</v>
      </c>
      <c r="C5514" t="s">
        <v>40</v>
      </c>
      <c r="D5514">
        <v>4.6411389999999999</v>
      </c>
      <c r="E5514">
        <v>0.45879049999999999</v>
      </c>
      <c r="F5514" t="s">
        <v>42</v>
      </c>
      <c r="G5514">
        <v>-396.48399999999998</v>
      </c>
      <c r="H5514" s="1">
        <v>-2.0937209999999999E-6</v>
      </c>
      <c r="I5514">
        <v>17.07253</v>
      </c>
      <c r="J5514">
        <v>-408.23009999999999</v>
      </c>
      <c r="K5514">
        <v>1.112347</v>
      </c>
      <c r="L5514">
        <v>24.38898</v>
      </c>
      <c r="M5514">
        <v>0.79783780000000004</v>
      </c>
      <c r="N5514">
        <v>0</v>
      </c>
      <c r="O5514">
        <v>-0.60282500000000006</v>
      </c>
      <c r="P5514">
        <v>0.78506489999999995</v>
      </c>
      <c r="Q5514">
        <v>-2.20413E-2</v>
      </c>
      <c r="R5514">
        <v>-0.61902170000000001</v>
      </c>
      <c r="S5514">
        <v>2.5581049999999999</v>
      </c>
      <c r="T5514">
        <v>-0.24050920000000001</v>
      </c>
      <c r="U5514">
        <v>-1.5951839999999999</v>
      </c>
      <c r="V5514">
        <v>2.0731220000000002E-2</v>
      </c>
      <c r="W5514">
        <v>-1.4340179999999999E-2</v>
      </c>
      <c r="X5514">
        <v>0.99968219999999997</v>
      </c>
      <c r="Y5514">
        <v>-8.7551980000000001E-2</v>
      </c>
      <c r="Z5514">
        <v>5.0777620000000002E-2</v>
      </c>
      <c r="AA5514">
        <v>0.99486490000000005</v>
      </c>
      <c r="AB5514">
        <v>22</v>
      </c>
      <c r="AC5514">
        <v>11.746099999999901</v>
      </c>
      <c r="AD5514">
        <v>-1.1123490937210001</v>
      </c>
      <c r="AE5514">
        <v>-7.3164499999999997</v>
      </c>
      <c r="AF5514">
        <v>-1.2355546021060899</v>
      </c>
      <c r="AG5514">
        <v>-1.1123490937210001</v>
      </c>
      <c r="AH5514">
        <v>13.6939347245884</v>
      </c>
      <c r="AI5514">
        <v>94.625195446446895</v>
      </c>
      <c r="AJ5514">
        <v>95.155632540856899</v>
      </c>
      <c r="AK5514">
        <v>13.7944830973246</v>
      </c>
      <c r="AL5514">
        <v>90.821659984943693</v>
      </c>
      <c r="AM5514">
        <v>88.811981269018105</v>
      </c>
      <c r="AN5514">
        <v>0.99999996262097901</v>
      </c>
    </row>
    <row r="5515" spans="1:40" x14ac:dyDescent="0.25">
      <c r="A5515" t="str">
        <f>"20190312154946933"</f>
        <v>20190312154946933</v>
      </c>
      <c r="B5515" t="str">
        <f>"1552376986921080"</f>
        <v>1552376986921080</v>
      </c>
      <c r="C5515" t="s">
        <v>40</v>
      </c>
      <c r="D5515">
        <v>4.6369360000000004</v>
      </c>
      <c r="E5515">
        <v>0.45920699999999998</v>
      </c>
      <c r="F5515" t="s">
        <v>42</v>
      </c>
      <c r="G5515">
        <v>-396.46350000000001</v>
      </c>
      <c r="H5515" s="1">
        <v>-2.101917E-6</v>
      </c>
      <c r="I5515">
        <v>17.08108</v>
      </c>
      <c r="J5515">
        <v>-408.142</v>
      </c>
      <c r="K5515">
        <v>1.1123890000000001</v>
      </c>
      <c r="L5515">
        <v>24.326049999999999</v>
      </c>
      <c r="M5515">
        <v>0.7994329</v>
      </c>
      <c r="N5515">
        <v>0</v>
      </c>
      <c r="O5515">
        <v>-0.60070669999999904</v>
      </c>
      <c r="P5515">
        <v>0.78695579999999998</v>
      </c>
      <c r="Q5515">
        <v>-2.2202759999999998E-2</v>
      </c>
      <c r="R5515">
        <v>-0.61660990000000004</v>
      </c>
      <c r="S5515">
        <v>2.5605769999999999</v>
      </c>
      <c r="T5515">
        <v>-0.2420629</v>
      </c>
      <c r="U5515">
        <v>-1.5903020000000001</v>
      </c>
      <c r="V5515">
        <v>2.0319230000000001E-2</v>
      </c>
      <c r="W5515">
        <v>-1.43997E-2</v>
      </c>
      <c r="X5515">
        <v>0.99968979999999996</v>
      </c>
      <c r="Y5515">
        <v>-8.6693220000000001E-2</v>
      </c>
      <c r="Z5515">
        <v>5.092079E-2</v>
      </c>
      <c r="AA5515">
        <v>0.99493279999999995</v>
      </c>
      <c r="AB5515">
        <v>22</v>
      </c>
      <c r="AC5515">
        <v>11.6784999999999</v>
      </c>
      <c r="AD5515">
        <v>-1.1123911019170001</v>
      </c>
      <c r="AE5515">
        <v>-7.2449699999999897</v>
      </c>
      <c r="AF5515">
        <v>-1.21555796451511</v>
      </c>
      <c r="AG5515">
        <v>-1.1123911019170001</v>
      </c>
      <c r="AH5515">
        <v>13.5995828329044</v>
      </c>
      <c r="AI5515">
        <v>94.657667621537897</v>
      </c>
      <c r="AJ5515">
        <v>95.107638555506398</v>
      </c>
      <c r="AK5515">
        <v>13.6990382274723</v>
      </c>
      <c r="AL5515">
        <v>90.825070584724699</v>
      </c>
      <c r="AM5515">
        <v>88.835592961057898</v>
      </c>
      <c r="AN5515">
        <v>0.99999995934595998</v>
      </c>
    </row>
    <row r="5516" spans="1:40" x14ac:dyDescent="0.25">
      <c r="A5516" t="str">
        <f>"20190312154946944"</f>
        <v>20190312154946944</v>
      </c>
      <c r="B5516" t="str">
        <f>"1552376986931818"</f>
        <v>1552376986931818</v>
      </c>
      <c r="C5516" t="s">
        <v>40</v>
      </c>
      <c r="D5516">
        <v>4.6499100000000002</v>
      </c>
      <c r="E5516">
        <v>0.45949590000000001</v>
      </c>
      <c r="F5516" t="s">
        <v>42</v>
      </c>
      <c r="G5516">
        <v>-396.41829999999999</v>
      </c>
      <c r="H5516" s="1">
        <v>-2.1238400000000002E-6</v>
      </c>
      <c r="I5516">
        <v>17.077960000000001</v>
      </c>
      <c r="J5516">
        <v>-408.05079999999998</v>
      </c>
      <c r="K5516">
        <v>1.1124369999999999</v>
      </c>
      <c r="L5516">
        <v>24.261109999999999</v>
      </c>
      <c r="M5516">
        <v>0.80108179999999996</v>
      </c>
      <c r="N5516">
        <v>0</v>
      </c>
      <c r="O5516">
        <v>-0.59850479999999995</v>
      </c>
      <c r="P5516">
        <v>0.78873870000000001</v>
      </c>
      <c r="Q5516">
        <v>-2.2490179999999999E-2</v>
      </c>
      <c r="R5516">
        <v>-0.61431689999999906</v>
      </c>
      <c r="S5516">
        <v>2.563507</v>
      </c>
      <c r="T5516">
        <v>-0.2432358</v>
      </c>
      <c r="U5516">
        <v>-1.5848690000000001</v>
      </c>
      <c r="V5516">
        <v>2.0167540000000001E-2</v>
      </c>
      <c r="W5516">
        <v>-1.457463E-2</v>
      </c>
      <c r="X5516">
        <v>0.99969039999999998</v>
      </c>
      <c r="Y5516">
        <v>-8.5975699999999905E-2</v>
      </c>
      <c r="Z5516">
        <v>5.0978139999999998E-2</v>
      </c>
      <c r="AA5516">
        <v>0.99499210000000005</v>
      </c>
      <c r="AB5516">
        <v>22</v>
      </c>
      <c r="AC5516">
        <v>11.632499999999901</v>
      </c>
      <c r="AD5516">
        <v>-1.11243912384</v>
      </c>
      <c r="AE5516">
        <v>-7.1831500000000004</v>
      </c>
      <c r="AF5516">
        <v>-1.19990815177574</v>
      </c>
      <c r="AG5516">
        <v>-1.11243912384</v>
      </c>
      <c r="AH5516">
        <v>13.528571399036</v>
      </c>
      <c r="AI5516">
        <v>94.682491680041196</v>
      </c>
      <c r="AJ5516">
        <v>95.0685500740272</v>
      </c>
      <c r="AK5516">
        <v>13.6271620110632</v>
      </c>
      <c r="AL5516">
        <v>90.8350943349039</v>
      </c>
      <c r="AM5516">
        <v>88.844283984676906</v>
      </c>
      <c r="AN5516">
        <v>1.00000002268072</v>
      </c>
    </row>
    <row r="5517" spans="1:40" x14ac:dyDescent="0.25">
      <c r="A5517" t="str">
        <f>"20190312154946956"</f>
        <v>20190312154946956</v>
      </c>
      <c r="B5517" t="str">
        <f>"1552376986941576"</f>
        <v>1552376986941576</v>
      </c>
      <c r="C5517" t="s">
        <v>40</v>
      </c>
      <c r="D5517">
        <v>4.7094860000000001</v>
      </c>
      <c r="E5517">
        <v>0.45949590000000001</v>
      </c>
      <c r="F5517" t="s">
        <v>42</v>
      </c>
      <c r="G5517">
        <v>-396.3845</v>
      </c>
      <c r="H5517" s="1">
        <v>-2.1389489999999998E-6</v>
      </c>
      <c r="I5517">
        <v>17.082820000000002</v>
      </c>
      <c r="J5517">
        <v>-407.96409999999997</v>
      </c>
      <c r="K5517">
        <v>1.11249</v>
      </c>
      <c r="L5517">
        <v>24.200040000000001</v>
      </c>
      <c r="M5517">
        <v>0.80265759999999997</v>
      </c>
      <c r="N5517">
        <v>0</v>
      </c>
      <c r="O5517">
        <v>-0.59638789999999997</v>
      </c>
      <c r="P5517">
        <v>0.79042309999999905</v>
      </c>
      <c r="Q5517">
        <v>-2.232315E-2</v>
      </c>
      <c r="R5517">
        <v>-0.61215489999999995</v>
      </c>
      <c r="S5517">
        <v>2.566589</v>
      </c>
      <c r="T5517">
        <v>-0.24473690000000001</v>
      </c>
      <c r="U5517">
        <v>-1.579224</v>
      </c>
      <c r="V5517">
        <v>2.0063950000000001E-2</v>
      </c>
      <c r="W5517">
        <v>-1.428371E-2</v>
      </c>
      <c r="X5517">
        <v>0.99969669999999999</v>
      </c>
      <c r="Y5517">
        <v>-8.5450910000000005E-2</v>
      </c>
      <c r="Z5517">
        <v>5.111417E-2</v>
      </c>
      <c r="AA5517">
        <v>0.99503039999999998</v>
      </c>
      <c r="AB5517">
        <v>22</v>
      </c>
      <c r="AC5517">
        <v>11.5795999999999</v>
      </c>
      <c r="AD5517">
        <v>-1.1124921389489999</v>
      </c>
      <c r="AE5517">
        <v>-7.1172199999999899</v>
      </c>
      <c r="AF5517">
        <v>-1.18533882338525</v>
      </c>
      <c r="AG5517">
        <v>-1.1124921389489999</v>
      </c>
      <c r="AH5517">
        <v>13.449397926512299</v>
      </c>
      <c r="AI5517">
        <v>94.710387052157699</v>
      </c>
      <c r="AJ5517">
        <v>95.036648107840193</v>
      </c>
      <c r="AK5517">
        <v>13.5472864984513</v>
      </c>
      <c r="AL5517">
        <v>90.8184240980368</v>
      </c>
      <c r="AM5517">
        <v>88.850225933549197</v>
      </c>
      <c r="AN5517">
        <v>1.0000000392259201</v>
      </c>
    </row>
    <row r="5518" spans="1:40" x14ac:dyDescent="0.25">
      <c r="A5518" t="str">
        <f>"20190312154946966"</f>
        <v>20190312154946966</v>
      </c>
      <c r="B5518" t="str">
        <f>"1552376986961096"</f>
        <v>1552376986961096</v>
      </c>
      <c r="C5518" t="s">
        <v>40</v>
      </c>
      <c r="D5518">
        <v>4.649921</v>
      </c>
      <c r="E5518">
        <v>0.43029139999999999</v>
      </c>
      <c r="F5518" t="s">
        <v>42</v>
      </c>
      <c r="G5518">
        <v>-396.2516</v>
      </c>
      <c r="H5518" s="1">
        <v>-2.2096540000000002E-6</v>
      </c>
      <c r="I5518">
        <v>17.03819</v>
      </c>
      <c r="J5518">
        <v>-407.8768</v>
      </c>
      <c r="K5518">
        <v>1.112538</v>
      </c>
      <c r="L5518">
        <v>24.138670000000001</v>
      </c>
      <c r="M5518">
        <v>0.8042414</v>
      </c>
      <c r="N5518">
        <v>0</v>
      </c>
      <c r="O5518">
        <v>-0.59424869999999996</v>
      </c>
      <c r="P5518">
        <v>0.7921298</v>
      </c>
      <c r="Q5518">
        <v>-2.2204390000000001E-2</v>
      </c>
      <c r="R5518">
        <v>-0.60994869999999901</v>
      </c>
      <c r="S5518">
        <v>2.5710139999999999</v>
      </c>
      <c r="T5518">
        <v>-0.2442057</v>
      </c>
      <c r="U5518">
        <v>-1.5721130000000001</v>
      </c>
      <c r="V5518">
        <v>1.9934980000000001E-2</v>
      </c>
      <c r="W5518">
        <v>-1.403721E-2</v>
      </c>
      <c r="X5518">
        <v>0.9997028</v>
      </c>
      <c r="Y5518">
        <v>-8.5578109999999999E-2</v>
      </c>
      <c r="Z5518">
        <v>5.083973E-2</v>
      </c>
      <c r="AA5518">
        <v>0.99503350000000002</v>
      </c>
      <c r="AB5518">
        <v>22</v>
      </c>
      <c r="AC5518">
        <v>11.6252</v>
      </c>
      <c r="AD5518">
        <v>-1.112540209654</v>
      </c>
      <c r="AE5518">
        <v>-7.1004800000000001</v>
      </c>
      <c r="AF5518">
        <v>-1.1898618161781001</v>
      </c>
      <c r="AG5518">
        <v>-1.112540209654</v>
      </c>
      <c r="AH5518">
        <v>13.479442809627701</v>
      </c>
      <c r="AI5518">
        <v>94.700080172351704</v>
      </c>
      <c r="AJ5518">
        <v>95.044556636359601</v>
      </c>
      <c r="AK5518">
        <v>13.577514327656599</v>
      </c>
      <c r="AL5518">
        <v>90.804299249938595</v>
      </c>
      <c r="AM5518">
        <v>88.857621623769901</v>
      </c>
      <c r="AN5518">
        <v>1.00000006751001</v>
      </c>
    </row>
    <row r="5519" spans="1:40" x14ac:dyDescent="0.25">
      <c r="A5519" t="str">
        <f>"20190312154946976"</f>
        <v>20190312154946976</v>
      </c>
      <c r="B5519" t="str">
        <f>"1552376986970856"</f>
        <v>1552376986970856</v>
      </c>
      <c r="C5519" t="s">
        <v>40</v>
      </c>
      <c r="D5519">
        <v>4.7810709999999998</v>
      </c>
      <c r="E5519">
        <v>0.42292790000000002</v>
      </c>
      <c r="F5519" t="s">
        <v>42</v>
      </c>
      <c r="G5519">
        <v>-392.80070000000001</v>
      </c>
      <c r="H5519" s="1">
        <v>-3.9422540000000004E-6</v>
      </c>
      <c r="I5519">
        <v>16.467179999999999</v>
      </c>
      <c r="J5519">
        <v>-407.78919999999999</v>
      </c>
      <c r="K5519">
        <v>1.11259</v>
      </c>
      <c r="L5519">
        <v>24.077639999999999</v>
      </c>
      <c r="M5519">
        <v>0.80583700000000003</v>
      </c>
      <c r="N5519">
        <v>0</v>
      </c>
      <c r="O5519">
        <v>-0.59208159999999999</v>
      </c>
      <c r="P5519">
        <v>0.79379</v>
      </c>
      <c r="Q5519">
        <v>-2.191537E-2</v>
      </c>
      <c r="R5519">
        <v>-0.60779709999999998</v>
      </c>
      <c r="S5519">
        <v>2.717041</v>
      </c>
      <c r="T5519">
        <v>-0.20050419999999999</v>
      </c>
      <c r="U5519">
        <v>-1.382568</v>
      </c>
      <c r="V5519">
        <v>1.990573E-2</v>
      </c>
      <c r="W5519">
        <v>-1.360305E-2</v>
      </c>
      <c r="X5519">
        <v>0.99970930000000002</v>
      </c>
      <c r="Y5519">
        <v>-0.160855</v>
      </c>
      <c r="Z5519">
        <v>4.317257E-2</v>
      </c>
      <c r="AA5519">
        <v>0.98603339999999995</v>
      </c>
      <c r="AB5519">
        <v>22</v>
      </c>
      <c r="AC5519">
        <v>14.988499999999901</v>
      </c>
      <c r="AD5519">
        <v>-1.1125939422540001</v>
      </c>
      <c r="AE5519">
        <v>-7.6104599999999998</v>
      </c>
      <c r="AF5519">
        <v>-2.7297572596698001</v>
      </c>
      <c r="AG5519">
        <v>-1.1125939422540001</v>
      </c>
      <c r="AH5519">
        <v>16.512513495841802</v>
      </c>
      <c r="AI5519">
        <v>93.803232515066497</v>
      </c>
      <c r="AJ5519">
        <v>99.386923948756703</v>
      </c>
      <c r="AK5519">
        <v>16.773566762242901</v>
      </c>
      <c r="AL5519">
        <v>90.779421405928701</v>
      </c>
      <c r="AM5519">
        <v>88.859304772948803</v>
      </c>
      <c r="AN5519">
        <v>0.99999998278131197</v>
      </c>
    </row>
    <row r="5520" spans="1:40" x14ac:dyDescent="0.25">
      <c r="A5520" t="str">
        <f>"20190312154946991"</f>
        <v>20190312154946991</v>
      </c>
      <c r="B5520" t="str">
        <f>"1552376986981593"</f>
        <v>1552376986981593</v>
      </c>
      <c r="C5520" t="s">
        <v>40</v>
      </c>
      <c r="D5520">
        <v>4.8074349999999999</v>
      </c>
      <c r="E5520">
        <v>0.41692689999999999</v>
      </c>
      <c r="F5520" t="s">
        <v>42</v>
      </c>
      <c r="G5520">
        <v>-395.61689999999999</v>
      </c>
      <c r="H5520" s="1">
        <v>-2.2993160000000002E-6</v>
      </c>
      <c r="I5520">
        <v>18.224419999999999</v>
      </c>
      <c r="J5520">
        <v>-407.68799999999999</v>
      </c>
      <c r="K5520">
        <v>1.112644</v>
      </c>
      <c r="L5520">
        <v>24.007539999999999</v>
      </c>
      <c r="M5520">
        <v>0.80767690000000003</v>
      </c>
      <c r="N5520">
        <v>0</v>
      </c>
      <c r="O5520">
        <v>-0.58956660000000005</v>
      </c>
      <c r="P5520">
        <v>0.79559950000000002</v>
      </c>
      <c r="Q5520">
        <v>-2.1906140000000001E-2</v>
      </c>
      <c r="R5520">
        <v>-0.60542669999999998</v>
      </c>
      <c r="S5520">
        <v>2.7572019999999999</v>
      </c>
      <c r="T5520">
        <v>-0.25201810000000002</v>
      </c>
      <c r="U5520">
        <v>-1.325836</v>
      </c>
      <c r="V5520">
        <v>2.0038589999999998E-2</v>
      </c>
      <c r="W5520">
        <v>-1.3418589999999999E-2</v>
      </c>
      <c r="X5520">
        <v>0.99970910000000002</v>
      </c>
      <c r="Y5520">
        <v>-0.17908499999999999</v>
      </c>
      <c r="Z5520">
        <v>5.4454580000000002E-2</v>
      </c>
      <c r="AA5520">
        <v>0.98232540000000002</v>
      </c>
      <c r="AB5520">
        <v>22</v>
      </c>
      <c r="AC5520">
        <v>12.071099999999999</v>
      </c>
      <c r="AD5520">
        <v>-1.112646299316</v>
      </c>
      <c r="AE5520">
        <v>-5.7831199999999896</v>
      </c>
      <c r="AF5520">
        <v>-2.4291241995920001</v>
      </c>
      <c r="AG5520">
        <v>-1.112646299316</v>
      </c>
      <c r="AH5520">
        <v>13.0692292590804</v>
      </c>
      <c r="AI5520">
        <v>94.784578770678806</v>
      </c>
      <c r="AJ5520">
        <v>100.529181922571</v>
      </c>
      <c r="AK5520">
        <v>13.3395419558105</v>
      </c>
      <c r="AL5520">
        <v>90.768851691201405</v>
      </c>
      <c r="AM5520">
        <v>88.851693050375999</v>
      </c>
      <c r="AN5520">
        <v>0.99999994413479099</v>
      </c>
    </row>
    <row r="5521" spans="1:40" x14ac:dyDescent="0.25">
      <c r="A5521" t="str">
        <f>"20190312154947003"</f>
        <v>20190312154947003</v>
      </c>
      <c r="B5521" t="str">
        <f>"1552376986991352"</f>
        <v>1552376986991352</v>
      </c>
      <c r="C5521" t="s">
        <v>40</v>
      </c>
      <c r="D5521">
        <v>4.7085670000000004</v>
      </c>
      <c r="E5521">
        <v>0.41273569999999998</v>
      </c>
      <c r="F5521" t="s">
        <v>42</v>
      </c>
      <c r="G5521">
        <v>-395.28280000000001</v>
      </c>
      <c r="H5521" s="1">
        <v>-2.4407359999999999E-6</v>
      </c>
      <c r="I5521">
        <v>18.31747</v>
      </c>
      <c r="J5521">
        <v>-407.58580000000001</v>
      </c>
      <c r="K5521">
        <v>1.112698</v>
      </c>
      <c r="L5521">
        <v>23.937069999999999</v>
      </c>
      <c r="M5521">
        <v>0.80953790000000003</v>
      </c>
      <c r="N5521">
        <v>0</v>
      </c>
      <c r="O5521">
        <v>-0.58700580000000002</v>
      </c>
      <c r="P5521">
        <v>0.79750940000000003</v>
      </c>
      <c r="Q5521">
        <v>-2.201666E-2</v>
      </c>
      <c r="R5521">
        <v>-0.60290459999999901</v>
      </c>
      <c r="S5521">
        <v>2.790009</v>
      </c>
      <c r="T5521">
        <v>-0.25023960000000001</v>
      </c>
      <c r="U5521">
        <v>-1.2797240000000001</v>
      </c>
      <c r="V5521">
        <v>2.004015E-2</v>
      </c>
      <c r="W5521">
        <v>-1.334395E-2</v>
      </c>
      <c r="X5521">
        <v>0.99971010000000005</v>
      </c>
      <c r="Y5521">
        <v>-0.19381880000000001</v>
      </c>
      <c r="Z5521">
        <v>5.4199480000000001E-2</v>
      </c>
      <c r="AA5521">
        <v>0.97953900000000005</v>
      </c>
      <c r="AB5521">
        <v>22</v>
      </c>
      <c r="AC5521">
        <v>12.3029999999999</v>
      </c>
      <c r="AD5521">
        <v>-1.1127004407359999</v>
      </c>
      <c r="AE5521">
        <v>-5.6196000000000002</v>
      </c>
      <c r="AF5521">
        <v>-2.6547834768288001</v>
      </c>
      <c r="AG5521">
        <v>-1.1127004407359999</v>
      </c>
      <c r="AH5521">
        <v>13.1698346831125</v>
      </c>
      <c r="AI5521">
        <v>94.734578492166307</v>
      </c>
      <c r="AJ5521">
        <v>101.396985765116</v>
      </c>
      <c r="AK5521">
        <v>13.480746387354399</v>
      </c>
      <c r="AL5521">
        <v>90.764574726435001</v>
      </c>
      <c r="AM5521">
        <v>88.851604827283396</v>
      </c>
      <c r="AN5521">
        <v>0.99999997632781701</v>
      </c>
    </row>
    <row r="5522" spans="1:40" x14ac:dyDescent="0.25">
      <c r="A5522" t="str">
        <f>"20190312154947013"</f>
        <v>20190312154947013</v>
      </c>
      <c r="B5522" t="str">
        <f>"1552376987001112"</f>
        <v>1552376987001112</v>
      </c>
      <c r="C5522" t="s">
        <v>40</v>
      </c>
      <c r="D5522">
        <v>4.6846220000000001</v>
      </c>
      <c r="E5522">
        <v>0.41002949999999999</v>
      </c>
      <c r="F5522" t="s">
        <v>42</v>
      </c>
      <c r="G5522">
        <v>-395.2955</v>
      </c>
      <c r="H5522" s="1">
        <v>-2.401568E-6</v>
      </c>
      <c r="I5522">
        <v>18.504249999999999</v>
      </c>
      <c r="J5522">
        <v>-407.50650000000002</v>
      </c>
      <c r="K5522">
        <v>1.1127389999999999</v>
      </c>
      <c r="L5522">
        <v>23.883030000000002</v>
      </c>
      <c r="M5522">
        <v>0.81098210000000004</v>
      </c>
      <c r="N5522">
        <v>0</v>
      </c>
      <c r="O5522">
        <v>-0.58500699999999894</v>
      </c>
      <c r="P5522">
        <v>0.79888319999999902</v>
      </c>
      <c r="Q5522">
        <v>-2.2189549999999999E-2</v>
      </c>
      <c r="R5522">
        <v>-0.60107730000000004</v>
      </c>
      <c r="S5522">
        <v>2.8142399999999999</v>
      </c>
      <c r="T5522">
        <v>-0.25478840000000003</v>
      </c>
      <c r="U5522">
        <v>-1.244019</v>
      </c>
      <c r="V5522">
        <v>2.0220149999999999E-2</v>
      </c>
      <c r="W5522">
        <v>-1.336362E-2</v>
      </c>
      <c r="X5522">
        <v>0.99970619999999999</v>
      </c>
      <c r="Y5522">
        <v>-0.204843</v>
      </c>
      <c r="Z5522">
        <v>5.5275779999999997E-2</v>
      </c>
      <c r="AA5522">
        <v>0.97723280000000001</v>
      </c>
      <c r="AB5522">
        <v>22</v>
      </c>
      <c r="AC5522">
        <v>12.211</v>
      </c>
      <c r="AD5522">
        <v>-1.1127414015679999</v>
      </c>
      <c r="AE5522">
        <v>-5.3787799999999901</v>
      </c>
      <c r="AF5522">
        <v>-2.7623194748262598</v>
      </c>
      <c r="AG5522">
        <v>-1.1127414015679999</v>
      </c>
      <c r="AH5522">
        <v>12.959884083095099</v>
      </c>
      <c r="AI5522">
        <v>94.800102324943694</v>
      </c>
      <c r="AJ5522">
        <v>102.03219025100201</v>
      </c>
      <c r="AK5522">
        <v>13.2976388037512</v>
      </c>
      <c r="AL5522">
        <v>90.765701844719601</v>
      </c>
      <c r="AM5522">
        <v>88.8412882583727</v>
      </c>
      <c r="AN5522">
        <v>0.99999996356198195</v>
      </c>
    </row>
    <row r="5523" spans="1:40" x14ac:dyDescent="0.25">
      <c r="A5523" t="str">
        <f>"20190312154947023"</f>
        <v>20190312154947023</v>
      </c>
      <c r="B5523" t="str">
        <f>"1552376987011848"</f>
        <v>1552376987011848</v>
      </c>
      <c r="C5523" t="s">
        <v>40</v>
      </c>
      <c r="D5523">
        <v>4.6355300000000002</v>
      </c>
      <c r="E5523">
        <v>0.40816940000000002</v>
      </c>
      <c r="F5523" t="s">
        <v>42</v>
      </c>
      <c r="G5523">
        <v>-395.33569999999997</v>
      </c>
      <c r="H5523" s="1">
        <v>-2.3591739999999999E-6</v>
      </c>
      <c r="I5523">
        <v>18.636150000000001</v>
      </c>
      <c r="J5523">
        <v>-407.42399999999998</v>
      </c>
      <c r="K5523">
        <v>1.112784</v>
      </c>
      <c r="L5523">
        <v>23.826840000000001</v>
      </c>
      <c r="M5523">
        <v>0.81248180000000003</v>
      </c>
      <c r="N5523">
        <v>0</v>
      </c>
      <c r="O5523">
        <v>-0.58291990000000005</v>
      </c>
      <c r="P5523">
        <v>0.80023319999999998</v>
      </c>
      <c r="Q5523">
        <v>-2.278109E-2</v>
      </c>
      <c r="R5523">
        <v>-0.59925629999999996</v>
      </c>
      <c r="S5523">
        <v>2.8300779999999999</v>
      </c>
      <c r="T5523">
        <v>-0.25874710000000001</v>
      </c>
      <c r="U5523">
        <v>-1.220062</v>
      </c>
      <c r="V5523">
        <v>2.0526800000000001E-2</v>
      </c>
      <c r="W5523">
        <v>-1.379298E-2</v>
      </c>
      <c r="X5523">
        <v>0.99969419999999998</v>
      </c>
      <c r="Y5523">
        <v>-0.211226</v>
      </c>
      <c r="Z5523">
        <v>5.6104750000000002E-2</v>
      </c>
      <c r="AA5523">
        <v>0.97582570000000002</v>
      </c>
      <c r="AB5523">
        <v>22</v>
      </c>
      <c r="AC5523">
        <v>12.0883</v>
      </c>
      <c r="AD5523">
        <v>-1.1127863591739999</v>
      </c>
      <c r="AE5523">
        <v>-5.19069</v>
      </c>
      <c r="AF5523">
        <v>-2.8091801228252198</v>
      </c>
      <c r="AG5523">
        <v>-1.1127863591739999</v>
      </c>
      <c r="AH5523">
        <v>12.756508447703499</v>
      </c>
      <c r="AI5523">
        <v>94.869362411044094</v>
      </c>
      <c r="AJ5523">
        <v>102.419191948042</v>
      </c>
      <c r="AK5523">
        <v>13.1094734531929</v>
      </c>
      <c r="AL5523">
        <v>90.790304565712304</v>
      </c>
      <c r="AM5523">
        <v>88.823706524736593</v>
      </c>
      <c r="AN5523">
        <v>1.00000004466457</v>
      </c>
    </row>
    <row r="5524" spans="1:40" x14ac:dyDescent="0.25">
      <c r="A5524" t="str">
        <f>"20190312154947036"</f>
        <v>20190312154947036</v>
      </c>
      <c r="B5524" t="str">
        <f>"1552376987031368"</f>
        <v>1552376987031368</v>
      </c>
      <c r="C5524" t="s">
        <v>40</v>
      </c>
      <c r="D5524">
        <v>4.6039309999999896</v>
      </c>
      <c r="E5524">
        <v>0.40590409999999999</v>
      </c>
      <c r="F5524" t="s">
        <v>42</v>
      </c>
      <c r="G5524">
        <v>-395.44529999999997</v>
      </c>
      <c r="H5524" s="1">
        <v>-2.2851730000000001E-6</v>
      </c>
      <c r="I5524">
        <v>18.761330000000001</v>
      </c>
      <c r="J5524">
        <v>-407.32819999999998</v>
      </c>
      <c r="K5524">
        <v>1.112827</v>
      </c>
      <c r="L5524">
        <v>23.762329999999999</v>
      </c>
      <c r="M5524">
        <v>0.81422439999999996</v>
      </c>
      <c r="N5524">
        <v>0</v>
      </c>
      <c r="O5524">
        <v>-0.58048049999999995</v>
      </c>
      <c r="P5524">
        <v>0.80196880000000004</v>
      </c>
      <c r="Q5524">
        <v>-2.2712980000000001E-2</v>
      </c>
      <c r="R5524">
        <v>-0.59693419999999997</v>
      </c>
      <c r="S5524">
        <v>2.8415530000000002</v>
      </c>
      <c r="T5524">
        <v>-0.26397290000000001</v>
      </c>
      <c r="U5524">
        <v>-1.20163</v>
      </c>
      <c r="V5524">
        <v>2.062369E-2</v>
      </c>
      <c r="W5524">
        <v>-1.352363E-2</v>
      </c>
      <c r="X5524">
        <v>0.99969580000000002</v>
      </c>
      <c r="Y5524">
        <v>-0.21498929999999999</v>
      </c>
      <c r="Z5524">
        <v>5.7115140000000002E-2</v>
      </c>
      <c r="AA5524">
        <v>0.97494479999999994</v>
      </c>
      <c r="AB5524">
        <v>22</v>
      </c>
      <c r="AC5524">
        <v>11.882899999999999</v>
      </c>
      <c r="AD5524">
        <v>-1.1128292851729999</v>
      </c>
      <c r="AE5524">
        <v>-5.0010000000000003</v>
      </c>
      <c r="AF5524">
        <v>-2.80507052491952</v>
      </c>
      <c r="AG5524">
        <v>-1.1128292851729999</v>
      </c>
      <c r="AH5524">
        <v>12.485812849370999</v>
      </c>
      <c r="AI5524">
        <v>94.969937059006</v>
      </c>
      <c r="AJ5524">
        <v>102.661874377915</v>
      </c>
      <c r="AK5524">
        <v>12.8453233582199</v>
      </c>
      <c r="AL5524">
        <v>90.774870574970905</v>
      </c>
      <c r="AM5524">
        <v>88.818157680809705</v>
      </c>
      <c r="AN5524">
        <v>0.99999995884761494</v>
      </c>
    </row>
    <row r="5525" spans="1:40" x14ac:dyDescent="0.25">
      <c r="A5525" t="str">
        <f>"20190312154947049"</f>
        <v>20190312154947049</v>
      </c>
      <c r="B5525" t="str">
        <f>"1552376987041128"</f>
        <v>1552376987041128</v>
      </c>
      <c r="C5525" t="s">
        <v>40</v>
      </c>
      <c r="D5525">
        <v>4.5958519999999998</v>
      </c>
      <c r="E5525">
        <v>0.4051382</v>
      </c>
      <c r="F5525" t="s">
        <v>42</v>
      </c>
      <c r="G5525">
        <v>-395.39150000000001</v>
      </c>
      <c r="H5525" s="1">
        <v>-2.2973270000000001E-6</v>
      </c>
      <c r="I5525">
        <v>18.836030000000001</v>
      </c>
      <c r="J5525">
        <v>-407.221</v>
      </c>
      <c r="K5525">
        <v>1.1128819999999999</v>
      </c>
      <c r="L5525">
        <v>23.6904</v>
      </c>
      <c r="M5525">
        <v>0.8161718</v>
      </c>
      <c r="N5525">
        <v>0</v>
      </c>
      <c r="O5525">
        <v>-0.57773540000000001</v>
      </c>
      <c r="P5525">
        <v>0.80382169999999997</v>
      </c>
      <c r="Q5525">
        <v>-2.3447860000000001E-2</v>
      </c>
      <c r="R5525">
        <v>-0.59440839999999995</v>
      </c>
      <c r="S5525">
        <v>2.8559269999999999</v>
      </c>
      <c r="T5525">
        <v>-0.26625189999999999</v>
      </c>
      <c r="U5525">
        <v>-1.17865</v>
      </c>
      <c r="V5525">
        <v>2.0860400000000001E-2</v>
      </c>
      <c r="W5525">
        <v>-1.4024989999999999E-2</v>
      </c>
      <c r="X5525">
        <v>0.99968400000000002</v>
      </c>
      <c r="Y5525">
        <v>-0.22010379999999999</v>
      </c>
      <c r="Z5525">
        <v>5.7493229999999999E-2</v>
      </c>
      <c r="AA5525">
        <v>0.97378069999999906</v>
      </c>
      <c r="AB5525">
        <v>22</v>
      </c>
      <c r="AC5525">
        <v>11.8294999999999</v>
      </c>
      <c r="AD5525">
        <v>-1.1128842973269999</v>
      </c>
      <c r="AE5525">
        <v>-4.8543700000000003</v>
      </c>
      <c r="AF5525">
        <v>-2.8508487701856802</v>
      </c>
      <c r="AG5525">
        <v>-1.1128842973269999</v>
      </c>
      <c r="AH5525">
        <v>12.3663042148843</v>
      </c>
      <c r="AI5525">
        <v>95.011629063793293</v>
      </c>
      <c r="AJ5525">
        <v>102.981798718386</v>
      </c>
      <c r="AK5525">
        <v>12.739361448077799</v>
      </c>
      <c r="AL5525">
        <v>90.803599098368196</v>
      </c>
      <c r="AM5525">
        <v>88.804582801655997</v>
      </c>
      <c r="AN5525">
        <v>0.99999997824432996</v>
      </c>
    </row>
    <row r="5526" spans="1:40" x14ac:dyDescent="0.25">
      <c r="A5526" t="str">
        <f>"20190312154947061"</f>
        <v>20190312154947061</v>
      </c>
      <c r="B5526" t="str">
        <f>"1552376987051864"</f>
        <v>1552376987051864</v>
      </c>
      <c r="C5526" t="s">
        <v>40</v>
      </c>
      <c r="D5526">
        <v>4.5768789999999999</v>
      </c>
      <c r="E5526">
        <v>0.40450520000000001</v>
      </c>
      <c r="F5526" t="s">
        <v>42</v>
      </c>
      <c r="G5526">
        <v>-395.33909999999997</v>
      </c>
      <c r="H5526" s="1">
        <v>-2.3186000000000001E-6</v>
      </c>
      <c r="I5526">
        <v>18.85585</v>
      </c>
      <c r="J5526">
        <v>-407.11700000000002</v>
      </c>
      <c r="K5526">
        <v>1.112938</v>
      </c>
      <c r="L5526">
        <v>23.621189999999999</v>
      </c>
      <c r="M5526">
        <v>0.81805989999999995</v>
      </c>
      <c r="N5526">
        <v>0</v>
      </c>
      <c r="O5526">
        <v>-0.57505479999999998</v>
      </c>
      <c r="P5526">
        <v>0.80574299999999999</v>
      </c>
      <c r="Q5526">
        <v>-2.3331049999999999E-2</v>
      </c>
      <c r="R5526">
        <v>-0.59180549999999998</v>
      </c>
      <c r="S5526">
        <v>2.862946</v>
      </c>
      <c r="T5526">
        <v>-0.26814969999999999</v>
      </c>
      <c r="U5526">
        <v>-1.1648860000000001</v>
      </c>
      <c r="V5526">
        <v>2.090117E-2</v>
      </c>
      <c r="W5526">
        <v>-1.3670969999999999E-2</v>
      </c>
      <c r="X5526">
        <v>0.99968809999999997</v>
      </c>
      <c r="Y5526">
        <v>-0.22172739999999999</v>
      </c>
      <c r="Z5526">
        <v>5.7723749999999997E-2</v>
      </c>
      <c r="AA5526">
        <v>0.97339869999999995</v>
      </c>
      <c r="AB5526">
        <v>22</v>
      </c>
      <c r="AC5526">
        <v>11.777899999999899</v>
      </c>
      <c r="AD5526">
        <v>-1.1129403186</v>
      </c>
      <c r="AE5526">
        <v>-4.7653399999999904</v>
      </c>
      <c r="AF5526">
        <v>-2.8528437612911999</v>
      </c>
      <c r="AG5526">
        <v>-1.1129403186</v>
      </c>
      <c r="AH5526">
        <v>12.2816785179352</v>
      </c>
      <c r="AI5526">
        <v>95.044305922308894</v>
      </c>
      <c r="AJ5526">
        <v>103.077019127619</v>
      </c>
      <c r="AK5526">
        <v>12.657684657828</v>
      </c>
      <c r="AL5526">
        <v>90.783313263538503</v>
      </c>
      <c r="AM5526">
        <v>88.802252044232404</v>
      </c>
      <c r="AN5526">
        <v>1.00000002580485</v>
      </c>
    </row>
    <row r="5527" spans="1:40" x14ac:dyDescent="0.25">
      <c r="A5527" t="str">
        <f>"20190312154947080"</f>
        <v>20190312154947080</v>
      </c>
      <c r="B5527" t="str">
        <f>"1552376987071384"</f>
        <v>1552376987071384</v>
      </c>
      <c r="C5527" t="s">
        <v>40</v>
      </c>
      <c r="D5527">
        <v>4.5601830000000003</v>
      </c>
      <c r="E5527">
        <v>0.403725</v>
      </c>
      <c r="F5527" t="s">
        <v>42</v>
      </c>
      <c r="G5527">
        <v>-395.22539999999998</v>
      </c>
      <c r="H5527" s="1">
        <v>-2.3732910000000002E-6</v>
      </c>
      <c r="I5527">
        <v>18.850529999999999</v>
      </c>
      <c r="J5527">
        <v>-406.97370000000001</v>
      </c>
      <c r="K5527">
        <v>1.1130059999999999</v>
      </c>
      <c r="L5527">
        <v>23.526789999999998</v>
      </c>
      <c r="M5527">
        <v>0.82065789999999905</v>
      </c>
      <c r="N5527">
        <v>0</v>
      </c>
      <c r="O5527">
        <v>-0.5713357</v>
      </c>
      <c r="P5527">
        <v>0.80842809999999998</v>
      </c>
      <c r="Q5527">
        <v>-2.3627909999999998E-2</v>
      </c>
      <c r="R5527">
        <v>-0.58812109999999995</v>
      </c>
      <c r="S5527">
        <v>2.8698730000000001</v>
      </c>
      <c r="T5527">
        <v>-0.26859349999999999</v>
      </c>
      <c r="U5527">
        <v>-1.1513370000000001</v>
      </c>
      <c r="V5527">
        <v>2.0877880000000001E-2</v>
      </c>
      <c r="W5527">
        <v>-1.3640940000000001E-2</v>
      </c>
      <c r="X5527">
        <v>0.99968900000000005</v>
      </c>
      <c r="Y5527">
        <v>-0.22208240000000001</v>
      </c>
      <c r="Z5527">
        <v>5.7510510000000001E-2</v>
      </c>
      <c r="AA5527">
        <v>0.97333040000000004</v>
      </c>
      <c r="AB5527">
        <v>22</v>
      </c>
      <c r="AC5527">
        <v>11.7483</v>
      </c>
      <c r="AD5527">
        <v>-1.1130083732910001</v>
      </c>
      <c r="AE5527">
        <v>-4.6762599999999903</v>
      </c>
      <c r="AF5527">
        <v>-2.85265004685529</v>
      </c>
      <c r="AG5527">
        <v>-1.1130083732910001</v>
      </c>
      <c r="AH5527">
        <v>12.2189717968911</v>
      </c>
      <c r="AI5527">
        <v>95.069056363249402</v>
      </c>
      <c r="AJ5527">
        <v>103.140944388452</v>
      </c>
      <c r="AK5527">
        <v>12.5968119658134</v>
      </c>
      <c r="AL5527">
        <v>90.781592508434898</v>
      </c>
      <c r="AM5527">
        <v>88.803587373472297</v>
      </c>
      <c r="AN5527">
        <v>1.0000000289191799</v>
      </c>
    </row>
    <row r="5528" spans="1:40" x14ac:dyDescent="0.25">
      <c r="A5528" t="str">
        <f>"20190312154947090"</f>
        <v>20190312154947090</v>
      </c>
      <c r="B5528" t="str">
        <f>"1552376987081144"</f>
        <v>1552376987081144</v>
      </c>
      <c r="C5528" t="s">
        <v>40</v>
      </c>
      <c r="D5528">
        <v>4.5329990000000002</v>
      </c>
      <c r="E5528">
        <v>0.40350619999999998</v>
      </c>
      <c r="F5528" t="s">
        <v>42</v>
      </c>
      <c r="G5528">
        <v>-395.08870000000002</v>
      </c>
      <c r="H5528" s="1">
        <v>-2.4384389999999998E-6</v>
      </c>
      <c r="I5528">
        <v>18.847639999999998</v>
      </c>
      <c r="J5528">
        <v>-406.88690000000003</v>
      </c>
      <c r="K5528">
        <v>1.1130389999999999</v>
      </c>
      <c r="L5528">
        <v>23.470030000000001</v>
      </c>
      <c r="M5528">
        <v>0.8222275</v>
      </c>
      <c r="N5528">
        <v>0</v>
      </c>
      <c r="O5528">
        <v>-0.56907109999999905</v>
      </c>
      <c r="P5528">
        <v>0.80996669999999904</v>
      </c>
      <c r="Q5528">
        <v>-2.3522479999999998E-2</v>
      </c>
      <c r="R5528">
        <v>-0.58600430000000003</v>
      </c>
      <c r="S5528">
        <v>2.878571</v>
      </c>
      <c r="T5528">
        <v>-0.26957320000000001</v>
      </c>
      <c r="U5528">
        <v>-1.1333009999999999</v>
      </c>
      <c r="V5528">
        <v>2.1013690000000002E-2</v>
      </c>
      <c r="W5528">
        <v>-1.333872E-2</v>
      </c>
      <c r="X5528">
        <v>0.99969019999999997</v>
      </c>
      <c r="Y5528">
        <v>-0.2256609</v>
      </c>
      <c r="Z5528">
        <v>5.7644870000000001E-2</v>
      </c>
      <c r="AA5528">
        <v>0.972499</v>
      </c>
      <c r="AB5528">
        <v>22</v>
      </c>
      <c r="AC5528">
        <v>11.7982</v>
      </c>
      <c r="AD5528">
        <v>-1.1130414384389999</v>
      </c>
      <c r="AE5528">
        <v>-4.6223899999999896</v>
      </c>
      <c r="AF5528">
        <v>-2.89119662764561</v>
      </c>
      <c r="AG5528">
        <v>-1.1130414384389999</v>
      </c>
      <c r="AH5528">
        <v>12.2374693431564</v>
      </c>
      <c r="AI5528">
        <v>95.058449839240495</v>
      </c>
      <c r="AJ5528">
        <v>103.292822829367</v>
      </c>
      <c r="AK5528">
        <v>12.6235310079266</v>
      </c>
      <c r="AL5528">
        <v>90.7642750275662</v>
      </c>
      <c r="AM5528">
        <v>88.795808473535899</v>
      </c>
      <c r="AN5528">
        <v>0.99999999629734704</v>
      </c>
    </row>
    <row r="5529" spans="1:40" x14ac:dyDescent="0.25">
      <c r="A5529" t="str">
        <f>"20190312154947100"</f>
        <v>20190312154947100</v>
      </c>
      <c r="B5529" t="str">
        <f>"1552376987090905"</f>
        <v>1552376987090905</v>
      </c>
      <c r="C5529" t="s">
        <v>40</v>
      </c>
      <c r="D5529">
        <v>4.6540819999999998</v>
      </c>
      <c r="E5529">
        <v>0.40344380000000002</v>
      </c>
      <c r="F5529" t="s">
        <v>42</v>
      </c>
      <c r="G5529">
        <v>-394.98520000000002</v>
      </c>
      <c r="H5529" s="1">
        <v>-2.4908899999999999E-6</v>
      </c>
      <c r="I5529">
        <v>18.827760000000001</v>
      </c>
      <c r="J5529">
        <v>-406.80079999999998</v>
      </c>
      <c r="K5529">
        <v>1.1130739999999999</v>
      </c>
      <c r="L5529">
        <v>23.414059999999999</v>
      </c>
      <c r="M5529">
        <v>0.82378259999999903</v>
      </c>
      <c r="N5529">
        <v>0</v>
      </c>
      <c r="O5529">
        <v>-0.56681400000000004</v>
      </c>
      <c r="P5529">
        <v>0.81153949999999997</v>
      </c>
      <c r="Q5529">
        <v>-2.3992030000000001E-2</v>
      </c>
      <c r="R5529">
        <v>-0.58380469999999995</v>
      </c>
      <c r="S5529">
        <v>2.8825989999999999</v>
      </c>
      <c r="T5529">
        <v>-0.26957880000000001</v>
      </c>
      <c r="U5529">
        <v>-1.1243590000000001</v>
      </c>
      <c r="V5529">
        <v>2.1052399999999999E-2</v>
      </c>
      <c r="W5529">
        <v>-1.361655E-2</v>
      </c>
      <c r="X5529">
        <v>0.99968559999999995</v>
      </c>
      <c r="Y5529">
        <v>-0.22607730000000001</v>
      </c>
      <c r="Z5529">
        <v>5.7472179999999998E-2</v>
      </c>
      <c r="AA5529">
        <v>0.97241250000000001</v>
      </c>
      <c r="AB5529">
        <v>22</v>
      </c>
      <c r="AC5529">
        <v>11.8155999999999</v>
      </c>
      <c r="AD5529">
        <v>-1.1130764908899999</v>
      </c>
      <c r="AE5529">
        <v>-4.5862999999999898</v>
      </c>
      <c r="AF5529">
        <v>-2.8969429612573099</v>
      </c>
      <c r="AG5529">
        <v>-1.1130764908899999</v>
      </c>
      <c r="AH5529">
        <v>12.239312382645901</v>
      </c>
      <c r="AI5529">
        <v>95.057361588745593</v>
      </c>
      <c r="AJ5529">
        <v>103.316368047008</v>
      </c>
      <c r="AK5529">
        <v>12.6266379292091</v>
      </c>
      <c r="AL5529">
        <v>90.780194991184501</v>
      </c>
      <c r="AM5529">
        <v>88.7935852986611</v>
      </c>
      <c r="AN5529">
        <v>0.99999995641351003</v>
      </c>
    </row>
    <row r="5530" spans="1:40" x14ac:dyDescent="0.25">
      <c r="A5530" t="str">
        <f>"20190312154947112"</f>
        <v>20190312154947112</v>
      </c>
      <c r="B5530" t="str">
        <f>"1552376987101641"</f>
        <v>1552376987101641</v>
      </c>
      <c r="C5530" t="s">
        <v>40</v>
      </c>
      <c r="D5530">
        <v>4.5045039999999998</v>
      </c>
      <c r="E5530">
        <v>0.40333659999999999</v>
      </c>
      <c r="F5530" t="s">
        <v>42</v>
      </c>
      <c r="G5530">
        <v>-394.89929999999998</v>
      </c>
      <c r="H5530" s="1">
        <v>-2.5344650000000001E-6</v>
      </c>
      <c r="I5530">
        <v>18.81109</v>
      </c>
      <c r="J5530">
        <v>-406.7149</v>
      </c>
      <c r="K5530">
        <v>1.1131009999999999</v>
      </c>
      <c r="L5530">
        <v>23.35867</v>
      </c>
      <c r="M5530">
        <v>0.82532850000000002</v>
      </c>
      <c r="N5530">
        <v>0</v>
      </c>
      <c r="O5530">
        <v>-0.56455749999999905</v>
      </c>
      <c r="P5530">
        <v>0.81311309999999903</v>
      </c>
      <c r="Q5530">
        <v>-2.4123780000000001E-2</v>
      </c>
      <c r="R5530">
        <v>-0.58160630000000002</v>
      </c>
      <c r="S5530">
        <v>2.8857729999999999</v>
      </c>
      <c r="T5530">
        <v>-0.2698892</v>
      </c>
      <c r="U5530">
        <v>-1.1160890000000001</v>
      </c>
      <c r="V5530">
        <v>2.108314E-2</v>
      </c>
      <c r="W5530">
        <v>-1.3563209999999999E-2</v>
      </c>
      <c r="X5530">
        <v>0.99968570000000001</v>
      </c>
      <c r="Y5530">
        <v>-0.2261987</v>
      </c>
      <c r="Z5530">
        <v>5.7362660000000003E-2</v>
      </c>
      <c r="AA5530">
        <v>0.97239070000000005</v>
      </c>
      <c r="AB5530">
        <v>22</v>
      </c>
      <c r="AC5530">
        <v>11.8156</v>
      </c>
      <c r="AD5530">
        <v>-1.113103534465</v>
      </c>
      <c r="AE5530">
        <v>-4.54758</v>
      </c>
      <c r="AF5530">
        <v>-2.8951166782116302</v>
      </c>
      <c r="AG5530">
        <v>-1.113103534465</v>
      </c>
      <c r="AH5530">
        <v>12.2252863366484</v>
      </c>
      <c r="AI5530">
        <v>95.063118168302097</v>
      </c>
      <c r="AJ5530">
        <v>103.322996351142</v>
      </c>
      <c r="AK5530">
        <v>12.612625661294301</v>
      </c>
      <c r="AL5530">
        <v>90.7771385342716</v>
      </c>
      <c r="AM5530">
        <v>88.791824375433393</v>
      </c>
      <c r="AN5530">
        <v>0.99999997912112604</v>
      </c>
    </row>
    <row r="5531" spans="1:40" x14ac:dyDescent="0.25">
      <c r="A5531" t="str">
        <f>"20190312154947123"</f>
        <v>20190312154947123</v>
      </c>
      <c r="B5531" t="str">
        <f>"1552376987111401"</f>
        <v>1552376987111401</v>
      </c>
      <c r="C5531" t="s">
        <v>40</v>
      </c>
      <c r="D5531">
        <v>4.493906</v>
      </c>
      <c r="E5531">
        <v>0.40328170000000002</v>
      </c>
      <c r="F5531" t="s">
        <v>42</v>
      </c>
      <c r="G5531">
        <v>-394.77510000000001</v>
      </c>
      <c r="H5531" s="1">
        <v>-2.598386E-6</v>
      </c>
      <c r="I5531">
        <v>18.78153</v>
      </c>
      <c r="J5531">
        <v>-406.6182</v>
      </c>
      <c r="K5531">
        <v>1.11313</v>
      </c>
      <c r="L5531">
        <v>23.296600000000002</v>
      </c>
      <c r="M5531">
        <v>0.82706250000000003</v>
      </c>
      <c r="N5531">
        <v>0</v>
      </c>
      <c r="O5531">
        <v>-0.56201040000000002</v>
      </c>
      <c r="P5531">
        <v>0.814778</v>
      </c>
      <c r="Q5531">
        <v>-2.4600009999999999E-2</v>
      </c>
      <c r="R5531">
        <v>-0.57925130000000002</v>
      </c>
      <c r="S5531">
        <v>2.8892519999999999</v>
      </c>
      <c r="T5531">
        <v>-0.26935530000000002</v>
      </c>
      <c r="U5531">
        <v>-1.107605</v>
      </c>
      <c r="V5531">
        <v>2.1281910000000001E-2</v>
      </c>
      <c r="W5531">
        <v>-1.3834229999999999E-2</v>
      </c>
      <c r="X5531">
        <v>0.99967779999999995</v>
      </c>
      <c r="Y5531">
        <v>-0.22609860000000001</v>
      </c>
      <c r="Z5531">
        <v>5.7038779999999997E-2</v>
      </c>
      <c r="AA5531">
        <v>0.97243299999999999</v>
      </c>
      <c r="AB5531">
        <v>22</v>
      </c>
      <c r="AC5531">
        <v>11.8430999999999</v>
      </c>
      <c r="AD5531">
        <v>-1.1131325983860001</v>
      </c>
      <c r="AE5531">
        <v>-4.5150699999999997</v>
      </c>
      <c r="AF5531">
        <v>-2.8994997879725202</v>
      </c>
      <c r="AG5531">
        <v>-1.1131325983860001</v>
      </c>
      <c r="AH5531">
        <v>12.238791861827099</v>
      </c>
      <c r="AI5531">
        <v>95.057582132449099</v>
      </c>
      <c r="AJ5531">
        <v>103.32824839084</v>
      </c>
      <c r="AK5531">
        <v>12.6267252064487</v>
      </c>
      <c r="AL5531">
        <v>90.792668273706298</v>
      </c>
      <c r="AM5531">
        <v>88.780427590668793</v>
      </c>
      <c r="AN5531">
        <v>1.0000000047128901</v>
      </c>
    </row>
    <row r="5532" spans="1:40" x14ac:dyDescent="0.25">
      <c r="A5532" t="str">
        <f>"20190312154947134"</f>
        <v>20190312154947134</v>
      </c>
      <c r="B5532" t="str">
        <f>"1552376987130921"</f>
        <v>1552376987130921</v>
      </c>
      <c r="C5532" t="s">
        <v>40</v>
      </c>
      <c r="D5532">
        <v>4.4977689999999999</v>
      </c>
      <c r="E5532">
        <v>0.40323029999999999</v>
      </c>
      <c r="F5532" t="s">
        <v>42</v>
      </c>
      <c r="G5532">
        <v>-394.71629999999999</v>
      </c>
      <c r="H5532" s="1">
        <v>-2.6274270000000001E-6</v>
      </c>
      <c r="I5532">
        <v>18.7745</v>
      </c>
      <c r="J5532">
        <v>-406.52749999999997</v>
      </c>
      <c r="K5532">
        <v>1.1131519999999999</v>
      </c>
      <c r="L5532">
        <v>23.238980000000002</v>
      </c>
      <c r="M5532">
        <v>0.8286808</v>
      </c>
      <c r="N5532">
        <v>0</v>
      </c>
      <c r="O5532">
        <v>-0.55961810000000001</v>
      </c>
      <c r="P5532">
        <v>0.81648500000000002</v>
      </c>
      <c r="Q5532">
        <v>-2.4867340000000002E-2</v>
      </c>
      <c r="R5532">
        <v>-0.57683119999999999</v>
      </c>
      <c r="S5532">
        <v>2.892487</v>
      </c>
      <c r="T5532">
        <v>-0.27052310000000002</v>
      </c>
      <c r="U5532">
        <v>-1.0989990000000001</v>
      </c>
      <c r="V5532">
        <v>2.120874E-2</v>
      </c>
      <c r="W5532">
        <v>-1.3921330000000001E-2</v>
      </c>
      <c r="X5532">
        <v>0.99967810000000001</v>
      </c>
      <c r="Y5532">
        <v>-0.2261601</v>
      </c>
      <c r="Z5532">
        <v>5.7095970000000003E-2</v>
      </c>
      <c r="AA5532">
        <v>0.97241540000000004</v>
      </c>
      <c r="AB5532">
        <v>22</v>
      </c>
      <c r="AC5532">
        <v>11.8111999999999</v>
      </c>
      <c r="AD5532">
        <v>-1.1131546274269899</v>
      </c>
      <c r="AE5532">
        <v>-4.4644799999999902</v>
      </c>
      <c r="AF5532">
        <v>-2.8878568344366098</v>
      </c>
      <c r="AG5532">
        <v>-1.1131546274269899</v>
      </c>
      <c r="AH5532">
        <v>12.192074379804801</v>
      </c>
      <c r="AI5532">
        <v>95.077014024299203</v>
      </c>
      <c r="AJ5532">
        <v>103.325689414377</v>
      </c>
      <c r="AK5532">
        <v>12.5787721182736</v>
      </c>
      <c r="AL5532">
        <v>90.797659253297795</v>
      </c>
      <c r="AM5532">
        <v>88.784619745438604</v>
      </c>
      <c r="AN5532">
        <v>0.99999995885048198</v>
      </c>
    </row>
    <row r="5533" spans="1:40" x14ac:dyDescent="0.25">
      <c r="A5533" t="str">
        <f>"20190312154947145"</f>
        <v>20190312154947145</v>
      </c>
      <c r="B5533" t="str">
        <f>"1552376987141657"</f>
        <v>1552376987141657</v>
      </c>
      <c r="C5533" t="s">
        <v>40</v>
      </c>
      <c r="D5533">
        <v>4.4187250000000002</v>
      </c>
      <c r="E5533">
        <v>0.40310970000000002</v>
      </c>
      <c r="F5533" t="s">
        <v>42</v>
      </c>
      <c r="G5533">
        <v>-394.63319999999999</v>
      </c>
      <c r="H5533" s="1">
        <v>-2.6689840000000002E-6</v>
      </c>
      <c r="I5533">
        <v>18.761679999999998</v>
      </c>
      <c r="J5533">
        <v>-406.4425</v>
      </c>
      <c r="K5533">
        <v>1.1131709999999999</v>
      </c>
      <c r="L5533">
        <v>23.18506</v>
      </c>
      <c r="M5533">
        <v>0.83019270000000001</v>
      </c>
      <c r="N5533">
        <v>0</v>
      </c>
      <c r="O5533">
        <v>-0.55736960000000002</v>
      </c>
      <c r="P5533">
        <v>0.81813649999999905</v>
      </c>
      <c r="Q5533">
        <v>-2.52695E-2</v>
      </c>
      <c r="R5533">
        <v>-0.57446909999999995</v>
      </c>
      <c r="S5533">
        <v>2.895905</v>
      </c>
      <c r="T5533">
        <v>-0.27101950000000002</v>
      </c>
      <c r="U5533">
        <v>-1.0900879999999999</v>
      </c>
      <c r="V5533">
        <v>2.1037320000000002E-2</v>
      </c>
      <c r="W5533">
        <v>-1.415694E-2</v>
      </c>
      <c r="X5533">
        <v>0.99967839999999997</v>
      </c>
      <c r="Y5533">
        <v>-0.22651789999999999</v>
      </c>
      <c r="Z5533">
        <v>5.7031970000000001E-2</v>
      </c>
      <c r="AA5533">
        <v>0.97233590000000003</v>
      </c>
      <c r="AB5533">
        <v>22</v>
      </c>
      <c r="AC5533">
        <v>11.8093</v>
      </c>
      <c r="AD5533">
        <v>-1.1131736689839999</v>
      </c>
      <c r="AE5533">
        <v>-4.4233799999999999</v>
      </c>
      <c r="AF5533">
        <v>-2.88756014778662</v>
      </c>
      <c r="AG5533">
        <v>-1.1131736689839999</v>
      </c>
      <c r="AH5533">
        <v>12.1753115497831</v>
      </c>
      <c r="AI5533">
        <v>95.083711458787306</v>
      </c>
      <c r="AJ5533">
        <v>103.342058470555</v>
      </c>
      <c r="AK5533">
        <v>12.5624587783875</v>
      </c>
      <c r="AL5533">
        <v>90.811160053791099</v>
      </c>
      <c r="AM5533">
        <v>88.794440527699905</v>
      </c>
      <c r="AN5533">
        <v>0.99999994560475103</v>
      </c>
    </row>
    <row r="5534" spans="1:40" x14ac:dyDescent="0.25">
      <c r="A5534" t="str">
        <f>"20190312154947156"</f>
        <v>20190312154947156</v>
      </c>
      <c r="B5534" t="str">
        <f>"1552376987151417"</f>
        <v>1552376987151417</v>
      </c>
      <c r="C5534" t="s">
        <v>40</v>
      </c>
      <c r="D5534">
        <v>4.4275419999999999</v>
      </c>
      <c r="E5534">
        <v>0.4030359</v>
      </c>
      <c r="F5534" t="s">
        <v>42</v>
      </c>
      <c r="G5534">
        <v>-394.61849999999998</v>
      </c>
      <c r="H5534" s="1">
        <v>-2.6730789999999999E-6</v>
      </c>
      <c r="I5534">
        <v>18.777799999999999</v>
      </c>
      <c r="J5534">
        <v>-406.34980000000002</v>
      </c>
      <c r="K5534">
        <v>1.113181</v>
      </c>
      <c r="L5534">
        <v>23.126919999999998</v>
      </c>
      <c r="M5534">
        <v>0.83183200000000002</v>
      </c>
      <c r="N5534">
        <v>0</v>
      </c>
      <c r="O5534">
        <v>-0.55491639999999998</v>
      </c>
      <c r="P5534">
        <v>0.8199225</v>
      </c>
      <c r="Q5534">
        <v>-2.536853E-2</v>
      </c>
      <c r="R5534">
        <v>-0.57191219999999998</v>
      </c>
      <c r="S5534">
        <v>2.8995669999999998</v>
      </c>
      <c r="T5534">
        <v>-0.27298060000000002</v>
      </c>
      <c r="U5534">
        <v>-1.0807800000000001</v>
      </c>
      <c r="V5534">
        <v>2.0867529999999999E-2</v>
      </c>
      <c r="W5534">
        <v>-1.408528E-2</v>
      </c>
      <c r="X5534">
        <v>0.99968299999999999</v>
      </c>
      <c r="Y5534">
        <v>-0.22675680000000001</v>
      </c>
      <c r="Z5534">
        <v>5.7249840000000003E-2</v>
      </c>
      <c r="AA5534">
        <v>0.97226729999999995</v>
      </c>
      <c r="AB5534">
        <v>22</v>
      </c>
      <c r="AC5534">
        <v>11.731299999999999</v>
      </c>
      <c r="AD5534">
        <v>-1.1131836730789999</v>
      </c>
      <c r="AE5534">
        <v>-4.3491200000000001</v>
      </c>
      <c r="AF5534">
        <v>-2.86961564661609</v>
      </c>
      <c r="AG5534">
        <v>-1.1131836730789999</v>
      </c>
      <c r="AH5534">
        <v>12.0770160079035</v>
      </c>
      <c r="AI5534">
        <v>95.124405308935195</v>
      </c>
      <c r="AJ5534">
        <v>103.366165779338</v>
      </c>
      <c r="AK5534">
        <v>12.4630729559155</v>
      </c>
      <c r="AL5534">
        <v>90.807053805097098</v>
      </c>
      <c r="AM5534">
        <v>88.804173135679306</v>
      </c>
      <c r="AN5534">
        <v>0.99999997470498903</v>
      </c>
    </row>
    <row r="5535" spans="1:40" x14ac:dyDescent="0.25">
      <c r="A5535" t="str">
        <f>"20190312154947168"</f>
        <v>20190312154947168</v>
      </c>
      <c r="B5535" t="str">
        <f>"1552376987161176"</f>
        <v>1552376987161176</v>
      </c>
      <c r="C5535" t="s">
        <v>40</v>
      </c>
      <c r="D5535">
        <v>4.3909940000000001</v>
      </c>
      <c r="E5535">
        <v>0.40301730000000002</v>
      </c>
      <c r="F5535" t="s">
        <v>42</v>
      </c>
      <c r="G5535">
        <v>-394.50490000000002</v>
      </c>
      <c r="H5535" s="1">
        <v>-2.7306190000000001E-6</v>
      </c>
      <c r="I5535">
        <v>18.756060000000002</v>
      </c>
      <c r="J5535">
        <v>-406.25779999999997</v>
      </c>
      <c r="K5535">
        <v>1.113191</v>
      </c>
      <c r="L5535">
        <v>23.069430000000001</v>
      </c>
      <c r="M5535">
        <v>0.83344979999999902</v>
      </c>
      <c r="N5535">
        <v>0</v>
      </c>
      <c r="O5535">
        <v>-0.55248039999999998</v>
      </c>
      <c r="P5535">
        <v>0.82149179999999999</v>
      </c>
      <c r="Q5535">
        <v>-2.5818810000000001E-2</v>
      </c>
      <c r="R5535">
        <v>-0.56963599999999903</v>
      </c>
      <c r="S5535">
        <v>2.9031370000000001</v>
      </c>
      <c r="T5535">
        <v>-0.27283869999999999</v>
      </c>
      <c r="U5535">
        <v>-1.0712889999999999</v>
      </c>
      <c r="V5535">
        <v>2.1028169999999999E-2</v>
      </c>
      <c r="W5535">
        <v>-1.436671E-2</v>
      </c>
      <c r="X5535">
        <v>0.9996756</v>
      </c>
      <c r="Y5535">
        <v>-0.2271058</v>
      </c>
      <c r="Z5535">
        <v>5.7035160000000001E-2</v>
      </c>
      <c r="AA5535">
        <v>0.97219849999999997</v>
      </c>
      <c r="AB5535">
        <v>22</v>
      </c>
      <c r="AC5535">
        <v>11.752899999999901</v>
      </c>
      <c r="AD5535">
        <v>-1.1131937306190001</v>
      </c>
      <c r="AE5535">
        <v>-4.3133699999999902</v>
      </c>
      <c r="AF5535">
        <v>-2.87571707329518</v>
      </c>
      <c r="AG5535">
        <v>-1.1131937306190001</v>
      </c>
      <c r="AH5535">
        <v>12.083739304039099</v>
      </c>
      <c r="AI5535">
        <v>95.121187982045598</v>
      </c>
      <c r="AJ5535">
        <v>103.386378364181</v>
      </c>
      <c r="AK5535">
        <v>12.4709945287258</v>
      </c>
      <c r="AL5535">
        <v>90.823180212515894</v>
      </c>
      <c r="AM5535">
        <v>88.794961346499207</v>
      </c>
      <c r="AN5535">
        <v>0.99999994576256501</v>
      </c>
    </row>
    <row r="5536" spans="1:40" x14ac:dyDescent="0.25">
      <c r="A5536" t="str">
        <f>"20190312154947178"</f>
        <v>20190312154947178</v>
      </c>
      <c r="B5536" t="str">
        <f>"1552376987170937"</f>
        <v>1552376987170937</v>
      </c>
      <c r="C5536" t="s">
        <v>40</v>
      </c>
      <c r="D5536">
        <v>4.4560810000000002</v>
      </c>
      <c r="E5536">
        <v>0.40308179999999999</v>
      </c>
      <c r="F5536" t="s">
        <v>42</v>
      </c>
      <c r="G5536">
        <v>-394.44330000000002</v>
      </c>
      <c r="H5536" s="1">
        <v>-2.7612529999999999E-6</v>
      </c>
      <c r="I5536">
        <v>18.74756</v>
      </c>
      <c r="J5536">
        <v>-406.16480000000001</v>
      </c>
      <c r="K5536">
        <v>1.1131979999999999</v>
      </c>
      <c r="L5536">
        <v>23.01172</v>
      </c>
      <c r="M5536">
        <v>0.83507809999999905</v>
      </c>
      <c r="N5536">
        <v>0</v>
      </c>
      <c r="O5536">
        <v>-0.55001250000000002</v>
      </c>
      <c r="P5536">
        <v>0.82303760000000004</v>
      </c>
      <c r="Q5536">
        <v>-2.607052E-2</v>
      </c>
      <c r="R5536">
        <v>-0.56738880000000003</v>
      </c>
      <c r="S5536">
        <v>2.9060969999999999</v>
      </c>
      <c r="T5536">
        <v>-0.27382000000000001</v>
      </c>
      <c r="U5536">
        <v>-1.06308</v>
      </c>
      <c r="V5536">
        <v>2.1256690000000002E-2</v>
      </c>
      <c r="W5536">
        <v>-1.445684E-2</v>
      </c>
      <c r="X5536">
        <v>0.99966960000000005</v>
      </c>
      <c r="Y5536">
        <v>-0.2269582</v>
      </c>
      <c r="Z5536">
        <v>5.7033680000000003E-2</v>
      </c>
      <c r="AA5536">
        <v>0.97223309999999996</v>
      </c>
      <c r="AB5536">
        <v>22</v>
      </c>
      <c r="AC5536">
        <v>11.721499999999899</v>
      </c>
      <c r="AD5536">
        <v>-1.1132007612529999</v>
      </c>
      <c r="AE5536">
        <v>-4.2641599999999897</v>
      </c>
      <c r="AF5536">
        <v>-2.8634454502365898</v>
      </c>
      <c r="AG5536">
        <v>-1.1132007612529999</v>
      </c>
      <c r="AH5536">
        <v>12.038611708253701</v>
      </c>
      <c r="AI5536">
        <v>95.140461271813706</v>
      </c>
      <c r="AJ5536">
        <v>103.37947745287499</v>
      </c>
      <c r="AK5536">
        <v>12.4244399327872</v>
      </c>
      <c r="AL5536">
        <v>90.828344708123296</v>
      </c>
      <c r="AM5536">
        <v>88.781862412990293</v>
      </c>
      <c r="AN5536">
        <v>1.00000007812834</v>
      </c>
    </row>
    <row r="5537" spans="1:40" x14ac:dyDescent="0.25">
      <c r="A5537" t="str">
        <f>"20190312154947189"</f>
        <v>20190312154947189</v>
      </c>
      <c r="B5537" t="str">
        <f>"1552376987181672"</f>
        <v>1552376987181672</v>
      </c>
      <c r="C5537" t="s">
        <v>40</v>
      </c>
      <c r="D5537">
        <v>4.4775099999999997</v>
      </c>
      <c r="E5537">
        <v>0.40329330000000002</v>
      </c>
      <c r="F5537" t="s">
        <v>42</v>
      </c>
      <c r="G5537">
        <v>-394.34690000000001</v>
      </c>
      <c r="H5537" s="1">
        <v>-2.8112610000000001E-6</v>
      </c>
      <c r="I5537">
        <v>18.72268</v>
      </c>
      <c r="J5537">
        <v>-406.08170000000001</v>
      </c>
      <c r="K5537">
        <v>1.1132</v>
      </c>
      <c r="L5537">
        <v>22.96048</v>
      </c>
      <c r="M5537">
        <v>0.83652399999999905</v>
      </c>
      <c r="N5537">
        <v>0</v>
      </c>
      <c r="O5537">
        <v>-0.54780810000000002</v>
      </c>
      <c r="P5537">
        <v>0.8243798</v>
      </c>
      <c r="Q5537">
        <v>-2.6093310000000002E-2</v>
      </c>
      <c r="R5537">
        <v>-0.56543500000000002</v>
      </c>
      <c r="S5537">
        <v>2.9086609999999999</v>
      </c>
      <c r="T5537">
        <v>-0.27398479999999997</v>
      </c>
      <c r="U5537">
        <v>-1.055634</v>
      </c>
      <c r="V5537">
        <v>2.152082E-2</v>
      </c>
      <c r="W5537">
        <v>-1.4339589999999999E-2</v>
      </c>
      <c r="X5537">
        <v>0.99966560000000004</v>
      </c>
      <c r="Y5537">
        <v>-0.22686990000000001</v>
      </c>
      <c r="Z5537">
        <v>5.688733E-2</v>
      </c>
      <c r="AA5537">
        <v>0.97226230000000002</v>
      </c>
      <c r="AB5537">
        <v>22</v>
      </c>
      <c r="AC5537">
        <v>11.7348</v>
      </c>
      <c r="AD5537">
        <v>-1.113202811261</v>
      </c>
      <c r="AE5537">
        <v>-4.2378</v>
      </c>
      <c r="AF5537">
        <v>-2.8608156187372802</v>
      </c>
      <c r="AG5537">
        <v>-1.113202811261</v>
      </c>
      <c r="AH5537">
        <v>12.042884104373799</v>
      </c>
      <c r="AI5537">
        <v>95.139004961020206</v>
      </c>
      <c r="AJ5537">
        <v>103.36305858826</v>
      </c>
      <c r="AK5537">
        <v>12.427974253867401</v>
      </c>
      <c r="AL5537">
        <v>90.821626112817398</v>
      </c>
      <c r="AM5537">
        <v>88.766725870827699</v>
      </c>
      <c r="AN5537">
        <v>1.0000000406790901</v>
      </c>
    </row>
    <row r="5538" spans="1:40" x14ac:dyDescent="0.25">
      <c r="A5538" t="str">
        <f>"20190312154947200"</f>
        <v>20190312154947200</v>
      </c>
      <c r="B5538" t="str">
        <f>"1552376987191432"</f>
        <v>1552376987191432</v>
      </c>
      <c r="C5538" t="s">
        <v>40</v>
      </c>
      <c r="D5538">
        <v>4.4502230000000003</v>
      </c>
      <c r="E5538">
        <v>0.4034855</v>
      </c>
      <c r="F5538" t="s">
        <v>42</v>
      </c>
      <c r="G5538">
        <v>-394.23860000000002</v>
      </c>
      <c r="H5538" s="1">
        <v>-2.8689230000000002E-6</v>
      </c>
      <c r="I5538">
        <v>18.686229999999998</v>
      </c>
      <c r="J5538">
        <v>-405.988</v>
      </c>
      <c r="K5538">
        <v>1.1132040000000001</v>
      </c>
      <c r="L5538">
        <v>22.903110000000002</v>
      </c>
      <c r="M5538">
        <v>0.83814469999999996</v>
      </c>
      <c r="N5538">
        <v>0</v>
      </c>
      <c r="O5538">
        <v>-0.54532190000000003</v>
      </c>
      <c r="P5538">
        <v>0.82586459999999995</v>
      </c>
      <c r="Q5538">
        <v>-2.6005879999999999E-2</v>
      </c>
      <c r="R5538">
        <v>-0.56326869999999996</v>
      </c>
      <c r="S5538">
        <v>2.9100649999999999</v>
      </c>
      <c r="T5538">
        <v>-0.27353430000000001</v>
      </c>
      <c r="U5538">
        <v>-1.050262</v>
      </c>
      <c r="V5538">
        <v>2.1858989999999998E-2</v>
      </c>
      <c r="W5538">
        <v>-1.410133E-2</v>
      </c>
      <c r="X5538">
        <v>0.99966160000000004</v>
      </c>
      <c r="Y5538">
        <v>-0.22573750000000001</v>
      </c>
      <c r="Z5538">
        <v>5.6557429999999999E-2</v>
      </c>
      <c r="AA5538">
        <v>0.97254499999999999</v>
      </c>
      <c r="AB5538">
        <v>22</v>
      </c>
      <c r="AC5538">
        <v>11.7494</v>
      </c>
      <c r="AD5538">
        <v>-1.1132068689229999</v>
      </c>
      <c r="AE5538">
        <v>-4.2168799999999997</v>
      </c>
      <c r="AF5538">
        <v>-2.8503796016616301</v>
      </c>
      <c r="AG5538">
        <v>-1.1132068689229999</v>
      </c>
      <c r="AH5538">
        <v>12.0522449603918</v>
      </c>
      <c r="AI5538">
        <v>95.136257667866104</v>
      </c>
      <c r="AJ5538">
        <v>103.306076321909</v>
      </c>
      <c r="AK5538">
        <v>12.4346492508585</v>
      </c>
      <c r="AL5538">
        <v>90.807973482385904</v>
      </c>
      <c r="AM5538">
        <v>88.747347785360105</v>
      </c>
      <c r="AN5538">
        <v>0.99999998873307405</v>
      </c>
    </row>
    <row r="5539" spans="1:40" x14ac:dyDescent="0.25">
      <c r="A5539" t="str">
        <f>"20190312154947212"</f>
        <v>20190312154947212</v>
      </c>
      <c r="B5539" t="str">
        <f>"1552376987201193"</f>
        <v>1552376987201193</v>
      </c>
      <c r="C5539" t="s">
        <v>40</v>
      </c>
      <c r="D5539">
        <v>4.5342260000000003</v>
      </c>
      <c r="E5539">
        <v>0.4037328</v>
      </c>
      <c r="F5539" t="s">
        <v>42</v>
      </c>
      <c r="G5539">
        <v>-394.07330000000002</v>
      </c>
      <c r="H5539" s="1">
        <v>-2.956608E-6</v>
      </c>
      <c r="I5539">
        <v>18.632259999999999</v>
      </c>
      <c r="J5539">
        <v>-405.89400000000001</v>
      </c>
      <c r="K5539">
        <v>1.1132040000000001</v>
      </c>
      <c r="L5539">
        <v>22.84592</v>
      </c>
      <c r="M5539">
        <v>0.83976059999999997</v>
      </c>
      <c r="N5539">
        <v>0</v>
      </c>
      <c r="O5539">
        <v>-0.54282719999999995</v>
      </c>
      <c r="P5539">
        <v>0.82733829999999997</v>
      </c>
      <c r="Q5539">
        <v>-2.58303E-2</v>
      </c>
      <c r="R5539">
        <v>-0.56111009999999995</v>
      </c>
      <c r="S5539">
        <v>2.9120180000000002</v>
      </c>
      <c r="T5539">
        <v>-0.27207490000000001</v>
      </c>
      <c r="U5539">
        <v>-1.0438229999999999</v>
      </c>
      <c r="V5539">
        <v>2.2213779999999999E-2</v>
      </c>
      <c r="W5539">
        <v>-1.378189E-2</v>
      </c>
      <c r="X5539">
        <v>0.99965820000000005</v>
      </c>
      <c r="Y5539">
        <v>-0.224994</v>
      </c>
      <c r="Z5539">
        <v>5.6032419999999999E-2</v>
      </c>
      <c r="AA5539">
        <v>0.97274769999999999</v>
      </c>
      <c r="AB5539">
        <v>22</v>
      </c>
      <c r="AC5539">
        <v>11.820699999999899</v>
      </c>
      <c r="AD5539">
        <v>-1.1132069566079901</v>
      </c>
      <c r="AE5539">
        <v>-4.2136599999999902</v>
      </c>
      <c r="AF5539">
        <v>-2.85586184673731</v>
      </c>
      <c r="AG5539">
        <v>-1.1132069566079901</v>
      </c>
      <c r="AH5539">
        <v>12.1193408664824</v>
      </c>
      <c r="AI5539">
        <v>95.108946980072702</v>
      </c>
      <c r="AJ5539">
        <v>103.25956682418099</v>
      </c>
      <c r="AK5539">
        <v>12.5009439505135</v>
      </c>
      <c r="AL5539">
        <v>90.789669166213699</v>
      </c>
      <c r="AM5539">
        <v>88.727018483005196</v>
      </c>
      <c r="AN5539">
        <v>0.99999995467054903</v>
      </c>
    </row>
    <row r="5540" spans="1:40" x14ac:dyDescent="0.25">
      <c r="A5540" t="str">
        <f>"20190312154947224"</f>
        <v>20190312154947224</v>
      </c>
      <c r="B5540" t="str">
        <f>"1552376987220891"</f>
        <v>1552376987220891</v>
      </c>
      <c r="C5540" t="s">
        <v>40</v>
      </c>
      <c r="D5540">
        <v>4.4617319999999996</v>
      </c>
      <c r="E5540">
        <v>0.40409719999999999</v>
      </c>
      <c r="F5540" t="s">
        <v>42</v>
      </c>
      <c r="G5540">
        <v>-393.90890000000002</v>
      </c>
      <c r="H5540" s="1">
        <v>-3.0442769999999998E-6</v>
      </c>
      <c r="I5540">
        <v>18.576309999999999</v>
      </c>
      <c r="J5540">
        <v>-405.79500000000002</v>
      </c>
      <c r="K5540">
        <v>1.1132040000000001</v>
      </c>
      <c r="L5540">
        <v>22.786010000000001</v>
      </c>
      <c r="M5540">
        <v>0.84145049999999899</v>
      </c>
      <c r="N5540">
        <v>0</v>
      </c>
      <c r="O5540">
        <v>-0.54020089999999998</v>
      </c>
      <c r="P5540">
        <v>0.82882339999999999</v>
      </c>
      <c r="Q5540">
        <v>-2.588505E-2</v>
      </c>
      <c r="R5540">
        <v>-0.55891159999999995</v>
      </c>
      <c r="S5540">
        <v>2.9136350000000002</v>
      </c>
      <c r="T5540">
        <v>-0.27062629999999999</v>
      </c>
      <c r="U5540">
        <v>-1.0379640000000001</v>
      </c>
      <c r="V5540">
        <v>2.2681360000000001E-2</v>
      </c>
      <c r="W5540">
        <v>-1.3689339999999999E-2</v>
      </c>
      <c r="X5540">
        <v>0.99964900000000001</v>
      </c>
      <c r="Y5540">
        <v>-0.22389770000000001</v>
      </c>
      <c r="Z5540">
        <v>5.5489520000000001E-2</v>
      </c>
      <c r="AA5540">
        <v>0.97303170000000005</v>
      </c>
      <c r="AB5540">
        <v>22</v>
      </c>
      <c r="AC5540">
        <v>11.886100000000001</v>
      </c>
      <c r="AD5540">
        <v>-1.1132070442769999</v>
      </c>
      <c r="AE5540">
        <v>-4.2096999999999998</v>
      </c>
      <c r="AF5540">
        <v>-2.8565713981169099</v>
      </c>
      <c r="AG5540">
        <v>-1.1132070442769999</v>
      </c>
      <c r="AH5540">
        <v>12.181591202655</v>
      </c>
      <c r="AI5540">
        <v>95.084267680054197</v>
      </c>
      <c r="AJ5540">
        <v>103.197347227327</v>
      </c>
      <c r="AK5540">
        <v>12.5614646560251</v>
      </c>
      <c r="AL5540">
        <v>90.784365919325595</v>
      </c>
      <c r="AM5540">
        <v>88.700220511402307</v>
      </c>
      <c r="AN5540">
        <v>0.99999998266104195</v>
      </c>
    </row>
    <row r="5541" spans="1:40" x14ac:dyDescent="0.25">
      <c r="A5541" t="str">
        <f>"20190312154947237"</f>
        <v>20190312154947237</v>
      </c>
      <c r="B5541" t="str">
        <f>"1552376987231627"</f>
        <v>1552376987231627</v>
      </c>
      <c r="C5541" t="s">
        <v>40</v>
      </c>
      <c r="D5541">
        <v>4.4275019999999996</v>
      </c>
      <c r="E5541">
        <v>0.40432259999999998</v>
      </c>
      <c r="F5541" t="s">
        <v>42</v>
      </c>
      <c r="G5541">
        <v>-393.80919999999998</v>
      </c>
      <c r="H5541" s="1">
        <v>-3.097946E-6</v>
      </c>
      <c r="I5541">
        <v>18.53942</v>
      </c>
      <c r="J5541">
        <v>-405.69229999999999</v>
      </c>
      <c r="K5541">
        <v>1.1131960000000001</v>
      </c>
      <c r="L5541">
        <v>22.724519999999998</v>
      </c>
      <c r="M5541">
        <v>0.84318890000000002</v>
      </c>
      <c r="N5541">
        <v>0</v>
      </c>
      <c r="O5541">
        <v>-0.53747990000000001</v>
      </c>
      <c r="P5541">
        <v>0.83067809999999898</v>
      </c>
      <c r="Q5541">
        <v>-2.5864379999999999E-2</v>
      </c>
      <c r="R5541">
        <v>-0.55615190000000003</v>
      </c>
      <c r="S5541">
        <v>2.9147029999999998</v>
      </c>
      <c r="T5541">
        <v>-0.27070889999999997</v>
      </c>
      <c r="U5541">
        <v>-1.0326839999999999</v>
      </c>
      <c r="V5541">
        <v>2.2582669999999999E-2</v>
      </c>
      <c r="W5541">
        <v>-1.353388E-2</v>
      </c>
      <c r="X5541">
        <v>0.99965329999999997</v>
      </c>
      <c r="Y5541">
        <v>-0.2224399</v>
      </c>
      <c r="Z5541">
        <v>5.5244069999999999E-2</v>
      </c>
      <c r="AA5541">
        <v>0.97338000000000002</v>
      </c>
      <c r="AB5541">
        <v>22</v>
      </c>
      <c r="AC5541">
        <v>11.883100000000001</v>
      </c>
      <c r="AD5541">
        <v>-1.11319909794599</v>
      </c>
      <c r="AE5541">
        <v>-4.1851000000000003</v>
      </c>
      <c r="AF5541">
        <v>-2.8361657903195501</v>
      </c>
      <c r="AG5541">
        <v>-1.11319909794599</v>
      </c>
      <c r="AH5541">
        <v>12.1749575997252</v>
      </c>
      <c r="AI5541">
        <v>95.088723822339901</v>
      </c>
      <c r="AJ5541">
        <v>103.11323323770699</v>
      </c>
      <c r="AK5541">
        <v>12.5504040244509</v>
      </c>
      <c r="AL5541">
        <v>90.775457931658906</v>
      </c>
      <c r="AM5541">
        <v>88.705879684231803</v>
      </c>
      <c r="AN5541">
        <v>0.99999993154653399</v>
      </c>
    </row>
    <row r="5542" spans="1:40" x14ac:dyDescent="0.25">
      <c r="A5542" t="str">
        <f>"20190312154947249"</f>
        <v>20190312154947249</v>
      </c>
      <c r="B5542" t="str">
        <f>"1552376987241387"</f>
        <v>1552376987241387</v>
      </c>
      <c r="C5542" t="s">
        <v>40</v>
      </c>
      <c r="D5542">
        <v>4.4325010000000002</v>
      </c>
      <c r="E5542">
        <v>0.40449879999999999</v>
      </c>
      <c r="F5542" t="s">
        <v>42</v>
      </c>
      <c r="G5542">
        <v>-393.68029999999999</v>
      </c>
      <c r="H5542" s="1">
        <v>-3.16484E-6</v>
      </c>
      <c r="I5542">
        <v>18.505659999999999</v>
      </c>
      <c r="J5542">
        <v>-405.59350000000001</v>
      </c>
      <c r="K5542">
        <v>1.113189</v>
      </c>
      <c r="L5542">
        <v>22.665620000000001</v>
      </c>
      <c r="M5542">
        <v>0.84484989999999904</v>
      </c>
      <c r="N5542">
        <v>0</v>
      </c>
      <c r="O5542">
        <v>-0.53486290000000003</v>
      </c>
      <c r="P5542">
        <v>0.83244219999999902</v>
      </c>
      <c r="Q5542">
        <v>-2.6226570000000001E-2</v>
      </c>
      <c r="R5542">
        <v>-0.55349130000000002</v>
      </c>
      <c r="S5542">
        <v>2.9171450000000001</v>
      </c>
      <c r="T5542">
        <v>-0.2703449</v>
      </c>
      <c r="U5542">
        <v>-1.024567</v>
      </c>
      <c r="V5542">
        <v>2.2490630000000001E-2</v>
      </c>
      <c r="W5542">
        <v>-1.377169E-2</v>
      </c>
      <c r="X5542">
        <v>0.99965219999999999</v>
      </c>
      <c r="Y5542">
        <v>-0.22210060000000001</v>
      </c>
      <c r="Z5542">
        <v>5.4952540000000001E-2</v>
      </c>
      <c r="AA5542">
        <v>0.97347399999999995</v>
      </c>
      <c r="AB5542">
        <v>22</v>
      </c>
      <c r="AC5542">
        <v>11.9132</v>
      </c>
      <c r="AD5542">
        <v>-1.1131921648400001</v>
      </c>
      <c r="AE5542">
        <v>-4.1599599999999999</v>
      </c>
      <c r="AF5542">
        <v>-2.8355342916813302</v>
      </c>
      <c r="AG5542">
        <v>-1.1131921648400001</v>
      </c>
      <c r="AH5542">
        <v>12.195884050726599</v>
      </c>
      <c r="AI5542">
        <v>95.080510253383395</v>
      </c>
      <c r="AJ5542">
        <v>103.088693790173</v>
      </c>
      <c r="AK5542">
        <v>12.570562409611201</v>
      </c>
      <c r="AL5542">
        <v>90.789084654504904</v>
      </c>
      <c r="AM5542">
        <v>88.711150919143606</v>
      </c>
      <c r="AN5542">
        <v>1.00000000442404</v>
      </c>
    </row>
    <row r="5543" spans="1:40" x14ac:dyDescent="0.25">
      <c r="A5543" t="str">
        <f>"20190312154947261"</f>
        <v>20190312154947261</v>
      </c>
      <c r="B5543" t="str">
        <f>"1552376987251147"</f>
        <v>1552376987251147</v>
      </c>
      <c r="C5543" t="s">
        <v>40</v>
      </c>
      <c r="D5543">
        <v>4.3450959999999998</v>
      </c>
      <c r="E5543">
        <v>0.40455540000000001</v>
      </c>
      <c r="F5543" t="s">
        <v>42</v>
      </c>
      <c r="G5543">
        <v>-393.60640000000001</v>
      </c>
      <c r="H5543" s="1">
        <v>-3.202046E-6</v>
      </c>
      <c r="I5543">
        <v>18.492799999999999</v>
      </c>
      <c r="J5543">
        <v>-405.4896</v>
      </c>
      <c r="K5543">
        <v>1.1131709999999999</v>
      </c>
      <c r="L5543">
        <v>22.604189999999999</v>
      </c>
      <c r="M5543">
        <v>0.84658290000000003</v>
      </c>
      <c r="N5543">
        <v>0</v>
      </c>
      <c r="O5543">
        <v>-0.53211280000000005</v>
      </c>
      <c r="P5543">
        <v>0.83437129999999904</v>
      </c>
      <c r="Q5543">
        <v>-2.7137419999999999E-2</v>
      </c>
      <c r="R5543">
        <v>-0.55053479999999999</v>
      </c>
      <c r="S5543">
        <v>2.919556</v>
      </c>
      <c r="T5543">
        <v>-0.27112770000000003</v>
      </c>
      <c r="U5543">
        <v>-1.016327</v>
      </c>
      <c r="V5543">
        <v>2.2215820000000001E-2</v>
      </c>
      <c r="W5543">
        <v>-1.456317E-2</v>
      </c>
      <c r="X5543">
        <v>0.99964710000000001</v>
      </c>
      <c r="Y5543">
        <v>-0.22162670000000001</v>
      </c>
      <c r="Z5543">
        <v>5.4877339999999997E-2</v>
      </c>
      <c r="AA5543">
        <v>0.97358619999999996</v>
      </c>
      <c r="AB5543">
        <v>22</v>
      </c>
      <c r="AC5543">
        <v>11.883199999999899</v>
      </c>
      <c r="AD5543">
        <v>-1.11317420204599</v>
      </c>
      <c r="AE5543">
        <v>-4.1113900000000001</v>
      </c>
      <c r="AF5543">
        <v>-2.8206823493056201</v>
      </c>
      <c r="AG5543">
        <v>-1.11317420204599</v>
      </c>
      <c r="AH5543">
        <v>12.153527890909899</v>
      </c>
      <c r="AI5543">
        <v>95.098501544197305</v>
      </c>
      <c r="AJ5543">
        <v>103.066310304567</v>
      </c>
      <c r="AK5543">
        <v>12.526118549451301</v>
      </c>
      <c r="AL5543">
        <v>90.834437694079597</v>
      </c>
      <c r="AM5543">
        <v>88.726887485634705</v>
      </c>
      <c r="AN5543">
        <v>0.99999997655856498</v>
      </c>
    </row>
    <row r="5544" spans="1:40" x14ac:dyDescent="0.25">
      <c r="A5544" t="str">
        <f>"20190312154947274"</f>
        <v>20190312154947274</v>
      </c>
      <c r="B5544" t="str">
        <f>"1552376987260909"</f>
        <v>1552376987260909</v>
      </c>
      <c r="C5544" t="s">
        <v>40</v>
      </c>
      <c r="D5544">
        <v>4.3258809999999999</v>
      </c>
      <c r="E5544">
        <v>0.40462189999999998</v>
      </c>
      <c r="F5544" t="s">
        <v>42</v>
      </c>
      <c r="G5544">
        <v>-393.5718</v>
      </c>
      <c r="H5544" s="1">
        <v>-3.2170770000000001E-6</v>
      </c>
      <c r="I5544">
        <v>18.500299999999999</v>
      </c>
      <c r="J5544">
        <v>-405.38510000000002</v>
      </c>
      <c r="K5544">
        <v>1.1131610000000001</v>
      </c>
      <c r="L5544">
        <v>22.542940000000002</v>
      </c>
      <c r="M5544">
        <v>0.84831129999999999</v>
      </c>
      <c r="N5544">
        <v>0</v>
      </c>
      <c r="O5544">
        <v>-0.52934999999999999</v>
      </c>
      <c r="P5544">
        <v>0.83644850000000004</v>
      </c>
      <c r="Q5544">
        <v>-2.8181250000000001E-2</v>
      </c>
      <c r="R5544">
        <v>-0.54732049999999999</v>
      </c>
      <c r="S5544">
        <v>2.9226380000000001</v>
      </c>
      <c r="T5544">
        <v>-0.27298709999999998</v>
      </c>
      <c r="U5544">
        <v>-1.0064090000000001</v>
      </c>
      <c r="V5544">
        <v>2.165359E-2</v>
      </c>
      <c r="W5544">
        <v>-1.549942E-2</v>
      </c>
      <c r="X5544">
        <v>0.99964540000000002</v>
      </c>
      <c r="Y5544">
        <v>-0.22169230000000001</v>
      </c>
      <c r="Z5544">
        <v>5.5034449999999999E-2</v>
      </c>
      <c r="AA5544">
        <v>0.97356240000000005</v>
      </c>
      <c r="AB5544">
        <v>22</v>
      </c>
      <c r="AC5544">
        <v>11.8133</v>
      </c>
      <c r="AD5544">
        <v>-1.113164217077</v>
      </c>
      <c r="AE5544">
        <v>-4.0426399999999898</v>
      </c>
      <c r="AF5544">
        <v>-2.8019034820134898</v>
      </c>
      <c r="AG5544">
        <v>-1.113164217077</v>
      </c>
      <c r="AH5544">
        <v>12.0663706312382</v>
      </c>
      <c r="AI5544">
        <v>95.134951668409101</v>
      </c>
      <c r="AJ5544">
        <v>103.072839984393</v>
      </c>
      <c r="AK5544">
        <v>12.4373267990798</v>
      </c>
      <c r="AL5544">
        <v>90.888086895276899</v>
      </c>
      <c r="AM5544">
        <v>88.759094645572503</v>
      </c>
      <c r="AN5544">
        <v>1.00000001786069</v>
      </c>
    </row>
    <row r="5545" spans="1:40" x14ac:dyDescent="0.25">
      <c r="A5545" t="str">
        <f>"20190312154947290"</f>
        <v>20190312154947290</v>
      </c>
      <c r="B5545" t="str">
        <f>"1552376987281403"</f>
        <v>1552376987281403</v>
      </c>
      <c r="C5545" t="s">
        <v>40</v>
      </c>
      <c r="D5545">
        <v>4.3522249999999998</v>
      </c>
      <c r="E5545">
        <v>0.4047287</v>
      </c>
      <c r="F5545" t="s">
        <v>42</v>
      </c>
      <c r="G5545">
        <v>-393.55369999999999</v>
      </c>
      <c r="H5545" s="1">
        <v>-3.2227250000000001E-6</v>
      </c>
      <c r="I5545">
        <v>18.51681</v>
      </c>
      <c r="J5545">
        <v>-405.25529999999998</v>
      </c>
      <c r="K5545">
        <v>1.1131530000000001</v>
      </c>
      <c r="L5545">
        <v>22.46735</v>
      </c>
      <c r="M5545">
        <v>0.85044120000000001</v>
      </c>
      <c r="N5545">
        <v>0</v>
      </c>
      <c r="O5545">
        <v>-0.52591840000000001</v>
      </c>
      <c r="P5545">
        <v>0.83915079999999997</v>
      </c>
      <c r="Q5545">
        <v>-2.9712229999999999E-2</v>
      </c>
      <c r="R5545">
        <v>-0.54308669999999903</v>
      </c>
      <c r="S5545">
        <v>2.9258419999999998</v>
      </c>
      <c r="T5545">
        <v>-0.27527839999999998</v>
      </c>
      <c r="U5545">
        <v>-0.99563599999999997</v>
      </c>
      <c r="V5545">
        <v>2.06789E-2</v>
      </c>
      <c r="W5545">
        <v>-1.690852E-2</v>
      </c>
      <c r="X5545">
        <v>0.99964319999999895</v>
      </c>
      <c r="Y5545">
        <v>-0.2212605</v>
      </c>
      <c r="Z5545">
        <v>5.5202170000000002E-2</v>
      </c>
      <c r="AA5545">
        <v>0.97365109999999999</v>
      </c>
      <c r="AB5545">
        <v>22</v>
      </c>
      <c r="AC5545">
        <v>11.7015999999999</v>
      </c>
      <c r="AD5545">
        <v>-1.113156222725</v>
      </c>
      <c r="AE5545">
        <v>-3.9505400000000002</v>
      </c>
      <c r="AF5545">
        <v>-2.7720886371405702</v>
      </c>
      <c r="AG5545">
        <v>-1.113156222725</v>
      </c>
      <c r="AH5545">
        <v>11.933204687367001</v>
      </c>
      <c r="AI5545">
        <v>95.191799893945699</v>
      </c>
      <c r="AJ5545">
        <v>103.07788446132901</v>
      </c>
      <c r="AK5545">
        <v>12.301421312147401</v>
      </c>
      <c r="AL5545">
        <v>90.968832981656604</v>
      </c>
      <c r="AM5545">
        <v>88.814932432240596</v>
      </c>
      <c r="AN5545">
        <v>1.00000002113001</v>
      </c>
    </row>
    <row r="5546" spans="1:40" x14ac:dyDescent="0.25">
      <c r="A5546" t="str">
        <f>"20190312154947300"</f>
        <v>20190312154947300</v>
      </c>
      <c r="B5546" t="str">
        <f>"1552376987291163"</f>
        <v>1552376987291163</v>
      </c>
      <c r="C5546" t="s">
        <v>40</v>
      </c>
      <c r="D5546">
        <v>4.3556489999999997</v>
      </c>
      <c r="E5546">
        <v>0.40484379999999998</v>
      </c>
      <c r="F5546" t="s">
        <v>42</v>
      </c>
      <c r="G5546">
        <v>-393.54700000000003</v>
      </c>
      <c r="H5546" s="1">
        <v>-3.2206940000000002E-6</v>
      </c>
      <c r="I5546">
        <v>18.54598</v>
      </c>
      <c r="J5546">
        <v>-405.16120000000001</v>
      </c>
      <c r="K5546">
        <v>1.113146</v>
      </c>
      <c r="L5546">
        <v>22.412960000000002</v>
      </c>
      <c r="M5546">
        <v>0.85197219999999996</v>
      </c>
      <c r="N5546">
        <v>0</v>
      </c>
      <c r="O5546">
        <v>-0.52343269999999997</v>
      </c>
      <c r="P5546">
        <v>0.84092719999999899</v>
      </c>
      <c r="Q5546">
        <v>-3.0211310000000002E-2</v>
      </c>
      <c r="R5546">
        <v>-0.54030480000000003</v>
      </c>
      <c r="S5546">
        <v>2.9300839999999999</v>
      </c>
      <c r="T5546">
        <v>-0.27857659999999901</v>
      </c>
      <c r="U5546">
        <v>-0.98135380000000005</v>
      </c>
      <c r="V5546">
        <v>2.029912E-2</v>
      </c>
      <c r="W5546">
        <v>-1.7323990000000001E-2</v>
      </c>
      <c r="X5546">
        <v>0.99964390000000003</v>
      </c>
      <c r="Y5546">
        <v>-0.22304270000000001</v>
      </c>
      <c r="Z5546">
        <v>5.5733499999999998E-2</v>
      </c>
      <c r="AA5546">
        <v>0.97321409999999997</v>
      </c>
      <c r="AB5546">
        <v>22</v>
      </c>
      <c r="AC5546">
        <v>11.6142</v>
      </c>
      <c r="AD5546">
        <v>-1.1131492206939999</v>
      </c>
      <c r="AE5546">
        <v>-3.8669799999999999</v>
      </c>
      <c r="AF5546">
        <v>-2.7620771078127802</v>
      </c>
      <c r="AG5546">
        <v>-1.1131492206939999</v>
      </c>
      <c r="AH5546">
        <v>11.822280141778799</v>
      </c>
      <c r="AI5546">
        <v>95.238675653039095</v>
      </c>
      <c r="AJ5546">
        <v>103.150315050979</v>
      </c>
      <c r="AK5546">
        <v>12.191574093927899</v>
      </c>
      <c r="AL5546">
        <v>90.992641117079302</v>
      </c>
      <c r="AM5546">
        <v>88.836691663475193</v>
      </c>
      <c r="AN5546">
        <v>1.00000005085475</v>
      </c>
    </row>
    <row r="5547" spans="1:40" x14ac:dyDescent="0.25">
      <c r="A5547" t="str">
        <f>"20190312154947313"</f>
        <v>20190312154947313</v>
      </c>
      <c r="B5547" t="str">
        <f>"1552376987300923"</f>
        <v>1552376987300923</v>
      </c>
      <c r="C5547" t="s">
        <v>40</v>
      </c>
      <c r="D5547">
        <v>4.3511329999999999</v>
      </c>
      <c r="E5547">
        <v>0.4049838</v>
      </c>
      <c r="F5547" t="s">
        <v>42</v>
      </c>
      <c r="G5547">
        <v>-393.4873</v>
      </c>
      <c r="H5547" s="1">
        <v>-3.2497430000000001E-6</v>
      </c>
      <c r="I5547">
        <v>18.541460000000001</v>
      </c>
      <c r="J5547">
        <v>-405.06220000000002</v>
      </c>
      <c r="K5547">
        <v>1.1131420000000001</v>
      </c>
      <c r="L5547">
        <v>22.35623</v>
      </c>
      <c r="M5547">
        <v>0.85357119999999997</v>
      </c>
      <c r="N5547">
        <v>0</v>
      </c>
      <c r="O5547">
        <v>-0.52081899999999903</v>
      </c>
      <c r="P5547">
        <v>0.8428329</v>
      </c>
      <c r="Q5547">
        <v>-3.0540620000000001E-2</v>
      </c>
      <c r="R5547">
        <v>-0.53730819999999901</v>
      </c>
      <c r="S5547">
        <v>2.932617</v>
      </c>
      <c r="T5547">
        <v>-0.27963549999999998</v>
      </c>
      <c r="U5547">
        <v>-0.97256469999999995</v>
      </c>
      <c r="V5547">
        <v>1.9812360000000001E-2</v>
      </c>
      <c r="W5547">
        <v>-1.757326E-2</v>
      </c>
      <c r="X5547">
        <v>0.99964929999999996</v>
      </c>
      <c r="Y5547">
        <v>-0.22292380000000001</v>
      </c>
      <c r="Z5547">
        <v>5.572701E-2</v>
      </c>
      <c r="AA5547">
        <v>0.97324169999999999</v>
      </c>
      <c r="AB5547">
        <v>22</v>
      </c>
      <c r="AC5547">
        <v>11.5749</v>
      </c>
      <c r="AD5547">
        <v>-1.1131452497429899</v>
      </c>
      <c r="AE5547">
        <v>-3.81476999999999</v>
      </c>
      <c r="AF5547">
        <v>-2.74953952010681</v>
      </c>
      <c r="AG5547">
        <v>-1.1131452497429899</v>
      </c>
      <c r="AH5547">
        <v>11.769592060165801</v>
      </c>
      <c r="AI5547">
        <v>95.261999678961203</v>
      </c>
      <c r="AJ5547">
        <v>103.149263013366</v>
      </c>
      <c r="AK5547">
        <v>12.137642159100499</v>
      </c>
      <c r="AL5547">
        <v>91.006925424899094</v>
      </c>
      <c r="AM5547">
        <v>88.864585797831296</v>
      </c>
      <c r="AN5547">
        <v>1.00000003603314</v>
      </c>
    </row>
    <row r="5548" spans="1:40" x14ac:dyDescent="0.25">
      <c r="A5548" t="str">
        <f>"20190312154947323"</f>
        <v>20190312154947323</v>
      </c>
      <c r="B5548" t="str">
        <f>"1552376987311659"</f>
        <v>1552376987311659</v>
      </c>
      <c r="C5548" t="s">
        <v>40</v>
      </c>
      <c r="D5548">
        <v>4.3531409999999999</v>
      </c>
      <c r="E5548">
        <v>0.40514470000000002</v>
      </c>
      <c r="F5548" t="s">
        <v>42</v>
      </c>
      <c r="G5548">
        <v>-393.39049999999997</v>
      </c>
      <c r="H5548" s="1">
        <v>-3.2980680000000002E-6</v>
      </c>
      <c r="I5548">
        <v>18.52685</v>
      </c>
      <c r="J5548">
        <v>-404.97629999999998</v>
      </c>
      <c r="K5548">
        <v>1.1131329999999999</v>
      </c>
      <c r="L5548">
        <v>22.30716</v>
      </c>
      <c r="M5548">
        <v>0.85495159999999903</v>
      </c>
      <c r="N5548">
        <v>0</v>
      </c>
      <c r="O5548">
        <v>-0.5185478</v>
      </c>
      <c r="P5548">
        <v>0.84428110000000001</v>
      </c>
      <c r="Q5548">
        <v>-3.0534470000000001E-2</v>
      </c>
      <c r="R5548">
        <v>-0.5350298</v>
      </c>
      <c r="S5548">
        <v>2.9353639999999999</v>
      </c>
      <c r="T5548">
        <v>-0.27995100000000001</v>
      </c>
      <c r="U5548">
        <v>-0.96307370000000003</v>
      </c>
      <c r="V5548">
        <v>1.9768549999999999E-2</v>
      </c>
      <c r="W5548">
        <v>-1.7497200000000001E-2</v>
      </c>
      <c r="X5548">
        <v>0.99965150000000003</v>
      </c>
      <c r="Y5548">
        <v>-0.2234437</v>
      </c>
      <c r="Z5548">
        <v>5.5626109999999999E-2</v>
      </c>
      <c r="AA5548">
        <v>0.97312829999999995</v>
      </c>
      <c r="AB5548">
        <v>22</v>
      </c>
      <c r="AC5548">
        <v>11.585800000000001</v>
      </c>
      <c r="AD5548">
        <v>-1.113136298068</v>
      </c>
      <c r="AE5548">
        <v>-3.7803100000000001</v>
      </c>
      <c r="AF5548">
        <v>-2.7530712710627898</v>
      </c>
      <c r="AG5548">
        <v>-1.113136298068</v>
      </c>
      <c r="AH5548">
        <v>11.7683741169231</v>
      </c>
      <c r="AI5548">
        <v>95.262122981439802</v>
      </c>
      <c r="AJ5548">
        <v>103.16688023696599</v>
      </c>
      <c r="AK5548">
        <v>12.1372609429596</v>
      </c>
      <c r="AL5548">
        <v>91.002566839438003</v>
      </c>
      <c r="AM5548">
        <v>88.867098315378797</v>
      </c>
      <c r="AN5548">
        <v>1.0000000345145901</v>
      </c>
    </row>
    <row r="5549" spans="1:40" x14ac:dyDescent="0.25">
      <c r="A5549" t="str">
        <f>"20190312154947336"</f>
        <v>20190312154947336</v>
      </c>
      <c r="B5549" t="str">
        <f>"1552376987331179"</f>
        <v>1552376987331179</v>
      </c>
      <c r="C5549" t="s">
        <v>40</v>
      </c>
      <c r="D5549">
        <v>4.3792910000000003</v>
      </c>
      <c r="E5549">
        <v>0.40511629999999998</v>
      </c>
      <c r="F5549" t="s">
        <v>42</v>
      </c>
      <c r="G5549">
        <v>-393.26900000000001</v>
      </c>
      <c r="H5549" s="1">
        <v>-3.3608079999999999E-6</v>
      </c>
      <c r="I5549">
        <v>18.496939999999999</v>
      </c>
      <c r="J5549">
        <v>-404.87369999999999</v>
      </c>
      <c r="K5549">
        <v>1.113127</v>
      </c>
      <c r="L5549">
        <v>22.24924</v>
      </c>
      <c r="M5549">
        <v>0.85658690000000004</v>
      </c>
      <c r="N5549">
        <v>0</v>
      </c>
      <c r="O5549">
        <v>-0.51584019999999997</v>
      </c>
      <c r="P5549">
        <v>0.84583319999999995</v>
      </c>
      <c r="Q5549">
        <v>-3.0685919999999998E-2</v>
      </c>
      <c r="R5549">
        <v>-0.53256459999999906</v>
      </c>
      <c r="S5549">
        <v>2.9373779999999998</v>
      </c>
      <c r="T5549">
        <v>-0.27928920000000002</v>
      </c>
      <c r="U5549">
        <v>-0.95599369999999995</v>
      </c>
      <c r="V5549">
        <v>2.0017429999999999E-2</v>
      </c>
      <c r="W5549">
        <v>-1.7571779999999999E-2</v>
      </c>
      <c r="X5549">
        <v>0.99964520000000001</v>
      </c>
      <c r="Y5549">
        <v>-0.22270329999999999</v>
      </c>
      <c r="Z5549">
        <v>5.5243399999999998E-2</v>
      </c>
      <c r="AA5549">
        <v>0.97331979999999996</v>
      </c>
      <c r="AB5549">
        <v>22</v>
      </c>
      <c r="AC5549">
        <v>11.6046999999999</v>
      </c>
      <c r="AD5549">
        <v>-1.1131303608080001</v>
      </c>
      <c r="AE5549">
        <v>-3.7523</v>
      </c>
      <c r="AF5549">
        <v>-2.7493307197485501</v>
      </c>
      <c r="AG5549">
        <v>-1.1131303608080001</v>
      </c>
      <c r="AH5549">
        <v>11.778900748766</v>
      </c>
      <c r="AI5549">
        <v>95.258028856754294</v>
      </c>
      <c r="AJ5549">
        <v>103.138268811949</v>
      </c>
      <c r="AK5549">
        <v>12.146620165955101</v>
      </c>
      <c r="AL5549">
        <v>91.006840654948505</v>
      </c>
      <c r="AM5549">
        <v>88.852831989540405</v>
      </c>
      <c r="AN5549">
        <v>0.99999999541960605</v>
      </c>
    </row>
    <row r="5550" spans="1:40" x14ac:dyDescent="0.25">
      <c r="A5550" t="str">
        <f>"20190312154947346"</f>
        <v>20190312154947346</v>
      </c>
      <c r="B5550" t="str">
        <f>"1552376987340938"</f>
        <v>1552376987340938</v>
      </c>
      <c r="C5550" t="s">
        <v>40</v>
      </c>
      <c r="D5550">
        <v>4.3422489999999998</v>
      </c>
      <c r="E5550">
        <v>0.40488950000000001</v>
      </c>
      <c r="F5550" t="s">
        <v>42</v>
      </c>
      <c r="G5550">
        <v>-393.06189999999998</v>
      </c>
      <c r="H5550" s="1">
        <v>-3.4683069999999999E-6</v>
      </c>
      <c r="I5550">
        <v>18.442869999999999</v>
      </c>
      <c r="J5550">
        <v>-404.78949999999998</v>
      </c>
      <c r="K5550">
        <v>1.113124</v>
      </c>
      <c r="L5550">
        <v>22.20187</v>
      </c>
      <c r="M5550">
        <v>0.85792089999999999</v>
      </c>
      <c r="N5550">
        <v>0</v>
      </c>
      <c r="O5550">
        <v>-0.51361709999999905</v>
      </c>
      <c r="P5550">
        <v>0.84701709999999997</v>
      </c>
      <c r="Q5550">
        <v>-3.0546380000000001E-2</v>
      </c>
      <c r="R5550">
        <v>-0.53068749999999998</v>
      </c>
      <c r="S5550">
        <v>2.9401860000000002</v>
      </c>
      <c r="T5550">
        <v>-0.2770803</v>
      </c>
      <c r="U5550">
        <v>-0.94747919999999997</v>
      </c>
      <c r="V5550">
        <v>2.0387909999999999E-2</v>
      </c>
      <c r="W5550">
        <v>-1.7369590000000001E-2</v>
      </c>
      <c r="X5550">
        <v>0.99964120000000001</v>
      </c>
      <c r="Y5550">
        <v>-0.22305130000000001</v>
      </c>
      <c r="Z5550">
        <v>5.4636400000000002E-2</v>
      </c>
      <c r="AA5550">
        <v>0.97327439999999998</v>
      </c>
      <c r="AB5550">
        <v>21</v>
      </c>
      <c r="AC5550">
        <v>11.727599999999899</v>
      </c>
      <c r="AD5550">
        <v>-1.113127468307</v>
      </c>
      <c r="AE5550">
        <v>-3.7589999999999901</v>
      </c>
      <c r="AF5550">
        <v>-2.7761282379835901</v>
      </c>
      <c r="AG5550">
        <v>-1.113127468307</v>
      </c>
      <c r="AH5550">
        <v>11.895870267294599</v>
      </c>
      <c r="AI5550">
        <v>95.206648500956803</v>
      </c>
      <c r="AJ5550">
        <v>103.135964388666</v>
      </c>
      <c r="AK5550">
        <v>12.2661187900139</v>
      </c>
      <c r="AL5550">
        <v>90.995254298922603</v>
      </c>
      <c r="AM5550">
        <v>88.831601510858604</v>
      </c>
      <c r="AN5550">
        <v>0.99999994913418599</v>
      </c>
    </row>
    <row r="5551" spans="1:40" x14ac:dyDescent="0.25">
      <c r="A5551" t="str">
        <f>"20190312154947357"</f>
        <v>20190312154947357</v>
      </c>
      <c r="B5551" t="str">
        <f>"1552376987351675"</f>
        <v>1552376987351675</v>
      </c>
      <c r="C5551" t="s">
        <v>40</v>
      </c>
      <c r="D5551">
        <v>4.3312730000000004</v>
      </c>
      <c r="E5551">
        <v>0.40471600000000002</v>
      </c>
      <c r="F5551" t="s">
        <v>42</v>
      </c>
      <c r="G5551">
        <v>-392.76150000000001</v>
      </c>
      <c r="H5551" s="1">
        <v>-3.624591E-6</v>
      </c>
      <c r="I5551">
        <v>18.362349999999999</v>
      </c>
      <c r="J5551">
        <v>-404.69349999999997</v>
      </c>
      <c r="K5551">
        <v>1.1131200000000001</v>
      </c>
      <c r="L5551">
        <v>22.148319999999998</v>
      </c>
      <c r="M5551">
        <v>0.85943349999999996</v>
      </c>
      <c r="N5551">
        <v>0</v>
      </c>
      <c r="O5551">
        <v>-0.51108009999999904</v>
      </c>
      <c r="P5551">
        <v>0.84820010000000001</v>
      </c>
      <c r="Q5551">
        <v>-3.025773E-2</v>
      </c>
      <c r="R5551">
        <v>-0.52881099999999903</v>
      </c>
      <c r="S5551">
        <v>2.94339</v>
      </c>
      <c r="T5551">
        <v>-0.2723949</v>
      </c>
      <c r="U5551">
        <v>-0.93957520000000005</v>
      </c>
      <c r="V5551">
        <v>2.111903E-2</v>
      </c>
      <c r="W5551">
        <v>-1.701422E-2</v>
      </c>
      <c r="X5551">
        <v>0.99963219999999997</v>
      </c>
      <c r="Y5551">
        <v>-0.2229525</v>
      </c>
      <c r="Z5551">
        <v>5.3494020000000003E-2</v>
      </c>
      <c r="AA5551">
        <v>0.97336049999999996</v>
      </c>
      <c r="AB5551">
        <v>21</v>
      </c>
      <c r="AC5551">
        <v>11.931999999999899</v>
      </c>
      <c r="AD5551">
        <v>-1.1131236245909999</v>
      </c>
      <c r="AE5551">
        <v>-3.7859699999999998</v>
      </c>
      <c r="AF5551">
        <v>-2.8223460848847499</v>
      </c>
      <c r="AG5551">
        <v>-1.1131236245909999</v>
      </c>
      <c r="AH5551">
        <v>12.0951044151471</v>
      </c>
      <c r="AI5551">
        <v>95.121351168405994</v>
      </c>
      <c r="AJ5551">
        <v>103.13471888954599</v>
      </c>
      <c r="AK5551">
        <v>12.4698128470238</v>
      </c>
      <c r="AL5551">
        <v>90.974890021570005</v>
      </c>
      <c r="AM5551">
        <v>88.789703547496401</v>
      </c>
      <c r="AN5551">
        <v>1.00000001619359</v>
      </c>
    </row>
    <row r="5552" spans="1:40" x14ac:dyDescent="0.25">
      <c r="A5552" t="str">
        <f>"20190312154947368"</f>
        <v>20190312154947368</v>
      </c>
      <c r="B5552" t="str">
        <f>"1552376987361435"</f>
        <v>1552376987361435</v>
      </c>
      <c r="C5552" t="s">
        <v>40</v>
      </c>
      <c r="D5552">
        <v>4.3650449999999896</v>
      </c>
      <c r="E5552">
        <v>0.40452729999999998</v>
      </c>
      <c r="F5552" t="s">
        <v>42</v>
      </c>
      <c r="G5552">
        <v>-392.46050000000002</v>
      </c>
      <c r="H5552" s="1">
        <v>-3.7817050000000001E-6</v>
      </c>
      <c r="I5552">
        <v>18.278680000000001</v>
      </c>
      <c r="J5552">
        <v>-404.60599999999999</v>
      </c>
      <c r="K5552">
        <v>1.113119</v>
      </c>
      <c r="L5552">
        <v>22.099699999999999</v>
      </c>
      <c r="M5552">
        <v>0.86080449999999997</v>
      </c>
      <c r="N5552">
        <v>0</v>
      </c>
      <c r="O5552">
        <v>-0.50876639999999995</v>
      </c>
      <c r="P5552">
        <v>0.84917900000000002</v>
      </c>
      <c r="Q5552">
        <v>-3.028287E-2</v>
      </c>
      <c r="R5552">
        <v>-0.52723629999999999</v>
      </c>
      <c r="S5552">
        <v>2.9463200000000001</v>
      </c>
      <c r="T5552">
        <v>-0.26809729999999998</v>
      </c>
      <c r="U5552">
        <v>-0.93200680000000002</v>
      </c>
      <c r="V5552">
        <v>2.195269E-2</v>
      </c>
      <c r="W5552">
        <v>-1.697974E-2</v>
      </c>
      <c r="X5552">
        <v>0.99961480000000003</v>
      </c>
      <c r="Y5552">
        <v>-0.2229727</v>
      </c>
      <c r="Z5552">
        <v>5.2459440000000003E-2</v>
      </c>
      <c r="AA5552">
        <v>0.97341219999999995</v>
      </c>
      <c r="AB5552">
        <v>21</v>
      </c>
      <c r="AC5552">
        <v>12.145499999999901</v>
      </c>
      <c r="AD5552">
        <v>-1.113122781705</v>
      </c>
      <c r="AE5552">
        <v>-3.8210199999999999</v>
      </c>
      <c r="AF5552">
        <v>-2.8683968712932399</v>
      </c>
      <c r="AG5552">
        <v>-1.113122781705</v>
      </c>
      <c r="AH5552">
        <v>12.3059214312644</v>
      </c>
      <c r="AI5552">
        <v>95.034349344120699</v>
      </c>
      <c r="AJ5552">
        <v>103.12084208369301</v>
      </c>
      <c r="AK5552">
        <v>12.6847327607186</v>
      </c>
      <c r="AL5552">
        <v>90.972914202915703</v>
      </c>
      <c r="AM5552">
        <v>88.741921051965804</v>
      </c>
      <c r="AN5552">
        <v>0.99999999027387099</v>
      </c>
    </row>
    <row r="5553" spans="1:40" x14ac:dyDescent="0.25">
      <c r="A5553" t="str">
        <f>"20190312154947379"</f>
        <v>20190312154947379</v>
      </c>
      <c r="B5553" t="str">
        <f>"1552376987371196"</f>
        <v>1552376987371196</v>
      </c>
      <c r="C5553" t="s">
        <v>40</v>
      </c>
      <c r="D5553">
        <v>4.3943849999999998</v>
      </c>
      <c r="E5553">
        <v>0.4044354</v>
      </c>
      <c r="F5553" t="s">
        <v>42</v>
      </c>
      <c r="G5553">
        <v>-392.24489999999997</v>
      </c>
      <c r="H5553" s="1">
        <v>-3.8939460000000001E-6</v>
      </c>
      <c r="I5553">
        <v>18.22045</v>
      </c>
      <c r="J5553">
        <v>-404.51560000000001</v>
      </c>
      <c r="K5553">
        <v>1.113116</v>
      </c>
      <c r="L5553">
        <v>22.049900000000001</v>
      </c>
      <c r="M5553">
        <v>0.86221239999999999</v>
      </c>
      <c r="N5553">
        <v>0</v>
      </c>
      <c r="O5553">
        <v>-0.50637540000000003</v>
      </c>
      <c r="P5553">
        <v>0.85022109999999995</v>
      </c>
      <c r="Q5553">
        <v>-3.017682E-2</v>
      </c>
      <c r="R5553">
        <v>-0.52556029999999998</v>
      </c>
      <c r="S5553">
        <v>2.9487920000000001</v>
      </c>
      <c r="T5553">
        <v>-0.26554129999999998</v>
      </c>
      <c r="U5553">
        <v>-0.92541499999999999</v>
      </c>
      <c r="V5553">
        <v>2.275112E-2</v>
      </c>
      <c r="W5553">
        <v>-1.6817269999999999E-2</v>
      </c>
      <c r="X5553">
        <v>0.99959969999999998</v>
      </c>
      <c r="Y5553">
        <v>-0.22254009999999999</v>
      </c>
      <c r="Z5553">
        <v>5.1747420000000002E-2</v>
      </c>
      <c r="AA5553">
        <v>0.9735492</v>
      </c>
      <c r="AB5553">
        <v>21</v>
      </c>
      <c r="AC5553">
        <v>12.2707</v>
      </c>
      <c r="AD5553">
        <v>-1.1131198939460001</v>
      </c>
      <c r="AE5553">
        <v>-3.82945</v>
      </c>
      <c r="AF5553">
        <v>-2.89036054174999</v>
      </c>
      <c r="AG5553">
        <v>-1.1131198939460001</v>
      </c>
      <c r="AH5553">
        <v>12.4269910715006</v>
      </c>
      <c r="AI5553">
        <v>94.986089476972296</v>
      </c>
      <c r="AJ5553">
        <v>103.093479156637</v>
      </c>
      <c r="AK5553">
        <v>12.807159210799201</v>
      </c>
      <c r="AL5553">
        <v>90.963604021505404</v>
      </c>
      <c r="AM5553">
        <v>88.696159938357894</v>
      </c>
      <c r="AN5553">
        <v>0.99999999713579801</v>
      </c>
    </row>
    <row r="5554" spans="1:40" x14ac:dyDescent="0.25">
      <c r="A5554" t="str">
        <f>"20190312154947391"</f>
        <v>20190312154947391</v>
      </c>
      <c r="B5554" t="str">
        <f>"1552376987380955"</f>
        <v>1552376987380955</v>
      </c>
      <c r="C5554" t="s">
        <v>40</v>
      </c>
      <c r="D5554">
        <v>4.4104190000000001</v>
      </c>
      <c r="E5554">
        <v>0.4043697</v>
      </c>
      <c r="F5554" t="s">
        <v>42</v>
      </c>
      <c r="G5554">
        <v>-392.05349999999999</v>
      </c>
      <c r="H5554" s="1">
        <v>-3.9936089999999998E-6</v>
      </c>
      <c r="I5554">
        <v>18.168749999999999</v>
      </c>
      <c r="J5554">
        <v>-404.41890000000001</v>
      </c>
      <c r="K5554">
        <v>1.113113</v>
      </c>
      <c r="L5554">
        <v>21.997039999999998</v>
      </c>
      <c r="M5554">
        <v>0.86370689999999894</v>
      </c>
      <c r="N5554">
        <v>0</v>
      </c>
      <c r="O5554">
        <v>-0.50382059999999995</v>
      </c>
      <c r="P5554">
        <v>0.85132319999999995</v>
      </c>
      <c r="Q5554">
        <v>-3.0168210000000001E-2</v>
      </c>
      <c r="R5554">
        <v>-0.5237733</v>
      </c>
      <c r="S5554">
        <v>2.95105</v>
      </c>
      <c r="T5554">
        <v>-0.26358999999999999</v>
      </c>
      <c r="U5554">
        <v>-0.91906739999999998</v>
      </c>
      <c r="V5554">
        <v>2.3609310000000001E-2</v>
      </c>
      <c r="W5554">
        <v>-1.675198E-2</v>
      </c>
      <c r="X5554">
        <v>0.99958089999999999</v>
      </c>
      <c r="Y5554">
        <v>-0.22182250000000001</v>
      </c>
      <c r="Z5554">
        <v>5.1134190000000003E-2</v>
      </c>
      <c r="AA5554">
        <v>0.97374539999999998</v>
      </c>
      <c r="AB5554">
        <v>21</v>
      </c>
      <c r="AC5554">
        <v>12.365399999999999</v>
      </c>
      <c r="AD5554">
        <v>-1.113116993609</v>
      </c>
      <c r="AE5554">
        <v>-3.8282899999999902</v>
      </c>
      <c r="AF5554">
        <v>-2.9022181636609199</v>
      </c>
      <c r="AG5554">
        <v>-1.113116993609</v>
      </c>
      <c r="AH5554">
        <v>12.517396301011599</v>
      </c>
      <c r="AI5554">
        <v>94.951039958587003</v>
      </c>
      <c r="AJ5554">
        <v>103.05365529837199</v>
      </c>
      <c r="AK5554">
        <v>12.897562167616201</v>
      </c>
      <c r="AL5554">
        <v>90.959862648328397</v>
      </c>
      <c r="AM5554">
        <v>88.646970585804297</v>
      </c>
      <c r="AN5554">
        <v>1.0000000019987001</v>
      </c>
    </row>
    <row r="5555" spans="1:40" x14ac:dyDescent="0.25">
      <c r="A5555" t="str">
        <f>"20190312154947401"</f>
        <v>20190312154947401</v>
      </c>
      <c r="B5555" t="str">
        <f>"1552376987391691"</f>
        <v>1552376987391691</v>
      </c>
      <c r="C5555" t="s">
        <v>40</v>
      </c>
      <c r="D5555">
        <v>4.4272989999999997</v>
      </c>
      <c r="E5555">
        <v>0.40431339999999999</v>
      </c>
      <c r="F5555" t="s">
        <v>42</v>
      </c>
      <c r="G5555">
        <v>-391.87540000000001</v>
      </c>
      <c r="H5555" s="1">
        <v>-4.0863080000000004E-6</v>
      </c>
      <c r="I5555">
        <v>18.120889999999999</v>
      </c>
      <c r="J5555">
        <v>-404.32819999999998</v>
      </c>
      <c r="K5555">
        <v>1.1131089999999999</v>
      </c>
      <c r="L5555">
        <v>21.94763</v>
      </c>
      <c r="M5555">
        <v>0.8651025</v>
      </c>
      <c r="N5555">
        <v>0</v>
      </c>
      <c r="O5555">
        <v>-0.50141919999999995</v>
      </c>
      <c r="P5555">
        <v>0.85238840000000005</v>
      </c>
      <c r="Q5555">
        <v>-3.0386610000000001E-2</v>
      </c>
      <c r="R5555">
        <v>-0.52202559999999998</v>
      </c>
      <c r="S5555">
        <v>2.9531559999999999</v>
      </c>
      <c r="T5555">
        <v>-0.26206299999999999</v>
      </c>
      <c r="U5555">
        <v>-0.91256709999999996</v>
      </c>
      <c r="V5555">
        <v>2.4339719999999999E-2</v>
      </c>
      <c r="W5555">
        <v>-1.6920770000000002E-2</v>
      </c>
      <c r="X5555">
        <v>0.99956049999999996</v>
      </c>
      <c r="Y5555">
        <v>-0.22130449999999999</v>
      </c>
      <c r="Z5555">
        <v>5.0628439999999997E-2</v>
      </c>
      <c r="AA5555">
        <v>0.97388960000000002</v>
      </c>
      <c r="AB5555">
        <v>21</v>
      </c>
      <c r="AC5555">
        <v>12.4527999999999</v>
      </c>
      <c r="AD5555">
        <v>-1.1131130863080001</v>
      </c>
      <c r="AE5555">
        <v>-3.82674</v>
      </c>
      <c r="AF5555">
        <v>-2.9125463406469998</v>
      </c>
      <c r="AG5555">
        <v>-1.1131130863080001</v>
      </c>
      <c r="AH5555">
        <v>12.6008759227627</v>
      </c>
      <c r="AI5555">
        <v>94.919154464418995</v>
      </c>
      <c r="AJ5555">
        <v>103.01469770880399</v>
      </c>
      <c r="AK5555">
        <v>12.9809098660374</v>
      </c>
      <c r="AL5555">
        <v>90.969535010962105</v>
      </c>
      <c r="AM5555">
        <v>88.605099244761604</v>
      </c>
      <c r="AN5555">
        <v>0.99999996379365996</v>
      </c>
    </row>
    <row r="5556" spans="1:40" x14ac:dyDescent="0.25">
      <c r="A5556" t="str">
        <f>"20190312154947414"</f>
        <v>20190312154947414</v>
      </c>
      <c r="B5556" t="str">
        <f>"1552376987411211"</f>
        <v>1552376987411211</v>
      </c>
      <c r="C5556" t="s">
        <v>40</v>
      </c>
      <c r="D5556">
        <v>4.4674889999999996</v>
      </c>
      <c r="E5556">
        <v>0.40435219999999999</v>
      </c>
      <c r="F5556" t="s">
        <v>42</v>
      </c>
      <c r="G5556">
        <v>-391.73860000000002</v>
      </c>
      <c r="H5556" s="1">
        <v>-4.1570140000000001E-6</v>
      </c>
      <c r="I5556">
        <v>18.086849999999998</v>
      </c>
      <c r="J5556">
        <v>-404.23009999999999</v>
      </c>
      <c r="K5556">
        <v>1.113105</v>
      </c>
      <c r="L5556">
        <v>21.89471</v>
      </c>
      <c r="M5556">
        <v>0.86660170000000003</v>
      </c>
      <c r="N5556">
        <v>0</v>
      </c>
      <c r="O5556">
        <v>-0.4988225</v>
      </c>
      <c r="P5556">
        <v>0.85378899999999902</v>
      </c>
      <c r="Q5556">
        <v>-3.0552719999999998E-2</v>
      </c>
      <c r="R5556">
        <v>-0.51972149999999995</v>
      </c>
      <c r="S5556">
        <v>2.9552</v>
      </c>
      <c r="T5556">
        <v>-0.26128379999999901</v>
      </c>
      <c r="U5556">
        <v>-0.90625</v>
      </c>
      <c r="V5556">
        <v>2.4641389999999999E-2</v>
      </c>
      <c r="W5556">
        <v>-1.7041529999999999E-2</v>
      </c>
      <c r="X5556">
        <v>0.99955110000000003</v>
      </c>
      <c r="Y5556">
        <v>-0.22049779999999999</v>
      </c>
      <c r="Z5556">
        <v>5.0241670000000002E-2</v>
      </c>
      <c r="AA5556">
        <v>0.97409270000000003</v>
      </c>
      <c r="AB5556">
        <v>21</v>
      </c>
      <c r="AC5556">
        <v>12.491499999999901</v>
      </c>
      <c r="AD5556">
        <v>-1.1131091570139999</v>
      </c>
      <c r="AE5556">
        <v>-3.8078599999999998</v>
      </c>
      <c r="AF5556">
        <v>-2.9102596140092198</v>
      </c>
      <c r="AG5556">
        <v>-1.1131091570139999</v>
      </c>
      <c r="AH5556">
        <v>12.633941637427499</v>
      </c>
      <c r="AI5556">
        <v>94.907166419119903</v>
      </c>
      <c r="AJ5556">
        <v>102.97194322946</v>
      </c>
      <c r="AK5556">
        <v>13.012498004391199</v>
      </c>
      <c r="AL5556">
        <v>90.976455005472602</v>
      </c>
      <c r="AM5556">
        <v>88.587804326573604</v>
      </c>
      <c r="AN5556">
        <v>1.0000000066785399</v>
      </c>
    </row>
    <row r="5557" spans="1:40" x14ac:dyDescent="0.25">
      <c r="A5557" t="str">
        <f>"20190312154947425"</f>
        <v>20190312154947425</v>
      </c>
      <c r="B5557" t="str">
        <f>"1552376987420973"</f>
        <v>1552376987420973</v>
      </c>
      <c r="C5557" t="s">
        <v>40</v>
      </c>
      <c r="D5557">
        <v>4.4712930000000002</v>
      </c>
      <c r="E5557">
        <v>0.40439659999999999</v>
      </c>
      <c r="F5557" t="s">
        <v>42</v>
      </c>
      <c r="G5557">
        <v>-391.53300000000002</v>
      </c>
      <c r="H5557" s="1">
        <v>-4.2631309999999997E-6</v>
      </c>
      <c r="I5557">
        <v>18.036380000000001</v>
      </c>
      <c r="J5557">
        <v>-404.13389999999998</v>
      </c>
      <c r="K5557">
        <v>1.1131009999999999</v>
      </c>
      <c r="L5557">
        <v>21.843019999999999</v>
      </c>
      <c r="M5557">
        <v>0.86806229999999995</v>
      </c>
      <c r="N5557">
        <v>0</v>
      </c>
      <c r="O5557">
        <v>-0.49627579999999999</v>
      </c>
      <c r="P5557">
        <v>0.85520669999999899</v>
      </c>
      <c r="Q5557">
        <v>-3.0923019999999999E-2</v>
      </c>
      <c r="R5557">
        <v>-0.5173643</v>
      </c>
      <c r="S5557">
        <v>2.9573969999999998</v>
      </c>
      <c r="T5557">
        <v>-0.25926470000000001</v>
      </c>
      <c r="U5557">
        <v>-0.89868159999999897</v>
      </c>
      <c r="V5557">
        <v>2.4827149999999999E-2</v>
      </c>
      <c r="W5557">
        <v>-1.736996E-2</v>
      </c>
      <c r="X5557">
        <v>0.99954089999999995</v>
      </c>
      <c r="Y5557">
        <v>-0.22016330000000001</v>
      </c>
      <c r="Z5557">
        <v>4.9644819999999999E-2</v>
      </c>
      <c r="AA5557">
        <v>0.97419889999999998</v>
      </c>
      <c r="AB5557">
        <v>21</v>
      </c>
      <c r="AC5557">
        <v>12.6008999999999</v>
      </c>
      <c r="AD5557">
        <v>-1.1131052631309999</v>
      </c>
      <c r="AE5557">
        <v>-3.8066399999999998</v>
      </c>
      <c r="AF5557">
        <v>-2.92844375413965</v>
      </c>
      <c r="AG5557">
        <v>-1.1131052631309999</v>
      </c>
      <c r="AH5557">
        <v>12.7375714731232</v>
      </c>
      <c r="AI5557">
        <v>94.867891248968405</v>
      </c>
      <c r="AJ5557">
        <v>102.947647691651</v>
      </c>
      <c r="AK5557">
        <v>13.1171838891163</v>
      </c>
      <c r="AL5557">
        <v>90.995275394362906</v>
      </c>
      <c r="AM5557">
        <v>88.577148285224794</v>
      </c>
      <c r="AN5557">
        <v>1.0000000568301599</v>
      </c>
    </row>
    <row r="5558" spans="1:40" x14ac:dyDescent="0.25">
      <c r="A5558" t="str">
        <f>"20190312154947439"</f>
        <v>20190312154947439</v>
      </c>
      <c r="B5558" t="str">
        <f>"1552376987431707"</f>
        <v>1552376987431707</v>
      </c>
      <c r="C5558" t="s">
        <v>40</v>
      </c>
      <c r="D5558">
        <v>4.5885689999999997</v>
      </c>
      <c r="E5558">
        <v>0.40447139999999998</v>
      </c>
      <c r="F5558" t="s">
        <v>42</v>
      </c>
      <c r="G5558">
        <v>-391.44920000000002</v>
      </c>
      <c r="H5558" s="1">
        <v>-4.304783E-6</v>
      </c>
      <c r="I5558">
        <v>18.02506</v>
      </c>
      <c r="J5558">
        <v>-404.01839999999999</v>
      </c>
      <c r="K5558">
        <v>1.1130990000000001</v>
      </c>
      <c r="L5558">
        <v>21.781680000000001</v>
      </c>
      <c r="M5558">
        <v>0.869803199999999</v>
      </c>
      <c r="N5558">
        <v>0</v>
      </c>
      <c r="O5558">
        <v>-0.49321690000000001</v>
      </c>
      <c r="P5558">
        <v>0.85705710000000002</v>
      </c>
      <c r="Q5558">
        <v>-3.107066E-2</v>
      </c>
      <c r="R5558">
        <v>-0.51428419999999997</v>
      </c>
      <c r="S5558">
        <v>2.959625</v>
      </c>
      <c r="T5558">
        <v>-0.25971040000000001</v>
      </c>
      <c r="U5558">
        <v>-0.89080809999999999</v>
      </c>
      <c r="V5558">
        <v>2.4752920000000001E-2</v>
      </c>
      <c r="W5558">
        <v>-1.747547E-2</v>
      </c>
      <c r="X5558">
        <v>0.99954089999999995</v>
      </c>
      <c r="Y5558">
        <v>-0.21931349999999999</v>
      </c>
      <c r="Z5558">
        <v>4.9459990000000002E-2</v>
      </c>
      <c r="AA5558">
        <v>0.97440000000000004</v>
      </c>
      <c r="AB5558">
        <v>21</v>
      </c>
      <c r="AC5558">
        <v>12.569199999999899</v>
      </c>
      <c r="AD5558">
        <v>-1.1131033047829999</v>
      </c>
      <c r="AE5558">
        <v>-3.7566199999999901</v>
      </c>
      <c r="AF5558">
        <v>-2.9111264727721902</v>
      </c>
      <c r="AG5558">
        <v>-1.1131033047829999</v>
      </c>
      <c r="AH5558">
        <v>12.695307512494001</v>
      </c>
      <c r="AI5558">
        <v>94.884644844528296</v>
      </c>
      <c r="AJ5558">
        <v>102.915063154762</v>
      </c>
      <c r="AK5558">
        <v>13.0722794165509</v>
      </c>
      <c r="AL5558">
        <v>91.001321591348699</v>
      </c>
      <c r="AM5558">
        <v>88.581400688717295</v>
      </c>
      <c r="AN5558">
        <v>1.00000005493652</v>
      </c>
    </row>
    <row r="5559" spans="1:40" x14ac:dyDescent="0.25">
      <c r="A5559" t="str">
        <f>"20190312154947451"</f>
        <v>20190312154947451</v>
      </c>
      <c r="B5559" t="str">
        <f>"1552376987441467"</f>
        <v>1552376987441467</v>
      </c>
      <c r="C5559" t="s">
        <v>40</v>
      </c>
      <c r="D5559">
        <v>4.5095510000000001</v>
      </c>
      <c r="E5559">
        <v>0.40449580000000002</v>
      </c>
      <c r="F5559" t="s">
        <v>42</v>
      </c>
      <c r="G5559">
        <v>-391.27839999999998</v>
      </c>
      <c r="H5559" s="1">
        <v>-4.391117E-6</v>
      </c>
      <c r="I5559">
        <v>17.993449999999999</v>
      </c>
      <c r="J5559">
        <v>-403.9237</v>
      </c>
      <c r="K5559">
        <v>1.1130979999999999</v>
      </c>
      <c r="L5559">
        <v>21.73169</v>
      </c>
      <c r="M5559">
        <v>0.87122040000000001</v>
      </c>
      <c r="N5559">
        <v>0</v>
      </c>
      <c r="O5559">
        <v>-0.49070809999999998</v>
      </c>
      <c r="P5559">
        <v>0.85873630000000001</v>
      </c>
      <c r="Q5559">
        <v>-3.0922700000000001E-2</v>
      </c>
      <c r="R5559">
        <v>-0.5114841</v>
      </c>
      <c r="S5559">
        <v>2.9623719999999998</v>
      </c>
      <c r="T5559">
        <v>-0.25882480000000002</v>
      </c>
      <c r="U5559">
        <v>-0.88085939999999996</v>
      </c>
      <c r="V5559">
        <v>2.4366619999999999E-2</v>
      </c>
      <c r="W5559">
        <v>-1.7297610000000001E-2</v>
      </c>
      <c r="X5559">
        <v>0.99955340000000004</v>
      </c>
      <c r="Y5559">
        <v>-0.219778</v>
      </c>
      <c r="Z5559">
        <v>4.911679E-2</v>
      </c>
      <c r="AA5559">
        <v>0.97431270000000003</v>
      </c>
      <c r="AB5559">
        <v>21</v>
      </c>
      <c r="AC5559">
        <v>12.645300000000001</v>
      </c>
      <c r="AD5559">
        <v>-1.1131023911169999</v>
      </c>
      <c r="AE5559">
        <v>-3.7382399999999998</v>
      </c>
      <c r="AF5559">
        <v>-2.9277244348498801</v>
      </c>
      <c r="AG5559">
        <v>-1.1131023911169999</v>
      </c>
      <c r="AH5559">
        <v>12.761454571164499</v>
      </c>
      <c r="AI5559">
        <v>94.8593255370957</v>
      </c>
      <c r="AJ5559">
        <v>102.921162452055</v>
      </c>
      <c r="AK5559">
        <v>13.1402165153936</v>
      </c>
      <c r="AL5559">
        <v>90.991129508650502</v>
      </c>
      <c r="AM5559">
        <v>88.6035483101208</v>
      </c>
      <c r="AN5559">
        <v>0.99999996946674696</v>
      </c>
    </row>
    <row r="5560" spans="1:40" x14ac:dyDescent="0.25">
      <c r="A5560" t="str">
        <f>"20190312154947463"</f>
        <v>20190312154947463</v>
      </c>
      <c r="B5560" t="str">
        <f>"1552376987451228"</f>
        <v>1552376987451228</v>
      </c>
      <c r="C5560" t="s">
        <v>40</v>
      </c>
      <c r="D5560">
        <v>4.4809530000000004</v>
      </c>
      <c r="E5560">
        <v>0.4045281</v>
      </c>
      <c r="F5560" t="s">
        <v>42</v>
      </c>
      <c r="G5560">
        <v>-391.11270000000002</v>
      </c>
      <c r="H5560" s="1">
        <v>-4.4742390000000003E-6</v>
      </c>
      <c r="I5560">
        <v>17.966379999999901</v>
      </c>
      <c r="J5560">
        <v>-403.81659999999999</v>
      </c>
      <c r="K5560">
        <v>1.1131</v>
      </c>
      <c r="L5560">
        <v>21.675509999999999</v>
      </c>
      <c r="M5560">
        <v>0.8728127</v>
      </c>
      <c r="N5560">
        <v>0</v>
      </c>
      <c r="O5560">
        <v>-0.48786930000000001</v>
      </c>
      <c r="P5560">
        <v>0.86064289999999999</v>
      </c>
      <c r="Q5560">
        <v>-3.0759450000000001E-2</v>
      </c>
      <c r="R5560">
        <v>-0.50827909999999998</v>
      </c>
      <c r="S5560">
        <v>2.9651489999999998</v>
      </c>
      <c r="T5560">
        <v>-0.25763079999999999</v>
      </c>
      <c r="U5560">
        <v>-0.87149049999999995</v>
      </c>
      <c r="V5560">
        <v>2.3889609999999999E-2</v>
      </c>
      <c r="W5560">
        <v>-1.710337E-2</v>
      </c>
      <c r="X5560">
        <v>0.99956829999999997</v>
      </c>
      <c r="Y5560">
        <v>-0.2197142</v>
      </c>
      <c r="Z5560">
        <v>4.8667389999999998E-2</v>
      </c>
      <c r="AA5560">
        <v>0.97434960000000004</v>
      </c>
      <c r="AB5560">
        <v>21</v>
      </c>
      <c r="AC5560">
        <v>12.7038999999999</v>
      </c>
      <c r="AD5560">
        <v>-1.1131044742389999</v>
      </c>
      <c r="AE5560">
        <v>-3.70913</v>
      </c>
      <c r="AF5560">
        <v>-2.9399384299202498</v>
      </c>
      <c r="AG5560">
        <v>-1.1131044742389999</v>
      </c>
      <c r="AH5560">
        <v>12.808260147214201</v>
      </c>
      <c r="AI5560">
        <v>94.841540514355003</v>
      </c>
      <c r="AJ5560">
        <v>102.927434346768</v>
      </c>
      <c r="AK5560">
        <v>13.1883951844419</v>
      </c>
      <c r="AL5560">
        <v>90.979998687176206</v>
      </c>
      <c r="AM5560">
        <v>88.630895658679094</v>
      </c>
      <c r="AN5560">
        <v>1.0000000125480899</v>
      </c>
    </row>
    <row r="5561" spans="1:40" x14ac:dyDescent="0.25">
      <c r="A5561" t="str">
        <f>"20190312154947475"</f>
        <v>20190312154947475</v>
      </c>
      <c r="B5561" t="str">
        <f>"1552376987471723"</f>
        <v>1552376987471723</v>
      </c>
      <c r="C5561" t="s">
        <v>40</v>
      </c>
      <c r="D5561">
        <v>4.4598139999999997</v>
      </c>
      <c r="E5561">
        <v>0.4047019</v>
      </c>
      <c r="F5561" t="s">
        <v>42</v>
      </c>
      <c r="G5561">
        <v>-390.94850000000002</v>
      </c>
      <c r="H5561" s="1">
        <v>-4.5557890000000004E-6</v>
      </c>
      <c r="I5561">
        <v>17.944199999999999</v>
      </c>
      <c r="J5561">
        <v>-403.71719999999999</v>
      </c>
      <c r="K5561">
        <v>1.1130990000000001</v>
      </c>
      <c r="L5561">
        <v>21.62396</v>
      </c>
      <c r="M5561">
        <v>0.87427860000000002</v>
      </c>
      <c r="N5561">
        <v>0</v>
      </c>
      <c r="O5561">
        <v>-0.48523660000000002</v>
      </c>
      <c r="P5561">
        <v>0.86233760000000004</v>
      </c>
      <c r="Q5561">
        <v>-3.069266E-2</v>
      </c>
      <c r="R5561">
        <v>-0.50540309999999999</v>
      </c>
      <c r="S5561">
        <v>2.9682309999999998</v>
      </c>
      <c r="T5561">
        <v>-0.25675589999999998</v>
      </c>
      <c r="U5561">
        <v>-0.86068729999999904</v>
      </c>
      <c r="V5561">
        <v>2.356256E-2</v>
      </c>
      <c r="W5561">
        <v>-1.7010689999999998E-2</v>
      </c>
      <c r="X5561">
        <v>0.99957759999999996</v>
      </c>
      <c r="Y5561">
        <v>-0.2203386</v>
      </c>
      <c r="Z5561">
        <v>4.8322810000000001E-2</v>
      </c>
      <c r="AA5561">
        <v>0.97422580000000003</v>
      </c>
      <c r="AB5561">
        <v>21</v>
      </c>
      <c r="AC5561">
        <v>12.7686999999999</v>
      </c>
      <c r="AD5561">
        <v>-1.1131035557889899</v>
      </c>
      <c r="AE5561">
        <v>-3.6797599999999999</v>
      </c>
      <c r="AF5561">
        <v>-2.95822005935926</v>
      </c>
      <c r="AG5561">
        <v>-1.1131035557889899</v>
      </c>
      <c r="AH5561">
        <v>12.8599030834855</v>
      </c>
      <c r="AI5561">
        <v>94.8216621517915</v>
      </c>
      <c r="AJ5561">
        <v>102.95463631894</v>
      </c>
      <c r="AK5561">
        <v>13.242627109533201</v>
      </c>
      <c r="AL5561">
        <v>90.974687785062898</v>
      </c>
      <c r="AM5561">
        <v>88.649644339039398</v>
      </c>
      <c r="AN5561">
        <v>0.999999968114894</v>
      </c>
    </row>
    <row r="5562" spans="1:40" x14ac:dyDescent="0.25">
      <c r="A5562" t="str">
        <f>"20190312154947486"</f>
        <v>20190312154947486</v>
      </c>
      <c r="B5562" t="str">
        <f>"1552376987481483"</f>
        <v>1552376987481483</v>
      </c>
      <c r="C5562" t="s">
        <v>40</v>
      </c>
      <c r="D5562">
        <v>4.4979659999999999</v>
      </c>
      <c r="E5562">
        <v>0.4047712</v>
      </c>
      <c r="F5562" t="s">
        <v>42</v>
      </c>
      <c r="G5562">
        <v>-390.77</v>
      </c>
      <c r="H5562" s="1">
        <v>-4.6463410000000004E-6</v>
      </c>
      <c r="I5562">
        <v>17.909469999999999</v>
      </c>
      <c r="J5562">
        <v>-403.62369999999999</v>
      </c>
      <c r="K5562">
        <v>1.1130960000000001</v>
      </c>
      <c r="L5562">
        <v>21.575559999999999</v>
      </c>
      <c r="M5562">
        <v>0.87565079999999995</v>
      </c>
      <c r="N5562">
        <v>0</v>
      </c>
      <c r="O5562">
        <v>-0.4827555</v>
      </c>
      <c r="P5562">
        <v>0.864048699999999</v>
      </c>
      <c r="Q5562">
        <v>-3.073963E-2</v>
      </c>
      <c r="R5562">
        <v>-0.50246899999999906</v>
      </c>
      <c r="S5562">
        <v>2.9703369999999998</v>
      </c>
      <c r="T5562">
        <v>-0.25536619999999999</v>
      </c>
      <c r="U5562">
        <v>-0.85217289999999901</v>
      </c>
      <c r="V5562">
        <v>2.3000420000000001E-2</v>
      </c>
      <c r="W5562">
        <v>-1.7036220000000001E-2</v>
      </c>
      <c r="X5562">
        <v>0.99959030000000004</v>
      </c>
      <c r="Y5562">
        <v>-0.22036790000000001</v>
      </c>
      <c r="Z5562">
        <v>4.7876759999999997E-2</v>
      </c>
      <c r="AA5562">
        <v>0.97424109999999997</v>
      </c>
      <c r="AB5562">
        <v>21</v>
      </c>
      <c r="AC5562">
        <v>12.8537</v>
      </c>
      <c r="AD5562">
        <v>-1.11310064634099</v>
      </c>
      <c r="AE5562">
        <v>-3.6660899999999899</v>
      </c>
      <c r="AF5562">
        <v>-2.9746244746231199</v>
      </c>
      <c r="AG5562">
        <v>-1.11310064634099</v>
      </c>
      <c r="AH5562">
        <v>12.9366527232925</v>
      </c>
      <c r="AI5562">
        <v>94.793278490394002</v>
      </c>
      <c r="AJ5562">
        <v>102.949375550271</v>
      </c>
      <c r="AK5562">
        <v>13.3208245802196</v>
      </c>
      <c r="AL5562">
        <v>90.976150717485694</v>
      </c>
      <c r="AM5562">
        <v>88.681865469246503</v>
      </c>
      <c r="AN5562">
        <v>1.0000000099830699</v>
      </c>
    </row>
    <row r="5563" spans="1:40" x14ac:dyDescent="0.25">
      <c r="A5563" t="str">
        <f>"20190312154947503"</f>
        <v>20190312154947503</v>
      </c>
      <c r="B5563" t="str">
        <f>"1552376987491243"</f>
        <v>1552376987491243</v>
      </c>
      <c r="C5563" t="s">
        <v>40</v>
      </c>
      <c r="D5563">
        <v>4.6334770000000001</v>
      </c>
      <c r="E5563">
        <v>0.40497620000000001</v>
      </c>
      <c r="F5563" t="s">
        <v>42</v>
      </c>
      <c r="G5563">
        <v>-390.63749999999999</v>
      </c>
      <c r="H5563" s="1">
        <v>-4.7114299999999999E-6</v>
      </c>
      <c r="I5563">
        <v>17.895510000000002</v>
      </c>
      <c r="J5563">
        <v>-403.47989999999999</v>
      </c>
      <c r="K5563">
        <v>1.1131009999999999</v>
      </c>
      <c r="L5563">
        <v>21.501919999999998</v>
      </c>
      <c r="M5563">
        <v>0.87774209999999997</v>
      </c>
      <c r="N5563">
        <v>0</v>
      </c>
      <c r="O5563">
        <v>-0.47894110000000001</v>
      </c>
      <c r="P5563">
        <v>0.86668440000000002</v>
      </c>
      <c r="Q5563">
        <v>-3.0999289999999999E-2</v>
      </c>
      <c r="R5563">
        <v>-0.49789270000000002</v>
      </c>
      <c r="S5563">
        <v>2.9730219999999998</v>
      </c>
      <c r="T5563">
        <v>-0.2548299</v>
      </c>
      <c r="U5563">
        <v>-0.84249879999999999</v>
      </c>
      <c r="V5563">
        <v>2.2069370000000001E-2</v>
      </c>
      <c r="W5563">
        <v>-1.726803E-2</v>
      </c>
      <c r="X5563">
        <v>0.99960729999999998</v>
      </c>
      <c r="Y5563">
        <v>-0.2193148</v>
      </c>
      <c r="Z5563">
        <v>4.7443720000000002E-2</v>
      </c>
      <c r="AA5563">
        <v>0.97449989999999997</v>
      </c>
      <c r="AB5563">
        <v>21</v>
      </c>
      <c r="AC5563">
        <v>12.8423999999999</v>
      </c>
      <c r="AD5563">
        <v>-1.11310571142999</v>
      </c>
      <c r="AE5563">
        <v>-3.6064099999999999</v>
      </c>
      <c r="AF5563">
        <v>-2.9648849275318501</v>
      </c>
      <c r="AG5563">
        <v>-1.11310571142999</v>
      </c>
      <c r="AH5563">
        <v>12.9108684456214</v>
      </c>
      <c r="AI5563">
        <v>94.803136133279807</v>
      </c>
      <c r="AJ5563">
        <v>102.93331233528301</v>
      </c>
      <c r="AK5563">
        <v>13.293610155953299</v>
      </c>
      <c r="AL5563">
        <v>90.989434417951202</v>
      </c>
      <c r="AM5563">
        <v>88.735226958981201</v>
      </c>
      <c r="AN5563">
        <v>0.99999999808278295</v>
      </c>
    </row>
    <row r="5564" spans="1:40" x14ac:dyDescent="0.25">
      <c r="A5564" t="str">
        <f>"20190312154947515"</f>
        <v>20190312154947515</v>
      </c>
      <c r="B5564" t="str">
        <f>"1552376987511739"</f>
        <v>1552376987511739</v>
      </c>
      <c r="C5564" t="s">
        <v>40</v>
      </c>
      <c r="D5564">
        <v>4.5572869999999996</v>
      </c>
      <c r="E5564">
        <v>0.40470970000000001</v>
      </c>
      <c r="F5564" t="s">
        <v>42</v>
      </c>
      <c r="G5564">
        <v>-390.53469999999999</v>
      </c>
      <c r="H5564" s="1">
        <v>-4.7592299999999997E-6</v>
      </c>
      <c r="I5564">
        <v>17.899989999999999</v>
      </c>
      <c r="J5564">
        <v>-403.38249999999999</v>
      </c>
      <c r="K5564">
        <v>1.1131</v>
      </c>
      <c r="L5564">
        <v>21.4527</v>
      </c>
      <c r="M5564">
        <v>0.87914599999999898</v>
      </c>
      <c r="N5564">
        <v>0</v>
      </c>
      <c r="O5564">
        <v>-0.47635889999999997</v>
      </c>
      <c r="P5564">
        <v>0.86817310000000003</v>
      </c>
      <c r="Q5564">
        <v>-3.1061459999999999E-2</v>
      </c>
      <c r="R5564">
        <v>-0.49528840000000002</v>
      </c>
      <c r="S5564">
        <v>2.9765630000000001</v>
      </c>
      <c r="T5564">
        <v>-0.2559438</v>
      </c>
      <c r="U5564">
        <v>-0.82821659999999997</v>
      </c>
      <c r="V5564">
        <v>2.2007740000000001E-2</v>
      </c>
      <c r="W5564">
        <v>-1.7309809999999998E-2</v>
      </c>
      <c r="X5564">
        <v>0.99960789999999999</v>
      </c>
      <c r="Y5564">
        <v>-0.22106909999999999</v>
      </c>
      <c r="Z5564">
        <v>4.7523070000000001E-2</v>
      </c>
      <c r="AA5564">
        <v>0.97409959999999995</v>
      </c>
      <c r="AB5564">
        <v>21</v>
      </c>
      <c r="AC5564">
        <v>12.847799999999999</v>
      </c>
      <c r="AD5564">
        <v>-1.1131047592299901</v>
      </c>
      <c r="AE5564">
        <v>-3.5527099999999998</v>
      </c>
      <c r="AF5564">
        <v>-2.97633584594948</v>
      </c>
      <c r="AG5564">
        <v>-1.1131047592299901</v>
      </c>
      <c r="AH5564">
        <v>12.8987136261569</v>
      </c>
      <c r="AI5564">
        <v>94.806482074344004</v>
      </c>
      <c r="AJ5564">
        <v>102.99339216160701</v>
      </c>
      <c r="AK5564">
        <v>13.2843663937167</v>
      </c>
      <c r="AL5564">
        <v>90.991828629317197</v>
      </c>
      <c r="AM5564">
        <v>88.738758525637493</v>
      </c>
      <c r="AN5564">
        <v>0.99999996194227603</v>
      </c>
    </row>
    <row r="5565" spans="1:40" x14ac:dyDescent="0.25">
      <c r="A5565" t="str">
        <f>"20190312154947527"</f>
        <v>20190312154947527</v>
      </c>
      <c r="B5565" t="str">
        <f>"1552376987521499"</f>
        <v>1552376987521499</v>
      </c>
      <c r="C5565" t="s">
        <v>40</v>
      </c>
      <c r="D5565">
        <v>4.5842839999999896</v>
      </c>
      <c r="E5565">
        <v>0.40470970000000001</v>
      </c>
      <c r="F5565" t="s">
        <v>42</v>
      </c>
      <c r="G5565">
        <v>-390.39400000000001</v>
      </c>
      <c r="H5565" s="1">
        <v>-4.8273229999999999E-6</v>
      </c>
      <c r="I5565">
        <v>17.89096</v>
      </c>
      <c r="J5565">
        <v>-403.28840000000002</v>
      </c>
      <c r="K5565">
        <v>1.113102</v>
      </c>
      <c r="L5565">
        <v>21.405180000000001</v>
      </c>
      <c r="M5565">
        <v>0.88049529999999998</v>
      </c>
      <c r="N5565">
        <v>0</v>
      </c>
      <c r="O5565">
        <v>-0.47385969999999999</v>
      </c>
      <c r="P5565">
        <v>0.8696294</v>
      </c>
      <c r="Q5565">
        <v>-3.1001580000000001E-2</v>
      </c>
      <c r="R5565">
        <v>-0.49273080000000002</v>
      </c>
      <c r="S5565">
        <v>2.9801639999999998</v>
      </c>
      <c r="T5565">
        <v>-0.25539879999999998</v>
      </c>
      <c r="U5565">
        <v>-0.81723020000000002</v>
      </c>
      <c r="V5565">
        <v>2.1902959999999999E-2</v>
      </c>
      <c r="W5565">
        <v>-1.7231159999999999E-2</v>
      </c>
      <c r="X5565">
        <v>0.99961160000000004</v>
      </c>
      <c r="Y5565">
        <v>-0.22195570000000001</v>
      </c>
      <c r="Z5565">
        <v>4.7253879999999998E-2</v>
      </c>
      <c r="AA5565">
        <v>0.97391099999999997</v>
      </c>
      <c r="AB5565">
        <v>21</v>
      </c>
      <c r="AC5565">
        <v>12.894399999999999</v>
      </c>
      <c r="AD5565">
        <v>-1.113106827323</v>
      </c>
      <c r="AE5565">
        <v>-3.5142199999999901</v>
      </c>
      <c r="AF5565">
        <v>-2.99538317075418</v>
      </c>
      <c r="AG5565">
        <v>-1.113106827323</v>
      </c>
      <c r="AH5565">
        <v>12.930216826043401</v>
      </c>
      <c r="AI5565">
        <v>94.793881091662698</v>
      </c>
      <c r="AJ5565">
        <v>103.042934326775</v>
      </c>
      <c r="AK5565">
        <v>13.319227992536399</v>
      </c>
      <c r="AL5565">
        <v>90.987321604636406</v>
      </c>
      <c r="AM5565">
        <v>88.744766081088898</v>
      </c>
      <c r="AN5565">
        <v>1.0000000016931301</v>
      </c>
    </row>
    <row r="5566" spans="1:40" x14ac:dyDescent="0.25">
      <c r="A5566" t="str">
        <f>"20190312154947537"</f>
        <v>20190312154947537</v>
      </c>
      <c r="B5566" t="str">
        <f>"1552376987531258"</f>
        <v>1552376987531258</v>
      </c>
      <c r="C5566" t="s">
        <v>40</v>
      </c>
      <c r="D5566">
        <v>4.5562909999999999</v>
      </c>
      <c r="E5566">
        <v>0.388766</v>
      </c>
      <c r="F5566" t="s">
        <v>42</v>
      </c>
      <c r="G5566">
        <v>-390.25920000000002</v>
      </c>
      <c r="H5566" s="1">
        <v>-4.8942310000000003E-6</v>
      </c>
      <c r="I5566">
        <v>17.873270000000002</v>
      </c>
      <c r="J5566">
        <v>-403.19690000000003</v>
      </c>
      <c r="K5566">
        <v>1.113102</v>
      </c>
      <c r="L5566">
        <v>21.359529999999999</v>
      </c>
      <c r="M5566">
        <v>0.88180049999999899</v>
      </c>
      <c r="N5566">
        <v>0</v>
      </c>
      <c r="O5566">
        <v>-0.47142590000000001</v>
      </c>
      <c r="P5566">
        <v>0.87116489999999902</v>
      </c>
      <c r="Q5566">
        <v>-3.1129939999999998E-2</v>
      </c>
      <c r="R5566">
        <v>-0.49000320000000003</v>
      </c>
      <c r="S5566">
        <v>2.9825740000000001</v>
      </c>
      <c r="T5566">
        <v>-0.25480510000000001</v>
      </c>
      <c r="U5566">
        <v>-0.80850219999999995</v>
      </c>
      <c r="V5566">
        <v>2.1533989999999999E-2</v>
      </c>
      <c r="W5566">
        <v>-1.7345329999999999E-2</v>
      </c>
      <c r="X5566">
        <v>0.9996176</v>
      </c>
      <c r="Y5566">
        <v>-0.22213459999999999</v>
      </c>
      <c r="Z5566">
        <v>4.6962700000000003E-2</v>
      </c>
      <c r="AA5566">
        <v>0.97388430000000004</v>
      </c>
      <c r="AB5566">
        <v>21</v>
      </c>
      <c r="AC5566">
        <v>12.9377</v>
      </c>
      <c r="AD5566">
        <v>-1.1131068942309901</v>
      </c>
      <c r="AE5566">
        <v>-3.4862599999999899</v>
      </c>
      <c r="AF5566">
        <v>-3.00452717350896</v>
      </c>
      <c r="AG5566">
        <v>-1.1131068942309901</v>
      </c>
      <c r="AH5566">
        <v>12.963730561743001</v>
      </c>
      <c r="AI5566">
        <v>94.781434374354305</v>
      </c>
      <c r="AJ5566">
        <v>103.048723951063</v>
      </c>
      <c r="AK5566">
        <v>13.3538196996892</v>
      </c>
      <c r="AL5566">
        <v>90.993864083287704</v>
      </c>
      <c r="AM5566">
        <v>88.7659121451711</v>
      </c>
      <c r="AN5566">
        <v>0.99999995971394295</v>
      </c>
    </row>
    <row r="5567" spans="1:40" x14ac:dyDescent="0.25">
      <c r="A5567" t="str">
        <f>"20190312154947548"</f>
        <v>20190312154947548</v>
      </c>
      <c r="B5567" t="str">
        <f>"1552376987541019"</f>
        <v>1552376987541019</v>
      </c>
      <c r="C5567" t="s">
        <v>40</v>
      </c>
      <c r="D5567">
        <v>4.5940709999999996</v>
      </c>
      <c r="E5567">
        <v>0.38862950000000002</v>
      </c>
      <c r="F5567" t="s">
        <v>67</v>
      </c>
      <c r="G5567">
        <v>-389.71120000000002</v>
      </c>
      <c r="H5567" s="1">
        <v>-4.578025E-7</v>
      </c>
      <c r="I5567">
        <v>18.31419</v>
      </c>
      <c r="J5567">
        <v>-403.10399999999998</v>
      </c>
      <c r="K5567">
        <v>1.113105</v>
      </c>
      <c r="L5567">
        <v>21.31335</v>
      </c>
      <c r="M5567">
        <v>0.88311849999999903</v>
      </c>
      <c r="N5567">
        <v>0</v>
      </c>
      <c r="O5567">
        <v>-0.46895170000000003</v>
      </c>
      <c r="P5567">
        <v>0.87254609999999899</v>
      </c>
      <c r="Q5567">
        <v>-3.143667E-2</v>
      </c>
      <c r="R5567">
        <v>-0.48751939999999999</v>
      </c>
      <c r="S5567">
        <v>3.047577</v>
      </c>
      <c r="T5567">
        <v>-0.25154530000000003</v>
      </c>
      <c r="U5567">
        <v>-0.68820190000000003</v>
      </c>
      <c r="V5567">
        <v>2.1496410000000001E-2</v>
      </c>
      <c r="W5567">
        <v>-1.763586E-2</v>
      </c>
      <c r="X5567">
        <v>0.99961330000000004</v>
      </c>
      <c r="Y5567">
        <v>-0.26072289999999998</v>
      </c>
      <c r="Z5567">
        <v>4.7107429999999999E-2</v>
      </c>
      <c r="AA5567">
        <v>0.96426369999999895</v>
      </c>
      <c r="AB5567">
        <v>21</v>
      </c>
      <c r="AC5567">
        <v>13.392799999999999</v>
      </c>
      <c r="AD5567">
        <v>-1.1131054578024999</v>
      </c>
      <c r="AE5567">
        <v>-2.9991599999999998</v>
      </c>
      <c r="AF5567">
        <v>-3.6085641658105798</v>
      </c>
      <c r="AG5567">
        <v>-1.1131054578024999</v>
      </c>
      <c r="AH5567">
        <v>13.1486328824698</v>
      </c>
      <c r="AI5567">
        <v>94.667104784080394</v>
      </c>
      <c r="AJ5567">
        <v>105.34663344169699</v>
      </c>
      <c r="AK5567">
        <v>13.680178572552601</v>
      </c>
      <c r="AL5567">
        <v>91.010512799239294</v>
      </c>
      <c r="AM5567">
        <v>88.768059849122807</v>
      </c>
      <c r="AN5567">
        <v>0.99999993436885604</v>
      </c>
    </row>
    <row r="5568" spans="1:40" x14ac:dyDescent="0.25">
      <c r="A5568" t="str">
        <f>"20190312154947559"</f>
        <v>20190312154947559</v>
      </c>
      <c r="B5568" t="str">
        <f>"1552376987551755"</f>
        <v>1552376987551755</v>
      </c>
      <c r="C5568" t="s">
        <v>40</v>
      </c>
      <c r="D5568">
        <v>4.5855610000000002</v>
      </c>
      <c r="E5568">
        <v>0.38881939999999998</v>
      </c>
      <c r="F5568" t="s">
        <v>67</v>
      </c>
      <c r="G5568">
        <v>-389.44490000000002</v>
      </c>
      <c r="H5568" s="1">
        <v>-5.7078600000000004E-7</v>
      </c>
      <c r="I5568">
        <v>18.273900000000001</v>
      </c>
      <c r="J5568">
        <v>-403.0147</v>
      </c>
      <c r="K5568">
        <v>1.113108</v>
      </c>
      <c r="L5568">
        <v>21.269380000000002</v>
      </c>
      <c r="M5568">
        <v>0.88438050000000001</v>
      </c>
      <c r="N5568">
        <v>0</v>
      </c>
      <c r="O5568">
        <v>-0.46656720000000002</v>
      </c>
      <c r="P5568">
        <v>0.87395630000000002</v>
      </c>
      <c r="Q5568">
        <v>-3.159588E-2</v>
      </c>
      <c r="R5568">
        <v>-0.48497669999999998</v>
      </c>
      <c r="S5568">
        <v>3.0500790000000002</v>
      </c>
      <c r="T5568">
        <v>-0.24855659999999999</v>
      </c>
      <c r="U5568">
        <v>-0.67871090000000001</v>
      </c>
      <c r="V5568">
        <v>2.1286880000000001E-2</v>
      </c>
      <c r="W5568">
        <v>-1.7781999999999999E-2</v>
      </c>
      <c r="X5568">
        <v>0.99961529999999998</v>
      </c>
      <c r="Y5568">
        <v>-0.2612044</v>
      </c>
      <c r="Z5568">
        <v>4.6386230000000001E-2</v>
      </c>
      <c r="AA5568">
        <v>0.96416840000000004</v>
      </c>
      <c r="AB5568">
        <v>21</v>
      </c>
      <c r="AC5568">
        <v>13.569799999999899</v>
      </c>
      <c r="AD5568">
        <v>-1.113108570786</v>
      </c>
      <c r="AE5568">
        <v>-2.9954799999999899</v>
      </c>
      <c r="AF5568">
        <v>-3.6589464685040101</v>
      </c>
      <c r="AG5568">
        <v>-1.113108570786</v>
      </c>
      <c r="AH5568">
        <v>13.314282104128999</v>
      </c>
      <c r="AI5568">
        <v>94.608870605697305</v>
      </c>
      <c r="AJ5568">
        <v>105.36632441573801</v>
      </c>
      <c r="AK5568">
        <v>13.8526895546701</v>
      </c>
      <c r="AL5568">
        <v>91.018887211252903</v>
      </c>
      <c r="AM5568">
        <v>88.780066620571503</v>
      </c>
      <c r="AN5568">
        <v>1.00000003938911</v>
      </c>
    </row>
    <row r="5569" spans="1:40" x14ac:dyDescent="0.25">
      <c r="A5569" t="str">
        <f>"20190312154947570"</f>
        <v>20190312154947570</v>
      </c>
      <c r="B5569" t="str">
        <f>"1552376987561515"</f>
        <v>1552376987561515</v>
      </c>
      <c r="C5569" t="s">
        <v>40</v>
      </c>
      <c r="D5569">
        <v>4.6158419999999998</v>
      </c>
      <c r="E5569">
        <v>0.38934150000000001</v>
      </c>
      <c r="F5569" t="s">
        <v>67</v>
      </c>
      <c r="G5569">
        <v>-389.43979999999999</v>
      </c>
      <c r="H5569" s="1">
        <v>-5.6999939999999999E-7</v>
      </c>
      <c r="I5569">
        <v>18.284220000000001</v>
      </c>
      <c r="J5569">
        <v>-402.92779999999999</v>
      </c>
      <c r="K5569">
        <v>1.1131139999999999</v>
      </c>
      <c r="L5569">
        <v>21.22681</v>
      </c>
      <c r="M5569">
        <v>0.88560399999999995</v>
      </c>
      <c r="N5569">
        <v>0</v>
      </c>
      <c r="O5569">
        <v>-0.46424029999999999</v>
      </c>
      <c r="P5569">
        <v>0.87520209999999998</v>
      </c>
      <c r="Q5569">
        <v>-3.1582520000000003E-2</v>
      </c>
      <c r="R5569">
        <v>-0.48272549999999997</v>
      </c>
      <c r="S5569">
        <v>3.0512999999999999</v>
      </c>
      <c r="T5569">
        <v>-0.25019930000000001</v>
      </c>
      <c r="U5569">
        <v>-0.67098999999999998</v>
      </c>
      <c r="V5569">
        <v>2.1341849999999999E-2</v>
      </c>
      <c r="W5569">
        <v>-1.7754430000000002E-2</v>
      </c>
      <c r="X5569">
        <v>0.99961460000000002</v>
      </c>
      <c r="Y5569">
        <v>-0.26105309999999998</v>
      </c>
      <c r="Z5569">
        <v>4.6520260000000001E-2</v>
      </c>
      <c r="AA5569">
        <v>0.96420280000000003</v>
      </c>
      <c r="AB5569">
        <v>21</v>
      </c>
      <c r="AC5569">
        <v>13.488</v>
      </c>
      <c r="AD5569">
        <v>-1.1131145699993901</v>
      </c>
      <c r="AE5569">
        <v>-2.9425899999999898</v>
      </c>
      <c r="AF5569">
        <v>-3.6324296148322901</v>
      </c>
      <c r="AG5569">
        <v>-1.1131145699993901</v>
      </c>
      <c r="AH5569">
        <v>13.2263503817538</v>
      </c>
      <c r="AI5569">
        <v>94.639612812704001</v>
      </c>
      <c r="AJ5569">
        <v>105.356850639933</v>
      </c>
      <c r="AK5569">
        <v>13.7611741277252</v>
      </c>
      <c r="AL5569">
        <v>91.017307335522602</v>
      </c>
      <c r="AM5569">
        <v>88.776916435095302</v>
      </c>
      <c r="AN5569">
        <v>1.0000000214396001</v>
      </c>
    </row>
    <row r="5570" spans="1:40" x14ac:dyDescent="0.25">
      <c r="A5570" t="str">
        <f>"20190312154947581"</f>
        <v>20190312154947581</v>
      </c>
      <c r="B5570" t="str">
        <f>"1552376987571275"</f>
        <v>1552376987571275</v>
      </c>
      <c r="C5570" t="s">
        <v>40</v>
      </c>
      <c r="D5570">
        <v>4.5917640000000004</v>
      </c>
      <c r="E5570">
        <v>0.39007849999999999</v>
      </c>
      <c r="F5570" t="s">
        <v>67</v>
      </c>
      <c r="G5570">
        <v>-389.68529999999998</v>
      </c>
      <c r="H5570" s="1">
        <v>-4.6237069999999998E-7</v>
      </c>
      <c r="I5570">
        <v>18.334420000000001</v>
      </c>
      <c r="J5570">
        <v>-402.83339999999998</v>
      </c>
      <c r="K5570">
        <v>1.1131260000000001</v>
      </c>
      <c r="L5570">
        <v>21.180969999999999</v>
      </c>
      <c r="M5570">
        <v>0.8869283</v>
      </c>
      <c r="N5570">
        <v>0</v>
      </c>
      <c r="O5570">
        <v>-0.46170480000000003</v>
      </c>
      <c r="P5570">
        <v>0.8765619</v>
      </c>
      <c r="Q5570">
        <v>-3.1251130000000002E-2</v>
      </c>
      <c r="R5570">
        <v>-0.48027350000000002</v>
      </c>
      <c r="S5570">
        <v>3.050964</v>
      </c>
      <c r="T5570">
        <v>-0.25645230000000002</v>
      </c>
      <c r="U5570">
        <v>-0.66638180000000002</v>
      </c>
      <c r="V5570">
        <v>2.139518E-2</v>
      </c>
      <c r="W5570">
        <v>-1.740821E-2</v>
      </c>
      <c r="X5570">
        <v>0.99961949999999999</v>
      </c>
      <c r="Y5570">
        <v>-0.25956010000000002</v>
      </c>
      <c r="Z5570">
        <v>4.74481E-2</v>
      </c>
      <c r="AA5570">
        <v>0.96456059999999999</v>
      </c>
      <c r="AB5570">
        <v>21</v>
      </c>
      <c r="AC5570">
        <v>13.148099999999999</v>
      </c>
      <c r="AD5570">
        <v>-1.1131264623707</v>
      </c>
      <c r="AE5570">
        <v>-2.8465500000000001</v>
      </c>
      <c r="AF5570">
        <v>-3.5220725589854802</v>
      </c>
      <c r="AG5570">
        <v>-1.1131264623707</v>
      </c>
      <c r="AH5570">
        <v>12.8886579418372</v>
      </c>
      <c r="AI5570">
        <v>94.762323770649104</v>
      </c>
      <c r="AJ5570">
        <v>105.284012408428</v>
      </c>
      <c r="AK5570">
        <v>13.407518382373</v>
      </c>
      <c r="AL5570">
        <v>90.997467373705504</v>
      </c>
      <c r="AM5570">
        <v>88.773867077828399</v>
      </c>
      <c r="AN5570">
        <v>0.99999997214144298</v>
      </c>
    </row>
    <row r="5571" spans="1:40" x14ac:dyDescent="0.25">
      <c r="A5571" t="str">
        <f>"20190312154947592"</f>
        <v>20190312154947592</v>
      </c>
      <c r="B5571" t="str">
        <f>"1552376987581035"</f>
        <v>1552376987581035</v>
      </c>
      <c r="C5571" t="s">
        <v>40</v>
      </c>
      <c r="D5571">
        <v>4.6047440000000002</v>
      </c>
      <c r="E5571">
        <v>0.39050810000000002</v>
      </c>
      <c r="F5571" t="s">
        <v>67</v>
      </c>
      <c r="G5571">
        <v>-389.51889999999997</v>
      </c>
      <c r="H5571" s="1">
        <v>-5.3867589999999995E-7</v>
      </c>
      <c r="I5571">
        <v>18.28783</v>
      </c>
      <c r="J5571">
        <v>-402.74020000000002</v>
      </c>
      <c r="K5571">
        <v>1.113143</v>
      </c>
      <c r="L5571">
        <v>21.136019999999998</v>
      </c>
      <c r="M5571">
        <v>0.88823639999999904</v>
      </c>
      <c r="N5571">
        <v>0</v>
      </c>
      <c r="O5571">
        <v>-0.4591826</v>
      </c>
      <c r="P5571">
        <v>0.8777142</v>
      </c>
      <c r="Q5571">
        <v>-3.0936080000000001E-2</v>
      </c>
      <c r="R5571">
        <v>-0.47818500000000003</v>
      </c>
      <c r="S5571">
        <v>3.0502009999999999</v>
      </c>
      <c r="T5571">
        <v>-0.25500319999999999</v>
      </c>
      <c r="U5571">
        <v>-0.66278079999999995</v>
      </c>
      <c r="V5571">
        <v>2.1847990000000001E-2</v>
      </c>
      <c r="W5571">
        <v>-1.707585E-2</v>
      </c>
      <c r="X5571">
        <v>0.99961549999999999</v>
      </c>
      <c r="Y5571">
        <v>-0.2578897</v>
      </c>
      <c r="Z5571">
        <v>4.6948549999999999E-2</v>
      </c>
      <c r="AA5571">
        <v>0.96503309999999998</v>
      </c>
      <c r="AB5571">
        <v>21</v>
      </c>
      <c r="AC5571">
        <v>13.221299999999999</v>
      </c>
      <c r="AD5571">
        <v>-1.1131435386758901</v>
      </c>
      <c r="AE5571">
        <v>-2.8481900000000002</v>
      </c>
      <c r="AF5571">
        <v>-3.5176279475354599</v>
      </c>
      <c r="AG5571">
        <v>-1.1131435386758901</v>
      </c>
      <c r="AH5571">
        <v>12.964876867884801</v>
      </c>
      <c r="AI5571">
        <v>94.736856112522602</v>
      </c>
      <c r="AJ5571">
        <v>105.18003320904999</v>
      </c>
      <c r="AK5571">
        <v>13.479644917964</v>
      </c>
      <c r="AL5571">
        <v>90.978421656459901</v>
      </c>
      <c r="AM5571">
        <v>88.747920229092401</v>
      </c>
      <c r="AN5571">
        <v>1.0000000335802499</v>
      </c>
    </row>
    <row r="5572" spans="1:40" x14ac:dyDescent="0.25">
      <c r="A5572" t="str">
        <f>"20190312154947604"</f>
        <v>20190312154947604</v>
      </c>
      <c r="B5572" t="str">
        <f>"1552376987601532"</f>
        <v>1552376987601532</v>
      </c>
      <c r="C5572" t="s">
        <v>40</v>
      </c>
      <c r="D5572">
        <v>4.6319049999999997</v>
      </c>
      <c r="E5572">
        <v>0.39140599999999998</v>
      </c>
      <c r="F5572" t="s">
        <v>67</v>
      </c>
      <c r="G5572">
        <v>-389.39949999999999</v>
      </c>
      <c r="H5572" s="1">
        <v>-5.928928E-7</v>
      </c>
      <c r="I5572">
        <v>18.25637</v>
      </c>
      <c r="J5572">
        <v>-402.63869999999997</v>
      </c>
      <c r="K5572">
        <v>1.113165</v>
      </c>
      <c r="L5572">
        <v>21.08737</v>
      </c>
      <c r="M5572">
        <v>0.88965590000000005</v>
      </c>
      <c r="N5572">
        <v>0</v>
      </c>
      <c r="O5572">
        <v>-0.4564261</v>
      </c>
      <c r="P5572">
        <v>0.87891909999999895</v>
      </c>
      <c r="Q5572">
        <v>-3.008866E-2</v>
      </c>
      <c r="R5572">
        <v>-0.47602129999999998</v>
      </c>
      <c r="S5572">
        <v>3.0502929999999999</v>
      </c>
      <c r="T5572">
        <v>-0.25451489999999999</v>
      </c>
      <c r="U5572">
        <v>-0.65841669999999997</v>
      </c>
      <c r="V5572">
        <v>2.2465240000000001E-2</v>
      </c>
      <c r="W5572">
        <v>-1.6208779999999999E-2</v>
      </c>
      <c r="X5572">
        <v>0.99961619999999995</v>
      </c>
      <c r="Y5572">
        <v>-0.25624000000000002</v>
      </c>
      <c r="Z5572">
        <v>4.6599420000000003E-2</v>
      </c>
      <c r="AA5572">
        <v>0.96548929999999999</v>
      </c>
      <c r="AB5572">
        <v>21</v>
      </c>
      <c r="AC5572">
        <v>13.239199999999901</v>
      </c>
      <c r="AD5572">
        <v>-1.1131655928927999</v>
      </c>
      <c r="AE5572">
        <v>-2.8309999999999902</v>
      </c>
      <c r="AF5572">
        <v>-3.5007642708390301</v>
      </c>
      <c r="AG5572">
        <v>-1.1131655928927999</v>
      </c>
      <c r="AH5572">
        <v>12.983923089664801</v>
      </c>
      <c r="AI5572">
        <v>94.732046481536401</v>
      </c>
      <c r="AJ5572">
        <v>105.089440286807</v>
      </c>
      <c r="AK5572">
        <v>13.493581693365</v>
      </c>
      <c r="AL5572">
        <v>90.928735374119</v>
      </c>
      <c r="AM5572">
        <v>88.712559081311397</v>
      </c>
      <c r="AN5572">
        <v>0.99999997942989205</v>
      </c>
    </row>
    <row r="5573" spans="1:40" x14ac:dyDescent="0.25">
      <c r="A5573" t="str">
        <f>"20190312154947615"</f>
        <v>20190312154947615</v>
      </c>
      <c r="B5573" t="str">
        <f>"1552376987611291"</f>
        <v>1552376987611291</v>
      </c>
      <c r="C5573" t="s">
        <v>40</v>
      </c>
      <c r="D5573">
        <v>4.6469339999999999</v>
      </c>
      <c r="E5573">
        <v>0.39194980000000001</v>
      </c>
      <c r="F5573" t="s">
        <v>67</v>
      </c>
      <c r="G5573">
        <v>-389.08089999999999</v>
      </c>
      <c r="H5573" s="1">
        <v>-7.3952340000000005E-7</v>
      </c>
      <c r="I5573">
        <v>18.165040000000001</v>
      </c>
      <c r="J5573">
        <v>-402.54649999999998</v>
      </c>
      <c r="K5573">
        <v>1.1131960000000001</v>
      </c>
      <c r="L5573">
        <v>21.043669999999999</v>
      </c>
      <c r="M5573">
        <v>0.89095270000000004</v>
      </c>
      <c r="N5573">
        <v>0</v>
      </c>
      <c r="O5573">
        <v>-0.45388909999999999</v>
      </c>
      <c r="P5573">
        <v>0.87984569999999995</v>
      </c>
      <c r="Q5573">
        <v>-2.925649E-2</v>
      </c>
      <c r="R5573">
        <v>-0.47435820000000001</v>
      </c>
      <c r="S5573">
        <v>3.0488279999999999</v>
      </c>
      <c r="T5573">
        <v>-0.25032510000000002</v>
      </c>
      <c r="U5573">
        <v>-0.65716549999999996</v>
      </c>
      <c r="V5573">
        <v>2.3404290000000001E-2</v>
      </c>
      <c r="W5573">
        <v>-1.5355880000000001E-2</v>
      </c>
      <c r="X5573">
        <v>0.99960819999999995</v>
      </c>
      <c r="Y5573">
        <v>-0.2538533</v>
      </c>
      <c r="Z5573">
        <v>4.5580599999999999E-2</v>
      </c>
      <c r="AA5573">
        <v>0.96616820000000003</v>
      </c>
      <c r="AB5573">
        <v>21</v>
      </c>
      <c r="AC5573">
        <v>13.465599999999901</v>
      </c>
      <c r="AD5573">
        <v>-1.1131967395233999</v>
      </c>
      <c r="AE5573">
        <v>-2.8786299999999998</v>
      </c>
      <c r="AF5573">
        <v>-3.5244648481915202</v>
      </c>
      <c r="AG5573">
        <v>-1.1131967395233999</v>
      </c>
      <c r="AH5573">
        <v>13.218650251251001</v>
      </c>
      <c r="AI5573">
        <v>94.651987626381498</v>
      </c>
      <c r="AJ5573">
        <v>104.929359200536</v>
      </c>
      <c r="AK5573">
        <v>13.725661146623199</v>
      </c>
      <c r="AL5573">
        <v>90.879861644402695</v>
      </c>
      <c r="AM5573">
        <v>88.658752414158599</v>
      </c>
      <c r="AN5573">
        <v>1.0000000586741</v>
      </c>
    </row>
    <row r="5574" spans="1:40" x14ac:dyDescent="0.25">
      <c r="A5574" t="str">
        <f>"20190312154947626"</f>
        <v>20190312154947626</v>
      </c>
      <c r="B5574" t="str">
        <f>"1552376987621051"</f>
        <v>1552376987621051</v>
      </c>
      <c r="C5574" t="s">
        <v>40</v>
      </c>
      <c r="D5574">
        <v>4.5811479999999998</v>
      </c>
      <c r="E5574">
        <v>0.39240360000000002</v>
      </c>
      <c r="F5574" t="s">
        <v>67</v>
      </c>
      <c r="G5574">
        <v>-388.89929999999998</v>
      </c>
      <c r="H5574" s="1">
        <v>-8.236283E-7</v>
      </c>
      <c r="I5574">
        <v>18.11112</v>
      </c>
      <c r="J5574">
        <v>-402.45229999999998</v>
      </c>
      <c r="K5574">
        <v>1.113224</v>
      </c>
      <c r="L5574">
        <v>20.999300000000002</v>
      </c>
      <c r="M5574">
        <v>0.89227160000000005</v>
      </c>
      <c r="N5574">
        <v>0</v>
      </c>
      <c r="O5574">
        <v>-0.45129049999999998</v>
      </c>
      <c r="P5574">
        <v>0.88077929999999904</v>
      </c>
      <c r="Q5574">
        <v>-2.8691810000000002E-2</v>
      </c>
      <c r="R5574">
        <v>-0.47265790000000002</v>
      </c>
      <c r="S5574">
        <v>3.0483090000000002</v>
      </c>
      <c r="T5574">
        <v>-0.24864910000000001</v>
      </c>
      <c r="U5574">
        <v>-0.65502930000000004</v>
      </c>
      <c r="V5574">
        <v>2.4374099999999999E-2</v>
      </c>
      <c r="W5574">
        <v>-1.477006E-2</v>
      </c>
      <c r="X5574">
        <v>0.99959379999999998</v>
      </c>
      <c r="Y5574">
        <v>-0.25168889999999999</v>
      </c>
      <c r="Z5574">
        <v>4.501633E-2</v>
      </c>
      <c r="AA5574">
        <v>0.96676070000000003</v>
      </c>
      <c r="AB5574">
        <v>21</v>
      </c>
      <c r="AC5574">
        <v>13.5529999999999</v>
      </c>
      <c r="AD5574">
        <v>-1.1132248236283</v>
      </c>
      <c r="AE5574">
        <v>-2.8881800000000002</v>
      </c>
      <c r="AF5574">
        <v>-3.51693522964813</v>
      </c>
      <c r="AG5574">
        <v>-1.1132248236283</v>
      </c>
      <c r="AH5574">
        <v>13.311716981905001</v>
      </c>
      <c r="AI5574">
        <v>94.622493197639997</v>
      </c>
      <c r="AJ5574">
        <v>104.79930755664699</v>
      </c>
      <c r="AK5574">
        <v>13.813396103921001</v>
      </c>
      <c r="AL5574">
        <v>90.846292866565307</v>
      </c>
      <c r="AM5574">
        <v>88.603176235454498</v>
      </c>
      <c r="AN5574">
        <v>1.00000000821082</v>
      </c>
    </row>
    <row r="5575" spans="1:40" x14ac:dyDescent="0.25">
      <c r="A5575" t="str">
        <f>"20190312154947638"</f>
        <v>20190312154947638</v>
      </c>
      <c r="B5575" t="str">
        <f>"1552376987631788"</f>
        <v>1552376987631788</v>
      </c>
      <c r="C5575" t="s">
        <v>40</v>
      </c>
      <c r="D5575">
        <v>4.6103449999999997</v>
      </c>
      <c r="E5575">
        <v>0.3926789</v>
      </c>
      <c r="F5575" t="s">
        <v>67</v>
      </c>
      <c r="G5575">
        <v>-388.68599999999998</v>
      </c>
      <c r="H5575" s="1">
        <v>-9.2076710000000002E-7</v>
      </c>
      <c r="I5575">
        <v>18.05386</v>
      </c>
      <c r="J5575">
        <v>-402.3501</v>
      </c>
      <c r="K5575">
        <v>1.1132679999999999</v>
      </c>
      <c r="L5575">
        <v>20.95166</v>
      </c>
      <c r="M5575">
        <v>0.89371540000000005</v>
      </c>
      <c r="N5575">
        <v>0</v>
      </c>
      <c r="O5575">
        <v>-0.44842349999999997</v>
      </c>
      <c r="P5575">
        <v>0.88177629999999996</v>
      </c>
      <c r="Q5575">
        <v>-2.8016860000000001E-2</v>
      </c>
      <c r="R5575">
        <v>-0.47083530000000001</v>
      </c>
      <c r="S5575">
        <v>3.0480649999999998</v>
      </c>
      <c r="T5575">
        <v>-0.2464838</v>
      </c>
      <c r="U5575">
        <v>-0.65216059999999998</v>
      </c>
      <c r="V5575">
        <v>2.550146E-2</v>
      </c>
      <c r="W5575">
        <v>-1.40711E-2</v>
      </c>
      <c r="X5575">
        <v>0.99957569999999996</v>
      </c>
      <c r="Y5575">
        <v>-0.24948600000000001</v>
      </c>
      <c r="Z5575">
        <v>4.4344420000000002E-2</v>
      </c>
      <c r="AA5575">
        <v>0.96736259999999996</v>
      </c>
      <c r="AB5575">
        <v>21</v>
      </c>
      <c r="AC5575">
        <v>13.664099999999999</v>
      </c>
      <c r="AD5575">
        <v>-1.1132689207670901</v>
      </c>
      <c r="AE5575">
        <v>-2.8978000000000002</v>
      </c>
      <c r="AF5575">
        <v>-3.5154981108288199</v>
      </c>
      <c r="AG5575">
        <v>-1.1132689207670901</v>
      </c>
      <c r="AH5575">
        <v>13.4272421367597</v>
      </c>
      <c r="AI5575">
        <v>94.585745859220197</v>
      </c>
      <c r="AJ5575">
        <v>104.671758733757</v>
      </c>
      <c r="AK5575">
        <v>13.924400384087001</v>
      </c>
      <c r="AL5575">
        <v>90.806241290177994</v>
      </c>
      <c r="AM5575">
        <v>88.538570766699493</v>
      </c>
      <c r="AN5575">
        <v>0.99999995017391397</v>
      </c>
    </row>
    <row r="5576" spans="1:40" x14ac:dyDescent="0.25">
      <c r="A5576" t="str">
        <f>"20190312154947650"</f>
        <v>20190312154947650</v>
      </c>
      <c r="B5576" t="str">
        <f>"1552376987641548"</f>
        <v>1552376987641548</v>
      </c>
      <c r="C5576" t="s">
        <v>40</v>
      </c>
      <c r="D5576">
        <v>4.597404</v>
      </c>
      <c r="E5576">
        <v>0.39299790000000001</v>
      </c>
      <c r="F5576" t="s">
        <v>67</v>
      </c>
      <c r="G5576">
        <v>-388.40809999999999</v>
      </c>
      <c r="H5576" s="1">
        <v>-1.0448290000000001E-6</v>
      </c>
      <c r="I5576">
        <v>17.98864</v>
      </c>
      <c r="J5576">
        <v>-402.25749999999999</v>
      </c>
      <c r="K5576">
        <v>1.1133090000000001</v>
      </c>
      <c r="L5576">
        <v>20.908809999999999</v>
      </c>
      <c r="M5576">
        <v>0.89502380000000004</v>
      </c>
      <c r="N5576">
        <v>0</v>
      </c>
      <c r="O5576">
        <v>-0.44580619999999999</v>
      </c>
      <c r="P5576">
        <v>0.88238850000000002</v>
      </c>
      <c r="Q5576">
        <v>-2.7702149999999998E-2</v>
      </c>
      <c r="R5576">
        <v>-0.46970529999999999</v>
      </c>
      <c r="S5576">
        <v>3.0485229999999999</v>
      </c>
      <c r="T5576">
        <v>-0.2434248</v>
      </c>
      <c r="U5576">
        <v>-0.64788819999999903</v>
      </c>
      <c r="V5576">
        <v>2.713993E-2</v>
      </c>
      <c r="W5576">
        <v>-1.3729750000000001E-2</v>
      </c>
      <c r="X5576">
        <v>0.99953729999999996</v>
      </c>
      <c r="Y5576">
        <v>-0.2480405</v>
      </c>
      <c r="Z5576">
        <v>4.3558149999999997E-2</v>
      </c>
      <c r="AA5576">
        <v>0.96776989999999996</v>
      </c>
      <c r="AB5576">
        <v>21</v>
      </c>
      <c r="AC5576">
        <v>13.849399999999999</v>
      </c>
      <c r="AD5576">
        <v>-1.1133100448289901</v>
      </c>
      <c r="AE5576">
        <v>-2.9201699999999899</v>
      </c>
      <c r="AF5576">
        <v>-3.5389681144210798</v>
      </c>
      <c r="AG5576">
        <v>-1.1133100448289901</v>
      </c>
      <c r="AH5576">
        <v>13.6144363303091</v>
      </c>
      <c r="AI5576">
        <v>94.525187608828702</v>
      </c>
      <c r="AJ5576">
        <v>104.571120393748</v>
      </c>
      <c r="AK5576">
        <v>14.1108692561035</v>
      </c>
      <c r="AL5576">
        <v>90.786681486728696</v>
      </c>
      <c r="AM5576">
        <v>88.444658875618103</v>
      </c>
      <c r="AN5576">
        <v>0.99999994796337699</v>
      </c>
    </row>
    <row r="5577" spans="1:40" x14ac:dyDescent="0.25">
      <c r="A5577" t="str">
        <f>"20190312154947662"</f>
        <v>20190312154947662</v>
      </c>
      <c r="B5577" t="str">
        <f>"1552376987651307"</f>
        <v>1552376987651307</v>
      </c>
      <c r="C5577" t="s">
        <v>40</v>
      </c>
      <c r="D5577">
        <v>4.625591</v>
      </c>
      <c r="E5577">
        <v>0.39332010000000001</v>
      </c>
      <c r="F5577" t="s">
        <v>67</v>
      </c>
      <c r="G5577">
        <v>-388.17399999999998</v>
      </c>
      <c r="H5577" s="1">
        <v>-1.1638429999999999E-6</v>
      </c>
      <c r="I5577">
        <v>17.923729999999999</v>
      </c>
      <c r="J5577">
        <v>-402.15530000000001</v>
      </c>
      <c r="K5577">
        <v>1.113361</v>
      </c>
      <c r="L5577">
        <v>20.861940000000001</v>
      </c>
      <c r="M5577">
        <v>0.89647279999999996</v>
      </c>
      <c r="N5577">
        <v>0</v>
      </c>
      <c r="O5577">
        <v>-0.44288519999999998</v>
      </c>
      <c r="P5577">
        <v>0.88328439999999997</v>
      </c>
      <c r="Q5577">
        <v>-2.7107909999999999E-2</v>
      </c>
      <c r="R5577">
        <v>-0.46805360000000001</v>
      </c>
      <c r="S5577">
        <v>3.0483699999999998</v>
      </c>
      <c r="T5577">
        <v>-0.24097479999999999</v>
      </c>
      <c r="U5577">
        <v>-0.64611819999999998</v>
      </c>
      <c r="V5577">
        <v>2.8517000000000001E-2</v>
      </c>
      <c r="W5577">
        <v>-1.310908E-2</v>
      </c>
      <c r="X5577">
        <v>0.99950740000000005</v>
      </c>
      <c r="Y5577">
        <v>-0.2454636</v>
      </c>
      <c r="Z5577">
        <v>4.2823470000000002E-2</v>
      </c>
      <c r="AA5577">
        <v>0.96845950000000003</v>
      </c>
      <c r="AB5577">
        <v>21</v>
      </c>
      <c r="AC5577">
        <v>13.9812999999999</v>
      </c>
      <c r="AD5577">
        <v>-1.113362163843</v>
      </c>
      <c r="AE5577">
        <v>-2.9382100000000002</v>
      </c>
      <c r="AF5577">
        <v>-3.5369420447038098</v>
      </c>
      <c r="AG5577">
        <v>-1.113362163843</v>
      </c>
      <c r="AH5577">
        <v>13.7529313484564</v>
      </c>
      <c r="AI5577">
        <v>94.483004175341307</v>
      </c>
      <c r="AJ5577">
        <v>104.422625294076</v>
      </c>
      <c r="AK5577">
        <v>14.2440392800226</v>
      </c>
      <c r="AL5577">
        <v>90.751116430036902</v>
      </c>
      <c r="AM5577">
        <v>88.3657343439763</v>
      </c>
      <c r="AN5577">
        <v>1.0000000549610999</v>
      </c>
    </row>
    <row r="5578" spans="1:40" x14ac:dyDescent="0.25">
      <c r="A5578" t="str">
        <f>"20190312154947673"</f>
        <v>20190312154947673</v>
      </c>
      <c r="B5578" t="str">
        <f>"1552376987661067"</f>
        <v>1552376987661067</v>
      </c>
      <c r="C5578" t="s">
        <v>40</v>
      </c>
      <c r="D5578">
        <v>4.6280039999999998</v>
      </c>
      <c r="E5578">
        <v>0.39367950000000002</v>
      </c>
      <c r="F5578" t="s">
        <v>67</v>
      </c>
      <c r="G5578">
        <v>-388.01979999999998</v>
      </c>
      <c r="H5578" s="1">
        <v>-1.2440760000000001E-6</v>
      </c>
      <c r="I5578">
        <v>17.882390000000001</v>
      </c>
      <c r="J5578">
        <v>-402.05470000000003</v>
      </c>
      <c r="K5578">
        <v>1.1134120000000001</v>
      </c>
      <c r="L5578">
        <v>20.816310000000001</v>
      </c>
      <c r="M5578">
        <v>0.89790979999999998</v>
      </c>
      <c r="N5578">
        <v>0</v>
      </c>
      <c r="O5578">
        <v>-0.43996360000000001</v>
      </c>
      <c r="P5578">
        <v>0.8839766</v>
      </c>
      <c r="Q5578">
        <v>-2.711657E-2</v>
      </c>
      <c r="R5578">
        <v>-0.4667443</v>
      </c>
      <c r="S5578">
        <v>3.0485229999999999</v>
      </c>
      <c r="T5578">
        <v>-0.2401112</v>
      </c>
      <c r="U5578">
        <v>-0.64257810000000004</v>
      </c>
      <c r="V5578">
        <v>3.0291289999999998E-2</v>
      </c>
      <c r="W5578">
        <v>-1.308844E-2</v>
      </c>
      <c r="X5578">
        <v>0.99945539999999999</v>
      </c>
      <c r="Y5578">
        <v>-0.24342040000000001</v>
      </c>
      <c r="Z5578">
        <v>4.2393609999999998E-2</v>
      </c>
      <c r="AA5578">
        <v>0.96899400000000002</v>
      </c>
      <c r="AB5578">
        <v>21</v>
      </c>
      <c r="AC5578">
        <v>14.0349</v>
      </c>
      <c r="AD5578">
        <v>-1.1134132440760001</v>
      </c>
      <c r="AE5578">
        <v>-2.9339200000000001</v>
      </c>
      <c r="AF5578">
        <v>-3.5195630111715999</v>
      </c>
      <c r="AG5578">
        <v>-1.1134132440760001</v>
      </c>
      <c r="AH5578">
        <v>13.810932255526501</v>
      </c>
      <c r="AI5578">
        <v>94.466956245761594</v>
      </c>
      <c r="AJ5578">
        <v>104.296885605515</v>
      </c>
      <c r="AK5578">
        <v>14.295763799406901</v>
      </c>
      <c r="AL5578">
        <v>90.749933797678594</v>
      </c>
      <c r="AM5578">
        <v>88.264022628734395</v>
      </c>
      <c r="AN5578">
        <v>0.999999983050328</v>
      </c>
    </row>
    <row r="5579" spans="1:40" x14ac:dyDescent="0.25">
      <c r="A5579" t="str">
        <f>"20190312154947687"</f>
        <v>20190312154947687</v>
      </c>
      <c r="B5579" t="str">
        <f>"1552376987681564"</f>
        <v>1552376987681564</v>
      </c>
      <c r="C5579" t="s">
        <v>40</v>
      </c>
      <c r="D5579">
        <v>4.5469419999999996</v>
      </c>
      <c r="E5579">
        <v>0.39429039999999999</v>
      </c>
      <c r="F5579" t="s">
        <v>67</v>
      </c>
      <c r="G5579">
        <v>-387.86470000000003</v>
      </c>
      <c r="H5579" s="1">
        <v>-1.325919E-6</v>
      </c>
      <c r="I5579">
        <v>17.834340000000001</v>
      </c>
      <c r="J5579">
        <v>-401.94310000000002</v>
      </c>
      <c r="K5579">
        <v>1.113467</v>
      </c>
      <c r="L5579">
        <v>20.766079999999999</v>
      </c>
      <c r="M5579">
        <v>0.89950350000000001</v>
      </c>
      <c r="N5579">
        <v>0</v>
      </c>
      <c r="O5579">
        <v>-0.43669570000000002</v>
      </c>
      <c r="P5579">
        <v>0.88489399999999996</v>
      </c>
      <c r="Q5579">
        <v>-2.6383029999999998E-2</v>
      </c>
      <c r="R5579">
        <v>-0.4650455</v>
      </c>
      <c r="S5579">
        <v>3.048187</v>
      </c>
      <c r="T5579">
        <v>-0.23917440000000001</v>
      </c>
      <c r="U5579">
        <v>-0.64056400000000002</v>
      </c>
      <c r="V5579">
        <v>3.199043E-2</v>
      </c>
      <c r="W5579">
        <v>-1.232427E-2</v>
      </c>
      <c r="X5579">
        <v>0.99941219999999997</v>
      </c>
      <c r="Y5579">
        <v>-0.2405158</v>
      </c>
      <c r="Z5579">
        <v>4.1898619999999998E-2</v>
      </c>
      <c r="AA5579">
        <v>0.96974050000000001</v>
      </c>
      <c r="AB5579">
        <v>21</v>
      </c>
      <c r="AC5579">
        <v>14.078399999999901</v>
      </c>
      <c r="AD5579">
        <v>-1.1134683259189999</v>
      </c>
      <c r="AE5579">
        <v>-2.9317399999999898</v>
      </c>
      <c r="AF5579">
        <v>-3.4902751612001399</v>
      </c>
      <c r="AG5579">
        <v>-1.1134683259189999</v>
      </c>
      <c r="AH5579">
        <v>13.8620678165891</v>
      </c>
      <c r="AI5579">
        <v>94.453986305344898</v>
      </c>
      <c r="AJ5579">
        <v>104.132515909201</v>
      </c>
      <c r="AK5579">
        <v>14.3380178743587</v>
      </c>
      <c r="AL5579">
        <v>90.706146525842499</v>
      </c>
      <c r="AM5579">
        <v>88.166631334630793</v>
      </c>
      <c r="AN5579">
        <v>1.0000000103757201</v>
      </c>
    </row>
    <row r="5580" spans="1:40" x14ac:dyDescent="0.25">
      <c r="A5580" t="str">
        <f>"20190312154947699"</f>
        <v>20190312154947699</v>
      </c>
      <c r="B5580" t="str">
        <f>"1552376987691324"</f>
        <v>1552376987691324</v>
      </c>
      <c r="C5580" t="s">
        <v>40</v>
      </c>
      <c r="D5580">
        <v>4.5732309999999998</v>
      </c>
      <c r="E5580">
        <v>0.39456059999999998</v>
      </c>
      <c r="F5580" t="s">
        <v>67</v>
      </c>
      <c r="G5580">
        <v>-387.5883</v>
      </c>
      <c r="H5580" s="1">
        <v>-1.4704130000000001E-6</v>
      </c>
      <c r="I5580">
        <v>17.756180000000001</v>
      </c>
      <c r="J5580">
        <v>-401.83539999999999</v>
      </c>
      <c r="K5580">
        <v>1.1135200000000001</v>
      </c>
      <c r="L5580">
        <v>20.71829</v>
      </c>
      <c r="M5580">
        <v>0.90105800000000003</v>
      </c>
      <c r="N5580">
        <v>0</v>
      </c>
      <c r="O5580">
        <v>-0.4334788</v>
      </c>
      <c r="P5580">
        <v>0.88585119999999895</v>
      </c>
      <c r="Q5580">
        <v>-2.5779750000000001E-2</v>
      </c>
      <c r="R5580">
        <v>-0.46325280000000002</v>
      </c>
      <c r="S5580">
        <v>3.0473940000000002</v>
      </c>
      <c r="T5580">
        <v>-0.2363797</v>
      </c>
      <c r="U5580">
        <v>-0.63897709999999996</v>
      </c>
      <c r="V5580">
        <v>3.3526060000000003E-2</v>
      </c>
      <c r="W5580">
        <v>-1.1692019999999999E-2</v>
      </c>
      <c r="X5580">
        <v>0.99936939999999996</v>
      </c>
      <c r="Y5580">
        <v>-0.2375389</v>
      </c>
      <c r="Z5580">
        <v>4.1089590000000002E-2</v>
      </c>
      <c r="AA5580">
        <v>0.97050860000000005</v>
      </c>
      <c r="AB5580">
        <v>21</v>
      </c>
      <c r="AC5580">
        <v>14.2470999999999</v>
      </c>
      <c r="AD5580">
        <v>-1.1135214704130001</v>
      </c>
      <c r="AE5580">
        <v>-2.9621099999999898</v>
      </c>
      <c r="AF5580">
        <v>-3.4867007070459999</v>
      </c>
      <c r="AG5580">
        <v>-1.1135214704130001</v>
      </c>
      <c r="AH5580">
        <v>14.040606276382301</v>
      </c>
      <c r="AI5580">
        <v>94.401347227968301</v>
      </c>
      <c r="AJ5580">
        <v>103.946140936131</v>
      </c>
      <c r="AK5580">
        <v>14.509846191258299</v>
      </c>
      <c r="AL5580">
        <v>90.669918698198202</v>
      </c>
      <c r="AM5580">
        <v>88.078606745793294</v>
      </c>
      <c r="AN5580">
        <v>0.99999994884358001</v>
      </c>
    </row>
    <row r="5581" spans="1:40" x14ac:dyDescent="0.25">
      <c r="A5581" t="str">
        <f>"20190312154947716"</f>
        <v>20190312154947716</v>
      </c>
      <c r="B5581" t="str">
        <f>"1552376987711397"</f>
        <v>1552376987711397</v>
      </c>
      <c r="C5581" t="s">
        <v>40</v>
      </c>
      <c r="D5581">
        <v>4.5861280000000004</v>
      </c>
      <c r="E5581">
        <v>0.39473570000000002</v>
      </c>
      <c r="F5581" t="s">
        <v>67</v>
      </c>
      <c r="G5581">
        <v>-387.30650000000003</v>
      </c>
      <c r="H5581" s="1">
        <v>-1.61495299999999E-6</v>
      </c>
      <c r="I5581">
        <v>17.692239999999899</v>
      </c>
      <c r="J5581">
        <v>-401.69450000000001</v>
      </c>
      <c r="K5581">
        <v>1.113591</v>
      </c>
      <c r="L5581">
        <v>20.65652</v>
      </c>
      <c r="M5581">
        <v>0.90309950000000005</v>
      </c>
      <c r="N5581">
        <v>0</v>
      </c>
      <c r="O5581">
        <v>-0.42920900000000001</v>
      </c>
      <c r="P5581">
        <v>0.88714769999999898</v>
      </c>
      <c r="Q5581">
        <v>-2.462305E-2</v>
      </c>
      <c r="R5581">
        <v>-0.46082859999999998</v>
      </c>
      <c r="S5581">
        <v>3.0478209999999999</v>
      </c>
      <c r="T5581">
        <v>-0.2335913</v>
      </c>
      <c r="U5581">
        <v>-0.63479609999999997</v>
      </c>
      <c r="V5581">
        <v>3.5499910000000003E-2</v>
      </c>
      <c r="W5581">
        <v>-1.049782E-2</v>
      </c>
      <c r="X5581">
        <v>0.99931449999999999</v>
      </c>
      <c r="Y5581">
        <v>-0.2343056</v>
      </c>
      <c r="Z5581">
        <v>4.0196519999999999E-2</v>
      </c>
      <c r="AA5581">
        <v>0.97133159999999996</v>
      </c>
      <c r="AB5581">
        <v>21</v>
      </c>
      <c r="AC5581">
        <v>14.3879999999999</v>
      </c>
      <c r="AD5581">
        <v>-1.113592614953</v>
      </c>
      <c r="AE5581">
        <v>-2.96428</v>
      </c>
      <c r="AF5581">
        <v>-3.4787628540093101</v>
      </c>
      <c r="AG5581">
        <v>-1.113592614953</v>
      </c>
      <c r="AH5581">
        <v>14.1859348483191</v>
      </c>
      <c r="AI5581">
        <v>94.359843378041404</v>
      </c>
      <c r="AJ5581">
        <v>103.77852629976201</v>
      </c>
      <c r="AK5581">
        <v>14.648639084477001</v>
      </c>
      <c r="AL5581">
        <v>90.601491852995196</v>
      </c>
      <c r="AM5581">
        <v>87.965465278800295</v>
      </c>
      <c r="AN5581">
        <v>0.99999995887250404</v>
      </c>
    </row>
    <row r="5582" spans="1:40" x14ac:dyDescent="0.25">
      <c r="A5582" t="str">
        <f>"20190312154947738"</f>
        <v>20190312154947738</v>
      </c>
      <c r="B5582" t="str">
        <f>"1552376987730917"</f>
        <v>1552376987730917</v>
      </c>
      <c r="C5582" t="s">
        <v>40</v>
      </c>
      <c r="D5582">
        <v>4.5720359999999998</v>
      </c>
      <c r="E5582">
        <v>0.39491219999999999</v>
      </c>
      <c r="F5582" t="s">
        <v>67</v>
      </c>
      <c r="G5582">
        <v>-387.07799999999997</v>
      </c>
      <c r="H5582" s="1">
        <v>-1.730769E-6</v>
      </c>
      <c r="I5582">
        <v>17.64837</v>
      </c>
      <c r="J5582">
        <v>-401.50599999999997</v>
      </c>
      <c r="K5582">
        <v>1.1136779999999999</v>
      </c>
      <c r="L5582">
        <v>20.575199999999999</v>
      </c>
      <c r="M5582">
        <v>0.90584620000000005</v>
      </c>
      <c r="N5582">
        <v>0</v>
      </c>
      <c r="O5582">
        <v>-0.4233808</v>
      </c>
      <c r="P5582">
        <v>0.88984279999999905</v>
      </c>
      <c r="Q5582">
        <v>-2.415258E-2</v>
      </c>
      <c r="R5582">
        <v>-0.45562770000000002</v>
      </c>
      <c r="S5582">
        <v>3.0491640000000002</v>
      </c>
      <c r="T5582">
        <v>-0.23230729999999999</v>
      </c>
      <c r="U5582">
        <v>-0.62753300000000001</v>
      </c>
      <c r="V5582">
        <v>3.6081549999999997E-2</v>
      </c>
      <c r="W5582">
        <v>-9.9953899999999998E-3</v>
      </c>
      <c r="X5582">
        <v>0.99929889999999999</v>
      </c>
      <c r="Y5582">
        <v>-0.23038929999999999</v>
      </c>
      <c r="Z5582">
        <v>3.9430649999999998E-2</v>
      </c>
      <c r="AA5582">
        <v>0.97229929999999998</v>
      </c>
      <c r="AB5582">
        <v>21</v>
      </c>
      <c r="AC5582">
        <v>14.4279999999999</v>
      </c>
      <c r="AD5582">
        <v>-1.1136797307690001</v>
      </c>
      <c r="AE5582">
        <v>-2.9268299999999901</v>
      </c>
      <c r="AF5582">
        <v>-3.43793719719261</v>
      </c>
      <c r="AG5582">
        <v>-1.1136797307690001</v>
      </c>
      <c r="AH5582">
        <v>14.2286567270658</v>
      </c>
      <c r="AI5582">
        <v>94.350731438524406</v>
      </c>
      <c r="AJ5582">
        <v>103.58349976486799</v>
      </c>
      <c r="AK5582">
        <v>14.680407588730001</v>
      </c>
      <c r="AL5582">
        <v>90.572703175886701</v>
      </c>
      <c r="AM5582">
        <v>87.932127371617398</v>
      </c>
      <c r="AN5582">
        <v>1.0000000388064301</v>
      </c>
    </row>
    <row r="5583" spans="1:40" x14ac:dyDescent="0.25">
      <c r="A5583" t="str">
        <f>"20190312154947750"</f>
        <v>20190312154947750</v>
      </c>
      <c r="B5583" t="str">
        <f>"1552376987741653"</f>
        <v>1552376987741653</v>
      </c>
      <c r="C5583" t="s">
        <v>40</v>
      </c>
      <c r="D5583">
        <v>4.6237879999999896</v>
      </c>
      <c r="E5583">
        <v>0.3950109</v>
      </c>
      <c r="F5583" t="s">
        <v>67</v>
      </c>
      <c r="G5583">
        <v>-386.94209999999998</v>
      </c>
      <c r="H5583" s="1">
        <v>-1.7927499999999999E-6</v>
      </c>
      <c r="I5583">
        <v>17.661069999999999</v>
      </c>
      <c r="J5583">
        <v>-401.41039999999998</v>
      </c>
      <c r="K5583">
        <v>1.113718</v>
      </c>
      <c r="L5583">
        <v>20.534520000000001</v>
      </c>
      <c r="M5583">
        <v>0.90724519999999997</v>
      </c>
      <c r="N5583">
        <v>0</v>
      </c>
      <c r="O5583">
        <v>-0.42037439999999998</v>
      </c>
      <c r="P5583">
        <v>0.89128560000000001</v>
      </c>
      <c r="Q5583">
        <v>-2.389722E-2</v>
      </c>
      <c r="R5583">
        <v>-0.45281290000000002</v>
      </c>
      <c r="S5583">
        <v>3.0523380000000002</v>
      </c>
      <c r="T5583">
        <v>-0.23340759999999999</v>
      </c>
      <c r="U5583">
        <v>-0.61074830000000002</v>
      </c>
      <c r="V5583">
        <v>3.6232309999999997E-2</v>
      </c>
      <c r="W5583">
        <v>-9.7255669999999992E-3</v>
      </c>
      <c r="X5583">
        <v>0.99929610000000002</v>
      </c>
      <c r="Y5583">
        <v>-0.23248360000000001</v>
      </c>
      <c r="Z5583">
        <v>3.9481179999999998E-2</v>
      </c>
      <c r="AA5583">
        <v>0.97179870000000002</v>
      </c>
      <c r="AB5583">
        <v>21</v>
      </c>
      <c r="AC5583">
        <v>14.468299999999999</v>
      </c>
      <c r="AD5583">
        <v>-1.11371979275</v>
      </c>
      <c r="AE5583">
        <v>-2.8734499999999898</v>
      </c>
      <c r="AF5583">
        <v>-3.4558120274953401</v>
      </c>
      <c r="AG5583">
        <v>-1.11371979275</v>
      </c>
      <c r="AH5583">
        <v>14.254335893088699</v>
      </c>
      <c r="AI5583">
        <v>94.342269457309399</v>
      </c>
      <c r="AJ5583">
        <v>103.62781278563099</v>
      </c>
      <c r="AK5583">
        <v>14.709490144091999</v>
      </c>
      <c r="AL5583">
        <v>90.557242709936702</v>
      </c>
      <c r="AM5583">
        <v>87.923488887943805</v>
      </c>
      <c r="AN5583">
        <v>1.0000000312082999</v>
      </c>
    </row>
    <row r="5584" spans="1:40" x14ac:dyDescent="0.25">
      <c r="A5584" t="str">
        <f>"20190312154947760"</f>
        <v>20190312154947760</v>
      </c>
      <c r="B5584" t="str">
        <f>"1552376987751413"</f>
        <v>1552376987751413</v>
      </c>
      <c r="C5584" t="s">
        <v>40</v>
      </c>
      <c r="D5584">
        <v>4.582751</v>
      </c>
      <c r="E5584">
        <v>0.39511629999999998</v>
      </c>
      <c r="F5584" t="s">
        <v>67</v>
      </c>
      <c r="G5584">
        <v>-386.86810000000003</v>
      </c>
      <c r="H5584" s="1">
        <v>-1.82623E-6</v>
      </c>
      <c r="I5584">
        <v>17.66957</v>
      </c>
      <c r="J5584">
        <v>-401.3211</v>
      </c>
      <c r="K5584">
        <v>1.1137570000000001</v>
      </c>
      <c r="L5584">
        <v>20.496949999999998</v>
      </c>
      <c r="M5584">
        <v>0.90855419999999998</v>
      </c>
      <c r="N5584">
        <v>0</v>
      </c>
      <c r="O5584">
        <v>-0.4175372</v>
      </c>
      <c r="P5584">
        <v>0.89288080000000003</v>
      </c>
      <c r="Q5584">
        <v>-2.3995880000000001E-2</v>
      </c>
      <c r="R5584">
        <v>-0.44965319999999998</v>
      </c>
      <c r="S5584">
        <v>3.0539550000000002</v>
      </c>
      <c r="T5584">
        <v>-0.23388700000000001</v>
      </c>
      <c r="U5584">
        <v>-0.60165409999999997</v>
      </c>
      <c r="V5584">
        <v>3.5818830000000003E-2</v>
      </c>
      <c r="W5584">
        <v>-9.8160409999999993E-3</v>
      </c>
      <c r="X5584">
        <v>0.99931009999999998</v>
      </c>
      <c r="Y5584">
        <v>-0.2323288</v>
      </c>
      <c r="Z5584">
        <v>3.9357669999999997E-2</v>
      </c>
      <c r="AA5584">
        <v>0.9718407</v>
      </c>
      <c r="AB5584">
        <v>21</v>
      </c>
      <c r="AC5584">
        <v>14.4529999999999</v>
      </c>
      <c r="AD5584">
        <v>-1.11375882622999</v>
      </c>
      <c r="AE5584">
        <v>-2.82737999999999</v>
      </c>
      <c r="AF5584">
        <v>-3.44645793022893</v>
      </c>
      <c r="AG5584">
        <v>-1.11375882622999</v>
      </c>
      <c r="AH5584">
        <v>14.2318452813997</v>
      </c>
      <c r="AI5584">
        <v>94.349528925144099</v>
      </c>
      <c r="AJ5584">
        <v>103.612976865229</v>
      </c>
      <c r="AK5584">
        <v>14.6855013908801</v>
      </c>
      <c r="AL5584">
        <v>90.562426747746102</v>
      </c>
      <c r="AM5584">
        <v>87.9471941972906</v>
      </c>
      <c r="AN5584">
        <v>1.0000000096027399</v>
      </c>
    </row>
    <row r="5585" spans="1:40" x14ac:dyDescent="0.25">
      <c r="A5585" t="str">
        <f>"20190312154947771"</f>
        <v>20190312154947771</v>
      </c>
      <c r="B5585" t="str">
        <f>"1552376987761173"</f>
        <v>1552376987761173</v>
      </c>
      <c r="C5585" t="s">
        <v>40</v>
      </c>
      <c r="D5585">
        <v>4.5621919999999996</v>
      </c>
      <c r="E5585">
        <v>0.39517540000000001</v>
      </c>
      <c r="F5585" t="s">
        <v>67</v>
      </c>
      <c r="G5585">
        <v>-386.79539999999997</v>
      </c>
      <c r="H5585" s="1">
        <v>-1.8578889999999999E-6</v>
      </c>
      <c r="I5585">
        <v>17.68477</v>
      </c>
      <c r="J5585">
        <v>-401.22930000000002</v>
      </c>
      <c r="K5585">
        <v>1.1137919999999999</v>
      </c>
      <c r="L5585">
        <v>20.458770000000001</v>
      </c>
      <c r="M5585">
        <v>0.9099024</v>
      </c>
      <c r="N5585">
        <v>0</v>
      </c>
      <c r="O5585">
        <v>-0.41459079999999898</v>
      </c>
      <c r="P5585">
        <v>0.89441119999999996</v>
      </c>
      <c r="Q5585">
        <v>-2.3688399999999998E-2</v>
      </c>
      <c r="R5585">
        <v>-0.44661849999999997</v>
      </c>
      <c r="S5585">
        <v>3.0556950000000001</v>
      </c>
      <c r="T5585">
        <v>-0.23429559999999999</v>
      </c>
      <c r="U5585">
        <v>-0.59158330000000003</v>
      </c>
      <c r="V5585">
        <v>3.565774E-2</v>
      </c>
      <c r="W5585">
        <v>-9.4982810000000008E-3</v>
      </c>
      <c r="X5585">
        <v>0.99931890000000001</v>
      </c>
      <c r="Y5585">
        <v>-0.2323694</v>
      </c>
      <c r="Z5585">
        <v>3.922109E-2</v>
      </c>
      <c r="AA5585">
        <v>0.97183649999999999</v>
      </c>
      <c r="AB5585">
        <v>21</v>
      </c>
      <c r="AC5585">
        <v>14.4339</v>
      </c>
      <c r="AD5585">
        <v>-1.1137938578890001</v>
      </c>
      <c r="AE5585">
        <v>-2.774</v>
      </c>
      <c r="AF5585">
        <v>-3.4406677103980501</v>
      </c>
      <c r="AG5585">
        <v>-1.1137938578890001</v>
      </c>
      <c r="AH5585">
        <v>14.2033265740776</v>
      </c>
      <c r="AI5585">
        <v>94.358287190718997</v>
      </c>
      <c r="AJ5585">
        <v>103.61722938627599</v>
      </c>
      <c r="AK5585">
        <v>14.656507661143101</v>
      </c>
      <c r="AL5585">
        <v>90.544219609211396</v>
      </c>
      <c r="AM5585">
        <v>87.956436529082097</v>
      </c>
      <c r="AN5585">
        <v>0.99999997783053596</v>
      </c>
    </row>
    <row r="5586" spans="1:40" x14ac:dyDescent="0.25">
      <c r="A5586" t="str">
        <f>"20190312154947782"</f>
        <v>20190312154947782</v>
      </c>
      <c r="B5586" t="str">
        <f>"1552376987770934"</f>
        <v>1552376987770934</v>
      </c>
      <c r="C5586" t="s">
        <v>40</v>
      </c>
      <c r="D5586">
        <v>4.5865369999999999</v>
      </c>
      <c r="E5586">
        <v>0.39529449999999999</v>
      </c>
      <c r="F5586" t="s">
        <v>67</v>
      </c>
      <c r="G5586">
        <v>-386.61599999999999</v>
      </c>
      <c r="H5586" s="1">
        <v>-1.9436010000000001E-6</v>
      </c>
      <c r="I5586">
        <v>17.67971</v>
      </c>
      <c r="J5586">
        <v>-401.12790000000001</v>
      </c>
      <c r="K5586">
        <v>1.113829</v>
      </c>
      <c r="L5586">
        <v>20.416840000000001</v>
      </c>
      <c r="M5586">
        <v>0.91139110000000001</v>
      </c>
      <c r="N5586">
        <v>0</v>
      </c>
      <c r="O5586">
        <v>-0.41130749999999999</v>
      </c>
      <c r="P5586">
        <v>0.89618989999999998</v>
      </c>
      <c r="Q5586">
        <v>-2.3616999999999999E-2</v>
      </c>
      <c r="R5586">
        <v>-0.44304169999999998</v>
      </c>
      <c r="S5586">
        <v>3.0576479999999999</v>
      </c>
      <c r="T5586">
        <v>-0.23304639999999999</v>
      </c>
      <c r="U5586">
        <v>-0.5814819</v>
      </c>
      <c r="V5586">
        <v>3.5267989999999999E-2</v>
      </c>
      <c r="W5586">
        <v>-9.4180110000000004E-3</v>
      </c>
      <c r="X5586">
        <v>0.99933349999999999</v>
      </c>
      <c r="Y5586">
        <v>-0.2321039</v>
      </c>
      <c r="Z5586">
        <v>3.877075E-2</v>
      </c>
      <c r="AA5586">
        <v>0.97191799999999995</v>
      </c>
      <c r="AB5586">
        <v>21</v>
      </c>
      <c r="AC5586">
        <v>14.511900000000001</v>
      </c>
      <c r="AD5586">
        <v>-1.1138309436010001</v>
      </c>
      <c r="AE5586">
        <v>-2.7371300000000001</v>
      </c>
      <c r="AF5586">
        <v>-3.4549377641856802</v>
      </c>
      <c r="AG5586">
        <v>-1.1138309436010001</v>
      </c>
      <c r="AH5586">
        <v>14.272011120055501</v>
      </c>
      <c r="AI5586">
        <v>94.337700910223006</v>
      </c>
      <c r="AJ5586">
        <v>103.608248183664</v>
      </c>
      <c r="AK5586">
        <v>14.7264223671708</v>
      </c>
      <c r="AL5586">
        <v>90.539620266140105</v>
      </c>
      <c r="AM5586">
        <v>87.978784178366197</v>
      </c>
      <c r="AN5586">
        <v>0.99999998713604299</v>
      </c>
    </row>
    <row r="5587" spans="1:40" x14ac:dyDescent="0.25">
      <c r="A5587" t="str">
        <f>"20190312154947793"</f>
        <v>20190312154947793</v>
      </c>
      <c r="B5587" t="str">
        <f>"1552376987791429"</f>
        <v>1552376987791429</v>
      </c>
      <c r="C5587" t="s">
        <v>40</v>
      </c>
      <c r="D5587">
        <v>4.5861330000000002</v>
      </c>
      <c r="E5587">
        <v>0.39554590000000001</v>
      </c>
      <c r="F5587" t="s">
        <v>67</v>
      </c>
      <c r="G5587">
        <v>-386.44959999999998</v>
      </c>
      <c r="H5587" s="1">
        <v>-2.0219259999999999E-6</v>
      </c>
      <c r="I5587">
        <v>17.681729999999899</v>
      </c>
      <c r="J5587">
        <v>-401.0378</v>
      </c>
      <c r="K5587">
        <v>1.113858</v>
      </c>
      <c r="L5587">
        <v>20.380220000000001</v>
      </c>
      <c r="M5587">
        <v>0.91271610000000003</v>
      </c>
      <c r="N5587">
        <v>0</v>
      </c>
      <c r="O5587">
        <v>-0.4083582</v>
      </c>
      <c r="P5587">
        <v>0.89772659999999904</v>
      </c>
      <c r="Q5587">
        <v>-2.354328E-2</v>
      </c>
      <c r="R5587">
        <v>-0.43992369999999997</v>
      </c>
      <c r="S5587">
        <v>3.0595089999999998</v>
      </c>
      <c r="T5587">
        <v>-0.2321638</v>
      </c>
      <c r="U5587">
        <v>-0.57009889999999996</v>
      </c>
      <c r="V5587">
        <v>3.502454E-2</v>
      </c>
      <c r="W5587">
        <v>-9.3361590000000001E-3</v>
      </c>
      <c r="X5587">
        <v>0.99934290000000003</v>
      </c>
      <c r="Y5587">
        <v>-0.23257949999999999</v>
      </c>
      <c r="Z5587">
        <v>3.8436680000000001E-2</v>
      </c>
      <c r="AA5587">
        <v>0.97181759999999995</v>
      </c>
      <c r="AB5587">
        <v>21</v>
      </c>
      <c r="AC5587">
        <v>14.588200000000001</v>
      </c>
      <c r="AD5587">
        <v>-1.113860021926</v>
      </c>
      <c r="AE5587">
        <v>-2.6984900000000001</v>
      </c>
      <c r="AF5587">
        <v>-3.4750043766207801</v>
      </c>
      <c r="AG5587">
        <v>-1.113860021926</v>
      </c>
      <c r="AH5587">
        <v>14.337406611381599</v>
      </c>
      <c r="AI5587">
        <v>94.317812402079994</v>
      </c>
      <c r="AJ5587">
        <v>103.62423738704</v>
      </c>
      <c r="AK5587">
        <v>14.794511411536</v>
      </c>
      <c r="AL5587">
        <v>90.5349302483488</v>
      </c>
      <c r="AM5587">
        <v>87.9927437607613</v>
      </c>
      <c r="AN5587">
        <v>1.00000005702374</v>
      </c>
    </row>
    <row r="5588" spans="1:40" x14ac:dyDescent="0.25">
      <c r="A5588" t="str">
        <f>"20190312154947805"</f>
        <v>20190312154947805</v>
      </c>
      <c r="B5588" t="str">
        <f>"1552376987801188"</f>
        <v>1552376987801188</v>
      </c>
      <c r="C5588" t="s">
        <v>40</v>
      </c>
      <c r="D5588">
        <v>4.6167509999999998</v>
      </c>
      <c r="E5588">
        <v>0.39571190000000001</v>
      </c>
      <c r="F5588" t="s">
        <v>67</v>
      </c>
      <c r="G5588">
        <v>-386.38369999999998</v>
      </c>
      <c r="H5588" s="1">
        <v>-2.0509870000000002E-6</v>
      </c>
      <c r="I5588">
        <v>17.693300000000001</v>
      </c>
      <c r="J5588">
        <v>-400.9409</v>
      </c>
      <c r="K5588">
        <v>1.113888</v>
      </c>
      <c r="L5588">
        <v>20.340969999999999</v>
      </c>
      <c r="M5588">
        <v>0.91413469999999997</v>
      </c>
      <c r="N5588">
        <v>0</v>
      </c>
      <c r="O5588">
        <v>-0.4051727</v>
      </c>
      <c r="P5588">
        <v>0.89949269999999903</v>
      </c>
      <c r="Q5588">
        <v>-2.3709040000000001E-2</v>
      </c>
      <c r="R5588">
        <v>-0.43629230000000002</v>
      </c>
      <c r="S5588">
        <v>3.060638</v>
      </c>
      <c r="T5588">
        <v>-0.23264000000000001</v>
      </c>
      <c r="U5588">
        <v>-0.56118769999999996</v>
      </c>
      <c r="V5588">
        <v>3.4475510000000001E-2</v>
      </c>
      <c r="W5588">
        <v>-9.4961999999999998E-3</v>
      </c>
      <c r="X5588">
        <v>0.99936040000000004</v>
      </c>
      <c r="Y5588">
        <v>-0.23199139999999999</v>
      </c>
      <c r="Z5588">
        <v>3.8275429999999999E-2</v>
      </c>
      <c r="AA5588">
        <v>0.97196450000000001</v>
      </c>
      <c r="AB5588">
        <v>21</v>
      </c>
      <c r="AC5588">
        <v>14.5572</v>
      </c>
      <c r="AD5588">
        <v>-1.113890050987</v>
      </c>
      <c r="AE5588">
        <v>-2.6476700000000002</v>
      </c>
      <c r="AF5588">
        <v>-3.45858669169125</v>
      </c>
      <c r="AG5588">
        <v>-1.113890050987</v>
      </c>
      <c r="AH5588">
        <v>14.3003441219624</v>
      </c>
      <c r="AI5588">
        <v>94.329589561013094</v>
      </c>
      <c r="AJ5588">
        <v>103.596098846849</v>
      </c>
      <c r="AK5588">
        <v>14.7547421175762</v>
      </c>
      <c r="AL5588">
        <v>90.544100373481996</v>
      </c>
      <c r="AM5588">
        <v>88.024218101863895</v>
      </c>
      <c r="AN5588">
        <v>0.999999973846179</v>
      </c>
    </row>
    <row r="5589" spans="1:40" x14ac:dyDescent="0.25">
      <c r="A5589" t="str">
        <f>"20190312154947815"</f>
        <v>20190312154947815</v>
      </c>
      <c r="B5589" t="str">
        <f>"1552376987811484"</f>
        <v>1552376987811484</v>
      </c>
      <c r="C5589" t="s">
        <v>40</v>
      </c>
      <c r="D5589">
        <v>4.6239589999999904</v>
      </c>
      <c r="E5589">
        <v>0.39588279999999998</v>
      </c>
      <c r="F5589" t="s">
        <v>67</v>
      </c>
      <c r="G5589">
        <v>-386.30009999999999</v>
      </c>
      <c r="H5589" s="1">
        <v>-2.087182E-6</v>
      </c>
      <c r="I5589">
        <v>17.712109999999999</v>
      </c>
      <c r="J5589">
        <v>-400.8501</v>
      </c>
      <c r="K5589">
        <v>1.1139139999999901</v>
      </c>
      <c r="L5589">
        <v>20.304870000000001</v>
      </c>
      <c r="M5589">
        <v>0.9154698</v>
      </c>
      <c r="N5589">
        <v>0</v>
      </c>
      <c r="O5589">
        <v>-0.40214670000000002</v>
      </c>
      <c r="P5589">
        <v>0.9011787</v>
      </c>
      <c r="Q5589">
        <v>-2.4023579999999999E-2</v>
      </c>
      <c r="R5589">
        <v>-0.43278169999999999</v>
      </c>
      <c r="S5589">
        <v>3.0623469999999999</v>
      </c>
      <c r="T5589">
        <v>-0.23298679999999999</v>
      </c>
      <c r="U5589">
        <v>-0.54986569999999901</v>
      </c>
      <c r="V5589">
        <v>3.3891409999999997E-2</v>
      </c>
      <c r="W5589">
        <v>-9.8068570000000004E-3</v>
      </c>
      <c r="X5589">
        <v>0.99937739999999997</v>
      </c>
      <c r="Y5589">
        <v>-0.23235169999999999</v>
      </c>
      <c r="Z5589">
        <v>3.8134950000000001E-2</v>
      </c>
      <c r="AA5589">
        <v>0.97188399999999997</v>
      </c>
      <c r="AB5589">
        <v>21</v>
      </c>
      <c r="AC5589">
        <v>14.55</v>
      </c>
      <c r="AD5589">
        <v>-1.11391608718199</v>
      </c>
      <c r="AE5589">
        <v>-2.5927600000000002</v>
      </c>
      <c r="AF5589">
        <v>-3.4583309976003198</v>
      </c>
      <c r="AG5589">
        <v>-1.11391608718199</v>
      </c>
      <c r="AH5589">
        <v>14.283004586971</v>
      </c>
      <c r="AI5589">
        <v>94.334654415777806</v>
      </c>
      <c r="AJ5589">
        <v>103.611021835166</v>
      </c>
      <c r="AK5589">
        <v>14.737879167969901</v>
      </c>
      <c r="AL5589">
        <v>90.561900526259507</v>
      </c>
      <c r="AM5589">
        <v>88.057699864301199</v>
      </c>
      <c r="AN5589">
        <v>0.99999999487338298</v>
      </c>
    </row>
    <row r="5590" spans="1:40" x14ac:dyDescent="0.25">
      <c r="A5590" t="str">
        <f>"20190312154947826"</f>
        <v>20190312154947826</v>
      </c>
      <c r="B5590" t="str">
        <f>"1552376987821245"</f>
        <v>1552376987821245</v>
      </c>
      <c r="C5590" t="s">
        <v>40</v>
      </c>
      <c r="D5590">
        <v>4.6152110000000004</v>
      </c>
      <c r="E5590">
        <v>0.39603430000000001</v>
      </c>
      <c r="F5590" t="s">
        <v>67</v>
      </c>
      <c r="G5590">
        <v>-386.31630000000001</v>
      </c>
      <c r="H5590" s="1">
        <v>-2.073356E-6</v>
      </c>
      <c r="I5590">
        <v>17.746939999999999</v>
      </c>
      <c r="J5590">
        <v>-400.75850000000003</v>
      </c>
      <c r="K5590">
        <v>1.113939</v>
      </c>
      <c r="L5590">
        <v>20.26859</v>
      </c>
      <c r="M5590">
        <v>0.91680689999999998</v>
      </c>
      <c r="N5590">
        <v>0</v>
      </c>
      <c r="O5590">
        <v>-0.39908860000000002</v>
      </c>
      <c r="P5590">
        <v>0.90289350000000002</v>
      </c>
      <c r="Q5590">
        <v>-2.45814E-2</v>
      </c>
      <c r="R5590">
        <v>-0.42916110000000002</v>
      </c>
      <c r="S5590">
        <v>3.0637509999999999</v>
      </c>
      <c r="T5590">
        <v>-0.2348151</v>
      </c>
      <c r="U5590">
        <v>-0.53921509999999995</v>
      </c>
      <c r="V5590">
        <v>3.3228000000000001E-2</v>
      </c>
      <c r="W5590">
        <v>-1.0361860000000001E-2</v>
      </c>
      <c r="X5590">
        <v>0.99939409999999895</v>
      </c>
      <c r="Y5590">
        <v>-0.23243929999999999</v>
      </c>
      <c r="Z5590">
        <v>3.8223890000000003E-2</v>
      </c>
      <c r="AA5590">
        <v>0.97185949999999999</v>
      </c>
      <c r="AB5590">
        <v>21</v>
      </c>
      <c r="AC5590">
        <v>14.4422</v>
      </c>
      <c r="AD5590">
        <v>-1.113941073356</v>
      </c>
      <c r="AE5590">
        <v>-2.5216500000000002</v>
      </c>
      <c r="AF5590">
        <v>-3.4323693903714099</v>
      </c>
      <c r="AG5590">
        <v>-1.113941073356</v>
      </c>
      <c r="AH5590">
        <v>14.1666614798472</v>
      </c>
      <c r="AI5590">
        <v>94.370057624433599</v>
      </c>
      <c r="AJ5590">
        <v>103.619458742852</v>
      </c>
      <c r="AK5590">
        <v>14.619039702779901</v>
      </c>
      <c r="AL5590">
        <v>90.5937014598708</v>
      </c>
      <c r="AM5590">
        <v>88.095723092622407</v>
      </c>
      <c r="AN5590">
        <v>1.00000001762073</v>
      </c>
    </row>
    <row r="5591" spans="1:40" x14ac:dyDescent="0.25">
      <c r="A5591" t="str">
        <f>"20190312154947838"</f>
        <v>20190312154947838</v>
      </c>
      <c r="B5591" t="str">
        <f>"1552376987831004"</f>
        <v>1552376987831004</v>
      </c>
      <c r="C5591" t="s">
        <v>40</v>
      </c>
      <c r="D5591">
        <v>4.7074179999999997</v>
      </c>
      <c r="E5591">
        <v>0.39603430000000001</v>
      </c>
      <c r="F5591" t="s">
        <v>67</v>
      </c>
      <c r="G5591">
        <v>-386.36700000000002</v>
      </c>
      <c r="H5591" s="1">
        <v>-2.0418839999999999E-6</v>
      </c>
      <c r="I5591">
        <v>17.789159999999999</v>
      </c>
      <c r="J5591">
        <v>-400.64909999999998</v>
      </c>
      <c r="K5591">
        <v>1.1139619999999999</v>
      </c>
      <c r="L5591">
        <v>20.225950000000001</v>
      </c>
      <c r="M5591">
        <v>0.91840409999999995</v>
      </c>
      <c r="N5591">
        <v>0</v>
      </c>
      <c r="O5591">
        <v>-0.39539920000000001</v>
      </c>
      <c r="P5591">
        <v>0.9048716</v>
      </c>
      <c r="Q5591">
        <v>-2.4352490000000001E-2</v>
      </c>
      <c r="R5591">
        <v>-0.42498809999999898</v>
      </c>
      <c r="S5591">
        <v>3.0651549999999999</v>
      </c>
      <c r="T5591">
        <v>-0.23725060000000001</v>
      </c>
      <c r="U5591">
        <v>-0.5280762</v>
      </c>
      <c r="V5591">
        <v>3.2628110000000002E-2</v>
      </c>
      <c r="W5591">
        <v>-1.012848E-2</v>
      </c>
      <c r="X5591">
        <v>0.99941619999999998</v>
      </c>
      <c r="Y5591">
        <v>-0.23200850000000001</v>
      </c>
      <c r="Z5591">
        <v>3.83434E-2</v>
      </c>
      <c r="AA5591">
        <v>0.97195770000000004</v>
      </c>
      <c r="AB5591">
        <v>21</v>
      </c>
      <c r="AC5591">
        <v>14.2821</v>
      </c>
      <c r="AD5591">
        <v>-1.113964041884</v>
      </c>
      <c r="AE5591">
        <v>-2.4367899999999998</v>
      </c>
      <c r="AF5591">
        <v>-3.3894659156848399</v>
      </c>
      <c r="AG5591">
        <v>-1.113964041884</v>
      </c>
      <c r="AH5591">
        <v>13.9988517281006</v>
      </c>
      <c r="AI5591">
        <v>94.422489137639602</v>
      </c>
      <c r="AJ5591">
        <v>103.610776689396</v>
      </c>
      <c r="AK5591">
        <v>14.4463574919612</v>
      </c>
      <c r="AL5591">
        <v>90.580329102525795</v>
      </c>
      <c r="AM5591">
        <v>88.130119120442799</v>
      </c>
      <c r="AN5591">
        <v>0.99999996024586002</v>
      </c>
    </row>
    <row r="5592" spans="1:40" x14ac:dyDescent="0.25">
      <c r="A5592" t="str">
        <f>"20190312154947851"</f>
        <v>20190312154947851</v>
      </c>
      <c r="B5592" t="str">
        <f>"1552376987841740"</f>
        <v>1552376987841740</v>
      </c>
      <c r="C5592" t="s">
        <v>40</v>
      </c>
      <c r="D5592">
        <v>4.631691</v>
      </c>
      <c r="E5592">
        <v>0.40354449999999997</v>
      </c>
      <c r="F5592" t="s">
        <v>67</v>
      </c>
      <c r="G5592">
        <v>-386.22699999999998</v>
      </c>
      <c r="H5592" s="1">
        <v>-2.1044140000000001E-6</v>
      </c>
      <c r="I5592">
        <v>17.80969</v>
      </c>
      <c r="J5592">
        <v>-400.55</v>
      </c>
      <c r="K5592">
        <v>1.1139870000000001</v>
      </c>
      <c r="L5592">
        <v>20.18768</v>
      </c>
      <c r="M5592">
        <v>0.91984520000000003</v>
      </c>
      <c r="N5592">
        <v>0</v>
      </c>
      <c r="O5592">
        <v>-0.39203460000000001</v>
      </c>
      <c r="P5592">
        <v>0.90658559999999999</v>
      </c>
      <c r="Q5592">
        <v>-2.4630760000000002E-2</v>
      </c>
      <c r="R5592">
        <v>-0.42130299999999998</v>
      </c>
      <c r="S5592">
        <v>3.0676269999999999</v>
      </c>
      <c r="T5592">
        <v>-0.2369435</v>
      </c>
      <c r="U5592">
        <v>-0.51394649999999997</v>
      </c>
      <c r="V5592">
        <v>3.2226640000000001E-2</v>
      </c>
      <c r="W5592">
        <v>-1.040201E-2</v>
      </c>
      <c r="X5592">
        <v>0.9994265</v>
      </c>
      <c r="Y5592">
        <v>-0.23294239999999999</v>
      </c>
      <c r="Z5592">
        <v>3.808425E-2</v>
      </c>
      <c r="AA5592">
        <v>0.97174450000000001</v>
      </c>
      <c r="AB5592">
        <v>21</v>
      </c>
      <c r="AC5592">
        <v>14.323</v>
      </c>
      <c r="AD5592">
        <v>-1.113989104414</v>
      </c>
      <c r="AE5592">
        <v>-2.37799</v>
      </c>
      <c r="AF5592">
        <v>-3.4079984207772198</v>
      </c>
      <c r="AG5592">
        <v>-1.113989104414</v>
      </c>
      <c r="AH5592">
        <v>14.025994236419301</v>
      </c>
      <c r="AI5592">
        <v>94.413204929412203</v>
      </c>
      <c r="AJ5592">
        <v>103.656920837892</v>
      </c>
      <c r="AK5592">
        <v>14.4770141700849</v>
      </c>
      <c r="AL5592">
        <v>90.596001993926507</v>
      </c>
      <c r="AM5592">
        <v>88.153129909258993</v>
      </c>
      <c r="AN5592">
        <v>1.0000000435199801</v>
      </c>
    </row>
    <row r="5593" spans="1:40" x14ac:dyDescent="0.25">
      <c r="A5593" t="str">
        <f>"20190312154947863"</f>
        <v>20190312154947863</v>
      </c>
      <c r="B5593" t="str">
        <f>"1552376987851500"</f>
        <v>1552376987851500</v>
      </c>
      <c r="C5593" t="s">
        <v>40</v>
      </c>
      <c r="D5593">
        <v>4.6160220000000001</v>
      </c>
      <c r="E5593">
        <v>0.40291900000000003</v>
      </c>
      <c r="F5593" t="s">
        <v>67</v>
      </c>
      <c r="G5593">
        <v>-387.12360000000001</v>
      </c>
      <c r="H5593" s="1">
        <v>-1.6930750000000001E-6</v>
      </c>
      <c r="I5593">
        <v>17.739450000000001</v>
      </c>
      <c r="J5593">
        <v>-400.44540000000001</v>
      </c>
      <c r="K5593">
        <v>1.1140099999999999</v>
      </c>
      <c r="L5593">
        <v>20.1478</v>
      </c>
      <c r="M5593">
        <v>0.92135619999999996</v>
      </c>
      <c r="N5593">
        <v>0</v>
      </c>
      <c r="O5593">
        <v>-0.38847019999999999</v>
      </c>
      <c r="P5593">
        <v>0.90837840000000003</v>
      </c>
      <c r="Q5593">
        <v>-2.4729250000000001E-2</v>
      </c>
      <c r="R5593">
        <v>-0.4174175</v>
      </c>
      <c r="S5593">
        <v>3.0443120000000001</v>
      </c>
      <c r="T5593">
        <v>-0.25258649999999999</v>
      </c>
      <c r="U5593">
        <v>-0.55511469999999996</v>
      </c>
      <c r="V5593">
        <v>3.1819809999999997E-2</v>
      </c>
      <c r="W5593">
        <v>-1.049575E-2</v>
      </c>
      <c r="X5593">
        <v>0.99943850000000001</v>
      </c>
      <c r="Y5593">
        <v>-0.2149905</v>
      </c>
      <c r="Z5593">
        <v>3.9820719999999997E-2</v>
      </c>
      <c r="AA5593">
        <v>0.975804</v>
      </c>
      <c r="AB5593">
        <v>21</v>
      </c>
      <c r="AC5593">
        <v>13.3217999999999</v>
      </c>
      <c r="AD5593">
        <v>-1.1140116930749999</v>
      </c>
      <c r="AE5593">
        <v>-2.4083499999999902</v>
      </c>
      <c r="AF5593">
        <v>-2.9365752758752302</v>
      </c>
      <c r="AG5593">
        <v>-1.1140116930749999</v>
      </c>
      <c r="AH5593">
        <v>13.1221176514119</v>
      </c>
      <c r="AI5593">
        <v>94.735941862243493</v>
      </c>
      <c r="AJ5593">
        <v>102.61428169207301</v>
      </c>
      <c r="AK5593">
        <v>13.4927561328546</v>
      </c>
      <c r="AL5593">
        <v>90.601373226567205</v>
      </c>
      <c r="AM5593">
        <v>88.176450886683199</v>
      </c>
      <c r="AN5593">
        <v>0.99999998817937397</v>
      </c>
    </row>
    <row r="5594" spans="1:40" x14ac:dyDescent="0.25">
      <c r="A5594" t="str">
        <f>"20190312154947875"</f>
        <v>20190312154947875</v>
      </c>
      <c r="B5594" t="str">
        <f>"1552376987871021"</f>
        <v>1552376987871021</v>
      </c>
      <c r="C5594" t="s">
        <v>40</v>
      </c>
      <c r="D5594">
        <v>4.582776</v>
      </c>
      <c r="E5594">
        <v>0.40276790000000001</v>
      </c>
      <c r="F5594" t="s">
        <v>67</v>
      </c>
      <c r="G5594">
        <v>-387.22269999999997</v>
      </c>
      <c r="H5594" s="1">
        <v>-1.6323339999999999E-6</v>
      </c>
      <c r="I5594">
        <v>17.817799999999998</v>
      </c>
      <c r="J5594">
        <v>-400.34070000000003</v>
      </c>
      <c r="K5594">
        <v>1.1140350000000001</v>
      </c>
      <c r="L5594">
        <v>20.108460000000001</v>
      </c>
      <c r="M5594">
        <v>0.9228693</v>
      </c>
      <c r="N5594">
        <v>0</v>
      </c>
      <c r="O5594">
        <v>-0.38486140000000002</v>
      </c>
      <c r="P5594">
        <v>0.910049</v>
      </c>
      <c r="Q5594">
        <v>-2.4305070000000002E-2</v>
      </c>
      <c r="R5594">
        <v>-0.41378799999999999</v>
      </c>
      <c r="S5594">
        <v>3.0487980000000001</v>
      </c>
      <c r="T5594">
        <v>-0.25685930000000001</v>
      </c>
      <c r="U5594">
        <v>-0.53723140000000003</v>
      </c>
      <c r="V5594">
        <v>3.1733230000000001E-2</v>
      </c>
      <c r="W5594">
        <v>-1.006395E-2</v>
      </c>
      <c r="X5594">
        <v>0.99944569999999999</v>
      </c>
      <c r="Y5594">
        <v>-0.21690989999999999</v>
      </c>
      <c r="Z5594">
        <v>4.0266450000000002E-2</v>
      </c>
      <c r="AA5594">
        <v>0.97536080000000003</v>
      </c>
      <c r="AB5594">
        <v>21</v>
      </c>
      <c r="AC5594">
        <v>13.118</v>
      </c>
      <c r="AD5594">
        <v>-1.1140366323340001</v>
      </c>
      <c r="AE5594">
        <v>-2.2906599999999999</v>
      </c>
      <c r="AF5594">
        <v>-2.9145187717446999</v>
      </c>
      <c r="AG5594">
        <v>-1.1140366323340001</v>
      </c>
      <c r="AH5594">
        <v>12.8987708393503</v>
      </c>
      <c r="AI5594">
        <v>94.815449474889505</v>
      </c>
      <c r="AJ5594">
        <v>102.732356529325</v>
      </c>
      <c r="AK5594">
        <v>13.270786956887999</v>
      </c>
      <c r="AL5594">
        <v>90.5766315977434</v>
      </c>
      <c r="AM5594">
        <v>88.181422422166506</v>
      </c>
      <c r="AN5594">
        <v>0.99999999411216201</v>
      </c>
    </row>
    <row r="5595" spans="1:40" x14ac:dyDescent="0.25">
      <c r="A5595" t="str">
        <f>"20190312154947888"</f>
        <v>20190312154947888</v>
      </c>
      <c r="B5595" t="str">
        <f>"1552376987881756"</f>
        <v>1552376987881756</v>
      </c>
      <c r="C5595" t="s">
        <v>40</v>
      </c>
      <c r="D5595">
        <v>4.5979449999999904</v>
      </c>
      <c r="E5595">
        <v>0.40328950000000002</v>
      </c>
      <c r="F5595" t="s">
        <v>67</v>
      </c>
      <c r="G5595">
        <v>-387.16570000000002</v>
      </c>
      <c r="H5595" s="1">
        <v>-1.654101E-6</v>
      </c>
      <c r="I5595">
        <v>17.846729999999901</v>
      </c>
      <c r="J5595">
        <v>-400.2319</v>
      </c>
      <c r="K5595">
        <v>1.114061</v>
      </c>
      <c r="L5595">
        <v>20.067959999999999</v>
      </c>
      <c r="M5595">
        <v>0.92443280000000005</v>
      </c>
      <c r="N5595">
        <v>0</v>
      </c>
      <c r="O5595">
        <v>-0.38109019999999999</v>
      </c>
      <c r="P5595">
        <v>0.91185210000000005</v>
      </c>
      <c r="Q5595">
        <v>-2.3930650000000001E-2</v>
      </c>
      <c r="R5595">
        <v>-0.40982089999999999</v>
      </c>
      <c r="S5595">
        <v>3.0514220000000001</v>
      </c>
      <c r="T5595">
        <v>-0.25801960000000002</v>
      </c>
      <c r="U5595">
        <v>-0.52383420000000003</v>
      </c>
      <c r="V5595">
        <v>3.1454599999999999E-2</v>
      </c>
      <c r="W5595">
        <v>-9.6835740000000003E-3</v>
      </c>
      <c r="X5595">
        <v>0.99945830000000002</v>
      </c>
      <c r="Y5595">
        <v>-0.2172193</v>
      </c>
      <c r="Z5595">
        <v>4.0156980000000002E-2</v>
      </c>
      <c r="AA5595">
        <v>0.97529639999999995</v>
      </c>
      <c r="AB5595">
        <v>21</v>
      </c>
      <c r="AC5595">
        <v>13.066199999999901</v>
      </c>
      <c r="AD5595">
        <v>-1.1140626541009999</v>
      </c>
      <c r="AE5595">
        <v>-2.2212299999999998</v>
      </c>
      <c r="AF5595">
        <v>-2.9057761561131499</v>
      </c>
      <c r="AG5595">
        <v>-1.1140626541009999</v>
      </c>
      <c r="AH5595">
        <v>12.8358755541074</v>
      </c>
      <c r="AI5595">
        <v>94.838604241655403</v>
      </c>
      <c r="AJ5595">
        <v>102.755579732437</v>
      </c>
      <c r="AK5595">
        <v>13.207739091427801</v>
      </c>
      <c r="AL5595">
        <v>90.554836576565506</v>
      </c>
      <c r="AM5595">
        <v>88.197402363585894</v>
      </c>
      <c r="AN5595">
        <v>1.0000000284527299</v>
      </c>
    </row>
    <row r="5596" spans="1:40" x14ac:dyDescent="0.25">
      <c r="A5596" t="str">
        <f>"20190312154947906"</f>
        <v>20190312154947906</v>
      </c>
      <c r="B5596" t="str">
        <f>"1552376987901276"</f>
        <v>1552376987901276</v>
      </c>
      <c r="C5596" t="s">
        <v>40</v>
      </c>
      <c r="D5596">
        <v>4.7910180000000002</v>
      </c>
      <c r="E5596">
        <v>0.40405659999999999</v>
      </c>
      <c r="F5596" t="s">
        <v>67</v>
      </c>
      <c r="G5596">
        <v>-386.8424</v>
      </c>
      <c r="H5596" s="1">
        <v>-1.8134489999999999E-6</v>
      </c>
      <c r="I5596">
        <v>17.810179999999999</v>
      </c>
      <c r="J5596">
        <v>-400.08449999999999</v>
      </c>
      <c r="K5596">
        <v>1.1140950000000001</v>
      </c>
      <c r="L5596">
        <v>20.014009999999999</v>
      </c>
      <c r="M5596">
        <v>0.92654179999999997</v>
      </c>
      <c r="N5596">
        <v>0</v>
      </c>
      <c r="O5596">
        <v>-0.37593270000000001</v>
      </c>
      <c r="P5596">
        <v>0.91427049999999999</v>
      </c>
      <c r="Q5596">
        <v>-2.3662699999999998E-2</v>
      </c>
      <c r="R5596">
        <v>-0.4044122</v>
      </c>
      <c r="S5596">
        <v>3.052063</v>
      </c>
      <c r="T5596">
        <v>-0.25394430000000001</v>
      </c>
      <c r="U5596">
        <v>-0.51464840000000001</v>
      </c>
      <c r="V5596">
        <v>3.1099249999999998E-2</v>
      </c>
      <c r="W5596">
        <v>-9.4074569999999993E-3</v>
      </c>
      <c r="X5596">
        <v>0.99947200000000003</v>
      </c>
      <c r="Y5596">
        <v>-0.2147529</v>
      </c>
      <c r="Z5596">
        <v>3.9036309999999998E-2</v>
      </c>
      <c r="AA5596">
        <v>0.97588799999999998</v>
      </c>
      <c r="AB5596">
        <v>21</v>
      </c>
      <c r="AC5596">
        <v>13.242099999999899</v>
      </c>
      <c r="AD5596">
        <v>-1.1140968134489999</v>
      </c>
      <c r="AE5596">
        <v>-2.20383</v>
      </c>
      <c r="AF5596">
        <v>-2.9163970388756999</v>
      </c>
      <c r="AG5596">
        <v>-1.1140968134489999</v>
      </c>
      <c r="AH5596">
        <v>13.009523330946401</v>
      </c>
      <c r="AI5596">
        <v>94.776713507643706</v>
      </c>
      <c r="AJ5596">
        <v>102.63533031729899</v>
      </c>
      <c r="AK5596">
        <v>13.378874418146699</v>
      </c>
      <c r="AL5596">
        <v>90.539015548280503</v>
      </c>
      <c r="AM5596">
        <v>88.217777937534294</v>
      </c>
      <c r="AN5596">
        <v>0.99999997119088402</v>
      </c>
    </row>
    <row r="5597" spans="1:40" x14ac:dyDescent="0.25">
      <c r="A5597" t="str">
        <f>"20190312154947916"</f>
        <v>20190312154947916</v>
      </c>
      <c r="B5597" t="str">
        <f>"1552376987911036"</f>
        <v>1552376987911036</v>
      </c>
      <c r="C5597" t="s">
        <v>40</v>
      </c>
      <c r="D5597">
        <v>4.6038410000000001</v>
      </c>
      <c r="E5597">
        <v>0.404414</v>
      </c>
      <c r="F5597" t="s">
        <v>67</v>
      </c>
      <c r="G5597">
        <v>-386.53989999999999</v>
      </c>
      <c r="H5597" s="1">
        <v>-1.9609580000000001E-6</v>
      </c>
      <c r="I5597">
        <v>17.784779999999898</v>
      </c>
      <c r="J5597">
        <v>-399.98610000000002</v>
      </c>
      <c r="K5597">
        <v>1.1141179999999999</v>
      </c>
      <c r="L5597">
        <v>19.97879</v>
      </c>
      <c r="M5597">
        <v>0.9279461</v>
      </c>
      <c r="N5597">
        <v>0</v>
      </c>
      <c r="O5597">
        <v>-0.37245349999999999</v>
      </c>
      <c r="P5597">
        <v>0.91576469999999999</v>
      </c>
      <c r="Q5597">
        <v>-2.3480870000000001E-2</v>
      </c>
      <c r="R5597">
        <v>-0.40102870000000002</v>
      </c>
      <c r="S5597">
        <v>3.0526119999999999</v>
      </c>
      <c r="T5597">
        <v>-0.2510889</v>
      </c>
      <c r="U5597">
        <v>-0.50241089999999999</v>
      </c>
      <c r="V5597">
        <v>3.1150540000000001E-2</v>
      </c>
      <c r="W5597">
        <v>-9.2170870000000005E-3</v>
      </c>
      <c r="X5597">
        <v>0.99947220000000003</v>
      </c>
      <c r="Y5597">
        <v>-0.21497550000000001</v>
      </c>
      <c r="Z5597">
        <v>3.8356460000000002E-2</v>
      </c>
      <c r="AA5597">
        <v>0.97586600000000001</v>
      </c>
      <c r="AB5597">
        <v>21</v>
      </c>
      <c r="AC5597">
        <v>13.446199999999999</v>
      </c>
      <c r="AD5597">
        <v>-1.1141199609579999</v>
      </c>
      <c r="AE5597">
        <v>-2.19401</v>
      </c>
      <c r="AF5597">
        <v>-2.95270447215252</v>
      </c>
      <c r="AG5597">
        <v>-1.1141199609579999</v>
      </c>
      <c r="AH5597">
        <v>13.207485229469301</v>
      </c>
      <c r="AI5597">
        <v>94.706148700434497</v>
      </c>
      <c r="AJ5597">
        <v>102.601990431377</v>
      </c>
      <c r="AK5597">
        <v>13.5793001687836</v>
      </c>
      <c r="AL5597">
        <v>90.528107665019206</v>
      </c>
      <c r="AM5597">
        <v>88.214840890183893</v>
      </c>
      <c r="AN5597">
        <v>0.99999999470394796</v>
      </c>
    </row>
    <row r="5598" spans="1:40" x14ac:dyDescent="0.25">
      <c r="A5598" t="str">
        <f>"20190312154947928"</f>
        <v>20190312154947928</v>
      </c>
      <c r="B5598" t="str">
        <f>"1552376987921773"</f>
        <v>1552376987921773</v>
      </c>
      <c r="C5598" t="s">
        <v>40</v>
      </c>
      <c r="D5598">
        <v>4.6407319999999999</v>
      </c>
      <c r="E5598">
        <v>0.40488479999999999</v>
      </c>
      <c r="F5598" t="s">
        <v>67</v>
      </c>
      <c r="G5598">
        <v>-386.38819999999998</v>
      </c>
      <c r="H5598" s="1">
        <v>-2.0336019999999999E-6</v>
      </c>
      <c r="I5598">
        <v>17.779309999999999</v>
      </c>
      <c r="J5598">
        <v>-399.89010000000002</v>
      </c>
      <c r="K5598">
        <v>1.1141380000000001</v>
      </c>
      <c r="L5598">
        <v>19.944579999999998</v>
      </c>
      <c r="M5598">
        <v>0.9293091</v>
      </c>
      <c r="N5598">
        <v>0</v>
      </c>
      <c r="O5598">
        <v>-0.3690387</v>
      </c>
      <c r="P5598">
        <v>0.91727570000000003</v>
      </c>
      <c r="Q5598">
        <v>-2.3552969999999999E-2</v>
      </c>
      <c r="R5598">
        <v>-0.3975554</v>
      </c>
      <c r="S5598">
        <v>3.0532530000000002</v>
      </c>
      <c r="T5598">
        <v>-0.25016250000000001</v>
      </c>
      <c r="U5598">
        <v>-0.49386600000000003</v>
      </c>
      <c r="V5598">
        <v>3.104005E-2</v>
      </c>
      <c r="W5598">
        <v>-9.2825470000000004E-3</v>
      </c>
      <c r="X5598">
        <v>0.99947509999999995</v>
      </c>
      <c r="Y5598">
        <v>-0.2141044</v>
      </c>
      <c r="Z5598">
        <v>3.7927089999999997E-2</v>
      </c>
      <c r="AA5598">
        <v>0.9760742</v>
      </c>
      <c r="AB5598">
        <v>21</v>
      </c>
      <c r="AC5598">
        <v>13.501899999999999</v>
      </c>
      <c r="AD5598">
        <v>-1.11414003360199</v>
      </c>
      <c r="AE5598">
        <v>-2.16527</v>
      </c>
      <c r="AF5598">
        <v>-2.95121693868116</v>
      </c>
      <c r="AG5598">
        <v>-1.11414003360199</v>
      </c>
      <c r="AH5598">
        <v>13.2597852221626</v>
      </c>
      <c r="AI5598">
        <v>94.6887392084693</v>
      </c>
      <c r="AJ5598">
        <v>102.547739397087</v>
      </c>
      <c r="AK5598">
        <v>13.629853028243399</v>
      </c>
      <c r="AL5598">
        <v>90.531858370926102</v>
      </c>
      <c r="AM5598">
        <v>88.221173876969303</v>
      </c>
      <c r="AN5598">
        <v>1.0000000629514001</v>
      </c>
    </row>
    <row r="5599" spans="1:40" x14ac:dyDescent="0.25">
      <c r="A5599" t="str">
        <f>"20190312154947938"</f>
        <v>20190312154947938</v>
      </c>
      <c r="B5599" t="str">
        <f>"1552376987931532"</f>
        <v>1552376987931532</v>
      </c>
      <c r="C5599" t="s">
        <v>40</v>
      </c>
      <c r="D5599">
        <v>4.6256820000000003</v>
      </c>
      <c r="E5599">
        <v>0.40540929999999997</v>
      </c>
      <c r="F5599" t="s">
        <v>67</v>
      </c>
      <c r="G5599">
        <v>-386.34390000000002</v>
      </c>
      <c r="H5599" s="1">
        <v>-2.052697E-6</v>
      </c>
      <c r="I5599">
        <v>17.789860000000001</v>
      </c>
      <c r="J5599">
        <v>-399.7996</v>
      </c>
      <c r="K5599">
        <v>1.11416</v>
      </c>
      <c r="L5599">
        <v>19.912870000000002</v>
      </c>
      <c r="M5599">
        <v>0.93058989999999997</v>
      </c>
      <c r="N5599">
        <v>0</v>
      </c>
      <c r="O5599">
        <v>-0.36579660000000003</v>
      </c>
      <c r="P5599">
        <v>0.91868530000000004</v>
      </c>
      <c r="Q5599">
        <v>-2.3512720000000001E-2</v>
      </c>
      <c r="R5599">
        <v>-0.39429009999999998</v>
      </c>
      <c r="S5599">
        <v>3.0535890000000001</v>
      </c>
      <c r="T5599">
        <v>-0.25114979999999998</v>
      </c>
      <c r="U5599">
        <v>-0.48571779999999998</v>
      </c>
      <c r="V5599">
        <v>3.096877E-2</v>
      </c>
      <c r="W5599">
        <v>-9.2355990000000006E-3</v>
      </c>
      <c r="X5599">
        <v>0.99947770000000002</v>
      </c>
      <c r="Y5599">
        <v>-0.213253</v>
      </c>
      <c r="Z5599">
        <v>3.7803209999999997E-2</v>
      </c>
      <c r="AA5599">
        <v>0.97626539999999995</v>
      </c>
      <c r="AB5599">
        <v>21</v>
      </c>
      <c r="AC5599">
        <v>13.455699999999901</v>
      </c>
      <c r="AD5599">
        <v>-1.114162052697</v>
      </c>
      <c r="AE5599">
        <v>-2.1230099999999998</v>
      </c>
      <c r="AF5599">
        <v>-2.9271039981234699</v>
      </c>
      <c r="AG5599">
        <v>-1.114162052697</v>
      </c>
      <c r="AH5599">
        <v>13.211248027591701</v>
      </c>
      <c r="AI5599">
        <v>94.706979637803002</v>
      </c>
      <c r="AJ5599">
        <v>102.492727839895</v>
      </c>
      <c r="AK5599">
        <v>13.577421306789001</v>
      </c>
      <c r="AL5599">
        <v>90.529168357896395</v>
      </c>
      <c r="AM5599">
        <v>88.225260750473595</v>
      </c>
      <c r="AN5599">
        <v>1.0000000169007399</v>
      </c>
    </row>
    <row r="5600" spans="1:40" x14ac:dyDescent="0.25">
      <c r="A5600" t="str">
        <f>"20190312154947950"</f>
        <v>20190312154947950</v>
      </c>
      <c r="B5600" t="str">
        <f>"1552376987941292"</f>
        <v>1552376987941292</v>
      </c>
      <c r="C5600" t="s">
        <v>40</v>
      </c>
      <c r="D5600">
        <v>4.6137750000000004</v>
      </c>
      <c r="E5600">
        <v>0.4059373</v>
      </c>
      <c r="F5600" t="s">
        <v>67</v>
      </c>
      <c r="G5600">
        <v>-386.27280000000002</v>
      </c>
      <c r="H5600" s="1">
        <v>-2.085853E-6</v>
      </c>
      <c r="I5600">
        <v>17.792379999999898</v>
      </c>
      <c r="J5600">
        <v>-399.70670000000001</v>
      </c>
      <c r="K5600">
        <v>1.1141840000000001</v>
      </c>
      <c r="L5600">
        <v>19.880680000000002</v>
      </c>
      <c r="M5600">
        <v>0.93189750000000005</v>
      </c>
      <c r="N5600">
        <v>0</v>
      </c>
      <c r="O5600">
        <v>-0.36245240000000001</v>
      </c>
      <c r="P5600">
        <v>0.92008849999999998</v>
      </c>
      <c r="Q5600">
        <v>-2.3503329999999999E-2</v>
      </c>
      <c r="R5600">
        <v>-0.39100479999999999</v>
      </c>
      <c r="S5600">
        <v>3.0536500000000002</v>
      </c>
      <c r="T5600">
        <v>-0.25152039999999998</v>
      </c>
      <c r="U5600">
        <v>-0.47869869999999998</v>
      </c>
      <c r="V5600">
        <v>3.0986730000000001E-2</v>
      </c>
      <c r="W5600">
        <v>-9.2185210000000004E-3</v>
      </c>
      <c r="X5600">
        <v>0.99947730000000001</v>
      </c>
      <c r="Y5600">
        <v>-0.21194560000000001</v>
      </c>
      <c r="Z5600">
        <v>3.7560080000000003E-2</v>
      </c>
      <c r="AA5600">
        <v>0.97655939999999997</v>
      </c>
      <c r="AB5600">
        <v>21</v>
      </c>
      <c r="AC5600">
        <v>13.4338999999999</v>
      </c>
      <c r="AD5600">
        <v>-1.1141860858529999</v>
      </c>
      <c r="AE5600">
        <v>-2.0882999999999998</v>
      </c>
      <c r="AF5600">
        <v>-2.9038496024519702</v>
      </c>
      <c r="AG5600">
        <v>-1.1141860858529999</v>
      </c>
      <c r="AH5600">
        <v>13.1886426098753</v>
      </c>
      <c r="AI5600">
        <v>94.7164800870123</v>
      </c>
      <c r="AJ5600">
        <v>102.417148678939</v>
      </c>
      <c r="AK5600">
        <v>13.5504260832856</v>
      </c>
      <c r="AL5600">
        <v>90.5281898194674</v>
      </c>
      <c r="AM5600">
        <v>88.2242314583862</v>
      </c>
      <c r="AN5600">
        <v>1.0000000158904001</v>
      </c>
    </row>
    <row r="5601" spans="1:40" x14ac:dyDescent="0.25">
      <c r="A5601" t="str">
        <f>"20190312154947960"</f>
        <v>20190312154947960</v>
      </c>
      <c r="B5601" t="str">
        <f>"1552376987951053"</f>
        <v>1552376987951053</v>
      </c>
      <c r="C5601" t="s">
        <v>40</v>
      </c>
      <c r="D5601">
        <v>4.6478590000000004</v>
      </c>
      <c r="E5601">
        <v>0.40629690000000002</v>
      </c>
      <c r="F5601" t="s">
        <v>67</v>
      </c>
      <c r="G5601">
        <v>-386.22739999999999</v>
      </c>
      <c r="H5601" s="1">
        <v>-2.106174E-6</v>
      </c>
      <c r="I5601">
        <v>17.798760000000001</v>
      </c>
      <c r="J5601">
        <v>-399.61200000000002</v>
      </c>
      <c r="K5601">
        <v>1.114209</v>
      </c>
      <c r="L5601">
        <v>19.848269999999999</v>
      </c>
      <c r="M5601">
        <v>0.9332281</v>
      </c>
      <c r="N5601">
        <v>0</v>
      </c>
      <c r="O5601">
        <v>-0.35901240000000001</v>
      </c>
      <c r="P5601">
        <v>0.92150129999999997</v>
      </c>
      <c r="Q5601">
        <v>-2.331629E-2</v>
      </c>
      <c r="R5601">
        <v>-0.3876753</v>
      </c>
      <c r="S5601">
        <v>3.0536799999999999</v>
      </c>
      <c r="T5601">
        <v>-0.25241390000000002</v>
      </c>
      <c r="U5601">
        <v>-0.47164919999999999</v>
      </c>
      <c r="V5601">
        <v>3.1056150000000001E-2</v>
      </c>
      <c r="W5601">
        <v>-9.023082E-3</v>
      </c>
      <c r="X5601">
        <v>0.9994769</v>
      </c>
      <c r="Y5601">
        <v>-0.21054510000000001</v>
      </c>
      <c r="Z5601">
        <v>3.7381879999999999E-2</v>
      </c>
      <c r="AA5601">
        <v>0.97686919999999999</v>
      </c>
      <c r="AB5601">
        <v>21</v>
      </c>
      <c r="AC5601">
        <v>13.384599999999899</v>
      </c>
      <c r="AD5601">
        <v>-1.1142111061740001</v>
      </c>
      <c r="AE5601">
        <v>-2.04950999999999</v>
      </c>
      <c r="AF5601">
        <v>-2.87340362376202</v>
      </c>
      <c r="AG5601">
        <v>-1.1142111061740001</v>
      </c>
      <c r="AH5601">
        <v>13.139011367958499</v>
      </c>
      <c r="AI5601">
        <v>94.735787004742804</v>
      </c>
      <c r="AJ5601">
        <v>102.335944763583</v>
      </c>
      <c r="AK5601">
        <v>13.4956116757083</v>
      </c>
      <c r="AL5601">
        <v>90.516991538889897</v>
      </c>
      <c r="AM5601">
        <v>88.220255023408797</v>
      </c>
      <c r="AN5601">
        <v>0.99999998704760495</v>
      </c>
    </row>
    <row r="5602" spans="1:40" x14ac:dyDescent="0.25">
      <c r="A5602" t="str">
        <f>"20190312154947972"</f>
        <v>20190312154947972</v>
      </c>
      <c r="B5602" t="str">
        <f>"1552376987961788"</f>
        <v>1552376987961788</v>
      </c>
      <c r="C5602" t="s">
        <v>40</v>
      </c>
      <c r="D5602">
        <v>4.6466940000000001</v>
      </c>
      <c r="E5602">
        <v>0.4061111</v>
      </c>
      <c r="F5602" t="s">
        <v>67</v>
      </c>
      <c r="G5602">
        <v>-386.13929999999999</v>
      </c>
      <c r="H5602" s="1">
        <v>-2.146703E-6</v>
      </c>
      <c r="I5602">
        <v>17.805199999999999</v>
      </c>
      <c r="J5602">
        <v>-399.51389999999998</v>
      </c>
      <c r="K5602">
        <v>1.114239</v>
      </c>
      <c r="L5602">
        <v>19.815159999999999</v>
      </c>
      <c r="M5602">
        <v>0.93460399999999999</v>
      </c>
      <c r="N5602">
        <v>0</v>
      </c>
      <c r="O5602">
        <v>-0.35541509999999998</v>
      </c>
      <c r="P5602">
        <v>0.92292879999999999</v>
      </c>
      <c r="Q5602">
        <v>-2.336645E-2</v>
      </c>
      <c r="R5602">
        <v>-0.38426129999999997</v>
      </c>
      <c r="S5602">
        <v>3.0542910000000001</v>
      </c>
      <c r="T5602">
        <v>-0.2525926</v>
      </c>
      <c r="U5602">
        <v>-0.4631653</v>
      </c>
      <c r="V5602">
        <v>3.1207599999999901E-2</v>
      </c>
      <c r="W5602">
        <v>-9.0634909999999999E-3</v>
      </c>
      <c r="X5602">
        <v>0.99947180000000002</v>
      </c>
      <c r="Y5602">
        <v>-0.20947270000000001</v>
      </c>
      <c r="Z5602">
        <v>3.7092569999999998E-2</v>
      </c>
      <c r="AA5602">
        <v>0.9771107</v>
      </c>
      <c r="AB5602">
        <v>21</v>
      </c>
      <c r="AC5602">
        <v>13.3745999999999</v>
      </c>
      <c r="AD5602">
        <v>-1.114241146703</v>
      </c>
      <c r="AE5602">
        <v>-2.00996</v>
      </c>
      <c r="AF5602">
        <v>-2.8559151974363801</v>
      </c>
      <c r="AG5602">
        <v>-1.114241146703</v>
      </c>
      <c r="AH5602">
        <v>13.1265227395984</v>
      </c>
      <c r="AI5602">
        <v>94.741504105757699</v>
      </c>
      <c r="AJ5602">
        <v>102.274456678444</v>
      </c>
      <c r="AK5602">
        <v>13.479739766818501</v>
      </c>
      <c r="AL5602">
        <v>90.519306907563703</v>
      </c>
      <c r="AM5602">
        <v>88.2115723314147</v>
      </c>
      <c r="AN5602">
        <v>0.99999997008105301</v>
      </c>
    </row>
    <row r="5603" spans="1:40" x14ac:dyDescent="0.25">
      <c r="A5603" t="str">
        <f>"20190312154947984"</f>
        <v>20190312154947984</v>
      </c>
      <c r="B5603" t="str">
        <f>"1552376987981308"</f>
        <v>1552376987981308</v>
      </c>
      <c r="C5603" t="s">
        <v>40</v>
      </c>
      <c r="D5603">
        <v>4.7834310000000002</v>
      </c>
      <c r="E5603">
        <v>0.40545779999999998</v>
      </c>
      <c r="F5603" t="s">
        <v>67</v>
      </c>
      <c r="G5603">
        <v>-386.036</v>
      </c>
      <c r="H5603" s="1">
        <v>-2.191273E-6</v>
      </c>
      <c r="I5603">
        <v>17.82911</v>
      </c>
      <c r="J5603">
        <v>-399.40769999999998</v>
      </c>
      <c r="K5603">
        <v>1.1142700000000001</v>
      </c>
      <c r="L5603">
        <v>19.779630000000001</v>
      </c>
      <c r="M5603">
        <v>0.93608579999999997</v>
      </c>
      <c r="N5603">
        <v>0</v>
      </c>
      <c r="O5603">
        <v>-0.35149330000000001</v>
      </c>
      <c r="P5603">
        <v>0.92438240000000005</v>
      </c>
      <c r="Q5603">
        <v>-2.324551E-2</v>
      </c>
      <c r="R5603">
        <v>-0.38075819999999999</v>
      </c>
      <c r="S5603">
        <v>3.05661</v>
      </c>
      <c r="T5603">
        <v>-0.25269459999999999</v>
      </c>
      <c r="U5603">
        <v>-0.4504089</v>
      </c>
      <c r="V5603">
        <v>3.1605880000000003E-2</v>
      </c>
      <c r="W5603">
        <v>-8.9295269999999996E-3</v>
      </c>
      <c r="X5603">
        <v>0.99946049999999997</v>
      </c>
      <c r="Y5603">
        <v>-0.20948410000000001</v>
      </c>
      <c r="Z5603">
        <v>3.6795830000000002E-2</v>
      </c>
      <c r="AA5603">
        <v>0.97711950000000003</v>
      </c>
      <c r="AB5603">
        <v>21</v>
      </c>
      <c r="AC5603">
        <v>13.371699999999899</v>
      </c>
      <c r="AD5603">
        <v>-1.114272191273</v>
      </c>
      <c r="AE5603">
        <v>-1.95051999999999</v>
      </c>
      <c r="AF5603">
        <v>-2.8550777768504401</v>
      </c>
      <c r="AG5603">
        <v>-1.114272191273</v>
      </c>
      <c r="AH5603">
        <v>13.114774626584101</v>
      </c>
      <c r="AI5603">
        <v>94.745735100829904</v>
      </c>
      <c r="AJ5603">
        <v>102.281625336179</v>
      </c>
      <c r="AK5603">
        <v>13.468124781654099</v>
      </c>
      <c r="AL5603">
        <v>90.511631020022193</v>
      </c>
      <c r="AM5603">
        <v>88.188742566996197</v>
      </c>
      <c r="AN5603">
        <v>0.999999979581633</v>
      </c>
    </row>
    <row r="5604" spans="1:40" x14ac:dyDescent="0.25">
      <c r="A5604" t="str">
        <f>"20190312154947996"</f>
        <v>20190312154947996</v>
      </c>
      <c r="B5604" t="str">
        <f>"1552376987992044"</f>
        <v>1552376987992044</v>
      </c>
      <c r="C5604" t="s">
        <v>40</v>
      </c>
      <c r="D5604">
        <v>4.774762</v>
      </c>
      <c r="E5604">
        <v>0.40481450000000002</v>
      </c>
      <c r="F5604" t="s">
        <v>67</v>
      </c>
      <c r="G5604">
        <v>-385.60550000000001</v>
      </c>
      <c r="H5604" s="1">
        <v>-2.3961639999999999E-6</v>
      </c>
      <c r="I5604">
        <v>17.821210000000001</v>
      </c>
      <c r="J5604">
        <v>-399.2996</v>
      </c>
      <c r="K5604">
        <v>1.1143000000000001</v>
      </c>
      <c r="L5604">
        <v>19.74438</v>
      </c>
      <c r="M5604">
        <v>0.93759630000000005</v>
      </c>
      <c r="N5604">
        <v>0</v>
      </c>
      <c r="O5604">
        <v>-0.34744390000000003</v>
      </c>
      <c r="P5604">
        <v>0.92598499999999995</v>
      </c>
      <c r="Q5604">
        <v>-2.340863E-2</v>
      </c>
      <c r="R5604">
        <v>-0.37683470000000002</v>
      </c>
      <c r="S5604">
        <v>3.0603030000000002</v>
      </c>
      <c r="T5604">
        <v>-0.24706400000000001</v>
      </c>
      <c r="U5604">
        <v>-0.43423460000000003</v>
      </c>
      <c r="V5604">
        <v>3.1690940000000001E-2</v>
      </c>
      <c r="W5604">
        <v>-9.0814620000000002E-3</v>
      </c>
      <c r="X5604">
        <v>0.99945649999999997</v>
      </c>
      <c r="Y5604">
        <v>-0.2105775</v>
      </c>
      <c r="Z5604">
        <v>3.5695270000000001E-2</v>
      </c>
      <c r="AA5604">
        <v>0.9769253</v>
      </c>
      <c r="AB5604">
        <v>21</v>
      </c>
      <c r="AC5604">
        <v>13.694099999999899</v>
      </c>
      <c r="AD5604">
        <v>-1.114302396164</v>
      </c>
      <c r="AE5604">
        <v>-1.9231699999999901</v>
      </c>
      <c r="AF5604">
        <v>-2.9359999615559902</v>
      </c>
      <c r="AG5604">
        <v>-1.114302396164</v>
      </c>
      <c r="AH5604">
        <v>13.4219038009687</v>
      </c>
      <c r="AI5604">
        <v>94.636736821236894</v>
      </c>
      <c r="AJ5604">
        <v>102.33891823275</v>
      </c>
      <c r="AK5604">
        <v>13.7843849063646</v>
      </c>
      <c r="AL5604">
        <v>90.520336574997501</v>
      </c>
      <c r="AM5604">
        <v>88.183863978175495</v>
      </c>
      <c r="AN5604">
        <v>1.0000000420111901</v>
      </c>
    </row>
    <row r="5605" spans="1:40" x14ac:dyDescent="0.25">
      <c r="A5605" t="str">
        <f>"20190312154948007"</f>
        <v>20190312154948007</v>
      </c>
      <c r="B5605" t="str">
        <f>"1552376988001804"</f>
        <v>1552376988001804</v>
      </c>
      <c r="C5605" t="s">
        <v>40</v>
      </c>
      <c r="D5605">
        <v>4.7765339999999998</v>
      </c>
      <c r="E5605">
        <v>0.404277</v>
      </c>
      <c r="F5605" t="s">
        <v>67</v>
      </c>
      <c r="G5605">
        <v>-385.51260000000002</v>
      </c>
      <c r="H5605" s="1">
        <v>-2.4312670000000001E-6</v>
      </c>
      <c r="I5605">
        <v>17.87086</v>
      </c>
      <c r="J5605">
        <v>-399.20960000000002</v>
      </c>
      <c r="K5605">
        <v>1.1143320000000001</v>
      </c>
      <c r="L5605">
        <v>19.71527</v>
      </c>
      <c r="M5605">
        <v>0.93884469999999998</v>
      </c>
      <c r="N5605">
        <v>0</v>
      </c>
      <c r="O5605">
        <v>-0.34405619999999998</v>
      </c>
      <c r="P5605">
        <v>0.92714359999999996</v>
      </c>
      <c r="Q5605">
        <v>-2.356861E-2</v>
      </c>
      <c r="R5605">
        <v>-0.37396449999999998</v>
      </c>
      <c r="S5605">
        <v>3.0640869999999998</v>
      </c>
      <c r="T5605">
        <v>-0.2476487</v>
      </c>
      <c r="U5605">
        <v>-0.41638180000000002</v>
      </c>
      <c r="V5605">
        <v>3.2207489999999998E-2</v>
      </c>
      <c r="W5605">
        <v>-9.2275380000000004E-3</v>
      </c>
      <c r="X5605">
        <v>0.99943859999999995</v>
      </c>
      <c r="Y5605">
        <v>-0.21279719999999999</v>
      </c>
      <c r="Z5605">
        <v>3.5590730000000001E-2</v>
      </c>
      <c r="AA5605">
        <v>0.97644799999999998</v>
      </c>
      <c r="AB5605">
        <v>21</v>
      </c>
      <c r="AC5605">
        <v>13.696999999999999</v>
      </c>
      <c r="AD5605">
        <v>-1.1143344312669901</v>
      </c>
      <c r="AE5605">
        <v>-1.8444100000000001</v>
      </c>
      <c r="AF5605">
        <v>-2.9619598267300602</v>
      </c>
      <c r="AG5605">
        <v>-1.1143344312669901</v>
      </c>
      <c r="AH5605">
        <v>13.408093749512901</v>
      </c>
      <c r="AI5605">
        <v>94.639530447704104</v>
      </c>
      <c r="AJ5605">
        <v>102.457050841899</v>
      </c>
      <c r="AK5605">
        <v>13.7764990195476</v>
      </c>
      <c r="AL5605">
        <v>90.528706489834704</v>
      </c>
      <c r="AM5605">
        <v>88.154248944377002</v>
      </c>
      <c r="AN5605">
        <v>0.99999999251979999</v>
      </c>
    </row>
    <row r="5606" spans="1:40" x14ac:dyDescent="0.25">
      <c r="A5606" t="str">
        <f>"20190312154948017"</f>
        <v>20190312154948017</v>
      </c>
      <c r="B5606" t="str">
        <f>"1552376988012073"</f>
        <v>1552376988012073</v>
      </c>
      <c r="C5606" t="s">
        <v>40</v>
      </c>
      <c r="D5606">
        <v>4.7751000000000001</v>
      </c>
      <c r="E5606">
        <v>0.40393800000000002</v>
      </c>
      <c r="F5606" t="s">
        <v>67</v>
      </c>
      <c r="G5606">
        <v>-385.4203</v>
      </c>
      <c r="H5606" s="1">
        <v>-2.4690789999999998E-6</v>
      </c>
      <c r="I5606">
        <v>17.903679999999898</v>
      </c>
      <c r="J5606">
        <v>-399.12240000000003</v>
      </c>
      <c r="K5606">
        <v>1.1143689999999999</v>
      </c>
      <c r="L5606">
        <v>19.687560000000001</v>
      </c>
      <c r="M5606">
        <v>0.94005640000000001</v>
      </c>
      <c r="N5606">
        <v>0</v>
      </c>
      <c r="O5606">
        <v>-0.34073100000000001</v>
      </c>
      <c r="P5606">
        <v>0.92833569999999999</v>
      </c>
      <c r="Q5606">
        <v>-2.3759909999999999E-2</v>
      </c>
      <c r="R5606">
        <v>-0.37098310000000001</v>
      </c>
      <c r="S5606">
        <v>3.0669249999999999</v>
      </c>
      <c r="T5606">
        <v>-0.24784339999999999</v>
      </c>
      <c r="U5606">
        <v>-0.40292359999999999</v>
      </c>
      <c r="V5606">
        <v>3.2537400000000001E-2</v>
      </c>
      <c r="W5606">
        <v>-9.4063730000000009E-3</v>
      </c>
      <c r="X5606">
        <v>0.99942620000000004</v>
      </c>
      <c r="Y5606">
        <v>-0.2136759</v>
      </c>
      <c r="Z5606">
        <v>3.5385569999999998E-2</v>
      </c>
      <c r="AA5606">
        <v>0.97626349999999995</v>
      </c>
      <c r="AB5606">
        <v>20</v>
      </c>
      <c r="AC5606">
        <v>13.7021</v>
      </c>
      <c r="AD5606">
        <v>-1.1143714690790001</v>
      </c>
      <c r="AE5606">
        <v>-1.7838799999999999</v>
      </c>
      <c r="AF5606">
        <v>-2.9727412201530798</v>
      </c>
      <c r="AG5606">
        <v>-1.1143714690790001</v>
      </c>
      <c r="AH5606">
        <v>13.402721988879099</v>
      </c>
      <c r="AI5606">
        <v>94.640664733749603</v>
      </c>
      <c r="AJ5606">
        <v>102.505823757965</v>
      </c>
      <c r="AK5606">
        <v>13.773596873884401</v>
      </c>
      <c r="AL5606">
        <v>90.538953450617797</v>
      </c>
      <c r="AM5606">
        <v>88.135332579503299</v>
      </c>
      <c r="AN5606">
        <v>0.999999945749106</v>
      </c>
    </row>
    <row r="5607" spans="1:40" x14ac:dyDescent="0.25">
      <c r="A5607" t="str">
        <f>"20190312154948028"</f>
        <v>20190312154948028</v>
      </c>
      <c r="B5607" t="str">
        <f>"1552376988021792"</f>
        <v>1552376988021792</v>
      </c>
      <c r="C5607" t="s">
        <v>40</v>
      </c>
      <c r="D5607">
        <v>4.7476830000000003</v>
      </c>
      <c r="E5607">
        <v>0.40362369999999997</v>
      </c>
      <c r="F5607" t="s">
        <v>67</v>
      </c>
      <c r="G5607">
        <v>-385.33929999999998</v>
      </c>
      <c r="H5607" s="1">
        <v>-2.5020840000000001E-6</v>
      </c>
      <c r="I5607">
        <v>17.93346</v>
      </c>
      <c r="J5607">
        <v>-399.0324</v>
      </c>
      <c r="K5607">
        <v>1.114403</v>
      </c>
      <c r="L5607">
        <v>19.659179999999999</v>
      </c>
      <c r="M5607">
        <v>0.94129989999999997</v>
      </c>
      <c r="N5607">
        <v>0</v>
      </c>
      <c r="O5607">
        <v>-0.33728019999999997</v>
      </c>
      <c r="P5607">
        <v>0.92950310000000003</v>
      </c>
      <c r="Q5607">
        <v>-2.3660549999999999E-2</v>
      </c>
      <c r="R5607">
        <v>-0.3680544</v>
      </c>
      <c r="S5607">
        <v>3.069153</v>
      </c>
      <c r="T5607">
        <v>-0.24814249999999999</v>
      </c>
      <c r="U5607">
        <v>-0.39059450000000001</v>
      </c>
      <c r="V5607">
        <v>3.3051360000000002E-2</v>
      </c>
      <c r="W5607">
        <v>-9.2922390000000007E-3</v>
      </c>
      <c r="X5607">
        <v>0.99941049999999998</v>
      </c>
      <c r="Y5607">
        <v>-0.21404790000000001</v>
      </c>
      <c r="Z5607">
        <v>3.5170050000000001E-2</v>
      </c>
      <c r="AA5607">
        <v>0.9761898</v>
      </c>
      <c r="AB5607">
        <v>20</v>
      </c>
      <c r="AC5607">
        <v>13.693099999999999</v>
      </c>
      <c r="AD5607">
        <v>-1.114405502084</v>
      </c>
      <c r="AE5607">
        <v>-1.7257199999999899</v>
      </c>
      <c r="AF5607">
        <v>-2.9748898379613098</v>
      </c>
      <c r="AG5607">
        <v>-1.114405502084</v>
      </c>
      <c r="AH5607">
        <v>13.3854178104712</v>
      </c>
      <c r="AI5607">
        <v>94.646341238721405</v>
      </c>
      <c r="AJ5607">
        <v>102.530245749532</v>
      </c>
      <c r="AK5607">
        <v>13.757226433113599</v>
      </c>
      <c r="AL5607">
        <v>90.532413716262695</v>
      </c>
      <c r="AM5607">
        <v>88.105869891911894</v>
      </c>
      <c r="AN5607">
        <v>1.0000000428068601</v>
      </c>
    </row>
    <row r="5608" spans="1:40" x14ac:dyDescent="0.25">
      <c r="A5608" t="str">
        <f>"20190312154948040"</f>
        <v>20190312154948040</v>
      </c>
      <c r="B5608" t="str">
        <f>"1552376988031552"</f>
        <v>1552376988031552</v>
      </c>
      <c r="C5608" t="s">
        <v>40</v>
      </c>
      <c r="D5608">
        <v>4.6888180000000004</v>
      </c>
      <c r="E5608">
        <v>0.40332950000000001</v>
      </c>
      <c r="F5608" t="s">
        <v>67</v>
      </c>
      <c r="G5608">
        <v>-385.1771</v>
      </c>
      <c r="H5608" s="1">
        <v>-2.5754980000000001E-6</v>
      </c>
      <c r="I5608">
        <v>17.951820000000001</v>
      </c>
      <c r="J5608">
        <v>-398.92559999999997</v>
      </c>
      <c r="K5608">
        <v>1.1144449999999999</v>
      </c>
      <c r="L5608">
        <v>19.626190000000001</v>
      </c>
      <c r="M5608">
        <v>0.94277290000000002</v>
      </c>
      <c r="N5608">
        <v>0</v>
      </c>
      <c r="O5608">
        <v>-0.33313999999999999</v>
      </c>
      <c r="P5608">
        <v>0.93100240000000001</v>
      </c>
      <c r="Q5608">
        <v>-2.3192569999999999E-2</v>
      </c>
      <c r="R5608">
        <v>-0.36427579999999998</v>
      </c>
      <c r="S5608">
        <v>3.0713810000000001</v>
      </c>
      <c r="T5608">
        <v>-0.2470367</v>
      </c>
      <c r="U5608">
        <v>-0.37847900000000001</v>
      </c>
      <c r="V5608">
        <v>3.3375729999999999E-2</v>
      </c>
      <c r="W5608">
        <v>-8.8091560000000003E-3</v>
      </c>
      <c r="X5608">
        <v>0.99940410000000002</v>
      </c>
      <c r="Y5608">
        <v>-0.21366589999999999</v>
      </c>
      <c r="Z5608">
        <v>3.4673889999999999E-2</v>
      </c>
      <c r="AA5608">
        <v>0.97629120000000003</v>
      </c>
      <c r="AB5608">
        <v>20</v>
      </c>
      <c r="AC5608">
        <v>13.7484999999999</v>
      </c>
      <c r="AD5608">
        <v>-1.1144475754979899</v>
      </c>
      <c r="AE5608">
        <v>-1.6743699999999899</v>
      </c>
      <c r="AF5608">
        <v>-2.98260905764745</v>
      </c>
      <c r="AG5608">
        <v>-1.1144475754979899</v>
      </c>
      <c r="AH5608">
        <v>13.433865463602899</v>
      </c>
      <c r="AI5608">
        <v>94.630053181704895</v>
      </c>
      <c r="AJ5608">
        <v>102.517856431</v>
      </c>
      <c r="AK5608">
        <v>13.8060382254823</v>
      </c>
      <c r="AL5608">
        <v>90.504733963865306</v>
      </c>
      <c r="AM5608">
        <v>88.087282173744597</v>
      </c>
      <c r="AN5608">
        <v>1.00000004783963</v>
      </c>
    </row>
    <row r="5609" spans="1:40" x14ac:dyDescent="0.25">
      <c r="A5609" t="str">
        <f>"20190312154948053"</f>
        <v>20190312154948053</v>
      </c>
      <c r="B5609" t="str">
        <f>"1552376988041313"</f>
        <v>1552376988041313</v>
      </c>
      <c r="C5609" t="s">
        <v>40</v>
      </c>
      <c r="D5609">
        <v>4.6733529999999996</v>
      </c>
      <c r="E5609">
        <v>0.40314949999999999</v>
      </c>
      <c r="F5609" t="s">
        <v>67</v>
      </c>
      <c r="G5609">
        <v>-384.98399999999998</v>
      </c>
      <c r="H5609" s="1">
        <v>-2.662497E-6</v>
      </c>
      <c r="I5609">
        <v>17.97589</v>
      </c>
      <c r="J5609">
        <v>-398.82339999999999</v>
      </c>
      <c r="K5609">
        <v>1.114482</v>
      </c>
      <c r="L5609">
        <v>19.59515</v>
      </c>
      <c r="M5609">
        <v>0.9441754</v>
      </c>
      <c r="N5609">
        <v>0</v>
      </c>
      <c r="O5609">
        <v>-0.3291443</v>
      </c>
      <c r="P5609">
        <v>0.93236980000000003</v>
      </c>
      <c r="Q5609">
        <v>-2.276889E-2</v>
      </c>
      <c r="R5609">
        <v>-0.36078870000000002</v>
      </c>
      <c r="S5609">
        <v>3.0738530000000002</v>
      </c>
      <c r="T5609">
        <v>-0.2457155</v>
      </c>
      <c r="U5609">
        <v>-0.36386109999999999</v>
      </c>
      <c r="V5609">
        <v>3.3860210000000002E-2</v>
      </c>
      <c r="W5609">
        <v>-8.3694100000000007E-3</v>
      </c>
      <c r="X5609">
        <v>0.99939160000000005</v>
      </c>
      <c r="Y5609">
        <v>-0.21423010000000001</v>
      </c>
      <c r="Z5609">
        <v>3.4198590000000001E-2</v>
      </c>
      <c r="AA5609">
        <v>0.97618439999999995</v>
      </c>
      <c r="AB5609">
        <v>20</v>
      </c>
      <c r="AC5609">
        <v>13.8393999999999</v>
      </c>
      <c r="AD5609">
        <v>-1.114484662497</v>
      </c>
      <c r="AE5609">
        <v>-1.6192599999999999</v>
      </c>
      <c r="AF5609">
        <v>-3.0073526029169901</v>
      </c>
      <c r="AG5609">
        <v>-1.114484662497</v>
      </c>
      <c r="AH5609">
        <v>13.514670185624</v>
      </c>
      <c r="AI5609">
        <v>94.602153103291002</v>
      </c>
      <c r="AJ5609">
        <v>102.545340670286</v>
      </c>
      <c r="AK5609">
        <v>13.890016413503901</v>
      </c>
      <c r="AL5609">
        <v>90.479537437078406</v>
      </c>
      <c r="AM5609">
        <v>88.0595141043719</v>
      </c>
      <c r="AN5609">
        <v>1.0000000654977701</v>
      </c>
    </row>
    <row r="5610" spans="1:40" x14ac:dyDescent="0.25">
      <c r="A5610" t="str">
        <f>"20190312154948065"</f>
        <v>20190312154948065</v>
      </c>
      <c r="B5610" t="str">
        <f>"1552376988061810"</f>
        <v>1552376988061810</v>
      </c>
      <c r="C5610" t="s">
        <v>40</v>
      </c>
      <c r="D5610">
        <v>4.8048349999999997</v>
      </c>
      <c r="E5610">
        <v>0.4029257</v>
      </c>
      <c r="F5610" t="s">
        <v>67</v>
      </c>
      <c r="G5610">
        <v>-384.82900000000001</v>
      </c>
      <c r="H5610" s="1">
        <v>-2.7318089999999999E-6</v>
      </c>
      <c r="I5610">
        <v>17.998259999999998</v>
      </c>
      <c r="J5610">
        <v>-398.7158</v>
      </c>
      <c r="K5610">
        <v>1.114522</v>
      </c>
      <c r="L5610">
        <v>19.562840000000001</v>
      </c>
      <c r="M5610">
        <v>0.94564230000000005</v>
      </c>
      <c r="N5610">
        <v>0</v>
      </c>
      <c r="O5610">
        <v>-0.32490570000000002</v>
      </c>
      <c r="P5610">
        <v>0.93387450000000005</v>
      </c>
      <c r="Q5610">
        <v>-2.226941E-2</v>
      </c>
      <c r="R5610">
        <v>-0.3569078</v>
      </c>
      <c r="S5610">
        <v>3.0758359999999998</v>
      </c>
      <c r="T5610">
        <v>-0.244953</v>
      </c>
      <c r="U5610">
        <v>-0.35098269999999998</v>
      </c>
      <c r="V5610">
        <v>3.4177619999999999E-2</v>
      </c>
      <c r="W5610">
        <v>-7.8552150000000005E-3</v>
      </c>
      <c r="X5610">
        <v>0.99938490000000002</v>
      </c>
      <c r="Y5610">
        <v>-0.21398020000000001</v>
      </c>
      <c r="Z5610">
        <v>3.375566E-2</v>
      </c>
      <c r="AA5610">
        <v>0.97625459999999997</v>
      </c>
      <c r="AB5610">
        <v>20</v>
      </c>
      <c r="AC5610">
        <v>13.8867999999999</v>
      </c>
      <c r="AD5610">
        <v>-1.1145247318089999</v>
      </c>
      <c r="AE5610">
        <v>-1.5645799999999901</v>
      </c>
      <c r="AF5610">
        <v>-3.0134984593767902</v>
      </c>
      <c r="AG5610">
        <v>-1.1145247318089999</v>
      </c>
      <c r="AH5610">
        <v>13.555409412938801</v>
      </c>
      <c r="AI5610">
        <v>94.588753835715707</v>
      </c>
      <c r="AJ5610">
        <v>102.533581686898</v>
      </c>
      <c r="AK5610">
        <v>13.930989293473401</v>
      </c>
      <c r="AL5610">
        <v>90.450075297050205</v>
      </c>
      <c r="AM5610">
        <v>88.041324719775901</v>
      </c>
      <c r="AN5610">
        <v>0.99999999622978497</v>
      </c>
    </row>
    <row r="5611" spans="1:40" x14ac:dyDescent="0.25">
      <c r="A5611" t="str">
        <f>"20190312154948077"</f>
        <v>20190312154948077</v>
      </c>
      <c r="B5611" t="str">
        <f>"1552376988071568"</f>
        <v>1552376988071568</v>
      </c>
      <c r="C5611" t="s">
        <v>40</v>
      </c>
      <c r="D5611">
        <v>4.6406020000000003</v>
      </c>
      <c r="E5611">
        <v>0.40291969999999999</v>
      </c>
      <c r="F5611" t="s">
        <v>67</v>
      </c>
      <c r="G5611">
        <v>-384.55520000000001</v>
      </c>
      <c r="H5611" s="1">
        <v>-2.858322E-6</v>
      </c>
      <c r="I5611">
        <v>18.014679999999998</v>
      </c>
      <c r="J5611">
        <v>-398.61059999999998</v>
      </c>
      <c r="K5611">
        <v>1.1145579999999999</v>
      </c>
      <c r="L5611">
        <v>19.5321</v>
      </c>
      <c r="M5611">
        <v>0.94707580000000002</v>
      </c>
      <c r="N5611">
        <v>0</v>
      </c>
      <c r="O5611">
        <v>-0.32070199999999999</v>
      </c>
      <c r="P5611">
        <v>0.93531750000000002</v>
      </c>
      <c r="Q5611">
        <v>-2.1849980000000001E-2</v>
      </c>
      <c r="R5611">
        <v>-0.35313430000000001</v>
      </c>
      <c r="S5611">
        <v>3.078033</v>
      </c>
      <c r="T5611">
        <v>-0.24226</v>
      </c>
      <c r="U5611">
        <v>-0.33651730000000002</v>
      </c>
      <c r="V5611">
        <v>3.457437E-2</v>
      </c>
      <c r="W5611">
        <v>-7.4206309999999996E-3</v>
      </c>
      <c r="X5611">
        <v>0.9993746</v>
      </c>
      <c r="Y5611">
        <v>-0.2143002</v>
      </c>
      <c r="Z5611">
        <v>3.3075640000000003E-2</v>
      </c>
      <c r="AA5611">
        <v>0.97620770000000001</v>
      </c>
      <c r="AB5611">
        <v>20</v>
      </c>
      <c r="AC5611">
        <v>14.055399999999899</v>
      </c>
      <c r="AD5611">
        <v>-1.1145608583219999</v>
      </c>
      <c r="AE5611">
        <v>-1.51742</v>
      </c>
      <c r="AF5611">
        <v>-3.0518175076145702</v>
      </c>
      <c r="AG5611">
        <v>-1.1145608583219999</v>
      </c>
      <c r="AH5611">
        <v>13.714289059718199</v>
      </c>
      <c r="AI5611">
        <v>94.535753478366999</v>
      </c>
      <c r="AJ5611">
        <v>102.545518629781</v>
      </c>
      <c r="AK5611">
        <v>14.093883794759799</v>
      </c>
      <c r="AL5611">
        <v>90.425174730436694</v>
      </c>
      <c r="AM5611">
        <v>88.018585104127794</v>
      </c>
      <c r="AN5611">
        <v>1.0000000219752401</v>
      </c>
    </row>
    <row r="5612" spans="1:40" x14ac:dyDescent="0.25">
      <c r="A5612" t="str">
        <f>"20190312154948090"</f>
        <v>20190312154948090</v>
      </c>
      <c r="B5612" t="str">
        <f>"1552376988081329"</f>
        <v>1552376988081329</v>
      </c>
      <c r="C5612" t="s">
        <v>40</v>
      </c>
      <c r="D5612">
        <v>4.6739139999999999</v>
      </c>
      <c r="E5612">
        <v>0.4027809</v>
      </c>
      <c r="F5612" t="s">
        <v>67</v>
      </c>
      <c r="G5612">
        <v>-384.3252</v>
      </c>
      <c r="H5612" s="1">
        <v>-2.9646150000000002E-6</v>
      </c>
      <c r="I5612">
        <v>18.028490000000001</v>
      </c>
      <c r="J5612">
        <v>-398.50760000000002</v>
      </c>
      <c r="K5612">
        <v>1.1145910000000001</v>
      </c>
      <c r="L5612">
        <v>19.502320000000001</v>
      </c>
      <c r="M5612">
        <v>0.94846710000000001</v>
      </c>
      <c r="N5612">
        <v>0</v>
      </c>
      <c r="O5612">
        <v>-0.31656319999999999</v>
      </c>
      <c r="P5612">
        <v>0.9366331</v>
      </c>
      <c r="Q5612">
        <v>-2.1676560000000001E-2</v>
      </c>
      <c r="R5612">
        <v>-0.34964070000000003</v>
      </c>
      <c r="S5612">
        <v>3.079437</v>
      </c>
      <c r="T5612">
        <v>-0.24026059999999999</v>
      </c>
      <c r="U5612">
        <v>-0.3241272</v>
      </c>
      <c r="V5612">
        <v>3.5205359999999998E-2</v>
      </c>
      <c r="W5612">
        <v>-7.2302059999999899E-3</v>
      </c>
      <c r="X5612">
        <v>0.99935390000000002</v>
      </c>
      <c r="Y5612">
        <v>-0.2140061</v>
      </c>
      <c r="Z5612">
        <v>3.2482659999999997E-2</v>
      </c>
      <c r="AA5612">
        <v>0.9762921</v>
      </c>
      <c r="AB5612">
        <v>20</v>
      </c>
      <c r="AC5612">
        <v>14.182399999999999</v>
      </c>
      <c r="AD5612">
        <v>-1.1145939646149901</v>
      </c>
      <c r="AE5612">
        <v>-1.47383</v>
      </c>
      <c r="AF5612">
        <v>-3.07327373296466</v>
      </c>
      <c r="AG5612">
        <v>-1.1145939646149901</v>
      </c>
      <c r="AH5612">
        <v>13.834940651311101</v>
      </c>
      <c r="AI5612">
        <v>94.496863832140207</v>
      </c>
      <c r="AJ5612">
        <v>102.52423947134101</v>
      </c>
      <c r="AK5612">
        <v>14.215938729784501</v>
      </c>
      <c r="AL5612">
        <v>90.414263916696399</v>
      </c>
      <c r="AM5612">
        <v>87.982411699674003</v>
      </c>
      <c r="AN5612">
        <v>0.99999995534837005</v>
      </c>
    </row>
    <row r="5613" spans="1:40" x14ac:dyDescent="0.25">
      <c r="A5613" t="str">
        <f>"20190312154948106"</f>
        <v>20190312154948106</v>
      </c>
      <c r="B5613" t="str">
        <f>"1552376988101827"</f>
        <v>1552376988101827</v>
      </c>
      <c r="C5613" t="s">
        <v>40</v>
      </c>
      <c r="D5613">
        <v>4.6502919999999897</v>
      </c>
      <c r="E5613">
        <v>0.40274209999999999</v>
      </c>
      <c r="F5613" t="s">
        <v>67</v>
      </c>
      <c r="G5613">
        <v>-384.15410000000003</v>
      </c>
      <c r="H5613" s="1">
        <v>-3.0414300000000002E-6</v>
      </c>
      <c r="I5613">
        <v>18.051380000000002</v>
      </c>
      <c r="J5613">
        <v>-398.36070000000001</v>
      </c>
      <c r="K5613">
        <v>1.1146290000000001</v>
      </c>
      <c r="L5613">
        <v>19.46078</v>
      </c>
      <c r="M5613">
        <v>0.95043489999999997</v>
      </c>
      <c r="N5613">
        <v>0</v>
      </c>
      <c r="O5613">
        <v>-0.31060529999999997</v>
      </c>
      <c r="P5613">
        <v>0.93860549999999998</v>
      </c>
      <c r="Q5613">
        <v>-2.139779E-2</v>
      </c>
      <c r="R5613">
        <v>-0.34432829999999998</v>
      </c>
      <c r="S5613">
        <v>3.0811459999999999</v>
      </c>
      <c r="T5613">
        <v>-0.239261</v>
      </c>
      <c r="U5613">
        <v>-0.31146239999999997</v>
      </c>
      <c r="V5613">
        <v>3.5809430000000003E-2</v>
      </c>
      <c r="W5613">
        <v>-6.9309009999999997E-3</v>
      </c>
      <c r="X5613">
        <v>0.99933459999999996</v>
      </c>
      <c r="Y5613">
        <v>-0.21194070000000001</v>
      </c>
      <c r="Z5613">
        <v>3.182227E-2</v>
      </c>
      <c r="AA5613">
        <v>0.97676430000000003</v>
      </c>
      <c r="AB5613">
        <v>20</v>
      </c>
      <c r="AC5613">
        <v>14.2065999999999</v>
      </c>
      <c r="AD5613">
        <v>-1.1146320414299999</v>
      </c>
      <c r="AE5613">
        <v>-1.4094</v>
      </c>
      <c r="AF5613">
        <v>-3.0547850595419401</v>
      </c>
      <c r="AG5613">
        <v>-1.1146320414299999</v>
      </c>
      <c r="AH5613">
        <v>13.8571248097011</v>
      </c>
      <c r="AI5613">
        <v>94.491441271927997</v>
      </c>
      <c r="AJ5613">
        <v>102.43193762334</v>
      </c>
      <c r="AK5613">
        <v>14.2335527658914</v>
      </c>
      <c r="AL5613">
        <v>90.397114555866096</v>
      </c>
      <c r="AM5613">
        <v>87.947782729097696</v>
      </c>
      <c r="AN5613">
        <v>0.99999999771137804</v>
      </c>
    </row>
    <row r="5614" spans="1:40" x14ac:dyDescent="0.25">
      <c r="A5614" t="str">
        <f>"20190312154948117"</f>
        <v>20190312154948117</v>
      </c>
      <c r="B5614" t="str">
        <f>"1552376988111584"</f>
        <v>1552376988111584</v>
      </c>
      <c r="C5614" t="s">
        <v>40</v>
      </c>
      <c r="D5614">
        <v>4.6313139999999997</v>
      </c>
      <c r="E5614">
        <v>0.4027095</v>
      </c>
      <c r="F5614" t="s">
        <v>67</v>
      </c>
      <c r="G5614">
        <v>-383.8897</v>
      </c>
      <c r="H5614" s="1">
        <v>-3.1607690000000001E-6</v>
      </c>
      <c r="I5614">
        <v>18.08314</v>
      </c>
      <c r="J5614">
        <v>-398.25940000000003</v>
      </c>
      <c r="K5614">
        <v>1.114655</v>
      </c>
      <c r="L5614">
        <v>19.432950000000002</v>
      </c>
      <c r="M5614">
        <v>0.95178289999999999</v>
      </c>
      <c r="N5614">
        <v>0</v>
      </c>
      <c r="O5614">
        <v>-0.30644909999999997</v>
      </c>
      <c r="P5614">
        <v>0.93998040000000005</v>
      </c>
      <c r="Q5614">
        <v>-2.1256899999999999E-2</v>
      </c>
      <c r="R5614">
        <v>-0.34056599999999998</v>
      </c>
      <c r="S5614">
        <v>3.0831599999999999</v>
      </c>
      <c r="T5614">
        <v>-0.2374812</v>
      </c>
      <c r="U5614">
        <v>-0.293518099999999</v>
      </c>
      <c r="V5614">
        <v>3.6171219999999997E-2</v>
      </c>
      <c r="W5614">
        <v>-6.7766700000000003E-3</v>
      </c>
      <c r="X5614">
        <v>0.99932270000000001</v>
      </c>
      <c r="Y5614">
        <v>-0.2133959</v>
      </c>
      <c r="Z5614">
        <v>3.1331570000000003E-2</v>
      </c>
      <c r="AA5614">
        <v>0.97646330000000003</v>
      </c>
      <c r="AB5614">
        <v>20</v>
      </c>
      <c r="AC5614">
        <v>14.3697</v>
      </c>
      <c r="AD5614">
        <v>-1.114658160769</v>
      </c>
      <c r="AE5614">
        <v>-1.34981</v>
      </c>
      <c r="AF5614">
        <v>-3.10067087926222</v>
      </c>
      <c r="AG5614">
        <v>-1.114658160769</v>
      </c>
      <c r="AH5614">
        <v>14.008327381992</v>
      </c>
      <c r="AI5614">
        <v>94.442425391289305</v>
      </c>
      <c r="AJ5614">
        <v>102.480893776179</v>
      </c>
      <c r="AK5614">
        <v>14.3906170388187</v>
      </c>
      <c r="AL5614">
        <v>90.3882775350055</v>
      </c>
      <c r="AM5614">
        <v>87.927042093094201</v>
      </c>
      <c r="AN5614">
        <v>1.00000006957393</v>
      </c>
    </row>
    <row r="5615" spans="1:40" x14ac:dyDescent="0.25">
      <c r="A5615" t="str">
        <f>"20190312154948129"</f>
        <v>20190312154948129</v>
      </c>
      <c r="B5615" t="str">
        <f>"1552376988121850"</f>
        <v>1552376988121850</v>
      </c>
      <c r="C5615" t="s">
        <v>40</v>
      </c>
      <c r="D5615">
        <v>4.6241430000000001</v>
      </c>
      <c r="E5615">
        <v>0.4026922</v>
      </c>
      <c r="F5615" t="s">
        <v>67</v>
      </c>
      <c r="G5615">
        <v>-383.69850000000002</v>
      </c>
      <c r="H5615" s="1">
        <v>-3.2468759999999898E-6</v>
      </c>
      <c r="I5615">
        <v>18.10726</v>
      </c>
      <c r="J5615">
        <v>-398.16219999999998</v>
      </c>
      <c r="K5615">
        <v>1.1146769999999999</v>
      </c>
      <c r="L5615">
        <v>19.406590000000001</v>
      </c>
      <c r="M5615">
        <v>0.95306369999999896</v>
      </c>
      <c r="N5615">
        <v>0</v>
      </c>
      <c r="O5615">
        <v>-0.30244209999999999</v>
      </c>
      <c r="P5615">
        <v>0.94133659999999997</v>
      </c>
      <c r="Q5615">
        <v>-2.1287029999999998E-2</v>
      </c>
      <c r="R5615">
        <v>-0.33679700000000001</v>
      </c>
      <c r="S5615">
        <v>3.0844420000000001</v>
      </c>
      <c r="T5615">
        <v>-0.2361183</v>
      </c>
      <c r="U5615">
        <v>-0.28082279999999998</v>
      </c>
      <c r="V5615">
        <v>3.637224E-2</v>
      </c>
      <c r="W5615">
        <v>-6.7960269999999996E-3</v>
      </c>
      <c r="X5615">
        <v>0.99931519999999996</v>
      </c>
      <c r="Y5615">
        <v>-0.213338</v>
      </c>
      <c r="Z5615">
        <v>3.0854690000000001E-2</v>
      </c>
      <c r="AA5615">
        <v>0.97649109999999995</v>
      </c>
      <c r="AB5615">
        <v>20</v>
      </c>
      <c r="AC5615">
        <v>14.4636999999999</v>
      </c>
      <c r="AD5615">
        <v>-1.114680246876</v>
      </c>
      <c r="AE5615">
        <v>-1.2993299999999901</v>
      </c>
      <c r="AF5615">
        <v>-3.1180277026418901</v>
      </c>
      <c r="AG5615">
        <v>-1.114680246876</v>
      </c>
      <c r="AH5615">
        <v>14.096153591093101</v>
      </c>
      <c r="AI5615">
        <v>94.415080800579005</v>
      </c>
      <c r="AJ5615">
        <v>102.47282210797999</v>
      </c>
      <c r="AK5615">
        <v>14.4798534133086</v>
      </c>
      <c r="AL5615">
        <v>90.389386662980698</v>
      </c>
      <c r="AM5615">
        <v>87.915516222803006</v>
      </c>
      <c r="AN5615">
        <v>0.99999999738832102</v>
      </c>
    </row>
    <row r="5616" spans="1:40" x14ac:dyDescent="0.25">
      <c r="A5616" t="str">
        <f>"20190312154948140"</f>
        <v>20190312154948140</v>
      </c>
      <c r="B5616" t="str">
        <f>"1552376988131610"</f>
        <v>1552376988131610</v>
      </c>
      <c r="C5616" t="s">
        <v>40</v>
      </c>
      <c r="D5616">
        <v>4.6509349999999996</v>
      </c>
      <c r="E5616">
        <v>0.40271449999999998</v>
      </c>
      <c r="F5616" t="s">
        <v>67</v>
      </c>
      <c r="G5616">
        <v>-383.57060000000001</v>
      </c>
      <c r="H5616" s="1">
        <v>-3.3018930000000001E-6</v>
      </c>
      <c r="I5616">
        <v>18.137920000000001</v>
      </c>
      <c r="J5616">
        <v>-398.06529999999998</v>
      </c>
      <c r="K5616">
        <v>1.1146969999999901</v>
      </c>
      <c r="L5616">
        <v>19.380769999999998</v>
      </c>
      <c r="M5616">
        <v>0.95433069999999998</v>
      </c>
      <c r="N5616">
        <v>0</v>
      </c>
      <c r="O5616">
        <v>-0.29841960000000001</v>
      </c>
      <c r="P5616">
        <v>0.94269530000000001</v>
      </c>
      <c r="Q5616">
        <v>-2.111992E-2</v>
      </c>
      <c r="R5616">
        <v>-0.33298620000000001</v>
      </c>
      <c r="S5616">
        <v>3.0856319999999999</v>
      </c>
      <c r="T5616">
        <v>-0.2357177</v>
      </c>
      <c r="U5616">
        <v>-0.26828000000000002</v>
      </c>
      <c r="V5616">
        <v>3.6541579999999997E-2</v>
      </c>
      <c r="W5616">
        <v>-6.6189769999999998E-3</v>
      </c>
      <c r="X5616">
        <v>0.99931020000000004</v>
      </c>
      <c r="Y5616">
        <v>-0.21320700000000001</v>
      </c>
      <c r="Z5616">
        <v>3.050162E-2</v>
      </c>
      <c r="AA5616">
        <v>0.97653080000000003</v>
      </c>
      <c r="AB5616">
        <v>20</v>
      </c>
      <c r="AC5616">
        <v>14.4946999999999</v>
      </c>
      <c r="AD5616">
        <v>-1.11470030189299</v>
      </c>
      <c r="AE5616">
        <v>-1.24285</v>
      </c>
      <c r="AF5616">
        <v>-3.1213986311822399</v>
      </c>
      <c r="AG5616">
        <v>-1.11470030189299</v>
      </c>
      <c r="AH5616">
        <v>14.1221271970945</v>
      </c>
      <c r="AI5616">
        <v>94.407227107246001</v>
      </c>
      <c r="AJ5616">
        <v>102.463637975616</v>
      </c>
      <c r="AK5616">
        <v>14.5058664942396</v>
      </c>
      <c r="AL5616">
        <v>90.379242220960606</v>
      </c>
      <c r="AM5616">
        <v>87.905809542886203</v>
      </c>
      <c r="AN5616">
        <v>0.99999998687473102</v>
      </c>
    </row>
    <row r="5617" spans="1:40" x14ac:dyDescent="0.25">
      <c r="A5617" t="str">
        <f>"20190312154948151"</f>
        <v>20190312154948151</v>
      </c>
      <c r="B5617" t="str">
        <f>"1552376988141371"</f>
        <v>1552376988141371</v>
      </c>
      <c r="C5617" t="s">
        <v>40</v>
      </c>
      <c r="D5617">
        <v>4.6621169999999896</v>
      </c>
      <c r="E5617">
        <v>0.4027905</v>
      </c>
      <c r="F5617" t="s">
        <v>67</v>
      </c>
      <c r="G5617">
        <v>-383.43470000000002</v>
      </c>
      <c r="H5617" s="1">
        <v>-3.3608149999999999E-6</v>
      </c>
      <c r="I5617">
        <v>18.168019999999999</v>
      </c>
      <c r="J5617">
        <v>-397.9753</v>
      </c>
      <c r="K5617">
        <v>1.1147199999999999</v>
      </c>
      <c r="L5617">
        <v>19.357299999999999</v>
      </c>
      <c r="M5617">
        <v>0.95549680000000003</v>
      </c>
      <c r="N5617">
        <v>0</v>
      </c>
      <c r="O5617">
        <v>-0.29466399999999998</v>
      </c>
      <c r="P5617">
        <v>0.94407839999999998</v>
      </c>
      <c r="Q5617">
        <v>-2.0920190000000002E-2</v>
      </c>
      <c r="R5617">
        <v>-0.32905649999999997</v>
      </c>
      <c r="S5617">
        <v>3.0867</v>
      </c>
      <c r="T5617">
        <v>-0.23517469999999999</v>
      </c>
      <c r="U5617">
        <v>-0.25585940000000001</v>
      </c>
      <c r="V5617">
        <v>3.6305820000000003E-2</v>
      </c>
      <c r="W5617">
        <v>-6.4146269999999896E-3</v>
      </c>
      <c r="X5617">
        <v>0.99932010000000004</v>
      </c>
      <c r="Y5617">
        <v>-0.2133128</v>
      </c>
      <c r="Z5617">
        <v>3.0160260000000001E-2</v>
      </c>
      <c r="AA5617">
        <v>0.97651829999999995</v>
      </c>
      <c r="AB5617">
        <v>20</v>
      </c>
      <c r="AC5617">
        <v>14.5405999999999</v>
      </c>
      <c r="AD5617">
        <v>-1.114723360815</v>
      </c>
      <c r="AE5617">
        <v>-1.1892799999999899</v>
      </c>
      <c r="AF5617">
        <v>-3.13027643988256</v>
      </c>
      <c r="AG5617">
        <v>-1.114723360815</v>
      </c>
      <c r="AH5617">
        <v>14.162668664340099</v>
      </c>
      <c r="AI5617">
        <v>94.394756615486301</v>
      </c>
      <c r="AJ5617">
        <v>102.463317725395</v>
      </c>
      <c r="AK5617">
        <v>14.5472479341322</v>
      </c>
      <c r="AL5617">
        <v>90.367533589075407</v>
      </c>
      <c r="AM5617">
        <v>87.919329580572594</v>
      </c>
      <c r="AN5617">
        <v>0.99999996113471501</v>
      </c>
    </row>
    <row r="5618" spans="1:40" x14ac:dyDescent="0.25">
      <c r="A5618" t="str">
        <f>"20190312154948161"</f>
        <v>20190312154948161</v>
      </c>
      <c r="B5618" t="str">
        <f>"1552376988152107"</f>
        <v>1552376988152107</v>
      </c>
      <c r="C5618" t="s">
        <v>40</v>
      </c>
      <c r="D5618">
        <v>4.6802199999999896</v>
      </c>
      <c r="E5618">
        <v>0.4029412</v>
      </c>
      <c r="F5618" t="s">
        <v>67</v>
      </c>
      <c r="G5618">
        <v>-383.2722</v>
      </c>
      <c r="H5618" s="1">
        <v>-3.4323230000000002E-6</v>
      </c>
      <c r="I5618">
        <v>18.19792</v>
      </c>
      <c r="J5618">
        <v>-397.87740000000002</v>
      </c>
      <c r="K5618">
        <v>1.1147389999999999</v>
      </c>
      <c r="L5618">
        <v>19.33203</v>
      </c>
      <c r="M5618">
        <v>0.95675410000000005</v>
      </c>
      <c r="N5618">
        <v>0</v>
      </c>
      <c r="O5618">
        <v>-0.29055589999999998</v>
      </c>
      <c r="P5618">
        <v>0.94554720000000003</v>
      </c>
      <c r="Q5618">
        <v>-2.0641400000000001E-2</v>
      </c>
      <c r="R5618">
        <v>-0.32483040000000002</v>
      </c>
      <c r="S5618">
        <v>3.0876459999999999</v>
      </c>
      <c r="T5618">
        <v>-0.23409060000000001</v>
      </c>
      <c r="U5618">
        <v>-0.2434692</v>
      </c>
      <c r="V5618">
        <v>3.612464E-2</v>
      </c>
      <c r="W5618">
        <v>-6.1302669999999896E-3</v>
      </c>
      <c r="X5618">
        <v>0.99932849999999995</v>
      </c>
      <c r="Y5618">
        <v>-0.2130589</v>
      </c>
      <c r="Z5618">
        <v>2.9712929999999999E-2</v>
      </c>
      <c r="AA5618">
        <v>0.97658739999999999</v>
      </c>
      <c r="AB5618">
        <v>20</v>
      </c>
      <c r="AC5618">
        <v>14.6052</v>
      </c>
      <c r="AD5618">
        <v>-1.114742432323</v>
      </c>
      <c r="AE5618">
        <v>-1.13410999999999</v>
      </c>
      <c r="AF5618">
        <v>-3.1406902749987098</v>
      </c>
      <c r="AG5618">
        <v>-1.114742432323</v>
      </c>
      <c r="AH5618">
        <v>14.2221748456436</v>
      </c>
      <c r="AI5618">
        <v>94.376691758979106</v>
      </c>
      <c r="AJ5618">
        <v>102.45279912889799</v>
      </c>
      <c r="AK5618">
        <v>14.607424257340901</v>
      </c>
      <c r="AL5618">
        <v>90.351240622723495</v>
      </c>
      <c r="AM5618">
        <v>87.929721254804605</v>
      </c>
      <c r="AN5618">
        <v>1.0000000103504301</v>
      </c>
    </row>
    <row r="5619" spans="1:40" x14ac:dyDescent="0.25">
      <c r="A5619" t="str">
        <f>"20190312154948174"</f>
        <v>20190312154948174</v>
      </c>
      <c r="B5619" t="str">
        <f>"1552376988171626"</f>
        <v>1552376988171626</v>
      </c>
      <c r="C5619" t="s">
        <v>40</v>
      </c>
      <c r="D5619">
        <v>4.7136180000000003</v>
      </c>
      <c r="E5619">
        <v>0.40304030000000002</v>
      </c>
      <c r="F5619" t="s">
        <v>67</v>
      </c>
      <c r="G5619">
        <v>-383.10019999999997</v>
      </c>
      <c r="H5619" s="1">
        <v>-3.5082550000000002E-6</v>
      </c>
      <c r="I5619">
        <v>18.228120000000001</v>
      </c>
      <c r="J5619">
        <v>-397.77820000000003</v>
      </c>
      <c r="K5619">
        <v>1.114757</v>
      </c>
      <c r="L5619">
        <v>19.307130000000001</v>
      </c>
      <c r="M5619">
        <v>0.95801619999999998</v>
      </c>
      <c r="N5619">
        <v>0</v>
      </c>
      <c r="O5619">
        <v>-0.28636699999999998</v>
      </c>
      <c r="P5619">
        <v>0.94694829999999997</v>
      </c>
      <c r="Q5619">
        <v>-2.0059879999999999E-2</v>
      </c>
      <c r="R5619">
        <v>-0.32075999999999999</v>
      </c>
      <c r="S5619">
        <v>3.0883790000000002</v>
      </c>
      <c r="T5619">
        <v>-0.23297699999999999</v>
      </c>
      <c r="U5619">
        <v>-0.2307129</v>
      </c>
      <c r="V5619">
        <v>3.6188230000000002E-2</v>
      </c>
      <c r="W5619">
        <v>-5.5408380000000002E-3</v>
      </c>
      <c r="X5619">
        <v>0.99932960000000004</v>
      </c>
      <c r="Y5619">
        <v>-0.21283840000000001</v>
      </c>
      <c r="Z5619">
        <v>2.926173E-2</v>
      </c>
      <c r="AA5619">
        <v>0.9766492</v>
      </c>
      <c r="AB5619">
        <v>20</v>
      </c>
      <c r="AC5619">
        <v>14.678000000000001</v>
      </c>
      <c r="AD5619">
        <v>-1.1147605082550001</v>
      </c>
      <c r="AE5619">
        <v>-1.07900999999999</v>
      </c>
      <c r="AF5619">
        <v>-3.1518188833820502</v>
      </c>
      <c r="AG5619">
        <v>-1.1147605082550001</v>
      </c>
      <c r="AH5619">
        <v>14.290200419555401</v>
      </c>
      <c r="AI5619">
        <v>94.356256962181703</v>
      </c>
      <c r="AJ5619">
        <v>102.437913322425</v>
      </c>
      <c r="AK5619">
        <v>14.676051284166</v>
      </c>
      <c r="AL5619">
        <v>90.317468266597899</v>
      </c>
      <c r="AM5619">
        <v>87.926082415213799</v>
      </c>
      <c r="AN5619">
        <v>0.99999996915621703</v>
      </c>
    </row>
    <row r="5620" spans="1:40" x14ac:dyDescent="0.25">
      <c r="A5620" t="str">
        <f>"20190312154948184"</f>
        <v>20190312154948184</v>
      </c>
      <c r="B5620" t="str">
        <f>"1552376988181386"</f>
        <v>1552376988181386</v>
      </c>
      <c r="C5620" t="s">
        <v>40</v>
      </c>
      <c r="D5620">
        <v>4.7289580000000004</v>
      </c>
      <c r="E5620">
        <v>0.40316190000000002</v>
      </c>
      <c r="F5620" t="s">
        <v>67</v>
      </c>
      <c r="G5620">
        <v>-382.80930000000001</v>
      </c>
      <c r="H5620" s="1">
        <v>-3.641936E-6</v>
      </c>
      <c r="I5620">
        <v>18.24971</v>
      </c>
      <c r="J5620">
        <v>-397.68650000000002</v>
      </c>
      <c r="K5620">
        <v>1.1147689999999999</v>
      </c>
      <c r="L5620">
        <v>19.284300000000002</v>
      </c>
      <c r="M5620">
        <v>0.95916789999999996</v>
      </c>
      <c r="N5620">
        <v>0</v>
      </c>
      <c r="O5620">
        <v>-0.28248489999999998</v>
      </c>
      <c r="P5620">
        <v>0.94822530000000005</v>
      </c>
      <c r="Q5620">
        <v>-1.9528469999999999E-2</v>
      </c>
      <c r="R5620">
        <v>-0.3169978</v>
      </c>
      <c r="S5620">
        <v>3.0892940000000002</v>
      </c>
      <c r="T5620">
        <v>-0.23006589999999999</v>
      </c>
      <c r="U5620">
        <v>-0.21823119999999999</v>
      </c>
      <c r="V5620">
        <v>3.6258470000000001E-2</v>
      </c>
      <c r="W5620">
        <v>-5.0022290000000004E-3</v>
      </c>
      <c r="X5620">
        <v>0.99932989999999999</v>
      </c>
      <c r="Y5620">
        <v>-0.2128738</v>
      </c>
      <c r="Z5620">
        <v>2.8619619999999998E-2</v>
      </c>
      <c r="AA5620">
        <v>0.97666050000000004</v>
      </c>
      <c r="AB5620">
        <v>20</v>
      </c>
      <c r="AC5620">
        <v>14.8772</v>
      </c>
      <c r="AD5620">
        <v>-1.114772641936</v>
      </c>
      <c r="AE5620">
        <v>-1.0345899999999999</v>
      </c>
      <c r="AF5620">
        <v>-3.1927186259545199</v>
      </c>
      <c r="AG5620">
        <v>-1.114772641936</v>
      </c>
      <c r="AH5620">
        <v>14.482515174095299</v>
      </c>
      <c r="AI5620">
        <v>94.298769005515197</v>
      </c>
      <c r="AJ5620">
        <v>102.432190697229</v>
      </c>
      <c r="AK5620">
        <v>14.872101937373399</v>
      </c>
      <c r="AL5620">
        <v>90.286607812585899</v>
      </c>
      <c r="AM5620">
        <v>87.922061167415393</v>
      </c>
      <c r="AN5620">
        <v>0.999999973987859</v>
      </c>
    </row>
    <row r="5621" spans="1:40" x14ac:dyDescent="0.25">
      <c r="A5621" t="str">
        <f>"20190312154948196"</f>
        <v>20190312154948196</v>
      </c>
      <c r="B5621" t="str">
        <f>"1552376988191147"</f>
        <v>1552376988191147</v>
      </c>
      <c r="C5621" t="s">
        <v>40</v>
      </c>
      <c r="D5621">
        <v>4.6965370000000002</v>
      </c>
      <c r="E5621">
        <v>0.4032772</v>
      </c>
      <c r="F5621" t="s">
        <v>67</v>
      </c>
      <c r="G5621">
        <v>-382.54199999999997</v>
      </c>
      <c r="H5621" s="1">
        <v>-3.7647140000000001E-6</v>
      </c>
      <c r="I5621">
        <v>18.269870000000001</v>
      </c>
      <c r="J5621">
        <v>-397.58730000000003</v>
      </c>
      <c r="K5621">
        <v>1.1147819999999999</v>
      </c>
      <c r="L5621">
        <v>19.260380000000001</v>
      </c>
      <c r="M5621">
        <v>0.96040210000000004</v>
      </c>
      <c r="N5621">
        <v>0</v>
      </c>
      <c r="O5621">
        <v>-0.2782597</v>
      </c>
      <c r="P5621">
        <v>0.94968419999999998</v>
      </c>
      <c r="Q5621">
        <v>-1.9287780000000001E-2</v>
      </c>
      <c r="R5621">
        <v>-0.31261519999999998</v>
      </c>
      <c r="S5621">
        <v>3.089874</v>
      </c>
      <c r="T5621">
        <v>-0.22744320000000001</v>
      </c>
      <c r="U5621">
        <v>-0.20697019999999999</v>
      </c>
      <c r="V5621">
        <v>3.6038399999999998E-2</v>
      </c>
      <c r="W5621">
        <v>-4.7577110000000004E-3</v>
      </c>
      <c r="X5621">
        <v>0.99933910000000004</v>
      </c>
      <c r="Y5621">
        <v>-0.2121719</v>
      </c>
      <c r="Z5621">
        <v>2.797032E-2</v>
      </c>
      <c r="AA5621">
        <v>0.97683200000000003</v>
      </c>
      <c r="AB5621">
        <v>20</v>
      </c>
      <c r="AC5621">
        <v>15.045299999999999</v>
      </c>
      <c r="AD5621">
        <v>-1.11478576471399</v>
      </c>
      <c r="AE5621">
        <v>-0.990509999999996</v>
      </c>
      <c r="AF5621">
        <v>-3.2179446605783202</v>
      </c>
      <c r="AG5621">
        <v>-1.11478576471399</v>
      </c>
      <c r="AH5621">
        <v>14.646560425733</v>
      </c>
      <c r="AI5621">
        <v>94.251513013600999</v>
      </c>
      <c r="AJ5621">
        <v>102.39137805753499</v>
      </c>
      <c r="AK5621">
        <v>15.037275266629999</v>
      </c>
      <c r="AL5621">
        <v>90.272597783562702</v>
      </c>
      <c r="AM5621">
        <v>87.934681213782795</v>
      </c>
      <c r="AN5621">
        <v>1.00000001943866</v>
      </c>
    </row>
    <row r="5622" spans="1:40" x14ac:dyDescent="0.25">
      <c r="A5622" t="str">
        <f>"20190312154948207"</f>
        <v>20190312154948207</v>
      </c>
      <c r="B5622" t="str">
        <f>"1552376988201883"</f>
        <v>1552376988201883</v>
      </c>
      <c r="C5622" t="s">
        <v>40</v>
      </c>
      <c r="D5622">
        <v>4.6039620000000001</v>
      </c>
      <c r="E5622">
        <v>0.40344069999999999</v>
      </c>
      <c r="F5622" t="s">
        <v>67</v>
      </c>
      <c r="G5622">
        <v>-382.31439999999998</v>
      </c>
      <c r="H5622" s="1">
        <v>-3.866418E-6</v>
      </c>
      <c r="I5622">
        <v>18.3032</v>
      </c>
      <c r="J5622">
        <v>-397.48759999999999</v>
      </c>
      <c r="K5622">
        <v>1.1147910000000001</v>
      </c>
      <c r="L5622">
        <v>19.236599999999999</v>
      </c>
      <c r="M5622">
        <v>0.9616249</v>
      </c>
      <c r="N5622">
        <v>0</v>
      </c>
      <c r="O5622">
        <v>-0.27400350000000001</v>
      </c>
      <c r="P5622">
        <v>0.95101769999999997</v>
      </c>
      <c r="Q5622">
        <v>-1.9254050000000002E-2</v>
      </c>
      <c r="R5622">
        <v>-0.3085369</v>
      </c>
      <c r="S5622">
        <v>3.0906370000000001</v>
      </c>
      <c r="T5622">
        <v>-0.22558880000000001</v>
      </c>
      <c r="U5622">
        <v>-0.19369510000000001</v>
      </c>
      <c r="V5622">
        <v>3.6175039999999999E-2</v>
      </c>
      <c r="W5622">
        <v>-4.7166450000000002E-3</v>
      </c>
      <c r="X5622">
        <v>0.99933430000000001</v>
      </c>
      <c r="Y5622">
        <v>-0.21207139999999999</v>
      </c>
      <c r="Z5622">
        <v>2.744007E-2</v>
      </c>
      <c r="AA5622">
        <v>0.97686890000000004</v>
      </c>
      <c r="AB5622">
        <v>20</v>
      </c>
      <c r="AC5622">
        <v>15.1732</v>
      </c>
      <c r="AD5622">
        <v>-1.1147948664180001</v>
      </c>
      <c r="AE5622">
        <v>-0.93339999999999801</v>
      </c>
      <c r="AF5622">
        <v>-3.2428158345303899</v>
      </c>
      <c r="AG5622">
        <v>-1.1147948664180001</v>
      </c>
      <c r="AH5622">
        <v>14.7687423602596</v>
      </c>
      <c r="AI5622">
        <v>94.216619492314095</v>
      </c>
      <c r="AJ5622">
        <v>102.38407603571</v>
      </c>
      <c r="AK5622">
        <v>15.1616085239858</v>
      </c>
      <c r="AL5622">
        <v>90.270244864327296</v>
      </c>
      <c r="AM5622">
        <v>87.926847405342798</v>
      </c>
      <c r="AN5622">
        <v>0.99999996170777306</v>
      </c>
    </row>
    <row r="5623" spans="1:40" x14ac:dyDescent="0.25">
      <c r="A5623" t="str">
        <f>"20190312154948218"</f>
        <v>20190312154948218</v>
      </c>
      <c r="B5623" t="str">
        <f>"1552376988211644"</f>
        <v>1552376988211644</v>
      </c>
      <c r="C5623" t="s">
        <v>40</v>
      </c>
      <c r="D5623">
        <v>4.850492</v>
      </c>
      <c r="E5623">
        <v>0.40363070000000001</v>
      </c>
      <c r="F5623" t="s">
        <v>67</v>
      </c>
      <c r="G5623">
        <v>-382.19240000000002</v>
      </c>
      <c r="H5623" s="1">
        <v>-3.918009E-6</v>
      </c>
      <c r="I5623">
        <v>18.337489999999999</v>
      </c>
      <c r="J5623">
        <v>-397.39389999999997</v>
      </c>
      <c r="K5623">
        <v>1.114795</v>
      </c>
      <c r="L5623">
        <v>19.214839999999999</v>
      </c>
      <c r="M5623">
        <v>0.96275949999999999</v>
      </c>
      <c r="N5623">
        <v>0</v>
      </c>
      <c r="O5623">
        <v>-0.26999010000000001</v>
      </c>
      <c r="P5623">
        <v>0.95230440000000005</v>
      </c>
      <c r="Q5623">
        <v>-1.9184340000000001E-2</v>
      </c>
      <c r="R5623">
        <v>-0.30454639999999999</v>
      </c>
      <c r="S5623">
        <v>3.0910030000000002</v>
      </c>
      <c r="T5623">
        <v>-0.2252884</v>
      </c>
      <c r="U5623">
        <v>-0.18170169999999999</v>
      </c>
      <c r="V5623">
        <v>3.6152120000000003E-2</v>
      </c>
      <c r="W5623">
        <v>-4.6427079999999997E-3</v>
      </c>
      <c r="X5623">
        <v>0.99933550000000004</v>
      </c>
      <c r="Y5623">
        <v>-0.2117936</v>
      </c>
      <c r="Z5623">
        <v>2.7114010000000001E-2</v>
      </c>
      <c r="AA5623">
        <v>0.97693819999999998</v>
      </c>
      <c r="AB5623">
        <v>20</v>
      </c>
      <c r="AC5623">
        <v>15.2014999999999</v>
      </c>
      <c r="AD5623">
        <v>-1.1147989180090001</v>
      </c>
      <c r="AE5623">
        <v>-0.87734999999999896</v>
      </c>
      <c r="AF5623">
        <v>-3.2425222682036798</v>
      </c>
      <c r="AG5623">
        <v>-1.1147989180090001</v>
      </c>
      <c r="AH5623">
        <v>14.7944477370895</v>
      </c>
      <c r="AI5623">
        <v>94.209687048134697</v>
      </c>
      <c r="AJ5623">
        <v>102.362136139645</v>
      </c>
      <c r="AK5623">
        <v>15.1865865530363</v>
      </c>
      <c r="AL5623">
        <v>90.266008533255203</v>
      </c>
      <c r="AM5623">
        <v>87.928162266477003</v>
      </c>
      <c r="AN5623">
        <v>0.99999998603915796</v>
      </c>
    </row>
    <row r="5624" spans="1:40" x14ac:dyDescent="0.25">
      <c r="A5624" t="str">
        <f>"20190312154948229"</f>
        <v>20190312154948229</v>
      </c>
      <c r="B5624" t="str">
        <f>"1552376988221912"</f>
        <v>1552376988221912</v>
      </c>
      <c r="C5624" t="s">
        <v>40</v>
      </c>
      <c r="D5624">
        <v>4.7381399999999996</v>
      </c>
      <c r="E5624">
        <v>0.40381529999999999</v>
      </c>
      <c r="F5624" t="s">
        <v>67</v>
      </c>
      <c r="G5624">
        <v>-381.99020000000002</v>
      </c>
      <c r="H5624" s="1">
        <v>-4.008508E-6</v>
      </c>
      <c r="I5624">
        <v>18.366</v>
      </c>
      <c r="J5624">
        <v>-397.29930000000002</v>
      </c>
      <c r="K5624">
        <v>1.114797</v>
      </c>
      <c r="L5624">
        <v>19.193180000000002</v>
      </c>
      <c r="M5624">
        <v>0.96388779999999996</v>
      </c>
      <c r="N5624">
        <v>0</v>
      </c>
      <c r="O5624">
        <v>-0.2659337</v>
      </c>
      <c r="P5624">
        <v>0.95359490000000002</v>
      </c>
      <c r="Q5624">
        <v>-1.9730729999999998E-2</v>
      </c>
      <c r="R5624">
        <v>-0.30044539999999997</v>
      </c>
      <c r="S5624">
        <v>3.091278</v>
      </c>
      <c r="T5624">
        <v>-0.2237227</v>
      </c>
      <c r="U5624">
        <v>-0.1703491</v>
      </c>
      <c r="V5624">
        <v>3.6068919999999997E-2</v>
      </c>
      <c r="W5624">
        <v>-5.1863380000000004E-3</v>
      </c>
      <c r="X5624">
        <v>0.9993358</v>
      </c>
      <c r="Y5624">
        <v>-0.211289</v>
      </c>
      <c r="Z5624">
        <v>2.6627140000000001E-2</v>
      </c>
      <c r="AA5624">
        <v>0.97706090000000001</v>
      </c>
      <c r="AB5624">
        <v>20</v>
      </c>
      <c r="AC5624">
        <v>15.309100000000001</v>
      </c>
      <c r="AD5624">
        <v>-1.114801008508</v>
      </c>
      <c r="AE5624">
        <v>-0.82717999999999803</v>
      </c>
      <c r="AF5624">
        <v>-3.25700307199009</v>
      </c>
      <c r="AG5624">
        <v>-1.114801008508</v>
      </c>
      <c r="AH5624">
        <v>14.898950049659501</v>
      </c>
      <c r="AI5624">
        <v>94.1807647803967</v>
      </c>
      <c r="AJ5624">
        <v>102.331224959222</v>
      </c>
      <c r="AK5624">
        <v>15.291486614511101</v>
      </c>
      <c r="AL5624">
        <v>90.297156624625401</v>
      </c>
      <c r="AM5624">
        <v>87.932926844788298</v>
      </c>
      <c r="AN5624">
        <v>0.99999995312672696</v>
      </c>
    </row>
    <row r="5625" spans="1:40" x14ac:dyDescent="0.25">
      <c r="A5625" t="str">
        <f>"20190312154948240"</f>
        <v>20190312154948240</v>
      </c>
      <c r="B5625" t="str">
        <f>"1552376988231672"</f>
        <v>1552376988231672</v>
      </c>
      <c r="C5625" t="s">
        <v>40</v>
      </c>
      <c r="D5625">
        <v>4.898854</v>
      </c>
      <c r="E5625">
        <v>0.40400960000000002</v>
      </c>
      <c r="F5625" t="s">
        <v>67</v>
      </c>
      <c r="G5625">
        <v>-381.98200000000003</v>
      </c>
      <c r="H5625" s="1">
        <v>-4.0049390000000004E-6</v>
      </c>
      <c r="I5625">
        <v>18.408110000000001</v>
      </c>
      <c r="J5625">
        <v>-397.20319999999998</v>
      </c>
      <c r="K5625">
        <v>1.1147929999999999</v>
      </c>
      <c r="L5625">
        <v>19.171720000000001</v>
      </c>
      <c r="M5625">
        <v>0.96501709999999996</v>
      </c>
      <c r="N5625">
        <v>0</v>
      </c>
      <c r="O5625">
        <v>-0.26180629999999999</v>
      </c>
      <c r="P5625">
        <v>0.95492489999999997</v>
      </c>
      <c r="Q5625">
        <v>-1.997061E-2</v>
      </c>
      <c r="R5625">
        <v>-0.29617589999999999</v>
      </c>
      <c r="S5625">
        <v>3.091431</v>
      </c>
      <c r="T5625">
        <v>-0.2249951</v>
      </c>
      <c r="U5625">
        <v>-0.15844730000000001</v>
      </c>
      <c r="V5625">
        <v>3.5878390000000003E-2</v>
      </c>
      <c r="W5625">
        <v>-5.4255099999999997E-3</v>
      </c>
      <c r="X5625">
        <v>0.99934140000000005</v>
      </c>
      <c r="Y5625">
        <v>-0.21085789999999999</v>
      </c>
      <c r="Z5625">
        <v>2.647588E-2</v>
      </c>
      <c r="AA5625">
        <v>0.97715810000000003</v>
      </c>
      <c r="AB5625">
        <v>20</v>
      </c>
      <c r="AC5625">
        <v>15.2212</v>
      </c>
      <c r="AD5625">
        <v>-1.1147970049389999</v>
      </c>
      <c r="AE5625">
        <v>-0.76360999999999901</v>
      </c>
      <c r="AF5625">
        <v>-3.2311447750567099</v>
      </c>
      <c r="AG5625">
        <v>-1.1147970049389999</v>
      </c>
      <c r="AH5625">
        <v>14.810874239469699</v>
      </c>
      <c r="AI5625">
        <v>94.205912049634307</v>
      </c>
      <c r="AJ5625">
        <v>102.3068389629</v>
      </c>
      <c r="AK5625">
        <v>15.2001665996457</v>
      </c>
      <c r="AL5625">
        <v>90.310860360877399</v>
      </c>
      <c r="AM5625">
        <v>87.943848040404802</v>
      </c>
      <c r="AN5625">
        <v>0.99999996439085503</v>
      </c>
    </row>
    <row r="5626" spans="1:40" x14ac:dyDescent="0.25">
      <c r="A5626" t="str">
        <f>"20190312154948254"</f>
        <v>20190312154948254</v>
      </c>
      <c r="B5626" t="str">
        <f>"1552376988241431"</f>
        <v>1552376988241431</v>
      </c>
      <c r="C5626" t="s">
        <v>40</v>
      </c>
      <c r="D5626">
        <v>4.7494639999999997</v>
      </c>
      <c r="E5626">
        <v>0.40422140000000001</v>
      </c>
      <c r="F5626" t="s">
        <v>67</v>
      </c>
      <c r="G5626">
        <v>-381.80720000000002</v>
      </c>
      <c r="H5626" s="1">
        <v>-4.0812559999999998E-6</v>
      </c>
      <c r="I5626">
        <v>18.4436</v>
      </c>
      <c r="J5626">
        <v>-397.09429999999998</v>
      </c>
      <c r="K5626">
        <v>1.1147849999999999</v>
      </c>
      <c r="L5626">
        <v>19.14789</v>
      </c>
      <c r="M5626">
        <v>0.96627649999999998</v>
      </c>
      <c r="N5626">
        <v>0</v>
      </c>
      <c r="O5626">
        <v>-0.25711780000000001</v>
      </c>
      <c r="P5626">
        <v>0.95635650000000005</v>
      </c>
      <c r="Q5626">
        <v>-1.996914E-2</v>
      </c>
      <c r="R5626">
        <v>-0.29151939999999998</v>
      </c>
      <c r="S5626">
        <v>3.091583</v>
      </c>
      <c r="T5626">
        <v>-0.22385540000000001</v>
      </c>
      <c r="U5626">
        <v>-0.1462097</v>
      </c>
      <c r="V5626">
        <v>3.5860959999999997E-2</v>
      </c>
      <c r="W5626">
        <v>-5.4221740000000001E-3</v>
      </c>
      <c r="X5626">
        <v>0.99934210000000001</v>
      </c>
      <c r="Y5626">
        <v>-0.20999989999999999</v>
      </c>
      <c r="Z5626">
        <v>2.598603E-2</v>
      </c>
      <c r="AA5626">
        <v>0.977356</v>
      </c>
      <c r="AB5626">
        <v>20</v>
      </c>
      <c r="AC5626">
        <v>15.287099999999899</v>
      </c>
      <c r="AD5626">
        <v>-1.114789081256</v>
      </c>
      <c r="AE5626">
        <v>-0.70428999999999997</v>
      </c>
      <c r="AF5626">
        <v>-3.2332146628889702</v>
      </c>
      <c r="AG5626">
        <v>-1.114789081256</v>
      </c>
      <c r="AH5626">
        <v>14.8752112463175</v>
      </c>
      <c r="AI5626">
        <v>94.188454112017695</v>
      </c>
      <c r="AJ5626">
        <v>102.26283575807901</v>
      </c>
      <c r="AK5626">
        <v>15.2633004744904</v>
      </c>
      <c r="AL5626">
        <v>90.310669201867398</v>
      </c>
      <c r="AM5626">
        <v>87.944847516514599</v>
      </c>
      <c r="AN5626">
        <v>1.0000000206277</v>
      </c>
    </row>
    <row r="5627" spans="1:40" x14ac:dyDescent="0.25">
      <c r="A5627" t="str">
        <f>"20190312154948266"</f>
        <v>20190312154948266</v>
      </c>
      <c r="B5627" t="str">
        <f>"1552376988261928"</f>
        <v>1552376988261928</v>
      </c>
      <c r="C5627" t="s">
        <v>40</v>
      </c>
      <c r="D5627">
        <v>4.7324010000000003</v>
      </c>
      <c r="E5627">
        <v>0.404227</v>
      </c>
      <c r="F5627" t="s">
        <v>67</v>
      </c>
      <c r="G5627">
        <v>-381.60849999999999</v>
      </c>
      <c r="H5627" s="1">
        <v>-4.168284E-6</v>
      </c>
      <c r="I5627">
        <v>18.482510000000001</v>
      </c>
      <c r="J5627">
        <v>-396.9855</v>
      </c>
      <c r="K5627">
        <v>1.114776</v>
      </c>
      <c r="L5627">
        <v>19.124479999999998</v>
      </c>
      <c r="M5627">
        <v>0.96751189999999998</v>
      </c>
      <c r="N5627">
        <v>0</v>
      </c>
      <c r="O5627">
        <v>-0.25242979999999998</v>
      </c>
      <c r="P5627">
        <v>0.95786819999999895</v>
      </c>
      <c r="Q5627">
        <v>-2.0274549999999999E-2</v>
      </c>
      <c r="R5627">
        <v>-0.28649229999999998</v>
      </c>
      <c r="S5627">
        <v>3.091736</v>
      </c>
      <c r="T5627">
        <v>-0.22256719999999999</v>
      </c>
      <c r="U5627">
        <v>-0.13284299999999999</v>
      </c>
      <c r="V5627">
        <v>3.5462380000000002E-2</v>
      </c>
      <c r="W5627">
        <v>-5.7307069999999998E-3</v>
      </c>
      <c r="X5627">
        <v>0.99935459999999998</v>
      </c>
      <c r="Y5627">
        <v>-0.2095061</v>
      </c>
      <c r="Z5627">
        <v>2.54956E-2</v>
      </c>
      <c r="AA5627">
        <v>0.97747490000000004</v>
      </c>
      <c r="AB5627">
        <v>20</v>
      </c>
      <c r="AC5627">
        <v>15.377000000000001</v>
      </c>
      <c r="AD5627">
        <v>-1.114780168284</v>
      </c>
      <c r="AE5627">
        <v>-0.64196999999999704</v>
      </c>
      <c r="AF5627">
        <v>-3.24380639429627</v>
      </c>
      <c r="AG5627">
        <v>-1.114780168284</v>
      </c>
      <c r="AH5627">
        <v>14.9624840654596</v>
      </c>
      <c r="AI5627">
        <v>94.164558467795004</v>
      </c>
      <c r="AJ5627">
        <v>102.232199367007</v>
      </c>
      <c r="AK5627">
        <v>15.350600775097</v>
      </c>
      <c r="AL5627">
        <v>90.328347115722195</v>
      </c>
      <c r="AM5627">
        <v>87.967695838154796</v>
      </c>
      <c r="AN5627">
        <v>1.0000000189695699</v>
      </c>
    </row>
    <row r="5628" spans="1:40" x14ac:dyDescent="0.25">
      <c r="A5628" t="str">
        <f>"20190312154948279"</f>
        <v>20190312154948279</v>
      </c>
      <c r="B5628" t="str">
        <f>"1552376988271687"</f>
        <v>1552376988271687</v>
      </c>
      <c r="C5628" t="s">
        <v>40</v>
      </c>
      <c r="D5628">
        <v>4.7103580000000003</v>
      </c>
      <c r="E5628">
        <v>0.40785860000000002</v>
      </c>
      <c r="F5628" t="s">
        <v>67</v>
      </c>
      <c r="G5628">
        <v>-381.32920000000001</v>
      </c>
      <c r="H5628" s="1">
        <v>-4.291343E-6</v>
      </c>
      <c r="I5628">
        <v>18.53303</v>
      </c>
      <c r="J5628">
        <v>-396.87299999999999</v>
      </c>
      <c r="K5628">
        <v>1.1147609999999999</v>
      </c>
      <c r="L5628">
        <v>19.101140000000001</v>
      </c>
      <c r="M5628">
        <v>0.9687635</v>
      </c>
      <c r="N5628">
        <v>0</v>
      </c>
      <c r="O5628">
        <v>-0.247583</v>
      </c>
      <c r="P5628">
        <v>0.95942349999999998</v>
      </c>
      <c r="Q5628">
        <v>-2.015488E-2</v>
      </c>
      <c r="R5628">
        <v>-0.28124870000000002</v>
      </c>
      <c r="S5628">
        <v>3.092346</v>
      </c>
      <c r="T5628">
        <v>-0.22018579999999999</v>
      </c>
      <c r="U5628">
        <v>-0.1168213</v>
      </c>
      <c r="V5628">
        <v>3.4996890000000003E-2</v>
      </c>
      <c r="W5628">
        <v>-5.6163469999999998E-3</v>
      </c>
      <c r="X5628">
        <v>0.99937160000000003</v>
      </c>
      <c r="Y5628">
        <v>-0.2097126</v>
      </c>
      <c r="Z5628">
        <v>2.4896169999999999E-2</v>
      </c>
      <c r="AA5628">
        <v>0.97744609999999998</v>
      </c>
      <c r="AB5628">
        <v>20</v>
      </c>
      <c r="AC5628">
        <v>15.543799999999999</v>
      </c>
      <c r="AD5628">
        <v>-1.114765291343</v>
      </c>
      <c r="AE5628">
        <v>-0.56811</v>
      </c>
      <c r="AF5628">
        <v>-3.2814905671866499</v>
      </c>
      <c r="AG5628">
        <v>-1.114765291343</v>
      </c>
      <c r="AH5628">
        <v>15.1227610936714</v>
      </c>
      <c r="AI5628">
        <v>94.120353683688606</v>
      </c>
      <c r="AJ5628">
        <v>102.24282599</v>
      </c>
      <c r="AK5628">
        <v>15.5147924605384</v>
      </c>
      <c r="AL5628">
        <v>90.321794683926697</v>
      </c>
      <c r="AM5628">
        <v>87.994384639396699</v>
      </c>
      <c r="AN5628">
        <v>0.99999996027492699</v>
      </c>
    </row>
    <row r="5629" spans="1:40" x14ac:dyDescent="0.25">
      <c r="A5629" t="str">
        <f>"20190312154948291"</f>
        <v>20190312154948291</v>
      </c>
      <c r="B5629" t="str">
        <f>"1552376988281447"</f>
        <v>1552376988281447</v>
      </c>
      <c r="C5629" t="s">
        <v>40</v>
      </c>
      <c r="D5629">
        <v>4.7450700000000001</v>
      </c>
      <c r="E5629">
        <v>0.40960600000000003</v>
      </c>
      <c r="F5629" t="s">
        <v>68</v>
      </c>
      <c r="G5629">
        <v>-362.00659999999999</v>
      </c>
      <c r="H5629" s="1">
        <v>-4.1412670000000002E-6</v>
      </c>
      <c r="I5629">
        <v>17.57395</v>
      </c>
      <c r="J5629">
        <v>-396.77</v>
      </c>
      <c r="K5629">
        <v>1.114741</v>
      </c>
      <c r="L5629">
        <v>19.080200000000001</v>
      </c>
      <c r="M5629">
        <v>0.96988609999999997</v>
      </c>
      <c r="N5629">
        <v>0</v>
      </c>
      <c r="O5629">
        <v>-0.24314769999999999</v>
      </c>
      <c r="P5629">
        <v>0.96083410000000002</v>
      </c>
      <c r="Q5629">
        <v>-1.9813830000000001E-2</v>
      </c>
      <c r="R5629">
        <v>-0.27641480000000002</v>
      </c>
      <c r="S5629">
        <v>3.0851440000000001</v>
      </c>
      <c r="T5629">
        <v>-9.8639610000000003E-2</v>
      </c>
      <c r="U5629">
        <v>-0.1351318</v>
      </c>
      <c r="V5629">
        <v>3.4532630000000002E-2</v>
      </c>
      <c r="W5629">
        <v>-5.2809650000000003E-3</v>
      </c>
      <c r="X5629">
        <v>0.99938959999999999</v>
      </c>
      <c r="Y5629">
        <v>-0.20027</v>
      </c>
      <c r="Z5629">
        <v>1.08988E-2</v>
      </c>
      <c r="AA5629">
        <v>0.97968010000000005</v>
      </c>
      <c r="AB5629">
        <v>20</v>
      </c>
      <c r="AC5629">
        <v>34.763399999999898</v>
      </c>
      <c r="AD5629">
        <v>-1.114745141267</v>
      </c>
      <c r="AE5629">
        <v>-1.5062500000000001</v>
      </c>
      <c r="AF5629">
        <v>-6.9852803301478197</v>
      </c>
      <c r="AG5629">
        <v>-1.114745141267</v>
      </c>
      <c r="AH5629">
        <v>34.051242779303699</v>
      </c>
      <c r="AI5629">
        <v>91.836814845007694</v>
      </c>
      <c r="AJ5629">
        <v>101.592837458871</v>
      </c>
      <c r="AK5629">
        <v>34.778210604282201</v>
      </c>
      <c r="AL5629">
        <v>90.302578418171393</v>
      </c>
      <c r="AM5629">
        <v>88.0210049491467</v>
      </c>
      <c r="AN5629">
        <v>0.99999998185710304</v>
      </c>
    </row>
    <row r="5630" spans="1:40" x14ac:dyDescent="0.25">
      <c r="A5630" t="str">
        <f>"20190312154948307"</f>
        <v>20190312154948307</v>
      </c>
      <c r="B5630" t="str">
        <f>"1552376988301943"</f>
        <v>1552376988301943</v>
      </c>
      <c r="C5630" t="s">
        <v>40</v>
      </c>
      <c r="D5630">
        <v>4.8105379999999904</v>
      </c>
      <c r="E5630">
        <v>0.41045530000000002</v>
      </c>
      <c r="F5630" t="s">
        <v>68</v>
      </c>
      <c r="G5630">
        <v>-368.48849999999999</v>
      </c>
      <c r="H5630" s="1">
        <v>-1.044917E-6</v>
      </c>
      <c r="I5630">
        <v>17.872339999999902</v>
      </c>
      <c r="J5630">
        <v>-396.6216</v>
      </c>
      <c r="K5630">
        <v>1.114719</v>
      </c>
      <c r="L5630">
        <v>19.050750000000001</v>
      </c>
      <c r="M5630">
        <v>0.97146770000000005</v>
      </c>
      <c r="N5630">
        <v>0</v>
      </c>
      <c r="O5630">
        <v>-0.2367503</v>
      </c>
      <c r="P5630">
        <v>0.96300609999999998</v>
      </c>
      <c r="Q5630">
        <v>-1.8802220000000001E-2</v>
      </c>
      <c r="R5630">
        <v>-0.2688236</v>
      </c>
      <c r="S5630">
        <v>3.081909</v>
      </c>
      <c r="T5630">
        <v>-0.1214761</v>
      </c>
      <c r="U5630">
        <v>-0.1316223</v>
      </c>
      <c r="V5630">
        <v>3.3215870000000002E-2</v>
      </c>
      <c r="W5630">
        <v>-4.2853079999999998E-3</v>
      </c>
      <c r="X5630">
        <v>0.99943899999999997</v>
      </c>
      <c r="Y5630">
        <v>-0.19477149999999999</v>
      </c>
      <c r="Z5630">
        <v>1.308107E-2</v>
      </c>
      <c r="AA5630">
        <v>0.98076140000000001</v>
      </c>
      <c r="AB5630">
        <v>20</v>
      </c>
      <c r="AC5630">
        <v>28.133099999999999</v>
      </c>
      <c r="AD5630">
        <v>-1.1147200449169901</v>
      </c>
      <c r="AE5630">
        <v>-1.17841</v>
      </c>
      <c r="AF5630">
        <v>-5.5076519210323198</v>
      </c>
      <c r="AG5630">
        <v>-1.1147200449169901</v>
      </c>
      <c r="AH5630">
        <v>27.568938403011298</v>
      </c>
      <c r="AI5630">
        <v>92.270611697434006</v>
      </c>
      <c r="AJ5630">
        <v>101.297670619332</v>
      </c>
      <c r="AK5630">
        <v>28.135799173487602</v>
      </c>
      <c r="AL5630">
        <v>90.2455308171631</v>
      </c>
      <c r="AM5630">
        <v>88.096503200073599</v>
      </c>
      <c r="AN5630">
        <v>0.999999986302755</v>
      </c>
    </row>
    <row r="5631" spans="1:40" x14ac:dyDescent="0.25">
      <c r="A5631" t="str">
        <f>"20190312154948319"</f>
        <v>20190312154948319</v>
      </c>
      <c r="B5631" t="str">
        <f>"1552376988311703"</f>
        <v>1552376988311703</v>
      </c>
      <c r="C5631" t="s">
        <v>40</v>
      </c>
      <c r="D5631">
        <v>4.8356399999999997</v>
      </c>
      <c r="E5631">
        <v>0.4095666</v>
      </c>
      <c r="F5631" t="s">
        <v>68</v>
      </c>
      <c r="G5631">
        <v>-368.79090000000002</v>
      </c>
      <c r="H5631" s="1">
        <v>-8.8844759999999896E-7</v>
      </c>
      <c r="I5631">
        <v>18.02393</v>
      </c>
      <c r="J5631">
        <v>-396.52019999999999</v>
      </c>
      <c r="K5631">
        <v>1.1147089999999999</v>
      </c>
      <c r="L5631">
        <v>19.03134</v>
      </c>
      <c r="M5631">
        <v>0.97252119999999997</v>
      </c>
      <c r="N5631">
        <v>0</v>
      </c>
      <c r="O5631">
        <v>-0.23238420000000001</v>
      </c>
      <c r="P5631">
        <v>0.96435029999999999</v>
      </c>
      <c r="Q5631">
        <v>-1.868821E-2</v>
      </c>
      <c r="R5631">
        <v>-0.2639688</v>
      </c>
      <c r="S5631">
        <v>3.0810849999999999</v>
      </c>
      <c r="T5631">
        <v>-0.12340859999999999</v>
      </c>
      <c r="U5631">
        <v>-0.113678</v>
      </c>
      <c r="V5631">
        <v>3.2668210000000003E-2</v>
      </c>
      <c r="W5631">
        <v>-4.1789949999999996E-3</v>
      </c>
      <c r="X5631">
        <v>0.9994575</v>
      </c>
      <c r="Y5631">
        <v>-0.1960489</v>
      </c>
      <c r="Z5631">
        <v>1.315067E-2</v>
      </c>
      <c r="AA5631">
        <v>0.98050590000000004</v>
      </c>
      <c r="AB5631">
        <v>20</v>
      </c>
      <c r="AC5631">
        <v>27.729299999999899</v>
      </c>
      <c r="AD5631">
        <v>-1.1147098884476001</v>
      </c>
      <c r="AE5631">
        <v>-1.0074099999999999</v>
      </c>
      <c r="AF5631">
        <v>-5.4558652316448599</v>
      </c>
      <c r="AG5631">
        <v>-1.1147098884476001</v>
      </c>
      <c r="AH5631">
        <v>27.160326487780299</v>
      </c>
      <c r="AI5631">
        <v>92.304227062181695</v>
      </c>
      <c r="AJ5631">
        <v>101.358200193464</v>
      </c>
      <c r="AK5631">
        <v>27.725302135127301</v>
      </c>
      <c r="AL5631">
        <v>90.239439476599799</v>
      </c>
      <c r="AM5631">
        <v>88.127899976080997</v>
      </c>
      <c r="AN5631">
        <v>0.99999998512503196</v>
      </c>
    </row>
    <row r="5632" spans="1:40" x14ac:dyDescent="0.25">
      <c r="A5632" t="str">
        <f>"20190312154948332"</f>
        <v>20190312154948332</v>
      </c>
      <c r="B5632" t="str">
        <f>"1552376988321969"</f>
        <v>1552376988321969</v>
      </c>
      <c r="C5632" t="s">
        <v>40</v>
      </c>
      <c r="D5632">
        <v>5.0011239999999999</v>
      </c>
      <c r="E5632">
        <v>0.4085915</v>
      </c>
      <c r="F5632" t="s">
        <v>69</v>
      </c>
      <c r="G5632">
        <v>-372.31740000000002</v>
      </c>
      <c r="H5632" s="1">
        <v>-3.8413949999999998E-6</v>
      </c>
      <c r="I5632">
        <v>18.323509999999999</v>
      </c>
      <c r="J5632">
        <v>-396.41289999999998</v>
      </c>
      <c r="K5632">
        <v>1.114692</v>
      </c>
      <c r="L5632">
        <v>19.01126</v>
      </c>
      <c r="M5632">
        <v>0.97361209999999998</v>
      </c>
      <c r="N5632">
        <v>0</v>
      </c>
      <c r="O5632">
        <v>-0.2277709</v>
      </c>
      <c r="P5632">
        <v>0.96564910000000004</v>
      </c>
      <c r="Q5632">
        <v>-1.8696529999999999E-2</v>
      </c>
      <c r="R5632">
        <v>-0.25917620000000002</v>
      </c>
      <c r="S5632">
        <v>3.083466</v>
      </c>
      <c r="T5632">
        <v>-0.14201620000000001</v>
      </c>
      <c r="U5632">
        <v>-9.017944E-2</v>
      </c>
      <c r="V5632">
        <v>3.2443270000000003E-2</v>
      </c>
      <c r="W5632">
        <v>-4.1918119999999996E-3</v>
      </c>
      <c r="X5632">
        <v>0.99946480000000004</v>
      </c>
      <c r="Y5632">
        <v>-0.1987834</v>
      </c>
      <c r="Z5632">
        <v>1.497952E-2</v>
      </c>
      <c r="AA5632">
        <v>0.97992900000000005</v>
      </c>
      <c r="AB5632">
        <v>20</v>
      </c>
      <c r="AC5632">
        <v>24.095499999999902</v>
      </c>
      <c r="AD5632">
        <v>-1.1146958413950001</v>
      </c>
      <c r="AE5632">
        <v>-0.68775000000000097</v>
      </c>
      <c r="AF5632">
        <v>-4.8088504809388297</v>
      </c>
      <c r="AG5632">
        <v>-1.1146958413950001</v>
      </c>
      <c r="AH5632">
        <v>23.568282334837299</v>
      </c>
      <c r="AI5632">
        <v>92.653281543324198</v>
      </c>
      <c r="AJ5632">
        <v>101.532279648819</v>
      </c>
      <c r="AK5632">
        <v>24.079691069061798</v>
      </c>
      <c r="AL5632">
        <v>90.240173836654904</v>
      </c>
      <c r="AM5632">
        <v>88.140794986741994</v>
      </c>
      <c r="AN5632">
        <v>1.00000001174758</v>
      </c>
    </row>
    <row r="5633" spans="1:40" x14ac:dyDescent="0.25">
      <c r="A5633" t="str">
        <f>"20190312154948342"</f>
        <v>20190312154948342</v>
      </c>
      <c r="B5633" t="str">
        <f>"1552376988331729"</f>
        <v>1552376988331729</v>
      </c>
      <c r="C5633" t="s">
        <v>40</v>
      </c>
      <c r="D5633">
        <v>4.8156239999999997</v>
      </c>
      <c r="E5633">
        <v>0.4070106</v>
      </c>
      <c r="F5633" t="s">
        <v>69</v>
      </c>
      <c r="G5633">
        <v>-374.19380000000001</v>
      </c>
      <c r="H5633" s="1">
        <v>-2.9174510000000001E-6</v>
      </c>
      <c r="I5633">
        <v>18.53201</v>
      </c>
      <c r="J5633">
        <v>-396.3177</v>
      </c>
      <c r="K5633">
        <v>1.114679</v>
      </c>
      <c r="L5633">
        <v>18.993770000000001</v>
      </c>
      <c r="M5633">
        <v>0.97456109999999896</v>
      </c>
      <c r="N5633">
        <v>0</v>
      </c>
      <c r="O5633">
        <v>-0.22367529999999999</v>
      </c>
      <c r="P5633">
        <v>0.96675909999999998</v>
      </c>
      <c r="Q5633">
        <v>-1.919556E-2</v>
      </c>
      <c r="R5633">
        <v>-0.25496770000000002</v>
      </c>
      <c r="S5633">
        <v>3.0858460000000001</v>
      </c>
      <c r="T5633">
        <v>-0.15481149999999999</v>
      </c>
      <c r="U5633">
        <v>-6.6558839999999994E-2</v>
      </c>
      <c r="V5633">
        <v>3.2299710000000002E-2</v>
      </c>
      <c r="W5633">
        <v>-4.6944220000000002E-3</v>
      </c>
      <c r="X5633">
        <v>0.9994672</v>
      </c>
      <c r="Y5633">
        <v>-0.202097</v>
      </c>
      <c r="Z5633">
        <v>1.6201070000000001E-2</v>
      </c>
      <c r="AA5633">
        <v>0.97923150000000003</v>
      </c>
      <c r="AB5633">
        <v>20</v>
      </c>
      <c r="AC5633">
        <v>22.1238999999999</v>
      </c>
      <c r="AD5633">
        <v>-1.1146819174510001</v>
      </c>
      <c r="AE5633">
        <v>-0.461760000000001</v>
      </c>
      <c r="AF5633">
        <v>-4.4876197117790504</v>
      </c>
      <c r="AG5633">
        <v>-1.1146819174510001</v>
      </c>
      <c r="AH5633">
        <v>21.611706033218798</v>
      </c>
      <c r="AI5633">
        <v>92.891006889962398</v>
      </c>
      <c r="AJ5633">
        <v>101.730630588355</v>
      </c>
      <c r="AK5633">
        <v>22.1008389913348</v>
      </c>
      <c r="AL5633">
        <v>90.268971556750401</v>
      </c>
      <c r="AM5633">
        <v>88.149020590759307</v>
      </c>
      <c r="AN5633">
        <v>0.99999999636991899</v>
      </c>
    </row>
    <row r="5634" spans="1:40" x14ac:dyDescent="0.25">
      <c r="A5634" t="str">
        <f>"20190312154948353"</f>
        <v>20190312154948353</v>
      </c>
      <c r="B5634" t="str">
        <f>"1552376988341489"</f>
        <v>1552376988341489</v>
      </c>
      <c r="C5634" t="s">
        <v>40</v>
      </c>
      <c r="D5634">
        <v>4.8416499999999996</v>
      </c>
      <c r="E5634">
        <v>0.40624549999999998</v>
      </c>
      <c r="F5634" t="s">
        <v>69</v>
      </c>
      <c r="G5634">
        <v>-375.6728</v>
      </c>
      <c r="H5634" s="1">
        <v>-2.1840219999999999E-6</v>
      </c>
      <c r="I5634">
        <v>18.725390000000001</v>
      </c>
      <c r="J5634">
        <v>-396.23250000000002</v>
      </c>
      <c r="K5634">
        <v>1.114662</v>
      </c>
      <c r="L5634">
        <v>18.978639999999999</v>
      </c>
      <c r="M5634">
        <v>0.97539370000000003</v>
      </c>
      <c r="N5634">
        <v>0</v>
      </c>
      <c r="O5634">
        <v>-0.22001709999999999</v>
      </c>
      <c r="P5634">
        <v>0.96767179999999997</v>
      </c>
      <c r="Q5634">
        <v>-1.9302550000000002E-2</v>
      </c>
      <c r="R5634">
        <v>-0.2514729</v>
      </c>
      <c r="S5634">
        <v>3.0892940000000002</v>
      </c>
      <c r="T5634">
        <v>-0.16680049999999999</v>
      </c>
      <c r="U5634">
        <v>-4.0161130000000003E-2</v>
      </c>
      <c r="V5634">
        <v>3.244031E-2</v>
      </c>
      <c r="W5634">
        <v>-4.8018619999999996E-3</v>
      </c>
      <c r="X5634">
        <v>0.99946210000000002</v>
      </c>
      <c r="Y5634">
        <v>-0.20672299999999999</v>
      </c>
      <c r="Z5634">
        <v>1.7370010000000002E-2</v>
      </c>
      <c r="AA5634">
        <v>0.97824529999999998</v>
      </c>
      <c r="AB5634">
        <v>20</v>
      </c>
      <c r="AC5634">
        <v>20.559699999999999</v>
      </c>
      <c r="AD5634">
        <v>-1.114664184022</v>
      </c>
      <c r="AE5634">
        <v>-0.25324999999999698</v>
      </c>
      <c r="AF5634">
        <v>-4.2643613412701402</v>
      </c>
      <c r="AG5634">
        <v>-1.114664184022</v>
      </c>
      <c r="AH5634">
        <v>20.052595377788698</v>
      </c>
      <c r="AI5634">
        <v>93.112175204417397</v>
      </c>
      <c r="AJ5634">
        <v>102.00560577897301</v>
      </c>
      <c r="AK5634">
        <v>20.5312891771894</v>
      </c>
      <c r="AL5634">
        <v>90.275127494597996</v>
      </c>
      <c r="AM5634">
        <v>88.140959475899294</v>
      </c>
      <c r="AN5634">
        <v>0.99999996046398498</v>
      </c>
    </row>
    <row r="5635" spans="1:40" x14ac:dyDescent="0.25">
      <c r="A5635" t="str">
        <f>"20190312154948363"</f>
        <v>20190312154948363</v>
      </c>
      <c r="B5635" t="str">
        <f>"1552376988351249"</f>
        <v>1552376988351249</v>
      </c>
      <c r="C5635" t="s">
        <v>40</v>
      </c>
      <c r="D5635">
        <v>4.8022489999999998</v>
      </c>
      <c r="E5635">
        <v>0.40576060000000003</v>
      </c>
      <c r="F5635" t="s">
        <v>69</v>
      </c>
      <c r="G5635">
        <v>-376.96899999999999</v>
      </c>
      <c r="H5635" s="1">
        <v>-1.5509630000000001E-6</v>
      </c>
      <c r="I5635">
        <v>18.839980000000001</v>
      </c>
      <c r="J5635">
        <v>-396.1361</v>
      </c>
      <c r="K5635">
        <v>1.1146469999999999</v>
      </c>
      <c r="L5635">
        <v>18.9617</v>
      </c>
      <c r="M5635">
        <v>0.97631789999999996</v>
      </c>
      <c r="N5635">
        <v>0</v>
      </c>
      <c r="O5635">
        <v>-0.2158785</v>
      </c>
      <c r="P5635">
        <v>0.96871660000000004</v>
      </c>
      <c r="Q5635">
        <v>-1.9243260000000002E-2</v>
      </c>
      <c r="R5635">
        <v>-0.2474228</v>
      </c>
      <c r="S5635">
        <v>3.0909119999999999</v>
      </c>
      <c r="T5635">
        <v>-0.17885279999999901</v>
      </c>
      <c r="U5635">
        <v>-2.2247309999999999E-2</v>
      </c>
      <c r="V5635">
        <v>3.2496919999999999E-2</v>
      </c>
      <c r="W5635">
        <v>-4.744102E-3</v>
      </c>
      <c r="X5635">
        <v>0.99946060000000003</v>
      </c>
      <c r="Y5635">
        <v>-0.20816200000000001</v>
      </c>
      <c r="Z5635">
        <v>1.842274E-2</v>
      </c>
      <c r="AA5635">
        <v>0.97792080000000003</v>
      </c>
      <c r="AB5635">
        <v>20</v>
      </c>
      <c r="AC5635">
        <v>19.167100000000001</v>
      </c>
      <c r="AD5635">
        <v>-1.114648550963</v>
      </c>
      <c r="AE5635">
        <v>-0.12172000000000301</v>
      </c>
      <c r="AF5635">
        <v>-4.0057823149987399</v>
      </c>
      <c r="AG5635">
        <v>-1.114648550963</v>
      </c>
      <c r="AH5635">
        <v>18.678166714876799</v>
      </c>
      <c r="AI5635">
        <v>93.339407972388898</v>
      </c>
      <c r="AJ5635">
        <v>102.10448799131299</v>
      </c>
      <c r="AK5635">
        <v>19.135376797336701</v>
      </c>
      <c r="AL5635">
        <v>90.271818035374494</v>
      </c>
      <c r="AM5635">
        <v>88.137714844494894</v>
      </c>
      <c r="AN5635">
        <v>1.0000000236328099</v>
      </c>
    </row>
    <row r="5636" spans="1:40" x14ac:dyDescent="0.25">
      <c r="A5636" t="str">
        <f>"20190312154948375"</f>
        <v>20190312154948375</v>
      </c>
      <c r="B5636" t="str">
        <f>"1552376988371746"</f>
        <v>1552376988371746</v>
      </c>
      <c r="C5636" t="s">
        <v>40</v>
      </c>
      <c r="D5636">
        <v>4.9514449999999997</v>
      </c>
      <c r="E5636">
        <v>0.40548299999999998</v>
      </c>
      <c r="F5636" t="s">
        <v>69</v>
      </c>
      <c r="G5636">
        <v>-377.9248</v>
      </c>
      <c r="H5636" s="1">
        <v>-1.0825049999999999E-6</v>
      </c>
      <c r="I5636">
        <v>18.93366</v>
      </c>
      <c r="J5636">
        <v>-396.041</v>
      </c>
      <c r="K5636">
        <v>1.114635</v>
      </c>
      <c r="L5636">
        <v>18.945650000000001</v>
      </c>
      <c r="M5636">
        <v>0.97721020000000003</v>
      </c>
      <c r="N5636">
        <v>0</v>
      </c>
      <c r="O5636">
        <v>-0.21180299999999999</v>
      </c>
      <c r="P5636">
        <v>0.96964600000000001</v>
      </c>
      <c r="Q5636">
        <v>-1.89754E-2</v>
      </c>
      <c r="R5636">
        <v>-0.24377579999999999</v>
      </c>
      <c r="S5636">
        <v>3.091888</v>
      </c>
      <c r="T5636">
        <v>-0.189244</v>
      </c>
      <c r="U5636">
        <v>-4.7607420000000001E-3</v>
      </c>
      <c r="V5636">
        <v>3.2901859999999998E-2</v>
      </c>
      <c r="W5636">
        <v>-4.4742979999999998E-3</v>
      </c>
      <c r="X5636">
        <v>0.99944860000000002</v>
      </c>
      <c r="Y5636">
        <v>-0.2095352</v>
      </c>
      <c r="Z5636">
        <v>1.928446E-2</v>
      </c>
      <c r="AA5636">
        <v>0.97761089999999995</v>
      </c>
      <c r="AB5636">
        <v>20</v>
      </c>
      <c r="AC5636">
        <v>18.1161999999999</v>
      </c>
      <c r="AD5636">
        <v>-1.1146360825049999</v>
      </c>
      <c r="AE5636">
        <v>-1.19900000000008E-2</v>
      </c>
      <c r="AF5636">
        <v>-3.8113028331381602</v>
      </c>
      <c r="AG5636">
        <v>-1.1146360825049999</v>
      </c>
      <c r="AH5636">
        <v>17.640862467191202</v>
      </c>
      <c r="AI5636">
        <v>93.534094954930694</v>
      </c>
      <c r="AJ5636">
        <v>102.191353185297</v>
      </c>
      <c r="AK5636">
        <v>18.082269533127299</v>
      </c>
      <c r="AL5636">
        <v>90.256359239896497</v>
      </c>
      <c r="AM5636">
        <v>88.114503170125204</v>
      </c>
      <c r="AN5636">
        <v>1.0000000278879999</v>
      </c>
    </row>
    <row r="5637" spans="1:40" x14ac:dyDescent="0.25">
      <c r="A5637" t="str">
        <f>"20190312154948386"</f>
        <v>20190312154948386</v>
      </c>
      <c r="B5637" t="str">
        <f>"1552376988381506"</f>
        <v>1552376988381506</v>
      </c>
      <c r="C5637" t="s">
        <v>40</v>
      </c>
      <c r="D5637">
        <v>4.7718980000000002</v>
      </c>
      <c r="E5637">
        <v>0.40548210000000001</v>
      </c>
      <c r="F5637" t="s">
        <v>69</v>
      </c>
      <c r="G5637">
        <v>-378.65100000000001</v>
      </c>
      <c r="H5637" s="1">
        <v>-7.2741900000000001E-7</v>
      </c>
      <c r="I5637">
        <v>19.000219999999999</v>
      </c>
      <c r="J5637">
        <v>-395.94060000000002</v>
      </c>
      <c r="K5637">
        <v>1.114625</v>
      </c>
      <c r="L5637">
        <v>18.928889999999999</v>
      </c>
      <c r="M5637">
        <v>0.97813300000000003</v>
      </c>
      <c r="N5637">
        <v>0</v>
      </c>
      <c r="O5637">
        <v>-0.20749909999999999</v>
      </c>
      <c r="P5637">
        <v>0.97067760000000003</v>
      </c>
      <c r="Q5637">
        <v>-1.8367789999999998E-2</v>
      </c>
      <c r="R5637">
        <v>-0.23968320000000001</v>
      </c>
      <c r="S5637">
        <v>3.092438</v>
      </c>
      <c r="T5637">
        <v>-0.19821420000000001</v>
      </c>
      <c r="U5637">
        <v>9.7045900000000008E-3</v>
      </c>
      <c r="V5637">
        <v>3.3075840000000002E-2</v>
      </c>
      <c r="W5637">
        <v>-3.867255E-3</v>
      </c>
      <c r="X5637">
        <v>0.99944540000000004</v>
      </c>
      <c r="Y5637">
        <v>-0.20973700000000001</v>
      </c>
      <c r="Z5637">
        <v>1.993029E-2</v>
      </c>
      <c r="AA5637">
        <v>0.9775547</v>
      </c>
      <c r="AB5637">
        <v>20</v>
      </c>
      <c r="AC5637">
        <v>17.2896</v>
      </c>
      <c r="AD5637">
        <v>-1.1146257274189999</v>
      </c>
      <c r="AE5637">
        <v>7.1330000000003196E-2</v>
      </c>
      <c r="AF5637">
        <v>-3.64257365761536</v>
      </c>
      <c r="AG5637">
        <v>-1.1146257274189999</v>
      </c>
      <c r="AH5637">
        <v>16.828476971284399</v>
      </c>
      <c r="AI5637">
        <v>93.703895291342207</v>
      </c>
      <c r="AJ5637">
        <v>102.213426721034</v>
      </c>
      <c r="AK5637">
        <v>17.2542276134409</v>
      </c>
      <c r="AL5637">
        <v>90.221577933864097</v>
      </c>
      <c r="AM5637">
        <v>88.104534140761601</v>
      </c>
      <c r="AN5637">
        <v>1.0000000372170399</v>
      </c>
    </row>
    <row r="5638" spans="1:40" x14ac:dyDescent="0.25">
      <c r="A5638" t="str">
        <f>"20190312154948397"</f>
        <v>20190312154948397</v>
      </c>
      <c r="B5638" t="str">
        <f>"1552376988391266"</f>
        <v>1552376988391266</v>
      </c>
      <c r="C5638" t="s">
        <v>40</v>
      </c>
      <c r="D5638">
        <v>4.8051949999999897</v>
      </c>
      <c r="E5638">
        <v>0.40571950000000001</v>
      </c>
      <c r="F5638" t="s">
        <v>69</v>
      </c>
      <c r="G5638">
        <v>-378.88249999999999</v>
      </c>
      <c r="H5638" s="1">
        <v>-6.0795370000000002E-7</v>
      </c>
      <c r="I5638">
        <v>19.056830000000001</v>
      </c>
      <c r="J5638">
        <v>-395.84980000000002</v>
      </c>
      <c r="K5638">
        <v>1.114617</v>
      </c>
      <c r="L5638">
        <v>18.914339999999999</v>
      </c>
      <c r="M5638">
        <v>0.97895030000000005</v>
      </c>
      <c r="N5638">
        <v>0</v>
      </c>
      <c r="O5638">
        <v>-0.20360880000000001</v>
      </c>
      <c r="P5638">
        <v>0.97154890000000005</v>
      </c>
      <c r="Q5638">
        <v>-1.7616960000000001E-2</v>
      </c>
      <c r="R5638">
        <v>-0.23618339999999999</v>
      </c>
      <c r="S5638">
        <v>3.0925289999999999</v>
      </c>
      <c r="T5638">
        <v>-0.202075</v>
      </c>
      <c r="U5638">
        <v>2.319336E-2</v>
      </c>
      <c r="V5638">
        <v>3.3435989999999999E-2</v>
      </c>
      <c r="W5638">
        <v>-3.1148980000000001E-3</v>
      </c>
      <c r="X5638">
        <v>0.99943599999999999</v>
      </c>
      <c r="Y5638">
        <v>-0.21008789999999999</v>
      </c>
      <c r="Z5638">
        <v>2.0079949999999999E-2</v>
      </c>
      <c r="AA5638">
        <v>0.97747629999999996</v>
      </c>
      <c r="AB5638">
        <v>20</v>
      </c>
      <c r="AC5638">
        <v>16.967300000000002</v>
      </c>
      <c r="AD5638">
        <v>-1.1146176079537</v>
      </c>
      <c r="AE5638">
        <v>0.14248999999999801</v>
      </c>
      <c r="AF5638">
        <v>-3.5790969402863002</v>
      </c>
      <c r="AG5638">
        <v>-1.1146176079537</v>
      </c>
      <c r="AH5638">
        <v>16.5115379048348</v>
      </c>
      <c r="AI5638">
        <v>93.774518804076905</v>
      </c>
      <c r="AJ5638">
        <v>102.230415948257</v>
      </c>
      <c r="AK5638">
        <v>16.931721451250102</v>
      </c>
      <c r="AL5638">
        <v>90.178470798858498</v>
      </c>
      <c r="AM5638">
        <v>88.083892441670002</v>
      </c>
      <c r="AN5638">
        <v>0.99999999305641496</v>
      </c>
    </row>
    <row r="5639" spans="1:40" x14ac:dyDescent="0.25">
      <c r="A5639" t="str">
        <f>"20190312154948408"</f>
        <v>20190312154948408</v>
      </c>
      <c r="B5639" t="str">
        <f>"1552376988402001"</f>
        <v>1552376988402001</v>
      </c>
      <c r="C5639" t="s">
        <v>40</v>
      </c>
      <c r="D5639">
        <v>4.8409040000000001</v>
      </c>
      <c r="E5639">
        <v>0.40602149999999998</v>
      </c>
      <c r="F5639" t="s">
        <v>69</v>
      </c>
      <c r="G5639">
        <v>-379.04570000000001</v>
      </c>
      <c r="H5639" s="1">
        <v>-5.2454159999999899E-7</v>
      </c>
      <c r="I5639">
        <v>19.092289999999998</v>
      </c>
      <c r="J5639">
        <v>-395.75279999999998</v>
      </c>
      <c r="K5639">
        <v>1.114609</v>
      </c>
      <c r="L5639">
        <v>18.89902</v>
      </c>
      <c r="M5639">
        <v>0.97980509999999998</v>
      </c>
      <c r="N5639">
        <v>0</v>
      </c>
      <c r="O5639">
        <v>-0.19945460000000001</v>
      </c>
      <c r="P5639">
        <v>0.97252510000000003</v>
      </c>
      <c r="Q5639">
        <v>-1.682092E-2</v>
      </c>
      <c r="R5639">
        <v>-0.23219039999999999</v>
      </c>
      <c r="S5639">
        <v>3.0921020000000001</v>
      </c>
      <c r="T5639">
        <v>-0.20509959999999999</v>
      </c>
      <c r="U5639">
        <v>3.2745360000000001E-2</v>
      </c>
      <c r="V5639">
        <v>3.3557799999999999E-2</v>
      </c>
      <c r="W5639">
        <v>-2.3199689999999999E-3</v>
      </c>
      <c r="X5639">
        <v>0.99943409999999999</v>
      </c>
      <c r="Y5639">
        <v>-0.20894650000000001</v>
      </c>
      <c r="Z5639">
        <v>2.007455E-2</v>
      </c>
      <c r="AA5639">
        <v>0.97772099999999995</v>
      </c>
      <c r="AB5639">
        <v>20</v>
      </c>
      <c r="AC5639">
        <v>16.707099999999901</v>
      </c>
      <c r="AD5639">
        <v>-1.1146095245415999</v>
      </c>
      <c r="AE5639">
        <v>0.193269999999998</v>
      </c>
      <c r="AF5639">
        <v>-3.5064223118706099</v>
      </c>
      <c r="AG5639">
        <v>-1.1146095245415999</v>
      </c>
      <c r="AH5639">
        <v>16.260422073558299</v>
      </c>
      <c r="AI5639">
        <v>93.833495532093593</v>
      </c>
      <c r="AJ5639">
        <v>102.169008535183</v>
      </c>
      <c r="AK5639">
        <v>16.6714929694867</v>
      </c>
      <c r="AL5639">
        <v>90.132924549650198</v>
      </c>
      <c r="AM5639">
        <v>88.076913486522898</v>
      </c>
      <c r="AN5639">
        <v>1.0000000142198999</v>
      </c>
    </row>
    <row r="5640" spans="1:40" x14ac:dyDescent="0.25">
      <c r="A5640" t="str">
        <f>"20190312154948421"</f>
        <v>20190312154948421</v>
      </c>
      <c r="B5640" t="str">
        <f>"1552376988411762"</f>
        <v>1552376988411762</v>
      </c>
      <c r="C5640" t="s">
        <v>40</v>
      </c>
      <c r="D5640">
        <v>4.8341960000000004</v>
      </c>
      <c r="E5640">
        <v>0.40627000000000002</v>
      </c>
      <c r="F5640" t="s">
        <v>69</v>
      </c>
      <c r="G5640">
        <v>-379.34820000000002</v>
      </c>
      <c r="H5640" s="1">
        <v>-3.7486559999999999E-7</v>
      </c>
      <c r="I5640">
        <v>19.12978</v>
      </c>
      <c r="J5640">
        <v>-395.64530000000002</v>
      </c>
      <c r="K5640">
        <v>1.1146</v>
      </c>
      <c r="L5640">
        <v>18.8826</v>
      </c>
      <c r="M5640">
        <v>0.98073129999999997</v>
      </c>
      <c r="N5640">
        <v>0</v>
      </c>
      <c r="O5640">
        <v>-0.19484940000000001</v>
      </c>
      <c r="P5640">
        <v>0.97352419999999995</v>
      </c>
      <c r="Q5640">
        <v>-1.6109459999999999E-2</v>
      </c>
      <c r="R5640">
        <v>-0.22801560000000001</v>
      </c>
      <c r="S5640">
        <v>3.0914920000000001</v>
      </c>
      <c r="T5640">
        <v>-0.2100515</v>
      </c>
      <c r="U5640">
        <v>4.348755E-2</v>
      </c>
      <c r="V5640">
        <v>3.3954640000000001E-2</v>
      </c>
      <c r="W5640">
        <v>-1.606966E-3</v>
      </c>
      <c r="X5640">
        <v>0.99942209999999998</v>
      </c>
      <c r="Y5640">
        <v>-0.20772109999999999</v>
      </c>
      <c r="Z5640">
        <v>2.021328E-2</v>
      </c>
      <c r="AA5640">
        <v>0.97797920000000005</v>
      </c>
      <c r="AB5640">
        <v>20</v>
      </c>
      <c r="AC5640">
        <v>16.2971</v>
      </c>
      <c r="AD5640">
        <v>-1.1146003748655999</v>
      </c>
      <c r="AE5640">
        <v>0.24718000000000001</v>
      </c>
      <c r="AF5640">
        <v>-3.4023279949337399</v>
      </c>
      <c r="AG5640">
        <v>-1.1146003748655999</v>
      </c>
      <c r="AH5640">
        <v>15.862325924688401</v>
      </c>
      <c r="AI5640">
        <v>93.930301149022299</v>
      </c>
      <c r="AJ5640">
        <v>102.10600859945001</v>
      </c>
      <c r="AK5640">
        <v>16.261351528141901</v>
      </c>
      <c r="AL5640">
        <v>90.092072407688093</v>
      </c>
      <c r="AM5640">
        <v>88.054165933274803</v>
      </c>
      <c r="AN5640">
        <v>1.00000001694283</v>
      </c>
    </row>
    <row r="5641" spans="1:40" x14ac:dyDescent="0.25">
      <c r="A5641" t="str">
        <f>"20190312154948430"</f>
        <v>20190312154948430</v>
      </c>
      <c r="B5641" t="str">
        <f>"1552376988422028"</f>
        <v>1552376988422028</v>
      </c>
      <c r="C5641" t="s">
        <v>40</v>
      </c>
      <c r="D5641">
        <v>4.899661</v>
      </c>
      <c r="E5641">
        <v>0.40638669999999999</v>
      </c>
      <c r="F5641" t="s">
        <v>69</v>
      </c>
      <c r="G5641">
        <v>-379.42419999999998</v>
      </c>
      <c r="H5641" s="1">
        <v>-3.3149660000000003E-7</v>
      </c>
      <c r="I5641">
        <v>19.17184</v>
      </c>
      <c r="J5641">
        <v>-395.56099999999998</v>
      </c>
      <c r="K5641">
        <v>1.1145910000000001</v>
      </c>
      <c r="L5641">
        <v>18.870090000000001</v>
      </c>
      <c r="M5641">
        <v>0.98144200000000004</v>
      </c>
      <c r="N5641">
        <v>0</v>
      </c>
      <c r="O5641">
        <v>-0.1912373</v>
      </c>
      <c r="P5641">
        <v>0.97428650000000006</v>
      </c>
      <c r="Q5641">
        <v>-1.5802549999999999E-2</v>
      </c>
      <c r="R5641">
        <v>-0.22475809999999999</v>
      </c>
      <c r="S5641">
        <v>3.090973</v>
      </c>
      <c r="T5641">
        <v>-0.2123901</v>
      </c>
      <c r="U5641">
        <v>5.5114749999999997E-2</v>
      </c>
      <c r="V5641">
        <v>3.4286810000000001E-2</v>
      </c>
      <c r="W5641">
        <v>-1.298701E-3</v>
      </c>
      <c r="X5641">
        <v>0.99941120000000006</v>
      </c>
      <c r="Y5641">
        <v>-0.20778779999999999</v>
      </c>
      <c r="Z5641">
        <v>2.019957E-2</v>
      </c>
      <c r="AA5641">
        <v>0.97796539999999998</v>
      </c>
      <c r="AB5641">
        <v>20</v>
      </c>
      <c r="AC5641">
        <v>16.136799999999901</v>
      </c>
      <c r="AD5641">
        <v>-1.1145913314965901</v>
      </c>
      <c r="AE5641">
        <v>0.30174999999999802</v>
      </c>
      <c r="AF5641">
        <v>-3.3663913103870899</v>
      </c>
      <c r="AG5641">
        <v>-1.1145913314965901</v>
      </c>
      <c r="AH5641">
        <v>15.706298459923101</v>
      </c>
      <c r="AI5641">
        <v>93.969316301784204</v>
      </c>
      <c r="AJ5641">
        <v>102.097393566626</v>
      </c>
      <c r="AK5641">
        <v>16.101637047303001</v>
      </c>
      <c r="AL5641">
        <v>90.074410106372497</v>
      </c>
      <c r="AM5641">
        <v>88.035123746768505</v>
      </c>
      <c r="AN5641">
        <v>1.00000000932485</v>
      </c>
    </row>
    <row r="5642" spans="1:40" x14ac:dyDescent="0.25">
      <c r="A5642" t="str">
        <f>"20190312154948442"</f>
        <v>20190312154948442</v>
      </c>
      <c r="B5642" t="str">
        <f>"1552376988431788"</f>
        <v>1552376988431788</v>
      </c>
      <c r="C5642" t="s">
        <v>40</v>
      </c>
      <c r="D5642">
        <v>4.8855879999999896</v>
      </c>
      <c r="E5642">
        <v>0.40658909999999998</v>
      </c>
      <c r="F5642" t="s">
        <v>69</v>
      </c>
      <c r="G5642">
        <v>-379.6404</v>
      </c>
      <c r="H5642" s="1">
        <v>-2.3193029999999999E-7</v>
      </c>
      <c r="I5642">
        <v>19.2043</v>
      </c>
      <c r="J5642">
        <v>-395.459</v>
      </c>
      <c r="K5642">
        <v>1.114581</v>
      </c>
      <c r="L5642">
        <v>18.855350000000001</v>
      </c>
      <c r="M5642">
        <v>0.98228289999999996</v>
      </c>
      <c r="N5642">
        <v>0</v>
      </c>
      <c r="O5642">
        <v>-0.1868706</v>
      </c>
      <c r="P5642">
        <v>0.97517030000000005</v>
      </c>
      <c r="Q5642">
        <v>-1.6179269999999999E-2</v>
      </c>
      <c r="R5642">
        <v>-0.2208647</v>
      </c>
      <c r="S5642">
        <v>3.090668</v>
      </c>
      <c r="T5642">
        <v>-0.21637629999999999</v>
      </c>
      <c r="U5642">
        <v>6.4880370000000007E-2</v>
      </c>
      <c r="V5642">
        <v>3.4744949999999997E-2</v>
      </c>
      <c r="W5642">
        <v>-1.673346E-3</v>
      </c>
      <c r="X5642">
        <v>0.99939480000000003</v>
      </c>
      <c r="Y5642">
        <v>-0.20650669999999999</v>
      </c>
      <c r="Z5642">
        <v>2.023397E-2</v>
      </c>
      <c r="AA5642">
        <v>0.97823599999999999</v>
      </c>
      <c r="AB5642">
        <v>20</v>
      </c>
      <c r="AC5642">
        <v>15.8186</v>
      </c>
      <c r="AD5642">
        <v>-1.1145812319302999</v>
      </c>
      <c r="AE5642">
        <v>0.34894999999999798</v>
      </c>
      <c r="AF5642">
        <v>-3.2828381304526402</v>
      </c>
      <c r="AG5642">
        <v>-1.1145812319302999</v>
      </c>
      <c r="AH5642">
        <v>15.398267278930801</v>
      </c>
      <c r="AI5642">
        <v>94.049360814088701</v>
      </c>
      <c r="AJ5642">
        <v>102.03501017915301</v>
      </c>
      <c r="AK5642">
        <v>15.783724297728799</v>
      </c>
      <c r="AL5642">
        <v>90.095875709267702</v>
      </c>
      <c r="AM5642">
        <v>88.0088574365233</v>
      </c>
      <c r="AN5642">
        <v>0.999999988952189</v>
      </c>
    </row>
    <row r="5643" spans="1:40" x14ac:dyDescent="0.25">
      <c r="A5643" t="str">
        <f>"20190312154948454"</f>
        <v>20190312154948454</v>
      </c>
      <c r="B5643" t="str">
        <f>"1552376988441548"</f>
        <v>1552376988441548</v>
      </c>
      <c r="C5643" t="s">
        <v>40</v>
      </c>
      <c r="D5643">
        <v>4.8339759999999998</v>
      </c>
      <c r="E5643">
        <v>0.40700419999999998</v>
      </c>
      <c r="F5643" t="s">
        <v>67</v>
      </c>
      <c r="G5643">
        <v>-380.11180000000002</v>
      </c>
      <c r="H5643" s="1">
        <v>-4.7426150000000003E-6</v>
      </c>
      <c r="I5643">
        <v>19.23338</v>
      </c>
      <c r="J5643">
        <v>-395.3621</v>
      </c>
      <c r="K5643">
        <v>1.114571</v>
      </c>
      <c r="L5643">
        <v>18.84186</v>
      </c>
      <c r="M5643">
        <v>0.98306309999999997</v>
      </c>
      <c r="N5643">
        <v>0</v>
      </c>
      <c r="O5643">
        <v>-0.182722</v>
      </c>
      <c r="P5643">
        <v>0.97600699999999996</v>
      </c>
      <c r="Q5643">
        <v>-1.6059799999999999E-2</v>
      </c>
      <c r="R5643">
        <v>-0.21714629999999999</v>
      </c>
      <c r="S5643">
        <v>3.0899049999999999</v>
      </c>
      <c r="T5643">
        <v>-0.22440289999999999</v>
      </c>
      <c r="U5643">
        <v>7.6110839999999999E-2</v>
      </c>
      <c r="V5643">
        <v>3.5153139999999999E-2</v>
      </c>
      <c r="W5643">
        <v>-1.552487E-3</v>
      </c>
      <c r="X5643">
        <v>0.99938070000000001</v>
      </c>
      <c r="Y5643">
        <v>-0.2058749</v>
      </c>
      <c r="Z5643">
        <v>2.0667919999999999E-2</v>
      </c>
      <c r="AA5643">
        <v>0.97836009999999995</v>
      </c>
      <c r="AB5643">
        <v>20</v>
      </c>
      <c r="AC5643">
        <v>15.2502999999999</v>
      </c>
      <c r="AD5643">
        <v>-1.114575742615</v>
      </c>
      <c r="AE5643">
        <v>0.39151999999999898</v>
      </c>
      <c r="AF5643">
        <v>-3.1549298337443501</v>
      </c>
      <c r="AG5643">
        <v>-1.114575742615</v>
      </c>
      <c r="AH5643">
        <v>14.842727197944299</v>
      </c>
      <c r="AI5643">
        <v>94.200912553831998</v>
      </c>
      <c r="AJ5643">
        <v>102.00003979463899</v>
      </c>
      <c r="AK5643">
        <v>15.215203318210101</v>
      </c>
      <c r="AL5643">
        <v>90.088950991382703</v>
      </c>
      <c r="AM5643">
        <v>87.985455894406996</v>
      </c>
      <c r="AN5643">
        <v>0.99999996850011696</v>
      </c>
    </row>
    <row r="5644" spans="1:40" x14ac:dyDescent="0.25">
      <c r="A5644" t="str">
        <f>"20190312154948467"</f>
        <v>20190312154948467</v>
      </c>
      <c r="B5644" t="str">
        <f>"1552376988462044"</f>
        <v>1552376988462044</v>
      </c>
      <c r="C5644" t="s">
        <v>40</v>
      </c>
      <c r="D5644">
        <v>4.7298019999999896</v>
      </c>
      <c r="E5644">
        <v>0.407273</v>
      </c>
      <c r="F5644" t="s">
        <v>67</v>
      </c>
      <c r="G5644">
        <v>-380.08280000000002</v>
      </c>
      <c r="H5644" s="1">
        <v>-4.7514150000000001E-6</v>
      </c>
      <c r="I5644">
        <v>19.260909999999999</v>
      </c>
      <c r="J5644">
        <v>-395.2448</v>
      </c>
      <c r="K5644">
        <v>1.114554</v>
      </c>
      <c r="L5644">
        <v>18.825900000000001</v>
      </c>
      <c r="M5644">
        <v>0.98398260000000004</v>
      </c>
      <c r="N5644">
        <v>0</v>
      </c>
      <c r="O5644">
        <v>-0.1777041</v>
      </c>
      <c r="P5644">
        <v>0.97698580000000002</v>
      </c>
      <c r="Q5644">
        <v>-1.669613E-2</v>
      </c>
      <c r="R5644">
        <v>-0.21265039999999999</v>
      </c>
      <c r="S5644">
        <v>3.0888979999999999</v>
      </c>
      <c r="T5644">
        <v>-0.22532579999999999</v>
      </c>
      <c r="U5644">
        <v>8.4716799999999995E-2</v>
      </c>
      <c r="V5644">
        <v>3.5659490000000002E-2</v>
      </c>
      <c r="W5644">
        <v>-2.1874260000000001E-3</v>
      </c>
      <c r="X5644">
        <v>0.99936159999999996</v>
      </c>
      <c r="Y5644">
        <v>-0.20362450000000001</v>
      </c>
      <c r="Z5644">
        <v>2.0316190000000001E-2</v>
      </c>
      <c r="AA5644">
        <v>0.97883830000000005</v>
      </c>
      <c r="AB5644">
        <v>20</v>
      </c>
      <c r="AC5644">
        <v>15.1619999999999</v>
      </c>
      <c r="AD5644">
        <v>-1.1145587514149999</v>
      </c>
      <c r="AE5644">
        <v>0.43500999999999801</v>
      </c>
      <c r="AF5644">
        <v>-3.1059335383847602</v>
      </c>
      <c r="AG5644">
        <v>-1.1145587514149999</v>
      </c>
      <c r="AH5644">
        <v>14.763608971469401</v>
      </c>
      <c r="AI5644">
        <v>94.225136798079404</v>
      </c>
      <c r="AJ5644">
        <v>101.88050203573501</v>
      </c>
      <c r="AK5644">
        <v>15.1278952342245</v>
      </c>
      <c r="AL5644">
        <v>90.125330378270306</v>
      </c>
      <c r="AM5644">
        <v>87.956423566867102</v>
      </c>
      <c r="AN5644">
        <v>0.999999995807062</v>
      </c>
    </row>
    <row r="5645" spans="1:40" x14ac:dyDescent="0.25">
      <c r="A5645" t="str">
        <f>"20190312154948479"</f>
        <v>20190312154948479</v>
      </c>
      <c r="B5645" t="str">
        <f>"1552376988471804"</f>
        <v>1552376988471804</v>
      </c>
      <c r="C5645" t="s">
        <v>40</v>
      </c>
      <c r="D5645">
        <v>4.7603540000000004</v>
      </c>
      <c r="E5645">
        <v>0.40730569999999999</v>
      </c>
      <c r="F5645" t="s">
        <v>67</v>
      </c>
      <c r="G5645">
        <v>-380.34059999999999</v>
      </c>
      <c r="H5645" s="1">
        <v>-4.6236309999999999E-6</v>
      </c>
      <c r="I5645">
        <v>19.294309999999999</v>
      </c>
      <c r="J5645">
        <v>-395.13569999999999</v>
      </c>
      <c r="K5645">
        <v>1.1145339999999999</v>
      </c>
      <c r="L5645">
        <v>18.811769999999999</v>
      </c>
      <c r="M5645">
        <v>0.98481200000000002</v>
      </c>
      <c r="N5645">
        <v>0</v>
      </c>
      <c r="O5645">
        <v>-0.17304910000000001</v>
      </c>
      <c r="P5645">
        <v>0.97787619999999997</v>
      </c>
      <c r="Q5645">
        <v>-1.7397119999999999E-2</v>
      </c>
      <c r="R5645">
        <v>-0.20845939999999999</v>
      </c>
      <c r="S5645">
        <v>3.0878299999999999</v>
      </c>
      <c r="T5645">
        <v>-0.23091320000000001</v>
      </c>
      <c r="U5645">
        <v>9.7045900000000004E-2</v>
      </c>
      <c r="V5645">
        <v>3.6110009999999998E-2</v>
      </c>
      <c r="W5645">
        <v>-2.8882949999999999E-3</v>
      </c>
      <c r="X5645">
        <v>0.9993436</v>
      </c>
      <c r="Y5645">
        <v>-0.20287350000000001</v>
      </c>
      <c r="Z5645">
        <v>2.045375E-2</v>
      </c>
      <c r="AA5645">
        <v>0.97899130000000001</v>
      </c>
      <c r="AB5645">
        <v>20</v>
      </c>
      <c r="AC5645">
        <v>14.7950999999999</v>
      </c>
      <c r="AD5645">
        <v>-1.114538623631</v>
      </c>
      <c r="AE5645">
        <v>0.48253999999999603</v>
      </c>
      <c r="AF5645">
        <v>-3.0186801486435999</v>
      </c>
      <c r="AG5645">
        <v>-1.114538623631</v>
      </c>
      <c r="AH5645">
        <v>14.406664192257701</v>
      </c>
      <c r="AI5645">
        <v>94.330081312518999</v>
      </c>
      <c r="AJ5645">
        <v>101.83418242561299</v>
      </c>
      <c r="AK5645">
        <v>14.7616597756438</v>
      </c>
      <c r="AL5645">
        <v>90.165487351362302</v>
      </c>
      <c r="AM5645">
        <v>87.930590202986807</v>
      </c>
      <c r="AN5645">
        <v>0.99999995296558197</v>
      </c>
    </row>
    <row r="5646" spans="1:40" x14ac:dyDescent="0.25">
      <c r="A5646" t="str">
        <f>"20190312154948500"</f>
        <v>20190312154948500</v>
      </c>
      <c r="B5646" t="str">
        <f>"1552376988491324"</f>
        <v>1552376988491324</v>
      </c>
      <c r="C5646" t="s">
        <v>40</v>
      </c>
      <c r="D5646">
        <v>4.6246179999999999</v>
      </c>
      <c r="E5646">
        <v>0.40664650000000002</v>
      </c>
      <c r="F5646" t="s">
        <v>67</v>
      </c>
      <c r="G5646">
        <v>-380.25490000000002</v>
      </c>
      <c r="H5646" s="1">
        <v>-4.6557150000000004E-6</v>
      </c>
      <c r="I5646">
        <v>19.341919999999998</v>
      </c>
      <c r="J5646">
        <v>-394.96420000000001</v>
      </c>
      <c r="K5646">
        <v>1.1144989999999999</v>
      </c>
      <c r="L5646">
        <v>18.790469999999999</v>
      </c>
      <c r="M5646">
        <v>0.98606819999999895</v>
      </c>
      <c r="N5646">
        <v>0</v>
      </c>
      <c r="O5646">
        <v>-0.16574129999999901</v>
      </c>
      <c r="P5646">
        <v>0.97927390000000003</v>
      </c>
      <c r="Q5646">
        <v>-1.8066229999999999E-2</v>
      </c>
      <c r="R5646">
        <v>-0.20173350000000001</v>
      </c>
      <c r="S5646">
        <v>3.087189</v>
      </c>
      <c r="T5646">
        <v>-0.2312225</v>
      </c>
      <c r="U5646">
        <v>0.1099854</v>
      </c>
      <c r="V5646">
        <v>3.6661310000000003E-2</v>
      </c>
      <c r="W5646">
        <v>-3.559984E-3</v>
      </c>
      <c r="X5646">
        <v>0.99932140000000003</v>
      </c>
      <c r="Y5646">
        <v>-0.19974330000000001</v>
      </c>
      <c r="Z5646">
        <v>1.9826799999999999E-2</v>
      </c>
      <c r="AA5646">
        <v>0.97964759999999995</v>
      </c>
      <c r="AB5646">
        <v>20</v>
      </c>
      <c r="AC5646">
        <v>14.709299999999899</v>
      </c>
      <c r="AD5646">
        <v>-1.1145036557150001</v>
      </c>
      <c r="AE5646">
        <v>0.551449999999999</v>
      </c>
      <c r="AF5646">
        <v>-2.96500515519182</v>
      </c>
      <c r="AG5646">
        <v>-1.1145036557150001</v>
      </c>
      <c r="AH5646">
        <v>14.332247264649499</v>
      </c>
      <c r="AI5646">
        <v>94.354641565040197</v>
      </c>
      <c r="AJ5646">
        <v>101.688267467396</v>
      </c>
      <c r="AK5646">
        <v>14.6781022487231</v>
      </c>
      <c r="AL5646">
        <v>90.203972490641107</v>
      </c>
      <c r="AM5646">
        <v>87.898977507339197</v>
      </c>
      <c r="AN5646">
        <v>0.99999999281747798</v>
      </c>
    </row>
    <row r="5647" spans="1:40" x14ac:dyDescent="0.25">
      <c r="A5647" t="str">
        <f>"20190312154948521"</f>
        <v>20190312154948521</v>
      </c>
      <c r="B5647" t="str">
        <f>"1552376988511824"</f>
        <v>1552376988511824</v>
      </c>
      <c r="C5647" t="s">
        <v>40</v>
      </c>
      <c r="D5647">
        <v>4.6926420000000002</v>
      </c>
      <c r="E5647">
        <v>0.40632800000000002</v>
      </c>
      <c r="F5647" t="s">
        <v>69</v>
      </c>
      <c r="G5647">
        <v>-379.7079</v>
      </c>
      <c r="H5647" s="1">
        <v>-1.461077E-7</v>
      </c>
      <c r="I5647">
        <v>19.461089999999999</v>
      </c>
      <c r="J5647">
        <v>-394.78219999999999</v>
      </c>
      <c r="K5647">
        <v>1.114457</v>
      </c>
      <c r="L5647">
        <v>18.76923</v>
      </c>
      <c r="M5647">
        <v>0.9873345</v>
      </c>
      <c r="N5647">
        <v>0</v>
      </c>
      <c r="O5647">
        <v>-0.1580231</v>
      </c>
      <c r="P5647">
        <v>0.98077110000000001</v>
      </c>
      <c r="Q5647">
        <v>-1.8586180000000001E-2</v>
      </c>
      <c r="R5647">
        <v>-0.19427449999999999</v>
      </c>
      <c r="S5647">
        <v>3.0873409999999999</v>
      </c>
      <c r="T5647">
        <v>-0.22553519999999999</v>
      </c>
      <c r="U5647">
        <v>0.13571169999999999</v>
      </c>
      <c r="V5647">
        <v>3.6879189999999999E-2</v>
      </c>
      <c r="W5647">
        <v>-4.088553E-3</v>
      </c>
      <c r="X5647">
        <v>0.99931139999999996</v>
      </c>
      <c r="Y5647">
        <v>-0.20029759999999999</v>
      </c>
      <c r="Z5647">
        <v>1.880039E-2</v>
      </c>
      <c r="AA5647">
        <v>0.9795547</v>
      </c>
      <c r="AB5647">
        <v>20</v>
      </c>
      <c r="AC5647">
        <v>15.0742999999999</v>
      </c>
      <c r="AD5647">
        <v>-1.1144571461077</v>
      </c>
      <c r="AE5647">
        <v>0.69185999999999803</v>
      </c>
      <c r="AF5647">
        <v>-3.0488609472896999</v>
      </c>
      <c r="AG5647">
        <v>-1.1144571461077</v>
      </c>
      <c r="AH5647">
        <v>14.695366084535401</v>
      </c>
      <c r="AI5647">
        <v>94.246761961938901</v>
      </c>
      <c r="AJ5647">
        <v>101.72092292652</v>
      </c>
      <c r="AK5647">
        <v>15.049629635473799</v>
      </c>
      <c r="AL5647">
        <v>90.234257476246299</v>
      </c>
      <c r="AM5647">
        <v>87.886481185475503</v>
      </c>
      <c r="AN5647">
        <v>1.00000003254532</v>
      </c>
    </row>
    <row r="5648" spans="1:40" x14ac:dyDescent="0.25">
      <c r="A5648" t="str">
        <f>"20190312154948532"</f>
        <v>20190312154948532</v>
      </c>
      <c r="B5648" t="str">
        <f>"1552376988521580"</f>
        <v>1552376988521580</v>
      </c>
      <c r="C5648" t="s">
        <v>40</v>
      </c>
      <c r="D5648">
        <v>4.8114869999999996</v>
      </c>
      <c r="E5648">
        <v>0.40625309999999998</v>
      </c>
      <c r="F5648" t="s">
        <v>69</v>
      </c>
      <c r="G5648">
        <v>-379.18009999999998</v>
      </c>
      <c r="H5648" s="1">
        <v>-3.7372020000000002E-7</v>
      </c>
      <c r="I5648">
        <v>19.58418</v>
      </c>
      <c r="J5648">
        <v>-394.68770000000001</v>
      </c>
      <c r="K5648">
        <v>1.1144309999999999</v>
      </c>
      <c r="L5648">
        <v>18.758790000000001</v>
      </c>
      <c r="M5648">
        <v>0.98796419999999996</v>
      </c>
      <c r="N5648">
        <v>0</v>
      </c>
      <c r="O5648">
        <v>-0.1540388</v>
      </c>
      <c r="P5648">
        <v>0.98148299999999999</v>
      </c>
      <c r="Q5648">
        <v>-1.8799380000000001E-2</v>
      </c>
      <c r="R5648">
        <v>-0.1906255</v>
      </c>
      <c r="S5648">
        <v>3.0866090000000002</v>
      </c>
      <c r="T5648">
        <v>-0.22047720000000001</v>
      </c>
      <c r="U5648">
        <v>0.16122439999999999</v>
      </c>
      <c r="V5648">
        <v>3.7196609999999998E-2</v>
      </c>
      <c r="W5648">
        <v>-4.3051929999999997E-3</v>
      </c>
      <c r="X5648">
        <v>0.99929869999999998</v>
      </c>
      <c r="Y5648">
        <v>-0.20447360000000001</v>
      </c>
      <c r="Z5648">
        <v>1.8249250000000002E-2</v>
      </c>
      <c r="AA5648">
        <v>0.97870190000000001</v>
      </c>
      <c r="AB5648">
        <v>20</v>
      </c>
      <c r="AC5648">
        <v>15.5076</v>
      </c>
      <c r="AD5648">
        <v>-1.1144313737201901</v>
      </c>
      <c r="AE5648">
        <v>0.82538999999999796</v>
      </c>
      <c r="AF5648">
        <v>-3.1881282259479802</v>
      </c>
      <c r="AG5648">
        <v>-1.1144313737201901</v>
      </c>
      <c r="AH5648">
        <v>15.117470250643001</v>
      </c>
      <c r="AI5648">
        <v>94.125687777255095</v>
      </c>
      <c r="AJ5648">
        <v>101.90862766362601</v>
      </c>
      <c r="AK5648">
        <v>15.490126715133499</v>
      </c>
      <c r="AL5648">
        <v>90.2466701491214</v>
      </c>
      <c r="AM5648">
        <v>87.868279726819495</v>
      </c>
      <c r="AN5648">
        <v>1.0000000071519699</v>
      </c>
    </row>
    <row r="5649" spans="1:40" x14ac:dyDescent="0.25">
      <c r="A5649" t="str">
        <f>"20190312154948543"</f>
        <v>20190312154948543</v>
      </c>
      <c r="B5649" t="str">
        <f>"1552376988531340"</f>
        <v>1552376988531340</v>
      </c>
      <c r="C5649" t="s">
        <v>40</v>
      </c>
      <c r="D5649">
        <v>4.7086119999999996</v>
      </c>
      <c r="E5649">
        <v>0.40623569999999998</v>
      </c>
      <c r="F5649" t="s">
        <v>69</v>
      </c>
      <c r="G5649">
        <v>-378.81900000000002</v>
      </c>
      <c r="H5649" s="1">
        <v>-5.4730079999999997E-7</v>
      </c>
      <c r="I5649">
        <v>19.648540000000001</v>
      </c>
      <c r="J5649">
        <v>-394.59120000000001</v>
      </c>
      <c r="K5649">
        <v>1.1143989999999999</v>
      </c>
      <c r="L5649">
        <v>18.74841</v>
      </c>
      <c r="M5649">
        <v>0.98858840000000003</v>
      </c>
      <c r="N5649">
        <v>0</v>
      </c>
      <c r="O5649">
        <v>-0.14998020000000001</v>
      </c>
      <c r="P5649">
        <v>0.98221309999999995</v>
      </c>
      <c r="Q5649">
        <v>-1.887701E-2</v>
      </c>
      <c r="R5649">
        <v>-0.18681829999999999</v>
      </c>
      <c r="S5649">
        <v>3.0860599999999998</v>
      </c>
      <c r="T5649">
        <v>-0.2167287</v>
      </c>
      <c r="U5649">
        <v>0.17303470000000001</v>
      </c>
      <c r="V5649">
        <v>3.742624E-2</v>
      </c>
      <c r="W5649">
        <v>-4.3876519999999997E-3</v>
      </c>
      <c r="X5649">
        <v>0.99928980000000001</v>
      </c>
      <c r="Y5649">
        <v>-0.204239</v>
      </c>
      <c r="Z5649">
        <v>1.7651099999999999E-2</v>
      </c>
      <c r="AA5649">
        <v>0.97876189999999996</v>
      </c>
      <c r="AB5649">
        <v>20</v>
      </c>
      <c r="AC5649">
        <v>15.7721999999999</v>
      </c>
      <c r="AD5649">
        <v>-1.1143995473007999</v>
      </c>
      <c r="AE5649">
        <v>0.90012999999999999</v>
      </c>
      <c r="AF5649">
        <v>-3.2395792855601599</v>
      </c>
      <c r="AG5649">
        <v>-1.1143995473007999</v>
      </c>
      <c r="AH5649">
        <v>15.3822071578284</v>
      </c>
      <c r="AI5649">
        <v>94.055037923126406</v>
      </c>
      <c r="AJ5649">
        <v>101.893008962534</v>
      </c>
      <c r="AK5649">
        <v>15.759094432891899</v>
      </c>
      <c r="AL5649">
        <v>90.251394738227404</v>
      </c>
      <c r="AM5649">
        <v>87.855112907835206</v>
      </c>
      <c r="AN5649">
        <v>1.0000000396573201</v>
      </c>
    </row>
    <row r="5650" spans="1:40" x14ac:dyDescent="0.25">
      <c r="A5650" t="str">
        <f>"20190312154948553"</f>
        <v>20190312154948553</v>
      </c>
      <c r="B5650" t="str">
        <f>"1552376988542076"</f>
        <v>1552376988542076</v>
      </c>
      <c r="C5650" t="s">
        <v>40</v>
      </c>
      <c r="D5650">
        <v>4.7307639999999997</v>
      </c>
      <c r="E5650">
        <v>0.40627059999999998</v>
      </c>
      <c r="F5650" t="s">
        <v>69</v>
      </c>
      <c r="G5650">
        <v>-378.45190000000002</v>
      </c>
      <c r="H5650" s="1">
        <v>-7.3871390000000004E-7</v>
      </c>
      <c r="I5650">
        <v>19.71566</v>
      </c>
      <c r="J5650">
        <v>-394.49709999999999</v>
      </c>
      <c r="K5650">
        <v>1.114365</v>
      </c>
      <c r="L5650">
        <v>18.738769999999999</v>
      </c>
      <c r="M5650">
        <v>0.98917650000000001</v>
      </c>
      <c r="N5650">
        <v>0</v>
      </c>
      <c r="O5650">
        <v>-0.1460523</v>
      </c>
      <c r="P5650">
        <v>0.9829099</v>
      </c>
      <c r="Q5650">
        <v>-1.870347E-2</v>
      </c>
      <c r="R5650">
        <v>-0.1831352</v>
      </c>
      <c r="S5650">
        <v>3.0853269999999999</v>
      </c>
      <c r="T5650">
        <v>-0.21303730000000001</v>
      </c>
      <c r="U5650">
        <v>0.18490599999999999</v>
      </c>
      <c r="V5650">
        <v>3.764692E-2</v>
      </c>
      <c r="W5650">
        <v>-4.2201360000000002E-3</v>
      </c>
      <c r="X5650">
        <v>0.99928220000000001</v>
      </c>
      <c r="Y5650">
        <v>-0.20415620000000001</v>
      </c>
      <c r="Z5650">
        <v>1.708223E-2</v>
      </c>
      <c r="AA5650">
        <v>0.97878929999999997</v>
      </c>
      <c r="AB5650">
        <v>20</v>
      </c>
      <c r="AC5650">
        <v>16.045199999999902</v>
      </c>
      <c r="AD5650">
        <v>-1.1143657387138901</v>
      </c>
      <c r="AE5650">
        <v>0.97688999999999704</v>
      </c>
      <c r="AF5650">
        <v>-3.29425241454173</v>
      </c>
      <c r="AG5650">
        <v>-1.1143657387138901</v>
      </c>
      <c r="AH5650">
        <v>15.655185258971599</v>
      </c>
      <c r="AI5650">
        <v>93.9845839460679</v>
      </c>
      <c r="AJ5650">
        <v>101.883134568139</v>
      </c>
      <c r="AK5650">
        <v>16.036793178907502</v>
      </c>
      <c r="AL5650">
        <v>90.2417966976315</v>
      </c>
      <c r="AM5650">
        <v>87.842461323881395</v>
      </c>
      <c r="AN5650">
        <v>1.0000000076850899</v>
      </c>
    </row>
    <row r="5651" spans="1:40" x14ac:dyDescent="0.25">
      <c r="A5651" t="str">
        <f>"20190312154948566"</f>
        <v>20190312154948566</v>
      </c>
      <c r="B5651" t="str">
        <f>"1552376988561596"</f>
        <v>1552376988561596</v>
      </c>
      <c r="C5651" t="s">
        <v>40</v>
      </c>
      <c r="D5651">
        <v>4.6929819999999998</v>
      </c>
      <c r="E5651">
        <v>0.40652329999999998</v>
      </c>
      <c r="F5651" t="s">
        <v>69</v>
      </c>
      <c r="G5651">
        <v>-378.0598</v>
      </c>
      <c r="H5651" s="1">
        <v>-9.4207469999999997E-7</v>
      </c>
      <c r="I5651">
        <v>19.783429999999999</v>
      </c>
      <c r="J5651">
        <v>-394.39</v>
      </c>
      <c r="K5651">
        <v>1.1143289999999999</v>
      </c>
      <c r="L5651">
        <v>18.728059999999999</v>
      </c>
      <c r="M5651">
        <v>0.98982510000000001</v>
      </c>
      <c r="N5651">
        <v>0</v>
      </c>
      <c r="O5651">
        <v>-0.14159079999999999</v>
      </c>
      <c r="P5651">
        <v>0.98366759999999998</v>
      </c>
      <c r="Q5651">
        <v>-1.8141540000000001E-2</v>
      </c>
      <c r="R5651">
        <v>-0.1790795</v>
      </c>
      <c r="S5651">
        <v>3.084686</v>
      </c>
      <c r="T5651">
        <v>-0.20912600000000001</v>
      </c>
      <c r="U5651">
        <v>0.19604489999999999</v>
      </c>
      <c r="V5651">
        <v>3.8023080000000001E-2</v>
      </c>
      <c r="W5651">
        <v>-3.664081E-3</v>
      </c>
      <c r="X5651">
        <v>0.99927010000000005</v>
      </c>
      <c r="Y5651">
        <v>-0.2033182</v>
      </c>
      <c r="Z5651">
        <v>1.6443099999999999E-2</v>
      </c>
      <c r="AA5651">
        <v>0.97897460000000003</v>
      </c>
      <c r="AB5651">
        <v>20</v>
      </c>
      <c r="AC5651">
        <v>16.330199999999898</v>
      </c>
      <c r="AD5651">
        <v>-1.1143299420746999</v>
      </c>
      <c r="AE5651">
        <v>1.0553699999999999</v>
      </c>
      <c r="AF5651">
        <v>-3.3416754503016901</v>
      </c>
      <c r="AG5651">
        <v>-1.1143299420746999</v>
      </c>
      <c r="AH5651">
        <v>15.9422754981948</v>
      </c>
      <c r="AI5651">
        <v>93.913568047905997</v>
      </c>
      <c r="AJ5651">
        <v>101.838427823779</v>
      </c>
      <c r="AK5651">
        <v>16.326808447926801</v>
      </c>
      <c r="AL5651">
        <v>90.209936855994002</v>
      </c>
      <c r="AM5651">
        <v>87.820897975893004</v>
      </c>
      <c r="AN5651">
        <v>0.999999956428134</v>
      </c>
    </row>
    <row r="5652" spans="1:40" x14ac:dyDescent="0.25">
      <c r="A5652" t="str">
        <f>"20190312154948577"</f>
        <v>20190312154948577</v>
      </c>
      <c r="B5652" t="str">
        <f>"1552376988571356"</f>
        <v>1552376988571356</v>
      </c>
      <c r="C5652" t="s">
        <v>40</v>
      </c>
      <c r="D5652">
        <v>4.75075</v>
      </c>
      <c r="E5652">
        <v>0.4067016</v>
      </c>
      <c r="F5652" t="s">
        <v>69</v>
      </c>
      <c r="G5652">
        <v>-377.43650000000002</v>
      </c>
      <c r="H5652" s="1">
        <v>-1.257951E-6</v>
      </c>
      <c r="I5652">
        <v>19.86326</v>
      </c>
      <c r="J5652">
        <v>-394.29020000000003</v>
      </c>
      <c r="K5652">
        <v>1.1142909999999999</v>
      </c>
      <c r="L5652">
        <v>18.718720000000001</v>
      </c>
      <c r="M5652">
        <v>0.99040439999999996</v>
      </c>
      <c r="N5652">
        <v>0</v>
      </c>
      <c r="O5652">
        <v>-0.13747989999999999</v>
      </c>
      <c r="P5652">
        <v>0.98440749999999999</v>
      </c>
      <c r="Q5652">
        <v>-1.720698E-2</v>
      </c>
      <c r="R5652">
        <v>-0.1750591</v>
      </c>
      <c r="S5652">
        <v>3.0836790000000001</v>
      </c>
      <c r="T5652">
        <v>-0.20268610000000001</v>
      </c>
      <c r="U5652">
        <v>0.2064819</v>
      </c>
      <c r="V5652">
        <v>3.8077159999999999E-2</v>
      </c>
      <c r="W5652">
        <v>-2.739455E-3</v>
      </c>
      <c r="X5652">
        <v>0.99927100000000002</v>
      </c>
      <c r="Y5652">
        <v>-0.2026309</v>
      </c>
      <c r="Z5652">
        <v>1.5651040000000001E-2</v>
      </c>
      <c r="AA5652">
        <v>0.9791301</v>
      </c>
      <c r="AB5652">
        <v>20</v>
      </c>
      <c r="AC5652">
        <v>16.8537</v>
      </c>
      <c r="AD5652">
        <v>-1.114292257951</v>
      </c>
      <c r="AE5652">
        <v>1.1445399999999899</v>
      </c>
      <c r="AF5652">
        <v>-3.4359940853592401</v>
      </c>
      <c r="AG5652">
        <v>-1.114292257951</v>
      </c>
      <c r="AH5652">
        <v>16.464626935701901</v>
      </c>
      <c r="AI5652">
        <v>93.790345174062594</v>
      </c>
      <c r="AJ5652">
        <v>101.78784325741201</v>
      </c>
      <c r="AK5652">
        <v>16.856204873060701</v>
      </c>
      <c r="AL5652">
        <v>90.156959413350293</v>
      </c>
      <c r="AM5652">
        <v>87.817803609814405</v>
      </c>
      <c r="AN5652">
        <v>0.99999995308417999</v>
      </c>
    </row>
    <row r="5653" spans="1:40" x14ac:dyDescent="0.25">
      <c r="A5653" t="str">
        <f>"20190312154948588"</f>
        <v>20190312154948588</v>
      </c>
      <c r="B5653" t="str">
        <f>"1552376988582092"</f>
        <v>1552376988582092</v>
      </c>
      <c r="C5653" t="s">
        <v>40</v>
      </c>
      <c r="D5653">
        <v>4.7884859999999998</v>
      </c>
      <c r="E5653">
        <v>0.40697899999999998</v>
      </c>
      <c r="F5653" t="s">
        <v>69</v>
      </c>
      <c r="G5653">
        <v>-377.09289999999999</v>
      </c>
      <c r="H5653" s="1">
        <v>-1.4389300000000001E-6</v>
      </c>
      <c r="I5653">
        <v>19.93291</v>
      </c>
      <c r="J5653">
        <v>-394.19720000000001</v>
      </c>
      <c r="K5653">
        <v>1.114255</v>
      </c>
      <c r="L5653">
        <v>18.71021</v>
      </c>
      <c r="M5653">
        <v>0.99092690000000005</v>
      </c>
      <c r="N5653">
        <v>0</v>
      </c>
      <c r="O5653">
        <v>-0.1336638</v>
      </c>
      <c r="P5653">
        <v>0.98512100000000002</v>
      </c>
      <c r="Q5653">
        <v>-1.594626E-2</v>
      </c>
      <c r="R5653">
        <v>-0.17112239999999901</v>
      </c>
      <c r="S5653">
        <v>3.0827330000000002</v>
      </c>
      <c r="T5653">
        <v>-0.1997439</v>
      </c>
      <c r="U5653">
        <v>0.21765139999999999</v>
      </c>
      <c r="V5653">
        <v>3.7915659999999997E-2</v>
      </c>
      <c r="W5653">
        <v>-1.4903399999999999E-3</v>
      </c>
      <c r="X5653">
        <v>0.9992799</v>
      </c>
      <c r="Y5653">
        <v>-0.20243929999999999</v>
      </c>
      <c r="Z5653">
        <v>1.5175910000000001E-2</v>
      </c>
      <c r="AA5653">
        <v>0.97917719999999997</v>
      </c>
      <c r="AB5653">
        <v>20</v>
      </c>
      <c r="AC5653">
        <v>17.104299999999999</v>
      </c>
      <c r="AD5653">
        <v>-1.11425643892999</v>
      </c>
      <c r="AE5653">
        <v>1.2226999999999899</v>
      </c>
      <c r="AF5653">
        <v>-3.4834700070182798</v>
      </c>
      <c r="AG5653">
        <v>-1.11425643892999</v>
      </c>
      <c r="AH5653">
        <v>16.716758486494399</v>
      </c>
      <c r="AI5653">
        <v>93.733449107442397</v>
      </c>
      <c r="AJ5653">
        <v>101.77095618684</v>
      </c>
      <c r="AK5653">
        <v>17.112163656220499</v>
      </c>
      <c r="AL5653">
        <v>90.085390217803393</v>
      </c>
      <c r="AM5653">
        <v>87.827069594252094</v>
      </c>
      <c r="AN5653">
        <v>1.0000000684652699</v>
      </c>
    </row>
    <row r="5654" spans="1:40" x14ac:dyDescent="0.25">
      <c r="A5654" t="str">
        <f>"20190312154948600"</f>
        <v>20190312154948600</v>
      </c>
      <c r="B5654" t="str">
        <f>"1552376988591851"</f>
        <v>1552376988591851</v>
      </c>
      <c r="C5654" t="s">
        <v>40</v>
      </c>
      <c r="D5654">
        <v>4.9266509999999997</v>
      </c>
      <c r="E5654">
        <v>0.40736939999999999</v>
      </c>
      <c r="F5654" t="s">
        <v>69</v>
      </c>
      <c r="G5654">
        <v>-376.63310000000001</v>
      </c>
      <c r="H5654" s="1">
        <v>-1.6762290000000001E-6</v>
      </c>
      <c r="I5654">
        <v>20.007940000000001</v>
      </c>
      <c r="J5654">
        <v>-394.09379999999999</v>
      </c>
      <c r="K5654">
        <v>1.1142129999999999</v>
      </c>
      <c r="L5654">
        <v>18.701170000000001</v>
      </c>
      <c r="M5654">
        <v>0.9914849</v>
      </c>
      <c r="N5654">
        <v>0</v>
      </c>
      <c r="O5654">
        <v>-0.12945909999999999</v>
      </c>
      <c r="P5654">
        <v>0.98587829999999999</v>
      </c>
      <c r="Q5654">
        <v>-1.503757E-2</v>
      </c>
      <c r="R5654">
        <v>-0.16678680000000001</v>
      </c>
      <c r="S5654">
        <v>3.0816650000000001</v>
      </c>
      <c r="T5654">
        <v>-0.19549910000000001</v>
      </c>
      <c r="U5654">
        <v>0.2276917</v>
      </c>
      <c r="V5654">
        <v>3.7747210000000003E-2</v>
      </c>
      <c r="W5654">
        <v>-5.9553679999999997E-4</v>
      </c>
      <c r="X5654">
        <v>0.99928709999999998</v>
      </c>
      <c r="Y5654">
        <v>-0.2015226</v>
      </c>
      <c r="Z5654">
        <v>1.456386E-2</v>
      </c>
      <c r="AA5654">
        <v>0.97937560000000001</v>
      </c>
      <c r="AB5654">
        <v>20</v>
      </c>
      <c r="AC5654">
        <v>17.4606999999999</v>
      </c>
      <c r="AD5654">
        <v>-1.1142146762289999</v>
      </c>
      <c r="AE5654">
        <v>1.30676999999999</v>
      </c>
      <c r="AF5654">
        <v>-3.5420980899994898</v>
      </c>
      <c r="AG5654">
        <v>-1.1142146762289999</v>
      </c>
      <c r="AH5654">
        <v>17.075400005448699</v>
      </c>
      <c r="AI5654">
        <v>93.655797507696604</v>
      </c>
      <c r="AJ5654">
        <v>101.71915146203401</v>
      </c>
      <c r="AK5654">
        <v>17.4744733417056</v>
      </c>
      <c r="AL5654">
        <v>90.034121748656005</v>
      </c>
      <c r="AM5654">
        <v>87.836729771854493</v>
      </c>
      <c r="AN5654">
        <v>0.99999995737663605</v>
      </c>
    </row>
    <row r="5655" spans="1:40" x14ac:dyDescent="0.25">
      <c r="A5655" t="str">
        <f>"20190312154948611"</f>
        <v>20190312154948611</v>
      </c>
      <c r="B5655" t="str">
        <f>"1552376988601612"</f>
        <v>1552376988601612</v>
      </c>
      <c r="C5655" t="s">
        <v>40</v>
      </c>
      <c r="D5655">
        <v>4.8203449999999997</v>
      </c>
      <c r="E5655">
        <v>0.4077981</v>
      </c>
      <c r="F5655" t="s">
        <v>69</v>
      </c>
      <c r="G5655">
        <v>-376.05489999999998</v>
      </c>
      <c r="H5655" s="1">
        <v>-1.972754E-6</v>
      </c>
      <c r="I5655">
        <v>20.095179999999999</v>
      </c>
      <c r="J5655">
        <v>-394.0043</v>
      </c>
      <c r="K5655">
        <v>1.1141760000000001</v>
      </c>
      <c r="L5655">
        <v>18.6937</v>
      </c>
      <c r="M5655">
        <v>0.99194910000000003</v>
      </c>
      <c r="N5655">
        <v>0</v>
      </c>
      <c r="O5655">
        <v>-0.12585379999999999</v>
      </c>
      <c r="P5655">
        <v>0.98646400000000001</v>
      </c>
      <c r="Q5655">
        <v>-1.4281749999999999E-2</v>
      </c>
      <c r="R5655">
        <v>-0.163354799999999</v>
      </c>
      <c r="S5655">
        <v>3.080292</v>
      </c>
      <c r="T5655">
        <v>-0.19026109999999999</v>
      </c>
      <c r="U5655">
        <v>0.2380371</v>
      </c>
      <c r="V5655">
        <v>3.7893549999999998E-2</v>
      </c>
      <c r="W5655">
        <v>1.500288E-4</v>
      </c>
      <c r="X5655">
        <v>0.9992818</v>
      </c>
      <c r="Y5655">
        <v>-0.20130670000000001</v>
      </c>
      <c r="Z5655">
        <v>1.3951359999999999E-2</v>
      </c>
      <c r="AA5655">
        <v>0.97942890000000005</v>
      </c>
      <c r="AB5655">
        <v>20</v>
      </c>
      <c r="AC5655">
        <v>17.949400000000001</v>
      </c>
      <c r="AD5655">
        <v>-1.114177972754</v>
      </c>
      <c r="AE5655">
        <v>1.4014799999999901</v>
      </c>
      <c r="AF5655">
        <v>-3.6356344421851499</v>
      </c>
      <c r="AG5655">
        <v>-1.114177972754</v>
      </c>
      <c r="AH5655">
        <v>17.562991596113001</v>
      </c>
      <c r="AI5655">
        <v>93.554755957135001</v>
      </c>
      <c r="AJ5655">
        <v>101.695350657598</v>
      </c>
      <c r="AK5655">
        <v>17.969916643026199</v>
      </c>
      <c r="AL5655">
        <v>89.991403983177804</v>
      </c>
      <c r="AM5655">
        <v>87.828339620581502</v>
      </c>
      <c r="AN5655">
        <v>1.0000000297257401</v>
      </c>
    </row>
    <row r="5656" spans="1:40" x14ac:dyDescent="0.25">
      <c r="A5656" t="str">
        <f>"20190312154948622"</f>
        <v>20190312154948622</v>
      </c>
      <c r="B5656" t="str">
        <f>"1552376988611372"</f>
        <v>1552376988611372</v>
      </c>
      <c r="C5656" t="s">
        <v>40</v>
      </c>
      <c r="D5656">
        <v>4.8034480000000004</v>
      </c>
      <c r="E5656">
        <v>0.40820909999999999</v>
      </c>
      <c r="F5656" t="s">
        <v>69</v>
      </c>
      <c r="G5656">
        <v>-375.69310000000002</v>
      </c>
      <c r="H5656" s="1">
        <v>-2.1590960000000001E-6</v>
      </c>
      <c r="I5656">
        <v>20.15269</v>
      </c>
      <c r="J5656">
        <v>-393.90499999999997</v>
      </c>
      <c r="K5656">
        <v>1.1141259999999999</v>
      </c>
      <c r="L5656">
        <v>18.685669999999998</v>
      </c>
      <c r="M5656">
        <v>0.99244589999999999</v>
      </c>
      <c r="N5656">
        <v>0</v>
      </c>
      <c r="O5656">
        <v>-0.1218765</v>
      </c>
      <c r="P5656">
        <v>0.98711059999999995</v>
      </c>
      <c r="Q5656">
        <v>-1.3247419999999999E-2</v>
      </c>
      <c r="R5656">
        <v>-0.15949050000000001</v>
      </c>
      <c r="S5656">
        <v>3.0790410000000001</v>
      </c>
      <c r="T5656">
        <v>-0.18734919999999999</v>
      </c>
      <c r="U5656">
        <v>0.24533079999999999</v>
      </c>
      <c r="V5656">
        <v>3.7974040000000001E-2</v>
      </c>
      <c r="W5656">
        <v>1.172368E-3</v>
      </c>
      <c r="X5656">
        <v>0.999278</v>
      </c>
      <c r="Y5656">
        <v>-0.19974549999999999</v>
      </c>
      <c r="Z5656">
        <v>1.3454809999999999E-2</v>
      </c>
      <c r="AA5656">
        <v>0.9797555</v>
      </c>
      <c r="AB5656">
        <v>20</v>
      </c>
      <c r="AC5656">
        <v>18.211899999999901</v>
      </c>
      <c r="AD5656">
        <v>-1.1141281590959999</v>
      </c>
      <c r="AE5656">
        <v>1.46701999999999</v>
      </c>
      <c r="AF5656">
        <v>-3.66228549845636</v>
      </c>
      <c r="AG5656">
        <v>-1.1141281590959999</v>
      </c>
      <c r="AH5656">
        <v>17.8309935044052</v>
      </c>
      <c r="AI5656">
        <v>93.502422298592705</v>
      </c>
      <c r="AJ5656">
        <v>101.60650011756</v>
      </c>
      <c r="AK5656">
        <v>18.237268051471801</v>
      </c>
      <c r="AL5656">
        <v>89.932828243605201</v>
      </c>
      <c r="AM5656">
        <v>87.8237229418352</v>
      </c>
      <c r="AN5656">
        <v>0.99999996172232297</v>
      </c>
    </row>
    <row r="5657" spans="1:40" x14ac:dyDescent="0.25">
      <c r="A5657" t="str">
        <f>"20190312154948632"</f>
        <v>20190312154948632</v>
      </c>
      <c r="B5657" t="str">
        <f>"1552376988621132"</f>
        <v>1552376988621132</v>
      </c>
      <c r="C5657" t="s">
        <v>40</v>
      </c>
      <c r="D5657">
        <v>4.7807329999999997</v>
      </c>
      <c r="E5657">
        <v>0.40820909999999999</v>
      </c>
      <c r="F5657" t="s">
        <v>69</v>
      </c>
      <c r="G5657">
        <v>-375.25920000000002</v>
      </c>
      <c r="H5657" s="1">
        <v>-2.3835109999999998E-6</v>
      </c>
      <c r="I5657">
        <v>20.225359999999998</v>
      </c>
      <c r="J5657">
        <v>-393.81979999999999</v>
      </c>
      <c r="K5657">
        <v>1.1140810000000001</v>
      </c>
      <c r="L5657">
        <v>18.679169999999999</v>
      </c>
      <c r="M5657">
        <v>0.99285230000000002</v>
      </c>
      <c r="N5657">
        <v>0</v>
      </c>
      <c r="O5657">
        <v>-0.1185205</v>
      </c>
      <c r="P5657">
        <v>0.98765579999999997</v>
      </c>
      <c r="Q5657">
        <v>-1.2150940000000001E-2</v>
      </c>
      <c r="R5657">
        <v>-0.15616849999999999</v>
      </c>
      <c r="S5657">
        <v>3.0777589999999999</v>
      </c>
      <c r="T5657">
        <v>-0.18390380000000001</v>
      </c>
      <c r="U5657">
        <v>0.2541504</v>
      </c>
      <c r="V5657">
        <v>3.7978339999999999E-2</v>
      </c>
      <c r="W5657">
        <v>2.256217E-3</v>
      </c>
      <c r="X5657">
        <v>0.99927600000000005</v>
      </c>
      <c r="Y5657">
        <v>-0.1992826</v>
      </c>
      <c r="Z5657">
        <v>1.2998869999999999E-2</v>
      </c>
      <c r="AA5657">
        <v>0.97985580000000005</v>
      </c>
      <c r="AB5657">
        <v>20</v>
      </c>
      <c r="AC5657">
        <v>18.560599999999901</v>
      </c>
      <c r="AD5657">
        <v>-1.11408338351099</v>
      </c>
      <c r="AE5657">
        <v>1.54618999999999</v>
      </c>
      <c r="AF5657">
        <v>-3.7220006629912001</v>
      </c>
      <c r="AG5657">
        <v>-1.11408338351099</v>
      </c>
      <c r="AH5657">
        <v>18.181424123794098</v>
      </c>
      <c r="AI5657">
        <v>93.435396459601805</v>
      </c>
      <c r="AJ5657">
        <v>101.569425647076</v>
      </c>
      <c r="AK5657">
        <v>18.5918975333344</v>
      </c>
      <c r="AL5657">
        <v>89.870728176553698</v>
      </c>
      <c r="AM5657">
        <v>87.823472395536001</v>
      </c>
      <c r="AN5657">
        <v>0.99999998450015304</v>
      </c>
    </row>
    <row r="5658" spans="1:40" x14ac:dyDescent="0.25">
      <c r="A5658" t="str">
        <f>"20190312154948643"</f>
        <v>20190312154948643</v>
      </c>
      <c r="B5658" t="str">
        <f>"1552376988631868"</f>
        <v>1552376988631868</v>
      </c>
      <c r="C5658" t="s">
        <v>40</v>
      </c>
      <c r="D5658">
        <v>4.8037559999999999</v>
      </c>
      <c r="E5658">
        <v>0.42373379999999999</v>
      </c>
      <c r="F5658" t="s">
        <v>69</v>
      </c>
      <c r="G5658">
        <v>-374.81200000000001</v>
      </c>
      <c r="H5658" s="1">
        <v>-2.6183060000000002E-6</v>
      </c>
      <c r="I5658">
        <v>20.313179999999999</v>
      </c>
      <c r="J5658">
        <v>-393.72629999999998</v>
      </c>
      <c r="K5658">
        <v>1.114028</v>
      </c>
      <c r="L5658">
        <v>18.672180000000001</v>
      </c>
      <c r="M5658">
        <v>0.99328349999999999</v>
      </c>
      <c r="N5658">
        <v>0</v>
      </c>
      <c r="O5658">
        <v>-0.1148526</v>
      </c>
      <c r="P5658">
        <v>0.98820669999999999</v>
      </c>
      <c r="Q5658">
        <v>-1.0881750000000001E-2</v>
      </c>
      <c r="R5658">
        <v>-0.1527385</v>
      </c>
      <c r="S5658">
        <v>3.077118</v>
      </c>
      <c r="T5658">
        <v>-0.1803555</v>
      </c>
      <c r="U5658">
        <v>0.26452639999999999</v>
      </c>
      <c r="V5658">
        <v>3.8186270000000001E-2</v>
      </c>
      <c r="W5658">
        <v>3.5131540000000001E-3</v>
      </c>
      <c r="X5658">
        <v>0.9992645</v>
      </c>
      <c r="Y5658">
        <v>-0.19898930000000001</v>
      </c>
      <c r="Z5658">
        <v>1.252726E-2</v>
      </c>
      <c r="AA5658">
        <v>0.97992159999999995</v>
      </c>
      <c r="AB5658">
        <v>20</v>
      </c>
      <c r="AC5658">
        <v>18.914300000000001</v>
      </c>
      <c r="AD5658">
        <v>-1.114030618306</v>
      </c>
      <c r="AE5658">
        <v>1.641</v>
      </c>
      <c r="AF5658">
        <v>-3.7896605030435402</v>
      </c>
      <c r="AG5658">
        <v>-1.114030618306</v>
      </c>
      <c r="AH5658">
        <v>18.536793985561498</v>
      </c>
      <c r="AI5658">
        <v>93.369711552234605</v>
      </c>
      <c r="AJ5658">
        <v>101.554326293183</v>
      </c>
      <c r="AK5658">
        <v>18.952976605536101</v>
      </c>
      <c r="AL5658">
        <v>89.798710696449206</v>
      </c>
      <c r="AM5658">
        <v>87.811542381686493</v>
      </c>
      <c r="AN5658">
        <v>1.00000003721389</v>
      </c>
    </row>
    <row r="5659" spans="1:40" x14ac:dyDescent="0.25">
      <c r="A5659" t="str">
        <f>"20190312154948656"</f>
        <v>20190312154948656</v>
      </c>
      <c r="B5659" t="str">
        <f>"1552376988651387"</f>
        <v>1552376988651387</v>
      </c>
      <c r="C5659" t="s">
        <v>40</v>
      </c>
      <c r="D5659">
        <v>4.8230459999999997</v>
      </c>
      <c r="E5659">
        <v>0.42554120000000001</v>
      </c>
      <c r="F5659" t="s">
        <v>69</v>
      </c>
      <c r="G5659">
        <v>-373.89299999999997</v>
      </c>
      <c r="H5659" s="1">
        <v>-2.879082E-6</v>
      </c>
      <c r="I5659">
        <v>19.660620000000002</v>
      </c>
      <c r="J5659">
        <v>-393.61880000000002</v>
      </c>
      <c r="K5659">
        <v>1.1139520000000001</v>
      </c>
      <c r="L5659">
        <v>18.6647</v>
      </c>
      <c r="M5659">
        <v>0.99375190000000002</v>
      </c>
      <c r="N5659">
        <v>0</v>
      </c>
      <c r="O5659">
        <v>-0.1107272</v>
      </c>
      <c r="P5659">
        <v>0.98881019999999997</v>
      </c>
      <c r="Q5659">
        <v>-9.8302219999999996E-3</v>
      </c>
      <c r="R5659">
        <v>-0.1488555</v>
      </c>
      <c r="S5659">
        <v>3.0574340000000002</v>
      </c>
      <c r="T5659">
        <v>-0.17173540000000001</v>
      </c>
      <c r="U5659">
        <v>0.15237429999999999</v>
      </c>
      <c r="V5659">
        <v>3.8399719999999998E-2</v>
      </c>
      <c r="W5659">
        <v>4.5483600000000004E-3</v>
      </c>
      <c r="X5659">
        <v>0.99925209999999998</v>
      </c>
      <c r="Y5659">
        <v>-0.15964510000000001</v>
      </c>
      <c r="Z5659">
        <v>1.0683399999999999E-2</v>
      </c>
      <c r="AA5659">
        <v>0.98711669999999996</v>
      </c>
      <c r="AB5659">
        <v>20</v>
      </c>
      <c r="AC5659">
        <v>19.7257999999999</v>
      </c>
      <c r="AD5659">
        <v>-1.113954879082</v>
      </c>
      <c r="AE5659">
        <v>0.99592000000000103</v>
      </c>
      <c r="AF5659">
        <v>-3.1641270987053098</v>
      </c>
      <c r="AG5659">
        <v>-1.113954879082</v>
      </c>
      <c r="AH5659">
        <v>19.4323787219389</v>
      </c>
      <c r="AI5659">
        <v>93.238316493747902</v>
      </c>
      <c r="AJ5659">
        <v>99.248171085690402</v>
      </c>
      <c r="AK5659">
        <v>19.7197854593364</v>
      </c>
      <c r="AL5659">
        <v>89.739397267849995</v>
      </c>
      <c r="AM5659">
        <v>87.799294260441997</v>
      </c>
      <c r="AN5659">
        <v>0.99999999271458795</v>
      </c>
    </row>
    <row r="5660" spans="1:40" x14ac:dyDescent="0.25">
      <c r="A5660" t="str">
        <f>"20190312154948669"</f>
        <v>20190312154948669</v>
      </c>
      <c r="B5660" t="str">
        <f>"1552376988662124"</f>
        <v>1552376988662124</v>
      </c>
      <c r="C5660" t="s">
        <v>40</v>
      </c>
      <c r="D5660">
        <v>4.77102</v>
      </c>
      <c r="E5660">
        <v>0.42631140000000001</v>
      </c>
      <c r="F5660" t="s">
        <v>69</v>
      </c>
      <c r="G5660">
        <v>-373.17309999999998</v>
      </c>
      <c r="H5660" s="1">
        <v>-3.2213470000000002E-6</v>
      </c>
      <c r="I5660">
        <v>19.66797</v>
      </c>
      <c r="J5660">
        <v>-393.5027</v>
      </c>
      <c r="K5660">
        <v>1.113866</v>
      </c>
      <c r="L5660">
        <v>18.656890000000001</v>
      </c>
      <c r="M5660">
        <v>0.99423260000000002</v>
      </c>
      <c r="N5660">
        <v>0</v>
      </c>
      <c r="O5660">
        <v>-0.10632510000000001</v>
      </c>
      <c r="P5660">
        <v>0.98945139999999998</v>
      </c>
      <c r="Q5660">
        <v>-8.7283940000000004E-3</v>
      </c>
      <c r="R5660">
        <v>-0.14460209999999901</v>
      </c>
      <c r="S5660">
        <v>3.0548709999999999</v>
      </c>
      <c r="T5660">
        <v>-0.16644010000000001</v>
      </c>
      <c r="U5660">
        <v>0.14990229999999999</v>
      </c>
      <c r="V5660">
        <v>3.8517830000000003E-2</v>
      </c>
      <c r="W5660">
        <v>5.6293360000000004E-3</v>
      </c>
      <c r="X5660">
        <v>0.99924210000000002</v>
      </c>
      <c r="Y5660">
        <v>-0.15455479999999899</v>
      </c>
      <c r="Z5660">
        <v>9.9860179999999993E-3</v>
      </c>
      <c r="AA5660">
        <v>0.98793379999999997</v>
      </c>
      <c r="AB5660">
        <v>20</v>
      </c>
      <c r="AC5660">
        <v>20.329599999999999</v>
      </c>
      <c r="AD5660">
        <v>-1.1138692213470001</v>
      </c>
      <c r="AE5660">
        <v>1.01107999999999</v>
      </c>
      <c r="AF5660">
        <v>-3.15765077029873</v>
      </c>
      <c r="AG5660">
        <v>-1.1138692213470001</v>
      </c>
      <c r="AH5660">
        <v>20.046791592004599</v>
      </c>
      <c r="AI5660">
        <v>93.1416268368245</v>
      </c>
      <c r="AJ5660">
        <v>98.951342604659203</v>
      </c>
      <c r="AK5660">
        <v>20.324500391466</v>
      </c>
      <c r="AL5660">
        <v>89.677461116252601</v>
      </c>
      <c r="AM5660">
        <v>87.792509938255805</v>
      </c>
      <c r="AN5660">
        <v>1.00000004353205</v>
      </c>
    </row>
    <row r="5661" spans="1:40" x14ac:dyDescent="0.25">
      <c r="A5661" t="str">
        <f>"20190312154948690"</f>
        <v>20190312154948690</v>
      </c>
      <c r="B5661" t="str">
        <f>"1552376988681644"</f>
        <v>1552376988681644</v>
      </c>
      <c r="C5661" t="s">
        <v>40</v>
      </c>
      <c r="D5661">
        <v>4.8401230000000002</v>
      </c>
      <c r="E5661">
        <v>0.42808109999999999</v>
      </c>
      <c r="F5661" t="s">
        <v>69</v>
      </c>
      <c r="G5661">
        <v>-373.12560000000002</v>
      </c>
      <c r="H5661" s="1">
        <v>-3.2534449999999998E-6</v>
      </c>
      <c r="I5661">
        <v>19.7043</v>
      </c>
      <c r="J5661">
        <v>-393.32659999999998</v>
      </c>
      <c r="K5661">
        <v>1.113721</v>
      </c>
      <c r="L5661">
        <v>18.645969999999998</v>
      </c>
      <c r="M5661">
        <v>0.99490579999999995</v>
      </c>
      <c r="N5661">
        <v>0</v>
      </c>
      <c r="O5661">
        <v>-9.9834989999999998E-2</v>
      </c>
      <c r="P5661">
        <v>0.99036449999999998</v>
      </c>
      <c r="Q5661">
        <v>-8.1243029999999994E-3</v>
      </c>
      <c r="R5661">
        <v>-0.1382477</v>
      </c>
      <c r="S5661">
        <v>3.0534669999999999</v>
      </c>
      <c r="T5661">
        <v>-0.16691139999999999</v>
      </c>
      <c r="U5661">
        <v>0.15695190000000001</v>
      </c>
      <c r="V5661">
        <v>3.8620729999999999E-2</v>
      </c>
      <c r="W5661">
        <v>6.1972379999999999E-3</v>
      </c>
      <c r="X5661">
        <v>0.99923470000000003</v>
      </c>
      <c r="Y5661">
        <v>-0.150417299999999</v>
      </c>
      <c r="Z5661">
        <v>9.5521619999999995E-3</v>
      </c>
      <c r="AA5661">
        <v>0.98857649999999997</v>
      </c>
      <c r="AB5661">
        <v>20</v>
      </c>
      <c r="AC5661">
        <v>20.200999999999901</v>
      </c>
      <c r="AD5661">
        <v>-1.113724253445</v>
      </c>
      <c r="AE5661">
        <v>1.05832999999999</v>
      </c>
      <c r="AF5661">
        <v>-3.0607275027118801</v>
      </c>
      <c r="AG5661">
        <v>-1.113724253445</v>
      </c>
      <c r="AH5661">
        <v>19.9339630118344</v>
      </c>
      <c r="AI5661">
        <v>93.160863997088299</v>
      </c>
      <c r="AJ5661">
        <v>98.7292133721417</v>
      </c>
      <c r="AK5661">
        <v>20.198299827355498</v>
      </c>
      <c r="AL5661">
        <v>89.6449221366167</v>
      </c>
      <c r="AM5661">
        <v>87.7866021328459</v>
      </c>
      <c r="AN5661">
        <v>0.99999997611432501</v>
      </c>
    </row>
    <row r="5662" spans="1:40" x14ac:dyDescent="0.25">
      <c r="A5662" t="str">
        <f>"20190312154948706"</f>
        <v>20190312154948706</v>
      </c>
      <c r="B5662" t="str">
        <f>"1552376988701164"</f>
        <v>1552376988701164</v>
      </c>
      <c r="C5662" t="s">
        <v>40</v>
      </c>
      <c r="D5662">
        <v>4.8224739999999997</v>
      </c>
      <c r="E5662">
        <v>0.42877609999999999</v>
      </c>
      <c r="F5662" t="s">
        <v>69</v>
      </c>
      <c r="G5662">
        <v>-373.26280000000003</v>
      </c>
      <c r="H5662" s="1">
        <v>-3.191274E-6</v>
      </c>
      <c r="I5662">
        <v>19.71442</v>
      </c>
      <c r="J5662">
        <v>-393.19130000000001</v>
      </c>
      <c r="K5662">
        <v>1.1135980000000001</v>
      </c>
      <c r="L5662">
        <v>18.638089999999998</v>
      </c>
      <c r="M5662">
        <v>0.9953824</v>
      </c>
      <c r="N5662">
        <v>0</v>
      </c>
      <c r="O5662">
        <v>-9.496802E-2</v>
      </c>
      <c r="P5662">
        <v>0.9910272</v>
      </c>
      <c r="Q5662">
        <v>-8.5690409999999995E-3</v>
      </c>
      <c r="R5662">
        <v>-0.13338659999999999</v>
      </c>
      <c r="S5662">
        <v>3.050446</v>
      </c>
      <c r="T5662">
        <v>-0.16932759999999999</v>
      </c>
      <c r="U5662">
        <v>0.16244510000000001</v>
      </c>
      <c r="V5662">
        <v>3.8610690000000003E-2</v>
      </c>
      <c r="W5662">
        <v>5.7223169999999898E-3</v>
      </c>
      <c r="X5662">
        <v>0.99923799999999996</v>
      </c>
      <c r="Y5662">
        <v>-0.14740780000000001</v>
      </c>
      <c r="Z5662">
        <v>9.3469009999999995E-3</v>
      </c>
      <c r="AA5662">
        <v>0.98903160000000001</v>
      </c>
      <c r="AB5662">
        <v>20</v>
      </c>
      <c r="AC5662">
        <v>19.9284999999999</v>
      </c>
      <c r="AD5662">
        <v>-1.11360119127399</v>
      </c>
      <c r="AE5662">
        <v>1.07633</v>
      </c>
      <c r="AF5662">
        <v>-2.95501870906274</v>
      </c>
      <c r="AG5662">
        <v>-1.11360119127399</v>
      </c>
      <c r="AH5662">
        <v>19.674927774931799</v>
      </c>
      <c r="AI5662">
        <v>93.203629985852103</v>
      </c>
      <c r="AJ5662">
        <v>98.541529597716405</v>
      </c>
      <c r="AK5662">
        <v>19.926741483064902</v>
      </c>
      <c r="AL5662">
        <v>89.672133615707907</v>
      </c>
      <c r="AM5662">
        <v>87.787184265180798</v>
      </c>
      <c r="AN5662">
        <v>1.00000005546906</v>
      </c>
    </row>
    <row r="5663" spans="1:40" x14ac:dyDescent="0.25">
      <c r="A5663" t="str">
        <f>"20190312154948721"</f>
        <v>20190312154948721</v>
      </c>
      <c r="B5663" t="str">
        <f>"1552376988711900"</f>
        <v>1552376988711900</v>
      </c>
      <c r="C5663" t="s">
        <v>40</v>
      </c>
      <c r="D5663">
        <v>4.8695269999999997</v>
      </c>
      <c r="E5663">
        <v>0.43572680000000003</v>
      </c>
      <c r="F5663" t="s">
        <v>69</v>
      </c>
      <c r="G5663">
        <v>-373.66989999999998</v>
      </c>
      <c r="H5663" s="1">
        <v>-3.0054769999999999E-6</v>
      </c>
      <c r="I5663">
        <v>19.739370000000001</v>
      </c>
      <c r="J5663">
        <v>-393.05329999999998</v>
      </c>
      <c r="K5663">
        <v>1.1134759999999999</v>
      </c>
      <c r="L5663">
        <v>18.630710000000001</v>
      </c>
      <c r="M5663">
        <v>0.99582950000000003</v>
      </c>
      <c r="N5663">
        <v>0</v>
      </c>
      <c r="O5663">
        <v>-9.0161930000000001E-2</v>
      </c>
      <c r="P5663">
        <v>0.99173610000000001</v>
      </c>
      <c r="Q5663">
        <v>-9.4519589999999994E-3</v>
      </c>
      <c r="R5663">
        <v>-0.12794539999999999</v>
      </c>
      <c r="S5663">
        <v>3.0488279999999999</v>
      </c>
      <c r="T5663">
        <v>-0.17392149999999901</v>
      </c>
      <c r="U5663">
        <v>0.17199710000000001</v>
      </c>
      <c r="V5663">
        <v>3.7960189999999998E-2</v>
      </c>
      <c r="W5663">
        <v>4.801558E-3</v>
      </c>
      <c r="X5663">
        <v>0.99926769999999998</v>
      </c>
      <c r="Y5663">
        <v>-0.14574019999999999</v>
      </c>
      <c r="Z5663">
        <v>9.2838220000000006E-3</v>
      </c>
      <c r="AA5663">
        <v>0.98927929999999997</v>
      </c>
      <c r="AB5663">
        <v>20</v>
      </c>
      <c r="AC5663">
        <v>19.383399999999899</v>
      </c>
      <c r="AD5663">
        <v>-1.1134790054770001</v>
      </c>
      <c r="AE5663">
        <v>1.10866</v>
      </c>
      <c r="AF5663">
        <v>-2.8426085492023798</v>
      </c>
      <c r="AG5663">
        <v>-1.1134790054770001</v>
      </c>
      <c r="AH5663">
        <v>19.141510098180401</v>
      </c>
      <c r="AI5663">
        <v>93.293161288496805</v>
      </c>
      <c r="AJ5663">
        <v>98.446970856392895</v>
      </c>
      <c r="AK5663">
        <v>19.383437974166998</v>
      </c>
      <c r="AL5663">
        <v>89.724889929891901</v>
      </c>
      <c r="AM5663">
        <v>87.8244935146475</v>
      </c>
      <c r="AN5663">
        <v>0.99999998362367604</v>
      </c>
    </row>
    <row r="5664" spans="1:40" x14ac:dyDescent="0.25">
      <c r="A5664" t="str">
        <f>"20190312154948735"</f>
        <v>20190312154948735</v>
      </c>
      <c r="B5664" t="str">
        <f>"1552376988721661"</f>
        <v>1552376988721661</v>
      </c>
      <c r="C5664" t="s">
        <v>40</v>
      </c>
      <c r="D5664">
        <v>4.8656059999999997</v>
      </c>
      <c r="E5664">
        <v>0.43591459999999999</v>
      </c>
      <c r="F5664" t="s">
        <v>69</v>
      </c>
      <c r="G5664">
        <v>-375.81060000000002</v>
      </c>
      <c r="H5664" s="1">
        <v>-2.000434E-6</v>
      </c>
      <c r="I5664">
        <v>19.393059999999998</v>
      </c>
      <c r="J5664">
        <v>-392.94490000000002</v>
      </c>
      <c r="K5664">
        <v>1.1133770000000001</v>
      </c>
      <c r="L5664">
        <v>18.62527</v>
      </c>
      <c r="M5664">
        <v>0.99615549999999997</v>
      </c>
      <c r="N5664">
        <v>0</v>
      </c>
      <c r="O5664">
        <v>-8.6487729999999999E-2</v>
      </c>
      <c r="P5664">
        <v>0.99221110000000001</v>
      </c>
      <c r="Q5664">
        <v>-9.0941600000000004E-3</v>
      </c>
      <c r="R5664">
        <v>-0.1242355</v>
      </c>
      <c r="S5664">
        <v>3.0404969999999998</v>
      </c>
      <c r="T5664">
        <v>-0.1963453</v>
      </c>
      <c r="U5664">
        <v>0.13442989999999999</v>
      </c>
      <c r="V5664">
        <v>3.790723E-2</v>
      </c>
      <c r="W5664">
        <v>5.1339080000000004E-3</v>
      </c>
      <c r="X5664">
        <v>0.99926809999999999</v>
      </c>
      <c r="Y5664">
        <v>-0.1299661</v>
      </c>
      <c r="Z5664">
        <v>9.7645200000000005E-3</v>
      </c>
      <c r="AA5664">
        <v>0.99147030000000003</v>
      </c>
      <c r="AB5664">
        <v>20</v>
      </c>
      <c r="AC5664">
        <v>17.1342999999999</v>
      </c>
      <c r="AD5664">
        <v>-1.1133790004340001</v>
      </c>
      <c r="AE5664">
        <v>0.76779000000000097</v>
      </c>
      <c r="AF5664">
        <v>-2.23753431242229</v>
      </c>
      <c r="AG5664">
        <v>-1.1133790004340001</v>
      </c>
      <c r="AH5664">
        <v>16.932322219094399</v>
      </c>
      <c r="AI5664">
        <v>93.729717040283703</v>
      </c>
      <c r="AJ5664">
        <v>97.527777662215897</v>
      </c>
      <c r="AK5664">
        <v>17.1157736701883</v>
      </c>
      <c r="AL5664">
        <v>89.705847454486104</v>
      </c>
      <c r="AM5664">
        <v>87.827526621944202</v>
      </c>
      <c r="AN5664">
        <v>1.00000002538761</v>
      </c>
    </row>
    <row r="5665" spans="1:40" x14ac:dyDescent="0.25">
      <c r="A5665" t="str">
        <f>"20190312154948749"</f>
        <v>20190312154948749</v>
      </c>
      <c r="B5665" t="str">
        <f>"1552376988741180"</f>
        <v>1552376988741180</v>
      </c>
      <c r="C5665" t="s">
        <v>40</v>
      </c>
      <c r="D5665">
        <v>4.8501949999999896</v>
      </c>
      <c r="E5665">
        <v>0.43680239999999998</v>
      </c>
      <c r="F5665" t="s">
        <v>69</v>
      </c>
      <c r="G5665">
        <v>-374.70830000000001</v>
      </c>
      <c r="H5665" s="1">
        <v>-2.504941E-6</v>
      </c>
      <c r="I5665">
        <v>19.4863</v>
      </c>
      <c r="J5665">
        <v>-392.81700000000001</v>
      </c>
      <c r="K5665">
        <v>1.113256</v>
      </c>
      <c r="L5665">
        <v>18.619140000000002</v>
      </c>
      <c r="M5665">
        <v>0.99651380000000001</v>
      </c>
      <c r="N5665">
        <v>0</v>
      </c>
      <c r="O5665">
        <v>-8.2260009999999995E-2</v>
      </c>
      <c r="P5665">
        <v>0.99276319999999996</v>
      </c>
      <c r="Q5665">
        <v>-8.1785E-3</v>
      </c>
      <c r="R5665">
        <v>-0.11980979999999999</v>
      </c>
      <c r="S5665">
        <v>3.0398559999999999</v>
      </c>
      <c r="T5665">
        <v>-0.1855897</v>
      </c>
      <c r="U5665">
        <v>0.14352419999999999</v>
      </c>
      <c r="V5665">
        <v>3.7685410000000003E-2</v>
      </c>
      <c r="W5665">
        <v>6.0169969999999996E-3</v>
      </c>
      <c r="X5665">
        <v>0.99927149999999998</v>
      </c>
      <c r="Y5665">
        <v>-0.12878589999999901</v>
      </c>
      <c r="Z5665">
        <v>8.9388409999999995E-3</v>
      </c>
      <c r="AA5665">
        <v>0.99163210000000002</v>
      </c>
      <c r="AB5665">
        <v>19</v>
      </c>
      <c r="AC5665">
        <v>18.108699999999899</v>
      </c>
      <c r="AD5665">
        <v>-1.113258504941</v>
      </c>
      <c r="AE5665">
        <v>0.86716000000000104</v>
      </c>
      <c r="AF5665">
        <v>-2.34514370378196</v>
      </c>
      <c r="AG5665">
        <v>-1.113258504941</v>
      </c>
      <c r="AH5665">
        <v>17.9084489452875</v>
      </c>
      <c r="AI5665">
        <v>93.527113534542593</v>
      </c>
      <c r="AJ5665">
        <v>97.460533650312698</v>
      </c>
      <c r="AK5665">
        <v>18.095623424358202</v>
      </c>
      <c r="AL5665">
        <v>89.655249373383597</v>
      </c>
      <c r="AM5665">
        <v>87.840234452091906</v>
      </c>
      <c r="AN5665">
        <v>0.99999996254600698</v>
      </c>
    </row>
    <row r="5666" spans="1:40" x14ac:dyDescent="0.25">
      <c r="A5666" t="str">
        <f>"20190312154948767"</f>
        <v>20190312154948767</v>
      </c>
      <c r="B5666" t="str">
        <f>"1552376988761676"</f>
        <v>1552376988761676</v>
      </c>
      <c r="C5666" t="s">
        <v>40</v>
      </c>
      <c r="D5666">
        <v>4.9134070000000003</v>
      </c>
      <c r="E5666">
        <v>0.43814500000000001</v>
      </c>
      <c r="F5666" t="s">
        <v>69</v>
      </c>
      <c r="G5666">
        <v>-373.7371</v>
      </c>
      <c r="H5666" s="1">
        <v>-2.9514260000000001E-6</v>
      </c>
      <c r="I5666">
        <v>19.557390000000002</v>
      </c>
      <c r="J5666">
        <v>-392.65949999999998</v>
      </c>
      <c r="K5666">
        <v>1.1130910000000001</v>
      </c>
      <c r="L5666">
        <v>18.61215</v>
      </c>
      <c r="M5666">
        <v>0.99691280000000004</v>
      </c>
      <c r="N5666">
        <v>0</v>
      </c>
      <c r="O5666">
        <v>-7.7279139999999996E-2</v>
      </c>
      <c r="P5666">
        <v>0.99333720000000003</v>
      </c>
      <c r="Q5666">
        <v>-6.6981890000000002E-3</v>
      </c>
      <c r="R5666">
        <v>-0.1150511</v>
      </c>
      <c r="S5666">
        <v>3.0384220000000002</v>
      </c>
      <c r="T5666">
        <v>-0.17728360000000001</v>
      </c>
      <c r="U5666">
        <v>0.14941409999999999</v>
      </c>
      <c r="V5666">
        <v>3.7881520000000002E-2</v>
      </c>
      <c r="W5666">
        <v>7.4574890000000003E-3</v>
      </c>
      <c r="X5666">
        <v>0.99925439999999999</v>
      </c>
      <c r="Y5666">
        <v>-0.12581719999999999</v>
      </c>
      <c r="Z5666">
        <v>8.1669020000000002E-3</v>
      </c>
      <c r="AA5666">
        <v>0.99201980000000001</v>
      </c>
      <c r="AB5666">
        <v>19</v>
      </c>
      <c r="AC5666">
        <v>18.9223999999999</v>
      </c>
      <c r="AD5666">
        <v>-1.1130939514260001</v>
      </c>
      <c r="AE5666">
        <v>0.94523999999999797</v>
      </c>
      <c r="AF5666">
        <v>-2.3965882742979199</v>
      </c>
      <c r="AG5666">
        <v>-1.1130939514260001</v>
      </c>
      <c r="AH5666">
        <v>18.728104004385798</v>
      </c>
      <c r="AI5666">
        <v>93.373891654914104</v>
      </c>
      <c r="AJ5666">
        <v>97.292363076846001</v>
      </c>
      <c r="AK5666">
        <v>18.913606031116799</v>
      </c>
      <c r="AL5666">
        <v>89.572713389588301</v>
      </c>
      <c r="AM5666">
        <v>87.828968922021303</v>
      </c>
      <c r="AN5666">
        <v>0.99999998980952698</v>
      </c>
    </row>
    <row r="5667" spans="1:40" x14ac:dyDescent="0.25">
      <c r="A5667" t="str">
        <f>"20190312154948789"</f>
        <v>20190312154948789</v>
      </c>
      <c r="B5667" t="str">
        <f>"1552376988781196"</f>
        <v>1552376988781196</v>
      </c>
      <c r="C5667" t="s">
        <v>40</v>
      </c>
      <c r="D5667">
        <v>4.9552019999999999</v>
      </c>
      <c r="E5667">
        <v>0.43917650000000003</v>
      </c>
      <c r="F5667" t="s">
        <v>69</v>
      </c>
      <c r="G5667">
        <v>-374.48230000000001</v>
      </c>
      <c r="H5667" s="1">
        <v>-2.603871E-6</v>
      </c>
      <c r="I5667">
        <v>19.531009999999998</v>
      </c>
      <c r="J5667">
        <v>-392.47469999999998</v>
      </c>
      <c r="K5667">
        <v>1.1128750000000001</v>
      </c>
      <c r="L5667">
        <v>18.60464</v>
      </c>
      <c r="M5667">
        <v>0.99732520000000002</v>
      </c>
      <c r="N5667">
        <v>0</v>
      </c>
      <c r="O5667">
        <v>-7.1766570000000002E-2</v>
      </c>
      <c r="P5667">
        <v>0.99383350000000004</v>
      </c>
      <c r="Q5667">
        <v>-7.2234459999999997E-3</v>
      </c>
      <c r="R5667">
        <v>-0.11064839999999999</v>
      </c>
      <c r="S5667">
        <v>3.0366520000000001</v>
      </c>
      <c r="T5667">
        <v>-0.1859518</v>
      </c>
      <c r="U5667">
        <v>0.15350339999999901</v>
      </c>
      <c r="V5667">
        <v>3.898592E-2</v>
      </c>
      <c r="W5667">
        <v>6.8867299999999998E-3</v>
      </c>
      <c r="X5667">
        <v>0.99921599999999999</v>
      </c>
      <c r="Y5667">
        <v>-0.1216759</v>
      </c>
      <c r="Z5667">
        <v>8.1069619999999901E-3</v>
      </c>
      <c r="AA5667">
        <v>0.9925368</v>
      </c>
      <c r="AB5667">
        <v>19</v>
      </c>
      <c r="AC5667">
        <v>17.9923999999999</v>
      </c>
      <c r="AD5667">
        <v>-1.112877603871</v>
      </c>
      <c r="AE5667">
        <v>0.92637000000000203</v>
      </c>
      <c r="AF5667">
        <v>-2.2069368033588099</v>
      </c>
      <c r="AG5667">
        <v>-1.112877603871</v>
      </c>
      <c r="AH5667">
        <v>17.811545725495399</v>
      </c>
      <c r="AI5667">
        <v>93.5481694701853</v>
      </c>
      <c r="AJ5667">
        <v>97.063225606504901</v>
      </c>
      <c r="AK5667">
        <v>17.982219766942901</v>
      </c>
      <c r="AL5667">
        <v>89.605416306207204</v>
      </c>
      <c r="AM5667">
        <v>87.765652020033301</v>
      </c>
      <c r="AN5667">
        <v>0.99999997183216904</v>
      </c>
    </row>
    <row r="5668" spans="1:40" x14ac:dyDescent="0.25">
      <c r="A5668" t="str">
        <f>"20190312154948801"</f>
        <v>20190312154948801</v>
      </c>
      <c r="B5668" t="str">
        <f>"1552376988791932"</f>
        <v>1552376988791932</v>
      </c>
      <c r="C5668" t="s">
        <v>40</v>
      </c>
      <c r="D5668">
        <v>5.3019049999999996</v>
      </c>
      <c r="E5668">
        <v>0.43976890000000002</v>
      </c>
      <c r="F5668" t="s">
        <v>69</v>
      </c>
      <c r="G5668">
        <v>-375.22809999999998</v>
      </c>
      <c r="H5668" s="1">
        <v>-2.2551990000000002E-6</v>
      </c>
      <c r="I5668">
        <v>19.509049999999998</v>
      </c>
      <c r="J5668">
        <v>-392.3707</v>
      </c>
      <c r="K5668">
        <v>1.112752</v>
      </c>
      <c r="L5668">
        <v>18.600709999999999</v>
      </c>
      <c r="M5668">
        <v>0.9975349</v>
      </c>
      <c r="N5668">
        <v>0</v>
      </c>
      <c r="O5668">
        <v>-6.8795579999999995E-2</v>
      </c>
      <c r="P5668">
        <v>0.99410030000000005</v>
      </c>
      <c r="Q5668">
        <v>-7.463178E-3</v>
      </c>
      <c r="R5668">
        <v>-0.10820920000000001</v>
      </c>
      <c r="S5668">
        <v>3.0349119999999998</v>
      </c>
      <c r="T5668">
        <v>-0.1958348</v>
      </c>
      <c r="U5668">
        <v>0.15914919999999999</v>
      </c>
      <c r="V5668">
        <v>3.9513899999999998E-2</v>
      </c>
      <c r="W5668">
        <v>6.6201849999999998E-3</v>
      </c>
      <c r="X5668">
        <v>0.99919709999999995</v>
      </c>
      <c r="Y5668">
        <v>-0.12055829999999999</v>
      </c>
      <c r="Z5668">
        <v>8.3142890000000007E-3</v>
      </c>
      <c r="AA5668">
        <v>0.99267139999999998</v>
      </c>
      <c r="AB5668">
        <v>19</v>
      </c>
      <c r="AC5668">
        <v>17.142600000000002</v>
      </c>
      <c r="AD5668">
        <v>-1.112754255199</v>
      </c>
      <c r="AE5668">
        <v>0.90833999999999804</v>
      </c>
      <c r="AF5668">
        <v>-2.0769088549921699</v>
      </c>
      <c r="AG5668">
        <v>-1.112754255199</v>
      </c>
      <c r="AH5668">
        <v>16.968186198768599</v>
      </c>
      <c r="AI5668">
        <v>93.724303682448195</v>
      </c>
      <c r="AJ5668">
        <v>96.978302051228496</v>
      </c>
      <c r="AK5668">
        <v>17.130998666175</v>
      </c>
      <c r="AL5668">
        <v>89.620688572952503</v>
      </c>
      <c r="AM5668">
        <v>87.735381110567403</v>
      </c>
      <c r="AN5668">
        <v>1.00000000989552</v>
      </c>
    </row>
    <row r="5669" spans="1:40" x14ac:dyDescent="0.25">
      <c r="A5669" t="str">
        <f>"20190312154948812"</f>
        <v>20190312154948812</v>
      </c>
      <c r="B5669" t="str">
        <f>"1552376988801692"</f>
        <v>1552376988801692</v>
      </c>
      <c r="C5669" t="s">
        <v>40</v>
      </c>
      <c r="D5669">
        <v>4.9804599999999999</v>
      </c>
      <c r="E5669">
        <v>0.44036199999999998</v>
      </c>
      <c r="F5669" t="s">
        <v>69</v>
      </c>
      <c r="G5669">
        <v>-374.97949999999997</v>
      </c>
      <c r="H5669" s="1">
        <v>-2.3693779999999999E-6</v>
      </c>
      <c r="I5669">
        <v>19.527850000000001</v>
      </c>
      <c r="J5669">
        <v>-392.27769999999998</v>
      </c>
      <c r="K5669">
        <v>1.112644</v>
      </c>
      <c r="L5669">
        <v>18.597349999999999</v>
      </c>
      <c r="M5669">
        <v>0.99770809999999999</v>
      </c>
      <c r="N5669">
        <v>0</v>
      </c>
      <c r="O5669">
        <v>-6.6239010000000001E-2</v>
      </c>
      <c r="P5669">
        <v>0.99432969999999998</v>
      </c>
      <c r="Q5669">
        <v>-7.4217409999999999E-3</v>
      </c>
      <c r="R5669">
        <v>-0.10608239999999899</v>
      </c>
      <c r="S5669">
        <v>3.0339659999999999</v>
      </c>
      <c r="T5669">
        <v>-0.19412460000000001</v>
      </c>
      <c r="U5669">
        <v>0.1617432</v>
      </c>
      <c r="V5669">
        <v>3.9938800000000003E-2</v>
      </c>
      <c r="W5669">
        <v>6.6373500000000002E-3</v>
      </c>
      <c r="X5669">
        <v>0.99918010000000002</v>
      </c>
      <c r="Y5669">
        <v>-0.118892</v>
      </c>
      <c r="Z5669">
        <v>8.0278450000000005E-3</v>
      </c>
      <c r="AA5669">
        <v>0.9928747</v>
      </c>
      <c r="AB5669">
        <v>19</v>
      </c>
      <c r="AC5669">
        <v>17.298200000000001</v>
      </c>
      <c r="AD5669">
        <v>-1.112646369378</v>
      </c>
      <c r="AE5669">
        <v>0.93050000000000199</v>
      </c>
      <c r="AF5669">
        <v>-2.0658587527589698</v>
      </c>
      <c r="AG5669">
        <v>-1.112646369378</v>
      </c>
      <c r="AH5669">
        <v>17.127902807738899</v>
      </c>
      <c r="AI5669">
        <v>93.690101539696101</v>
      </c>
      <c r="AJ5669">
        <v>96.877430935825899</v>
      </c>
      <c r="AK5669">
        <v>17.287880405677001</v>
      </c>
      <c r="AL5669">
        <v>89.619705072076002</v>
      </c>
      <c r="AM5669">
        <v>87.711016122092005</v>
      </c>
      <c r="AN5669">
        <v>1.00000001719823</v>
      </c>
    </row>
    <row r="5670" spans="1:40" x14ac:dyDescent="0.25">
      <c r="A5670" t="str">
        <f>"20190312154948823"</f>
        <v>20190312154948823</v>
      </c>
      <c r="B5670" t="str">
        <f>"1552376988811452"</f>
        <v>1552376988811452</v>
      </c>
      <c r="C5670" t="s">
        <v>40</v>
      </c>
      <c r="D5670">
        <v>4.9801209999999996</v>
      </c>
      <c r="E5670">
        <v>0.44089479999999998</v>
      </c>
      <c r="F5670" t="s">
        <v>69</v>
      </c>
      <c r="G5670">
        <v>-374.96530000000001</v>
      </c>
      <c r="H5670" s="1">
        <v>-2.37564E-6</v>
      </c>
      <c r="I5670">
        <v>19.53049</v>
      </c>
      <c r="J5670">
        <v>-392.18</v>
      </c>
      <c r="K5670">
        <v>1.1125320000000001</v>
      </c>
      <c r="L5670">
        <v>18.593900000000001</v>
      </c>
      <c r="M5670">
        <v>0.99787969999999904</v>
      </c>
      <c r="N5670">
        <v>0</v>
      </c>
      <c r="O5670">
        <v>-6.3604679999999997E-2</v>
      </c>
      <c r="P5670">
        <v>0.99457960000000001</v>
      </c>
      <c r="Q5670">
        <v>-7.124549E-3</v>
      </c>
      <c r="R5670">
        <v>-0.10373400000000001</v>
      </c>
      <c r="S5670">
        <v>3.0330810000000001</v>
      </c>
      <c r="T5670">
        <v>-0.19493260000000001</v>
      </c>
      <c r="U5670">
        <v>0.16348270000000001</v>
      </c>
      <c r="V5670">
        <v>4.021719E-2</v>
      </c>
      <c r="W5670">
        <v>6.9077100000000001E-3</v>
      </c>
      <c r="X5670">
        <v>0.99916709999999997</v>
      </c>
      <c r="Y5670">
        <v>-0.1168598</v>
      </c>
      <c r="Z5670">
        <v>7.8293400000000006E-3</v>
      </c>
      <c r="AA5670">
        <v>0.99311760000000004</v>
      </c>
      <c r="AB5670">
        <v>19</v>
      </c>
      <c r="AC5670">
        <v>17.214699999999901</v>
      </c>
      <c r="AD5670">
        <v>-1.1125343756399999</v>
      </c>
      <c r="AE5670">
        <v>0.93658999999999804</v>
      </c>
      <c r="AF5670">
        <v>-2.02131561458051</v>
      </c>
      <c r="AG5670">
        <v>-1.1125343756399999</v>
      </c>
      <c r="AH5670">
        <v>17.049260751476002</v>
      </c>
      <c r="AI5670">
        <v>93.707599417265797</v>
      </c>
      <c r="AJ5670">
        <v>96.761276637414497</v>
      </c>
      <c r="AK5670">
        <v>17.2046720899455</v>
      </c>
      <c r="AL5670">
        <v>89.604214229716305</v>
      </c>
      <c r="AM5670">
        <v>87.695048147316896</v>
      </c>
      <c r="AN5670">
        <v>1.0000000162756699</v>
      </c>
    </row>
    <row r="5671" spans="1:40" x14ac:dyDescent="0.25">
      <c r="A5671" t="str">
        <f>"20190312154948835"</f>
        <v>20190312154948835</v>
      </c>
      <c r="B5671" t="str">
        <f>"1552376988831948"</f>
        <v>1552376988831948</v>
      </c>
      <c r="C5671" t="s">
        <v>40</v>
      </c>
      <c r="D5671">
        <v>4.9817989999999996</v>
      </c>
      <c r="E5671">
        <v>0.4415617</v>
      </c>
      <c r="F5671" t="s">
        <v>69</v>
      </c>
      <c r="G5671">
        <v>-374.78320000000002</v>
      </c>
      <c r="H5671" s="1">
        <v>-2.4586699999999999E-6</v>
      </c>
      <c r="I5671">
        <v>19.54758</v>
      </c>
      <c r="J5671">
        <v>-392.08199999999999</v>
      </c>
      <c r="K5671">
        <v>1.1124130000000001</v>
      </c>
      <c r="L5671">
        <v>18.590699999999998</v>
      </c>
      <c r="M5671">
        <v>0.99803470000000005</v>
      </c>
      <c r="N5671">
        <v>0</v>
      </c>
      <c r="O5671">
        <v>-6.1128160000000001E-2</v>
      </c>
      <c r="P5671">
        <v>0.9948207</v>
      </c>
      <c r="Q5671">
        <v>-6.0749169999999896E-3</v>
      </c>
      <c r="R5671">
        <v>-0.1014645</v>
      </c>
      <c r="S5671">
        <v>3.0323180000000001</v>
      </c>
      <c r="T5671">
        <v>-0.1939187</v>
      </c>
      <c r="U5671">
        <v>0.16622919999999999</v>
      </c>
      <c r="V5671">
        <v>4.0412610000000002E-2</v>
      </c>
      <c r="W5671">
        <v>7.9300220000000001E-3</v>
      </c>
      <c r="X5671">
        <v>0.99915160000000003</v>
      </c>
      <c r="Y5671">
        <v>-0.1153174</v>
      </c>
      <c r="Z5671">
        <v>7.5832479999999999E-3</v>
      </c>
      <c r="AA5671">
        <v>0.99329970000000001</v>
      </c>
      <c r="AB5671">
        <v>19</v>
      </c>
      <c r="AC5671">
        <v>17.2987999999999</v>
      </c>
      <c r="AD5671">
        <v>-1.1124154586699999</v>
      </c>
      <c r="AE5671">
        <v>0.95688000000000095</v>
      </c>
      <c r="AF5671">
        <v>-2.0043712549082802</v>
      </c>
      <c r="AG5671">
        <v>-1.1124154586699999</v>
      </c>
      <c r="AH5671">
        <v>17.137295047545098</v>
      </c>
      <c r="AI5671">
        <v>93.688895635461407</v>
      </c>
      <c r="AJ5671">
        <v>96.670983219217803</v>
      </c>
      <c r="AK5671">
        <v>17.289935044030798</v>
      </c>
      <c r="AL5671">
        <v>89.545638442145503</v>
      </c>
      <c r="AM5671">
        <v>87.683824394921999</v>
      </c>
      <c r="AN5671">
        <v>0.99999999203924606</v>
      </c>
    </row>
    <row r="5672" spans="1:40" x14ac:dyDescent="0.25">
      <c r="A5672" t="str">
        <f>"20190312154948847"</f>
        <v>20190312154948847</v>
      </c>
      <c r="B5672" t="str">
        <f>"1552376988841709"</f>
        <v>1552376988841709</v>
      </c>
      <c r="C5672" t="s">
        <v>40</v>
      </c>
      <c r="D5672">
        <v>4.9591070000000004</v>
      </c>
      <c r="E5672">
        <v>0.45097999999999999</v>
      </c>
      <c r="F5672" t="s">
        <v>69</v>
      </c>
      <c r="G5672">
        <v>-374.4117</v>
      </c>
      <c r="H5672" s="1">
        <v>-2.630783E-6</v>
      </c>
      <c r="I5672">
        <v>19.567450000000001</v>
      </c>
      <c r="J5672">
        <v>-391.976</v>
      </c>
      <c r="K5672">
        <v>1.1122829999999999</v>
      </c>
      <c r="L5672">
        <v>18.58728</v>
      </c>
      <c r="M5672">
        <v>0.99819150000000001</v>
      </c>
      <c r="N5672">
        <v>0</v>
      </c>
      <c r="O5672">
        <v>-5.8519000000000002E-2</v>
      </c>
      <c r="P5672">
        <v>0.99507570000000001</v>
      </c>
      <c r="Q5672">
        <v>-4.8955190000000001E-3</v>
      </c>
      <c r="R5672">
        <v>-9.8999459999999997E-2</v>
      </c>
      <c r="S5672">
        <v>3.0315249999999998</v>
      </c>
      <c r="T5672">
        <v>-0.19084619999999999</v>
      </c>
      <c r="U5672">
        <v>0.167572</v>
      </c>
      <c r="V5672">
        <v>4.0544869999999997E-2</v>
      </c>
      <c r="W5672">
        <v>9.0786809999999999E-3</v>
      </c>
      <c r="X5672">
        <v>0.99913640000000004</v>
      </c>
      <c r="Y5672">
        <v>-0.1131939</v>
      </c>
      <c r="Z5672">
        <v>7.2345769999999998E-3</v>
      </c>
      <c r="AA5672">
        <v>0.99354659999999995</v>
      </c>
      <c r="AB5672">
        <v>19</v>
      </c>
      <c r="AC5672">
        <v>17.564299999999999</v>
      </c>
      <c r="AD5672">
        <v>-1.11228563078299</v>
      </c>
      <c r="AE5672">
        <v>0.98017000000000098</v>
      </c>
      <c r="AF5672">
        <v>-1.99844314045531</v>
      </c>
      <c r="AG5672">
        <v>-1.11228563078299</v>
      </c>
      <c r="AH5672">
        <v>17.407239682274199</v>
      </c>
      <c r="AI5672">
        <v>93.632313549933698</v>
      </c>
      <c r="AJ5672">
        <v>96.549185516457598</v>
      </c>
      <c r="AK5672">
        <v>17.556849024418401</v>
      </c>
      <c r="AL5672">
        <v>89.479822711491394</v>
      </c>
      <c r="AM5672">
        <v>87.676217135740899</v>
      </c>
      <c r="AN5672">
        <v>0.99999992736848498</v>
      </c>
    </row>
    <row r="5673" spans="1:40" x14ac:dyDescent="0.25">
      <c r="A5673" t="str">
        <f>"20190312154948864"</f>
        <v>20190312154948864</v>
      </c>
      <c r="B5673" t="str">
        <f>"1552376988851469"</f>
        <v>1552376988851469</v>
      </c>
      <c r="C5673" t="s">
        <v>40</v>
      </c>
      <c r="D5673">
        <v>4.9940490000000004</v>
      </c>
      <c r="E5673">
        <v>0.45076349999999998</v>
      </c>
      <c r="F5673" t="s">
        <v>69</v>
      </c>
      <c r="G5673">
        <v>-374.38369999999998</v>
      </c>
      <c r="H5673" s="1">
        <v>-2.7144619999999998E-6</v>
      </c>
      <c r="I5673">
        <v>19.170159999999999</v>
      </c>
      <c r="J5673">
        <v>-391.83690000000001</v>
      </c>
      <c r="K5673">
        <v>1.1121049999999999</v>
      </c>
      <c r="L5673">
        <v>18.583069999999999</v>
      </c>
      <c r="M5673">
        <v>0.99837399999999998</v>
      </c>
      <c r="N5673">
        <v>0</v>
      </c>
      <c r="O5673">
        <v>-5.532343E-2</v>
      </c>
      <c r="P5673">
        <v>0.9953767</v>
      </c>
      <c r="Q5673">
        <v>-3.911309E-3</v>
      </c>
      <c r="R5673">
        <v>-9.5969769999999996E-2</v>
      </c>
      <c r="S5673">
        <v>3.0238649999999998</v>
      </c>
      <c r="T5673">
        <v>-0.19118599999999999</v>
      </c>
      <c r="U5673">
        <v>0.10018920000000001</v>
      </c>
      <c r="V5673">
        <v>4.0700779999999999E-2</v>
      </c>
      <c r="W5673">
        <v>1.0020869999999999E-2</v>
      </c>
      <c r="X5673">
        <v>0.99912109999999998</v>
      </c>
      <c r="Y5673">
        <v>-8.8076169999999995E-2</v>
      </c>
      <c r="Z5673">
        <v>6.2740089999999997E-3</v>
      </c>
      <c r="AA5673">
        <v>0.99609400000000003</v>
      </c>
      <c r="AB5673">
        <v>19</v>
      </c>
      <c r="AC5673">
        <v>17.453199999999999</v>
      </c>
      <c r="AD5673">
        <v>-1.112107714462</v>
      </c>
      <c r="AE5673">
        <v>0.587089999999996</v>
      </c>
      <c r="AF5673">
        <v>-1.5455844505774801</v>
      </c>
      <c r="AG5673">
        <v>-1.112107714462</v>
      </c>
      <c r="AH5673">
        <v>17.3237245742502</v>
      </c>
      <c r="AI5673">
        <v>93.658607127468997</v>
      </c>
      <c r="AJ5673">
        <v>95.098304330630995</v>
      </c>
      <c r="AK5673">
        <v>17.428053476705699</v>
      </c>
      <c r="AL5673">
        <v>89.425836816170403</v>
      </c>
      <c r="AM5673">
        <v>87.667255502405496</v>
      </c>
      <c r="AN5673">
        <v>0.99999997189668699</v>
      </c>
    </row>
    <row r="5674" spans="1:40" x14ac:dyDescent="0.25">
      <c r="A5674" t="str">
        <f>"20190312154948880"</f>
        <v>20190312154948880</v>
      </c>
      <c r="B5674" t="str">
        <f>"1552376988870988"</f>
        <v>1552376988870988</v>
      </c>
      <c r="C5674" t="s">
        <v>40</v>
      </c>
      <c r="D5674">
        <v>4.9323949999999996</v>
      </c>
      <c r="E5674">
        <v>0.45276499999999997</v>
      </c>
      <c r="F5674" t="s">
        <v>69</v>
      </c>
      <c r="G5674">
        <v>-373.9117</v>
      </c>
      <c r="H5674" s="1">
        <v>-2.925156E-6</v>
      </c>
      <c r="I5674">
        <v>19.240290000000002</v>
      </c>
      <c r="J5674">
        <v>-391.6986</v>
      </c>
      <c r="K5674">
        <v>1.1119289999999999</v>
      </c>
      <c r="L5674">
        <v>18.579039999999999</v>
      </c>
      <c r="M5674">
        <v>0.99853239999999999</v>
      </c>
      <c r="N5674">
        <v>0</v>
      </c>
      <c r="O5674">
        <v>-5.2394360000000001E-2</v>
      </c>
      <c r="P5674">
        <v>0.99559039999999999</v>
      </c>
      <c r="Q5674">
        <v>-3.4159329999999999E-3</v>
      </c>
      <c r="R5674">
        <v>-9.3745690000000007E-2</v>
      </c>
      <c r="S5674">
        <v>3.0239259999999999</v>
      </c>
      <c r="T5674">
        <v>-0.18760940000000001</v>
      </c>
      <c r="U5674">
        <v>0.11087039999999999</v>
      </c>
      <c r="V5674">
        <v>4.140195E-2</v>
      </c>
      <c r="W5674">
        <v>1.047622E-2</v>
      </c>
      <c r="X5674">
        <v>0.99908759999999996</v>
      </c>
      <c r="Y5674">
        <v>-8.8682579999999997E-2</v>
      </c>
      <c r="Z5674">
        <v>5.9938369999999897E-3</v>
      </c>
      <c r="AA5674">
        <v>0.99604190000000004</v>
      </c>
      <c r="AB5674">
        <v>19</v>
      </c>
      <c r="AC5674">
        <v>17.786899999999999</v>
      </c>
      <c r="AD5674">
        <v>-1.111931925156</v>
      </c>
      <c r="AE5674">
        <v>0.66124999999999901</v>
      </c>
      <c r="AF5674">
        <v>-1.5861721584366599</v>
      </c>
      <c r="AG5674">
        <v>-1.111931925156</v>
      </c>
      <c r="AH5674">
        <v>17.6588996370442</v>
      </c>
      <c r="AI5674">
        <v>93.588589957318504</v>
      </c>
      <c r="AJ5674">
        <v>95.132694283993899</v>
      </c>
      <c r="AK5674">
        <v>17.764826796610802</v>
      </c>
      <c r="AL5674">
        <v>89.399745800163998</v>
      </c>
      <c r="AM5674">
        <v>87.627034375297697</v>
      </c>
      <c r="AN5674">
        <v>0.99999995256152396</v>
      </c>
    </row>
    <row r="5675" spans="1:40" x14ac:dyDescent="0.25">
      <c r="A5675" t="str">
        <f>"20190312154948895"</f>
        <v>20190312154948895</v>
      </c>
      <c r="B5675" t="str">
        <f>"1552376988881724"</f>
        <v>1552376988881724</v>
      </c>
      <c r="C5675" t="s">
        <v>40</v>
      </c>
      <c r="D5675">
        <v>4.9598559999999896</v>
      </c>
      <c r="E5675">
        <v>0.45271070000000002</v>
      </c>
      <c r="F5675" t="s">
        <v>69</v>
      </c>
      <c r="G5675">
        <v>-373.1146</v>
      </c>
      <c r="H5675" s="1">
        <v>-3.3086200000000001E-6</v>
      </c>
      <c r="I5675">
        <v>19.202639999999999</v>
      </c>
      <c r="J5675">
        <v>-391.57499999999999</v>
      </c>
      <c r="K5675">
        <v>1.111769</v>
      </c>
      <c r="L5675">
        <v>18.575589999999998</v>
      </c>
      <c r="M5675">
        <v>0.99865800000000005</v>
      </c>
      <c r="N5675">
        <v>0</v>
      </c>
      <c r="O5675">
        <v>-4.9947829999999999E-2</v>
      </c>
      <c r="P5675">
        <v>0.99581730000000002</v>
      </c>
      <c r="Q5675">
        <v>-3.397841E-3</v>
      </c>
      <c r="R5675">
        <v>-9.1304590000000005E-2</v>
      </c>
      <c r="S5675">
        <v>3.0221559999999998</v>
      </c>
      <c r="T5675">
        <v>-0.18082380000000001</v>
      </c>
      <c r="U5675">
        <v>0.1014099</v>
      </c>
      <c r="V5675">
        <v>4.1404360000000001E-2</v>
      </c>
      <c r="W5675">
        <v>1.045715E-2</v>
      </c>
      <c r="X5675">
        <v>0.99908779999999997</v>
      </c>
      <c r="Y5675">
        <v>-8.3181309999999994E-2</v>
      </c>
      <c r="Z5675">
        <v>5.4705400000000003E-3</v>
      </c>
      <c r="AA5675">
        <v>0.99651940000000006</v>
      </c>
      <c r="AB5675">
        <v>19</v>
      </c>
      <c r="AC5675">
        <v>18.4604</v>
      </c>
      <c r="AD5675">
        <v>-1.11177230862</v>
      </c>
      <c r="AE5675">
        <v>0.62705</v>
      </c>
      <c r="AF5675">
        <v>-1.54282113472056</v>
      </c>
      <c r="AG5675">
        <v>-1.11177230862</v>
      </c>
      <c r="AH5675">
        <v>18.339589874457399</v>
      </c>
      <c r="AI5675">
        <v>93.456926013218293</v>
      </c>
      <c r="AJ5675">
        <v>94.8086947974856</v>
      </c>
      <c r="AK5675">
        <v>18.437919933746699</v>
      </c>
      <c r="AL5675">
        <v>89.400838550503707</v>
      </c>
      <c r="AM5675">
        <v>87.626896877824805</v>
      </c>
      <c r="AN5675">
        <v>1.00000005256098</v>
      </c>
    </row>
    <row r="5676" spans="1:40" x14ac:dyDescent="0.25">
      <c r="A5676" t="str">
        <f>"20190312154948915"</f>
        <v>20190312154948915</v>
      </c>
      <c r="B5676" t="str">
        <f>"1552376988901244"</f>
        <v>1552376988901244</v>
      </c>
      <c r="C5676" t="s">
        <v>40</v>
      </c>
      <c r="D5676">
        <v>4.9087170000000002</v>
      </c>
      <c r="E5676">
        <v>0.46647729999999998</v>
      </c>
      <c r="F5676" t="s">
        <v>69</v>
      </c>
      <c r="G5676">
        <v>-372.5924</v>
      </c>
      <c r="H5676" s="1">
        <v>-3.5452930000000002E-6</v>
      </c>
      <c r="I5676">
        <v>19.260120000000001</v>
      </c>
      <c r="J5676">
        <v>-391.40129999999999</v>
      </c>
      <c r="K5676">
        <v>1.1115549999999901</v>
      </c>
      <c r="L5676">
        <v>18.57086</v>
      </c>
      <c r="M5676">
        <v>0.99881169999999997</v>
      </c>
      <c r="N5676">
        <v>0</v>
      </c>
      <c r="O5676">
        <v>-4.6781089999999997E-2</v>
      </c>
      <c r="P5676">
        <v>0.99607800000000002</v>
      </c>
      <c r="Q5676">
        <v>-2.896544E-3</v>
      </c>
      <c r="R5676">
        <v>-8.8431640000000006E-2</v>
      </c>
      <c r="S5676">
        <v>3.0220639999999999</v>
      </c>
      <c r="T5676">
        <v>-0.17699619999999999</v>
      </c>
      <c r="U5676">
        <v>0.1089783</v>
      </c>
      <c r="V5676">
        <v>4.1693910000000001E-2</v>
      </c>
      <c r="W5676">
        <v>1.090869E-2</v>
      </c>
      <c r="X5676">
        <v>0.99907089999999998</v>
      </c>
      <c r="Y5676">
        <v>-8.2531690000000005E-2</v>
      </c>
      <c r="Z5676">
        <v>5.1507300000000001E-3</v>
      </c>
      <c r="AA5676">
        <v>0.99657510000000005</v>
      </c>
      <c r="AB5676">
        <v>19</v>
      </c>
      <c r="AC5676">
        <v>18.808899999999898</v>
      </c>
      <c r="AD5676">
        <v>-1.1115585452929999</v>
      </c>
      <c r="AE5676">
        <v>0.68925999999999998</v>
      </c>
      <c r="AF5676">
        <v>-1.5630366319517801</v>
      </c>
      <c r="AG5676">
        <v>-1.1115585452929999</v>
      </c>
      <c r="AH5676">
        <v>18.690865648014501</v>
      </c>
      <c r="AI5676">
        <v>93.391599841360502</v>
      </c>
      <c r="AJ5676">
        <v>94.780276858641599</v>
      </c>
      <c r="AK5676">
        <v>18.789015529946301</v>
      </c>
      <c r="AL5676">
        <v>89.374965720127094</v>
      </c>
      <c r="AM5676">
        <v>87.610280030243601</v>
      </c>
      <c r="AN5676">
        <v>1.0000000224376999</v>
      </c>
    </row>
    <row r="5677" spans="1:40" x14ac:dyDescent="0.25">
      <c r="A5677" t="str">
        <f>"20190312154948936"</f>
        <v>20190312154948936</v>
      </c>
      <c r="B5677" t="str">
        <f>"1552376988921741"</f>
        <v>1552376988921741</v>
      </c>
      <c r="C5677" t="s">
        <v>40</v>
      </c>
      <c r="D5677">
        <v>4.9283769999999896</v>
      </c>
      <c r="E5677">
        <v>0.4695259</v>
      </c>
      <c r="F5677" t="s">
        <v>69</v>
      </c>
      <c r="G5677">
        <v>-373.27730000000003</v>
      </c>
      <c r="H5677" s="1">
        <v>-3.3348830000000002E-6</v>
      </c>
      <c r="I5677">
        <v>18.620989999999999</v>
      </c>
      <c r="J5677">
        <v>-391.22269999999997</v>
      </c>
      <c r="K5677">
        <v>1.111348</v>
      </c>
      <c r="L5677">
        <v>18.566189999999999</v>
      </c>
      <c r="M5677">
        <v>0.99894539999999998</v>
      </c>
      <c r="N5677">
        <v>0</v>
      </c>
      <c r="O5677">
        <v>-4.3844000000000001E-2</v>
      </c>
      <c r="P5677">
        <v>0.99625129999999995</v>
      </c>
      <c r="Q5677">
        <v>-1.6353069999999999E-3</v>
      </c>
      <c r="R5677">
        <v>-8.6494489999999993E-2</v>
      </c>
      <c r="S5677">
        <v>3.0119929999999999</v>
      </c>
      <c r="T5677">
        <v>-0.184728</v>
      </c>
      <c r="U5677">
        <v>8.3312990000000003E-3</v>
      </c>
      <c r="V5677">
        <v>4.2690220000000001E-2</v>
      </c>
      <c r="W5677">
        <v>1.212502E-2</v>
      </c>
      <c r="X5677">
        <v>0.99901479999999998</v>
      </c>
      <c r="Y5677">
        <v>-4.6441660000000003E-2</v>
      </c>
      <c r="Z5677">
        <v>4.1089159999999998E-3</v>
      </c>
      <c r="AA5677">
        <v>0.99891260000000004</v>
      </c>
      <c r="AB5677">
        <v>19</v>
      </c>
      <c r="AC5677">
        <v>17.9453999999999</v>
      </c>
      <c r="AD5677">
        <v>-1.111351334883</v>
      </c>
      <c r="AE5677">
        <v>5.4800000000000099E-2</v>
      </c>
      <c r="AF5677">
        <v>-0.838403036039986</v>
      </c>
      <c r="AG5677">
        <v>-1.111351334883</v>
      </c>
      <c r="AH5677">
        <v>17.8572506108633</v>
      </c>
      <c r="AI5677">
        <v>93.557318387565303</v>
      </c>
      <c r="AJ5677">
        <v>92.6880792976972</v>
      </c>
      <c r="AK5677">
        <v>17.911432684728599</v>
      </c>
      <c r="AL5677">
        <v>89.305270518496599</v>
      </c>
      <c r="AM5677">
        <v>87.553107081312405</v>
      </c>
      <c r="AN5677">
        <v>1.00000002080634</v>
      </c>
    </row>
    <row r="5678" spans="1:40" x14ac:dyDescent="0.25">
      <c r="A5678" t="str">
        <f>"20190312154948950"</f>
        <v>20190312154948950</v>
      </c>
      <c r="B5678" t="str">
        <f>"1552376988941260"</f>
        <v>1552376988941260</v>
      </c>
      <c r="C5678" t="s">
        <v>40</v>
      </c>
      <c r="D5678">
        <v>4.9835129999999896</v>
      </c>
      <c r="E5678">
        <v>0.47050039999999999</v>
      </c>
      <c r="F5678" t="s">
        <v>69</v>
      </c>
      <c r="G5678">
        <v>-372.44310000000002</v>
      </c>
      <c r="H5678" s="1">
        <v>-3.750925E-6</v>
      </c>
      <c r="I5678">
        <v>18.49879</v>
      </c>
      <c r="J5678">
        <v>-391.10199999999998</v>
      </c>
      <c r="K5678">
        <v>1.111227</v>
      </c>
      <c r="L5678">
        <v>18.563140000000001</v>
      </c>
      <c r="M5678">
        <v>0.99902400000000002</v>
      </c>
      <c r="N5678">
        <v>0</v>
      </c>
      <c r="O5678">
        <v>-4.2019109999999998E-2</v>
      </c>
      <c r="P5678">
        <v>0.99637350000000002</v>
      </c>
      <c r="Q5678">
        <v>-1.4601480000000001E-3</v>
      </c>
      <c r="R5678">
        <v>-8.5074699999999906E-2</v>
      </c>
      <c r="S5678">
        <v>3.0100709999999999</v>
      </c>
      <c r="T5678">
        <v>-0.1781316</v>
      </c>
      <c r="U5678">
        <v>-1.0803220000000001E-2</v>
      </c>
      <c r="V5678">
        <v>4.3094680000000003E-2</v>
      </c>
      <c r="W5678">
        <v>1.2269489999999999E-2</v>
      </c>
      <c r="X5678">
        <v>0.99899570000000004</v>
      </c>
      <c r="Y5678">
        <v>-3.8296419999999998E-2</v>
      </c>
      <c r="Z5678">
        <v>3.616251E-3</v>
      </c>
      <c r="AA5678">
        <v>0.99925989999999998</v>
      </c>
      <c r="AB5678">
        <v>19</v>
      </c>
      <c r="AC5678">
        <v>18.6588999999999</v>
      </c>
      <c r="AD5678">
        <v>-1.1112307509249999</v>
      </c>
      <c r="AE5678">
        <v>-6.4350000000001004E-2</v>
      </c>
      <c r="AF5678">
        <v>-0.71726595466693799</v>
      </c>
      <c r="AG5678">
        <v>-1.1112307509249999</v>
      </c>
      <c r="AH5678">
        <v>18.579225743289101</v>
      </c>
      <c r="AI5678">
        <v>93.420263607479797</v>
      </c>
      <c r="AJ5678">
        <v>92.210851735016107</v>
      </c>
      <c r="AK5678">
        <v>18.6262431384223</v>
      </c>
      <c r="AL5678">
        <v>89.296992402272494</v>
      </c>
      <c r="AM5678">
        <v>87.529905892374103</v>
      </c>
      <c r="AN5678">
        <v>1.00000005022382</v>
      </c>
    </row>
    <row r="5679" spans="1:40" x14ac:dyDescent="0.25">
      <c r="A5679" t="str">
        <f>"20190312154948969"</f>
        <v>20190312154948969</v>
      </c>
      <c r="B5679" t="str">
        <f>"1552376988961756"</f>
        <v>1552376988961756</v>
      </c>
      <c r="C5679" t="s">
        <v>40</v>
      </c>
      <c r="D5679">
        <v>4.9973179999999999</v>
      </c>
      <c r="E5679">
        <v>0.47100350000000002</v>
      </c>
      <c r="F5679" t="s">
        <v>69</v>
      </c>
      <c r="G5679">
        <v>-373.0068</v>
      </c>
      <c r="H5679" s="1">
        <v>-3.4882290000000001E-6</v>
      </c>
      <c r="I5679">
        <v>18.477450000000001</v>
      </c>
      <c r="J5679">
        <v>-390.94060000000002</v>
      </c>
      <c r="K5679">
        <v>1.1110880000000001</v>
      </c>
      <c r="L5679">
        <v>18.559139999999999</v>
      </c>
      <c r="M5679">
        <v>0.99911609999999995</v>
      </c>
      <c r="N5679">
        <v>0</v>
      </c>
      <c r="O5679">
        <v>-3.9782280000000003E-2</v>
      </c>
      <c r="P5679">
        <v>0.99652989999999997</v>
      </c>
      <c r="Q5679">
        <v>-2.976757E-3</v>
      </c>
      <c r="R5679">
        <v>-8.3183240000000006E-2</v>
      </c>
      <c r="S5679">
        <v>3.0093990000000002</v>
      </c>
      <c r="T5679">
        <v>-0.18480750000000001</v>
      </c>
      <c r="U5679">
        <v>-1.4251710000000001E-2</v>
      </c>
      <c r="V5679">
        <v>4.3443099999999998E-2</v>
      </c>
      <c r="W5679">
        <v>1.070223E-2</v>
      </c>
      <c r="X5679">
        <v>0.99899859999999896</v>
      </c>
      <c r="Y5679">
        <v>-3.4912890000000002E-2</v>
      </c>
      <c r="Z5679">
        <v>3.5113929999999998E-3</v>
      </c>
      <c r="AA5679">
        <v>0.99938419999999895</v>
      </c>
      <c r="AB5679">
        <v>19</v>
      </c>
      <c r="AC5679">
        <v>17.933800000000002</v>
      </c>
      <c r="AD5679">
        <v>-1.1110914882289999</v>
      </c>
      <c r="AE5679">
        <v>-8.1689999999998195E-2</v>
      </c>
      <c r="AF5679">
        <v>-0.62947177725098902</v>
      </c>
      <c r="AG5679">
        <v>-1.1110914882289999</v>
      </c>
      <c r="AH5679">
        <v>17.8543192431659</v>
      </c>
      <c r="AI5679">
        <v>93.558774061399504</v>
      </c>
      <c r="AJ5679">
        <v>92.0191833473949</v>
      </c>
      <c r="AK5679">
        <v>17.899929459370899</v>
      </c>
      <c r="AL5679">
        <v>89.386795696731099</v>
      </c>
      <c r="AM5679">
        <v>87.509967464636802</v>
      </c>
      <c r="AN5679">
        <v>1.0000000217332701</v>
      </c>
    </row>
    <row r="5680" spans="1:40" x14ac:dyDescent="0.25">
      <c r="A5680" t="str">
        <f>"20190312154948982"</f>
        <v>20190312154948982</v>
      </c>
      <c r="B5680" t="str">
        <f>"1552376988971516"</f>
        <v>1552376988971516</v>
      </c>
      <c r="C5680" t="s">
        <v>40</v>
      </c>
      <c r="D5680">
        <v>4.9954900000000002</v>
      </c>
      <c r="E5680">
        <v>0.47126479999999998</v>
      </c>
      <c r="F5680" t="s">
        <v>69</v>
      </c>
      <c r="G5680">
        <v>-373.72640000000001</v>
      </c>
      <c r="H5680" s="1">
        <v>-3.1460980000000002E-6</v>
      </c>
      <c r="I5680">
        <v>18.488430000000001</v>
      </c>
      <c r="J5680">
        <v>-390.82810000000001</v>
      </c>
      <c r="K5680">
        <v>1.1110009999999999</v>
      </c>
      <c r="L5680">
        <v>18.556429999999999</v>
      </c>
      <c r="M5680">
        <v>0.99917270000000002</v>
      </c>
      <c r="N5680">
        <v>0</v>
      </c>
      <c r="O5680">
        <v>-3.8348149999999998E-2</v>
      </c>
      <c r="P5680">
        <v>0.99665459999999995</v>
      </c>
      <c r="Q5680">
        <v>-3.779639E-3</v>
      </c>
      <c r="R5680">
        <v>-8.1641469999999994E-2</v>
      </c>
      <c r="S5680">
        <v>3.0088810000000001</v>
      </c>
      <c r="T5680">
        <v>-0.19420889999999999</v>
      </c>
      <c r="U5680">
        <v>-1.235962E-2</v>
      </c>
      <c r="V5680">
        <v>4.3335779999999997E-2</v>
      </c>
      <c r="W5680">
        <v>9.8496929999999996E-3</v>
      </c>
      <c r="X5680">
        <v>0.99901200000000001</v>
      </c>
      <c r="Y5680">
        <v>-3.4095970000000003E-2</v>
      </c>
      <c r="Z5680">
        <v>3.5715479999999999E-3</v>
      </c>
      <c r="AA5680">
        <v>0.99941219999999997</v>
      </c>
      <c r="AB5680">
        <v>19</v>
      </c>
      <c r="AC5680">
        <v>17.101699999999902</v>
      </c>
      <c r="AD5680">
        <v>-1.111004146098</v>
      </c>
      <c r="AE5680">
        <v>-6.8000000000001296E-2</v>
      </c>
      <c r="AF5680">
        <v>-0.58545788694814604</v>
      </c>
      <c r="AG5680">
        <v>-1.111004146098</v>
      </c>
      <c r="AH5680">
        <v>17.0198967645096</v>
      </c>
      <c r="AI5680">
        <v>93.732584199953706</v>
      </c>
      <c r="AJ5680">
        <v>91.970108597411595</v>
      </c>
      <c r="AK5680">
        <v>17.066164684093501</v>
      </c>
      <c r="AL5680">
        <v>89.435645031103903</v>
      </c>
      <c r="AM5680">
        <v>87.516144297426294</v>
      </c>
      <c r="AN5680">
        <v>0.99999999121220096</v>
      </c>
    </row>
    <row r="5681" spans="1:40" x14ac:dyDescent="0.25">
      <c r="A5681" t="str">
        <f>"20190312154949004"</f>
        <v>20190312154949004</v>
      </c>
      <c r="B5681" t="str">
        <f>"1552376988991036"</f>
        <v>1552376988991036</v>
      </c>
      <c r="C5681" t="s">
        <v>40</v>
      </c>
      <c r="D5681">
        <v>5.0268810000000004</v>
      </c>
      <c r="E5681">
        <v>0.47165279999999998</v>
      </c>
      <c r="F5681" t="s">
        <v>69</v>
      </c>
      <c r="G5681">
        <v>-373.95179999999999</v>
      </c>
      <c r="H5681" s="1">
        <v>-3.0370939999999999E-6</v>
      </c>
      <c r="I5681">
        <v>18.502330000000001</v>
      </c>
      <c r="J5681">
        <v>-390.63440000000003</v>
      </c>
      <c r="K5681">
        <v>1.1108709999999999</v>
      </c>
      <c r="L5681">
        <v>18.551909999999999</v>
      </c>
      <c r="M5681">
        <v>0.99925850000000005</v>
      </c>
      <c r="N5681">
        <v>0</v>
      </c>
      <c r="O5681">
        <v>-3.6078600000000002E-2</v>
      </c>
      <c r="P5681">
        <v>0.99686909999999895</v>
      </c>
      <c r="Q5681">
        <v>-4.6988759999999899E-3</v>
      </c>
      <c r="R5681">
        <v>-7.8930440000000004E-2</v>
      </c>
      <c r="S5681">
        <v>3.0085449999999998</v>
      </c>
      <c r="T5681">
        <v>-0.19805980000000001</v>
      </c>
      <c r="U5681">
        <v>-9.6435549999999998E-3</v>
      </c>
      <c r="V5681">
        <v>4.2892479999999997E-2</v>
      </c>
      <c r="W5681">
        <v>8.8202439999999997E-3</v>
      </c>
      <c r="X5681">
        <v>0.99904079999999995</v>
      </c>
      <c r="Y5681">
        <v>-3.2729469999999997E-2</v>
      </c>
      <c r="Z5681">
        <v>3.4485240000000001E-3</v>
      </c>
      <c r="AA5681">
        <v>0.99945830000000002</v>
      </c>
      <c r="AB5681">
        <v>19</v>
      </c>
      <c r="AC5681">
        <v>16.682600000000001</v>
      </c>
      <c r="AD5681">
        <v>-1.110874037094</v>
      </c>
      <c r="AE5681">
        <v>-4.9579999999998799E-2</v>
      </c>
      <c r="AF5681">
        <v>-0.54995304359353203</v>
      </c>
      <c r="AG5681">
        <v>-1.110874037094</v>
      </c>
      <c r="AH5681">
        <v>16.599921359315001</v>
      </c>
      <c r="AI5681">
        <v>93.826457261535097</v>
      </c>
      <c r="AJ5681">
        <v>91.897507036887106</v>
      </c>
      <c r="AK5681">
        <v>16.646137047732399</v>
      </c>
      <c r="AL5681">
        <v>89.494630712324096</v>
      </c>
      <c r="AM5681">
        <v>87.5415921555594</v>
      </c>
      <c r="AN5681">
        <v>1.0000000408047001</v>
      </c>
    </row>
    <row r="5682" spans="1:40" x14ac:dyDescent="0.25">
      <c r="A5682" t="str">
        <f>"20190312154949025"</f>
        <v>20190312154949025</v>
      </c>
      <c r="B5682" t="str">
        <f>"1552376989021292"</f>
        <v>1552376989021292</v>
      </c>
      <c r="C5682" t="s">
        <v>40</v>
      </c>
      <c r="D5682">
        <v>4.963368</v>
      </c>
      <c r="E5682">
        <v>0.47218189999999999</v>
      </c>
      <c r="F5682" t="s">
        <v>69</v>
      </c>
      <c r="G5682">
        <v>-374.19159999999999</v>
      </c>
      <c r="H5682" s="1">
        <v>-2.919055E-6</v>
      </c>
      <c r="I5682">
        <v>18.528890000000001</v>
      </c>
      <c r="J5682">
        <v>-390.46190000000001</v>
      </c>
      <c r="K5682">
        <v>1.110762</v>
      </c>
      <c r="L5682">
        <v>18.547999999999998</v>
      </c>
      <c r="M5682">
        <v>0.99932410000000005</v>
      </c>
      <c r="N5682">
        <v>0</v>
      </c>
      <c r="O5682">
        <v>-3.4261439999999997E-2</v>
      </c>
      <c r="P5682">
        <v>0.99700619999999995</v>
      </c>
      <c r="Q5682">
        <v>-3.9141489999999996E-3</v>
      </c>
      <c r="R5682">
        <v>-7.7225249999999995E-2</v>
      </c>
      <c r="S5682">
        <v>3.0081479999999998</v>
      </c>
      <c r="T5682">
        <v>-0.2032292</v>
      </c>
      <c r="U5682">
        <v>-4.2114259999999999E-3</v>
      </c>
      <c r="V5682">
        <v>4.3000780000000002E-2</v>
      </c>
      <c r="W5682">
        <v>9.4763460000000001E-3</v>
      </c>
      <c r="X5682">
        <v>0.99903010000000003</v>
      </c>
      <c r="Y5682">
        <v>-3.2712610000000003E-2</v>
      </c>
      <c r="Z5682">
        <v>3.4156690000000001E-3</v>
      </c>
      <c r="AA5682">
        <v>0.99945899999999999</v>
      </c>
      <c r="AB5682">
        <v>19</v>
      </c>
      <c r="AC5682">
        <v>16.270299999999999</v>
      </c>
      <c r="AD5682">
        <v>-1.110764919055</v>
      </c>
      <c r="AE5682">
        <v>-1.9109999999997698E-2</v>
      </c>
      <c r="AF5682">
        <v>-0.53589694431284596</v>
      </c>
      <c r="AG5682">
        <v>-1.110764919055</v>
      </c>
      <c r="AH5682">
        <v>16.185962711804301</v>
      </c>
      <c r="AI5682">
        <v>93.923636090133002</v>
      </c>
      <c r="AJ5682">
        <v>91.896298769573306</v>
      </c>
      <c r="AK5682">
        <v>16.232879385624901</v>
      </c>
      <c r="AL5682">
        <v>89.457037244764095</v>
      </c>
      <c r="AM5682">
        <v>87.535366157267703</v>
      </c>
      <c r="AN5682">
        <v>1.0000000044600601</v>
      </c>
    </row>
    <row r="5683" spans="1:40" x14ac:dyDescent="0.25">
      <c r="A5683" t="str">
        <f>"20190312154949037"</f>
        <v>20190312154949037</v>
      </c>
      <c r="B5683" t="str">
        <f>"1552376989031053"</f>
        <v>1552376989031053</v>
      </c>
      <c r="C5683" t="s">
        <v>40</v>
      </c>
      <c r="D5683">
        <v>4.9721979999999997</v>
      </c>
      <c r="E5683">
        <v>0.47228029999999999</v>
      </c>
      <c r="F5683" t="s">
        <v>69</v>
      </c>
      <c r="G5683">
        <v>-373.96839999999997</v>
      </c>
      <c r="H5683" s="1">
        <v>-3.0240819999999999E-6</v>
      </c>
      <c r="I5683">
        <v>18.531600000000001</v>
      </c>
      <c r="J5683">
        <v>-390.34899999999999</v>
      </c>
      <c r="K5683">
        <v>1.110692</v>
      </c>
      <c r="L5683">
        <v>18.545529999999999</v>
      </c>
      <c r="M5683">
        <v>0.99936210000000003</v>
      </c>
      <c r="N5683">
        <v>0</v>
      </c>
      <c r="O5683">
        <v>-3.3173540000000001E-2</v>
      </c>
      <c r="P5683">
        <v>0.99707449999999997</v>
      </c>
      <c r="Q5683">
        <v>-2.9766630000000001E-3</v>
      </c>
      <c r="R5683">
        <v>-7.6379030000000001E-2</v>
      </c>
      <c r="S5683">
        <v>3.0079959999999999</v>
      </c>
      <c r="T5683">
        <v>-0.20257510000000001</v>
      </c>
      <c r="U5683">
        <v>-2.9907229999999998E-3</v>
      </c>
      <c r="V5683">
        <v>4.3240679999999997E-2</v>
      </c>
      <c r="W5683">
        <v>1.0308390000000001E-2</v>
      </c>
      <c r="X5683">
        <v>0.99901150000000005</v>
      </c>
      <c r="Y5683">
        <v>-3.2035029999999999E-2</v>
      </c>
      <c r="Z5683">
        <v>3.308928E-3</v>
      </c>
      <c r="AA5683">
        <v>0.99948130000000002</v>
      </c>
      <c r="AB5683">
        <v>19</v>
      </c>
      <c r="AC5683">
        <v>16.380600000000001</v>
      </c>
      <c r="AD5683">
        <v>-1.1106950240819999</v>
      </c>
      <c r="AE5683">
        <v>-1.39299999999984E-2</v>
      </c>
      <c r="AF5683">
        <v>-0.52710428044930702</v>
      </c>
      <c r="AG5683">
        <v>-1.1106950240819999</v>
      </c>
      <c r="AH5683">
        <v>16.297117421179699</v>
      </c>
      <c r="AI5683">
        <v>93.8968103492805</v>
      </c>
      <c r="AJ5683">
        <v>91.852494859210594</v>
      </c>
      <c r="AK5683">
        <v>16.3434243229107</v>
      </c>
      <c r="AL5683">
        <v>89.409362297580202</v>
      </c>
      <c r="AM5683">
        <v>87.521587054402502</v>
      </c>
      <c r="AN5683">
        <v>0.99999999822175201</v>
      </c>
    </row>
    <row r="5684" spans="1:40" x14ac:dyDescent="0.25">
      <c r="A5684" t="str">
        <f>"20190312154949058"</f>
        <v>20190312154949058</v>
      </c>
      <c r="B5684" t="str">
        <f>"1552376989051548"</f>
        <v>1552376989051548</v>
      </c>
      <c r="C5684" t="s">
        <v>40</v>
      </c>
      <c r="D5684">
        <v>4.9815459999999998</v>
      </c>
      <c r="E5684">
        <v>0.47265960000000001</v>
      </c>
      <c r="F5684" t="s">
        <v>69</v>
      </c>
      <c r="G5684">
        <v>-373.60469999999998</v>
      </c>
      <c r="H5684" s="1">
        <v>-3.194528E-6</v>
      </c>
      <c r="I5684">
        <v>18.539929999999998</v>
      </c>
      <c r="J5684">
        <v>-390.17599999999999</v>
      </c>
      <c r="K5684">
        <v>1.110589</v>
      </c>
      <c r="L5684">
        <v>18.541779999999999</v>
      </c>
      <c r="M5684">
        <v>0.99941579999999997</v>
      </c>
      <c r="N5684">
        <v>0</v>
      </c>
      <c r="O5684">
        <v>-3.1593839999999998E-2</v>
      </c>
      <c r="P5684">
        <v>0.99714990000000003</v>
      </c>
      <c r="Q5684">
        <v>-1.3835970000000001E-3</v>
      </c>
      <c r="R5684">
        <v>-7.5436169999999997E-2</v>
      </c>
      <c r="S5684">
        <v>3.0081180000000001</v>
      </c>
      <c r="T5684">
        <v>-0.19953660000000001</v>
      </c>
      <c r="U5684">
        <v>-1.00708E-3</v>
      </c>
      <c r="V5684">
        <v>4.3874759999999999E-2</v>
      </c>
      <c r="W5684">
        <v>1.1719739999999999E-2</v>
      </c>
      <c r="X5684">
        <v>0.99896830000000003</v>
      </c>
      <c r="Y5684">
        <v>-3.112409E-2</v>
      </c>
      <c r="Z5684">
        <v>3.1244580000000001E-3</v>
      </c>
      <c r="AA5684">
        <v>0.99951060000000003</v>
      </c>
      <c r="AB5684">
        <v>19</v>
      </c>
      <c r="AC5684">
        <v>16.571300000000001</v>
      </c>
      <c r="AD5684">
        <v>-1.110592194528</v>
      </c>
      <c r="AE5684">
        <v>-1.8500000000010099E-3</v>
      </c>
      <c r="AF5684">
        <v>-0.51941343217718206</v>
      </c>
      <c r="AG5684">
        <v>-1.110592194528</v>
      </c>
      <c r="AH5684">
        <v>16.489023246003701</v>
      </c>
      <c r="AI5684">
        <v>93.851342714931207</v>
      </c>
      <c r="AJ5684">
        <v>91.804252402625195</v>
      </c>
      <c r="AK5684">
        <v>16.5345424171134</v>
      </c>
      <c r="AL5684">
        <v>89.328492992024294</v>
      </c>
      <c r="AM5684">
        <v>87.485181393675106</v>
      </c>
      <c r="AN5684">
        <v>1.0000000056378</v>
      </c>
    </row>
    <row r="5685" spans="1:40" x14ac:dyDescent="0.25">
      <c r="A5685" t="str">
        <f>"20190312154949081"</f>
        <v>20190312154949081</v>
      </c>
      <c r="B5685" t="str">
        <f>"1552376989071068"</f>
        <v>1552376989071068</v>
      </c>
      <c r="C5685" t="s">
        <v>40</v>
      </c>
      <c r="D5685">
        <v>4.92204</v>
      </c>
      <c r="E5685">
        <v>0.4733193</v>
      </c>
      <c r="F5685" t="s">
        <v>69</v>
      </c>
      <c r="G5685">
        <v>-372.99369999999999</v>
      </c>
      <c r="H5685" s="1">
        <v>-3.4835499999999999E-6</v>
      </c>
      <c r="I5685">
        <v>18.538640000000001</v>
      </c>
      <c r="J5685">
        <v>-389.9785</v>
      </c>
      <c r="K5685">
        <v>1.1104799999999999</v>
      </c>
      <c r="L5685">
        <v>18.537569999999999</v>
      </c>
      <c r="M5685">
        <v>0.99946979999999996</v>
      </c>
      <c r="N5685">
        <v>0</v>
      </c>
      <c r="O5685">
        <v>-2.9924800000000001E-2</v>
      </c>
      <c r="P5685">
        <v>0.99722549999999999</v>
      </c>
      <c r="Q5685">
        <v>-1.1366620000000001E-3</v>
      </c>
      <c r="R5685">
        <v>-7.4433250000000006E-2</v>
      </c>
      <c r="S5685">
        <v>3.00827</v>
      </c>
      <c r="T5685">
        <v>-0.194442</v>
      </c>
      <c r="U5685">
        <v>-5.4931640000000002E-4</v>
      </c>
      <c r="V5685">
        <v>4.454052E-2</v>
      </c>
      <c r="W5685">
        <v>1.173833E-2</v>
      </c>
      <c r="X5685">
        <v>0.99893860000000001</v>
      </c>
      <c r="Y5685">
        <v>-2.9620500000000001E-2</v>
      </c>
      <c r="Z5685">
        <v>2.8884140000000002E-3</v>
      </c>
      <c r="AA5685">
        <v>0.99955700000000003</v>
      </c>
      <c r="AB5685">
        <v>19</v>
      </c>
      <c r="AC5685">
        <v>16.9848</v>
      </c>
      <c r="AD5685">
        <v>-1.1104834835499999</v>
      </c>
      <c r="AE5685">
        <v>1.0699999999985699E-3</v>
      </c>
      <c r="AF5685">
        <v>-0.50720994687083498</v>
      </c>
      <c r="AG5685">
        <v>-1.1104834835499999</v>
      </c>
      <c r="AH5685">
        <v>16.904897152066201</v>
      </c>
      <c r="AI5685">
        <v>93.756676932359696</v>
      </c>
      <c r="AJ5685">
        <v>91.718571444980199</v>
      </c>
      <c r="AK5685">
        <v>16.9489227746006</v>
      </c>
      <c r="AL5685">
        <v>89.327427777305104</v>
      </c>
      <c r="AM5685">
        <v>87.446995592580095</v>
      </c>
      <c r="AN5685">
        <v>0.999999986441509</v>
      </c>
    </row>
    <row r="5686" spans="1:40" x14ac:dyDescent="0.25">
      <c r="A5686" t="str">
        <f>"20190312154949105"</f>
        <v>20190312154949105</v>
      </c>
      <c r="B5686" t="str">
        <f>"1552376989091564"</f>
        <v>1552376989091564</v>
      </c>
      <c r="C5686" t="s">
        <v>40</v>
      </c>
      <c r="D5686">
        <v>4.9391259999999999</v>
      </c>
      <c r="E5686">
        <v>0.47400110000000001</v>
      </c>
      <c r="F5686" t="s">
        <v>69</v>
      </c>
      <c r="G5686">
        <v>-372.72820000000002</v>
      </c>
      <c r="H5686" s="1">
        <v>-3.6114970000000002E-6</v>
      </c>
      <c r="I5686">
        <v>18.52497</v>
      </c>
      <c r="J5686">
        <v>-389.78559999999999</v>
      </c>
      <c r="K5686">
        <v>1.110384</v>
      </c>
      <c r="L5686">
        <v>18.5336</v>
      </c>
      <c r="M5686">
        <v>0.99951679999999998</v>
      </c>
      <c r="N5686">
        <v>0</v>
      </c>
      <c r="O5686">
        <v>-2.8418579999999999E-2</v>
      </c>
      <c r="P5686">
        <v>0.99724489999999999</v>
      </c>
      <c r="Q5686">
        <v>-9.2935000000000001E-4</v>
      </c>
      <c r="R5686">
        <v>-7.4176649999999997E-2</v>
      </c>
      <c r="S5686">
        <v>3.007965</v>
      </c>
      <c r="T5686">
        <v>-0.19363739999999999</v>
      </c>
      <c r="U5686">
        <v>-2.1972659999999998E-3</v>
      </c>
      <c r="V5686">
        <v>4.5790600000000001E-2</v>
      </c>
      <c r="W5686">
        <v>1.1709249999999999E-2</v>
      </c>
      <c r="X5686">
        <v>0.99888239999999995</v>
      </c>
      <c r="Y5686">
        <v>-2.757474E-2</v>
      </c>
      <c r="Z5686">
        <v>2.714148E-3</v>
      </c>
      <c r="AA5686">
        <v>0.99961610000000001</v>
      </c>
      <c r="AB5686">
        <v>19</v>
      </c>
      <c r="AC5686">
        <v>17.057399999999902</v>
      </c>
      <c r="AD5686">
        <v>-1.1103876114969999</v>
      </c>
      <c r="AE5686">
        <v>-8.6300000000001306E-3</v>
      </c>
      <c r="AF5686">
        <v>-0.47414973271475103</v>
      </c>
      <c r="AG5686">
        <v>-1.1103876114969999</v>
      </c>
      <c r="AH5686">
        <v>16.9788049162159</v>
      </c>
      <c r="AI5686">
        <v>93.740273113516096</v>
      </c>
      <c r="AJ5686">
        <v>91.599624937183805</v>
      </c>
      <c r="AK5686">
        <v>17.021680146205199</v>
      </c>
      <c r="AL5686">
        <v>89.329094040274299</v>
      </c>
      <c r="AM5686">
        <v>87.375294007846904</v>
      </c>
      <c r="AN5686">
        <v>0.99999996730684004</v>
      </c>
    </row>
    <row r="5687" spans="1:40" x14ac:dyDescent="0.25">
      <c r="A5687" t="str">
        <f>"20190312154949120"</f>
        <v>20190312154949120</v>
      </c>
      <c r="B5687" t="str">
        <f>"1552376989111084"</f>
        <v>1552376989111084</v>
      </c>
      <c r="C5687" t="s">
        <v>40</v>
      </c>
      <c r="D5687">
        <v>4.921138</v>
      </c>
      <c r="E5687">
        <v>0.47458790000000001</v>
      </c>
      <c r="F5687" t="s">
        <v>69</v>
      </c>
      <c r="G5687">
        <v>-372.54939999999999</v>
      </c>
      <c r="H5687" s="1">
        <v>-3.7007209999999999E-6</v>
      </c>
      <c r="I5687">
        <v>18.498270000000002</v>
      </c>
      <c r="J5687">
        <v>-389.64519999999999</v>
      </c>
      <c r="K5687">
        <v>1.1103270000000001</v>
      </c>
      <c r="L5687">
        <v>18.530819999999999</v>
      </c>
      <c r="M5687">
        <v>0.99954739999999997</v>
      </c>
      <c r="N5687">
        <v>0</v>
      </c>
      <c r="O5687">
        <v>-2.7405860000000001E-2</v>
      </c>
      <c r="P5687">
        <v>0.99726519999999996</v>
      </c>
      <c r="Q5687">
        <v>-8.878E-4</v>
      </c>
      <c r="R5687">
        <v>-7.3901720000000004E-2</v>
      </c>
      <c r="S5687">
        <v>3.0076900000000002</v>
      </c>
      <c r="T5687">
        <v>-0.19376209999999999</v>
      </c>
      <c r="U5687">
        <v>-6.1645509999999999E-3</v>
      </c>
      <c r="V5687">
        <v>4.6528310000000003E-2</v>
      </c>
      <c r="W5687">
        <v>1.1561439999999999E-2</v>
      </c>
      <c r="X5687">
        <v>0.99885000000000002</v>
      </c>
      <c r="Y5687">
        <v>-2.5249939999999998E-2</v>
      </c>
      <c r="Z5687">
        <v>2.5761590000000002E-3</v>
      </c>
      <c r="AA5687">
        <v>0.99967779999999995</v>
      </c>
      <c r="AB5687">
        <v>19</v>
      </c>
      <c r="AC5687">
        <v>17.095799999999901</v>
      </c>
      <c r="AD5687">
        <v>-1.1103307007209999</v>
      </c>
      <c r="AE5687">
        <v>-3.2550000000000502E-2</v>
      </c>
      <c r="AF5687">
        <v>-0.43419189385156698</v>
      </c>
      <c r="AG5687">
        <v>-1.1103307007209999</v>
      </c>
      <c r="AH5687">
        <v>17.0184828833033</v>
      </c>
      <c r="AI5687">
        <v>93.731626492720494</v>
      </c>
      <c r="AJ5687">
        <v>91.461467960614698</v>
      </c>
      <c r="AK5687">
        <v>17.060190987059201</v>
      </c>
      <c r="AL5687">
        <v>89.337563482651603</v>
      </c>
      <c r="AM5687">
        <v>87.332982835501298</v>
      </c>
      <c r="AN5687">
        <v>0.99999993651316199</v>
      </c>
    </row>
    <row r="5688" spans="1:40" x14ac:dyDescent="0.25">
      <c r="A5688" t="str">
        <f>"20190312154949139"</f>
        <v>20190312154949139</v>
      </c>
      <c r="B5688" t="str">
        <f>"1552376989131581"</f>
        <v>1552376989131581</v>
      </c>
      <c r="C5688" t="s">
        <v>40</v>
      </c>
      <c r="D5688">
        <v>4.9297649999999997</v>
      </c>
      <c r="E5688">
        <v>0.4750431</v>
      </c>
      <c r="F5688" t="s">
        <v>69</v>
      </c>
      <c r="G5688">
        <v>-372.55680000000001</v>
      </c>
      <c r="H5688" s="1">
        <v>-3.701291E-6</v>
      </c>
      <c r="I5688">
        <v>18.4755</v>
      </c>
      <c r="J5688">
        <v>-389.48500000000001</v>
      </c>
      <c r="K5688">
        <v>1.1102650000000001</v>
      </c>
      <c r="L5688">
        <v>18.527709999999999</v>
      </c>
      <c r="M5688">
        <v>0.99957949999999995</v>
      </c>
      <c r="N5688">
        <v>0</v>
      </c>
      <c r="O5688">
        <v>-2.6316889999999999E-2</v>
      </c>
      <c r="P5688">
        <v>0.99721389999999999</v>
      </c>
      <c r="Q5688">
        <v>-4.424322E-4</v>
      </c>
      <c r="R5688">
        <v>-7.4595030000000007E-2</v>
      </c>
      <c r="S5688">
        <v>3.007263</v>
      </c>
      <c r="T5688">
        <v>-0.19539860000000001</v>
      </c>
      <c r="U5688">
        <v>-9.7351069999999998E-3</v>
      </c>
      <c r="V5688">
        <v>4.8311350000000003E-2</v>
      </c>
      <c r="W5688">
        <v>1.177076E-2</v>
      </c>
      <c r="X5688">
        <v>0.99876299999999996</v>
      </c>
      <c r="Y5688">
        <v>-2.2978700000000001E-2</v>
      </c>
      <c r="Z5688">
        <v>2.4538479999999998E-3</v>
      </c>
      <c r="AA5688">
        <v>0.99973299999999998</v>
      </c>
      <c r="AB5688">
        <v>19</v>
      </c>
      <c r="AC5688">
        <v>16.9282</v>
      </c>
      <c r="AD5688">
        <v>-1.110268701291</v>
      </c>
      <c r="AE5688">
        <v>-5.2209999999998702E-2</v>
      </c>
      <c r="AF5688">
        <v>-0.39165394735845799</v>
      </c>
      <c r="AG5688">
        <v>-1.110268701291</v>
      </c>
      <c r="AH5688">
        <v>16.851222866654599</v>
      </c>
      <c r="AI5688">
        <v>93.768557334387694</v>
      </c>
      <c r="AJ5688">
        <v>91.331421410664205</v>
      </c>
      <c r="AK5688">
        <v>16.892300065568701</v>
      </c>
      <c r="AL5688">
        <v>89.3255695786779</v>
      </c>
      <c r="AM5688">
        <v>87.230693742549903</v>
      </c>
      <c r="AN5688">
        <v>1.0000000337493899</v>
      </c>
    </row>
    <row r="5689" spans="1:40" x14ac:dyDescent="0.25">
      <c r="A5689" t="str">
        <f>"20190312154949162"</f>
        <v>20190312154949162</v>
      </c>
      <c r="B5689" t="str">
        <f>"1552376989151101"</f>
        <v>1552376989151101</v>
      </c>
      <c r="C5689" t="s">
        <v>40</v>
      </c>
      <c r="D5689">
        <v>4.9789329999999996</v>
      </c>
      <c r="E5689">
        <v>0.47539550000000003</v>
      </c>
      <c r="F5689" t="s">
        <v>69</v>
      </c>
      <c r="G5689">
        <v>-372.42399999999998</v>
      </c>
      <c r="H5689" s="1">
        <v>-3.7699769999999999E-6</v>
      </c>
      <c r="I5689">
        <v>18.44218</v>
      </c>
      <c r="J5689">
        <v>-389.28460000000001</v>
      </c>
      <c r="K5689">
        <v>1.1101970000000001</v>
      </c>
      <c r="L5689">
        <v>18.52393</v>
      </c>
      <c r="M5689">
        <v>0.99961610000000001</v>
      </c>
      <c r="N5689">
        <v>0</v>
      </c>
      <c r="O5689">
        <v>-2.5045069999999999E-2</v>
      </c>
      <c r="P5689">
        <v>0.99716579999999999</v>
      </c>
      <c r="Q5689">
        <v>5.8418139999999897E-4</v>
      </c>
      <c r="R5689">
        <v>-7.5235179999999999E-2</v>
      </c>
      <c r="S5689">
        <v>3.0071720000000002</v>
      </c>
      <c r="T5689">
        <v>-0.19569610000000001</v>
      </c>
      <c r="U5689">
        <v>-1.5075679999999999E-2</v>
      </c>
      <c r="V5689">
        <v>5.0223339999999998E-2</v>
      </c>
      <c r="W5689">
        <v>1.2479759999999999E-2</v>
      </c>
      <c r="X5689">
        <v>0.99865999999999999</v>
      </c>
      <c r="Y5689">
        <v>-1.9939760000000001E-2</v>
      </c>
      <c r="Z5689">
        <v>2.2761890000000001E-3</v>
      </c>
      <c r="AA5689">
        <v>0.99979859999999998</v>
      </c>
      <c r="AB5689">
        <v>19</v>
      </c>
      <c r="AC5689">
        <v>16.860599999999899</v>
      </c>
      <c r="AD5689">
        <v>-1.11020076997699</v>
      </c>
      <c r="AE5689">
        <v>-8.1749999999999504E-2</v>
      </c>
      <c r="AF5689">
        <v>-0.3391099631751</v>
      </c>
      <c r="AG5689">
        <v>-1.11020076997699</v>
      </c>
      <c r="AH5689">
        <v>16.7845872028096</v>
      </c>
      <c r="AI5689">
        <v>93.783493364629294</v>
      </c>
      <c r="AJ5689">
        <v>91.157426540019102</v>
      </c>
      <c r="AK5689">
        <v>16.824681538903</v>
      </c>
      <c r="AL5689">
        <v>89.284943833632497</v>
      </c>
      <c r="AM5689">
        <v>87.120978977603002</v>
      </c>
      <c r="AN5689">
        <v>0.99999996194520502</v>
      </c>
    </row>
    <row r="5690" spans="1:40" x14ac:dyDescent="0.25">
      <c r="A5690" t="str">
        <f>"20190312154949182"</f>
        <v>20190312154949182</v>
      </c>
      <c r="B5690" t="str">
        <f>"1552376989171597"</f>
        <v>1552376989171597</v>
      </c>
      <c r="C5690" t="s">
        <v>40</v>
      </c>
      <c r="D5690">
        <v>4.9864459999999999</v>
      </c>
      <c r="E5690">
        <v>0.47564070000000003</v>
      </c>
      <c r="F5690" t="s">
        <v>69</v>
      </c>
      <c r="G5690">
        <v>-372.00580000000002</v>
      </c>
      <c r="H5690" s="1">
        <v>-3.9730519999999996E-6</v>
      </c>
      <c r="I5690">
        <v>18.4117</v>
      </c>
      <c r="J5690">
        <v>-389.10590000000002</v>
      </c>
      <c r="K5690">
        <v>1.110147</v>
      </c>
      <c r="L5690">
        <v>18.520689999999998</v>
      </c>
      <c r="M5690">
        <v>0.99964549999999996</v>
      </c>
      <c r="N5690">
        <v>0</v>
      </c>
      <c r="O5690">
        <v>-2.3982650000000001E-2</v>
      </c>
      <c r="P5690">
        <v>0.99711970000000005</v>
      </c>
      <c r="Q5690">
        <v>1.3134069999999999E-3</v>
      </c>
      <c r="R5690">
        <v>-7.5834289999999999E-2</v>
      </c>
      <c r="S5690">
        <v>3.0071409999999998</v>
      </c>
      <c r="T5690">
        <v>-0.1932161</v>
      </c>
      <c r="U5690">
        <v>-1.953125E-2</v>
      </c>
      <c r="V5690">
        <v>5.1884779999999998E-2</v>
      </c>
      <c r="W5690">
        <v>1.2919369999999999E-2</v>
      </c>
      <c r="X5690">
        <v>0.9985695</v>
      </c>
      <c r="Y5690">
        <v>-1.7405469999999999E-2</v>
      </c>
      <c r="Z5690">
        <v>2.097893E-3</v>
      </c>
      <c r="AA5690">
        <v>0.99984629999999997</v>
      </c>
      <c r="AB5690">
        <v>19</v>
      </c>
      <c r="AC5690">
        <v>17.100099999999902</v>
      </c>
      <c r="AD5690">
        <v>-1.1101509730520001</v>
      </c>
      <c r="AE5690">
        <v>-0.10898999999999801</v>
      </c>
      <c r="AF5690">
        <v>-0.29991050363288202</v>
      </c>
      <c r="AG5690">
        <v>-1.1101509730520001</v>
      </c>
      <c r="AH5690">
        <v>17.026038219580201</v>
      </c>
      <c r="AI5690">
        <v>93.730006314263306</v>
      </c>
      <c r="AJ5690">
        <v>91.009150158495402</v>
      </c>
      <c r="AK5690">
        <v>17.0648281253508</v>
      </c>
      <c r="AL5690">
        <v>89.259754026765606</v>
      </c>
      <c r="AM5690">
        <v>87.0256371860185</v>
      </c>
      <c r="AN5690">
        <v>0.99999999342354695</v>
      </c>
    </row>
    <row r="5691" spans="1:40" x14ac:dyDescent="0.25">
      <c r="A5691" t="str">
        <f>"20190312154949204"</f>
        <v>20190312154949204</v>
      </c>
      <c r="B5691" t="str">
        <f>"1552376989191847"</f>
        <v>1552376989191847</v>
      </c>
      <c r="C5691" t="s">
        <v>40</v>
      </c>
      <c r="D5691">
        <v>4.9380709999999999</v>
      </c>
      <c r="E5691">
        <v>0.47603079999999998</v>
      </c>
      <c r="F5691" t="s">
        <v>69</v>
      </c>
      <c r="G5691">
        <v>-371.57350000000002</v>
      </c>
      <c r="H5691" s="1">
        <v>-4.1819060000000003E-6</v>
      </c>
      <c r="I5691">
        <v>18.38636</v>
      </c>
      <c r="J5691">
        <v>-388.91890000000001</v>
      </c>
      <c r="K5691">
        <v>1.1100909999999999</v>
      </c>
      <c r="L5691">
        <v>18.517430000000001</v>
      </c>
      <c r="M5691">
        <v>0.99967379999999995</v>
      </c>
      <c r="N5691">
        <v>0</v>
      </c>
      <c r="O5691">
        <v>-2.2927050000000001E-2</v>
      </c>
      <c r="P5691">
        <v>0.99709179999999997</v>
      </c>
      <c r="Q5691">
        <v>1.6182659999999999E-3</v>
      </c>
      <c r="R5691">
        <v>-7.6195890000000002E-2</v>
      </c>
      <c r="S5691">
        <v>3.0071720000000002</v>
      </c>
      <c r="T5691">
        <v>-0.190414</v>
      </c>
      <c r="U5691">
        <v>-2.3040769999999999E-2</v>
      </c>
      <c r="V5691">
        <v>5.3301609999999999E-2</v>
      </c>
      <c r="W5691">
        <v>1.291603E-2</v>
      </c>
      <c r="X5691">
        <v>0.99849489999999996</v>
      </c>
      <c r="Y5691">
        <v>-1.51918E-2</v>
      </c>
      <c r="Z5691">
        <v>1.9307149999999999E-3</v>
      </c>
      <c r="AA5691">
        <v>0.99988279999999996</v>
      </c>
      <c r="AB5691">
        <v>19</v>
      </c>
      <c r="AC5691">
        <v>17.345399999999898</v>
      </c>
      <c r="AD5691">
        <v>-1.1100951819060001</v>
      </c>
      <c r="AE5691">
        <v>-0.13106999999999699</v>
      </c>
      <c r="AF5691">
        <v>-0.26558075835887202</v>
      </c>
      <c r="AG5691">
        <v>-1.1100951819060001</v>
      </c>
      <c r="AH5691">
        <v>17.273100010342802</v>
      </c>
      <c r="AI5691">
        <v>93.676753570894206</v>
      </c>
      <c r="AJ5691">
        <v>90.880875908087503</v>
      </c>
      <c r="AK5691">
        <v>17.3107720341816</v>
      </c>
      <c r="AL5691">
        <v>89.259945397294402</v>
      </c>
      <c r="AM5691">
        <v>86.944339567397506</v>
      </c>
      <c r="AN5691">
        <v>0.99999997539278096</v>
      </c>
    </row>
    <row r="5692" spans="1:40" x14ac:dyDescent="0.25">
      <c r="A5692" t="str">
        <f>"20190312154949219"</f>
        <v>20190312154949219</v>
      </c>
      <c r="B5692" t="str">
        <f>"1552376989211367"</f>
        <v>1552376989211367</v>
      </c>
      <c r="C5692" t="s">
        <v>40</v>
      </c>
      <c r="D5692">
        <v>4.9162299999999997</v>
      </c>
      <c r="E5692">
        <v>0.47640460000000001</v>
      </c>
      <c r="F5692" t="s">
        <v>69</v>
      </c>
      <c r="G5692">
        <v>-371.50979999999998</v>
      </c>
      <c r="H5692" s="1">
        <v>-4.2162679999999997E-6</v>
      </c>
      <c r="I5692">
        <v>18.362480000000001</v>
      </c>
      <c r="J5692">
        <v>-388.79469999999998</v>
      </c>
      <c r="K5692">
        <v>1.11006</v>
      </c>
      <c r="L5692">
        <v>18.515350000000002</v>
      </c>
      <c r="M5692">
        <v>0.9996912</v>
      </c>
      <c r="N5692">
        <v>0</v>
      </c>
      <c r="O5692">
        <v>-2.2258489999999999E-2</v>
      </c>
      <c r="P5692">
        <v>0.99710290000000001</v>
      </c>
      <c r="Q5692">
        <v>1.947079E-3</v>
      </c>
      <c r="R5692">
        <v>-7.6042399999999996E-2</v>
      </c>
      <c r="S5692">
        <v>3.0070190000000001</v>
      </c>
      <c r="T5692">
        <v>-0.19174340000000001</v>
      </c>
      <c r="U5692">
        <v>-2.676392E-2</v>
      </c>
      <c r="V5692">
        <v>5.3815799999999997E-2</v>
      </c>
      <c r="W5692">
        <v>1.30338E-2</v>
      </c>
      <c r="X5692">
        <v>0.99846579999999996</v>
      </c>
      <c r="Y5692">
        <v>-1.328886E-2</v>
      </c>
      <c r="Z5692">
        <v>1.84106E-3</v>
      </c>
      <c r="AA5692">
        <v>0.99990999999999997</v>
      </c>
      <c r="AB5692">
        <v>19</v>
      </c>
      <c r="AC5692">
        <v>17.284899999999901</v>
      </c>
      <c r="AD5692">
        <v>-1.1100642162679999</v>
      </c>
      <c r="AE5692">
        <v>-0.152870000000003</v>
      </c>
      <c r="AF5692">
        <v>-0.23097457477179301</v>
      </c>
      <c r="AG5692">
        <v>-1.1100642162679999</v>
      </c>
      <c r="AH5692">
        <v>17.2130318396263</v>
      </c>
      <c r="AI5692">
        <v>93.689549925572194</v>
      </c>
      <c r="AJ5692">
        <v>90.768782294032903</v>
      </c>
      <c r="AK5692">
        <v>17.250334980237799</v>
      </c>
      <c r="AL5692">
        <v>89.253197113799501</v>
      </c>
      <c r="AM5692">
        <v>86.914829151450405</v>
      </c>
      <c r="AN5692">
        <v>0.99999998702086002</v>
      </c>
    </row>
    <row r="5693" spans="1:40" x14ac:dyDescent="0.25">
      <c r="A5693" t="str">
        <f>"20190312154949237"</f>
        <v>20190312154949237</v>
      </c>
      <c r="B5693" t="str">
        <f>"1552376989231864"</f>
        <v>1552376989231864</v>
      </c>
      <c r="C5693" t="s">
        <v>40</v>
      </c>
      <c r="D5693">
        <v>4.9480879999999896</v>
      </c>
      <c r="E5693">
        <v>0.47678100000000001</v>
      </c>
      <c r="F5693" t="s">
        <v>69</v>
      </c>
      <c r="G5693">
        <v>-371.33920000000001</v>
      </c>
      <c r="H5693" s="1">
        <v>-4.2996999999999997E-6</v>
      </c>
      <c r="I5693">
        <v>18.346689999999999</v>
      </c>
      <c r="J5693">
        <v>-388.62540000000001</v>
      </c>
      <c r="K5693">
        <v>1.110017</v>
      </c>
      <c r="L5693">
        <v>18.51257</v>
      </c>
      <c r="M5693">
        <v>0.99971370000000004</v>
      </c>
      <c r="N5693">
        <v>0</v>
      </c>
      <c r="O5693">
        <v>-2.1373280000000001E-2</v>
      </c>
      <c r="P5693">
        <v>0.99709289999999995</v>
      </c>
      <c r="Q5693">
        <v>2.871443E-3</v>
      </c>
      <c r="R5693">
        <v>-7.6142210000000002E-2</v>
      </c>
      <c r="S5693">
        <v>3.006866</v>
      </c>
      <c r="T5693">
        <v>-0.1912189</v>
      </c>
      <c r="U5693">
        <v>-2.9052729999999999E-2</v>
      </c>
      <c r="V5693">
        <v>5.4799609999999999E-2</v>
      </c>
      <c r="W5693">
        <v>1.366269E-2</v>
      </c>
      <c r="X5693">
        <v>0.99840390000000001</v>
      </c>
      <c r="Y5693">
        <v>-1.1647360000000001E-2</v>
      </c>
      <c r="Z5693">
        <v>1.7277460000000001E-3</v>
      </c>
      <c r="AA5693">
        <v>0.99993069999999895</v>
      </c>
      <c r="AB5693">
        <v>20</v>
      </c>
      <c r="AC5693">
        <v>17.286200000000001</v>
      </c>
      <c r="AD5693">
        <v>-1.1100212997000001</v>
      </c>
      <c r="AE5693">
        <v>-0.165880000000001</v>
      </c>
      <c r="AF5693">
        <v>-0.202805876976621</v>
      </c>
      <c r="AG5693">
        <v>-1.1100212997000001</v>
      </c>
      <c r="AH5693">
        <v>17.214818013908499</v>
      </c>
      <c r="AI5693">
        <v>93.689101828262906</v>
      </c>
      <c r="AJ5693">
        <v>90.674964049736602</v>
      </c>
      <c r="AK5693">
        <v>17.251760396015001</v>
      </c>
      <c r="AL5693">
        <v>89.217161175049995</v>
      </c>
      <c r="AM5693">
        <v>86.858346528150506</v>
      </c>
      <c r="AN5693">
        <v>1.0000000069446899</v>
      </c>
    </row>
    <row r="5694" spans="1:40" x14ac:dyDescent="0.25">
      <c r="A5694" t="str">
        <f>"20190312154949260"</f>
        <v>20190312154949260</v>
      </c>
      <c r="B5694" t="str">
        <f>"1552376989251383"</f>
        <v>1552376989251383</v>
      </c>
      <c r="C5694" t="s">
        <v>40</v>
      </c>
      <c r="D5694">
        <v>4.9604249999999999</v>
      </c>
      <c r="E5694">
        <v>0.47696709999999898</v>
      </c>
      <c r="F5694" t="s">
        <v>69</v>
      </c>
      <c r="G5694">
        <v>-370.98149999999998</v>
      </c>
      <c r="H5694" s="1">
        <v>-4.4725769999999997E-6</v>
      </c>
      <c r="I5694">
        <v>18.32526</v>
      </c>
      <c r="J5694">
        <v>-388.43239999999997</v>
      </c>
      <c r="K5694">
        <v>1.1099779999999999</v>
      </c>
      <c r="L5694">
        <v>18.509550000000001</v>
      </c>
      <c r="M5694">
        <v>0.99973789999999996</v>
      </c>
      <c r="N5694">
        <v>0</v>
      </c>
      <c r="O5694">
        <v>-2.039819E-2</v>
      </c>
      <c r="P5694">
        <v>0.99711099999999997</v>
      </c>
      <c r="Q5694">
        <v>3.7412080000000002E-3</v>
      </c>
      <c r="R5694">
        <v>-7.5867530000000002E-2</v>
      </c>
      <c r="S5694">
        <v>3.0068359999999998</v>
      </c>
      <c r="T5694">
        <v>-0.1891679</v>
      </c>
      <c r="U5694">
        <v>-3.1921390000000001E-2</v>
      </c>
      <c r="V5694">
        <v>5.549801E-2</v>
      </c>
      <c r="W5694">
        <v>1.418955E-2</v>
      </c>
      <c r="X5694">
        <v>0.99835799999999997</v>
      </c>
      <c r="Y5694">
        <v>-9.7251390000000007E-3</v>
      </c>
      <c r="Z5694">
        <v>1.587574E-3</v>
      </c>
      <c r="AA5694">
        <v>0.99995140000000005</v>
      </c>
      <c r="AB5694">
        <v>20</v>
      </c>
      <c r="AC5694">
        <v>17.450899999999901</v>
      </c>
      <c r="AD5694">
        <v>-1.109982472577</v>
      </c>
      <c r="AE5694">
        <v>-0.18429000000000001</v>
      </c>
      <c r="AF5694">
        <v>-0.171042440195457</v>
      </c>
      <c r="AG5694">
        <v>-1.109982472577</v>
      </c>
      <c r="AH5694">
        <v>17.380718275114099</v>
      </c>
      <c r="AI5694">
        <v>93.653933881004605</v>
      </c>
      <c r="AJ5694">
        <v>90.563825582290704</v>
      </c>
      <c r="AK5694">
        <v>17.416965417794898</v>
      </c>
      <c r="AL5694">
        <v>89.186971415163896</v>
      </c>
      <c r="AM5694">
        <v>86.818243126150094</v>
      </c>
      <c r="AN5694">
        <v>1.00000003430358</v>
      </c>
    </row>
    <row r="5695" spans="1:40" x14ac:dyDescent="0.25">
      <c r="A5695" t="str">
        <f>"20190312154949273"</f>
        <v>20190312154949273</v>
      </c>
      <c r="B5695" t="str">
        <f>"1552376989261143"</f>
        <v>1552376989261143</v>
      </c>
      <c r="C5695" t="s">
        <v>40</v>
      </c>
      <c r="D5695">
        <v>4.9258870000000003</v>
      </c>
      <c r="E5695">
        <v>0.4824291</v>
      </c>
      <c r="F5695" t="s">
        <v>69</v>
      </c>
      <c r="G5695">
        <v>-370.53559999999999</v>
      </c>
      <c r="H5695" s="1">
        <v>-4.6845529999999998E-6</v>
      </c>
      <c r="I5695">
        <v>18.318650000000002</v>
      </c>
      <c r="J5695">
        <v>-388.30900000000003</v>
      </c>
      <c r="K5695">
        <v>1.109955</v>
      </c>
      <c r="L5695">
        <v>18.507719999999999</v>
      </c>
      <c r="M5695">
        <v>0.99975230000000004</v>
      </c>
      <c r="N5695">
        <v>0</v>
      </c>
      <c r="O5695">
        <v>-1.978763E-2</v>
      </c>
      <c r="P5695">
        <v>0.99710909999999997</v>
      </c>
      <c r="Q5695">
        <v>4.0707679999999998E-3</v>
      </c>
      <c r="R5695">
        <v>-7.5876280000000004E-2</v>
      </c>
      <c r="S5695">
        <v>3.006958</v>
      </c>
      <c r="T5695">
        <v>-0.18649489999999999</v>
      </c>
      <c r="U5695">
        <v>-3.207397E-2</v>
      </c>
      <c r="V5695">
        <v>5.6116199999999901E-2</v>
      </c>
      <c r="W5695">
        <v>1.430302E-2</v>
      </c>
      <c r="X5695">
        <v>0.99832180000000004</v>
      </c>
      <c r="Y5695">
        <v>-9.0682130000000003E-3</v>
      </c>
      <c r="Z5695">
        <v>1.506943E-3</v>
      </c>
      <c r="AA5695">
        <v>0.99995769999999995</v>
      </c>
      <c r="AB5695">
        <v>20</v>
      </c>
      <c r="AC5695">
        <v>17.773399999999999</v>
      </c>
      <c r="AD5695">
        <v>-1.109959684553</v>
      </c>
      <c r="AE5695">
        <v>-0.18906999999999999</v>
      </c>
      <c r="AF5695">
        <v>-0.16204681414770999</v>
      </c>
      <c r="AG5695">
        <v>-1.109959684553</v>
      </c>
      <c r="AH5695">
        <v>17.7046195513283</v>
      </c>
      <c r="AI5695">
        <v>93.587212239571301</v>
      </c>
      <c r="AJ5695">
        <v>90.524402077766695</v>
      </c>
      <c r="AK5695">
        <v>17.7401190280275</v>
      </c>
      <c r="AL5695">
        <v>89.180469383778302</v>
      </c>
      <c r="AM5695">
        <v>86.782759296023499</v>
      </c>
      <c r="AN5695">
        <v>1.0000000103194</v>
      </c>
    </row>
    <row r="5696" spans="1:40" x14ac:dyDescent="0.25">
      <c r="A5696" t="str">
        <f>"20190312154949296"</f>
        <v>20190312154949296</v>
      </c>
      <c r="B5696" t="str">
        <f>"1552376989291400"</f>
        <v>1552376989291400</v>
      </c>
      <c r="C5696" t="s">
        <v>40</v>
      </c>
      <c r="D5696">
        <v>4.969309</v>
      </c>
      <c r="E5696">
        <v>0.48152780000000001</v>
      </c>
      <c r="F5696" t="s">
        <v>69</v>
      </c>
      <c r="G5696">
        <v>-373.4178</v>
      </c>
      <c r="H5696" s="1">
        <v>-3.352756E-6</v>
      </c>
      <c r="I5696">
        <v>18.145869999999999</v>
      </c>
      <c r="J5696">
        <v>-388.12259999999998</v>
      </c>
      <c r="K5696">
        <v>1.1099250000000001</v>
      </c>
      <c r="L5696">
        <v>18.505040000000001</v>
      </c>
      <c r="M5696">
        <v>0.99977329999999998</v>
      </c>
      <c r="N5696">
        <v>0</v>
      </c>
      <c r="O5696">
        <v>-1.8874249999999999E-2</v>
      </c>
      <c r="P5696">
        <v>0.99711450000000001</v>
      </c>
      <c r="Q5696">
        <v>4.1163149999999997E-3</v>
      </c>
      <c r="R5696">
        <v>-7.5803019999999999E-2</v>
      </c>
      <c r="S5696">
        <v>3.0040589999999998</v>
      </c>
      <c r="T5696">
        <v>-0.2239159</v>
      </c>
      <c r="U5696">
        <v>-7.2998049999999995E-2</v>
      </c>
      <c r="V5696">
        <v>5.6954959999999999E-2</v>
      </c>
      <c r="W5696">
        <v>1.4027909999999999E-2</v>
      </c>
      <c r="X5696">
        <v>0.9982782</v>
      </c>
      <c r="Y5696">
        <v>5.4559090000000001E-3</v>
      </c>
      <c r="Z5696">
        <v>1.2015909999999999E-3</v>
      </c>
      <c r="AA5696">
        <v>0.9999844</v>
      </c>
      <c r="AB5696">
        <v>20</v>
      </c>
      <c r="AC5696">
        <v>14.704799999999899</v>
      </c>
      <c r="AD5696">
        <v>-1.109928352756</v>
      </c>
      <c r="AE5696">
        <v>-0.35916999999999799</v>
      </c>
      <c r="AF5696">
        <v>8.1088750391472494E-2</v>
      </c>
      <c r="AG5696">
        <v>-1.109928352756</v>
      </c>
      <c r="AH5696">
        <v>14.625682001007</v>
      </c>
      <c r="AI5696">
        <v>94.339734437917002</v>
      </c>
      <c r="AJ5696">
        <v>89.682339903249797</v>
      </c>
      <c r="AK5696">
        <v>14.667961355562401</v>
      </c>
      <c r="AL5696">
        <v>89.196233604735795</v>
      </c>
      <c r="AM5696">
        <v>86.734632691455701</v>
      </c>
      <c r="AN5696">
        <v>1.0000000071613999</v>
      </c>
    </row>
    <row r="5697" spans="1:40" x14ac:dyDescent="0.25">
      <c r="A5697" t="str">
        <f>"20190312154949316"</f>
        <v>20190312154949316</v>
      </c>
      <c r="B5697" t="str">
        <f>"1552376989311899"</f>
        <v>1552376989311899</v>
      </c>
      <c r="C5697" t="s">
        <v>40</v>
      </c>
      <c r="D5697">
        <v>4.9290539999999998</v>
      </c>
      <c r="E5697">
        <v>0.48124990000000001</v>
      </c>
      <c r="F5697" t="s">
        <v>69</v>
      </c>
      <c r="G5697">
        <v>-373.60230000000001</v>
      </c>
      <c r="H5697" s="1">
        <v>-3.257257E-6</v>
      </c>
      <c r="I5697">
        <v>18.192530000000001</v>
      </c>
      <c r="J5697">
        <v>-387.93279999999999</v>
      </c>
      <c r="K5697">
        <v>1.1098969999999999</v>
      </c>
      <c r="L5697">
        <v>18.502500000000001</v>
      </c>
      <c r="M5697">
        <v>0.9997935</v>
      </c>
      <c r="N5697">
        <v>0</v>
      </c>
      <c r="O5697">
        <v>-1.7947749999999998E-2</v>
      </c>
      <c r="P5697">
        <v>0.99708379999999996</v>
      </c>
      <c r="Q5697">
        <v>4.1125789999999999E-3</v>
      </c>
      <c r="R5697">
        <v>-7.6205469999999997E-2</v>
      </c>
      <c r="S5697">
        <v>3.0047000000000001</v>
      </c>
      <c r="T5697">
        <v>-0.22967889999999999</v>
      </c>
      <c r="U5697">
        <v>-6.4666749999999995E-2</v>
      </c>
      <c r="V5697">
        <v>5.8282769999999998E-2</v>
      </c>
      <c r="W5697">
        <v>1.3706080000000001E-2</v>
      </c>
      <c r="X5697">
        <v>0.99820600000000004</v>
      </c>
      <c r="Y5697">
        <v>3.6108059999999998E-3</v>
      </c>
      <c r="Z5697">
        <v>1.231921E-3</v>
      </c>
      <c r="AA5697">
        <v>0.99999269999999996</v>
      </c>
      <c r="AB5697">
        <v>20</v>
      </c>
      <c r="AC5697">
        <v>14.330499999999899</v>
      </c>
      <c r="AD5697">
        <v>-1.10990025725699</v>
      </c>
      <c r="AE5697">
        <v>-0.30997000000000302</v>
      </c>
      <c r="AF5697">
        <v>5.23940133998071E-2</v>
      </c>
      <c r="AG5697">
        <v>-1.10990025725699</v>
      </c>
      <c r="AH5697">
        <v>14.2483259216869</v>
      </c>
      <c r="AI5697">
        <v>94.454138306960601</v>
      </c>
      <c r="AJ5697">
        <v>89.789312630443803</v>
      </c>
      <c r="AK5697">
        <v>14.291585471329499</v>
      </c>
      <c r="AL5697">
        <v>89.214674855790705</v>
      </c>
      <c r="AM5697">
        <v>86.658435486894106</v>
      </c>
      <c r="AN5697">
        <v>0.99999997817191899</v>
      </c>
    </row>
    <row r="5698" spans="1:40" x14ac:dyDescent="0.25">
      <c r="A5698" t="str">
        <f>"20190312154949341"</f>
        <v>20190312154949341</v>
      </c>
      <c r="B5698" t="str">
        <f>"1552376989331415"</f>
        <v>1552376989331415</v>
      </c>
      <c r="C5698" t="s">
        <v>40</v>
      </c>
      <c r="D5698">
        <v>4.9621370000000002</v>
      </c>
      <c r="E5698">
        <v>0.48089169999999998</v>
      </c>
      <c r="F5698" t="s">
        <v>69</v>
      </c>
      <c r="G5698">
        <v>-373.48500000000001</v>
      </c>
      <c r="H5698" s="1">
        <v>-3.3112780000000002E-6</v>
      </c>
      <c r="I5698">
        <v>18.200530000000001</v>
      </c>
      <c r="J5698">
        <v>-387.71859999999998</v>
      </c>
      <c r="K5698">
        <v>1.109869</v>
      </c>
      <c r="L5698">
        <v>18.49982</v>
      </c>
      <c r="M5698">
        <v>0.99981500000000001</v>
      </c>
      <c r="N5698">
        <v>0</v>
      </c>
      <c r="O5698">
        <v>-1.6897740000000001E-2</v>
      </c>
      <c r="P5698">
        <v>0.99703679999999995</v>
      </c>
      <c r="Q5698">
        <v>3.4753829999999999E-3</v>
      </c>
      <c r="R5698">
        <v>-7.6849589999999995E-2</v>
      </c>
      <c r="S5698">
        <v>3.0049440000000001</v>
      </c>
      <c r="T5698">
        <v>-0.23084450000000001</v>
      </c>
      <c r="U5698">
        <v>-6.2805180000000002E-2</v>
      </c>
      <c r="V5698">
        <v>5.997624E-2</v>
      </c>
      <c r="W5698">
        <v>1.2715779999999999E-2</v>
      </c>
      <c r="X5698">
        <v>0.99811879999999997</v>
      </c>
      <c r="Y5698">
        <v>4.036179E-3</v>
      </c>
      <c r="Z5698">
        <v>1.1412239999999999E-3</v>
      </c>
      <c r="AA5698">
        <v>0.99999119999999997</v>
      </c>
      <c r="AB5698">
        <v>20</v>
      </c>
      <c r="AC5698">
        <v>14.2335999999999</v>
      </c>
      <c r="AD5698">
        <v>-1.109872311278</v>
      </c>
      <c r="AE5698">
        <v>-0.299289999999999</v>
      </c>
      <c r="AF5698">
        <v>5.8366714961596698E-2</v>
      </c>
      <c r="AG5698">
        <v>-1.109872311278</v>
      </c>
      <c r="AH5698">
        <v>14.1506247971165</v>
      </c>
      <c r="AI5698">
        <v>94.484646030753595</v>
      </c>
      <c r="AJ5698">
        <v>89.763674924974197</v>
      </c>
      <c r="AK5698">
        <v>14.1942032312322</v>
      </c>
      <c r="AL5698">
        <v>89.271419830206597</v>
      </c>
      <c r="AM5698">
        <v>86.561272649495706</v>
      </c>
      <c r="AN5698">
        <v>0.999999989669492</v>
      </c>
    </row>
    <row r="5699" spans="1:40" x14ac:dyDescent="0.25">
      <c r="A5699" t="str">
        <f>"20190312154949355"</f>
        <v>20190312154949355</v>
      </c>
      <c r="B5699" t="str">
        <f>"1552376989341175"</f>
        <v>1552376989341175</v>
      </c>
      <c r="C5699" t="s">
        <v>40</v>
      </c>
      <c r="D5699">
        <v>4.9498689999999996</v>
      </c>
      <c r="E5699">
        <v>0.48076380000000002</v>
      </c>
      <c r="F5699" t="s">
        <v>69</v>
      </c>
      <c r="G5699">
        <v>-373.5188</v>
      </c>
      <c r="H5699" s="1">
        <v>-3.2934469999999999E-6</v>
      </c>
      <c r="I5699">
        <v>18.21097</v>
      </c>
      <c r="J5699">
        <v>-387.58170000000001</v>
      </c>
      <c r="K5699">
        <v>1.1098539999999999</v>
      </c>
      <c r="L5699">
        <v>18.498259999999998</v>
      </c>
      <c r="M5699">
        <v>0.9998283</v>
      </c>
      <c r="N5699">
        <v>0</v>
      </c>
      <c r="O5699">
        <v>-1.6221530000000001E-2</v>
      </c>
      <c r="P5699">
        <v>0.99700029999999995</v>
      </c>
      <c r="Q5699">
        <v>3.0696690000000001E-3</v>
      </c>
      <c r="R5699">
        <v>-7.7337310000000006E-2</v>
      </c>
      <c r="S5699">
        <v>3.0050349999999999</v>
      </c>
      <c r="T5699">
        <v>-0.23487810000000001</v>
      </c>
      <c r="U5699">
        <v>-6.1126710000000001E-2</v>
      </c>
      <c r="V5699">
        <v>6.1139850000000003E-2</v>
      </c>
      <c r="W5699">
        <v>1.20926E-2</v>
      </c>
      <c r="X5699">
        <v>0.9980559</v>
      </c>
      <c r="Y5699">
        <v>4.1525049999999999E-3</v>
      </c>
      <c r="Z5699">
        <v>1.1037760000000001E-3</v>
      </c>
      <c r="AA5699">
        <v>0.99999079999999996</v>
      </c>
      <c r="AB5699">
        <v>20</v>
      </c>
      <c r="AC5699">
        <v>14.062900000000001</v>
      </c>
      <c r="AD5699">
        <v>-1.1098572934469999</v>
      </c>
      <c r="AE5699">
        <v>-0.28729000000000199</v>
      </c>
      <c r="AF5699">
        <v>5.8755483109187198E-2</v>
      </c>
      <c r="AG5699">
        <v>-1.1098572934469999</v>
      </c>
      <c r="AH5699">
        <v>13.978679864406899</v>
      </c>
      <c r="AI5699">
        <v>94.539517652449803</v>
      </c>
      <c r="AJ5699">
        <v>89.759174584923301</v>
      </c>
      <c r="AK5699">
        <v>14.022793094465399</v>
      </c>
      <c r="AL5699">
        <v>89.3071281319056</v>
      </c>
      <c r="AM5699">
        <v>86.494501678804994</v>
      </c>
      <c r="AN5699">
        <v>0.99999994587879404</v>
      </c>
    </row>
    <row r="5700" spans="1:40" x14ac:dyDescent="0.25">
      <c r="A5700" t="str">
        <f>"20190312154949372"</f>
        <v>20190312154949372</v>
      </c>
      <c r="B5700" t="str">
        <f>"1552376989361671"</f>
        <v>1552376989361671</v>
      </c>
      <c r="C5700" t="s">
        <v>40</v>
      </c>
      <c r="D5700">
        <v>4.9620280000000001</v>
      </c>
      <c r="E5700">
        <v>0.4808346</v>
      </c>
      <c r="F5700" t="s">
        <v>41</v>
      </c>
      <c r="G5700">
        <v>-386.76</v>
      </c>
      <c r="H5700">
        <v>1.044905</v>
      </c>
      <c r="I5700">
        <v>18.48152</v>
      </c>
      <c r="J5700">
        <v>-387.4314</v>
      </c>
      <c r="K5700">
        <v>1.1098330000000001</v>
      </c>
      <c r="L5700">
        <v>18.496639999999999</v>
      </c>
      <c r="M5700">
        <v>0.99984220000000001</v>
      </c>
      <c r="N5700">
        <v>0</v>
      </c>
      <c r="O5700">
        <v>-1.547402E-2</v>
      </c>
      <c r="P5700">
        <v>0.99689479999999997</v>
      </c>
      <c r="Q5700">
        <v>1.176201E-3</v>
      </c>
      <c r="R5700">
        <v>-7.8737459999999995E-2</v>
      </c>
      <c r="S5700">
        <v>3.0050050000000001</v>
      </c>
      <c r="T5700">
        <v>-0.23752180000000001</v>
      </c>
      <c r="U5700">
        <v>-6.1248780000000003E-2</v>
      </c>
      <c r="V5700">
        <v>6.3289719999999994E-2</v>
      </c>
      <c r="W5700">
        <v>9.9708020000000008E-3</v>
      </c>
      <c r="X5700">
        <v>0.99794539999999998</v>
      </c>
      <c r="Y5700">
        <v>4.9370350000000002E-3</v>
      </c>
      <c r="Z5700">
        <v>1.0262369999999999E-3</v>
      </c>
      <c r="AA5700">
        <v>0.99998730000000002</v>
      </c>
      <c r="AB5700">
        <v>20</v>
      </c>
      <c r="AC5700">
        <v>0.67140000000000499</v>
      </c>
      <c r="AD5700">
        <v>-6.4928000000000097E-2</v>
      </c>
      <c r="AE5700">
        <v>-1.51199999999995E-2</v>
      </c>
      <c r="AF5700">
        <v>4.6847477921869302E-3</v>
      </c>
      <c r="AG5700">
        <v>-6.4928000000000097E-2</v>
      </c>
      <c r="AH5700">
        <v>0.66533457316447597</v>
      </c>
      <c r="AI5700">
        <v>95.573537111859096</v>
      </c>
      <c r="AJ5700">
        <v>89.596576141308304</v>
      </c>
      <c r="AK5700">
        <v>0.66851154537063295</v>
      </c>
      <c r="AL5700">
        <v>89.428705668414494</v>
      </c>
      <c r="AM5700">
        <v>86.371160335393597</v>
      </c>
      <c r="AN5700">
        <v>1.0000000134656799</v>
      </c>
    </row>
    <row r="5701" spans="1:40" x14ac:dyDescent="0.25">
      <c r="A5701" t="str">
        <f>"20190312154949393"</f>
        <v>20190312154949393</v>
      </c>
      <c r="B5701" t="str">
        <f>"1552376989381191"</f>
        <v>1552376989381191</v>
      </c>
      <c r="C5701" t="s">
        <v>40</v>
      </c>
      <c r="D5701">
        <v>4.978332</v>
      </c>
      <c r="E5701">
        <v>0.48081499999999999</v>
      </c>
      <c r="F5701" t="s">
        <v>41</v>
      </c>
      <c r="G5701">
        <v>-386.5822</v>
      </c>
      <c r="H5701">
        <v>1.04226</v>
      </c>
      <c r="I5701">
        <v>18.477930000000001</v>
      </c>
      <c r="J5701">
        <v>-387.23939999999999</v>
      </c>
      <c r="K5701">
        <v>1.1098170000000001</v>
      </c>
      <c r="L5701">
        <v>18.494720000000001</v>
      </c>
      <c r="M5701">
        <v>0.9998591</v>
      </c>
      <c r="N5701">
        <v>0</v>
      </c>
      <c r="O5701">
        <v>-1.451059E-2</v>
      </c>
      <c r="P5701">
        <v>0.99683290000000002</v>
      </c>
      <c r="Q5701">
        <v>-1.0884849999999999E-3</v>
      </c>
      <c r="R5701">
        <v>-7.9520469999999996E-2</v>
      </c>
      <c r="S5701">
        <v>3.0043950000000001</v>
      </c>
      <c r="T5701">
        <v>-0.23909520000000001</v>
      </c>
      <c r="U5701">
        <v>-6.6162109999999996E-2</v>
      </c>
      <c r="V5701">
        <v>6.5037819999999996E-2</v>
      </c>
      <c r="W5701">
        <v>7.4303109999999898E-3</v>
      </c>
      <c r="X5701">
        <v>0.99785509999999999</v>
      </c>
      <c r="Y5701">
        <v>7.5285919999999997E-3</v>
      </c>
      <c r="Z5701">
        <v>8.5372189999999998E-4</v>
      </c>
      <c r="AA5701">
        <v>0.99997130000000001</v>
      </c>
      <c r="AB5701">
        <v>20</v>
      </c>
      <c r="AC5701">
        <v>0.65719999999998802</v>
      </c>
      <c r="AD5701">
        <v>-6.7557000000000006E-2</v>
      </c>
      <c r="AE5701">
        <v>-1.6790000000003798E-2</v>
      </c>
      <c r="AF5701">
        <v>7.17575708218953E-3</v>
      </c>
      <c r="AG5701">
        <v>-6.7557000000000006E-2</v>
      </c>
      <c r="AH5701">
        <v>0.65050513619377703</v>
      </c>
      <c r="AI5701">
        <v>95.928733331185299</v>
      </c>
      <c r="AJ5701">
        <v>89.367992814302895</v>
      </c>
      <c r="AK5701">
        <v>0.65404309640358405</v>
      </c>
      <c r="AL5701">
        <v>89.574270606488099</v>
      </c>
      <c r="AM5701">
        <v>86.270872113396095</v>
      </c>
      <c r="AN5701">
        <v>0.99999996407395897</v>
      </c>
    </row>
    <row r="5702" spans="1:40" x14ac:dyDescent="0.25">
      <c r="A5702" t="str">
        <f>"20190312154949407"</f>
        <v>20190312154949407</v>
      </c>
      <c r="B5702" t="str">
        <f>"1552376989401688"</f>
        <v>1552376989401688</v>
      </c>
      <c r="C5702" t="s">
        <v>40</v>
      </c>
      <c r="D5702">
        <v>4.8440180000000002</v>
      </c>
      <c r="E5702">
        <v>0.4852592</v>
      </c>
      <c r="F5702" t="s">
        <v>41</v>
      </c>
      <c r="G5702">
        <v>-386.40219999999999</v>
      </c>
      <c r="H5702">
        <v>1.0410410000000001</v>
      </c>
      <c r="I5702">
        <v>18.475490000000001</v>
      </c>
      <c r="J5702">
        <v>-387.11009999999999</v>
      </c>
      <c r="K5702">
        <v>1.109809</v>
      </c>
      <c r="L5702">
        <v>18.49353</v>
      </c>
      <c r="M5702">
        <v>0.99986980000000003</v>
      </c>
      <c r="N5702">
        <v>0</v>
      </c>
      <c r="O5702">
        <v>-1.3857090000000001E-2</v>
      </c>
      <c r="P5702">
        <v>0.99683080000000002</v>
      </c>
      <c r="Q5702">
        <v>-1.9225889999999999E-3</v>
      </c>
      <c r="R5702">
        <v>-7.9529489999999994E-2</v>
      </c>
      <c r="S5702">
        <v>3.003784</v>
      </c>
      <c r="T5702">
        <v>-0.24682409999999999</v>
      </c>
      <c r="U5702">
        <v>-6.8267820000000007E-2</v>
      </c>
      <c r="V5702">
        <v>6.5700320000000006E-2</v>
      </c>
      <c r="W5702">
        <v>6.4199169999999998E-3</v>
      </c>
      <c r="X5702">
        <v>0.99781880000000001</v>
      </c>
      <c r="Y5702">
        <v>8.8819969999999904E-3</v>
      </c>
      <c r="Z5702">
        <v>7.722963E-4</v>
      </c>
      <c r="AA5702">
        <v>0.99996019999999997</v>
      </c>
      <c r="AB5702">
        <v>20</v>
      </c>
      <c r="AC5702">
        <v>0.70789999999999498</v>
      </c>
      <c r="AD5702">
        <v>-6.8768000000000107E-2</v>
      </c>
      <c r="AE5702">
        <v>-1.8039999999999098E-2</v>
      </c>
      <c r="AF5702">
        <v>8.1516224016696306E-3</v>
      </c>
      <c r="AG5702">
        <v>-6.8768000000000107E-2</v>
      </c>
      <c r="AH5702">
        <v>0.70146664894726396</v>
      </c>
      <c r="AI5702">
        <v>95.5987015855072</v>
      </c>
      <c r="AJ5702">
        <v>89.334205641844903</v>
      </c>
      <c r="AK5702">
        <v>0.70487654689107304</v>
      </c>
      <c r="AL5702">
        <v>89.632163343608795</v>
      </c>
      <c r="AM5702">
        <v>86.232857973592004</v>
      </c>
      <c r="AN5702">
        <v>1.00000005250791</v>
      </c>
    </row>
    <row r="5703" spans="1:40" x14ac:dyDescent="0.25">
      <c r="A5703" t="str">
        <f>"20190312154949427"</f>
        <v>20190312154949427</v>
      </c>
      <c r="B5703" t="str">
        <f>"1552376989421208"</f>
        <v>1552376989421208</v>
      </c>
      <c r="C5703" t="s">
        <v>40</v>
      </c>
      <c r="D5703">
        <v>4.0208360000000001</v>
      </c>
      <c r="E5703">
        <v>0.49334919999999999</v>
      </c>
      <c r="F5703" t="s">
        <v>41</v>
      </c>
      <c r="G5703">
        <v>-386.21379999999999</v>
      </c>
      <c r="H5703">
        <v>1.0503089999999999</v>
      </c>
      <c r="I5703">
        <v>18.461390000000002</v>
      </c>
      <c r="J5703">
        <v>-386.93060000000003</v>
      </c>
      <c r="K5703">
        <v>1.109801</v>
      </c>
      <c r="L5703">
        <v>18.49203</v>
      </c>
      <c r="M5703">
        <v>0.99988379999999999</v>
      </c>
      <c r="N5703">
        <v>0</v>
      </c>
      <c r="O5703">
        <v>-1.29439E-2</v>
      </c>
      <c r="P5703">
        <v>0.99681730000000002</v>
      </c>
      <c r="Q5703">
        <v>-2.7338829999999999E-3</v>
      </c>
      <c r="R5703">
        <v>-7.9674419999999996E-2</v>
      </c>
      <c r="S5703">
        <v>3.0005799999999998</v>
      </c>
      <c r="T5703">
        <v>-0.1992766</v>
      </c>
      <c r="U5703">
        <v>-0.10736080000000001</v>
      </c>
      <c r="V5703">
        <v>6.6757629999999998E-2</v>
      </c>
      <c r="W5703">
        <v>5.3818599999999996E-3</v>
      </c>
      <c r="X5703">
        <v>0.99775469999999999</v>
      </c>
      <c r="Y5703">
        <v>2.2796440000000001E-2</v>
      </c>
      <c r="Z5703">
        <v>1.024677E-4</v>
      </c>
      <c r="AA5703">
        <v>0.99974010000000002</v>
      </c>
      <c r="AB5703">
        <v>20</v>
      </c>
      <c r="AC5703">
        <v>0.71680000000003397</v>
      </c>
      <c r="AD5703">
        <v>-5.94920000000001E-2</v>
      </c>
      <c r="AE5703">
        <v>-3.0640000000001701E-2</v>
      </c>
      <c r="AF5703">
        <v>2.1213085952112999E-2</v>
      </c>
      <c r="AG5703">
        <v>-5.94920000000001E-2</v>
      </c>
      <c r="AH5703">
        <v>0.71223928718944596</v>
      </c>
      <c r="AI5703">
        <v>94.772617744839593</v>
      </c>
      <c r="AJ5703">
        <v>88.294026849433607</v>
      </c>
      <c r="AK5703">
        <v>0.71503433155040996</v>
      </c>
      <c r="AL5703">
        <v>89.691640645470997</v>
      </c>
      <c r="AM5703">
        <v>86.172167275653194</v>
      </c>
      <c r="AN5703">
        <v>0.99999999347618296</v>
      </c>
    </row>
    <row r="5704" spans="1:40" x14ac:dyDescent="0.25">
      <c r="A5704" t="str">
        <f>"20190312154949551"</f>
        <v>20190312154949551</v>
      </c>
      <c r="B5704" t="str">
        <f>"1552376989541256"</f>
        <v>1552376989541256</v>
      </c>
      <c r="C5704" t="s">
        <v>40</v>
      </c>
      <c r="D5704">
        <v>3.7415400000000001</v>
      </c>
      <c r="E5704">
        <v>0.5108106</v>
      </c>
      <c r="F5704" t="s">
        <v>41</v>
      </c>
      <c r="G5704">
        <v>-385.20549999999997</v>
      </c>
      <c r="H5704">
        <v>0.82836690000000002</v>
      </c>
      <c r="I5704">
        <v>18.447019999999998</v>
      </c>
      <c r="J5704">
        <v>-385.77420000000001</v>
      </c>
      <c r="K5704">
        <v>1.109772</v>
      </c>
      <c r="L5704">
        <v>18.486450000000001</v>
      </c>
      <c r="M5704">
        <v>0.99995060000000002</v>
      </c>
      <c r="N5704">
        <v>0</v>
      </c>
      <c r="O5704">
        <v>-7.0404480000000004E-3</v>
      </c>
      <c r="P5704">
        <v>0.9971023</v>
      </c>
      <c r="Q5704">
        <v>-2.3191869999999999E-3</v>
      </c>
      <c r="R5704">
        <v>-7.6039460000000003E-2</v>
      </c>
      <c r="S5704">
        <v>2.9931030000000001</v>
      </c>
      <c r="T5704">
        <v>-1.218027</v>
      </c>
      <c r="U5704">
        <v>-0.17153929999999901</v>
      </c>
      <c r="V5704">
        <v>6.9010559999999999E-2</v>
      </c>
      <c r="W5704">
        <v>4.7910670000000004E-3</v>
      </c>
      <c r="X5704">
        <v>0.99760439999999995</v>
      </c>
      <c r="Y5704">
        <v>4.701433E-2</v>
      </c>
      <c r="Z5704">
        <v>-6.4398260000000001E-3</v>
      </c>
      <c r="AA5704">
        <v>0.99887349999999997</v>
      </c>
      <c r="AB5704">
        <v>21</v>
      </c>
      <c r="AC5704">
        <v>0.56870000000003496</v>
      </c>
      <c r="AD5704">
        <v>-0.28140510000000002</v>
      </c>
      <c r="AE5704">
        <v>-3.9429999999999403E-2</v>
      </c>
      <c r="AF5704">
        <v>2.8484098268938E-2</v>
      </c>
      <c r="AG5704">
        <v>-0.28140510000000002</v>
      </c>
      <c r="AH5704">
        <v>0.457484909793408</v>
      </c>
      <c r="AI5704">
        <v>121.546786870202</v>
      </c>
      <c r="AJ5704">
        <v>86.437227601677407</v>
      </c>
      <c r="AK5704">
        <v>0.53785929093852003</v>
      </c>
      <c r="AL5704">
        <v>89.725491024555595</v>
      </c>
      <c r="AM5704">
        <v>86.042795366601197</v>
      </c>
      <c r="AN5704">
        <v>0.99999997530693496</v>
      </c>
    </row>
    <row r="5705" spans="1:40" x14ac:dyDescent="0.25">
      <c r="A5705" t="str">
        <f>"20190312154949571"</f>
        <v>20190312154949571</v>
      </c>
      <c r="B5705" t="str">
        <f>"1552376989561754"</f>
        <v>1552376989561754</v>
      </c>
      <c r="C5705" t="s">
        <v>40</v>
      </c>
      <c r="D5705">
        <v>4.7011159999999999</v>
      </c>
      <c r="E5705">
        <v>0.50751499999999905</v>
      </c>
      <c r="F5705" t="s">
        <v>41</v>
      </c>
      <c r="G5705">
        <v>-385.024</v>
      </c>
      <c r="H5705">
        <v>0.81106149999999999</v>
      </c>
      <c r="I5705">
        <v>18.428599999999999</v>
      </c>
      <c r="J5705">
        <v>-385.58940000000001</v>
      </c>
      <c r="K5705">
        <v>1.1097619999999999</v>
      </c>
      <c r="L5705">
        <v>18.486180000000001</v>
      </c>
      <c r="M5705">
        <v>0.9999574</v>
      </c>
      <c r="N5705">
        <v>0</v>
      </c>
      <c r="O5705">
        <v>-6.1021979999999997E-3</v>
      </c>
      <c r="P5705">
        <v>0.99709610000000004</v>
      </c>
      <c r="Q5705">
        <v>-3.237948E-3</v>
      </c>
      <c r="R5705">
        <v>-7.6085539999999993E-2</v>
      </c>
      <c r="S5705">
        <v>2.9884949999999999</v>
      </c>
      <c r="T5705">
        <v>-1.190015</v>
      </c>
      <c r="U5705">
        <v>-0.22930909999999999</v>
      </c>
      <c r="V5705">
        <v>6.999416E-2</v>
      </c>
      <c r="W5705">
        <v>3.7720750000000002E-3</v>
      </c>
      <c r="X5705">
        <v>0.99754030000000005</v>
      </c>
      <c r="Y5705">
        <v>6.5881170000000003E-2</v>
      </c>
      <c r="Z5705">
        <v>-1.028052E-2</v>
      </c>
      <c r="AA5705">
        <v>0.99777450000000001</v>
      </c>
      <c r="AB5705">
        <v>21</v>
      </c>
      <c r="AC5705">
        <v>0.565400000000011</v>
      </c>
      <c r="AD5705">
        <v>-0.29870049999999998</v>
      </c>
      <c r="AE5705">
        <v>-5.7579999999997897E-2</v>
      </c>
      <c r="AF5705">
        <v>4.2412758002007597E-2</v>
      </c>
      <c r="AG5705">
        <v>-0.29870049999999998</v>
      </c>
      <c r="AH5705">
        <v>0.44328879579431901</v>
      </c>
      <c r="AI5705">
        <v>123.852328345979</v>
      </c>
      <c r="AJ5705">
        <v>84.534720005783697</v>
      </c>
      <c r="AK5705">
        <v>0.53621431090410498</v>
      </c>
      <c r="AL5705">
        <v>89.783875516571598</v>
      </c>
      <c r="AM5705">
        <v>85.986319733550005</v>
      </c>
      <c r="AN5705">
        <v>1.000000030554</v>
      </c>
    </row>
    <row r="5706" spans="1:40" x14ac:dyDescent="0.25">
      <c r="A5706" t="str">
        <f>"20190312154949584"</f>
        <v>20190312154949584</v>
      </c>
      <c r="B5706" t="str">
        <f>"1552376989581271"</f>
        <v>1552376989581271</v>
      </c>
      <c r="C5706" t="s">
        <v>40</v>
      </c>
      <c r="D5706">
        <v>4.8850499999999997</v>
      </c>
      <c r="E5706">
        <v>0.50598559999999904</v>
      </c>
      <c r="F5706" t="s">
        <v>41</v>
      </c>
      <c r="G5706">
        <v>-384.82490000000001</v>
      </c>
      <c r="H5706">
        <v>0.83616480000000004</v>
      </c>
      <c r="I5706">
        <v>18.431899999999999</v>
      </c>
      <c r="J5706">
        <v>-385.46510000000001</v>
      </c>
      <c r="K5706">
        <v>1.1097570000000001</v>
      </c>
      <c r="L5706">
        <v>18.48611</v>
      </c>
      <c r="M5706">
        <v>0.99996160000000001</v>
      </c>
      <c r="N5706">
        <v>0</v>
      </c>
      <c r="O5706">
        <v>-5.4722319999999996E-3</v>
      </c>
      <c r="P5706">
        <v>0.99712069999999997</v>
      </c>
      <c r="Q5706">
        <v>-3.7492070000000001E-3</v>
      </c>
      <c r="R5706">
        <v>-7.5740470000000004E-2</v>
      </c>
      <c r="S5706">
        <v>2.9890750000000001</v>
      </c>
      <c r="T5706">
        <v>-1.069769</v>
      </c>
      <c r="U5706">
        <v>-0.2122192</v>
      </c>
      <c r="V5706">
        <v>7.0278069999999998E-2</v>
      </c>
      <c r="W5706">
        <v>3.2013039999999999E-3</v>
      </c>
      <c r="X5706">
        <v>0.99752229999999997</v>
      </c>
      <c r="Y5706">
        <v>6.187438E-2</v>
      </c>
      <c r="Z5706">
        <v>-8.8291080000000004E-3</v>
      </c>
      <c r="AA5706">
        <v>0.99804490000000001</v>
      </c>
      <c r="AB5706">
        <v>21</v>
      </c>
      <c r="AC5706">
        <v>0.640199999999992</v>
      </c>
      <c r="AD5706">
        <v>-0.27359219999999901</v>
      </c>
      <c r="AE5706">
        <v>-5.4210000000001202E-2</v>
      </c>
      <c r="AF5706">
        <v>4.2922569559568899E-2</v>
      </c>
      <c r="AG5706">
        <v>-0.27359219999999901</v>
      </c>
      <c r="AH5706">
        <v>0.542173871667609</v>
      </c>
      <c r="AI5706">
        <v>116.704536663646</v>
      </c>
      <c r="AJ5706">
        <v>85.4734752161133</v>
      </c>
      <c r="AK5706">
        <v>0.60880829987565099</v>
      </c>
      <c r="AL5706">
        <v>89.816578478058702</v>
      </c>
      <c r="AM5706">
        <v>85.970020514443206</v>
      </c>
      <c r="AN5706">
        <v>0.99999999723375699</v>
      </c>
    </row>
    <row r="5707" spans="1:40" x14ac:dyDescent="0.25">
      <c r="A5707" t="str">
        <f>"20190312154949596"</f>
        <v>20190312154949596</v>
      </c>
      <c r="B5707" t="str">
        <f>"1552376989591032"</f>
        <v>1552376989591032</v>
      </c>
      <c r="C5707" t="s">
        <v>40</v>
      </c>
      <c r="D5707">
        <v>4.8944850000000004</v>
      </c>
      <c r="E5707">
        <v>0.49882219999999999</v>
      </c>
      <c r="F5707" t="s">
        <v>41</v>
      </c>
      <c r="G5707">
        <v>-384.80419999999998</v>
      </c>
      <c r="H5707">
        <v>0.88724230000000004</v>
      </c>
      <c r="I5707">
        <v>18.441040000000001</v>
      </c>
      <c r="J5707">
        <v>-385.34840000000003</v>
      </c>
      <c r="K5707">
        <v>1.1097570000000001</v>
      </c>
      <c r="L5707">
        <v>18.48611</v>
      </c>
      <c r="M5707">
        <v>0.99996490000000005</v>
      </c>
      <c r="N5707">
        <v>0</v>
      </c>
      <c r="O5707">
        <v>-4.8814110000000004E-3</v>
      </c>
      <c r="P5707">
        <v>0.99711179999999999</v>
      </c>
      <c r="Q5707">
        <v>-4.229773E-3</v>
      </c>
      <c r="R5707">
        <v>-7.5830709999999996E-2</v>
      </c>
      <c r="S5707">
        <v>2.9893800000000001</v>
      </c>
      <c r="T5707">
        <v>-1.0064690000000001</v>
      </c>
      <c r="U5707">
        <v>-0.20388790000000001</v>
      </c>
      <c r="V5707">
        <v>7.0958499999999994E-2</v>
      </c>
      <c r="W5707">
        <v>2.675832E-3</v>
      </c>
      <c r="X5707">
        <v>0.99747569999999997</v>
      </c>
      <c r="Y5707">
        <v>6.014108E-2</v>
      </c>
      <c r="Z5707">
        <v>-8.2443120000000002E-3</v>
      </c>
      <c r="AA5707">
        <v>0.99815580000000004</v>
      </c>
      <c r="AB5707">
        <v>21</v>
      </c>
      <c r="AC5707">
        <v>0.54420000000004598</v>
      </c>
      <c r="AD5707">
        <v>-0.22251469999999901</v>
      </c>
      <c r="AE5707">
        <v>-4.5069999999999E-2</v>
      </c>
      <c r="AF5707">
        <v>3.6373257898993802E-2</v>
      </c>
      <c r="AG5707">
        <v>-0.22251469999999901</v>
      </c>
      <c r="AH5707">
        <v>0.46688804743269102</v>
      </c>
      <c r="AI5707">
        <v>115.414794794397</v>
      </c>
      <c r="AJ5707">
        <v>85.545327726167599</v>
      </c>
      <c r="AK5707">
        <v>0.51847878880604803</v>
      </c>
      <c r="AL5707">
        <v>89.846685939891302</v>
      </c>
      <c r="AM5707">
        <v>85.930943358475005</v>
      </c>
      <c r="AN5707">
        <v>1.0000000204448101</v>
      </c>
    </row>
    <row r="5708" spans="1:40" x14ac:dyDescent="0.25">
      <c r="A5708" t="str">
        <f>"20190312154949617"</f>
        <v>20190312154949617</v>
      </c>
      <c r="B5708" t="str">
        <f>"1552376989611528"</f>
        <v>1552376989611528</v>
      </c>
      <c r="C5708" t="s">
        <v>40</v>
      </c>
      <c r="D5708">
        <v>4.9529990000000002</v>
      </c>
      <c r="E5708">
        <v>0.49789630000000001</v>
      </c>
      <c r="F5708" t="s">
        <v>41</v>
      </c>
      <c r="G5708">
        <v>-384.56450000000001</v>
      </c>
      <c r="H5708">
        <v>0.99512</v>
      </c>
      <c r="I5708">
        <v>18.43666</v>
      </c>
      <c r="J5708">
        <v>-385.15199999999999</v>
      </c>
      <c r="K5708">
        <v>1.1097539999999999</v>
      </c>
      <c r="L5708">
        <v>18.486270000000001</v>
      </c>
      <c r="M5708">
        <v>0.99996969999999996</v>
      </c>
      <c r="N5708">
        <v>0</v>
      </c>
      <c r="O5708">
        <v>-3.8880920000000001E-3</v>
      </c>
      <c r="P5708">
        <v>0.99712690000000004</v>
      </c>
      <c r="Q5708">
        <v>-5.1872690000000004E-3</v>
      </c>
      <c r="R5708">
        <v>-7.5574959999999997E-2</v>
      </c>
      <c r="S5708">
        <v>2.9926149999999998</v>
      </c>
      <c r="T5708">
        <v>-0.43771539999999998</v>
      </c>
      <c r="U5708">
        <v>-0.1878967</v>
      </c>
      <c r="V5708">
        <v>7.1694869999999994E-2</v>
      </c>
      <c r="W5708">
        <v>1.6592179999999901E-3</v>
      </c>
      <c r="X5708">
        <v>0.99742529999999996</v>
      </c>
      <c r="Y5708">
        <v>5.8206729999999998E-2</v>
      </c>
      <c r="Z5708">
        <v>-3.6650530000000001E-3</v>
      </c>
      <c r="AA5708">
        <v>0.99829780000000001</v>
      </c>
      <c r="AB5708">
        <v>21</v>
      </c>
      <c r="AC5708">
        <v>0.58749999999997704</v>
      </c>
      <c r="AD5708">
        <v>-0.114634</v>
      </c>
      <c r="AE5708">
        <v>-4.9610000000001202E-2</v>
      </c>
      <c r="AF5708">
        <v>4.5601450855433899E-2</v>
      </c>
      <c r="AG5708">
        <v>-0.114634</v>
      </c>
      <c r="AH5708">
        <v>0.56628136091827097</v>
      </c>
      <c r="AI5708">
        <v>101.407949040815</v>
      </c>
      <c r="AJ5708">
        <v>85.396025701947707</v>
      </c>
      <c r="AK5708">
        <v>0.57956451409620402</v>
      </c>
      <c r="AL5708">
        <v>89.904933774174907</v>
      </c>
      <c r="AM5708">
        <v>85.888653850709701</v>
      </c>
      <c r="AN5708">
        <v>1.0000000682343799</v>
      </c>
    </row>
    <row r="5709" spans="1:40" x14ac:dyDescent="0.25">
      <c r="A5709" t="str">
        <f>"20190312154949630"</f>
        <v>20190312154949630</v>
      </c>
      <c r="B5709" t="str">
        <f>"1552376989621288"</f>
        <v>1552376989621288</v>
      </c>
      <c r="C5709" t="s">
        <v>40</v>
      </c>
      <c r="D5709">
        <v>4.8193330000000003</v>
      </c>
      <c r="E5709">
        <v>0.49889420000000001</v>
      </c>
      <c r="F5709" t="s">
        <v>41</v>
      </c>
      <c r="G5709">
        <v>-384.36149999999998</v>
      </c>
      <c r="H5709">
        <v>1.019952</v>
      </c>
      <c r="I5709">
        <v>18.43666</v>
      </c>
      <c r="J5709">
        <v>-385.03210000000001</v>
      </c>
      <c r="K5709">
        <v>1.10975</v>
      </c>
      <c r="L5709">
        <v>18.486450000000001</v>
      </c>
      <c r="M5709">
        <v>0.99997199999999997</v>
      </c>
      <c r="N5709">
        <v>0</v>
      </c>
      <c r="O5709">
        <v>-3.282311E-3</v>
      </c>
      <c r="P5709">
        <v>0.99713419999999997</v>
      </c>
      <c r="Q5709">
        <v>-5.6463329999999999E-3</v>
      </c>
      <c r="R5709">
        <v>-7.5446310000000003E-2</v>
      </c>
      <c r="S5709">
        <v>2.9927060000000001</v>
      </c>
      <c r="T5709">
        <v>-0.3399856</v>
      </c>
      <c r="U5709">
        <v>-0.18728639999999999</v>
      </c>
      <c r="V5709">
        <v>7.2171089999999993E-2</v>
      </c>
      <c r="W5709">
        <v>1.176659E-3</v>
      </c>
      <c r="X5709">
        <v>0.99739160000000004</v>
      </c>
      <c r="Y5709">
        <v>5.8826580000000003E-2</v>
      </c>
      <c r="Z5709">
        <v>-2.9562239999999999E-3</v>
      </c>
      <c r="AA5709">
        <v>0.99826380000000003</v>
      </c>
      <c r="AB5709">
        <v>21</v>
      </c>
      <c r="AC5709">
        <v>0.67060000000003495</v>
      </c>
      <c r="AD5709">
        <v>-8.9798000000000003E-2</v>
      </c>
      <c r="AE5709">
        <v>-4.97900000000015E-2</v>
      </c>
      <c r="AF5709">
        <v>4.6754796898137101E-2</v>
      </c>
      <c r="AG5709">
        <v>-8.9798000000000003E-2</v>
      </c>
      <c r="AH5709">
        <v>0.65900788406635202</v>
      </c>
      <c r="AI5709">
        <v>97.740252617467704</v>
      </c>
      <c r="AJ5709">
        <v>85.941821872379407</v>
      </c>
      <c r="AK5709">
        <v>0.66673914171780602</v>
      </c>
      <c r="AL5709">
        <v>89.932582391654407</v>
      </c>
      <c r="AM5709">
        <v>85.861300217970296</v>
      </c>
      <c r="AN5709">
        <v>1.0000000272543701</v>
      </c>
    </row>
    <row r="5710" spans="1:40" x14ac:dyDescent="0.25">
      <c r="A5710" t="str">
        <f>"20190312154949650"</f>
        <v>20190312154949650</v>
      </c>
      <c r="B5710" t="str">
        <f>"1552376989641784"</f>
        <v>1552376989641784</v>
      </c>
      <c r="C5710" t="s">
        <v>40</v>
      </c>
      <c r="D5710">
        <v>4.7336470000000004</v>
      </c>
      <c r="E5710">
        <v>0.49905040000000001</v>
      </c>
      <c r="F5710" t="s">
        <v>41</v>
      </c>
      <c r="G5710">
        <v>-384.16890000000001</v>
      </c>
      <c r="H5710">
        <v>1.022138</v>
      </c>
      <c r="I5710">
        <v>18.429310000000001</v>
      </c>
      <c r="J5710">
        <v>-384.83629999999999</v>
      </c>
      <c r="K5710">
        <v>1.1097570000000001</v>
      </c>
      <c r="L5710">
        <v>18.486940000000001</v>
      </c>
      <c r="M5710">
        <v>0.99997480000000005</v>
      </c>
      <c r="N5710">
        <v>0</v>
      </c>
      <c r="O5710">
        <v>-2.292929E-3</v>
      </c>
      <c r="P5710">
        <v>0.99713870000000004</v>
      </c>
      <c r="Q5710">
        <v>-6.1893719999999899E-3</v>
      </c>
      <c r="R5710">
        <v>-7.5341950000000005E-2</v>
      </c>
      <c r="S5710">
        <v>2.991943</v>
      </c>
      <c r="T5710">
        <v>-0.3037107</v>
      </c>
      <c r="U5710">
        <v>-0.19766239999999999</v>
      </c>
      <c r="V5710">
        <v>7.3054250000000001E-2</v>
      </c>
      <c r="W5710">
        <v>6.1875980000000003E-4</v>
      </c>
      <c r="X5710">
        <v>0.99732779999999999</v>
      </c>
      <c r="Y5710">
        <v>6.3320749999999995E-2</v>
      </c>
      <c r="Z5710">
        <v>-2.9702219999999998E-3</v>
      </c>
      <c r="AA5710">
        <v>0.99798880000000001</v>
      </c>
      <c r="AB5710">
        <v>21</v>
      </c>
      <c r="AC5710">
        <v>0.667399999999986</v>
      </c>
      <c r="AD5710">
        <v>-8.7618999999999794E-2</v>
      </c>
      <c r="AE5710">
        <v>-5.7629999999999598E-2</v>
      </c>
      <c r="AF5710">
        <v>5.5155908657909501E-2</v>
      </c>
      <c r="AG5710">
        <v>-8.7618999999999794E-2</v>
      </c>
      <c r="AH5710">
        <v>0.65630240181321797</v>
      </c>
      <c r="AI5710">
        <v>97.577849951227407</v>
      </c>
      <c r="AJ5710">
        <v>85.196128795309406</v>
      </c>
      <c r="AK5710">
        <v>0.66441862259172002</v>
      </c>
      <c r="AL5710">
        <v>89.964547673497805</v>
      </c>
      <c r="AM5710">
        <v>85.810566997676901</v>
      </c>
      <c r="AN5710">
        <v>1.0000000234797899</v>
      </c>
    </row>
    <row r="5711" spans="1:40" x14ac:dyDescent="0.25">
      <c r="A5711" t="str">
        <f>"20190312154949663"</f>
        <v>20190312154949663</v>
      </c>
      <c r="B5711" t="str">
        <f>"1552376989651543"</f>
        <v>1552376989651543</v>
      </c>
      <c r="C5711" t="s">
        <v>40</v>
      </c>
      <c r="D5711">
        <v>4.8088300000000004</v>
      </c>
      <c r="E5711">
        <v>0.49899700000000002</v>
      </c>
      <c r="F5711" t="s">
        <v>41</v>
      </c>
      <c r="G5711">
        <v>-383.9665</v>
      </c>
      <c r="H5711">
        <v>1.0429109999999999</v>
      </c>
      <c r="I5711">
        <v>18.427520000000001</v>
      </c>
      <c r="J5711">
        <v>-384.71530000000001</v>
      </c>
      <c r="K5711">
        <v>1.109766</v>
      </c>
      <c r="L5711">
        <v>18.48734</v>
      </c>
      <c r="M5711">
        <v>0.99997619999999998</v>
      </c>
      <c r="N5711">
        <v>0</v>
      </c>
      <c r="O5711">
        <v>-1.6824559999999999E-3</v>
      </c>
      <c r="P5711">
        <v>0.9971236</v>
      </c>
      <c r="Q5711">
        <v>-6.2248479999999998E-3</v>
      </c>
      <c r="R5711">
        <v>-7.5537950000000006E-2</v>
      </c>
      <c r="S5711">
        <v>2.9917600000000002</v>
      </c>
      <c r="T5711">
        <v>-0.23001550000000001</v>
      </c>
      <c r="U5711">
        <v>-0.20419309999999999</v>
      </c>
      <c r="V5711">
        <v>7.385941E-2</v>
      </c>
      <c r="W5711">
        <v>5.8919589999999905E-4</v>
      </c>
      <c r="X5711">
        <v>0.9972685</v>
      </c>
      <c r="Y5711">
        <v>6.6225160000000005E-2</v>
      </c>
      <c r="Z5711">
        <v>-2.4100900000000001E-3</v>
      </c>
      <c r="AA5711">
        <v>0.99780179999999996</v>
      </c>
      <c r="AB5711">
        <v>21</v>
      </c>
      <c r="AC5711">
        <v>0.74880000000001701</v>
      </c>
      <c r="AD5711">
        <v>-6.6854999999999803E-2</v>
      </c>
      <c r="AE5711">
        <v>-5.9819999999998402E-2</v>
      </c>
      <c r="AF5711">
        <v>5.8099862259455702E-2</v>
      </c>
      <c r="AG5711">
        <v>-6.6854999999999803E-2</v>
      </c>
      <c r="AH5711">
        <v>0.74301426291500405</v>
      </c>
      <c r="AI5711">
        <v>95.125955444944196</v>
      </c>
      <c r="AJ5711">
        <v>85.528865165720504</v>
      </c>
      <c r="AK5711">
        <v>0.74827493604603301</v>
      </c>
      <c r="AL5711">
        <v>89.966241560019597</v>
      </c>
      <c r="AM5711">
        <v>85.764309770129003</v>
      </c>
      <c r="AN5711">
        <v>1.0000000103447999</v>
      </c>
    </row>
    <row r="5712" spans="1:40" x14ac:dyDescent="0.25">
      <c r="A5712" t="str">
        <f>"20190312154949675"</f>
        <v>20190312154949675</v>
      </c>
      <c r="B5712" t="str">
        <f>"1552376989671065"</f>
        <v>1552376989671065</v>
      </c>
      <c r="C5712" t="s">
        <v>40</v>
      </c>
      <c r="D5712">
        <v>4.7879069999999997</v>
      </c>
      <c r="E5712">
        <v>0.4988361</v>
      </c>
      <c r="F5712" t="s">
        <v>41</v>
      </c>
      <c r="G5712">
        <v>-383.9588</v>
      </c>
      <c r="H5712">
        <v>1.0541659999999999</v>
      </c>
      <c r="I5712">
        <v>18.435310000000001</v>
      </c>
      <c r="J5712">
        <v>-384.59480000000002</v>
      </c>
      <c r="K5712">
        <v>1.109777</v>
      </c>
      <c r="L5712">
        <v>18.487760000000002</v>
      </c>
      <c r="M5712">
        <v>0.9999768</v>
      </c>
      <c r="N5712">
        <v>0</v>
      </c>
      <c r="O5712">
        <v>-1.0741710000000001E-3</v>
      </c>
      <c r="P5712">
        <v>0.9970871</v>
      </c>
      <c r="Q5712">
        <v>-6.1694849999999997E-3</v>
      </c>
      <c r="R5712">
        <v>-7.6022450000000005E-2</v>
      </c>
      <c r="S5712">
        <v>2.991638</v>
      </c>
      <c r="T5712">
        <v>-0.21995680000000001</v>
      </c>
      <c r="U5712">
        <v>-0.2055054</v>
      </c>
      <c r="V5712">
        <v>7.4950359999999994E-2</v>
      </c>
      <c r="W5712">
        <v>6.6596669999999995E-4</v>
      </c>
      <c r="X5712">
        <v>0.99718700000000005</v>
      </c>
      <c r="Y5712">
        <v>6.7282179999999997E-2</v>
      </c>
      <c r="Z5712">
        <v>-2.3884140000000002E-3</v>
      </c>
      <c r="AA5712">
        <v>0.99773109999999998</v>
      </c>
      <c r="AB5712">
        <v>21</v>
      </c>
      <c r="AC5712">
        <v>0.63600000000002399</v>
      </c>
      <c r="AD5712">
        <v>-5.5611000000000001E-2</v>
      </c>
      <c r="AE5712">
        <v>-5.2450000000000302E-2</v>
      </c>
      <c r="AF5712">
        <v>5.1376633730993E-2</v>
      </c>
      <c r="AG5712">
        <v>-5.5611000000000001E-2</v>
      </c>
      <c r="AH5712">
        <v>0.631262247247521</v>
      </c>
      <c r="AI5712">
        <v>95.017963910136601</v>
      </c>
      <c r="AJ5712">
        <v>85.347115213049094</v>
      </c>
      <c r="AK5712">
        <v>0.63578625859208304</v>
      </c>
      <c r="AL5712">
        <v>89.9618429143123</v>
      </c>
      <c r="AM5712">
        <v>85.7016287431682</v>
      </c>
      <c r="AN5712">
        <v>0.99999995647238604</v>
      </c>
    </row>
    <row r="5713" spans="1:40" x14ac:dyDescent="0.25">
      <c r="A5713" t="str">
        <f>"20190312154949696"</f>
        <v>20190312154949696</v>
      </c>
      <c r="B5713" t="str">
        <f>"1552376989691560"</f>
        <v>1552376989691560</v>
      </c>
      <c r="C5713" t="s">
        <v>40</v>
      </c>
      <c r="D5713">
        <v>4.789466</v>
      </c>
      <c r="E5713">
        <v>0.49883509999999998</v>
      </c>
      <c r="F5713" t="s">
        <v>41</v>
      </c>
      <c r="G5713">
        <v>-383.76589999999999</v>
      </c>
      <c r="H5713">
        <v>1.0540750000000001</v>
      </c>
      <c r="I5713">
        <v>18.430099999999999</v>
      </c>
      <c r="J5713">
        <v>-384.40140000000002</v>
      </c>
      <c r="K5713">
        <v>1.1098030000000001</v>
      </c>
      <c r="L5713">
        <v>18.488679999999999</v>
      </c>
      <c r="M5713">
        <v>0.999977</v>
      </c>
      <c r="N5713">
        <v>0</v>
      </c>
      <c r="O5713" s="1">
        <v>-9.9197649999999997E-5</v>
      </c>
      <c r="P5713">
        <v>0.99696629999999997</v>
      </c>
      <c r="Q5713">
        <v>-6.395586E-3</v>
      </c>
      <c r="R5713">
        <v>-7.7574320000000002E-2</v>
      </c>
      <c r="S5713">
        <v>2.99173</v>
      </c>
      <c r="T5713">
        <v>-0.20116410000000001</v>
      </c>
      <c r="U5713">
        <v>-0.2072754</v>
      </c>
      <c r="V5713">
        <v>7.7474520000000005E-2</v>
      </c>
      <c r="W5713">
        <v>5.1051769999999996E-4</v>
      </c>
      <c r="X5713">
        <v>0.99699420000000005</v>
      </c>
      <c r="Y5713">
        <v>6.886362E-2</v>
      </c>
      <c r="Z5713">
        <v>-2.303172E-3</v>
      </c>
      <c r="AA5713">
        <v>0.99762340000000005</v>
      </c>
      <c r="AB5713">
        <v>22</v>
      </c>
      <c r="AC5713">
        <v>0.63550000000003504</v>
      </c>
      <c r="AD5713">
        <v>-5.5728E-2</v>
      </c>
      <c r="AE5713">
        <v>-5.8579999999999098E-2</v>
      </c>
      <c r="AF5713">
        <v>5.80741414718711E-2</v>
      </c>
      <c r="AG5713">
        <v>-5.5728E-2</v>
      </c>
      <c r="AH5713">
        <v>0.63069673071835997</v>
      </c>
      <c r="AI5713">
        <v>95.028346236341804</v>
      </c>
      <c r="AJ5713">
        <v>84.739077147895799</v>
      </c>
      <c r="AK5713">
        <v>0.63581175046590799</v>
      </c>
      <c r="AL5713">
        <v>89.970749489104506</v>
      </c>
      <c r="AM5713">
        <v>85.556583693705406</v>
      </c>
      <c r="AN5713">
        <v>0.99999999835559605</v>
      </c>
    </row>
    <row r="5714" spans="1:40" x14ac:dyDescent="0.25">
      <c r="A5714" t="str">
        <f>"20190312154949718"</f>
        <v>20190312154949718</v>
      </c>
      <c r="B5714" t="str">
        <f>"1552376989712058"</f>
        <v>1552376989712058</v>
      </c>
      <c r="C5714" t="s">
        <v>40</v>
      </c>
      <c r="D5714">
        <v>4.8276849999999998</v>
      </c>
      <c r="E5714">
        <v>0.49888110000000002</v>
      </c>
      <c r="F5714" t="s">
        <v>41</v>
      </c>
      <c r="G5714">
        <v>-383.5693</v>
      </c>
      <c r="H5714">
        <v>1.057472</v>
      </c>
      <c r="I5714">
        <v>18.429290000000002</v>
      </c>
      <c r="J5714">
        <v>-384.17540000000002</v>
      </c>
      <c r="K5714">
        <v>1.10985</v>
      </c>
      <c r="L5714">
        <v>18.489930000000001</v>
      </c>
      <c r="M5714">
        <v>0.99997510000000001</v>
      </c>
      <c r="N5714">
        <v>0</v>
      </c>
      <c r="O5714">
        <v>1.0387269999999999E-3</v>
      </c>
      <c r="P5714">
        <v>0.99683600000000006</v>
      </c>
      <c r="Q5714">
        <v>-7.004466E-3</v>
      </c>
      <c r="R5714">
        <v>-7.9176129999999997E-2</v>
      </c>
      <c r="S5714">
        <v>2.991333</v>
      </c>
      <c r="T5714">
        <v>-0.18819240000000001</v>
      </c>
      <c r="U5714">
        <v>-0.21310419999999999</v>
      </c>
      <c r="V5714">
        <v>8.0211649999999995E-2</v>
      </c>
      <c r="W5714" s="1">
        <v>6.2508970000000005E-5</v>
      </c>
      <c r="X5714">
        <v>0.99677780000000005</v>
      </c>
      <c r="Y5714">
        <v>7.1952970000000005E-2</v>
      </c>
      <c r="Z5714">
        <v>-2.3234879999999999E-3</v>
      </c>
      <c r="AA5714">
        <v>0.99740530000000005</v>
      </c>
      <c r="AB5714">
        <v>22</v>
      </c>
      <c r="AC5714">
        <v>0.60610000000002595</v>
      </c>
      <c r="AD5714">
        <v>-5.2378000000000001E-2</v>
      </c>
      <c r="AE5714">
        <v>-6.0639999999999299E-2</v>
      </c>
      <c r="AF5714">
        <v>6.0819848769396799E-2</v>
      </c>
      <c r="AG5714">
        <v>-5.2378000000000001E-2</v>
      </c>
      <c r="AH5714">
        <v>0.60158849495468603</v>
      </c>
      <c r="AI5714">
        <v>94.950864740463302</v>
      </c>
      <c r="AJ5714">
        <v>84.227082864581803</v>
      </c>
      <c r="AK5714">
        <v>0.60691945606495101</v>
      </c>
      <c r="AL5714">
        <v>89.996418499647405</v>
      </c>
      <c r="AM5714">
        <v>85.399268265748802</v>
      </c>
      <c r="AN5714">
        <v>0.99999994763796496</v>
      </c>
    </row>
    <row r="5715" spans="1:40" x14ac:dyDescent="0.25">
      <c r="A5715" t="str">
        <f>"20190312154949741"</f>
        <v>20190312154949741</v>
      </c>
      <c r="B5715" t="str">
        <f>"1552376989731576"</f>
        <v>1552376989731576</v>
      </c>
      <c r="C5715" t="s">
        <v>40</v>
      </c>
      <c r="D5715">
        <v>4.831315</v>
      </c>
      <c r="E5715">
        <v>0.49888939999999998</v>
      </c>
      <c r="F5715" t="s">
        <v>68</v>
      </c>
      <c r="G5715">
        <v>-365.69009999999997</v>
      </c>
      <c r="H5715" s="1">
        <v>-2.477617E-6</v>
      </c>
      <c r="I5715">
        <v>17.136600000000001</v>
      </c>
      <c r="J5715">
        <v>-383.96460000000002</v>
      </c>
      <c r="K5715">
        <v>1.109909</v>
      </c>
      <c r="L5715">
        <v>18.49136</v>
      </c>
      <c r="M5715">
        <v>0.99997179999999997</v>
      </c>
      <c r="N5715">
        <v>0</v>
      </c>
      <c r="O5715">
        <v>2.0979520000000002E-3</v>
      </c>
      <c r="P5715">
        <v>0.99675080000000005</v>
      </c>
      <c r="Q5715">
        <v>-6.8830100000000002E-3</v>
      </c>
      <c r="R5715">
        <v>-8.0253050000000006E-2</v>
      </c>
      <c r="S5715">
        <v>2.9908450000000002</v>
      </c>
      <c r="T5715">
        <v>-0.17957000000000001</v>
      </c>
      <c r="U5715">
        <v>-0.21896360000000001</v>
      </c>
      <c r="V5715">
        <v>8.2343529999999998E-2</v>
      </c>
      <c r="W5715">
        <v>4.3088570000000001E-4</v>
      </c>
      <c r="X5715">
        <v>0.99660389999999999</v>
      </c>
      <c r="Y5715">
        <v>7.4970090000000003E-2</v>
      </c>
      <c r="Z5715">
        <v>-2.3712619999999998E-3</v>
      </c>
      <c r="AA5715">
        <v>0.99718300000000004</v>
      </c>
      <c r="AB5715">
        <v>22</v>
      </c>
      <c r="AC5715">
        <v>18.2745</v>
      </c>
      <c r="AD5715">
        <v>-1.109911477617</v>
      </c>
      <c r="AE5715">
        <v>-1.35475999999999</v>
      </c>
      <c r="AF5715">
        <v>1.3880049450145</v>
      </c>
      <c r="AG5715">
        <v>-1.109911477617</v>
      </c>
      <c r="AH5715">
        <v>18.204830469604399</v>
      </c>
      <c r="AI5715">
        <v>93.478816728571402</v>
      </c>
      <c r="AJ5715">
        <v>85.639989001059703</v>
      </c>
      <c r="AK5715">
        <v>18.291372656052001</v>
      </c>
      <c r="AL5715">
        <v>89.975312066878402</v>
      </c>
      <c r="AM5715">
        <v>85.276714803066596</v>
      </c>
      <c r="AN5715">
        <v>0.99999998804527801</v>
      </c>
    </row>
    <row r="5716" spans="1:40" x14ac:dyDescent="0.25">
      <c r="A5716" t="str">
        <f>"20190312154949762"</f>
        <v>20190312154949762</v>
      </c>
      <c r="B5716" t="str">
        <f>"1552376989751095"</f>
        <v>1552376989751095</v>
      </c>
      <c r="C5716" t="s">
        <v>40</v>
      </c>
      <c r="D5716">
        <v>4.8224839999999896</v>
      </c>
      <c r="E5716">
        <v>0.49842310000000001</v>
      </c>
      <c r="F5716" t="s">
        <v>68</v>
      </c>
      <c r="G5716">
        <v>-364.76769999999999</v>
      </c>
      <c r="H5716" s="1">
        <v>-2.9267950000000002E-6</v>
      </c>
      <c r="I5716">
        <v>17.062339999999999</v>
      </c>
      <c r="J5716">
        <v>-383.75150000000002</v>
      </c>
      <c r="K5716">
        <v>1.1100080000000001</v>
      </c>
      <c r="L5716">
        <v>18.493040000000001</v>
      </c>
      <c r="M5716">
        <v>0.99996629999999997</v>
      </c>
      <c r="N5716">
        <v>0</v>
      </c>
      <c r="O5716">
        <v>3.1657959999999998E-3</v>
      </c>
      <c r="P5716">
        <v>0.99676759999999998</v>
      </c>
      <c r="Q5716">
        <v>-6.3726599999999996E-3</v>
      </c>
      <c r="R5716">
        <v>-8.0087679999999994E-2</v>
      </c>
      <c r="S5716">
        <v>2.9906619999999999</v>
      </c>
      <c r="T5716">
        <v>-0.17291210000000001</v>
      </c>
      <c r="U5716">
        <v>-0.22262570000000001</v>
      </c>
      <c r="V5716">
        <v>8.3240930000000005E-2</v>
      </c>
      <c r="W5716">
        <v>1.3263859999999999E-3</v>
      </c>
      <c r="X5716">
        <v>0.99652859999999999</v>
      </c>
      <c r="Y5716">
        <v>7.7258099999999996E-2</v>
      </c>
      <c r="Z5716">
        <v>-2.4111340000000001E-3</v>
      </c>
      <c r="AA5716">
        <v>0.99700820000000001</v>
      </c>
      <c r="AB5716">
        <v>22</v>
      </c>
      <c r="AC5716">
        <v>18.983799999999999</v>
      </c>
      <c r="AD5716">
        <v>-1.11001092679499</v>
      </c>
      <c r="AE5716">
        <v>-1.4307000000000001</v>
      </c>
      <c r="AF5716">
        <v>1.4857424545801501</v>
      </c>
      <c r="AG5716">
        <v>-1.11001092679499</v>
      </c>
      <c r="AH5716">
        <v>18.9148723300654</v>
      </c>
      <c r="AI5716">
        <v>93.348235858910499</v>
      </c>
      <c r="AJ5716">
        <v>85.508701275974204</v>
      </c>
      <c r="AK5716">
        <v>19.005576817387599</v>
      </c>
      <c r="AL5716">
        <v>89.924003660280306</v>
      </c>
      <c r="AM5716">
        <v>85.225116871797795</v>
      </c>
      <c r="AN5716">
        <v>1.0000000311725199</v>
      </c>
    </row>
    <row r="5717" spans="1:40" x14ac:dyDescent="0.25">
      <c r="A5717" t="str">
        <f>"20190312154949776"</f>
        <v>20190312154949776</v>
      </c>
      <c r="B5717" t="str">
        <f>"1552376989771592"</f>
        <v>1552376989771592</v>
      </c>
      <c r="C5717" t="s">
        <v>40</v>
      </c>
      <c r="D5717">
        <v>4.814082</v>
      </c>
      <c r="E5717">
        <v>0.49793989999999999</v>
      </c>
      <c r="F5717" t="s">
        <v>68</v>
      </c>
      <c r="G5717">
        <v>-363.81400000000002</v>
      </c>
      <c r="H5717" s="1">
        <v>-3.3822570000000001E-6</v>
      </c>
      <c r="I5717">
        <v>17.036179999999899</v>
      </c>
      <c r="J5717">
        <v>-383.61669999999998</v>
      </c>
      <c r="K5717">
        <v>1.1100779999999999</v>
      </c>
      <c r="L5717">
        <v>18.494260000000001</v>
      </c>
      <c r="M5717">
        <v>0.99996130000000005</v>
      </c>
      <c r="N5717">
        <v>0</v>
      </c>
      <c r="O5717">
        <v>3.8347889999999999E-3</v>
      </c>
      <c r="P5717">
        <v>0.99678849999999997</v>
      </c>
      <c r="Q5717">
        <v>-6.3993219999999998E-3</v>
      </c>
      <c r="R5717">
        <v>-7.9823160000000004E-2</v>
      </c>
      <c r="S5717">
        <v>2.9911189999999999</v>
      </c>
      <c r="T5717">
        <v>-0.16652979999999901</v>
      </c>
      <c r="U5717">
        <v>-0.21856690000000001</v>
      </c>
      <c r="V5717">
        <v>8.3642750000000002E-2</v>
      </c>
      <c r="W5717">
        <v>1.6272700000000001E-3</v>
      </c>
      <c r="X5717">
        <v>0.99649449999999995</v>
      </c>
      <c r="Y5717">
        <v>7.6577939999999997E-2</v>
      </c>
      <c r="Z5717">
        <v>-2.3403159999999998E-3</v>
      </c>
      <c r="AA5717">
        <v>0.99706079999999997</v>
      </c>
      <c r="AB5717">
        <v>22</v>
      </c>
      <c r="AC5717">
        <v>19.802699999999898</v>
      </c>
      <c r="AD5717">
        <v>-1.1100813822569999</v>
      </c>
      <c r="AE5717">
        <v>-1.45808</v>
      </c>
      <c r="AF5717">
        <v>1.52923129761107</v>
      </c>
      <c r="AG5717">
        <v>-1.1100813822569999</v>
      </c>
      <c r="AH5717">
        <v>19.735281127974901</v>
      </c>
      <c r="AI5717">
        <v>93.209811692581098</v>
      </c>
      <c r="AJ5717">
        <v>85.569165383127697</v>
      </c>
      <c r="AK5717">
        <v>19.825542873702801</v>
      </c>
      <c r="AL5717">
        <v>89.906764257875693</v>
      </c>
      <c r="AM5717">
        <v>85.202011517033895</v>
      </c>
      <c r="AN5717">
        <v>1.0000000230827299</v>
      </c>
    </row>
    <row r="5718" spans="1:40" x14ac:dyDescent="0.25">
      <c r="A5718" t="str">
        <f>"20190312154949795"</f>
        <v>20190312154949795</v>
      </c>
      <c r="B5718" t="str">
        <f>"1552376989791113"</f>
        <v>1552376989791113</v>
      </c>
      <c r="C5718" t="s">
        <v>40</v>
      </c>
      <c r="D5718">
        <v>4.8114439999999998</v>
      </c>
      <c r="E5718">
        <v>0.49741370000000001</v>
      </c>
      <c r="F5718" t="s">
        <v>68</v>
      </c>
      <c r="G5718">
        <v>-363.60149999999999</v>
      </c>
      <c r="H5718" s="1">
        <v>-3.47797E-6</v>
      </c>
      <c r="I5718">
        <v>17.062919999999998</v>
      </c>
      <c r="J5718">
        <v>-383.4348</v>
      </c>
      <c r="K5718">
        <v>1.110169</v>
      </c>
      <c r="L5718">
        <v>18.495999999999999</v>
      </c>
      <c r="M5718">
        <v>0.9999536</v>
      </c>
      <c r="N5718">
        <v>0</v>
      </c>
      <c r="O5718">
        <v>4.7383759999999999E-3</v>
      </c>
      <c r="P5718">
        <v>0.99685900000000005</v>
      </c>
      <c r="Q5718">
        <v>-6.7352669999999996E-3</v>
      </c>
      <c r="R5718">
        <v>-7.8915009999999994E-2</v>
      </c>
      <c r="S5718">
        <v>2.9914550000000002</v>
      </c>
      <c r="T5718">
        <v>-0.165911999999999</v>
      </c>
      <c r="U5718">
        <v>-0.21392820000000001</v>
      </c>
      <c r="V5718">
        <v>8.3634849999999997E-2</v>
      </c>
      <c r="W5718">
        <v>1.769844E-3</v>
      </c>
      <c r="X5718">
        <v>0.99649489999999996</v>
      </c>
      <c r="Y5718">
        <v>7.5933260000000002E-2</v>
      </c>
      <c r="Z5718">
        <v>-2.363694E-3</v>
      </c>
      <c r="AA5718">
        <v>0.9971101</v>
      </c>
      <c r="AB5718">
        <v>22</v>
      </c>
      <c r="AC5718">
        <v>19.833300000000001</v>
      </c>
      <c r="AD5718">
        <v>-1.11017247797</v>
      </c>
      <c r="AE5718">
        <v>-1.4330799999999899</v>
      </c>
      <c r="AF5718">
        <v>1.52229992110908</v>
      </c>
      <c r="AG5718">
        <v>-1.11017247797</v>
      </c>
      <c r="AH5718">
        <v>19.764681158737599</v>
      </c>
      <c r="AI5718">
        <v>93.205423973342107</v>
      </c>
      <c r="AJ5718">
        <v>85.595704392101496</v>
      </c>
      <c r="AK5718">
        <v>19.854281686508099</v>
      </c>
      <c r="AL5718">
        <v>89.898595355778994</v>
      </c>
      <c r="AM5718">
        <v>85.202464485222194</v>
      </c>
      <c r="AN5718">
        <v>1.00000000310415</v>
      </c>
    </row>
    <row r="5719" spans="1:40" x14ac:dyDescent="0.25">
      <c r="A5719" t="str">
        <f>"20190312154949807"</f>
        <v>20190312154949807</v>
      </c>
      <c r="B5719" t="str">
        <f>"1552376989801847"</f>
        <v>1552376989801847</v>
      </c>
      <c r="C5719" t="s">
        <v>40</v>
      </c>
      <c r="D5719">
        <v>4.8535779999999997</v>
      </c>
      <c r="E5719">
        <v>0.49724069999999998</v>
      </c>
      <c r="F5719" t="s">
        <v>68</v>
      </c>
      <c r="G5719">
        <v>-363.45859999999999</v>
      </c>
      <c r="H5719" s="1">
        <v>-3.5364050000000001E-6</v>
      </c>
      <c r="I5719">
        <v>17.114329999999999</v>
      </c>
      <c r="J5719">
        <v>-383.31540000000001</v>
      </c>
      <c r="K5719">
        <v>1.1102209999999999</v>
      </c>
      <c r="L5719">
        <v>18.497250000000001</v>
      </c>
      <c r="M5719">
        <v>0.99994780000000005</v>
      </c>
      <c r="N5719">
        <v>0</v>
      </c>
      <c r="O5719">
        <v>5.3345019999999996E-3</v>
      </c>
      <c r="P5719">
        <v>0.99689510000000003</v>
      </c>
      <c r="Q5719">
        <v>-7.4819659999999996E-3</v>
      </c>
      <c r="R5719">
        <v>-7.8387940000000003E-2</v>
      </c>
      <c r="S5719">
        <v>2.991943</v>
      </c>
      <c r="T5719">
        <v>-0.16627629999999999</v>
      </c>
      <c r="U5719">
        <v>-0.2069397</v>
      </c>
      <c r="V5719">
        <v>8.3702799999999994E-2</v>
      </c>
      <c r="W5719">
        <v>1.342598E-3</v>
      </c>
      <c r="X5719">
        <v>0.99648990000000004</v>
      </c>
      <c r="Y5719">
        <v>7.4199660000000001E-2</v>
      </c>
      <c r="Z5719">
        <v>-2.3536759999999999E-3</v>
      </c>
      <c r="AA5719">
        <v>0.99724060000000003</v>
      </c>
      <c r="AB5719">
        <v>22</v>
      </c>
      <c r="AC5719">
        <v>19.8568</v>
      </c>
      <c r="AD5719">
        <v>-1.1102245364050001</v>
      </c>
      <c r="AE5719">
        <v>-1.3829199999999999</v>
      </c>
      <c r="AF5719">
        <v>1.4842130780830001</v>
      </c>
      <c r="AG5719">
        <v>-1.1102245364050001</v>
      </c>
      <c r="AH5719">
        <v>19.787580570058999</v>
      </c>
      <c r="AI5719">
        <v>93.202358373894995</v>
      </c>
      <c r="AJ5719">
        <v>85.710430504168997</v>
      </c>
      <c r="AK5719">
        <v>19.874200154948699</v>
      </c>
      <c r="AL5719">
        <v>89.9230747810645</v>
      </c>
      <c r="AM5719">
        <v>85.198560914146398</v>
      </c>
      <c r="AN5719">
        <v>1.0000000410496099</v>
      </c>
    </row>
    <row r="5720" spans="1:40" x14ac:dyDescent="0.25">
      <c r="A5720" t="str">
        <f>"20190312154949820"</f>
        <v>20190312154949820</v>
      </c>
      <c r="B5720" t="str">
        <f>"1552376989811608"</f>
        <v>1552376989811608</v>
      </c>
      <c r="C5720" t="s">
        <v>40</v>
      </c>
      <c r="D5720">
        <v>4.8366379999999998</v>
      </c>
      <c r="E5720">
        <v>0.49708659999999999</v>
      </c>
      <c r="F5720" t="s">
        <v>68</v>
      </c>
      <c r="G5720">
        <v>-363.55110000000002</v>
      </c>
      <c r="H5720" s="1">
        <v>-3.486399E-6</v>
      </c>
      <c r="I5720">
        <v>17.149819999999998</v>
      </c>
      <c r="J5720">
        <v>-383.19290000000001</v>
      </c>
      <c r="K5720">
        <v>1.1102609999999999</v>
      </c>
      <c r="L5720">
        <v>18.4986</v>
      </c>
      <c r="M5720">
        <v>0.99994150000000004</v>
      </c>
      <c r="N5720">
        <v>0</v>
      </c>
      <c r="O5720">
        <v>5.9492629999999998E-3</v>
      </c>
      <c r="P5720">
        <v>0.99691030000000003</v>
      </c>
      <c r="Q5720">
        <v>-8.3436929999999992E-3</v>
      </c>
      <c r="R5720">
        <v>-7.8106220000000004E-2</v>
      </c>
      <c r="S5720">
        <v>2.9920040000000001</v>
      </c>
      <c r="T5720">
        <v>-0.16807040000000001</v>
      </c>
      <c r="U5720">
        <v>-0.20397950000000001</v>
      </c>
      <c r="V5720">
        <v>8.403476E-2</v>
      </c>
      <c r="W5720">
        <v>7.9042139999999995E-4</v>
      </c>
      <c r="X5720">
        <v>0.99646250000000003</v>
      </c>
      <c r="Y5720">
        <v>7.3826320000000001E-2</v>
      </c>
      <c r="Z5720">
        <v>-2.4030700000000002E-3</v>
      </c>
      <c r="AA5720">
        <v>0.99726820000000005</v>
      </c>
      <c r="AB5720">
        <v>22</v>
      </c>
      <c r="AC5720">
        <v>19.6417999999999</v>
      </c>
      <c r="AD5720">
        <v>-1.1102644863989899</v>
      </c>
      <c r="AE5720">
        <v>-1.3487799999999901</v>
      </c>
      <c r="AF5720">
        <v>1.4609690337507399</v>
      </c>
      <c r="AG5720">
        <v>-1.1102644863989899</v>
      </c>
      <c r="AH5720">
        <v>19.5711885296747</v>
      </c>
      <c r="AI5720">
        <v>93.237893263004395</v>
      </c>
      <c r="AJ5720">
        <v>85.730847323444095</v>
      </c>
      <c r="AK5720">
        <v>19.6570226181741</v>
      </c>
      <c r="AL5720">
        <v>89.954712184564599</v>
      </c>
      <c r="AM5720">
        <v>85.179476340637294</v>
      </c>
      <c r="AN5720">
        <v>0.99999998978024796</v>
      </c>
    </row>
    <row r="5721" spans="1:40" x14ac:dyDescent="0.25">
      <c r="A5721" t="str">
        <f>"20190312154949839"</f>
        <v>20190312154949839</v>
      </c>
      <c r="B5721" t="str">
        <f>"1552376989831127"</f>
        <v>1552376989831127</v>
      </c>
      <c r="C5721" t="s">
        <v>40</v>
      </c>
      <c r="D5721">
        <v>4.8620900000000002</v>
      </c>
      <c r="E5721">
        <v>0.49680609999999997</v>
      </c>
      <c r="F5721" t="s">
        <v>68</v>
      </c>
      <c r="G5721">
        <v>-363.70280000000002</v>
      </c>
      <c r="H5721" s="1">
        <v>-3.4087110000000002E-6</v>
      </c>
      <c r="I5721">
        <v>17.183409999999999</v>
      </c>
      <c r="J5721">
        <v>-383.00729999999999</v>
      </c>
      <c r="K5721">
        <v>1.1103050000000001</v>
      </c>
      <c r="L5721">
        <v>18.500789999999999</v>
      </c>
      <c r="M5721">
        <v>0.99993149999999997</v>
      </c>
      <c r="N5721">
        <v>0</v>
      </c>
      <c r="O5721">
        <v>6.8787659999999997E-3</v>
      </c>
      <c r="P5721">
        <v>0.99694870000000002</v>
      </c>
      <c r="Q5721">
        <v>-9.9835429999999992E-3</v>
      </c>
      <c r="R5721">
        <v>-7.7420630000000004E-2</v>
      </c>
      <c r="S5721">
        <v>2.9920650000000002</v>
      </c>
      <c r="T5721">
        <v>-0.1704446</v>
      </c>
      <c r="U5721">
        <v>-0.20190430000000001</v>
      </c>
      <c r="V5721">
        <v>8.4277640000000001E-2</v>
      </c>
      <c r="W5721">
        <v>-4.1493729999999998E-4</v>
      </c>
      <c r="X5721">
        <v>0.99644219999999895</v>
      </c>
      <c r="Y5721">
        <v>7.4058029999999997E-2</v>
      </c>
      <c r="Z5721">
        <v>-2.4964100000000001E-3</v>
      </c>
      <c r="AA5721">
        <v>0.99725079999999999</v>
      </c>
      <c r="AB5721">
        <v>22</v>
      </c>
      <c r="AC5721">
        <v>19.304499999999901</v>
      </c>
      <c r="AD5721">
        <v>-1.11030840871099</v>
      </c>
      <c r="AE5721">
        <v>-1.31737999999999</v>
      </c>
      <c r="AF5721">
        <v>1.4453866955495001</v>
      </c>
      <c r="AG5721">
        <v>-1.11030840871099</v>
      </c>
      <c r="AH5721">
        <v>19.231656777878001</v>
      </c>
      <c r="AI5721">
        <v>93.294938616923503</v>
      </c>
      <c r="AJ5721">
        <v>85.701922193710502</v>
      </c>
      <c r="AK5721">
        <v>19.317829844064399</v>
      </c>
      <c r="AL5721">
        <v>90.023774157320503</v>
      </c>
      <c r="AM5721">
        <v>85.165511822173102</v>
      </c>
      <c r="AN5721">
        <v>0.99999997535888496</v>
      </c>
    </row>
    <row r="5722" spans="1:40" x14ac:dyDescent="0.25">
      <c r="A5722" t="str">
        <f>"20190312154949853"</f>
        <v>20190312154949853</v>
      </c>
      <c r="B5722" t="str">
        <f>"1552376989841864"</f>
        <v>1552376989841864</v>
      </c>
      <c r="C5722" t="s">
        <v>40</v>
      </c>
      <c r="D5722">
        <v>4.8493959999999996</v>
      </c>
      <c r="E5722">
        <v>0.49668329999999999</v>
      </c>
      <c r="F5722" t="s">
        <v>68</v>
      </c>
      <c r="G5722">
        <v>-364.0668</v>
      </c>
      <c r="H5722" s="1">
        <v>-3.2247729999999999E-6</v>
      </c>
      <c r="I5722">
        <v>17.250509999999998</v>
      </c>
      <c r="J5722">
        <v>-382.87540000000001</v>
      </c>
      <c r="K5722">
        <v>1.1103289999999999</v>
      </c>
      <c r="L5722">
        <v>18.50244</v>
      </c>
      <c r="M5722">
        <v>0.99992409999999998</v>
      </c>
      <c r="N5722">
        <v>0</v>
      </c>
      <c r="O5722">
        <v>7.53134099999999E-3</v>
      </c>
      <c r="P5722">
        <v>0.99697789999999997</v>
      </c>
      <c r="Q5722">
        <v>-1.047207E-2</v>
      </c>
      <c r="R5722">
        <v>-7.6979279999999997E-2</v>
      </c>
      <c r="S5722">
        <v>2.9920650000000002</v>
      </c>
      <c r="T5722">
        <v>-0.1753972</v>
      </c>
      <c r="U5722">
        <v>-0.19750980000000001</v>
      </c>
      <c r="V5722">
        <v>8.4487010000000001E-2</v>
      </c>
      <c r="W5722">
        <v>-6.1367099999999999E-4</v>
      </c>
      <c r="X5722">
        <v>0.99642439999999999</v>
      </c>
      <c r="Y5722">
        <v>7.3243240000000001E-2</v>
      </c>
      <c r="Z5722">
        <v>-2.583302E-3</v>
      </c>
      <c r="AA5722">
        <v>0.99731080000000005</v>
      </c>
      <c r="AB5722">
        <v>22</v>
      </c>
      <c r="AC5722">
        <v>18.808599999999998</v>
      </c>
      <c r="AD5722">
        <v>-1.1103322247730001</v>
      </c>
      <c r="AE5722">
        <v>-1.25192999999999</v>
      </c>
      <c r="AF5722">
        <v>1.3887369138716099</v>
      </c>
      <c r="AG5722">
        <v>-1.1103322247730001</v>
      </c>
      <c r="AH5722">
        <v>18.733640069074902</v>
      </c>
      <c r="AI5722">
        <v>93.382660210744504</v>
      </c>
      <c r="AJ5722">
        <v>85.760381345890195</v>
      </c>
      <c r="AK5722">
        <v>18.817829261181199</v>
      </c>
      <c r="AL5722">
        <v>90.035160760228706</v>
      </c>
      <c r="AM5722">
        <v>85.153472528852106</v>
      </c>
      <c r="AN5722">
        <v>1.00000000818309</v>
      </c>
    </row>
    <row r="5723" spans="1:40" x14ac:dyDescent="0.25">
      <c r="A5723" t="str">
        <f>"20190312154949873"</f>
        <v>20190312154949873</v>
      </c>
      <c r="B5723" t="str">
        <f>"1552376989861384"</f>
        <v>1552376989861384</v>
      </c>
      <c r="C5723" t="s">
        <v>40</v>
      </c>
      <c r="D5723">
        <v>4.8490359999999999</v>
      </c>
      <c r="E5723">
        <v>0.49650109999999997</v>
      </c>
      <c r="F5723" t="s">
        <v>68</v>
      </c>
      <c r="G5723">
        <v>-364.07960000000003</v>
      </c>
      <c r="H5723" s="1">
        <v>-3.2142200000000002E-6</v>
      </c>
      <c r="I5723">
        <v>17.275749999999999</v>
      </c>
      <c r="J5723">
        <v>-382.68740000000003</v>
      </c>
      <c r="K5723">
        <v>1.11036</v>
      </c>
      <c r="L5723">
        <v>18.504940000000001</v>
      </c>
      <c r="M5723">
        <v>0.99991269999999999</v>
      </c>
      <c r="N5723">
        <v>0</v>
      </c>
      <c r="O5723">
        <v>8.44606E-3</v>
      </c>
      <c r="P5723">
        <v>0.99704289999999995</v>
      </c>
      <c r="Q5723">
        <v>-1.1258580000000001E-2</v>
      </c>
      <c r="R5723">
        <v>-7.6020909999999997E-2</v>
      </c>
      <c r="S5723">
        <v>2.9921880000000001</v>
      </c>
      <c r="T5723">
        <v>-0.176759</v>
      </c>
      <c r="U5723">
        <v>-0.19528200000000001</v>
      </c>
      <c r="V5723">
        <v>8.4441130000000003E-2</v>
      </c>
      <c r="W5723">
        <v>-1.0051529999999999E-3</v>
      </c>
      <c r="X5723">
        <v>0.99642799999999998</v>
      </c>
      <c r="Y5723">
        <v>7.3409530000000001E-2</v>
      </c>
      <c r="Z5723">
        <v>-2.6621259999999999E-3</v>
      </c>
      <c r="AA5723">
        <v>0.99729829999999997</v>
      </c>
      <c r="AB5723">
        <v>22</v>
      </c>
      <c r="AC5723">
        <v>18.607800000000001</v>
      </c>
      <c r="AD5723">
        <v>-1.1103632142199999</v>
      </c>
      <c r="AE5723">
        <v>-1.22918999999999</v>
      </c>
      <c r="AF5723">
        <v>1.3814193597956399</v>
      </c>
      <c r="AG5723">
        <v>-1.1103632142199999</v>
      </c>
      <c r="AH5723">
        <v>18.531056304323702</v>
      </c>
      <c r="AI5723">
        <v>93.419542999052894</v>
      </c>
      <c r="AJ5723">
        <v>85.736704376866996</v>
      </c>
      <c r="AK5723">
        <v>18.6156190783204</v>
      </c>
      <c r="AL5723">
        <v>90.057591032233105</v>
      </c>
      <c r="AM5723">
        <v>85.156109288334903</v>
      </c>
      <c r="AN5723">
        <v>1.00000003697611</v>
      </c>
    </row>
    <row r="5724" spans="1:40" x14ac:dyDescent="0.25">
      <c r="A5724" t="str">
        <f>"20190312154949886"</f>
        <v>20190312154949886</v>
      </c>
      <c r="B5724" t="str">
        <f>"1552376989881880"</f>
        <v>1552376989881880</v>
      </c>
      <c r="C5724" t="s">
        <v>40</v>
      </c>
      <c r="D5724">
        <v>4.9394309999999999</v>
      </c>
      <c r="E5724">
        <v>0.49632589999999999</v>
      </c>
      <c r="F5724" t="s">
        <v>68</v>
      </c>
      <c r="G5724">
        <v>-364.14870000000002</v>
      </c>
      <c r="H5724" s="1">
        <v>-3.1734669999999999E-6</v>
      </c>
      <c r="I5724">
        <v>17.321560000000002</v>
      </c>
      <c r="J5724">
        <v>-382.56209999999999</v>
      </c>
      <c r="K5724">
        <v>1.1103799999999999</v>
      </c>
      <c r="L5724">
        <v>18.506679999999999</v>
      </c>
      <c r="M5724">
        <v>0.99990489999999999</v>
      </c>
      <c r="N5724">
        <v>0</v>
      </c>
      <c r="O5724">
        <v>9.0462100000000007E-3</v>
      </c>
      <c r="P5724">
        <v>0.99709219999999998</v>
      </c>
      <c r="Q5724">
        <v>-1.161558E-2</v>
      </c>
      <c r="R5724">
        <v>-7.531649E-2</v>
      </c>
      <c r="S5724">
        <v>2.99234</v>
      </c>
      <c r="T5724">
        <v>-0.17922349999999901</v>
      </c>
      <c r="U5724">
        <v>-0.1910095</v>
      </c>
      <c r="V5724">
        <v>8.4335510000000002E-2</v>
      </c>
      <c r="W5724">
        <v>-1.107245E-3</v>
      </c>
      <c r="X5724">
        <v>0.99643680000000001</v>
      </c>
      <c r="Y5724">
        <v>7.2583179999999997E-2</v>
      </c>
      <c r="Z5724">
        <v>-2.710348E-3</v>
      </c>
      <c r="AA5724">
        <v>0.99735870000000004</v>
      </c>
      <c r="AB5724">
        <v>22</v>
      </c>
      <c r="AC5724">
        <v>18.4133999999999</v>
      </c>
      <c r="AD5724">
        <v>-1.110383173467</v>
      </c>
      <c r="AE5724">
        <v>-1.18511999999999</v>
      </c>
      <c r="AF5724">
        <v>1.34677473398674</v>
      </c>
      <c r="AG5724">
        <v>-1.110383173467</v>
      </c>
      <c r="AH5724">
        <v>18.335523881943001</v>
      </c>
      <c r="AI5724">
        <v>93.456261226048895</v>
      </c>
      <c r="AJ5724">
        <v>85.799073704495399</v>
      </c>
      <c r="AK5724">
        <v>18.4184198291093</v>
      </c>
      <c r="AL5724">
        <v>90.063440478329795</v>
      </c>
      <c r="AM5724">
        <v>85.162181834356701</v>
      </c>
      <c r="AN5724">
        <v>1.0000000003163401</v>
      </c>
    </row>
    <row r="5725" spans="1:40" x14ac:dyDescent="0.25">
      <c r="A5725" t="str">
        <f>"20190312154949900"</f>
        <v>20190312154949900</v>
      </c>
      <c r="B5725" t="str">
        <f>"1552376989891640"</f>
        <v>1552376989891640</v>
      </c>
      <c r="C5725" t="s">
        <v>40</v>
      </c>
      <c r="D5725">
        <v>4.9504919999999997</v>
      </c>
      <c r="E5725">
        <v>0.4961855</v>
      </c>
      <c r="F5725" t="s">
        <v>41</v>
      </c>
      <c r="G5725">
        <v>-381.6395</v>
      </c>
      <c r="H5725">
        <v>1.054268</v>
      </c>
      <c r="I5725">
        <v>18.448740000000001</v>
      </c>
      <c r="J5725">
        <v>-382.41860000000003</v>
      </c>
      <c r="K5725">
        <v>1.11039</v>
      </c>
      <c r="L5725">
        <v>18.50882</v>
      </c>
      <c r="M5725">
        <v>0.9998956</v>
      </c>
      <c r="N5725">
        <v>0</v>
      </c>
      <c r="O5725">
        <v>9.7222249999999993E-3</v>
      </c>
      <c r="P5725">
        <v>0.99714029999999998</v>
      </c>
      <c r="Q5725">
        <v>-1.2123299999999899E-2</v>
      </c>
      <c r="R5725">
        <v>-7.4595709999999996E-2</v>
      </c>
      <c r="S5725">
        <v>2.9924620000000002</v>
      </c>
      <c r="T5725">
        <v>-0.182061</v>
      </c>
      <c r="U5725">
        <v>-0.1874084</v>
      </c>
      <c r="V5725">
        <v>8.428919E-2</v>
      </c>
      <c r="W5725">
        <v>-1.342977E-3</v>
      </c>
      <c r="X5725">
        <v>0.9964404</v>
      </c>
      <c r="Y5725">
        <v>7.2054560000000004E-2</v>
      </c>
      <c r="Z5725">
        <v>-2.7781799999999999E-3</v>
      </c>
      <c r="AA5725">
        <v>0.99739679999999997</v>
      </c>
      <c r="AB5725">
        <v>22</v>
      </c>
      <c r="AC5725">
        <v>0.77910000000002799</v>
      </c>
      <c r="AD5725">
        <v>-5.6121999999999998E-2</v>
      </c>
      <c r="AE5725">
        <v>-6.0079999999999197E-2</v>
      </c>
      <c r="AF5725">
        <v>6.7305000436919393E-2</v>
      </c>
      <c r="AG5725">
        <v>-5.6121999999999998E-2</v>
      </c>
      <c r="AH5725">
        <v>0.77448402388216198</v>
      </c>
      <c r="AI5725">
        <v>94.129113129266401</v>
      </c>
      <c r="AJ5725">
        <v>85.033301717957301</v>
      </c>
      <c r="AK5725">
        <v>0.77942616405694198</v>
      </c>
      <c r="AL5725">
        <v>90.076946939448902</v>
      </c>
      <c r="AM5725">
        <v>85.164843717900197</v>
      </c>
      <c r="AN5725">
        <v>0.99999997094511806</v>
      </c>
    </row>
    <row r="5726" spans="1:40" x14ac:dyDescent="0.25">
      <c r="A5726" t="str">
        <f>"20190312154949920"</f>
        <v>20190312154949920</v>
      </c>
      <c r="B5726" t="str">
        <f>"1552376989911161"</f>
        <v>1552376989911161</v>
      </c>
      <c r="C5726" t="s">
        <v>40</v>
      </c>
      <c r="D5726">
        <v>4.9377389999999997</v>
      </c>
      <c r="E5726">
        <v>0.49590830000000002</v>
      </c>
      <c r="F5726" t="s">
        <v>68</v>
      </c>
      <c r="G5726">
        <v>-364.51299999999998</v>
      </c>
      <c r="H5726" s="1">
        <v>-2.9860190000000002E-6</v>
      </c>
      <c r="I5726">
        <v>17.40738</v>
      </c>
      <c r="J5726">
        <v>-382.23099999999999</v>
      </c>
      <c r="K5726">
        <v>1.1103889999999901</v>
      </c>
      <c r="L5726">
        <v>18.51172</v>
      </c>
      <c r="M5726">
        <v>0.99988310000000002</v>
      </c>
      <c r="N5726">
        <v>0</v>
      </c>
      <c r="O5726">
        <v>1.0596410000000001E-2</v>
      </c>
      <c r="P5726">
        <v>0.99725339999999996</v>
      </c>
      <c r="Q5726">
        <v>-1.269065E-2</v>
      </c>
      <c r="R5726">
        <v>-7.2973350000000006E-2</v>
      </c>
      <c r="S5726">
        <v>2.9925540000000002</v>
      </c>
      <c r="T5726">
        <v>-0.1855793</v>
      </c>
      <c r="U5726">
        <v>-0.184082</v>
      </c>
      <c r="V5726">
        <v>8.3539359999999993E-2</v>
      </c>
      <c r="W5726">
        <v>-1.5845360000000001E-3</v>
      </c>
      <c r="X5726">
        <v>0.99650320000000003</v>
      </c>
      <c r="Y5726">
        <v>7.1813189999999999E-2</v>
      </c>
      <c r="Z5726">
        <v>-2.8784269999999998E-3</v>
      </c>
      <c r="AA5726">
        <v>0.99741389999999996</v>
      </c>
      <c r="AB5726">
        <v>22</v>
      </c>
      <c r="AC5726">
        <v>17.7179999999999</v>
      </c>
      <c r="AD5726">
        <v>-1.1103919860189999</v>
      </c>
      <c r="AE5726">
        <v>-1.1043400000000001</v>
      </c>
      <c r="AF5726">
        <v>1.28700137143904</v>
      </c>
      <c r="AG5726">
        <v>-1.1103919860189999</v>
      </c>
      <c r="AH5726">
        <v>17.6363027289363</v>
      </c>
      <c r="AI5726">
        <v>93.593091384654898</v>
      </c>
      <c r="AJ5726">
        <v>85.826264182914002</v>
      </c>
      <c r="AK5726">
        <v>17.7180280177956</v>
      </c>
      <c r="AL5726">
        <v>90.090787264955296</v>
      </c>
      <c r="AM5726">
        <v>85.207956270752703</v>
      </c>
      <c r="AN5726">
        <v>0.99999998151689196</v>
      </c>
    </row>
    <row r="5727" spans="1:40" x14ac:dyDescent="0.25">
      <c r="A5727" t="str">
        <f>"20190312154949942"</f>
        <v>20190312154949942</v>
      </c>
      <c r="B5727" t="str">
        <f>"1552376989931655"</f>
        <v>1552376989931655</v>
      </c>
      <c r="C5727" t="s">
        <v>40</v>
      </c>
      <c r="D5727">
        <v>4.9031779999999996</v>
      </c>
      <c r="E5727">
        <v>0.4957763</v>
      </c>
      <c r="F5727" t="s">
        <v>68</v>
      </c>
      <c r="G5727">
        <v>-364.58420000000001</v>
      </c>
      <c r="H5727" s="1">
        <v>-2.9416879999999998E-6</v>
      </c>
      <c r="I5727">
        <v>17.46754</v>
      </c>
      <c r="J5727">
        <v>-382.02929999999998</v>
      </c>
      <c r="K5727">
        <v>1.110371</v>
      </c>
      <c r="L5727">
        <v>18.514980000000001</v>
      </c>
      <c r="M5727">
        <v>0.99986929999999996</v>
      </c>
      <c r="N5727">
        <v>0</v>
      </c>
      <c r="O5727">
        <v>1.151451E-2</v>
      </c>
      <c r="P5727">
        <v>0.99736029999999998</v>
      </c>
      <c r="Q5727">
        <v>-1.360783E-2</v>
      </c>
      <c r="R5727">
        <v>-7.1325109999999997E-2</v>
      </c>
      <c r="S5727">
        <v>2.9929199999999998</v>
      </c>
      <c r="T5727">
        <v>-0.18832389999999999</v>
      </c>
      <c r="U5727">
        <v>-0.17709349999999999</v>
      </c>
      <c r="V5727">
        <v>8.2808090000000001E-2</v>
      </c>
      <c r="W5727">
        <v>-2.1924399999999999E-3</v>
      </c>
      <c r="X5727">
        <v>0.99656310000000004</v>
      </c>
      <c r="Y5727">
        <v>7.0397269999999998E-2</v>
      </c>
      <c r="Z5727">
        <v>-2.9339710000000001E-3</v>
      </c>
      <c r="AA5727">
        <v>0.99751469999999998</v>
      </c>
      <c r="AB5727">
        <v>21</v>
      </c>
      <c r="AC5727">
        <v>17.445099999999901</v>
      </c>
      <c r="AD5727">
        <v>-1.1103739416879901</v>
      </c>
      <c r="AE5727">
        <v>-1.0474399999999899</v>
      </c>
      <c r="AF5727">
        <v>1.24323666774549</v>
      </c>
      <c r="AG5727">
        <v>-1.1103739416879901</v>
      </c>
      <c r="AH5727">
        <v>17.361797072854401</v>
      </c>
      <c r="AI5727">
        <v>93.650047712818605</v>
      </c>
      <c r="AJ5727">
        <v>85.904177680843205</v>
      </c>
      <c r="AK5727">
        <v>17.441633103049199</v>
      </c>
      <c r="AL5727">
        <v>90.125617659544702</v>
      </c>
      <c r="AM5727">
        <v>85.249995311020996</v>
      </c>
      <c r="AN5727">
        <v>0.99999999942210505</v>
      </c>
    </row>
    <row r="5728" spans="1:40" x14ac:dyDescent="0.25">
      <c r="A5728" t="str">
        <f>"20190312154949962"</f>
        <v>20190312154949962</v>
      </c>
      <c r="B5728" t="str">
        <f>"1552376989951175"</f>
        <v>1552376989951175</v>
      </c>
      <c r="C5728" t="s">
        <v>40</v>
      </c>
      <c r="D5728">
        <v>4.9816589999999996</v>
      </c>
      <c r="E5728">
        <v>0.49570530000000002</v>
      </c>
      <c r="F5728" t="s">
        <v>68</v>
      </c>
      <c r="G5728">
        <v>-364.78300000000002</v>
      </c>
      <c r="H5728" s="1">
        <v>-2.8367220000000001E-6</v>
      </c>
      <c r="I5728">
        <v>17.529540000000001</v>
      </c>
      <c r="J5728">
        <v>-381.8263</v>
      </c>
      <c r="K5728">
        <v>1.1103430000000001</v>
      </c>
      <c r="L5728">
        <v>18.518370000000001</v>
      </c>
      <c r="M5728">
        <v>0.99985559999999996</v>
      </c>
      <c r="N5728">
        <v>0</v>
      </c>
      <c r="O5728">
        <v>1.240057E-2</v>
      </c>
      <c r="P5728">
        <v>0.99745150000000005</v>
      </c>
      <c r="Q5728">
        <v>-1.4011289999999999E-2</v>
      </c>
      <c r="R5728">
        <v>-6.99631E-2</v>
      </c>
      <c r="S5728">
        <v>2.993042</v>
      </c>
      <c r="T5728">
        <v>-0.19270190000000001</v>
      </c>
      <c r="U5728">
        <v>-0.17102049999999999</v>
      </c>
      <c r="V5728">
        <v>8.2330249999999994E-2</v>
      </c>
      <c r="W5728">
        <v>-2.323004E-3</v>
      </c>
      <c r="X5728">
        <v>0.9966024</v>
      </c>
      <c r="Y5728">
        <v>6.9254590000000005E-2</v>
      </c>
      <c r="Z5728">
        <v>-3.0223300000000002E-3</v>
      </c>
      <c r="AA5728">
        <v>0.99759439999999999</v>
      </c>
      <c r="AB5728">
        <v>21</v>
      </c>
      <c r="AC5728">
        <v>17.043299999999899</v>
      </c>
      <c r="AD5728">
        <v>-1.110345836722</v>
      </c>
      <c r="AE5728">
        <v>-0.98882999999999999</v>
      </c>
      <c r="AF5728">
        <v>1.1950596501003901</v>
      </c>
      <c r="AG5728">
        <v>-1.110345836722</v>
      </c>
      <c r="AH5728">
        <v>16.957992628529201</v>
      </c>
      <c r="AI5728">
        <v>93.736924250920495</v>
      </c>
      <c r="AJ5728">
        <v>85.968929675210006</v>
      </c>
      <c r="AK5728">
        <v>17.036271582528698</v>
      </c>
      <c r="AL5728">
        <v>90.133098444027695</v>
      </c>
      <c r="AM5728">
        <v>85.277466032163701</v>
      </c>
      <c r="AN5728">
        <v>1.0000000050491999</v>
      </c>
    </row>
    <row r="5729" spans="1:40" x14ac:dyDescent="0.25">
      <c r="A5729" t="str">
        <f>"20190312154949976"</f>
        <v>20190312154949976</v>
      </c>
      <c r="B5729" t="str">
        <f>"1552376989971672"</f>
        <v>1552376989971672</v>
      </c>
      <c r="C5729" t="s">
        <v>40</v>
      </c>
      <c r="D5729">
        <v>4.9690500000000002</v>
      </c>
      <c r="E5729">
        <v>0.49566589999999999</v>
      </c>
      <c r="F5729" t="s">
        <v>68</v>
      </c>
      <c r="G5729">
        <v>-364.79059999999998</v>
      </c>
      <c r="H5729" s="1">
        <v>-2.8255680000000001E-6</v>
      </c>
      <c r="I5729">
        <v>17.571960000000001</v>
      </c>
      <c r="J5729">
        <v>-381.69779999999997</v>
      </c>
      <c r="K5729">
        <v>1.1103240000000001</v>
      </c>
      <c r="L5729">
        <v>18.520630000000001</v>
      </c>
      <c r="M5729">
        <v>0.99984689999999998</v>
      </c>
      <c r="N5729">
        <v>0</v>
      </c>
      <c r="O5729">
        <v>1.293179E-2</v>
      </c>
      <c r="P5729">
        <v>0.99749989999999999</v>
      </c>
      <c r="Q5729">
        <v>-1.42466E-2</v>
      </c>
      <c r="R5729">
        <v>-6.9220290000000004E-2</v>
      </c>
      <c r="S5729">
        <v>2.9932560000000001</v>
      </c>
      <c r="T5729">
        <v>-0.19509389999999999</v>
      </c>
      <c r="U5729">
        <v>-0.166290299999999</v>
      </c>
      <c r="V5729">
        <v>8.211765E-2</v>
      </c>
      <c r="W5729">
        <v>-2.4046670000000001E-3</v>
      </c>
      <c r="X5729">
        <v>0.99661979999999994</v>
      </c>
      <c r="Y5729">
        <v>6.8205920000000003E-2</v>
      </c>
      <c r="Z5729">
        <v>-3.060138E-3</v>
      </c>
      <c r="AA5729">
        <v>0.99766659999999996</v>
      </c>
      <c r="AB5729">
        <v>21</v>
      </c>
      <c r="AC5729">
        <v>16.9071999999999</v>
      </c>
      <c r="AD5729">
        <v>-1.1103268255679899</v>
      </c>
      <c r="AE5729">
        <v>-0.94867000000000001</v>
      </c>
      <c r="AF5729">
        <v>1.1622494075791301</v>
      </c>
      <c r="AG5729">
        <v>-1.1103268255679899</v>
      </c>
      <c r="AH5729">
        <v>16.821198579044101</v>
      </c>
      <c r="AI5729">
        <v>93.767521677477305</v>
      </c>
      <c r="AJ5729">
        <v>86.047468474410294</v>
      </c>
      <c r="AK5729">
        <v>16.897821486234001</v>
      </c>
      <c r="AL5729">
        <v>90.137777394982194</v>
      </c>
      <c r="AM5729">
        <v>85.289687874932298</v>
      </c>
      <c r="AN5729">
        <v>1.0000000583084601</v>
      </c>
    </row>
    <row r="5730" spans="1:40" x14ac:dyDescent="0.25">
      <c r="A5730" t="str">
        <f>"20190312154949998"</f>
        <v>20190312154949998</v>
      </c>
      <c r="B5730" t="str">
        <f>"1552376989991192"</f>
        <v>1552376989991192</v>
      </c>
      <c r="C5730" t="s">
        <v>40</v>
      </c>
      <c r="D5730">
        <v>4.9953709999999996</v>
      </c>
      <c r="E5730">
        <v>0.49571340000000003</v>
      </c>
      <c r="F5730" t="s">
        <v>41</v>
      </c>
      <c r="G5730">
        <v>-380.863</v>
      </c>
      <c r="H5730">
        <v>1.0554600000000001</v>
      </c>
      <c r="I5730">
        <v>18.474920000000001</v>
      </c>
      <c r="J5730">
        <v>-381.48939999999999</v>
      </c>
      <c r="K5730">
        <v>1.1102890000000001</v>
      </c>
      <c r="L5730">
        <v>18.524319999999999</v>
      </c>
      <c r="M5730">
        <v>0.99983330000000004</v>
      </c>
      <c r="N5730">
        <v>0</v>
      </c>
      <c r="O5730">
        <v>1.374944E-2</v>
      </c>
      <c r="P5730">
        <v>0.99757010000000002</v>
      </c>
      <c r="Q5730">
        <v>-1.3961319999999999E-2</v>
      </c>
      <c r="R5730">
        <v>-6.8259130000000001E-2</v>
      </c>
      <c r="S5730">
        <v>2.993347</v>
      </c>
      <c r="T5730">
        <v>-0.1967363</v>
      </c>
      <c r="U5730">
        <v>-0.1636658</v>
      </c>
      <c r="V5730">
        <v>8.1971749999999996E-2</v>
      </c>
      <c r="W5730">
        <v>-1.89196E-3</v>
      </c>
      <c r="X5730">
        <v>0.99663290000000004</v>
      </c>
      <c r="Y5730">
        <v>6.8143549999999997E-2</v>
      </c>
      <c r="Z5730">
        <v>-3.1374329999999998E-3</v>
      </c>
      <c r="AA5730">
        <v>0.99767059999999996</v>
      </c>
      <c r="AB5730">
        <v>21</v>
      </c>
      <c r="AC5730">
        <v>0.62639999999993201</v>
      </c>
      <c r="AD5730">
        <v>-5.4828999999999802E-2</v>
      </c>
      <c r="AE5730">
        <v>-4.9399999999998501E-2</v>
      </c>
      <c r="AF5730">
        <v>5.7570248871508002E-2</v>
      </c>
      <c r="AG5730">
        <v>-5.4828999999999802E-2</v>
      </c>
      <c r="AH5730">
        <v>0.62093359328823305</v>
      </c>
      <c r="AI5730">
        <v>95.024741830142005</v>
      </c>
      <c r="AJ5730">
        <v>84.702929312273696</v>
      </c>
      <c r="AK5730">
        <v>0.62600246011494498</v>
      </c>
      <c r="AL5730">
        <v>90.108401383088903</v>
      </c>
      <c r="AM5730">
        <v>85.298080746439595</v>
      </c>
      <c r="AN5730">
        <v>1.00000004233655</v>
      </c>
    </row>
    <row r="5731" spans="1:40" x14ac:dyDescent="0.25">
      <c r="A5731" t="str">
        <f>"20190312154950019"</f>
        <v>20190312154950019</v>
      </c>
      <c r="B5731" t="str">
        <f>"1552376990011688"</f>
        <v>1552376990011688</v>
      </c>
      <c r="C5731" t="s">
        <v>40</v>
      </c>
      <c r="D5731">
        <v>5.0368550000000001</v>
      </c>
      <c r="E5731">
        <v>0.4957685</v>
      </c>
      <c r="F5731" t="s">
        <v>68</v>
      </c>
      <c r="G5731">
        <v>-364.60300000000001</v>
      </c>
      <c r="H5731" s="1">
        <v>-2.9065020000000001E-6</v>
      </c>
      <c r="I5731">
        <v>17.61572</v>
      </c>
      <c r="J5731">
        <v>-381.28730000000002</v>
      </c>
      <c r="K5731">
        <v>1.110166</v>
      </c>
      <c r="L5731">
        <v>18.527889999999999</v>
      </c>
      <c r="M5731">
        <v>0.99981529999999996</v>
      </c>
      <c r="N5731">
        <v>0</v>
      </c>
      <c r="O5731">
        <v>1.5016699999999999E-2</v>
      </c>
      <c r="P5731">
        <v>0.99765550000000003</v>
      </c>
      <c r="Q5731">
        <v>-1.2887590000000001E-2</v>
      </c>
      <c r="R5731">
        <v>-6.7213780000000001E-2</v>
      </c>
      <c r="S5731">
        <v>2.9935299999999998</v>
      </c>
      <c r="T5731">
        <v>-0.19682659999999999</v>
      </c>
      <c r="U5731">
        <v>-0.16107179999999999</v>
      </c>
      <c r="V5731">
        <v>8.2189499999999999E-2</v>
      </c>
      <c r="W5731">
        <v>-8.5218700000000002E-4</v>
      </c>
      <c r="X5731">
        <v>0.99661639999999996</v>
      </c>
      <c r="Y5731">
        <v>6.8539009999999997E-2</v>
      </c>
      <c r="Z5731">
        <v>-3.234916E-3</v>
      </c>
      <c r="AA5731">
        <v>0.99764319999999895</v>
      </c>
      <c r="AB5731">
        <v>21</v>
      </c>
      <c r="AC5731">
        <v>16.6843</v>
      </c>
      <c r="AD5731">
        <v>-1.110168906502</v>
      </c>
      <c r="AE5731">
        <v>-0.91216999999999904</v>
      </c>
      <c r="AF5731">
        <v>1.1575186010139</v>
      </c>
      <c r="AG5731">
        <v>-1.110168906502</v>
      </c>
      <c r="AH5731">
        <v>16.595461652017502</v>
      </c>
      <c r="AI5731">
        <v>93.817904425357497</v>
      </c>
      <c r="AJ5731">
        <v>86.010132425680794</v>
      </c>
      <c r="AK5731">
        <v>16.672782363967901</v>
      </c>
      <c r="AL5731">
        <v>90.048826722195798</v>
      </c>
      <c r="AM5731">
        <v>85.285569078483107</v>
      </c>
      <c r="AN5731">
        <v>1.00000004444094</v>
      </c>
    </row>
    <row r="5732" spans="1:40" x14ac:dyDescent="0.25">
      <c r="A5732" t="str">
        <f>"20190312154950032"</f>
        <v>20190312154950032</v>
      </c>
      <c r="B5732" t="str">
        <f>"1552376990021448"</f>
        <v>1552376990021448</v>
      </c>
      <c r="C5732" t="s">
        <v>40</v>
      </c>
      <c r="D5732">
        <v>5.0202619999999998</v>
      </c>
      <c r="E5732">
        <v>0.49581350000000002</v>
      </c>
      <c r="F5732" t="s">
        <v>68</v>
      </c>
      <c r="G5732">
        <v>-364.18270000000001</v>
      </c>
      <c r="H5732" s="1">
        <v>-3.103753E-6</v>
      </c>
      <c r="I5732">
        <v>17.623699999999999</v>
      </c>
      <c r="J5732">
        <v>-381.16609999999997</v>
      </c>
      <c r="K5732">
        <v>1.1101540000000001</v>
      </c>
      <c r="L5732">
        <v>18.530059999999999</v>
      </c>
      <c r="M5732">
        <v>0.99980369999999996</v>
      </c>
      <c r="N5732">
        <v>0</v>
      </c>
      <c r="O5732">
        <v>1.5713620000000001E-2</v>
      </c>
      <c r="P5732">
        <v>0.99768440000000003</v>
      </c>
      <c r="Q5732">
        <v>-1.314398E-2</v>
      </c>
      <c r="R5732">
        <v>-6.6734160000000001E-2</v>
      </c>
      <c r="S5732">
        <v>2.9938660000000001</v>
      </c>
      <c r="T5732">
        <v>-0.19431670000000001</v>
      </c>
      <c r="U5732">
        <v>-0.15826419999999999</v>
      </c>
      <c r="V5732">
        <v>8.2405080000000006E-2</v>
      </c>
      <c r="W5732">
        <v>-1.034164E-3</v>
      </c>
      <c r="X5732">
        <v>0.9965984</v>
      </c>
      <c r="Y5732">
        <v>6.829913E-2</v>
      </c>
      <c r="Z5732">
        <v>-3.2308670000000001E-3</v>
      </c>
      <c r="AA5732">
        <v>0.99765970000000004</v>
      </c>
      <c r="AB5732">
        <v>21</v>
      </c>
      <c r="AC5732">
        <v>16.9833999999999</v>
      </c>
      <c r="AD5732">
        <v>-1.110157103753</v>
      </c>
      <c r="AE5732">
        <v>-0.90635999999999906</v>
      </c>
      <c r="AF5732">
        <v>1.16816098492645</v>
      </c>
      <c r="AG5732">
        <v>-1.110157103753</v>
      </c>
      <c r="AH5732">
        <v>16.895074155597399</v>
      </c>
      <c r="AI5732">
        <v>93.750510871480202</v>
      </c>
      <c r="AJ5732">
        <v>86.044744075771902</v>
      </c>
      <c r="AK5732">
        <v>16.9717582944388</v>
      </c>
      <c r="AL5732">
        <v>90.059253241972598</v>
      </c>
      <c r="AM5732">
        <v>85.2731742735197</v>
      </c>
      <c r="AN5732">
        <v>1.0000000187937701</v>
      </c>
    </row>
    <row r="5733" spans="1:40" x14ac:dyDescent="0.25">
      <c r="A5733" t="str">
        <f>"20190312154950044"</f>
        <v>20190312154950044</v>
      </c>
      <c r="B5733" t="str">
        <f>"1552376990031210"</f>
        <v>1552376990031210</v>
      </c>
      <c r="C5733" t="s">
        <v>40</v>
      </c>
      <c r="D5733">
        <v>5.0012049999999997</v>
      </c>
      <c r="E5733">
        <v>0.49574649999999998</v>
      </c>
      <c r="F5733" t="s">
        <v>41</v>
      </c>
      <c r="G5733">
        <v>-380.30189999999999</v>
      </c>
      <c r="H5733">
        <v>1.0537840000000001</v>
      </c>
      <c r="I5733">
        <v>18.48434</v>
      </c>
      <c r="J5733">
        <v>-381.04360000000003</v>
      </c>
      <c r="K5733">
        <v>1.1102160000000001</v>
      </c>
      <c r="L5733">
        <v>18.532319999999999</v>
      </c>
      <c r="M5733">
        <v>0.99979280000000004</v>
      </c>
      <c r="N5733">
        <v>0</v>
      </c>
      <c r="O5733">
        <v>1.623113E-2</v>
      </c>
      <c r="P5733">
        <v>0.99769790000000003</v>
      </c>
      <c r="Q5733">
        <v>-1.3064320000000001E-2</v>
      </c>
      <c r="R5733">
        <v>-6.6545649999999998E-2</v>
      </c>
      <c r="S5733">
        <v>2.9938660000000001</v>
      </c>
      <c r="T5733">
        <v>-0.19541610000000001</v>
      </c>
      <c r="U5733">
        <v>-0.15716550000000001</v>
      </c>
      <c r="V5733">
        <v>8.2732829999999993E-2</v>
      </c>
      <c r="W5733">
        <v>-7.3134670000000004E-4</v>
      </c>
      <c r="X5733">
        <v>0.99657150000000005</v>
      </c>
      <c r="Y5733">
        <v>6.8447060000000004E-2</v>
      </c>
      <c r="Z5733">
        <v>-3.2876860000000002E-3</v>
      </c>
      <c r="AA5733">
        <v>0.99764929999999996</v>
      </c>
      <c r="AB5733">
        <v>21</v>
      </c>
      <c r="AC5733">
        <v>0.741700000000037</v>
      </c>
      <c r="AD5733">
        <v>-5.6432000000000003E-2</v>
      </c>
      <c r="AE5733">
        <v>-4.79800000000025E-2</v>
      </c>
      <c r="AF5733">
        <v>5.96692376218909E-2</v>
      </c>
      <c r="AG5733">
        <v>-5.6432000000000003E-2</v>
      </c>
      <c r="AH5733">
        <v>0.73657726392548395</v>
      </c>
      <c r="AI5733">
        <v>94.366840715935794</v>
      </c>
      <c r="AJ5733">
        <v>85.368651153301599</v>
      </c>
      <c r="AK5733">
        <v>0.74114172347421503</v>
      </c>
      <c r="AL5733">
        <v>90.041903082783307</v>
      </c>
      <c r="AM5733">
        <v>85.254332437019599</v>
      </c>
      <c r="AN5733">
        <v>1.00000000532002</v>
      </c>
    </row>
    <row r="5734" spans="1:40" x14ac:dyDescent="0.25">
      <c r="A5734" t="str">
        <f>"20190312154950063"</f>
        <v>20190312154950063</v>
      </c>
      <c r="B5734" t="str">
        <f>"1552376990051703"</f>
        <v>1552376990051703</v>
      </c>
      <c r="C5734" t="s">
        <v>40</v>
      </c>
      <c r="D5734">
        <v>5.055053</v>
      </c>
      <c r="E5734">
        <v>0.4959712</v>
      </c>
      <c r="F5734" t="s">
        <v>68</v>
      </c>
      <c r="G5734">
        <v>-364.19319999999999</v>
      </c>
      <c r="H5734" s="1">
        <v>-3.0932450000000001E-6</v>
      </c>
      <c r="I5734">
        <v>17.655159999999999</v>
      </c>
      <c r="J5734">
        <v>-380.87090000000001</v>
      </c>
      <c r="K5734">
        <v>1.1104069999999999</v>
      </c>
      <c r="L5734">
        <v>18.535679999999999</v>
      </c>
      <c r="M5734">
        <v>0.99978579999999995</v>
      </c>
      <c r="N5734">
        <v>0</v>
      </c>
      <c r="O5734">
        <v>1.628721E-2</v>
      </c>
      <c r="P5734">
        <v>0.99766390000000005</v>
      </c>
      <c r="Q5734">
        <v>-1.403018E-2</v>
      </c>
      <c r="R5734">
        <v>-6.6857879999999995E-2</v>
      </c>
      <c r="S5734">
        <v>2.9939580000000001</v>
      </c>
      <c r="T5734">
        <v>-0.19726199999999999</v>
      </c>
      <c r="U5734">
        <v>-0.1558533</v>
      </c>
      <c r="V5734">
        <v>8.3101289999999994E-2</v>
      </c>
      <c r="W5734">
        <v>-1.1828639999999901E-3</v>
      </c>
      <c r="X5734">
        <v>0.99654039999999999</v>
      </c>
      <c r="Y5734">
        <v>6.8062750000000005E-2</v>
      </c>
      <c r="Z5734">
        <v>-3.309668E-3</v>
      </c>
      <c r="AA5734">
        <v>0.99767550000000005</v>
      </c>
      <c r="AB5734">
        <v>21</v>
      </c>
      <c r="AC5734">
        <v>16.677700000000002</v>
      </c>
      <c r="AD5734">
        <v>-1.1104100932449901</v>
      </c>
      <c r="AE5734">
        <v>-0.88051999999999697</v>
      </c>
      <c r="AF5734">
        <v>1.14698811126136</v>
      </c>
      <c r="AG5734">
        <v>-1.1104100932449901</v>
      </c>
      <c r="AH5734">
        <v>16.587816195465201</v>
      </c>
      <c r="AI5734">
        <v>93.820644963674496</v>
      </c>
      <c r="AJ5734">
        <v>86.044497979827398</v>
      </c>
      <c r="AK5734">
        <v>16.664460340409899</v>
      </c>
      <c r="AL5734">
        <v>90.067773130999797</v>
      </c>
      <c r="AM5734">
        <v>85.233146171395603</v>
      </c>
      <c r="AN5734">
        <v>0.99999999619953295</v>
      </c>
    </row>
    <row r="5735" spans="1:40" x14ac:dyDescent="0.25">
      <c r="A5735" t="str">
        <f>"20190312154950076"</f>
        <v>20190312154950076</v>
      </c>
      <c r="B5735" t="str">
        <f>"1552376990061464"</f>
        <v>1552376990061464</v>
      </c>
      <c r="C5735" t="s">
        <v>40</v>
      </c>
      <c r="D5735">
        <v>5.0470610000000002</v>
      </c>
      <c r="E5735">
        <v>0.49605310000000002</v>
      </c>
      <c r="F5735" t="s">
        <v>68</v>
      </c>
      <c r="G5735">
        <v>-364.31470000000002</v>
      </c>
      <c r="H5735" s="1">
        <v>-3.0350799999999998E-6</v>
      </c>
      <c r="I5735">
        <v>17.659199999999998</v>
      </c>
      <c r="J5735">
        <v>-380.74720000000002</v>
      </c>
      <c r="K5735">
        <v>1.1104590000000001</v>
      </c>
      <c r="L5735">
        <v>18.538180000000001</v>
      </c>
      <c r="M5735">
        <v>0.99978489999999998</v>
      </c>
      <c r="N5735">
        <v>0</v>
      </c>
      <c r="O5735">
        <v>1.6156839999999999E-2</v>
      </c>
      <c r="P5735">
        <v>0.99763060000000003</v>
      </c>
      <c r="Q5735">
        <v>-1.4550250000000001E-2</v>
      </c>
      <c r="R5735">
        <v>-6.7243720000000007E-2</v>
      </c>
      <c r="S5735">
        <v>2.9935909999999999</v>
      </c>
      <c r="T5735">
        <v>-0.20077780000000001</v>
      </c>
      <c r="U5735">
        <v>-0.158477799999999</v>
      </c>
      <c r="V5735">
        <v>8.3357290000000001E-2</v>
      </c>
      <c r="W5735">
        <v>-1.4517829999999999E-3</v>
      </c>
      <c r="X5735">
        <v>0.99651869999999998</v>
      </c>
      <c r="Y5735">
        <v>6.8803329999999996E-2</v>
      </c>
      <c r="Z5735">
        <v>-3.3849240000000001E-3</v>
      </c>
      <c r="AA5735">
        <v>0.99762450000000003</v>
      </c>
      <c r="AB5735">
        <v>21</v>
      </c>
      <c r="AC5735">
        <v>16.432500000000001</v>
      </c>
      <c r="AD5735">
        <v>-1.1104620350799901</v>
      </c>
      <c r="AE5735">
        <v>-0.87898000000000198</v>
      </c>
      <c r="AF5735">
        <v>1.1391974698470599</v>
      </c>
      <c r="AG5735">
        <v>-1.1104620350799901</v>
      </c>
      <c r="AH5735">
        <v>16.341737463048801</v>
      </c>
      <c r="AI5735">
        <v>93.878033165752399</v>
      </c>
      <c r="AJ5735">
        <v>86.0123099813637</v>
      </c>
      <c r="AK5735">
        <v>16.418991446427899</v>
      </c>
      <c r="AL5735">
        <v>90.083181065188498</v>
      </c>
      <c r="AM5735">
        <v>85.218425849367605</v>
      </c>
      <c r="AN5735">
        <v>1.0000000324598499</v>
      </c>
    </row>
    <row r="5736" spans="1:40" x14ac:dyDescent="0.25">
      <c r="A5736" t="str">
        <f>"20190312154950098"</f>
        <v>20190312154950098</v>
      </c>
      <c r="B5736" t="str">
        <f>"1552376990091721"</f>
        <v>1552376990091721</v>
      </c>
      <c r="C5736" t="s">
        <v>40</v>
      </c>
      <c r="D5736">
        <v>5.0350239999999999</v>
      </c>
      <c r="E5736">
        <v>0.49625190000000002</v>
      </c>
      <c r="F5736" t="s">
        <v>41</v>
      </c>
      <c r="G5736">
        <v>-379.9196</v>
      </c>
      <c r="H5736">
        <v>1.054433</v>
      </c>
      <c r="I5736">
        <v>18.493680000000001</v>
      </c>
      <c r="J5736">
        <v>-380.54419999999999</v>
      </c>
      <c r="K5736">
        <v>1.110363</v>
      </c>
      <c r="L5736">
        <v>18.542269999999998</v>
      </c>
      <c r="M5736">
        <v>0.99978319999999998</v>
      </c>
      <c r="N5736">
        <v>0</v>
      </c>
      <c r="O5736">
        <v>1.6115640000000001E-2</v>
      </c>
      <c r="P5736">
        <v>0.99761149999999998</v>
      </c>
      <c r="Q5736">
        <v>-1.4804339999999999E-2</v>
      </c>
      <c r="R5736">
        <v>-6.7473399999999906E-2</v>
      </c>
      <c r="S5736">
        <v>2.9933779999999999</v>
      </c>
      <c r="T5736">
        <v>-0.20272680000000001</v>
      </c>
      <c r="U5736">
        <v>-0.1602478</v>
      </c>
      <c r="V5736">
        <v>8.3545480000000005E-2</v>
      </c>
      <c r="W5736">
        <v>-1.5330459999999999E-3</v>
      </c>
      <c r="X5736">
        <v>0.99650280000000002</v>
      </c>
      <c r="Y5736">
        <v>6.9349359999999999E-2</v>
      </c>
      <c r="Z5736">
        <v>-3.4335720000000002E-3</v>
      </c>
      <c r="AA5736">
        <v>0.99758650000000004</v>
      </c>
      <c r="AB5736">
        <v>21</v>
      </c>
      <c r="AC5736">
        <v>0.62459999999998606</v>
      </c>
      <c r="AD5736">
        <v>-5.5930000000000001E-2</v>
      </c>
      <c r="AE5736">
        <v>-4.8590000000004303E-2</v>
      </c>
      <c r="AF5736">
        <v>5.8186637562259003E-2</v>
      </c>
      <c r="AG5736">
        <v>-5.5930000000000001E-2</v>
      </c>
      <c r="AH5736">
        <v>0.61880379938826802</v>
      </c>
      <c r="AI5736">
        <v>95.142032062885903</v>
      </c>
      <c r="AJ5736">
        <v>84.628224939567701</v>
      </c>
      <c r="AK5736">
        <v>0.62404486363414402</v>
      </c>
      <c r="AL5736">
        <v>90.087837098781804</v>
      </c>
      <c r="AM5736">
        <v>85.207604931299002</v>
      </c>
      <c r="AN5736">
        <v>1.00000001393315</v>
      </c>
    </row>
    <row r="5737" spans="1:40" x14ac:dyDescent="0.25">
      <c r="A5737" t="str">
        <f>"20190312154950120"</f>
        <v>20190312154950120</v>
      </c>
      <c r="B5737" t="str">
        <f>"1552376990111240"</f>
        <v>1552376990111240</v>
      </c>
      <c r="C5737" t="s">
        <v>40</v>
      </c>
      <c r="D5737">
        <v>5.0256809999999996</v>
      </c>
      <c r="E5737">
        <v>0.49635230000000002</v>
      </c>
      <c r="F5737" t="s">
        <v>41</v>
      </c>
      <c r="G5737">
        <v>-379.72390000000001</v>
      </c>
      <c r="H5737">
        <v>1.054438</v>
      </c>
      <c r="I5737">
        <v>18.497589999999999</v>
      </c>
      <c r="J5737">
        <v>-380.33</v>
      </c>
      <c r="K5737">
        <v>1.110096</v>
      </c>
      <c r="L5737">
        <v>18.546479999999999</v>
      </c>
      <c r="M5737">
        <v>0.99977519999999998</v>
      </c>
      <c r="N5737">
        <v>0</v>
      </c>
      <c r="O5737">
        <v>1.6599969999999999E-2</v>
      </c>
      <c r="P5737">
        <v>0.99764299999999995</v>
      </c>
      <c r="Q5737">
        <v>-1.4572480000000001E-2</v>
      </c>
      <c r="R5737">
        <v>-6.7055790000000004E-2</v>
      </c>
      <c r="S5737">
        <v>2.9931640000000002</v>
      </c>
      <c r="T5737">
        <v>-0.20409540000000001</v>
      </c>
      <c r="U5737">
        <v>-0.1625366</v>
      </c>
      <c r="V5737">
        <v>8.3610210000000004E-2</v>
      </c>
      <c r="W5737">
        <v>-1.3366729999999901E-3</v>
      </c>
      <c r="X5737">
        <v>0.99649759999999998</v>
      </c>
      <c r="Y5737">
        <v>7.0590330000000007E-2</v>
      </c>
      <c r="Z5737">
        <v>-3.5320730000000002E-3</v>
      </c>
      <c r="AA5737">
        <v>0.99749909999999997</v>
      </c>
      <c r="AB5737">
        <v>21</v>
      </c>
      <c r="AC5737">
        <v>0.606099999999969</v>
      </c>
      <c r="AD5737">
        <v>-5.5657999999999902E-2</v>
      </c>
      <c r="AE5737">
        <v>-4.88900000000001E-2</v>
      </c>
      <c r="AF5737">
        <v>5.8455627396735599E-2</v>
      </c>
      <c r="AG5737">
        <v>-5.5657999999999902E-2</v>
      </c>
      <c r="AH5737">
        <v>0.60017643838047097</v>
      </c>
      <c r="AI5737">
        <v>95.273419685850101</v>
      </c>
      <c r="AJ5737">
        <v>84.437085909239102</v>
      </c>
      <c r="AK5737">
        <v>0.60557958232210396</v>
      </c>
      <c r="AL5737">
        <v>90.076585747330896</v>
      </c>
      <c r="AM5737">
        <v>85.203884246579904</v>
      </c>
      <c r="AN5737">
        <v>0.99999996035835503</v>
      </c>
    </row>
    <row r="5738" spans="1:40" x14ac:dyDescent="0.25">
      <c r="A5738" t="str">
        <f>"20190312154950143"</f>
        <v>20190312154950143</v>
      </c>
      <c r="B5738" t="str">
        <f>"1552376990131111"</f>
        <v>1552376990131111</v>
      </c>
      <c r="C5738" t="s">
        <v>40</v>
      </c>
      <c r="D5738">
        <v>5.0665339999999999</v>
      </c>
      <c r="E5738">
        <v>0.49648510000000001</v>
      </c>
      <c r="F5738" t="s">
        <v>68</v>
      </c>
      <c r="G5738">
        <v>-364.03960000000001</v>
      </c>
      <c r="H5738" s="1">
        <v>-3.1641980000000001E-6</v>
      </c>
      <c r="I5738">
        <v>17.664370000000002</v>
      </c>
      <c r="J5738">
        <v>-380.11599999999999</v>
      </c>
      <c r="K5738">
        <v>1.109877</v>
      </c>
      <c r="L5738">
        <v>18.55048</v>
      </c>
      <c r="M5738">
        <v>0.99976050000000005</v>
      </c>
      <c r="N5738">
        <v>0</v>
      </c>
      <c r="O5738">
        <v>1.7425920000000001E-2</v>
      </c>
      <c r="P5738">
        <v>0.9977104</v>
      </c>
      <c r="Q5738">
        <v>-1.4493000000000001E-2</v>
      </c>
      <c r="R5738">
        <v>-6.6062469999999998E-2</v>
      </c>
      <c r="S5738">
        <v>2.9932249999999998</v>
      </c>
      <c r="T5738">
        <v>-0.20397090000000001</v>
      </c>
      <c r="U5738">
        <v>-0.1620789</v>
      </c>
      <c r="V5738">
        <v>8.3440589999999995E-2</v>
      </c>
      <c r="W5738">
        <v>-1.2421229999999999E-3</v>
      </c>
      <c r="X5738">
        <v>0.99651199999999995</v>
      </c>
      <c r="Y5738">
        <v>7.1257989999999993E-2</v>
      </c>
      <c r="Z5738">
        <v>-3.6087609999999998E-3</v>
      </c>
      <c r="AA5738">
        <v>0.99745139999999999</v>
      </c>
      <c r="AB5738">
        <v>21</v>
      </c>
      <c r="AC5738">
        <v>16.0763999999999</v>
      </c>
      <c r="AD5738">
        <v>-1.1098801641980001</v>
      </c>
      <c r="AE5738">
        <v>-0.88610999999999795</v>
      </c>
      <c r="AF5738">
        <v>1.1606309688568801</v>
      </c>
      <c r="AG5738">
        <v>-1.1098801641980001</v>
      </c>
      <c r="AH5738">
        <v>15.9825700478541</v>
      </c>
      <c r="AI5738">
        <v>93.962023006863703</v>
      </c>
      <c r="AJ5738">
        <v>85.846554665809705</v>
      </c>
      <c r="AK5738">
        <v>16.063045899184701</v>
      </c>
      <c r="AL5738">
        <v>90.071168422375194</v>
      </c>
      <c r="AM5738">
        <v>85.213637718436999</v>
      </c>
      <c r="AN5738">
        <v>1.00000002053654</v>
      </c>
    </row>
    <row r="5739" spans="1:40" x14ac:dyDescent="0.25">
      <c r="A5739" t="str">
        <f>"20190312154950159"</f>
        <v>20190312154950159</v>
      </c>
      <c r="B5739" t="str">
        <f>"1552376990151608"</f>
        <v>1552376990151608</v>
      </c>
      <c r="C5739" t="s">
        <v>40</v>
      </c>
      <c r="D5739">
        <v>5.0387589999999998</v>
      </c>
      <c r="E5739">
        <v>0.4966373</v>
      </c>
      <c r="F5739" t="s">
        <v>68</v>
      </c>
      <c r="G5739">
        <v>-363.8383</v>
      </c>
      <c r="H5739" s="1">
        <v>-3.2567140000000001E-6</v>
      </c>
      <c r="I5739">
        <v>17.679200000000002</v>
      </c>
      <c r="J5739">
        <v>-379.96030000000002</v>
      </c>
      <c r="K5739">
        <v>1.109828</v>
      </c>
      <c r="L5739">
        <v>18.55341</v>
      </c>
      <c r="M5739">
        <v>0.99974989999999997</v>
      </c>
      <c r="N5739">
        <v>0</v>
      </c>
      <c r="O5739">
        <v>1.7955970000000002E-2</v>
      </c>
      <c r="P5739">
        <v>0.99773100000000003</v>
      </c>
      <c r="Q5739">
        <v>-1.449922E-2</v>
      </c>
      <c r="R5739">
        <v>-6.5745070000000003E-2</v>
      </c>
      <c r="S5739">
        <v>2.9932859999999999</v>
      </c>
      <c r="T5739">
        <v>-0.2040949</v>
      </c>
      <c r="U5739">
        <v>-0.16021729999999901</v>
      </c>
      <c r="V5739">
        <v>8.3651980000000001E-2</v>
      </c>
      <c r="W5739">
        <v>-1.171846E-3</v>
      </c>
      <c r="X5739">
        <v>0.9964944</v>
      </c>
      <c r="Y5739">
        <v>7.1165930000000002E-2</v>
      </c>
      <c r="Z5739">
        <v>-3.6438849999999999E-3</v>
      </c>
      <c r="AA5739">
        <v>0.99745790000000001</v>
      </c>
      <c r="AB5739">
        <v>21</v>
      </c>
      <c r="AC5739">
        <v>16.122</v>
      </c>
      <c r="AD5739">
        <v>-1.1098312567139901</v>
      </c>
      <c r="AE5739">
        <v>-0.87420999999999704</v>
      </c>
      <c r="AF5739">
        <v>1.15810885528814</v>
      </c>
      <c r="AG5739">
        <v>-1.1098312567139901</v>
      </c>
      <c r="AH5739">
        <v>16.027969630969899</v>
      </c>
      <c r="AI5739">
        <v>93.950765561266806</v>
      </c>
      <c r="AJ5739">
        <v>85.867247359953893</v>
      </c>
      <c r="AK5739">
        <v>16.108033772946001</v>
      </c>
      <c r="AL5739">
        <v>90.067141841504693</v>
      </c>
      <c r="AM5739">
        <v>85.201484050582394</v>
      </c>
      <c r="AN5739">
        <v>1.0000000581061601</v>
      </c>
    </row>
    <row r="5740" spans="1:40" x14ac:dyDescent="0.25">
      <c r="A5740" t="str">
        <f>"20190312154950176"</f>
        <v>20190312154950176</v>
      </c>
      <c r="B5740" t="str">
        <f>"1552376990161369"</f>
        <v>1552376990161369</v>
      </c>
      <c r="C5740" t="s">
        <v>40</v>
      </c>
      <c r="D5740">
        <v>5.0344480000000003</v>
      </c>
      <c r="E5740">
        <v>0.49671579999999899</v>
      </c>
      <c r="F5740" t="s">
        <v>68</v>
      </c>
      <c r="G5740">
        <v>-363.70909999999998</v>
      </c>
      <c r="H5740" s="1">
        <v>-3.3172690000000002E-6</v>
      </c>
      <c r="I5740">
        <v>17.682220000000001</v>
      </c>
      <c r="J5740">
        <v>-379.80939999999998</v>
      </c>
      <c r="K5740">
        <v>1.1098300000000001</v>
      </c>
      <c r="L5740">
        <v>18.556239999999999</v>
      </c>
      <c r="M5740">
        <v>0.99974249999999998</v>
      </c>
      <c r="N5740">
        <v>0</v>
      </c>
      <c r="O5740">
        <v>1.8310380000000001E-2</v>
      </c>
      <c r="P5740">
        <v>0.9977587</v>
      </c>
      <c r="Q5740">
        <v>-1.450121E-2</v>
      </c>
      <c r="R5740">
        <v>-6.5324820000000006E-2</v>
      </c>
      <c r="S5740">
        <v>2.9932859999999999</v>
      </c>
      <c r="T5740">
        <v>-0.20441790000000001</v>
      </c>
      <c r="U5740">
        <v>-0.1604614</v>
      </c>
      <c r="V5740">
        <v>8.358546E-2</v>
      </c>
      <c r="W5740">
        <v>-1.1010320000000001E-3</v>
      </c>
      <c r="X5740">
        <v>0.99650000000000005</v>
      </c>
      <c r="Y5740">
        <v>7.1598190000000006E-2</v>
      </c>
      <c r="Z5740">
        <v>-3.6885279999999999E-3</v>
      </c>
      <c r="AA5740">
        <v>0.9974267</v>
      </c>
      <c r="AB5740">
        <v>21</v>
      </c>
      <c r="AC5740">
        <v>16.100300000000001</v>
      </c>
      <c r="AD5740">
        <v>-1.10983331726899</v>
      </c>
      <c r="AE5740">
        <v>-0.87401999999999702</v>
      </c>
      <c r="AF5740">
        <v>1.1631916631630099</v>
      </c>
      <c r="AG5740">
        <v>-1.10983331726899</v>
      </c>
      <c r="AH5740">
        <v>16.0057643699637</v>
      </c>
      <c r="AI5740">
        <v>93.956117729259205</v>
      </c>
      <c r="AJ5740">
        <v>85.843434044680606</v>
      </c>
      <c r="AK5740">
        <v>16.086305912302301</v>
      </c>
      <c r="AL5740">
        <v>90.063084499726202</v>
      </c>
      <c r="AM5740">
        <v>85.205308849900703</v>
      </c>
      <c r="AN5740">
        <v>0.99999999569743803</v>
      </c>
    </row>
    <row r="5741" spans="1:40" x14ac:dyDescent="0.25">
      <c r="A5741" t="str">
        <f>"20190312154950190"</f>
        <v>20190312154950190</v>
      </c>
      <c r="B5741" t="str">
        <f>"1552376990181863"</f>
        <v>1552376990181863</v>
      </c>
      <c r="C5741" t="s">
        <v>40</v>
      </c>
      <c r="D5741">
        <v>5.0495049999999999</v>
      </c>
      <c r="E5741">
        <v>0.49688100000000002</v>
      </c>
      <c r="F5741" t="s">
        <v>41</v>
      </c>
      <c r="G5741">
        <v>-378.97829999999999</v>
      </c>
      <c r="H5741">
        <v>1.053067</v>
      </c>
      <c r="I5741">
        <v>18.511869999999998</v>
      </c>
      <c r="J5741">
        <v>-379.66649999999998</v>
      </c>
      <c r="K5741">
        <v>1.109856</v>
      </c>
      <c r="L5741">
        <v>18.55902</v>
      </c>
      <c r="M5741">
        <v>0.99973820000000002</v>
      </c>
      <c r="N5741">
        <v>0</v>
      </c>
      <c r="O5741">
        <v>1.8514699999999999E-2</v>
      </c>
      <c r="P5741">
        <v>0.99777110000000002</v>
      </c>
      <c r="Q5741">
        <v>-1.4683969999999999E-2</v>
      </c>
      <c r="R5741">
        <v>-6.5094659999999999E-2</v>
      </c>
      <c r="S5741">
        <v>2.9932859999999999</v>
      </c>
      <c r="T5741">
        <v>-0.20434550000000001</v>
      </c>
      <c r="U5741">
        <v>-0.15982060000000001</v>
      </c>
      <c r="V5741">
        <v>8.3559309999999998E-2</v>
      </c>
      <c r="W5741">
        <v>-1.2331389999999901E-3</v>
      </c>
      <c r="X5741">
        <v>0.996502</v>
      </c>
      <c r="Y5741">
        <v>7.1588780000000005E-2</v>
      </c>
      <c r="Z5741">
        <v>-3.700849E-3</v>
      </c>
      <c r="AA5741">
        <v>0.99742730000000002</v>
      </c>
      <c r="AB5741">
        <v>21</v>
      </c>
      <c r="AC5741">
        <v>0.68819999999999404</v>
      </c>
      <c r="AD5741">
        <v>-5.6788999999999902E-2</v>
      </c>
      <c r="AE5741">
        <v>-4.7149999999998402E-2</v>
      </c>
      <c r="AF5741">
        <v>5.9481750951439601E-2</v>
      </c>
      <c r="AG5741">
        <v>-5.6788999999999902E-2</v>
      </c>
      <c r="AH5741">
        <v>0.68258280573626096</v>
      </c>
      <c r="AI5741">
        <v>94.7380238736867</v>
      </c>
      <c r="AJ5741">
        <v>85.019702067885206</v>
      </c>
      <c r="AK5741">
        <v>0.68751898584987103</v>
      </c>
      <c r="AL5741">
        <v>90.070653681164799</v>
      </c>
      <c r="AM5741">
        <v>85.206811470850695</v>
      </c>
      <c r="AN5741">
        <v>0.99999995746173298</v>
      </c>
    </row>
    <row r="5742" spans="1:40" x14ac:dyDescent="0.25">
      <c r="A5742" t="str">
        <f>"20190312154950209"</f>
        <v>20190312154950209</v>
      </c>
      <c r="B5742" t="str">
        <f>"1552376990201384"</f>
        <v>1552376990201384</v>
      </c>
      <c r="C5742" t="s">
        <v>40</v>
      </c>
      <c r="D5742">
        <v>5.0365339999999996</v>
      </c>
      <c r="E5742">
        <v>0.49703180000000002</v>
      </c>
      <c r="F5742" t="s">
        <v>41</v>
      </c>
      <c r="G5742">
        <v>-378.79289999999997</v>
      </c>
      <c r="H5742">
        <v>1.050068</v>
      </c>
      <c r="I5742">
        <v>18.51182</v>
      </c>
      <c r="J5742">
        <v>-379.49239999999998</v>
      </c>
      <c r="K5742">
        <v>1.109891</v>
      </c>
      <c r="L5742">
        <v>18.562529999999999</v>
      </c>
      <c r="M5742">
        <v>0.9997357</v>
      </c>
      <c r="N5742">
        <v>0</v>
      </c>
      <c r="O5742">
        <v>1.8633690000000001E-2</v>
      </c>
      <c r="P5742">
        <v>0.99777170000000004</v>
      </c>
      <c r="Q5742">
        <v>-1.5195729999999999E-2</v>
      </c>
      <c r="R5742">
        <v>-6.4969810000000003E-2</v>
      </c>
      <c r="S5742">
        <v>2.9932249999999998</v>
      </c>
      <c r="T5742">
        <v>-0.20488300000000001</v>
      </c>
      <c r="U5742">
        <v>-0.16043089999999999</v>
      </c>
      <c r="V5742">
        <v>8.3553310000000006E-2</v>
      </c>
      <c r="W5742">
        <v>-1.7178880000000001E-3</v>
      </c>
      <c r="X5742">
        <v>0.99650179999999999</v>
      </c>
      <c r="Y5742">
        <v>7.1909269999999997E-2</v>
      </c>
      <c r="Z5742">
        <v>-3.7296970000000001E-3</v>
      </c>
      <c r="AA5742">
        <v>0.99740419999999996</v>
      </c>
      <c r="AB5742">
        <v>21</v>
      </c>
      <c r="AC5742">
        <v>0.69950000000000001</v>
      </c>
      <c r="AD5742">
        <v>-5.9822999999999897E-2</v>
      </c>
      <c r="AE5742">
        <v>-5.0709999999998701E-2</v>
      </c>
      <c r="AF5742">
        <v>6.3276252668194796E-2</v>
      </c>
      <c r="AG5742">
        <v>-5.9822999999999897E-2</v>
      </c>
      <c r="AH5742">
        <v>0.693388529387863</v>
      </c>
      <c r="AI5742">
        <v>94.910752394654097</v>
      </c>
      <c r="AJ5742">
        <v>84.7858263236878</v>
      </c>
      <c r="AK5742">
        <v>0.69883497920996496</v>
      </c>
      <c r="AL5742">
        <v>90.0984277832369</v>
      </c>
      <c r="AM5742">
        <v>85.207153086272697</v>
      </c>
      <c r="AN5742">
        <v>0.99999997207718705</v>
      </c>
    </row>
    <row r="5743" spans="1:40" x14ac:dyDescent="0.25">
      <c r="A5743" t="str">
        <f>"20190312154950222"</f>
        <v>20190312154950222</v>
      </c>
      <c r="B5743" t="str">
        <f>"1552376990211144"</f>
        <v>1552376990211144</v>
      </c>
      <c r="C5743" t="s">
        <v>40</v>
      </c>
      <c r="D5743">
        <v>5.0046920000000004</v>
      </c>
      <c r="E5743">
        <v>0.49710559999999998</v>
      </c>
      <c r="F5743" t="s">
        <v>41</v>
      </c>
      <c r="G5743">
        <v>-378.60610000000003</v>
      </c>
      <c r="H5743">
        <v>1.0487850000000001</v>
      </c>
      <c r="I5743">
        <v>18.514500000000002</v>
      </c>
      <c r="J5743">
        <v>-379.36130000000003</v>
      </c>
      <c r="K5743">
        <v>1.1099000000000001</v>
      </c>
      <c r="L5743">
        <v>18.56522</v>
      </c>
      <c r="M5743">
        <v>0.99973460000000003</v>
      </c>
      <c r="N5743">
        <v>0</v>
      </c>
      <c r="O5743">
        <v>1.8695429999999999E-2</v>
      </c>
      <c r="P5743">
        <v>0.99777090000000002</v>
      </c>
      <c r="Q5743">
        <v>-1.544334E-2</v>
      </c>
      <c r="R5743">
        <v>-6.4925979999999994E-2</v>
      </c>
      <c r="S5743">
        <v>2.9930729999999999</v>
      </c>
      <c r="T5743">
        <v>-0.20638970000000001</v>
      </c>
      <c r="U5743">
        <v>-0.16131589999999901</v>
      </c>
      <c r="V5743">
        <v>8.3571240000000005E-2</v>
      </c>
      <c r="W5743">
        <v>-1.9602209999999998E-3</v>
      </c>
      <c r="X5743">
        <v>0.99649989999999999</v>
      </c>
      <c r="Y5743">
        <v>7.2263519999999998E-2</v>
      </c>
      <c r="Z5743">
        <v>-3.773663E-3</v>
      </c>
      <c r="AA5743">
        <v>0.9973784</v>
      </c>
      <c r="AB5743">
        <v>21</v>
      </c>
      <c r="AC5743">
        <v>0.75520000000000198</v>
      </c>
      <c r="AD5743">
        <v>-6.1115000000000003E-2</v>
      </c>
      <c r="AE5743">
        <v>-5.0719999999998301E-2</v>
      </c>
      <c r="AF5743">
        <v>6.4411269925203199E-2</v>
      </c>
      <c r="AG5743">
        <v>-6.1115000000000003E-2</v>
      </c>
      <c r="AH5743">
        <v>0.74923499830895102</v>
      </c>
      <c r="AI5743">
        <v>94.646222408855394</v>
      </c>
      <c r="AJ5743">
        <v>85.086398508934906</v>
      </c>
      <c r="AK5743">
        <v>0.75447792387146195</v>
      </c>
      <c r="AL5743">
        <v>90.112312459593994</v>
      </c>
      <c r="AM5743">
        <v>85.206120267400806</v>
      </c>
      <c r="AN5743">
        <v>1.0000000226607499</v>
      </c>
    </row>
    <row r="5744" spans="1:40" x14ac:dyDescent="0.25">
      <c r="A5744" t="str">
        <f>"20190312154950242"</f>
        <v>20190312154950242</v>
      </c>
      <c r="B5744" t="str">
        <f>"1552376990231639"</f>
        <v>1552376990231639</v>
      </c>
      <c r="C5744" t="s">
        <v>40</v>
      </c>
      <c r="D5744">
        <v>5.0153429999999997</v>
      </c>
      <c r="E5744">
        <v>0.49727300000000002</v>
      </c>
      <c r="F5744" t="s">
        <v>68</v>
      </c>
      <c r="G5744">
        <v>-363.31849999999997</v>
      </c>
      <c r="H5744" s="1">
        <v>-3.4990700000000001E-6</v>
      </c>
      <c r="I5744">
        <v>17.698090000000001</v>
      </c>
      <c r="J5744">
        <v>-379.18060000000003</v>
      </c>
      <c r="K5744">
        <v>1.1098840000000001</v>
      </c>
      <c r="L5744">
        <v>18.568940000000001</v>
      </c>
      <c r="M5744">
        <v>0.99973190000000001</v>
      </c>
      <c r="N5744">
        <v>0</v>
      </c>
      <c r="O5744">
        <v>1.882232E-2</v>
      </c>
      <c r="P5744">
        <v>0.99776589999999998</v>
      </c>
      <c r="Q5744">
        <v>-1.6625270000000001E-2</v>
      </c>
      <c r="R5744">
        <v>-6.4707529999999999E-2</v>
      </c>
      <c r="S5744">
        <v>2.9929809999999999</v>
      </c>
      <c r="T5744">
        <v>-0.2070668</v>
      </c>
      <c r="U5744">
        <v>-0.16177369999999999</v>
      </c>
      <c r="V5744">
        <v>8.3479869999999998E-2</v>
      </c>
      <c r="W5744">
        <v>-3.1373849999999999E-3</v>
      </c>
      <c r="X5744">
        <v>0.99650450000000002</v>
      </c>
      <c r="Y5744">
        <v>7.2541480000000005E-2</v>
      </c>
      <c r="Z5744">
        <v>-3.8044749999999999E-3</v>
      </c>
      <c r="AA5744">
        <v>0.99735810000000003</v>
      </c>
      <c r="AB5744">
        <v>21</v>
      </c>
      <c r="AC5744">
        <v>15.8621</v>
      </c>
      <c r="AD5744">
        <v>-1.1098874990700001</v>
      </c>
      <c r="AE5744">
        <v>-0.87084999999999702</v>
      </c>
      <c r="AF5744">
        <v>1.16360454398119</v>
      </c>
      <c r="AG5744">
        <v>-1.1098874990700001</v>
      </c>
      <c r="AH5744">
        <v>15.765939306898099</v>
      </c>
      <c r="AI5744">
        <v>94.015966549816198</v>
      </c>
      <c r="AJ5744">
        <v>85.778940375814202</v>
      </c>
      <c r="AK5744">
        <v>15.847733845069399</v>
      </c>
      <c r="AL5744">
        <v>90.179759218567</v>
      </c>
      <c r="AM5744">
        <v>85.211359121299694</v>
      </c>
      <c r="AN5744">
        <v>0.99999997520005202</v>
      </c>
    </row>
    <row r="5745" spans="1:40" x14ac:dyDescent="0.25">
      <c r="A5745" t="str">
        <f>"20190312154950257"</f>
        <v>20190312154950257</v>
      </c>
      <c r="B5745" t="str">
        <f>"1552376990241400"</f>
        <v>1552376990241400</v>
      </c>
      <c r="C5745" t="s">
        <v>40</v>
      </c>
      <c r="D5745">
        <v>5.0039040000000004</v>
      </c>
      <c r="E5745">
        <v>0.49735990000000002</v>
      </c>
      <c r="F5745" t="s">
        <v>68</v>
      </c>
      <c r="G5745">
        <v>-363.41629999999998</v>
      </c>
      <c r="H5745" s="1">
        <v>-3.450246E-6</v>
      </c>
      <c r="I5745">
        <v>17.71292</v>
      </c>
      <c r="J5745">
        <v>-379.04790000000003</v>
      </c>
      <c r="K5745">
        <v>1.109858</v>
      </c>
      <c r="L5745">
        <v>18.57169</v>
      </c>
      <c r="M5745">
        <v>0.99972930000000004</v>
      </c>
      <c r="N5745">
        <v>0</v>
      </c>
      <c r="O5745">
        <v>1.8952380000000001E-2</v>
      </c>
      <c r="P5745">
        <v>0.99777020000000005</v>
      </c>
      <c r="Q5745">
        <v>-1.6904220000000001E-2</v>
      </c>
      <c r="R5745">
        <v>-6.4568940000000005E-2</v>
      </c>
      <c r="S5745">
        <v>2.9926759999999999</v>
      </c>
      <c r="T5745">
        <v>-0.21069969999999999</v>
      </c>
      <c r="U5745">
        <v>-0.16250609999999999</v>
      </c>
      <c r="V5745">
        <v>8.3470810000000006E-2</v>
      </c>
      <c r="W5745">
        <v>-3.412614E-3</v>
      </c>
      <c r="X5745">
        <v>0.99650439999999996</v>
      </c>
      <c r="Y5745">
        <v>7.2911089999999998E-2</v>
      </c>
      <c r="Z5745">
        <v>-3.893554E-3</v>
      </c>
      <c r="AA5745">
        <v>0.99733079999999996</v>
      </c>
      <c r="AB5745">
        <v>21</v>
      </c>
      <c r="AC5745">
        <v>15.631600000000001</v>
      </c>
      <c r="AD5745">
        <v>-1.109861450246</v>
      </c>
      <c r="AE5745">
        <v>-0.85876999999999903</v>
      </c>
      <c r="AF5745">
        <v>1.1491232470267401</v>
      </c>
      <c r="AG5745">
        <v>-1.109861450246</v>
      </c>
      <c r="AH5745">
        <v>15.534438664210301</v>
      </c>
      <c r="AI5745">
        <v>94.075468565292297</v>
      </c>
      <c r="AJ5745">
        <v>85.769385977489307</v>
      </c>
      <c r="AK5745">
        <v>15.6163715788178</v>
      </c>
      <c r="AL5745">
        <v>90.195528754792306</v>
      </c>
      <c r="AM5745">
        <v>85.211875933799504</v>
      </c>
      <c r="AN5745">
        <v>1.0000000206378601</v>
      </c>
    </row>
    <row r="5746" spans="1:40" x14ac:dyDescent="0.25">
      <c r="A5746" t="str">
        <f>"20190312154950275"</f>
        <v>20190312154950275</v>
      </c>
      <c r="B5746" t="str">
        <f>"1552376990261895"</f>
        <v>1552376990261895</v>
      </c>
      <c r="C5746" t="s">
        <v>40</v>
      </c>
      <c r="D5746">
        <v>5.004899</v>
      </c>
      <c r="E5746">
        <v>0.49754530000000002</v>
      </c>
      <c r="F5746" t="s">
        <v>41</v>
      </c>
      <c r="G5746">
        <v>-378.22789999999998</v>
      </c>
      <c r="H5746">
        <v>1.0518890000000001</v>
      </c>
      <c r="I5746">
        <v>18.527049999999999</v>
      </c>
      <c r="J5746">
        <v>-378.87270000000001</v>
      </c>
      <c r="K5746">
        <v>1.1098220000000001</v>
      </c>
      <c r="L5746">
        <v>18.57526</v>
      </c>
      <c r="M5746">
        <v>0.99972589999999995</v>
      </c>
      <c r="N5746">
        <v>0</v>
      </c>
      <c r="O5746">
        <v>1.9137629999999999E-2</v>
      </c>
      <c r="P5746">
        <v>0.99776779999999998</v>
      </c>
      <c r="Q5746">
        <v>-1.7742480000000001E-2</v>
      </c>
      <c r="R5746">
        <v>-6.4381140000000003E-2</v>
      </c>
      <c r="S5746">
        <v>2.9926149999999998</v>
      </c>
      <c r="T5746">
        <v>-0.21156539999999999</v>
      </c>
      <c r="U5746">
        <v>-0.1627808</v>
      </c>
      <c r="V5746">
        <v>8.3467459999999993E-2</v>
      </c>
      <c r="W5746">
        <v>-4.2675899999999999E-3</v>
      </c>
      <c r="X5746">
        <v>0.99650139999999998</v>
      </c>
      <c r="Y5746">
        <v>7.3185239999999999E-2</v>
      </c>
      <c r="Z5746">
        <v>-3.9323259999999999E-3</v>
      </c>
      <c r="AA5746">
        <v>0.99731060000000005</v>
      </c>
      <c r="AB5746">
        <v>21</v>
      </c>
      <c r="AC5746">
        <v>0.64480000000003201</v>
      </c>
      <c r="AD5746">
        <v>-5.7932999999999998E-2</v>
      </c>
      <c r="AE5746">
        <v>-4.8210000000000898E-2</v>
      </c>
      <c r="AF5746">
        <v>6.0060102110925898E-2</v>
      </c>
      <c r="AG5746">
        <v>-5.7932999999999998E-2</v>
      </c>
      <c r="AH5746">
        <v>0.63863254953789395</v>
      </c>
      <c r="AI5746">
        <v>95.160702446923295</v>
      </c>
      <c r="AJ5746">
        <v>84.627428960871995</v>
      </c>
      <c r="AK5746">
        <v>0.64406131826391</v>
      </c>
      <c r="AL5746">
        <v>90.244515629410301</v>
      </c>
      <c r="AM5746">
        <v>85.212052858768601</v>
      </c>
      <c r="AN5746">
        <v>1.0000000347025999</v>
      </c>
    </row>
    <row r="5747" spans="1:40" x14ac:dyDescent="0.25">
      <c r="A5747" t="str">
        <f>"20190312154950298"</f>
        <v>20190312154950298</v>
      </c>
      <c r="B5747" t="str">
        <f>"1552376990291176"</f>
        <v>1552376990291176</v>
      </c>
      <c r="C5747" t="s">
        <v>40</v>
      </c>
      <c r="D5747">
        <v>4.9663909999999998</v>
      </c>
      <c r="E5747">
        <v>0.49786059999999999</v>
      </c>
      <c r="F5747" t="s">
        <v>41</v>
      </c>
      <c r="G5747">
        <v>-378.04180000000002</v>
      </c>
      <c r="H5747">
        <v>1.0504279999999999</v>
      </c>
      <c r="I5747">
        <v>18.529720000000001</v>
      </c>
      <c r="J5747">
        <v>-378.65629999999999</v>
      </c>
      <c r="K5747">
        <v>1.1097760000000001</v>
      </c>
      <c r="L5747">
        <v>18.57968</v>
      </c>
      <c r="M5747">
        <v>0.99972329999999998</v>
      </c>
      <c r="N5747">
        <v>0</v>
      </c>
      <c r="O5747">
        <v>1.934195E-2</v>
      </c>
      <c r="P5747">
        <v>0.99780060000000004</v>
      </c>
      <c r="Q5747">
        <v>-1.7162509999999999E-2</v>
      </c>
      <c r="R5747">
        <v>-6.4026849999999996E-2</v>
      </c>
      <c r="S5747">
        <v>2.9923099999999998</v>
      </c>
      <c r="T5747">
        <v>-0.21388969999999999</v>
      </c>
      <c r="U5747">
        <v>-0.16372679999999901</v>
      </c>
      <c r="V5747">
        <v>8.3316810000000005E-2</v>
      </c>
      <c r="W5747">
        <v>-3.7987059999999998E-3</v>
      </c>
      <c r="X5747">
        <v>0.99651590000000001</v>
      </c>
      <c r="Y5747">
        <v>7.370198E-2</v>
      </c>
      <c r="Z5747">
        <v>-4.008798E-3</v>
      </c>
      <c r="AA5747">
        <v>0.9972723</v>
      </c>
      <c r="AB5747">
        <v>21</v>
      </c>
      <c r="AC5747">
        <v>0.61449999999996396</v>
      </c>
      <c r="AD5747">
        <v>-5.9347999999999901E-2</v>
      </c>
      <c r="AE5747">
        <v>-4.9959999999998603E-2</v>
      </c>
      <c r="AF5747">
        <v>6.1269602032780597E-2</v>
      </c>
      <c r="AG5747">
        <v>-5.9347999999999901E-2</v>
      </c>
      <c r="AH5747">
        <v>0.60778666853226404</v>
      </c>
      <c r="AI5747">
        <v>95.549081943592896</v>
      </c>
      <c r="AJ5747">
        <v>84.243588515276301</v>
      </c>
      <c r="AK5747">
        <v>0.61374325550901399</v>
      </c>
      <c r="AL5747">
        <v>90.217650338344299</v>
      </c>
      <c r="AM5747">
        <v>85.220723754227606</v>
      </c>
      <c r="AN5747">
        <v>1.0000000299743299</v>
      </c>
    </row>
    <row r="5748" spans="1:40" x14ac:dyDescent="0.25">
      <c r="A5748" t="str">
        <f>"20190312154950313"</f>
        <v>20190312154950313</v>
      </c>
      <c r="B5748" t="str">
        <f>"1552376990301911"</f>
        <v>1552376990301911</v>
      </c>
      <c r="C5748" t="s">
        <v>40</v>
      </c>
      <c r="D5748">
        <v>4.9658290000000003</v>
      </c>
      <c r="E5748">
        <v>0.49798379999999998</v>
      </c>
      <c r="F5748" t="s">
        <v>41</v>
      </c>
      <c r="G5748">
        <v>-377.8519</v>
      </c>
      <c r="H5748">
        <v>1.0529999999999999</v>
      </c>
      <c r="I5748">
        <v>18.535229999999999</v>
      </c>
      <c r="J5748">
        <v>-378.51990000000001</v>
      </c>
      <c r="K5748">
        <v>1.1097399999999999</v>
      </c>
      <c r="L5748">
        <v>18.582460000000001</v>
      </c>
      <c r="M5748">
        <v>0.99972329999999998</v>
      </c>
      <c r="N5748">
        <v>0</v>
      </c>
      <c r="O5748">
        <v>1.944123E-2</v>
      </c>
      <c r="P5748">
        <v>0.99782649999999995</v>
      </c>
      <c r="Q5748">
        <v>-1.643679E-2</v>
      </c>
      <c r="R5748">
        <v>-6.3814800000000005E-2</v>
      </c>
      <c r="S5748">
        <v>2.9923709999999999</v>
      </c>
      <c r="T5748">
        <v>-0.21126200000000001</v>
      </c>
      <c r="U5748">
        <v>-0.16516110000000001</v>
      </c>
      <c r="V5748">
        <v>8.3203920000000001E-2</v>
      </c>
      <c r="W5748">
        <v>-3.220522E-3</v>
      </c>
      <c r="X5748">
        <v>0.9965273</v>
      </c>
      <c r="Y5748">
        <v>7.4280520000000003E-2</v>
      </c>
      <c r="Z5748">
        <v>-3.9869160000000001E-3</v>
      </c>
      <c r="AA5748">
        <v>0.99722940000000004</v>
      </c>
      <c r="AB5748">
        <v>21</v>
      </c>
      <c r="AC5748">
        <v>0.66800000000000603</v>
      </c>
      <c r="AD5748">
        <v>-5.6739999999999999E-2</v>
      </c>
      <c r="AE5748">
        <v>-4.7230000000002499E-2</v>
      </c>
      <c r="AF5748">
        <v>5.9779797146976101E-2</v>
      </c>
      <c r="AG5748">
        <v>-5.6739999999999999E-2</v>
      </c>
      <c r="AH5748">
        <v>0.66220153425986295</v>
      </c>
      <c r="AI5748">
        <v>94.877624922883001</v>
      </c>
      <c r="AJ5748">
        <v>84.841644395884998</v>
      </c>
      <c r="AK5748">
        <v>0.66731096478557195</v>
      </c>
      <c r="AL5748">
        <v>90.184522644439298</v>
      </c>
      <c r="AM5748">
        <v>85.227223840070394</v>
      </c>
      <c r="AN5748">
        <v>0.99999996185530304</v>
      </c>
    </row>
    <row r="5749" spans="1:40" x14ac:dyDescent="0.25">
      <c r="A5749" t="str">
        <f>"20190312154950332"</f>
        <v>20190312154950332</v>
      </c>
      <c r="B5749" t="str">
        <f>"1552376990322031"</f>
        <v>1552376990322031</v>
      </c>
      <c r="C5749" t="s">
        <v>40</v>
      </c>
      <c r="D5749">
        <v>4.9795230000000004</v>
      </c>
      <c r="E5749">
        <v>0.49814839999999999</v>
      </c>
      <c r="F5749" t="s">
        <v>41</v>
      </c>
      <c r="G5749">
        <v>-377.66660000000002</v>
      </c>
      <c r="H5749">
        <v>1.0502549999999999</v>
      </c>
      <c r="I5749">
        <v>18.535250000000001</v>
      </c>
      <c r="J5749">
        <v>-378.33420000000001</v>
      </c>
      <c r="K5749">
        <v>1.109675</v>
      </c>
      <c r="L5749">
        <v>18.586210000000001</v>
      </c>
      <c r="M5749">
        <v>0.99972499999999997</v>
      </c>
      <c r="N5749">
        <v>0</v>
      </c>
      <c r="O5749">
        <v>1.9548840000000001E-2</v>
      </c>
      <c r="P5749">
        <v>0.99784430000000002</v>
      </c>
      <c r="Q5749">
        <v>-1.5734379999999999E-2</v>
      </c>
      <c r="R5749">
        <v>-6.3713270000000002E-2</v>
      </c>
      <c r="S5749">
        <v>2.9925229999999998</v>
      </c>
      <c r="T5749">
        <v>-0.20858299999999999</v>
      </c>
      <c r="U5749">
        <v>-0.1655884</v>
      </c>
      <c r="V5749">
        <v>8.3209710000000006E-2</v>
      </c>
      <c r="W5749">
        <v>-2.8172230000000002E-3</v>
      </c>
      <c r="X5749">
        <v>0.99652810000000003</v>
      </c>
      <c r="Y5749">
        <v>7.4531959999999994E-2</v>
      </c>
      <c r="Z5749">
        <v>-3.952494E-3</v>
      </c>
      <c r="AA5749">
        <v>0.99721079999999995</v>
      </c>
      <c r="AB5749">
        <v>21</v>
      </c>
      <c r="AC5749">
        <v>0.66759999999999298</v>
      </c>
      <c r="AD5749">
        <v>-5.9420000000000001E-2</v>
      </c>
      <c r="AE5749">
        <v>-5.0959999999999797E-2</v>
      </c>
      <c r="AF5749">
        <v>6.3502014356832906E-2</v>
      </c>
      <c r="AG5749">
        <v>-5.9420000000000001E-2</v>
      </c>
      <c r="AH5749">
        <v>0.66126791877140501</v>
      </c>
      <c r="AI5749">
        <v>95.111287171875802</v>
      </c>
      <c r="AJ5749">
        <v>84.514667224181395</v>
      </c>
      <c r="AK5749">
        <v>0.66696214482055904</v>
      </c>
      <c r="AL5749">
        <v>90.161415197599297</v>
      </c>
      <c r="AM5749">
        <v>85.226897060339994</v>
      </c>
      <c r="AN5749">
        <v>1.0000000233366599</v>
      </c>
    </row>
    <row r="5750" spans="1:40" x14ac:dyDescent="0.25">
      <c r="A5750" t="str">
        <f>"20190312154950348"</f>
        <v>20190312154950348</v>
      </c>
      <c r="B5750" t="str">
        <f>"1552376990341457"</f>
        <v>1552376990341457</v>
      </c>
      <c r="C5750" t="s">
        <v>40</v>
      </c>
      <c r="D5750">
        <v>4.8718240000000002</v>
      </c>
      <c r="E5750">
        <v>0.498249</v>
      </c>
      <c r="F5750" t="s">
        <v>41</v>
      </c>
      <c r="G5750">
        <v>-377.4778</v>
      </c>
      <c r="H5750">
        <v>1.050699</v>
      </c>
      <c r="I5750">
        <v>18.538509999999999</v>
      </c>
      <c r="J5750">
        <v>-378.18700000000001</v>
      </c>
      <c r="K5750">
        <v>1.1096200000000001</v>
      </c>
      <c r="L5750">
        <v>18.589200000000002</v>
      </c>
      <c r="M5750">
        <v>0.99972740000000004</v>
      </c>
      <c r="N5750">
        <v>0</v>
      </c>
      <c r="O5750">
        <v>1.962467E-2</v>
      </c>
      <c r="P5750">
        <v>0.9978591</v>
      </c>
      <c r="Q5750">
        <v>-1.5540989999999999E-2</v>
      </c>
      <c r="R5750">
        <v>-6.3528539999999994E-2</v>
      </c>
      <c r="S5750">
        <v>2.9925540000000002</v>
      </c>
      <c r="T5750">
        <v>-0.2060391</v>
      </c>
      <c r="U5750">
        <v>-0.16659549999999901</v>
      </c>
      <c r="V5750">
        <v>8.3100859999999999E-2</v>
      </c>
      <c r="W5750">
        <v>-2.928033E-3</v>
      </c>
      <c r="X5750">
        <v>0.99653689999999995</v>
      </c>
      <c r="Y5750">
        <v>7.4945880000000006E-2</v>
      </c>
      <c r="Z5750">
        <v>-3.9237569999999999E-3</v>
      </c>
      <c r="AA5750">
        <v>0.99717990000000001</v>
      </c>
      <c r="AB5750">
        <v>21</v>
      </c>
      <c r="AC5750">
        <v>0.70919999999995298</v>
      </c>
      <c r="AD5750">
        <v>-5.8921000000000001E-2</v>
      </c>
      <c r="AE5750">
        <v>-5.0689999999999402E-2</v>
      </c>
      <c r="AF5750">
        <v>6.4158566042666704E-2</v>
      </c>
      <c r="AG5750">
        <v>-5.8921000000000001E-2</v>
      </c>
      <c r="AH5750">
        <v>0.70323914893561101</v>
      </c>
      <c r="AI5750">
        <v>94.769632775264796</v>
      </c>
      <c r="AJ5750">
        <v>84.787169266095205</v>
      </c>
      <c r="AK5750">
        <v>0.70861365103512797</v>
      </c>
      <c r="AL5750">
        <v>90.167764162880005</v>
      </c>
      <c r="AM5750">
        <v>85.233154058648694</v>
      </c>
      <c r="AN5750">
        <v>1.0000000596857901</v>
      </c>
    </row>
    <row r="5751" spans="1:40" x14ac:dyDescent="0.25">
      <c r="A5751" t="str">
        <f>"20190312154950369"</f>
        <v>20190312154950369</v>
      </c>
      <c r="B5751" t="str">
        <f>"1552376990361953"</f>
        <v>1552376990361953</v>
      </c>
      <c r="C5751" t="s">
        <v>40</v>
      </c>
      <c r="D5751">
        <v>4.8319080000000003</v>
      </c>
      <c r="E5751">
        <v>0.51236709999999996</v>
      </c>
      <c r="F5751" t="s">
        <v>41</v>
      </c>
      <c r="G5751">
        <v>-377.29090000000002</v>
      </c>
      <c r="H5751">
        <v>1.048087</v>
      </c>
      <c r="I5751">
        <v>18.538969999999999</v>
      </c>
      <c r="J5751">
        <v>-377.99009999999998</v>
      </c>
      <c r="K5751">
        <v>1.1095410000000001</v>
      </c>
      <c r="L5751">
        <v>18.593229999999998</v>
      </c>
      <c r="M5751">
        <v>0.9997315</v>
      </c>
      <c r="N5751">
        <v>0</v>
      </c>
      <c r="O5751">
        <v>1.9731930000000002E-2</v>
      </c>
      <c r="P5751">
        <v>0.99786339999999996</v>
      </c>
      <c r="Q5751">
        <v>-1.5893440000000002E-2</v>
      </c>
      <c r="R5751">
        <v>-6.3370449999999995E-2</v>
      </c>
      <c r="S5751">
        <v>2.9926149999999998</v>
      </c>
      <c r="T5751">
        <v>-0.2054347</v>
      </c>
      <c r="U5751">
        <v>-0.1668396</v>
      </c>
      <c r="V5751">
        <v>8.305005E-2</v>
      </c>
      <c r="W5751">
        <v>-3.7644699999999998E-3</v>
      </c>
      <c r="X5751">
        <v>0.99653829999999999</v>
      </c>
      <c r="Y5751">
        <v>7.5133329999999998E-2</v>
      </c>
      <c r="Z5751">
        <v>-3.9259480000000003E-3</v>
      </c>
      <c r="AA5751">
        <v>0.99716570000000004</v>
      </c>
      <c r="AB5751">
        <v>21</v>
      </c>
      <c r="AC5751">
        <v>0.69919999999996196</v>
      </c>
      <c r="AD5751">
        <v>-6.1453999999999898E-2</v>
      </c>
      <c r="AE5751">
        <v>-5.4259999999995701E-2</v>
      </c>
      <c r="AF5751">
        <v>6.7528484383291995E-2</v>
      </c>
      <c r="AG5751">
        <v>-6.1453999999999898E-2</v>
      </c>
      <c r="AH5751">
        <v>0.69267425198188504</v>
      </c>
      <c r="AI5751">
        <v>95.046203083370202</v>
      </c>
      <c r="AJ5751">
        <v>84.431857396896305</v>
      </c>
      <c r="AK5751">
        <v>0.69866609312157701</v>
      </c>
      <c r="AL5751">
        <v>90.215688745481202</v>
      </c>
      <c r="AM5751">
        <v>85.236061874095199</v>
      </c>
      <c r="AN5751">
        <v>1.00000003270313</v>
      </c>
    </row>
    <row r="5752" spans="1:40" x14ac:dyDescent="0.25">
      <c r="A5752" t="str">
        <f>"20190312154950389"</f>
        <v>20190312154950389</v>
      </c>
      <c r="B5752" t="str">
        <f>"1552376990381473"</f>
        <v>1552376990381473</v>
      </c>
      <c r="C5752" t="s">
        <v>40</v>
      </c>
      <c r="D5752">
        <v>4.8321360000000002</v>
      </c>
      <c r="E5752">
        <v>0.52027429999999997</v>
      </c>
      <c r="F5752" t="s">
        <v>41</v>
      </c>
      <c r="G5752">
        <v>-377.12799999999999</v>
      </c>
      <c r="H5752">
        <v>0.99349960000000004</v>
      </c>
      <c r="I5752">
        <v>18.51613</v>
      </c>
      <c r="J5752">
        <v>-377.79719999999998</v>
      </c>
      <c r="K5752">
        <v>1.1094569999999999</v>
      </c>
      <c r="L5752">
        <v>18.597200000000001</v>
      </c>
      <c r="M5752">
        <v>0.99973529999999999</v>
      </c>
      <c r="N5752">
        <v>0</v>
      </c>
      <c r="O5752">
        <v>1.985203E-2</v>
      </c>
      <c r="P5752">
        <v>0.99789490000000003</v>
      </c>
      <c r="Q5752">
        <v>-1.557064E-2</v>
      </c>
      <c r="R5752">
        <v>-6.2955540000000004E-2</v>
      </c>
      <c r="S5752">
        <v>2.9830930000000002</v>
      </c>
      <c r="T5752">
        <v>-0.401472</v>
      </c>
      <c r="U5752">
        <v>-0.2672119</v>
      </c>
      <c r="V5752">
        <v>8.2755129999999996E-2</v>
      </c>
      <c r="W5752">
        <v>-3.9782690000000004E-3</v>
      </c>
      <c r="X5752">
        <v>0.9965619</v>
      </c>
      <c r="Y5752">
        <v>0.10783230000000001</v>
      </c>
      <c r="Z5752">
        <v>-9.8645050000000008E-3</v>
      </c>
      <c r="AA5752">
        <v>0.99412020000000001</v>
      </c>
      <c r="AB5752">
        <v>21</v>
      </c>
      <c r="AC5752">
        <v>0.66919999999993196</v>
      </c>
      <c r="AD5752">
        <v>-0.1159574</v>
      </c>
      <c r="AE5752">
        <v>-8.1070000000000406E-2</v>
      </c>
      <c r="AF5752">
        <v>9.1628530544629397E-2</v>
      </c>
      <c r="AG5752">
        <v>-0.1159574</v>
      </c>
      <c r="AH5752">
        <v>0.64827555436738504</v>
      </c>
      <c r="AI5752">
        <v>100.04351491577501</v>
      </c>
      <c r="AJ5752">
        <v>81.954993545895306</v>
      </c>
      <c r="AK5752">
        <v>0.66490834001001098</v>
      </c>
      <c r="AL5752">
        <v>90.227938640824505</v>
      </c>
      <c r="AM5752">
        <v>85.253013604518401</v>
      </c>
      <c r="AN5752">
        <v>0.99999992934857895</v>
      </c>
    </row>
    <row r="5753" spans="1:40" x14ac:dyDescent="0.25">
      <c r="A5753" t="str">
        <f>"20190312154950402"</f>
        <v>20190312154950402</v>
      </c>
      <c r="B5753" t="str">
        <f>"1552376990392209"</f>
        <v>1552376990392209</v>
      </c>
      <c r="C5753" t="s">
        <v>40</v>
      </c>
      <c r="D5753">
        <v>4.8500920000000001</v>
      </c>
      <c r="E5753">
        <v>0.52017740000000001</v>
      </c>
      <c r="F5753" t="s">
        <v>41</v>
      </c>
      <c r="G5753">
        <v>-376.97789999999998</v>
      </c>
      <c r="H5753">
        <v>0.906412</v>
      </c>
      <c r="I5753">
        <v>18.511890000000001</v>
      </c>
      <c r="J5753">
        <v>-377.66660000000002</v>
      </c>
      <c r="K5753">
        <v>1.1094029999999999</v>
      </c>
      <c r="L5753">
        <v>18.599879999999999</v>
      </c>
      <c r="M5753">
        <v>0.99973820000000002</v>
      </c>
      <c r="N5753">
        <v>0</v>
      </c>
      <c r="O5753">
        <v>1.9941130000000001E-2</v>
      </c>
      <c r="P5753">
        <v>0.99792999999999998</v>
      </c>
      <c r="Q5753">
        <v>-1.501956E-2</v>
      </c>
      <c r="R5753">
        <v>-6.2534179999999995E-2</v>
      </c>
      <c r="S5753">
        <v>2.975311</v>
      </c>
      <c r="T5753">
        <v>-0.73742959999999902</v>
      </c>
      <c r="U5753">
        <v>-0.309143099999999</v>
      </c>
      <c r="V5753">
        <v>8.2423140000000006E-2</v>
      </c>
      <c r="W5753">
        <v>-3.821638E-3</v>
      </c>
      <c r="X5753">
        <v>0.99659010000000003</v>
      </c>
      <c r="Y5753">
        <v>0.1189996</v>
      </c>
      <c r="Z5753">
        <v>-1.9347469999999999E-2</v>
      </c>
      <c r="AA5753">
        <v>0.99270579999999997</v>
      </c>
      <c r="AB5753">
        <v>21</v>
      </c>
      <c r="AC5753">
        <v>0.68870000000003895</v>
      </c>
      <c r="AD5753">
        <v>-0.202991</v>
      </c>
      <c r="AE5753">
        <v>-8.7989999999997695E-2</v>
      </c>
      <c r="AF5753">
        <v>9.3697605688139896E-2</v>
      </c>
      <c r="AG5753">
        <v>-0.202991</v>
      </c>
      <c r="AH5753">
        <v>0.63272347571335996</v>
      </c>
      <c r="AI5753">
        <v>107.60736282997</v>
      </c>
      <c r="AJ5753">
        <v>81.576504989242494</v>
      </c>
      <c r="AK5753">
        <v>0.671061535264453</v>
      </c>
      <c r="AL5753">
        <v>90.218964260527102</v>
      </c>
      <c r="AM5753">
        <v>85.272103835076194</v>
      </c>
      <c r="AN5753">
        <v>1.0000000031712299</v>
      </c>
    </row>
    <row r="5754" spans="1:40" x14ac:dyDescent="0.25">
      <c r="A5754" t="str">
        <f>"20190312154950422"</f>
        <v>20190312154950422</v>
      </c>
      <c r="B5754" t="str">
        <f>"1552376990411729"</f>
        <v>1552376990411729</v>
      </c>
      <c r="C5754" t="s">
        <v>40</v>
      </c>
      <c r="D5754">
        <v>4.8614870000000003</v>
      </c>
      <c r="E5754">
        <v>0.520173</v>
      </c>
      <c r="F5754" t="s">
        <v>41</v>
      </c>
      <c r="G5754">
        <v>-376.96480000000003</v>
      </c>
      <c r="H5754">
        <v>0.93653500000000001</v>
      </c>
      <c r="I5754">
        <v>18.527170000000002</v>
      </c>
      <c r="J5754">
        <v>-377.48689999999999</v>
      </c>
      <c r="K5754">
        <v>1.1093280000000001</v>
      </c>
      <c r="L5754">
        <v>18.603639999999999</v>
      </c>
      <c r="M5754">
        <v>0.99974200000000002</v>
      </c>
      <c r="N5754">
        <v>0</v>
      </c>
      <c r="O5754">
        <v>2.007126E-2</v>
      </c>
      <c r="P5754">
        <v>0.99797590000000003</v>
      </c>
      <c r="Q5754">
        <v>-1.381168E-2</v>
      </c>
      <c r="R5754">
        <v>-6.207667E-2</v>
      </c>
      <c r="S5754">
        <v>2.9759220000000002</v>
      </c>
      <c r="T5754">
        <v>-0.73301959999999999</v>
      </c>
      <c r="U5754">
        <v>-0.3075562</v>
      </c>
      <c r="V5754">
        <v>8.2096379999999997E-2</v>
      </c>
      <c r="W5754">
        <v>-3.1998980000000001E-3</v>
      </c>
      <c r="X5754">
        <v>0.99661929999999999</v>
      </c>
      <c r="Y5754">
        <v>0.118641</v>
      </c>
      <c r="Z5754">
        <v>-1.9219880000000002E-2</v>
      </c>
      <c r="AA5754">
        <v>0.99275119999999895</v>
      </c>
      <c r="AB5754">
        <v>21</v>
      </c>
      <c r="AC5754">
        <v>0.52209999999996604</v>
      </c>
      <c r="AD5754">
        <v>-0.172793</v>
      </c>
      <c r="AE5754">
        <v>-7.6469999999996902E-2</v>
      </c>
      <c r="AF5754">
        <v>7.8515021815124805E-2</v>
      </c>
      <c r="AG5754">
        <v>-0.172793</v>
      </c>
      <c r="AH5754">
        <v>0.47005469407170303</v>
      </c>
      <c r="AI5754">
        <v>109.929564708461</v>
      </c>
      <c r="AJ5754">
        <v>80.517212332703494</v>
      </c>
      <c r="AK5754">
        <v>0.50692548260910297</v>
      </c>
      <c r="AL5754">
        <v>90.183340955446695</v>
      </c>
      <c r="AM5754">
        <v>85.290900093868302</v>
      </c>
      <c r="AN5754">
        <v>1.0000000420444</v>
      </c>
    </row>
    <row r="5755" spans="1:40" x14ac:dyDescent="0.25">
      <c r="A5755" t="str">
        <f>"20190312154950435"</f>
        <v>20190312154950435</v>
      </c>
      <c r="B5755" t="str">
        <f>"1552376990422018"</f>
        <v>1552376990422018</v>
      </c>
      <c r="C5755" t="s">
        <v>40</v>
      </c>
      <c r="D5755">
        <v>4.8448659999999997</v>
      </c>
      <c r="E5755">
        <v>0.52059759999999999</v>
      </c>
      <c r="F5755" t="s">
        <v>41</v>
      </c>
      <c r="G5755">
        <v>-376.77319999999997</v>
      </c>
      <c r="H5755">
        <v>0.93445940000000005</v>
      </c>
      <c r="I5755">
        <v>18.530239999999999</v>
      </c>
      <c r="J5755">
        <v>-377.35410000000002</v>
      </c>
      <c r="K5755">
        <v>1.1092690000000001</v>
      </c>
      <c r="L5755">
        <v>18.60641</v>
      </c>
      <c r="M5755">
        <v>0.99974479999999999</v>
      </c>
      <c r="N5755">
        <v>0</v>
      </c>
      <c r="O5755">
        <v>2.0170520000000001E-2</v>
      </c>
      <c r="P5755">
        <v>0.99800619999999995</v>
      </c>
      <c r="Q5755">
        <v>-1.28808E-2</v>
      </c>
      <c r="R5755">
        <v>-6.178761E-2</v>
      </c>
      <c r="S5755">
        <v>2.9769589999999999</v>
      </c>
      <c r="T5755">
        <v>-0.72936210000000001</v>
      </c>
      <c r="U5755">
        <v>-0.3061218</v>
      </c>
      <c r="V5755">
        <v>8.1906809999999997E-2</v>
      </c>
      <c r="W5755">
        <v>-2.7320109999999999E-3</v>
      </c>
      <c r="X5755">
        <v>0.99663630000000003</v>
      </c>
      <c r="Y5755">
        <v>0.11828130000000001</v>
      </c>
      <c r="Z5755">
        <v>-1.910129E-2</v>
      </c>
      <c r="AA5755">
        <v>0.99279640000000002</v>
      </c>
      <c r="AB5755">
        <v>21</v>
      </c>
      <c r="AC5755">
        <v>0.58090000000004205</v>
      </c>
      <c r="AD5755">
        <v>-0.17480960000000001</v>
      </c>
      <c r="AE5755">
        <v>-7.6170000000001098E-2</v>
      </c>
      <c r="AF5755">
        <v>8.0688653618275694E-2</v>
      </c>
      <c r="AG5755">
        <v>-0.17480960000000001</v>
      </c>
      <c r="AH5755">
        <v>0.53189229311651598</v>
      </c>
      <c r="AI5755">
        <v>108.000966169607</v>
      </c>
      <c r="AJ5755">
        <v>81.373936326446099</v>
      </c>
      <c r="AK5755">
        <v>0.565666391569833</v>
      </c>
      <c r="AL5755">
        <v>90.156532886476796</v>
      </c>
      <c r="AM5755">
        <v>85.301804994871901</v>
      </c>
      <c r="AN5755">
        <v>1.0000000519430801</v>
      </c>
    </row>
    <row r="5756" spans="1:40" x14ac:dyDescent="0.25">
      <c r="A5756" t="str">
        <f>"20190312154950455"</f>
        <v>20190312154950455</v>
      </c>
      <c r="B5756" t="str">
        <f>"1552376990441518"</f>
        <v>1552376990441518</v>
      </c>
      <c r="C5756" t="s">
        <v>40</v>
      </c>
      <c r="D5756">
        <v>4.9219030000000004</v>
      </c>
      <c r="E5756">
        <v>0.52140949999999997</v>
      </c>
      <c r="F5756" t="s">
        <v>41</v>
      </c>
      <c r="G5756">
        <v>-376.5847</v>
      </c>
      <c r="H5756">
        <v>0.92197439999999997</v>
      </c>
      <c r="I5756">
        <v>18.526450000000001</v>
      </c>
      <c r="J5756">
        <v>-377.16660000000002</v>
      </c>
      <c r="K5756">
        <v>1.1091799999999901</v>
      </c>
      <c r="L5756">
        <v>18.61035</v>
      </c>
      <c r="M5756">
        <v>0.99974879999999999</v>
      </c>
      <c r="N5756">
        <v>0</v>
      </c>
      <c r="O5756">
        <v>2.0312750000000001E-2</v>
      </c>
      <c r="P5756">
        <v>0.99804159999999997</v>
      </c>
      <c r="Q5756">
        <v>-1.189165E-2</v>
      </c>
      <c r="R5756">
        <v>-6.1415440000000002E-2</v>
      </c>
      <c r="S5756">
        <v>2.977509</v>
      </c>
      <c r="T5756">
        <v>-0.72487290000000004</v>
      </c>
      <c r="U5756">
        <v>-0.30877690000000002</v>
      </c>
      <c r="V5756">
        <v>8.1677070000000004E-2</v>
      </c>
      <c r="W5756">
        <v>-2.4218550000000001E-3</v>
      </c>
      <c r="X5756">
        <v>0.99665590000000004</v>
      </c>
      <c r="Y5756">
        <v>0.119297</v>
      </c>
      <c r="Z5756">
        <v>-1.913842E-2</v>
      </c>
      <c r="AA5756">
        <v>0.9926741</v>
      </c>
      <c r="AB5756">
        <v>22</v>
      </c>
      <c r="AC5756">
        <v>0.58190000000001796</v>
      </c>
      <c r="AD5756">
        <v>-0.187205599999999</v>
      </c>
      <c r="AE5756">
        <v>-8.3899999999999794E-2</v>
      </c>
      <c r="AF5756">
        <v>8.6892930571832103E-2</v>
      </c>
      <c r="AG5756">
        <v>-0.187205599999999</v>
      </c>
      <c r="AH5756">
        <v>0.52667482444591696</v>
      </c>
      <c r="AI5756">
        <v>109.326132540771</v>
      </c>
      <c r="AJ5756">
        <v>80.631506141229494</v>
      </c>
      <c r="AK5756">
        <v>0.56567012362317604</v>
      </c>
      <c r="AL5756">
        <v>90.138762206286401</v>
      </c>
      <c r="AM5756">
        <v>85.3150159190822</v>
      </c>
      <c r="AN5756">
        <v>0.99999999607511803</v>
      </c>
    </row>
    <row r="5757" spans="1:40" x14ac:dyDescent="0.25">
      <c r="A5757" t="str">
        <f>"20190312154950468"</f>
        <v>20190312154950468</v>
      </c>
      <c r="B5757" t="str">
        <f>"1552376990462015"</f>
        <v>1552376990462015</v>
      </c>
      <c r="C5757" t="s">
        <v>40</v>
      </c>
      <c r="D5757">
        <v>4.8781100000000004</v>
      </c>
      <c r="E5757">
        <v>0.52154330000000004</v>
      </c>
      <c r="F5757" t="s">
        <v>41</v>
      </c>
      <c r="G5757">
        <v>-376.3897</v>
      </c>
      <c r="H5757">
        <v>0.92076740000000001</v>
      </c>
      <c r="I5757">
        <v>18.528289999999998</v>
      </c>
      <c r="J5757">
        <v>-377.02780000000001</v>
      </c>
      <c r="K5757">
        <v>1.109119</v>
      </c>
      <c r="L5757">
        <v>18.613250000000001</v>
      </c>
      <c r="M5757">
        <v>0.99975130000000001</v>
      </c>
      <c r="N5757">
        <v>0</v>
      </c>
      <c r="O5757">
        <v>2.041929E-2</v>
      </c>
      <c r="P5757">
        <v>0.99806919999999999</v>
      </c>
      <c r="Q5757">
        <v>-1.158328E-2</v>
      </c>
      <c r="R5757">
        <v>-6.1022489999999999E-2</v>
      </c>
      <c r="S5757">
        <v>2.9779360000000001</v>
      </c>
      <c r="T5757">
        <v>-0.72216880000000006</v>
      </c>
      <c r="U5757">
        <v>-0.31439210000000001</v>
      </c>
      <c r="V5757">
        <v>8.1390870000000004E-2</v>
      </c>
      <c r="W5757">
        <v>-2.6241300000000001E-3</v>
      </c>
      <c r="X5757">
        <v>0.99667879999999998</v>
      </c>
      <c r="Y5757">
        <v>0.121213</v>
      </c>
      <c r="Z5757">
        <v>-1.931838E-2</v>
      </c>
      <c r="AA5757">
        <v>0.9924385</v>
      </c>
      <c r="AB5757">
        <v>22</v>
      </c>
      <c r="AC5757">
        <v>0.63810000000000799</v>
      </c>
      <c r="AD5757">
        <v>-0.18835159999999901</v>
      </c>
      <c r="AE5757">
        <v>-8.4960000000002298E-2</v>
      </c>
      <c r="AF5757">
        <v>9.0246283167605496E-2</v>
      </c>
      <c r="AG5757">
        <v>-0.18835159999999901</v>
      </c>
      <c r="AH5757">
        <v>0.58605896318006401</v>
      </c>
      <c r="AI5757">
        <v>107.622075498966</v>
      </c>
      <c r="AJ5757">
        <v>81.245876138010303</v>
      </c>
      <c r="AK5757">
        <v>0.62216221773088998</v>
      </c>
      <c r="AL5757">
        <v>90.150351747189802</v>
      </c>
      <c r="AM5757">
        <v>85.331466406015096</v>
      </c>
      <c r="AN5757">
        <v>0.99999999507352599</v>
      </c>
    </row>
    <row r="5758" spans="1:40" x14ac:dyDescent="0.25">
      <c r="A5758" t="str">
        <f>"20190312154950488"</f>
        <v>20190312154950488</v>
      </c>
      <c r="B5758" t="str">
        <f>"1552376990481535"</f>
        <v>1552376990481535</v>
      </c>
      <c r="C5758" t="s">
        <v>40</v>
      </c>
      <c r="D5758">
        <v>4.8738929999999998</v>
      </c>
      <c r="E5758">
        <v>0.52136669999999996</v>
      </c>
      <c r="F5758" t="s">
        <v>41</v>
      </c>
      <c r="G5758">
        <v>-376.19760000000002</v>
      </c>
      <c r="H5758">
        <v>0.90871270000000004</v>
      </c>
      <c r="I5758">
        <v>18.525390000000002</v>
      </c>
      <c r="J5758">
        <v>-376.83240000000001</v>
      </c>
      <c r="K5758">
        <v>1.1090390000000001</v>
      </c>
      <c r="L5758">
        <v>18.6174</v>
      </c>
      <c r="M5758">
        <v>0.99975440000000004</v>
      </c>
      <c r="N5758">
        <v>0</v>
      </c>
      <c r="O5758">
        <v>2.056939E-2</v>
      </c>
      <c r="P5758">
        <v>0.99810339999999997</v>
      </c>
      <c r="Q5758">
        <v>-1.114891E-2</v>
      </c>
      <c r="R5758">
        <v>-6.0544529999999999E-2</v>
      </c>
      <c r="S5758">
        <v>2.9782410000000001</v>
      </c>
      <c r="T5758">
        <v>-0.71887970000000001</v>
      </c>
      <c r="U5758">
        <v>-0.31439210000000001</v>
      </c>
      <c r="V5758">
        <v>8.1063339999999998E-2</v>
      </c>
      <c r="W5758">
        <v>-2.9000440000000001E-3</v>
      </c>
      <c r="X5758">
        <v>0.99670479999999995</v>
      </c>
      <c r="Y5758">
        <v>0.121379399999999</v>
      </c>
      <c r="Z5758">
        <v>-1.9286299999999999E-2</v>
      </c>
      <c r="AA5758">
        <v>0.99241880000000005</v>
      </c>
      <c r="AB5758">
        <v>22</v>
      </c>
      <c r="AC5758">
        <v>0.63479999999998404</v>
      </c>
      <c r="AD5758">
        <v>-0.20032629999999901</v>
      </c>
      <c r="AE5758">
        <v>-9.2010000000001896E-2</v>
      </c>
      <c r="AF5758">
        <v>9.57128127656518E-2</v>
      </c>
      <c r="AG5758">
        <v>-0.20032629999999901</v>
      </c>
      <c r="AH5758">
        <v>0.57653874076333</v>
      </c>
      <c r="AI5758">
        <v>108.920298854295</v>
      </c>
      <c r="AJ5758">
        <v>80.574132714306501</v>
      </c>
      <c r="AK5758">
        <v>0.61780942741282996</v>
      </c>
      <c r="AL5758">
        <v>90.166160503404399</v>
      </c>
      <c r="AM5758">
        <v>85.350291557089704</v>
      </c>
      <c r="AN5758">
        <v>1.0000000668450899</v>
      </c>
    </row>
    <row r="5759" spans="1:40" x14ac:dyDescent="0.25">
      <c r="A5759" t="str">
        <f>"20190312154950502"</f>
        <v>20190312154950502</v>
      </c>
      <c r="B5759" t="str">
        <f>"1552376990491295"</f>
        <v>1552376990491295</v>
      </c>
      <c r="C5759" t="s">
        <v>40</v>
      </c>
      <c r="D5759">
        <v>4.869675</v>
      </c>
      <c r="E5759">
        <v>0.52147889999999997</v>
      </c>
      <c r="F5759" t="s">
        <v>41</v>
      </c>
      <c r="G5759">
        <v>-375.99849999999998</v>
      </c>
      <c r="H5759">
        <v>0.90975419999999996</v>
      </c>
      <c r="I5759">
        <v>18.529879999999999</v>
      </c>
      <c r="J5759">
        <v>-376.69279999999998</v>
      </c>
      <c r="K5759">
        <v>1.1089880000000001</v>
      </c>
      <c r="L5759">
        <v>18.62039</v>
      </c>
      <c r="M5759">
        <v>0.99975610000000004</v>
      </c>
      <c r="N5759">
        <v>0</v>
      </c>
      <c r="O5759">
        <v>2.0676819999999999E-2</v>
      </c>
      <c r="P5759">
        <v>0.99813099999999999</v>
      </c>
      <c r="Q5759">
        <v>-1.095374E-2</v>
      </c>
      <c r="R5759">
        <v>-6.0121059999999997E-2</v>
      </c>
      <c r="S5759">
        <v>2.97879</v>
      </c>
      <c r="T5759">
        <v>-0.71194029999999997</v>
      </c>
      <c r="U5759">
        <v>-0.31216430000000001</v>
      </c>
      <c r="V5759">
        <v>8.0747609999999997E-2</v>
      </c>
      <c r="W5759">
        <v>-3.1949320000000002E-3</v>
      </c>
      <c r="X5759">
        <v>0.99672939999999999</v>
      </c>
      <c r="Y5759">
        <v>0.12082279999999999</v>
      </c>
      <c r="Z5759">
        <v>-1.9062329999999999E-2</v>
      </c>
      <c r="AA5759">
        <v>0.99249109999999996</v>
      </c>
      <c r="AB5759">
        <v>22</v>
      </c>
      <c r="AC5759">
        <v>0.69429999999999803</v>
      </c>
      <c r="AD5759">
        <v>-0.19923379999999899</v>
      </c>
      <c r="AE5759">
        <v>-9.0510000000001797E-2</v>
      </c>
      <c r="AF5759">
        <v>9.6993620429486699E-2</v>
      </c>
      <c r="AG5759">
        <v>-0.19923379999999899</v>
      </c>
      <c r="AH5759">
        <v>0.64042604442036299</v>
      </c>
      <c r="AI5759">
        <v>107.09727186794299</v>
      </c>
      <c r="AJ5759">
        <v>81.387905130034099</v>
      </c>
      <c r="AK5759">
        <v>0.67767793813755794</v>
      </c>
      <c r="AL5759">
        <v>90.1830564417575</v>
      </c>
      <c r="AM5759">
        <v>85.368436369324698</v>
      </c>
      <c r="AN5759">
        <v>0.99999994046777596</v>
      </c>
    </row>
    <row r="5760" spans="1:40" x14ac:dyDescent="0.25">
      <c r="A5760" t="str">
        <f>"20190312154950522"</f>
        <v>20190312154950522</v>
      </c>
      <c r="B5760" t="str">
        <f>"1552376990511791"</f>
        <v>1552376990511791</v>
      </c>
      <c r="C5760" t="s">
        <v>40</v>
      </c>
      <c r="D5760">
        <v>4.8322250000000002</v>
      </c>
      <c r="E5760">
        <v>0.52144570000000001</v>
      </c>
      <c r="F5760" t="s">
        <v>41</v>
      </c>
      <c r="G5760">
        <v>-375.9853</v>
      </c>
      <c r="H5760">
        <v>0.94038189999999999</v>
      </c>
      <c r="I5760">
        <v>18.546130000000002</v>
      </c>
      <c r="J5760">
        <v>-376.50049999999999</v>
      </c>
      <c r="K5760">
        <v>1.1089279999999999</v>
      </c>
      <c r="L5760">
        <v>18.624510000000001</v>
      </c>
      <c r="M5760">
        <v>0.99975780000000003</v>
      </c>
      <c r="N5760">
        <v>0</v>
      </c>
      <c r="O5760">
        <v>2.0824559999999999E-2</v>
      </c>
      <c r="P5760">
        <v>0.99814519999999995</v>
      </c>
      <c r="Q5760">
        <v>-1.0429219999999999E-2</v>
      </c>
      <c r="R5760">
        <v>-5.9979490000000003E-2</v>
      </c>
      <c r="S5760">
        <v>2.979034</v>
      </c>
      <c r="T5760">
        <v>-0.70994309999999905</v>
      </c>
      <c r="U5760">
        <v>-0.31210329999999997</v>
      </c>
      <c r="V5760">
        <v>8.0753710000000006E-2</v>
      </c>
      <c r="W5760">
        <v>-3.312433E-3</v>
      </c>
      <c r="X5760">
        <v>0.99672859999999996</v>
      </c>
      <c r="Y5760">
        <v>0.1209554</v>
      </c>
      <c r="Z5760">
        <v>-1.9058970000000001E-2</v>
      </c>
      <c r="AA5760">
        <v>0.992475</v>
      </c>
      <c r="AB5760">
        <v>22</v>
      </c>
      <c r="AC5760">
        <v>0.515199999999993</v>
      </c>
      <c r="AD5760">
        <v>-0.1685461</v>
      </c>
      <c r="AE5760">
        <v>-7.8380000000002698E-2</v>
      </c>
      <c r="AF5760">
        <v>8.0655224431344805E-2</v>
      </c>
      <c r="AG5760">
        <v>-0.1685461</v>
      </c>
      <c r="AH5760">
        <v>0.46483262685801502</v>
      </c>
      <c r="AI5760">
        <v>109.65962915590001</v>
      </c>
      <c r="AJ5760">
        <v>80.156356201390693</v>
      </c>
      <c r="AK5760">
        <v>0.50098146077974104</v>
      </c>
      <c r="AL5760">
        <v>90.189788774476597</v>
      </c>
      <c r="AM5760">
        <v>85.368084303217501</v>
      </c>
      <c r="AN5760">
        <v>1.0000000179745501</v>
      </c>
    </row>
    <row r="5761" spans="1:40" x14ac:dyDescent="0.25">
      <c r="A5761" t="str">
        <f>"20190312154950535"</f>
        <v>20190312154950535</v>
      </c>
      <c r="B5761" t="str">
        <f>"1552376990522090"</f>
        <v>1552376990522090</v>
      </c>
      <c r="C5761" t="s">
        <v>40</v>
      </c>
      <c r="D5761">
        <v>4.8860950000000001</v>
      </c>
      <c r="E5761">
        <v>0.52149999999999996</v>
      </c>
      <c r="F5761" t="s">
        <v>41</v>
      </c>
      <c r="G5761">
        <v>-375.78539999999998</v>
      </c>
      <c r="H5761">
        <v>0.93953039999999999</v>
      </c>
      <c r="I5761">
        <v>18.54917</v>
      </c>
      <c r="J5761">
        <v>-376.3646</v>
      </c>
      <c r="K5761">
        <v>1.1088880000000001</v>
      </c>
      <c r="L5761">
        <v>18.627469999999999</v>
      </c>
      <c r="M5761">
        <v>0.99975849999999999</v>
      </c>
      <c r="N5761">
        <v>0</v>
      </c>
      <c r="O5761">
        <v>2.092844E-2</v>
      </c>
      <c r="P5761">
        <v>0.99815799999999999</v>
      </c>
      <c r="Q5761">
        <v>-9.9243170000000002E-3</v>
      </c>
      <c r="R5761">
        <v>-5.9853299999999998E-2</v>
      </c>
      <c r="S5761">
        <v>2.9794619999999998</v>
      </c>
      <c r="T5761">
        <v>-0.70584419999999903</v>
      </c>
      <c r="U5761">
        <v>-0.31173709999999999</v>
      </c>
      <c r="V5761">
        <v>8.0731090000000005E-2</v>
      </c>
      <c r="W5761">
        <v>-3.2328729999999998E-3</v>
      </c>
      <c r="X5761">
        <v>0.99673069999999997</v>
      </c>
      <c r="Y5761">
        <v>0.12096560000000001</v>
      </c>
      <c r="Z5761">
        <v>-1.897476E-2</v>
      </c>
      <c r="AA5761">
        <v>0.99247529999999995</v>
      </c>
      <c r="AB5761">
        <v>22</v>
      </c>
      <c r="AC5761">
        <v>0.57920000000001404</v>
      </c>
      <c r="AD5761">
        <v>-0.169357599999999</v>
      </c>
      <c r="AE5761">
        <v>-7.8300000000002201E-2</v>
      </c>
      <c r="AF5761">
        <v>8.3402191113626303E-2</v>
      </c>
      <c r="AG5761">
        <v>-0.169357599999999</v>
      </c>
      <c r="AH5761">
        <v>0.532706832620782</v>
      </c>
      <c r="AI5761">
        <v>107.43712538078501</v>
      </c>
      <c r="AJ5761">
        <v>81.1018343197793</v>
      </c>
      <c r="AK5761">
        <v>0.56516766687521902</v>
      </c>
      <c r="AL5761">
        <v>90.185230296748699</v>
      </c>
      <c r="AM5761">
        <v>85.369385824180696</v>
      </c>
      <c r="AN5761">
        <v>1.00000002434145</v>
      </c>
    </row>
    <row r="5762" spans="1:40" x14ac:dyDescent="0.25">
      <c r="A5762" t="str">
        <f>"20190312154950556"</f>
        <v>20190312154950556</v>
      </c>
      <c r="B5762" t="str">
        <f>"1552376990541578"</f>
        <v>1552376990541578</v>
      </c>
      <c r="C5762" t="s">
        <v>40</v>
      </c>
      <c r="D5762">
        <v>4.8658039999999998</v>
      </c>
      <c r="E5762">
        <v>0.52163459999999995</v>
      </c>
      <c r="F5762" t="s">
        <v>41</v>
      </c>
      <c r="G5762">
        <v>-375.58960000000002</v>
      </c>
      <c r="H5762">
        <v>0.92589080000000001</v>
      </c>
      <c r="I5762">
        <v>18.546330000000001</v>
      </c>
      <c r="J5762">
        <v>-376.15800000000002</v>
      </c>
      <c r="K5762">
        <v>1.108833</v>
      </c>
      <c r="L5762">
        <v>18.631930000000001</v>
      </c>
      <c r="M5762">
        <v>0.99975930000000002</v>
      </c>
      <c r="N5762">
        <v>0</v>
      </c>
      <c r="O5762">
        <v>2.1084220000000001E-2</v>
      </c>
      <c r="P5762">
        <v>0.99813989999999997</v>
      </c>
      <c r="Q5762">
        <v>-9.1368260000000007E-3</v>
      </c>
      <c r="R5762">
        <v>-6.0279300000000001E-2</v>
      </c>
      <c r="S5762">
        <v>2.9798279999999999</v>
      </c>
      <c r="T5762">
        <v>-0.70357910000000001</v>
      </c>
      <c r="U5762">
        <v>-0.31188959999999999</v>
      </c>
      <c r="V5762">
        <v>8.1311869999999994E-2</v>
      </c>
      <c r="W5762">
        <v>-3.0510979999999999E-3</v>
      </c>
      <c r="X5762">
        <v>0.99668400000000001</v>
      </c>
      <c r="Y5762">
        <v>0.1211734</v>
      </c>
      <c r="Z5762">
        <v>-1.8973509999999999E-2</v>
      </c>
      <c r="AA5762">
        <v>0.99245000000000005</v>
      </c>
      <c r="AB5762">
        <v>22</v>
      </c>
      <c r="AC5762">
        <v>0.56839999999999602</v>
      </c>
      <c r="AD5762">
        <v>-0.182942199999999</v>
      </c>
      <c r="AE5762">
        <v>-8.5600000000002993E-2</v>
      </c>
      <c r="AF5762">
        <v>8.8591728687062901E-2</v>
      </c>
      <c r="AG5762">
        <v>-0.182942199999999</v>
      </c>
      <c r="AH5762">
        <v>0.51436696180845398</v>
      </c>
      <c r="AI5762">
        <v>109.315765273602</v>
      </c>
      <c r="AJ5762">
        <v>80.227570292048398</v>
      </c>
      <c r="AK5762">
        <v>0.55307297378615505</v>
      </c>
      <c r="AL5762">
        <v>90.174815316046306</v>
      </c>
      <c r="AM5762">
        <v>85.3360020259897</v>
      </c>
      <c r="AN5762">
        <v>0.99999996262894997</v>
      </c>
    </row>
    <row r="5763" spans="1:40" x14ac:dyDescent="0.25">
      <c r="A5763" t="str">
        <f>"20190312154950569"</f>
        <v>20190312154950569</v>
      </c>
      <c r="B5763" t="str">
        <f>"1552376990562075"</f>
        <v>1552376990562075</v>
      </c>
      <c r="C5763" t="s">
        <v>40</v>
      </c>
      <c r="D5763">
        <v>4.8568790000000002</v>
      </c>
      <c r="E5763">
        <v>0.52844880000000005</v>
      </c>
      <c r="F5763" t="s">
        <v>41</v>
      </c>
      <c r="G5763">
        <v>-375.38560000000001</v>
      </c>
      <c r="H5763">
        <v>0.92688009999999998</v>
      </c>
      <c r="I5763">
        <v>18.550270000000001</v>
      </c>
      <c r="J5763">
        <v>-376.017</v>
      </c>
      <c r="K5763">
        <v>1.10880499999999</v>
      </c>
      <c r="L5763">
        <v>18.635010000000001</v>
      </c>
      <c r="M5763">
        <v>0.99975930000000002</v>
      </c>
      <c r="N5763">
        <v>0</v>
      </c>
      <c r="O5763">
        <v>2.1189059999999999E-2</v>
      </c>
      <c r="P5763">
        <v>0.99812869999999998</v>
      </c>
      <c r="Q5763">
        <v>-8.9949439999999995E-3</v>
      </c>
      <c r="R5763">
        <v>-6.0482349999999997E-2</v>
      </c>
      <c r="S5763">
        <v>2.980194</v>
      </c>
      <c r="T5763">
        <v>-0.70207050000000004</v>
      </c>
      <c r="U5763">
        <v>-0.31420900000000002</v>
      </c>
      <c r="V5763">
        <v>8.161931E-2</v>
      </c>
      <c r="W5763">
        <v>-3.2922120000000001E-3</v>
      </c>
      <c r="X5763">
        <v>0.99665809999999999</v>
      </c>
      <c r="Y5763">
        <v>0.1220205</v>
      </c>
      <c r="Z5763">
        <v>-1.905339E-2</v>
      </c>
      <c r="AA5763">
        <v>0.99234469999999997</v>
      </c>
      <c r="AB5763">
        <v>23</v>
      </c>
      <c r="AC5763">
        <v>0.63139999999998497</v>
      </c>
      <c r="AD5763">
        <v>-0.181924899999999</v>
      </c>
      <c r="AE5763">
        <v>-8.4739999999999996E-2</v>
      </c>
      <c r="AF5763">
        <v>9.0703152243617302E-2</v>
      </c>
      <c r="AG5763">
        <v>-0.181924899999999</v>
      </c>
      <c r="AH5763">
        <v>0.58200069142476696</v>
      </c>
      <c r="AI5763">
        <v>107.163672585588</v>
      </c>
      <c r="AJ5763">
        <v>81.141873445411406</v>
      </c>
      <c r="AK5763">
        <v>0.61648076684179398</v>
      </c>
      <c r="AL5763">
        <v>90.188630201278997</v>
      </c>
      <c r="AM5763">
        <v>85.318324579564603</v>
      </c>
      <c r="AN5763">
        <v>0.99999995936016794</v>
      </c>
    </row>
    <row r="5764" spans="1:40" x14ac:dyDescent="0.25">
      <c r="A5764" t="str">
        <f>"20190312154950588"</f>
        <v>20190312154950588</v>
      </c>
      <c r="B5764" t="str">
        <f>"1552376990581594"</f>
        <v>1552376990581594</v>
      </c>
      <c r="C5764" t="s">
        <v>40</v>
      </c>
      <c r="D5764">
        <v>4.860017</v>
      </c>
      <c r="E5764">
        <v>0.52847330000000003</v>
      </c>
      <c r="F5764" t="s">
        <v>41</v>
      </c>
      <c r="G5764">
        <v>-375.19200000000001</v>
      </c>
      <c r="H5764">
        <v>0.89715979999999995</v>
      </c>
      <c r="I5764">
        <v>18.5335</v>
      </c>
      <c r="J5764">
        <v>-375.82299999999998</v>
      </c>
      <c r="K5764">
        <v>1.1087769999999999</v>
      </c>
      <c r="L5764">
        <v>18.639279999999999</v>
      </c>
      <c r="M5764">
        <v>0.99975890000000001</v>
      </c>
      <c r="N5764">
        <v>0</v>
      </c>
      <c r="O5764">
        <v>2.1330140000000001E-2</v>
      </c>
      <c r="P5764">
        <v>0.99810880000000002</v>
      </c>
      <c r="Q5764">
        <v>-8.6000469999999996E-3</v>
      </c>
      <c r="R5764">
        <v>-6.087004E-2</v>
      </c>
      <c r="S5764">
        <v>2.9765630000000001</v>
      </c>
      <c r="T5764">
        <v>-0.76372580000000001</v>
      </c>
      <c r="U5764">
        <v>-0.36578369999999999</v>
      </c>
      <c r="V5764">
        <v>8.2146919999999998E-2</v>
      </c>
      <c r="W5764">
        <v>-3.3784819999999999E-3</v>
      </c>
      <c r="X5764">
        <v>0.99661449999999996</v>
      </c>
      <c r="Y5764">
        <v>0.13802429999999999</v>
      </c>
      <c r="Z5764">
        <v>-2.2730549999999999E-2</v>
      </c>
      <c r="AA5764">
        <v>0.99016800000000005</v>
      </c>
      <c r="AB5764">
        <v>23</v>
      </c>
      <c r="AC5764">
        <v>0.63100000000008505</v>
      </c>
      <c r="AD5764">
        <v>-0.21161720000000001</v>
      </c>
      <c r="AE5764">
        <v>-0.105779999999999</v>
      </c>
      <c r="AF5764">
        <v>0.107459637368954</v>
      </c>
      <c r="AG5764">
        <v>-0.21161720000000001</v>
      </c>
      <c r="AH5764">
        <v>0.56661404226454803</v>
      </c>
      <c r="AI5764">
        <v>110.14991111499999</v>
      </c>
      <c r="AJ5764">
        <v>79.261263612754703</v>
      </c>
      <c r="AK5764">
        <v>0.614313345037106</v>
      </c>
      <c r="AL5764">
        <v>90.193573128760605</v>
      </c>
      <c r="AM5764">
        <v>85.287991545256006</v>
      </c>
      <c r="AN5764">
        <v>0.99999999610818002</v>
      </c>
    </row>
    <row r="5765" spans="1:40" x14ac:dyDescent="0.25">
      <c r="A5765" t="str">
        <f>"20190312154950610"</f>
        <v>20190312154950610</v>
      </c>
      <c r="B5765" t="str">
        <f>"1552376990602091"</f>
        <v>1552376990602091</v>
      </c>
      <c r="C5765" t="s">
        <v>40</v>
      </c>
      <c r="D5765">
        <v>4.878037</v>
      </c>
      <c r="E5765">
        <v>0.52806980000000003</v>
      </c>
      <c r="F5765" t="s">
        <v>41</v>
      </c>
      <c r="G5765">
        <v>-374.9864</v>
      </c>
      <c r="H5765">
        <v>0.89400569999999902</v>
      </c>
      <c r="I5765">
        <v>18.53575</v>
      </c>
      <c r="J5765">
        <v>-375.5881</v>
      </c>
      <c r="K5765">
        <v>1.1087499999999999</v>
      </c>
      <c r="L5765">
        <v>18.644500000000001</v>
      </c>
      <c r="M5765">
        <v>0.99975789999999998</v>
      </c>
      <c r="N5765">
        <v>0</v>
      </c>
      <c r="O5765">
        <v>2.149363E-2</v>
      </c>
      <c r="P5765">
        <v>0.9981295</v>
      </c>
      <c r="Q5765">
        <v>-8.3963779999999995E-3</v>
      </c>
      <c r="R5765">
        <v>-6.0555779999999997E-2</v>
      </c>
      <c r="S5765">
        <v>2.9766539999999999</v>
      </c>
      <c r="T5765">
        <v>-0.76413580000000003</v>
      </c>
      <c r="U5765">
        <v>-0.36746220000000002</v>
      </c>
      <c r="V5765">
        <v>8.1996310000000003E-2</v>
      </c>
      <c r="W5765">
        <v>-3.6905990000000001E-3</v>
      </c>
      <c r="X5765">
        <v>0.99662580000000001</v>
      </c>
      <c r="Y5765">
        <v>0.13870089999999999</v>
      </c>
      <c r="Z5765">
        <v>-2.2867269999999999E-2</v>
      </c>
      <c r="AA5765">
        <v>0.99007029999999996</v>
      </c>
      <c r="AB5765">
        <v>23</v>
      </c>
      <c r="AC5765">
        <v>0.60169999999999302</v>
      </c>
      <c r="AD5765">
        <v>-0.214744299999999</v>
      </c>
      <c r="AE5765">
        <v>-0.10875</v>
      </c>
      <c r="AF5765">
        <v>0.108299483231531</v>
      </c>
      <c r="AG5765">
        <v>-0.214744299999999</v>
      </c>
      <c r="AH5765">
        <v>0.53342763862045095</v>
      </c>
      <c r="AI5765">
        <v>111.530495201367</v>
      </c>
      <c r="AJ5765">
        <v>78.523476542689195</v>
      </c>
      <c r="AK5765">
        <v>0.58514010125344995</v>
      </c>
      <c r="AL5765">
        <v>90.211456226537507</v>
      </c>
      <c r="AM5765">
        <v>85.296644941827495</v>
      </c>
      <c r="AN5765">
        <v>1.0000000003001099</v>
      </c>
    </row>
    <row r="5766" spans="1:40" x14ac:dyDescent="0.25">
      <c r="A5766" t="str">
        <f>"20190312154950624"</f>
        <v>20190312154950624</v>
      </c>
      <c r="B5766" t="str">
        <f>"1552376990611851"</f>
        <v>1552376990611851</v>
      </c>
      <c r="C5766" t="s">
        <v>40</v>
      </c>
      <c r="D5766">
        <v>4.8930660000000001</v>
      </c>
      <c r="E5766">
        <v>0.52820429999999996</v>
      </c>
      <c r="F5766" t="s">
        <v>41</v>
      </c>
      <c r="G5766">
        <v>-374.7756</v>
      </c>
      <c r="H5766">
        <v>0.90054000000000001</v>
      </c>
      <c r="I5766">
        <v>18.54485</v>
      </c>
      <c r="J5766">
        <v>-375.44869999999997</v>
      </c>
      <c r="K5766">
        <v>1.1087370000000001</v>
      </c>
      <c r="L5766">
        <v>18.64761</v>
      </c>
      <c r="M5766">
        <v>0.99975729999999996</v>
      </c>
      <c r="N5766">
        <v>0</v>
      </c>
      <c r="O5766">
        <v>2.1586810000000001E-2</v>
      </c>
      <c r="P5766">
        <v>0.99815659999999895</v>
      </c>
      <c r="Q5766">
        <v>-7.7674800000000002E-3</v>
      </c>
      <c r="R5766">
        <v>-6.0196920000000001E-2</v>
      </c>
      <c r="S5766">
        <v>2.9771420000000002</v>
      </c>
      <c r="T5766">
        <v>-0.76287890000000003</v>
      </c>
      <c r="U5766">
        <v>-0.36404419999999998</v>
      </c>
      <c r="V5766">
        <v>8.1730700000000003E-2</v>
      </c>
      <c r="W5766">
        <v>-3.343431E-3</v>
      </c>
      <c r="X5766">
        <v>0.9966488</v>
      </c>
      <c r="Y5766">
        <v>0.13769979999999901</v>
      </c>
      <c r="Z5766">
        <v>-2.2726360000000001E-2</v>
      </c>
      <c r="AA5766">
        <v>0.99021329999999996</v>
      </c>
      <c r="AB5766">
        <v>23</v>
      </c>
      <c r="AC5766">
        <v>0.67309999999997605</v>
      </c>
      <c r="AD5766">
        <v>-0.20819699999999999</v>
      </c>
      <c r="AE5766">
        <v>-0.102759999999999</v>
      </c>
      <c r="AF5766">
        <v>0.10723998154627901</v>
      </c>
      <c r="AG5766">
        <v>-0.20819699999999999</v>
      </c>
      <c r="AH5766">
        <v>0.61337772914909505</v>
      </c>
      <c r="AI5766">
        <v>108.48763427531</v>
      </c>
      <c r="AJ5766">
        <v>80.082919814790699</v>
      </c>
      <c r="AK5766">
        <v>0.656565794926256</v>
      </c>
      <c r="AL5766">
        <v>90.191564850304502</v>
      </c>
      <c r="AM5766">
        <v>85.3119201693262</v>
      </c>
      <c r="AN5766">
        <v>0.99999995819738996</v>
      </c>
    </row>
    <row r="5767" spans="1:40" x14ac:dyDescent="0.25">
      <c r="A5767" t="str">
        <f>"20190312154950637"</f>
        <v>20190312154950637</v>
      </c>
      <c r="B5767" t="str">
        <f>"1552376990621610"</f>
        <v>1552376990621610</v>
      </c>
      <c r="C5767" t="s">
        <v>40</v>
      </c>
      <c r="D5767">
        <v>4.8800619999999997</v>
      </c>
      <c r="E5767">
        <v>0.52839029999999998</v>
      </c>
      <c r="F5767" t="s">
        <v>41</v>
      </c>
      <c r="G5767">
        <v>-374.76240000000001</v>
      </c>
      <c r="H5767">
        <v>0.93334099999999998</v>
      </c>
      <c r="I5767">
        <v>18.56334</v>
      </c>
      <c r="J5767">
        <v>-375.32</v>
      </c>
      <c r="K5767">
        <v>1.1087209999999901</v>
      </c>
      <c r="L5767">
        <v>18.650449999999999</v>
      </c>
      <c r="M5767">
        <v>0.99975650000000005</v>
      </c>
      <c r="N5767">
        <v>0</v>
      </c>
      <c r="O5767">
        <v>2.16662E-2</v>
      </c>
      <c r="P5767">
        <v>0.99817290000000003</v>
      </c>
      <c r="Q5767">
        <v>-7.2369499999999998E-3</v>
      </c>
      <c r="R5767">
        <v>-5.9989399999999998E-2</v>
      </c>
      <c r="S5767">
        <v>2.9776609999999999</v>
      </c>
      <c r="T5767">
        <v>-0.76101540000000001</v>
      </c>
      <c r="U5767">
        <v>-0.36434939999999999</v>
      </c>
      <c r="V5767">
        <v>8.1602560000000005E-2</v>
      </c>
      <c r="W5767">
        <v>-3.0472699999999999E-3</v>
      </c>
      <c r="X5767">
        <v>0.99666030000000005</v>
      </c>
      <c r="Y5767">
        <v>0.13787559999999999</v>
      </c>
      <c r="Z5767">
        <v>-2.2710580000000001E-2</v>
      </c>
      <c r="AA5767">
        <v>0.99018910000000004</v>
      </c>
      <c r="AB5767">
        <v>23</v>
      </c>
      <c r="AC5767">
        <v>0.557599999999979</v>
      </c>
      <c r="AD5767">
        <v>-0.17537999999999901</v>
      </c>
      <c r="AE5767">
        <v>-8.7109999999999105E-2</v>
      </c>
      <c r="AF5767">
        <v>9.0437201744274803E-2</v>
      </c>
      <c r="AG5767">
        <v>-0.17537999999999901</v>
      </c>
      <c r="AH5767">
        <v>0.50665411453312803</v>
      </c>
      <c r="AI5767">
        <v>108.817423451515</v>
      </c>
      <c r="AJ5767">
        <v>79.879355600651195</v>
      </c>
      <c r="AK5767">
        <v>0.54372366477162204</v>
      </c>
      <c r="AL5767">
        <v>90.174595978743795</v>
      </c>
      <c r="AM5767">
        <v>85.319291374567101</v>
      </c>
      <c r="AN5767">
        <v>1.00000000862454</v>
      </c>
    </row>
    <row r="5768" spans="1:40" x14ac:dyDescent="0.25">
      <c r="A5768" t="str">
        <f>"20190312154950654"</f>
        <v>20190312154950654</v>
      </c>
      <c r="B5768" t="str">
        <f>"1552376990642106"</f>
        <v>1552376990642106</v>
      </c>
      <c r="C5768" t="s">
        <v>40</v>
      </c>
      <c r="D5768">
        <v>4.888782</v>
      </c>
      <c r="E5768">
        <v>0.52861800000000003</v>
      </c>
      <c r="F5768" t="s">
        <v>41</v>
      </c>
      <c r="G5768">
        <v>-374.56</v>
      </c>
      <c r="H5768">
        <v>0.91477779999999997</v>
      </c>
      <c r="I5768">
        <v>18.556799999999999</v>
      </c>
      <c r="J5768">
        <v>-375.12990000000002</v>
      </c>
      <c r="K5768">
        <v>1.1086990000000001</v>
      </c>
      <c r="L5768">
        <v>18.654720000000001</v>
      </c>
      <c r="M5768">
        <v>0.99975570000000002</v>
      </c>
      <c r="N5768">
        <v>0</v>
      </c>
      <c r="O5768">
        <v>2.177099E-2</v>
      </c>
      <c r="P5768">
        <v>0.99825540000000001</v>
      </c>
      <c r="Q5768">
        <v>-6.5253059999999998E-3</v>
      </c>
      <c r="R5768">
        <v>-5.868516E-2</v>
      </c>
      <c r="S5768">
        <v>2.978027</v>
      </c>
      <c r="T5768">
        <v>-0.76000380000000001</v>
      </c>
      <c r="U5768">
        <v>-0.36541750000000001</v>
      </c>
      <c r="V5768">
        <v>8.040477E-2</v>
      </c>
      <c r="W5768">
        <v>-2.6632510000000002E-3</v>
      </c>
      <c r="X5768">
        <v>0.99675879999999994</v>
      </c>
      <c r="Y5768">
        <v>0.13831209999999999</v>
      </c>
      <c r="Z5768">
        <v>-2.275901E-2</v>
      </c>
      <c r="AA5768">
        <v>0.99012710000000004</v>
      </c>
      <c r="AB5768">
        <v>23</v>
      </c>
      <c r="AC5768">
        <v>0.56990000000001795</v>
      </c>
      <c r="AD5768">
        <v>-0.19392119999999899</v>
      </c>
      <c r="AE5768">
        <v>-9.7920000000001894E-2</v>
      </c>
      <c r="AF5768">
        <v>9.9152928008281502E-2</v>
      </c>
      <c r="AG5768">
        <v>-0.19392119999999899</v>
      </c>
      <c r="AH5768">
        <v>0.51024801501567296</v>
      </c>
      <c r="AI5768">
        <v>110.459246831816</v>
      </c>
      <c r="AJ5768">
        <v>79.003163734021498</v>
      </c>
      <c r="AK5768">
        <v>0.554788042201245</v>
      </c>
      <c r="AL5768">
        <v>90.152593212910901</v>
      </c>
      <c r="AM5768">
        <v>85.388151598933305</v>
      </c>
      <c r="AN5768">
        <v>1.0000000626610299</v>
      </c>
    </row>
    <row r="5769" spans="1:40" x14ac:dyDescent="0.25">
      <c r="A5769" t="str">
        <f>"20190312154950666"</f>
        <v>20190312154950666</v>
      </c>
      <c r="B5769" t="str">
        <f>"1552376990661627"</f>
        <v>1552376990661627</v>
      </c>
      <c r="C5769" t="s">
        <v>40</v>
      </c>
      <c r="D5769">
        <v>4.9551730000000003</v>
      </c>
      <c r="E5769">
        <v>0.52870059999999997</v>
      </c>
      <c r="F5769" t="s">
        <v>41</v>
      </c>
      <c r="G5769">
        <v>-374.35019999999997</v>
      </c>
      <c r="H5769">
        <v>0.91005159999999996</v>
      </c>
      <c r="I5769">
        <v>18.559290000000001</v>
      </c>
      <c r="J5769">
        <v>-375.00439999999998</v>
      </c>
      <c r="K5769">
        <v>1.1086800000000001</v>
      </c>
      <c r="L5769">
        <v>18.657530000000001</v>
      </c>
      <c r="M5769">
        <v>0.99975499999999995</v>
      </c>
      <c r="N5769">
        <v>0</v>
      </c>
      <c r="O5769">
        <v>2.183218E-2</v>
      </c>
      <c r="P5769">
        <v>0.99830700000000006</v>
      </c>
      <c r="Q5769">
        <v>-6.0632400000000001E-3</v>
      </c>
      <c r="R5769">
        <v>-5.784864E-2</v>
      </c>
      <c r="S5769">
        <v>2.9789119999999998</v>
      </c>
      <c r="T5769">
        <v>-0.75895290000000004</v>
      </c>
      <c r="U5769">
        <v>-0.3635254</v>
      </c>
      <c r="V5769">
        <v>7.9630580000000006E-2</v>
      </c>
      <c r="W5769">
        <v>-2.4061830000000001E-3</v>
      </c>
      <c r="X5769">
        <v>0.99682150000000003</v>
      </c>
      <c r="Y5769">
        <v>0.1377495</v>
      </c>
      <c r="Z5769">
        <v>-2.266783E-2</v>
      </c>
      <c r="AA5769">
        <v>0.99020770000000002</v>
      </c>
      <c r="AB5769">
        <v>24</v>
      </c>
      <c r="AC5769">
        <v>0.654200000000002</v>
      </c>
      <c r="AD5769">
        <v>-0.19862839999999901</v>
      </c>
      <c r="AE5769">
        <v>-9.8239999999996996E-2</v>
      </c>
      <c r="AF5769">
        <v>0.103195939038638</v>
      </c>
      <c r="AG5769">
        <v>-0.19862839999999901</v>
      </c>
      <c r="AH5769">
        <v>0.59798915794956298</v>
      </c>
      <c r="AI5769">
        <v>108.124426227854</v>
      </c>
      <c r="AJ5769">
        <v>80.208813175583302</v>
      </c>
      <c r="AK5769">
        <v>0.63850894758480403</v>
      </c>
      <c r="AL5769">
        <v>90.137864269055896</v>
      </c>
      <c r="AM5769">
        <v>85.432654785738094</v>
      </c>
      <c r="AN5769">
        <v>0.99999996092500698</v>
      </c>
    </row>
    <row r="5770" spans="1:40" x14ac:dyDescent="0.25">
      <c r="A5770" t="str">
        <f>"20190312154950679"</f>
        <v>20190312154950679</v>
      </c>
      <c r="B5770" t="str">
        <f>"1552376990672364"</f>
        <v>1552376990672364</v>
      </c>
      <c r="C5770" t="s">
        <v>40</v>
      </c>
      <c r="D5770">
        <v>4.9390470000000004</v>
      </c>
      <c r="E5770">
        <v>0.50996339999999996</v>
      </c>
      <c r="F5770" t="s">
        <v>41</v>
      </c>
      <c r="G5770">
        <v>-374.14429999999999</v>
      </c>
      <c r="H5770">
        <v>0.88989319999999905</v>
      </c>
      <c r="I5770">
        <v>18.55292</v>
      </c>
      <c r="J5770">
        <v>-374.8648</v>
      </c>
      <c r="K5770">
        <v>1.108654</v>
      </c>
      <c r="L5770">
        <v>18.660640000000001</v>
      </c>
      <c r="M5770">
        <v>0.99975460000000005</v>
      </c>
      <c r="N5770">
        <v>0</v>
      </c>
      <c r="O5770">
        <v>2.1883159999999999E-2</v>
      </c>
      <c r="P5770">
        <v>0.99834469999999997</v>
      </c>
      <c r="Q5770">
        <v>-5.7672280000000001E-3</v>
      </c>
      <c r="R5770">
        <v>-5.7226640000000002E-2</v>
      </c>
      <c r="S5770">
        <v>2.979492</v>
      </c>
      <c r="T5770">
        <v>-0.75788529999999998</v>
      </c>
      <c r="U5770">
        <v>-0.36196899999999999</v>
      </c>
      <c r="V5770">
        <v>7.9060270000000002E-2</v>
      </c>
      <c r="W5770">
        <v>-2.3223839999999998E-3</v>
      </c>
      <c r="X5770">
        <v>0.99686710000000001</v>
      </c>
      <c r="Y5770">
        <v>0.13729520000000001</v>
      </c>
      <c r="Z5770">
        <v>-2.2589399999999999E-2</v>
      </c>
      <c r="AA5770">
        <v>0.99027259999999995</v>
      </c>
      <c r="AB5770">
        <v>24</v>
      </c>
      <c r="AC5770">
        <v>0.72050000000001502</v>
      </c>
      <c r="AD5770">
        <v>-0.21876080000000001</v>
      </c>
      <c r="AE5770">
        <v>-0.10772</v>
      </c>
      <c r="AF5770">
        <v>0.11324923537003601</v>
      </c>
      <c r="AG5770">
        <v>-0.21876080000000001</v>
      </c>
      <c r="AH5770">
        <v>0.65858449233290295</v>
      </c>
      <c r="AI5770">
        <v>108.126552463249</v>
      </c>
      <c r="AJ5770">
        <v>80.242925331999999</v>
      </c>
      <c r="AK5770">
        <v>0.70314664933420901</v>
      </c>
      <c r="AL5770">
        <v>90.133062925556999</v>
      </c>
      <c r="AM5770">
        <v>85.465435517213294</v>
      </c>
      <c r="AN5770">
        <v>0.99999996741116204</v>
      </c>
    </row>
    <row r="5771" spans="1:40" x14ac:dyDescent="0.25">
      <c r="A5771" t="str">
        <f>"20190312154950693"</f>
        <v>20190312154950693</v>
      </c>
      <c r="B5771" t="str">
        <f>"1552376990682123"</f>
        <v>1552376990682123</v>
      </c>
      <c r="C5771" t="s">
        <v>40</v>
      </c>
      <c r="D5771">
        <v>4.8608520000000004</v>
      </c>
      <c r="E5771">
        <v>0.50118180000000001</v>
      </c>
      <c r="F5771" t="s">
        <v>41</v>
      </c>
      <c r="G5771">
        <v>-374.11649999999997</v>
      </c>
      <c r="H5771">
        <v>0.95844580000000001</v>
      </c>
      <c r="I5771">
        <v>18.605519999999999</v>
      </c>
      <c r="J5771">
        <v>-374.71339999999998</v>
      </c>
      <c r="K5771">
        <v>1.1086180000000001</v>
      </c>
      <c r="L5771">
        <v>18.66403</v>
      </c>
      <c r="M5771">
        <v>0.99975449999999999</v>
      </c>
      <c r="N5771">
        <v>0</v>
      </c>
      <c r="O5771">
        <v>2.1927160000000001E-2</v>
      </c>
      <c r="P5771">
        <v>0.99838720000000003</v>
      </c>
      <c r="Q5771">
        <v>-5.7051159999999997E-3</v>
      </c>
      <c r="R5771">
        <v>-5.6486750000000002E-2</v>
      </c>
      <c r="S5771">
        <v>2.988953</v>
      </c>
      <c r="T5771">
        <v>-0.59992129999999999</v>
      </c>
      <c r="U5771">
        <v>-0.21966550000000001</v>
      </c>
      <c r="V5771">
        <v>7.8365260000000006E-2</v>
      </c>
      <c r="W5771">
        <v>-2.479298E-3</v>
      </c>
      <c r="X5771">
        <v>0.99692170000000002</v>
      </c>
      <c r="Y5771">
        <v>9.2867320000000003E-2</v>
      </c>
      <c r="Z5771">
        <v>-1.356829E-2</v>
      </c>
      <c r="AA5771">
        <v>0.99558599999999997</v>
      </c>
      <c r="AB5771">
        <v>24</v>
      </c>
      <c r="AC5771">
        <v>0.59690000000000498</v>
      </c>
      <c r="AD5771">
        <v>-0.15017220000000001</v>
      </c>
      <c r="AE5771">
        <v>-5.8509999999998202E-2</v>
      </c>
      <c r="AF5771">
        <v>6.7361206796920203E-2</v>
      </c>
      <c r="AG5771">
        <v>-0.15017220000000001</v>
      </c>
      <c r="AH5771">
        <v>0.56034358861871503</v>
      </c>
      <c r="AI5771">
        <v>104.900269145556</v>
      </c>
      <c r="AJ5771">
        <v>83.145133339746494</v>
      </c>
      <c r="AK5771">
        <v>0.58401554700202796</v>
      </c>
      <c r="AL5771">
        <v>90.142053447369094</v>
      </c>
      <c r="AM5771">
        <v>85.505379461733895</v>
      </c>
      <c r="AN5771">
        <v>1.0000000684121599</v>
      </c>
    </row>
    <row r="5772" spans="1:40" x14ac:dyDescent="0.25">
      <c r="A5772" t="str">
        <f>"20190312154950712"</f>
        <v>20190312154950712</v>
      </c>
      <c r="B5772" t="str">
        <f>"1552376990701643"</f>
        <v>1552376990701643</v>
      </c>
      <c r="C5772" t="s">
        <v>40</v>
      </c>
      <c r="D5772">
        <v>4.9426569999999996</v>
      </c>
      <c r="E5772">
        <v>0.47423340000000003</v>
      </c>
      <c r="F5772" t="s">
        <v>41</v>
      </c>
      <c r="G5772">
        <v>-373.89879999999999</v>
      </c>
      <c r="H5772">
        <v>0.96430590000000005</v>
      </c>
      <c r="I5772">
        <v>18.622820000000001</v>
      </c>
      <c r="J5772">
        <v>-374.51339999999999</v>
      </c>
      <c r="K5772">
        <v>1.1085769999999999</v>
      </c>
      <c r="L5772">
        <v>18.668489999999998</v>
      </c>
      <c r="M5772">
        <v>0.99975440000000004</v>
      </c>
      <c r="N5772">
        <v>0</v>
      </c>
      <c r="O5772">
        <v>2.1968209999999998E-2</v>
      </c>
      <c r="P5772">
        <v>0.99842540000000002</v>
      </c>
      <c r="Q5772">
        <v>-5.5679029999999999E-3</v>
      </c>
      <c r="R5772">
        <v>-5.581879E-2</v>
      </c>
      <c r="S5772">
        <v>2.9932249999999998</v>
      </c>
      <c r="T5772">
        <v>-0.53026039999999997</v>
      </c>
      <c r="U5772">
        <v>-0.15118409999999999</v>
      </c>
      <c r="V5772">
        <v>7.7739279999999994E-2</v>
      </c>
      <c r="W5772">
        <v>-2.6138950000000002E-3</v>
      </c>
      <c r="X5772">
        <v>0.99697029999999998</v>
      </c>
      <c r="Y5772">
        <v>7.0929439999999996E-2</v>
      </c>
      <c r="Z5772">
        <v>-1.0089880000000001E-2</v>
      </c>
      <c r="AA5772">
        <v>0.99743029999999999</v>
      </c>
      <c r="AB5772">
        <v>24</v>
      </c>
      <c r="AC5772">
        <v>0.61459999999999504</v>
      </c>
      <c r="AD5772">
        <v>-0.14427110000000001</v>
      </c>
      <c r="AE5772">
        <v>-4.5669999999997601E-2</v>
      </c>
      <c r="AF5772">
        <v>5.60871131156064E-2</v>
      </c>
      <c r="AG5772">
        <v>-0.14427110000000001</v>
      </c>
      <c r="AH5772">
        <v>0.58157780744086895</v>
      </c>
      <c r="AI5772">
        <v>103.870186195101</v>
      </c>
      <c r="AJ5772">
        <v>84.491455139002397</v>
      </c>
      <c r="AK5772">
        <v>0.60182444338908403</v>
      </c>
      <c r="AL5772">
        <v>90.149765321596604</v>
      </c>
      <c r="AM5772">
        <v>85.541353514616901</v>
      </c>
      <c r="AN5772">
        <v>1.00000000359203</v>
      </c>
    </row>
    <row r="5773" spans="1:40" x14ac:dyDescent="0.25">
      <c r="A5773" t="str">
        <f>"20190312154950736"</f>
        <v>20190312154950736</v>
      </c>
      <c r="B5773" t="str">
        <f>"1552376990722139"</f>
        <v>1552376990722139</v>
      </c>
      <c r="C5773" t="s">
        <v>40</v>
      </c>
      <c r="D5773">
        <v>4.9169549999999997</v>
      </c>
      <c r="E5773">
        <v>0.47145949999999998</v>
      </c>
      <c r="F5773" t="s">
        <v>42</v>
      </c>
      <c r="G5773">
        <v>-321.93979999999999</v>
      </c>
      <c r="H5773" s="1">
        <v>-3.8331319999999998E-6</v>
      </c>
      <c r="I5773">
        <v>19.3766</v>
      </c>
      <c r="J5773">
        <v>-374.25380000000001</v>
      </c>
      <c r="K5773">
        <v>1.1085240000000001</v>
      </c>
      <c r="L5773">
        <v>18.674219999999998</v>
      </c>
      <c r="M5773">
        <v>0.9997547</v>
      </c>
      <c r="N5773">
        <v>0</v>
      </c>
      <c r="O5773">
        <v>2.1992620000000001E-2</v>
      </c>
      <c r="P5773">
        <v>0.99843870000000001</v>
      </c>
      <c r="Q5773">
        <v>-5.4147559999999997E-3</v>
      </c>
      <c r="R5773">
        <v>-5.5599330000000002E-2</v>
      </c>
      <c r="S5773">
        <v>3.006653</v>
      </c>
      <c r="T5773">
        <v>-6.3398960000000004E-2</v>
      </c>
      <c r="U5773">
        <v>4.0496829999999998E-2</v>
      </c>
      <c r="V5773">
        <v>7.7543989999999993E-2</v>
      </c>
      <c r="W5773">
        <v>-2.7844359999999999E-3</v>
      </c>
      <c r="X5773">
        <v>0.99698500000000001</v>
      </c>
      <c r="Y5773">
        <v>8.519324E-3</v>
      </c>
      <c r="Z5773">
        <v>-5.5343129999999995E-4</v>
      </c>
      <c r="AA5773">
        <v>0.99996359999999995</v>
      </c>
      <c r="AB5773">
        <v>24</v>
      </c>
      <c r="AC5773">
        <v>52.314</v>
      </c>
      <c r="AD5773">
        <v>-1.1085278331319901</v>
      </c>
      <c r="AE5773">
        <v>0.70237999999999701</v>
      </c>
      <c r="AF5773">
        <v>0.44811458294388101</v>
      </c>
      <c r="AG5773">
        <v>-1.1085278331319901</v>
      </c>
      <c r="AH5773">
        <v>52.293318053688097</v>
      </c>
      <c r="AI5773">
        <v>91.214344905782298</v>
      </c>
      <c r="AJ5773">
        <v>89.509030085175496</v>
      </c>
      <c r="AK5773">
        <v>52.306985706504399</v>
      </c>
      <c r="AL5773">
        <v>90.159536644159402</v>
      </c>
      <c r="AM5773">
        <v>85.552574465294995</v>
      </c>
      <c r="AN5773">
        <v>0.99999995684697796</v>
      </c>
    </row>
    <row r="5774" spans="1:40" x14ac:dyDescent="0.25">
      <c r="A5774" t="str">
        <f>"20190312154950757"</f>
        <v>20190312154950757</v>
      </c>
      <c r="B5774" t="str">
        <f>"1552376990751419"</f>
        <v>1552376990751419</v>
      </c>
      <c r="C5774" t="s">
        <v>40</v>
      </c>
      <c r="D5774">
        <v>4.9377209999999998</v>
      </c>
      <c r="E5774">
        <v>0.47234880000000001</v>
      </c>
      <c r="F5774" t="s">
        <v>43</v>
      </c>
      <c r="G5774">
        <v>-292.53019999999998</v>
      </c>
      <c r="H5774">
        <v>-0.05</v>
      </c>
      <c r="I5774">
        <v>20.36317</v>
      </c>
      <c r="J5774">
        <v>-374.0258</v>
      </c>
      <c r="K5774">
        <v>1.1084750000000001</v>
      </c>
      <c r="L5774">
        <v>18.679259999999999</v>
      </c>
      <c r="M5774">
        <v>0.99975539999999996</v>
      </c>
      <c r="N5774">
        <v>0</v>
      </c>
      <c r="O5774">
        <v>2.1984839999999999E-2</v>
      </c>
      <c r="P5774">
        <v>0.99843780000000004</v>
      </c>
      <c r="Q5774">
        <v>-5.4789729999999998E-3</v>
      </c>
      <c r="R5774">
        <v>-5.5606639999999999E-2</v>
      </c>
      <c r="S5774">
        <v>3.007965</v>
      </c>
      <c r="T5774">
        <v>-4.2641279999999997E-2</v>
      </c>
      <c r="U5774">
        <v>6.216431E-2</v>
      </c>
      <c r="V5774">
        <v>7.7543550000000003E-2</v>
      </c>
      <c r="W5774">
        <v>-3.105811E-3</v>
      </c>
      <c r="X5774">
        <v>0.99698410000000004</v>
      </c>
      <c r="Y5774">
        <v>1.320716E-3</v>
      </c>
      <c r="Z5774">
        <v>-3.2093509999999998E-4</v>
      </c>
      <c r="AA5774">
        <v>0.99999910000000003</v>
      </c>
      <c r="AB5774">
        <v>24</v>
      </c>
      <c r="AC5774">
        <v>81.495599999999996</v>
      </c>
      <c r="AD5774">
        <v>-1.1584749999999999</v>
      </c>
      <c r="AE5774">
        <v>1.68391</v>
      </c>
      <c r="AF5774">
        <v>0.10814808084498</v>
      </c>
      <c r="AG5774">
        <v>-1.1584749999999999</v>
      </c>
      <c r="AH5774">
        <v>81.496462258198903</v>
      </c>
      <c r="AI5774">
        <v>90.814405897586695</v>
      </c>
      <c r="AJ5774">
        <v>89.923966945486299</v>
      </c>
      <c r="AK5774">
        <v>81.504767473658006</v>
      </c>
      <c r="AL5774">
        <v>90.177950153347396</v>
      </c>
      <c r="AM5774">
        <v>85.552595600965702</v>
      </c>
      <c r="AN5774">
        <v>0.99999997193068901</v>
      </c>
    </row>
    <row r="5775" spans="1:40" x14ac:dyDescent="0.25">
      <c r="A5775" t="str">
        <f>"20190312154950779"</f>
        <v>20190312154950779</v>
      </c>
      <c r="B5775" t="str">
        <f>"1552376990771915"</f>
        <v>1552376990771915</v>
      </c>
      <c r="C5775" t="s">
        <v>40</v>
      </c>
      <c r="D5775">
        <v>5.0316619999999999</v>
      </c>
      <c r="E5775">
        <v>0.47293230000000003</v>
      </c>
      <c r="F5775" t="s">
        <v>70</v>
      </c>
      <c r="G5775">
        <v>-279.68</v>
      </c>
      <c r="H5775">
        <v>1.5596870000000001E-2</v>
      </c>
      <c r="I5775">
        <v>20.392900000000001</v>
      </c>
      <c r="J5775">
        <v>-373.78190000000001</v>
      </c>
      <c r="K5775">
        <v>1.1084259999999999</v>
      </c>
      <c r="L5775">
        <v>18.6846</v>
      </c>
      <c r="M5775">
        <v>0.99975709999999995</v>
      </c>
      <c r="N5775">
        <v>0</v>
      </c>
      <c r="O5775">
        <v>2.193906E-2</v>
      </c>
      <c r="P5775">
        <v>0.99841760000000002</v>
      </c>
      <c r="Q5775">
        <v>-5.5225919999999998E-3</v>
      </c>
      <c r="R5775">
        <v>-5.5966950000000001E-2</v>
      </c>
      <c r="S5775">
        <v>3.0075069999999999</v>
      </c>
      <c r="T5775">
        <v>-3.483808E-2</v>
      </c>
      <c r="U5775">
        <v>5.4626460000000002E-2</v>
      </c>
      <c r="V5775">
        <v>7.785736E-2</v>
      </c>
      <c r="W5775">
        <v>-3.3964379999999999E-3</v>
      </c>
      <c r="X5775">
        <v>0.99695869999999998</v>
      </c>
      <c r="Y5775">
        <v>3.7777599999999998E-3</v>
      </c>
      <c r="Z5775">
        <v>-2.7595640000000003E-4</v>
      </c>
      <c r="AA5775">
        <v>0.99999280000000002</v>
      </c>
      <c r="AB5775">
        <v>24</v>
      </c>
      <c r="AC5775">
        <v>94.101900000000001</v>
      </c>
      <c r="AD5775">
        <v>-1.0928291299999999</v>
      </c>
      <c r="AE5775">
        <v>1.7082999999999999</v>
      </c>
      <c r="AF5775">
        <v>0.35657488961153899</v>
      </c>
      <c r="AG5775">
        <v>-1.0928291299999999</v>
      </c>
      <c r="AH5775">
        <v>94.104041670879695</v>
      </c>
      <c r="AI5775">
        <v>90.665340529457495</v>
      </c>
      <c r="AJ5775">
        <v>89.782898395052001</v>
      </c>
      <c r="AK5775">
        <v>94.111062473834295</v>
      </c>
      <c r="AL5775">
        <v>90.194601941421993</v>
      </c>
      <c r="AM5775">
        <v>85.534556795854698</v>
      </c>
      <c r="AN5775">
        <v>0.99999997690147302</v>
      </c>
    </row>
    <row r="5776" spans="1:40" x14ac:dyDescent="0.25">
      <c r="A5776" t="str">
        <f>"20190312154950801"</f>
        <v>20190312154950801</v>
      </c>
      <c r="B5776" t="str">
        <f>"1552376990791435"</f>
        <v>1552376990791435</v>
      </c>
      <c r="C5776" t="s">
        <v>40</v>
      </c>
      <c r="D5776">
        <v>5.0211730000000001</v>
      </c>
      <c r="E5776">
        <v>0.47325099999999998</v>
      </c>
      <c r="F5776" t="s">
        <v>43</v>
      </c>
      <c r="G5776">
        <v>-283.77760000000001</v>
      </c>
      <c r="H5776">
        <v>-0.05</v>
      </c>
      <c r="I5776">
        <v>20.152370000000001</v>
      </c>
      <c r="J5776">
        <v>-373.53829999999999</v>
      </c>
      <c r="K5776">
        <v>1.108379</v>
      </c>
      <c r="L5776">
        <v>18.689879999999999</v>
      </c>
      <c r="M5776">
        <v>0.99975950000000002</v>
      </c>
      <c r="N5776">
        <v>0</v>
      </c>
      <c r="O5776">
        <v>2.184821E-2</v>
      </c>
      <c r="P5776">
        <v>0.99841690000000005</v>
      </c>
      <c r="Q5776">
        <v>-5.481133E-3</v>
      </c>
      <c r="R5776">
        <v>-5.5980050000000003E-2</v>
      </c>
      <c r="S5776">
        <v>3.007263</v>
      </c>
      <c r="T5776">
        <v>-3.8705829999999997E-2</v>
      </c>
      <c r="U5776">
        <v>4.9041750000000002E-2</v>
      </c>
      <c r="V5776">
        <v>7.7779639999999997E-2</v>
      </c>
      <c r="W5776">
        <v>-3.5752010000000001E-3</v>
      </c>
      <c r="X5776">
        <v>0.99696419999999997</v>
      </c>
      <c r="Y5776">
        <v>5.5413659999999998E-3</v>
      </c>
      <c r="Z5776">
        <v>-3.1680139999999999E-4</v>
      </c>
      <c r="AA5776">
        <v>0.9999846</v>
      </c>
      <c r="AB5776">
        <v>25</v>
      </c>
      <c r="AC5776">
        <v>89.7606999999999</v>
      </c>
      <c r="AD5776">
        <v>-1.158379</v>
      </c>
      <c r="AE5776">
        <v>1.4624900000000001</v>
      </c>
      <c r="AF5776">
        <v>0.49889018471927998</v>
      </c>
      <c r="AG5776">
        <v>-1.158379</v>
      </c>
      <c r="AH5776">
        <v>89.756282433926003</v>
      </c>
      <c r="AI5776">
        <v>90.739396913748095</v>
      </c>
      <c r="AJ5776">
        <v>89.681537527067604</v>
      </c>
      <c r="AK5776">
        <v>89.765143400335205</v>
      </c>
      <c r="AL5776">
        <v>90.204844357376302</v>
      </c>
      <c r="AM5776">
        <v>85.539020870012706</v>
      </c>
      <c r="AN5776">
        <v>1.00000003527117</v>
      </c>
    </row>
    <row r="5777" spans="1:40" x14ac:dyDescent="0.25">
      <c r="A5777" t="str">
        <f>"20190312154950813"</f>
        <v>20190312154950813</v>
      </c>
      <c r="B5777" t="str">
        <f>"1552376990801196"</f>
        <v>1552376990801196</v>
      </c>
      <c r="C5777" t="s">
        <v>40</v>
      </c>
      <c r="D5777">
        <v>5.0004660000000003</v>
      </c>
      <c r="E5777">
        <v>0.4733329</v>
      </c>
      <c r="F5777" t="s">
        <v>43</v>
      </c>
      <c r="G5777">
        <v>-292.61219999999997</v>
      </c>
      <c r="H5777">
        <v>-0.05</v>
      </c>
      <c r="I5777">
        <v>19.946429999999999</v>
      </c>
      <c r="J5777">
        <v>-373.39339999999999</v>
      </c>
      <c r="K5777">
        <v>1.1083449999999999</v>
      </c>
      <c r="L5777">
        <v>18.693020000000001</v>
      </c>
      <c r="M5777">
        <v>0.99976160000000003</v>
      </c>
      <c r="N5777">
        <v>0</v>
      </c>
      <c r="O5777">
        <v>2.176877E-2</v>
      </c>
      <c r="P5777">
        <v>0.99842880000000001</v>
      </c>
      <c r="Q5777">
        <v>-5.4702910000000004E-3</v>
      </c>
      <c r="R5777">
        <v>-5.5771880000000003E-2</v>
      </c>
      <c r="S5777">
        <v>3.0071409999999998</v>
      </c>
      <c r="T5777">
        <v>-4.3044329999999999E-2</v>
      </c>
      <c r="U5777">
        <v>4.669189E-2</v>
      </c>
      <c r="V5777">
        <v>7.7492389999999994E-2</v>
      </c>
      <c r="W5777">
        <v>-3.6833500000000002E-3</v>
      </c>
      <c r="X5777">
        <v>0.99698620000000004</v>
      </c>
      <c r="Y5777">
        <v>6.2418509999999996E-3</v>
      </c>
      <c r="Z5777">
        <v>-3.5620109999999998E-4</v>
      </c>
      <c r="AA5777">
        <v>0.99998039999999999</v>
      </c>
      <c r="AB5777">
        <v>25</v>
      </c>
      <c r="AC5777">
        <v>80.781199999999998</v>
      </c>
      <c r="AD5777">
        <v>-1.158345</v>
      </c>
      <c r="AE5777">
        <v>1.2534099999999899</v>
      </c>
      <c r="AF5777">
        <v>0.50529302882115201</v>
      </c>
      <c r="AG5777">
        <v>-1.158345</v>
      </c>
      <c r="AH5777">
        <v>80.772738532130305</v>
      </c>
      <c r="AI5777">
        <v>90.821594431821396</v>
      </c>
      <c r="AJ5777">
        <v>89.641577333600196</v>
      </c>
      <c r="AK5777">
        <v>80.782624209441707</v>
      </c>
      <c r="AL5777">
        <v>90.211040873950097</v>
      </c>
      <c r="AM5777">
        <v>85.555527376745204</v>
      </c>
      <c r="AN5777">
        <v>1.0000000602827801</v>
      </c>
    </row>
    <row r="5778" spans="1:40" x14ac:dyDescent="0.25">
      <c r="A5778" t="str">
        <f>"20190312154950826"</f>
        <v>20190312154950826</v>
      </c>
      <c r="B5778" t="str">
        <f>"1552376990821691"</f>
        <v>1552376990821691</v>
      </c>
      <c r="C5778" t="s">
        <v>40</v>
      </c>
      <c r="D5778">
        <v>5.0341089999999999</v>
      </c>
      <c r="E5778">
        <v>0.47334310000000002</v>
      </c>
      <c r="F5778" t="s">
        <v>43</v>
      </c>
      <c r="G5778">
        <v>-296.63069999999999</v>
      </c>
      <c r="H5778">
        <v>-0.05</v>
      </c>
      <c r="I5778">
        <v>19.887280000000001</v>
      </c>
      <c r="J5778">
        <v>-373.25040000000001</v>
      </c>
      <c r="K5778">
        <v>1.108311</v>
      </c>
      <c r="L5778">
        <v>18.69604</v>
      </c>
      <c r="M5778">
        <v>0.99976370000000003</v>
      </c>
      <c r="N5778">
        <v>0</v>
      </c>
      <c r="O5778">
        <v>2.1678579999999999E-2</v>
      </c>
      <c r="P5778">
        <v>0.99842640000000005</v>
      </c>
      <c r="Q5778">
        <v>-5.3892920000000004E-3</v>
      </c>
      <c r="R5778">
        <v>-5.5819439999999998E-2</v>
      </c>
      <c r="S5778">
        <v>3.0070800000000002</v>
      </c>
      <c r="T5778">
        <v>-4.5376659999999999E-2</v>
      </c>
      <c r="U5778">
        <v>4.6783449999999997E-2</v>
      </c>
      <c r="V5778">
        <v>7.7449809999999994E-2</v>
      </c>
      <c r="W5778">
        <v>-3.7147030000000002E-3</v>
      </c>
      <c r="X5778">
        <v>0.99698929999999997</v>
      </c>
      <c r="Y5778">
        <v>6.1205969999999898E-3</v>
      </c>
      <c r="Z5778">
        <v>-3.7323180000000002E-4</v>
      </c>
      <c r="AA5778">
        <v>0.99998120000000001</v>
      </c>
      <c r="AB5778">
        <v>25</v>
      </c>
      <c r="AC5778">
        <v>76.619699999999995</v>
      </c>
      <c r="AD5778">
        <v>-1.1583110000000001</v>
      </c>
      <c r="AE5778">
        <v>1.1912400000000001</v>
      </c>
      <c r="AF5778">
        <v>0.46994101702761099</v>
      </c>
      <c r="AG5778">
        <v>-1.1583110000000001</v>
      </c>
      <c r="AH5778">
        <v>76.610013620421995</v>
      </c>
      <c r="AI5778">
        <v>90.866205653315205</v>
      </c>
      <c r="AJ5778">
        <v>89.648540733669293</v>
      </c>
      <c r="AK5778">
        <v>76.620210883639899</v>
      </c>
      <c r="AL5778">
        <v>90.212837300305495</v>
      </c>
      <c r="AM5778">
        <v>85.557973475767298</v>
      </c>
      <c r="AN5778">
        <v>0.99999996820095105</v>
      </c>
    </row>
    <row r="5779" spans="1:40" x14ac:dyDescent="0.25">
      <c r="A5779" t="str">
        <f>"20190312154950846"</f>
        <v>20190312154950846</v>
      </c>
      <c r="B5779" t="str">
        <f>"1552376990841212"</f>
        <v>1552376990841212</v>
      </c>
      <c r="C5779" t="s">
        <v>40</v>
      </c>
      <c r="D5779">
        <v>4.9826959999999998</v>
      </c>
      <c r="E5779">
        <v>0.47354780000000002</v>
      </c>
      <c r="F5779" t="s">
        <v>43</v>
      </c>
      <c r="G5779">
        <v>-302.79629999999997</v>
      </c>
      <c r="H5779">
        <v>-0.05</v>
      </c>
      <c r="I5779">
        <v>19.791429999999998</v>
      </c>
      <c r="J5779">
        <v>-373.0326</v>
      </c>
      <c r="K5779">
        <v>1.108257</v>
      </c>
      <c r="L5779">
        <v>18.70065</v>
      </c>
      <c r="M5779">
        <v>0.99976759999999998</v>
      </c>
      <c r="N5779">
        <v>0</v>
      </c>
      <c r="O5779">
        <v>2.1502879999999999E-2</v>
      </c>
      <c r="P5779">
        <v>0.9984345</v>
      </c>
      <c r="Q5779">
        <v>-5.8153739999999999E-3</v>
      </c>
      <c r="R5779">
        <v>-5.5628530000000002E-2</v>
      </c>
      <c r="S5779">
        <v>3.0071110000000001</v>
      </c>
      <c r="T5779">
        <v>-4.9438830000000003E-2</v>
      </c>
      <c r="U5779">
        <v>4.6752929999999998E-2</v>
      </c>
      <c r="V5779">
        <v>7.7083399999999996E-2</v>
      </c>
      <c r="W5779">
        <v>-4.295068E-3</v>
      </c>
      <c r="X5779">
        <v>0.9970154</v>
      </c>
      <c r="Y5779">
        <v>5.9546089999999996E-3</v>
      </c>
      <c r="Z5779">
        <v>-4.0238369999999999E-4</v>
      </c>
      <c r="AA5779">
        <v>0.99998220000000004</v>
      </c>
      <c r="AB5779">
        <v>25</v>
      </c>
      <c r="AC5779">
        <v>70.2363</v>
      </c>
      <c r="AD5779">
        <v>-1.1582569999999901</v>
      </c>
      <c r="AE5779">
        <v>1.0907799999999901</v>
      </c>
      <c r="AF5779">
        <v>0.41964263202434998</v>
      </c>
      <c r="AG5779">
        <v>-1.1582569999999901</v>
      </c>
      <c r="AH5779">
        <v>70.224422489958599</v>
      </c>
      <c r="AI5779">
        <v>90.9449139480176</v>
      </c>
      <c r="AJ5779">
        <v>89.657619604744298</v>
      </c>
      <c r="AK5779">
        <v>70.235227437980598</v>
      </c>
      <c r="AL5779">
        <v>90.246090025015903</v>
      </c>
      <c r="AM5779">
        <v>85.579020176870898</v>
      </c>
      <c r="AN5779">
        <v>1.00000000300092</v>
      </c>
    </row>
    <row r="5780" spans="1:40" x14ac:dyDescent="0.25">
      <c r="A5780" t="str">
        <f>"20190312154950857"</f>
        <v>20190312154950857</v>
      </c>
      <c r="B5780" t="str">
        <f>"1552376990851947"</f>
        <v>1552376990851947</v>
      </c>
      <c r="C5780" t="s">
        <v>40</v>
      </c>
      <c r="D5780">
        <v>4.9408880000000002</v>
      </c>
      <c r="E5780">
        <v>0.47380729999999999</v>
      </c>
      <c r="F5780" t="s">
        <v>43</v>
      </c>
      <c r="G5780">
        <v>-307.37569999999999</v>
      </c>
      <c r="H5780">
        <v>-0.05</v>
      </c>
      <c r="I5780">
        <v>19.701519999999999</v>
      </c>
      <c r="J5780">
        <v>-372.88159999999999</v>
      </c>
      <c r="K5780">
        <v>1.1082129999999999</v>
      </c>
      <c r="L5780">
        <v>18.703769999999999</v>
      </c>
      <c r="M5780">
        <v>0.99977090000000002</v>
      </c>
      <c r="N5780">
        <v>0</v>
      </c>
      <c r="O5780">
        <v>2.13542E-2</v>
      </c>
      <c r="P5780">
        <v>0.99842450000000005</v>
      </c>
      <c r="Q5780">
        <v>-5.830081E-3</v>
      </c>
      <c r="R5780">
        <v>-5.5807549999999997E-2</v>
      </c>
      <c r="S5780">
        <v>3.0069270000000001</v>
      </c>
      <c r="T5780">
        <v>-5.3045389999999998E-2</v>
      </c>
      <c r="U5780">
        <v>4.58374E-2</v>
      </c>
      <c r="V5780">
        <v>7.7113559999999998E-2</v>
      </c>
      <c r="W5780">
        <v>-4.4042959999999898E-3</v>
      </c>
      <c r="X5780">
        <v>0.99701260000000003</v>
      </c>
      <c r="Y5780">
        <v>6.1087800000000003E-3</v>
      </c>
      <c r="Z5780">
        <v>-4.3049860000000001E-4</v>
      </c>
      <c r="AA5780">
        <v>0.99998120000000001</v>
      </c>
      <c r="AB5780">
        <v>25</v>
      </c>
      <c r="AC5780">
        <v>65.505899999999997</v>
      </c>
      <c r="AD5780">
        <v>-1.1582129999999999</v>
      </c>
      <c r="AE5780">
        <v>0.99775000000000003</v>
      </c>
      <c r="AF5780">
        <v>0.401179717331901</v>
      </c>
      <c r="AG5780">
        <v>-1.1582129999999999</v>
      </c>
      <c r="AH5780">
        <v>65.491799771280398</v>
      </c>
      <c r="AI5780">
        <v>91.013142949045204</v>
      </c>
      <c r="AJ5780">
        <v>89.649030608232493</v>
      </c>
      <c r="AK5780">
        <v>65.503268924538801</v>
      </c>
      <c r="AL5780">
        <v>90.252348385398307</v>
      </c>
      <c r="AM5780">
        <v>85.577284894510299</v>
      </c>
      <c r="AN5780">
        <v>1.00000001175894</v>
      </c>
    </row>
    <row r="5781" spans="1:40" x14ac:dyDescent="0.25">
      <c r="A5781" t="str">
        <f>"20190312154950879"</f>
        <v>20190312154950879</v>
      </c>
      <c r="B5781" t="str">
        <f>"1552376990871467"</f>
        <v>1552376990871467</v>
      </c>
      <c r="C5781" t="s">
        <v>40</v>
      </c>
      <c r="D5781">
        <v>4.9287590000000003</v>
      </c>
      <c r="E5781">
        <v>0.47421940000000001</v>
      </c>
      <c r="F5781" t="s">
        <v>43</v>
      </c>
      <c r="G5781">
        <v>-306.83479999999997</v>
      </c>
      <c r="H5781">
        <v>-0.05</v>
      </c>
      <c r="I5781">
        <v>19.652270000000001</v>
      </c>
      <c r="J5781">
        <v>-372.6447</v>
      </c>
      <c r="K5781">
        <v>1.1081570000000001</v>
      </c>
      <c r="L5781">
        <v>18.708590000000001</v>
      </c>
      <c r="M5781">
        <v>0.99977669999999996</v>
      </c>
      <c r="N5781">
        <v>0</v>
      </c>
      <c r="O5781">
        <v>2.109484E-2</v>
      </c>
      <c r="P5781">
        <v>0.99841409999999997</v>
      </c>
      <c r="Q5781">
        <v>-5.6084799999999999E-3</v>
      </c>
      <c r="R5781">
        <v>-5.6018480000000002E-2</v>
      </c>
      <c r="S5781">
        <v>3.0068969999999999</v>
      </c>
      <c r="T5781">
        <v>-5.2729730000000002E-2</v>
      </c>
      <c r="U5781">
        <v>4.3182369999999998E-2</v>
      </c>
      <c r="V5781">
        <v>7.7065289999999995E-2</v>
      </c>
      <c r="W5781">
        <v>-4.320094E-3</v>
      </c>
      <c r="X5781">
        <v>0.99701669999999998</v>
      </c>
      <c r="Y5781">
        <v>6.7319759999999998E-3</v>
      </c>
      <c r="Z5781">
        <v>-4.2886209999999999E-4</v>
      </c>
      <c r="AA5781">
        <v>0.99997720000000001</v>
      </c>
      <c r="AB5781">
        <v>25</v>
      </c>
      <c r="AC5781">
        <v>65.809899999999999</v>
      </c>
      <c r="AD5781">
        <v>-1.1581569999999899</v>
      </c>
      <c r="AE5781">
        <v>0.94367999999999996</v>
      </c>
      <c r="AF5781">
        <v>0.44464270002620798</v>
      </c>
      <c r="AG5781">
        <v>-1.1581569999999899</v>
      </c>
      <c r="AH5781">
        <v>65.794789710414406</v>
      </c>
      <c r="AI5781">
        <v>91.008425458422494</v>
      </c>
      <c r="AJ5781">
        <v>89.612799700611404</v>
      </c>
      <c r="AK5781">
        <v>65.806484390255804</v>
      </c>
      <c r="AL5781">
        <v>90.247523920486501</v>
      </c>
      <c r="AM5781">
        <v>85.580060467345504</v>
      </c>
      <c r="AN5781">
        <v>1.0000000111069201</v>
      </c>
    </row>
    <row r="5782" spans="1:40" x14ac:dyDescent="0.25">
      <c r="A5782" t="str">
        <f>"20190312154950892"</f>
        <v>20190312154950892</v>
      </c>
      <c r="B5782" t="str">
        <f>"1552376990881227"</f>
        <v>1552376990881227</v>
      </c>
      <c r="C5782" t="s">
        <v>40</v>
      </c>
      <c r="D5782">
        <v>4.9465779999999997</v>
      </c>
      <c r="E5782">
        <v>0.47433199999999998</v>
      </c>
      <c r="F5782" t="s">
        <v>43</v>
      </c>
      <c r="G5782">
        <v>-308.64729999999997</v>
      </c>
      <c r="H5782">
        <v>-0.05</v>
      </c>
      <c r="I5782">
        <v>19.547840000000001</v>
      </c>
      <c r="J5782">
        <v>-372.49110000000002</v>
      </c>
      <c r="K5782">
        <v>1.1081259999999999</v>
      </c>
      <c r="L5782">
        <v>18.711670000000002</v>
      </c>
      <c r="M5782">
        <v>0.99978069999999997</v>
      </c>
      <c r="N5782">
        <v>0</v>
      </c>
      <c r="O5782">
        <v>2.090622E-2</v>
      </c>
      <c r="P5782">
        <v>0.99840430000000002</v>
      </c>
      <c r="Q5782">
        <v>-5.5183280000000003E-3</v>
      </c>
      <c r="R5782">
        <v>-5.6199680000000002E-2</v>
      </c>
      <c r="S5782">
        <v>3.0066830000000002</v>
      </c>
      <c r="T5782">
        <v>-5.4411769999999998E-2</v>
      </c>
      <c r="U5782">
        <v>3.9428709999999999E-2</v>
      </c>
      <c r="V5782">
        <v>7.7057819999999999E-2</v>
      </c>
      <c r="W5782">
        <v>-4.3106910000000002E-3</v>
      </c>
      <c r="X5782">
        <v>0.9970173</v>
      </c>
      <c r="Y5782">
        <v>7.7900479999999999E-3</v>
      </c>
      <c r="Z5782">
        <v>-4.4873729999999999E-4</v>
      </c>
      <c r="AA5782">
        <v>0.99996949999999996</v>
      </c>
      <c r="AB5782">
        <v>26</v>
      </c>
      <c r="AC5782">
        <v>63.843800000000002</v>
      </c>
      <c r="AD5782">
        <v>-1.158126</v>
      </c>
      <c r="AE5782">
        <v>0.83616999999999897</v>
      </c>
      <c r="AF5782">
        <v>0.49858223507397098</v>
      </c>
      <c r="AG5782">
        <v>-1.158126</v>
      </c>
      <c r="AH5782">
        <v>63.826328470706798</v>
      </c>
      <c r="AI5782">
        <v>91.039483688021903</v>
      </c>
      <c r="AJ5782">
        <v>89.552440545028901</v>
      </c>
      <c r="AK5782">
        <v>63.838781677970303</v>
      </c>
      <c r="AL5782">
        <v>90.246985167711202</v>
      </c>
      <c r="AM5782">
        <v>85.580489847271593</v>
      </c>
      <c r="AN5782">
        <v>0.99999999308967003</v>
      </c>
    </row>
    <row r="5783" spans="1:40" x14ac:dyDescent="0.25">
      <c r="A5783" t="str">
        <f>"20190312154950911"</f>
        <v>20190312154950911</v>
      </c>
      <c r="B5783" t="str">
        <f>"1552376990901723"</f>
        <v>1552376990901723</v>
      </c>
      <c r="C5783" t="s">
        <v>40</v>
      </c>
      <c r="D5783">
        <v>4.9434300000000002</v>
      </c>
      <c r="E5783">
        <v>0.47473680000000001</v>
      </c>
      <c r="F5783" t="s">
        <v>43</v>
      </c>
      <c r="G5783">
        <v>-308.63900000000001</v>
      </c>
      <c r="H5783">
        <v>-0.05</v>
      </c>
      <c r="I5783">
        <v>19.51923</v>
      </c>
      <c r="J5783">
        <v>-372.26909999999998</v>
      </c>
      <c r="K5783">
        <v>1.108079</v>
      </c>
      <c r="L5783">
        <v>18.71603</v>
      </c>
      <c r="M5783">
        <v>0.99978690000000003</v>
      </c>
      <c r="N5783">
        <v>0</v>
      </c>
      <c r="O5783">
        <v>2.060847E-2</v>
      </c>
      <c r="P5783">
        <v>0.99838039999999995</v>
      </c>
      <c r="Q5783">
        <v>-5.40019E-3</v>
      </c>
      <c r="R5783">
        <v>-5.663398E-2</v>
      </c>
      <c r="S5783">
        <v>3.006561</v>
      </c>
      <c r="T5783">
        <v>-5.453181E-2</v>
      </c>
      <c r="U5783">
        <v>3.80249E-2</v>
      </c>
      <c r="V5783">
        <v>7.7194470000000001E-2</v>
      </c>
      <c r="W5783">
        <v>-4.299059E-3</v>
      </c>
      <c r="X5783">
        <v>0.99700679999999997</v>
      </c>
      <c r="Y5783">
        <v>7.9585300000000001E-3</v>
      </c>
      <c r="Z5783">
        <v>-4.4587629999999999E-4</v>
      </c>
      <c r="AA5783">
        <v>0.99996819999999997</v>
      </c>
      <c r="AB5783">
        <v>26</v>
      </c>
      <c r="AC5783">
        <v>63.630099999999899</v>
      </c>
      <c r="AD5783">
        <v>-1.1580790000000001</v>
      </c>
      <c r="AE5783">
        <v>0.80320000000000003</v>
      </c>
      <c r="AF5783">
        <v>0.50812224939851303</v>
      </c>
      <c r="AG5783">
        <v>-1.1580790000000001</v>
      </c>
      <c r="AH5783">
        <v>63.612071228965299</v>
      </c>
      <c r="AI5783">
        <v>91.042940319741106</v>
      </c>
      <c r="AJ5783">
        <v>89.542340932558901</v>
      </c>
      <c r="AK5783">
        <v>63.624640990967698</v>
      </c>
      <c r="AL5783">
        <v>90.246318691952794</v>
      </c>
      <c r="AM5783">
        <v>85.572637228037493</v>
      </c>
      <c r="AN5783">
        <v>1.0000000136765499</v>
      </c>
    </row>
    <row r="5784" spans="1:40" x14ac:dyDescent="0.25">
      <c r="A5784" t="str">
        <f>"20190312154950935"</f>
        <v>20190312154950935</v>
      </c>
      <c r="B5784" t="str">
        <f>"1552376990921243"</f>
        <v>1552376990921243</v>
      </c>
      <c r="C5784" t="s">
        <v>40</v>
      </c>
      <c r="D5784">
        <v>4.8618180000000004</v>
      </c>
      <c r="E5784">
        <v>0.4750124</v>
      </c>
      <c r="F5784" t="s">
        <v>43</v>
      </c>
      <c r="G5784">
        <v>-306.887</v>
      </c>
      <c r="H5784">
        <v>-0.05</v>
      </c>
      <c r="I5784">
        <v>19.44276</v>
      </c>
      <c r="J5784">
        <v>-371.99169999999998</v>
      </c>
      <c r="K5784">
        <v>1.108023</v>
      </c>
      <c r="L5784">
        <v>18.72137</v>
      </c>
      <c r="M5784">
        <v>0.99979560000000001</v>
      </c>
      <c r="N5784">
        <v>0</v>
      </c>
      <c r="O5784">
        <v>2.020069E-2</v>
      </c>
      <c r="P5784">
        <v>0.99834259999999997</v>
      </c>
      <c r="Q5784">
        <v>-5.0025579999999998E-3</v>
      </c>
      <c r="R5784">
        <v>-5.7334650000000001E-2</v>
      </c>
      <c r="S5784">
        <v>3.0064389999999999</v>
      </c>
      <c r="T5784">
        <v>-5.32515E-2</v>
      </c>
      <c r="U5784">
        <v>3.3416750000000002E-2</v>
      </c>
      <c r="V5784">
        <v>7.7487520000000004E-2</v>
      </c>
      <c r="W5784">
        <v>-4.0172150000000002E-3</v>
      </c>
      <c r="X5784">
        <v>0.99698529999999996</v>
      </c>
      <c r="Y5784">
        <v>9.0827579999999998E-3</v>
      </c>
      <c r="Z5784">
        <v>-4.381675E-4</v>
      </c>
      <c r="AA5784">
        <v>0.99995860000000003</v>
      </c>
      <c r="AB5784">
        <v>26</v>
      </c>
      <c r="AC5784">
        <v>65.104699999999895</v>
      </c>
      <c r="AD5784">
        <v>-1.158023</v>
      </c>
      <c r="AE5784">
        <v>0.72138999999999898</v>
      </c>
      <c r="AF5784">
        <v>0.593729697933564</v>
      </c>
      <c r="AG5784">
        <v>-1.158023</v>
      </c>
      <c r="AH5784">
        <v>65.085398425861001</v>
      </c>
      <c r="AI5784">
        <v>91.019277323914395</v>
      </c>
      <c r="AJ5784">
        <v>89.4773441800222</v>
      </c>
      <c r="AK5784">
        <v>65.098407203831101</v>
      </c>
      <c r="AL5784">
        <v>90.230170067617095</v>
      </c>
      <c r="AM5784">
        <v>85.555801574297803</v>
      </c>
      <c r="AN5784">
        <v>1.0000000710940899</v>
      </c>
    </row>
    <row r="5785" spans="1:40" x14ac:dyDescent="0.25">
      <c r="A5785" t="str">
        <f>"20190312154950950"</f>
        <v>20190312154950950</v>
      </c>
      <c r="B5785" t="str">
        <f>"1552376990941739"</f>
        <v>1552376990941739</v>
      </c>
      <c r="C5785" t="s">
        <v>40</v>
      </c>
      <c r="D5785">
        <v>4.860627</v>
      </c>
      <c r="E5785">
        <v>0.47525070000000003</v>
      </c>
      <c r="F5785" t="s">
        <v>43</v>
      </c>
      <c r="G5785">
        <v>-305.73719999999997</v>
      </c>
      <c r="H5785">
        <v>-0.05</v>
      </c>
      <c r="I5785">
        <v>19.36365</v>
      </c>
      <c r="J5785">
        <v>-371.81909999999999</v>
      </c>
      <c r="K5785">
        <v>1.107996</v>
      </c>
      <c r="L5785">
        <v>18.724609999999998</v>
      </c>
      <c r="M5785">
        <v>0.99980089999999999</v>
      </c>
      <c r="N5785">
        <v>0</v>
      </c>
      <c r="O5785">
        <v>1.993369E-2</v>
      </c>
      <c r="P5785">
        <v>0.9983244</v>
      </c>
      <c r="Q5785">
        <v>-4.9438009999999899E-3</v>
      </c>
      <c r="R5785">
        <v>-5.7656899999999997E-2</v>
      </c>
      <c r="S5785">
        <v>3.0064090000000001</v>
      </c>
      <c r="T5785">
        <v>-5.2547219999999999E-2</v>
      </c>
      <c r="U5785">
        <v>2.914429E-2</v>
      </c>
      <c r="V5785">
        <v>7.7542639999999996E-2</v>
      </c>
      <c r="W5785">
        <v>-4.0220170000000001E-3</v>
      </c>
      <c r="X5785">
        <v>0.99698089999999995</v>
      </c>
      <c r="Y5785">
        <v>1.0236479999999999E-2</v>
      </c>
      <c r="Z5785">
        <v>-4.3779829999999998E-4</v>
      </c>
      <c r="AA5785">
        <v>0.99994749999999999</v>
      </c>
      <c r="AB5785">
        <v>26</v>
      </c>
      <c r="AC5785">
        <v>66.081900000000005</v>
      </c>
      <c r="AD5785">
        <v>-1.15799599999999</v>
      </c>
      <c r="AE5785">
        <v>0.63903999999999705</v>
      </c>
      <c r="AF5785">
        <v>0.67813539508161103</v>
      </c>
      <c r="AG5785">
        <v>-1.15799599999999</v>
      </c>
      <c r="AH5785">
        <v>66.061224158795596</v>
      </c>
      <c r="AI5785">
        <v>91.004189607069193</v>
      </c>
      <c r="AJ5785">
        <v>89.411864798235399</v>
      </c>
      <c r="AK5785">
        <v>66.074852702890794</v>
      </c>
      <c r="AL5785">
        <v>90.230445225997997</v>
      </c>
      <c r="AM5785">
        <v>85.552633366030093</v>
      </c>
      <c r="AN5785">
        <v>0.99999997630186299</v>
      </c>
    </row>
    <row r="5786" spans="1:40" x14ac:dyDescent="0.25">
      <c r="A5786" t="str">
        <f>"20190312154950969"</f>
        <v>20190312154950969</v>
      </c>
      <c r="B5786" t="str">
        <f>"1552376990961260"</f>
        <v>1552376990961260</v>
      </c>
      <c r="C5786" t="s">
        <v>40</v>
      </c>
      <c r="D5786">
        <v>4.8127700000000004</v>
      </c>
      <c r="E5786">
        <v>0.47550809999999999</v>
      </c>
      <c r="F5786" t="s">
        <v>43</v>
      </c>
      <c r="G5786">
        <v>-305.3843</v>
      </c>
      <c r="H5786">
        <v>-0.05</v>
      </c>
      <c r="I5786">
        <v>19.30528</v>
      </c>
      <c r="J5786">
        <v>-371.59339999999997</v>
      </c>
      <c r="K5786">
        <v>1.1079619999999999</v>
      </c>
      <c r="L5786">
        <v>18.728760000000001</v>
      </c>
      <c r="M5786">
        <v>0.99980809999999998</v>
      </c>
      <c r="N5786">
        <v>0</v>
      </c>
      <c r="O5786">
        <v>1.9572570000000001E-2</v>
      </c>
      <c r="P5786">
        <v>0.99828689999999998</v>
      </c>
      <c r="Q5786">
        <v>-4.9037799999999999E-3</v>
      </c>
      <c r="R5786">
        <v>-5.830403E-2</v>
      </c>
      <c r="S5786">
        <v>3.0062259999999998</v>
      </c>
      <c r="T5786">
        <v>-5.2400229999999999E-2</v>
      </c>
      <c r="U5786">
        <v>2.6275630000000001E-2</v>
      </c>
      <c r="V5786">
        <v>7.7828880000000003E-2</v>
      </c>
      <c r="W5786">
        <v>-4.0547029999999998E-3</v>
      </c>
      <c r="X5786">
        <v>0.99695849999999997</v>
      </c>
      <c r="Y5786">
        <v>1.0828809999999999E-2</v>
      </c>
      <c r="Z5786">
        <v>-4.354723E-4</v>
      </c>
      <c r="AA5786">
        <v>0.99994130000000003</v>
      </c>
      <c r="AB5786">
        <v>26</v>
      </c>
      <c r="AC5786">
        <v>66.209099999999907</v>
      </c>
      <c r="AD5786">
        <v>-1.1579619999999999</v>
      </c>
      <c r="AE5786">
        <v>0.57651999999999803</v>
      </c>
      <c r="AF5786">
        <v>0.71925313279554604</v>
      </c>
      <c r="AG5786">
        <v>-1.1579619999999999</v>
      </c>
      <c r="AH5786">
        <v>66.187456900210293</v>
      </c>
      <c r="AI5786">
        <v>91.002239016124804</v>
      </c>
      <c r="AJ5786">
        <v>89.377396431443501</v>
      </c>
      <c r="AK5786">
        <v>66.201492822893997</v>
      </c>
      <c r="AL5786">
        <v>90.232318002648597</v>
      </c>
      <c r="AM5786">
        <v>85.536182747492404</v>
      </c>
      <c r="AN5786">
        <v>1.0000000129503599</v>
      </c>
    </row>
    <row r="5787" spans="1:40" x14ac:dyDescent="0.25">
      <c r="A5787" t="str">
        <f>"20190312154950982"</f>
        <v>20190312154950982</v>
      </c>
      <c r="B5787" t="str">
        <f>"1552376990971995"</f>
        <v>1552376990971995</v>
      </c>
      <c r="C5787" t="s">
        <v>40</v>
      </c>
      <c r="D5787">
        <v>4.8145309999999997</v>
      </c>
      <c r="E5787">
        <v>0.47562199999999999</v>
      </c>
      <c r="F5787" t="s">
        <v>43</v>
      </c>
      <c r="G5787">
        <v>-304.4984</v>
      </c>
      <c r="H5787">
        <v>-0.05</v>
      </c>
      <c r="I5787">
        <v>19.22598</v>
      </c>
      <c r="J5787">
        <v>-371.42259999999999</v>
      </c>
      <c r="K5787">
        <v>1.1079399999999999</v>
      </c>
      <c r="L5787">
        <v>18.731870000000001</v>
      </c>
      <c r="M5787">
        <v>0.99981350000000002</v>
      </c>
      <c r="N5787">
        <v>0</v>
      </c>
      <c r="O5787">
        <v>1.929376E-2</v>
      </c>
      <c r="P5787">
        <v>0.99825280000000005</v>
      </c>
      <c r="Q5787">
        <v>-4.7968289999999998E-3</v>
      </c>
      <c r="R5787">
        <v>-5.889366E-2</v>
      </c>
      <c r="S5787">
        <v>3.006195</v>
      </c>
      <c r="T5787">
        <v>-5.188251E-2</v>
      </c>
      <c r="U5787">
        <v>2.2277829999999998E-2</v>
      </c>
      <c r="V5787">
        <v>7.8139689999999998E-2</v>
      </c>
      <c r="W5787">
        <v>-3.9959000000000001E-3</v>
      </c>
      <c r="X5787">
        <v>0.9969344</v>
      </c>
      <c r="Y5787">
        <v>1.1879539999999999E-2</v>
      </c>
      <c r="Z5787">
        <v>-4.3543400000000001E-4</v>
      </c>
      <c r="AA5787">
        <v>0.99992939999999997</v>
      </c>
      <c r="AB5787">
        <v>27</v>
      </c>
      <c r="AC5787">
        <v>66.9241999999999</v>
      </c>
      <c r="AD5787">
        <v>-1.15794</v>
      </c>
      <c r="AE5787">
        <v>0.49410999999999899</v>
      </c>
      <c r="AF5787">
        <v>0.79696331741481197</v>
      </c>
      <c r="AG5787">
        <v>-1.15794</v>
      </c>
      <c r="AH5787">
        <v>66.901248817722703</v>
      </c>
      <c r="AI5787">
        <v>90.991517298409605</v>
      </c>
      <c r="AJ5787">
        <v>89.317494433446399</v>
      </c>
      <c r="AK5787">
        <v>66.916015040823794</v>
      </c>
      <c r="AL5787">
        <v>90.228948817354393</v>
      </c>
      <c r="AM5787">
        <v>85.518321051583499</v>
      </c>
      <c r="AN5787">
        <v>0.99999998813673296</v>
      </c>
    </row>
    <row r="5788" spans="1:40" x14ac:dyDescent="0.25">
      <c r="A5788" t="str">
        <f>"20190312154951002"</f>
        <v>20190312154951002</v>
      </c>
      <c r="B5788" t="str">
        <f>"1552376990991515"</f>
        <v>1552376990991515</v>
      </c>
      <c r="C5788" t="s">
        <v>40</v>
      </c>
      <c r="D5788">
        <v>4.7547040000000003</v>
      </c>
      <c r="E5788">
        <v>0.47586010000000001</v>
      </c>
      <c r="F5788" t="s">
        <v>43</v>
      </c>
      <c r="G5788">
        <v>-303.63060000000002</v>
      </c>
      <c r="H5788">
        <v>-0.05</v>
      </c>
      <c r="I5788">
        <v>19.173690000000001</v>
      </c>
      <c r="J5788">
        <v>-371.19130000000001</v>
      </c>
      <c r="K5788">
        <v>1.107915</v>
      </c>
      <c r="L5788">
        <v>18.735959999999999</v>
      </c>
      <c r="M5788">
        <v>0.99982090000000001</v>
      </c>
      <c r="N5788">
        <v>0</v>
      </c>
      <c r="O5788">
        <v>1.891178E-2</v>
      </c>
      <c r="P5788">
        <v>0.99820710000000001</v>
      </c>
      <c r="Q5788">
        <v>-5.0935909999999997E-3</v>
      </c>
      <c r="R5788">
        <v>-5.9641270000000003E-2</v>
      </c>
      <c r="S5788">
        <v>3.006195</v>
      </c>
      <c r="T5788">
        <v>-5.1348089999999999E-2</v>
      </c>
      <c r="U5788">
        <v>1.9592289999999998E-2</v>
      </c>
      <c r="V5788">
        <v>7.8504980000000002E-2</v>
      </c>
      <c r="W5788">
        <v>-4.3489239999999997E-3</v>
      </c>
      <c r="X5788">
        <v>0.99690429999999997</v>
      </c>
      <c r="Y5788">
        <v>1.239082E-2</v>
      </c>
      <c r="Z5788">
        <v>-4.287947E-4</v>
      </c>
      <c r="AA5788">
        <v>0.99992309999999995</v>
      </c>
      <c r="AB5788">
        <v>27</v>
      </c>
      <c r="AC5788">
        <v>67.560699999999997</v>
      </c>
      <c r="AD5788">
        <v>-1.157915</v>
      </c>
      <c r="AE5788">
        <v>0.43772999999999801</v>
      </c>
      <c r="AF5788">
        <v>0.83979503558179103</v>
      </c>
      <c r="AG5788">
        <v>-1.157915</v>
      </c>
      <c r="AH5788">
        <v>67.537057850122196</v>
      </c>
      <c r="AI5788">
        <v>90.982157328154202</v>
      </c>
      <c r="AJ5788">
        <v>89.287587688296199</v>
      </c>
      <c r="AK5788">
        <v>67.552203560652003</v>
      </c>
      <c r="AL5788">
        <v>90.249175760081599</v>
      </c>
      <c r="AM5788">
        <v>85.497320512425901</v>
      </c>
      <c r="AN5788">
        <v>1.00000006419162</v>
      </c>
    </row>
    <row r="5789" spans="1:40" x14ac:dyDescent="0.25">
      <c r="A5789" t="str">
        <f>"20190312154951014"</f>
        <v>20190312154951014</v>
      </c>
      <c r="B5789" t="str">
        <f>"1552376991001275"</f>
        <v>1552376991001275</v>
      </c>
      <c r="C5789" t="s">
        <v>40</v>
      </c>
      <c r="D5789">
        <v>4.747941</v>
      </c>
      <c r="E5789">
        <v>0.47596290000000002</v>
      </c>
      <c r="F5789" t="s">
        <v>43</v>
      </c>
      <c r="G5789">
        <v>-304.2901</v>
      </c>
      <c r="H5789">
        <v>-0.05</v>
      </c>
      <c r="I5789">
        <v>19.078949999999999</v>
      </c>
      <c r="J5789">
        <v>-371.04059999999998</v>
      </c>
      <c r="K5789">
        <v>1.107901</v>
      </c>
      <c r="L5789">
        <v>18.738589999999999</v>
      </c>
      <c r="M5789">
        <v>0.99982550000000003</v>
      </c>
      <c r="N5789">
        <v>0</v>
      </c>
      <c r="O5789">
        <v>1.866193E-2</v>
      </c>
      <c r="P5789">
        <v>0.99817840000000002</v>
      </c>
      <c r="Q5789">
        <v>-5.1412059999999997E-3</v>
      </c>
      <c r="R5789">
        <v>-6.0114090000000002E-2</v>
      </c>
      <c r="S5789">
        <v>3.0060419999999999</v>
      </c>
      <c r="T5789">
        <v>-5.2028060000000001E-2</v>
      </c>
      <c r="U5789">
        <v>1.5411380000000001E-2</v>
      </c>
      <c r="V5789">
        <v>7.872796E-2</v>
      </c>
      <c r="W5789">
        <v>-4.4279940000000002E-3</v>
      </c>
      <c r="X5789">
        <v>0.9968863</v>
      </c>
      <c r="Y5789">
        <v>1.3531039999999999E-2</v>
      </c>
      <c r="Z5789">
        <v>-4.4004040000000002E-4</v>
      </c>
      <c r="AA5789">
        <v>0.99990829999999997</v>
      </c>
      <c r="AB5789">
        <v>27</v>
      </c>
      <c r="AC5789">
        <v>66.750499999999903</v>
      </c>
      <c r="AD5789">
        <v>-1.1579010000000001</v>
      </c>
      <c r="AE5789">
        <v>0.34036</v>
      </c>
      <c r="AF5789">
        <v>0.90512051806858496</v>
      </c>
      <c r="AG5789">
        <v>-1.1579010000000001</v>
      </c>
      <c r="AH5789">
        <v>66.725149624205002</v>
      </c>
      <c r="AI5789">
        <v>90.994079165997206</v>
      </c>
      <c r="AJ5789">
        <v>89.222835685770306</v>
      </c>
      <c r="AK5789">
        <v>66.741333296920104</v>
      </c>
      <c r="AL5789">
        <v>90.253706197757097</v>
      </c>
      <c r="AM5789">
        <v>85.484503039332395</v>
      </c>
      <c r="AN5789">
        <v>0.99999999697215702</v>
      </c>
    </row>
    <row r="5790" spans="1:40" x14ac:dyDescent="0.25">
      <c r="A5790" t="str">
        <f>"20190312154951027"</f>
        <v>20190312154951027</v>
      </c>
      <c r="B5790" t="str">
        <f>"1552376991021771"</f>
        <v>1552376991021771</v>
      </c>
      <c r="C5790" t="s">
        <v>40</v>
      </c>
      <c r="D5790">
        <v>4.727468</v>
      </c>
      <c r="E5790">
        <v>0.47613709999999998</v>
      </c>
      <c r="F5790" t="s">
        <v>43</v>
      </c>
      <c r="G5790">
        <v>-304.0609</v>
      </c>
      <c r="H5790">
        <v>-0.05</v>
      </c>
      <c r="I5790">
        <v>19.031659999999999</v>
      </c>
      <c r="J5790">
        <v>-370.88319999999999</v>
      </c>
      <c r="K5790">
        <v>1.107888</v>
      </c>
      <c r="L5790">
        <v>18.74127</v>
      </c>
      <c r="M5790">
        <v>0.99983049999999996</v>
      </c>
      <c r="N5790">
        <v>0</v>
      </c>
      <c r="O5790">
        <v>1.8400590000000001E-2</v>
      </c>
      <c r="P5790">
        <v>0.99815290000000001</v>
      </c>
      <c r="Q5790">
        <v>-5.2964350000000004E-3</v>
      </c>
      <c r="R5790">
        <v>-6.0526400000000001E-2</v>
      </c>
      <c r="S5790">
        <v>3.0060419999999999</v>
      </c>
      <c r="T5790">
        <v>-5.1966430000000001E-2</v>
      </c>
      <c r="U5790">
        <v>1.3153079999999999E-2</v>
      </c>
      <c r="V5790">
        <v>7.8878889999999993E-2</v>
      </c>
      <c r="W5790">
        <v>-4.6135389999999998E-3</v>
      </c>
      <c r="X5790">
        <v>0.99687360000000003</v>
      </c>
      <c r="Y5790">
        <v>1.402081E-2</v>
      </c>
      <c r="Z5790">
        <v>-4.3923649999999997E-4</v>
      </c>
      <c r="AA5790">
        <v>0.99990159999999995</v>
      </c>
      <c r="AB5790">
        <v>27</v>
      </c>
      <c r="AC5790">
        <v>66.822299999999899</v>
      </c>
      <c r="AD5790">
        <v>-1.157888</v>
      </c>
      <c r="AE5790">
        <v>0.29039000000000198</v>
      </c>
      <c r="AF5790">
        <v>0.938947230915258</v>
      </c>
      <c r="AG5790">
        <v>-1.157888</v>
      </c>
      <c r="AH5790">
        <v>66.796274444405398</v>
      </c>
      <c r="AI5790">
        <v>90.993002989336105</v>
      </c>
      <c r="AJ5790">
        <v>89.194653130250103</v>
      </c>
      <c r="AK5790">
        <v>66.812907481828006</v>
      </c>
      <c r="AL5790">
        <v>90.264337232756503</v>
      </c>
      <c r="AM5790">
        <v>85.475824849727999</v>
      </c>
      <c r="AN5790">
        <v>1.0000000692033399</v>
      </c>
    </row>
    <row r="5791" spans="1:40" x14ac:dyDescent="0.25">
      <c r="A5791" t="str">
        <f>"20190312154951047"</f>
        <v>20190312154951047</v>
      </c>
      <c r="B5791" t="str">
        <f>"1552376991041291"</f>
        <v>1552376991041291</v>
      </c>
      <c r="C5791" t="s">
        <v>40</v>
      </c>
      <c r="D5791">
        <v>4.7300209999999998</v>
      </c>
      <c r="E5791">
        <v>0.47629850000000001</v>
      </c>
      <c r="F5791" t="s">
        <v>43</v>
      </c>
      <c r="G5791">
        <v>-303.40839999999997</v>
      </c>
      <c r="H5791">
        <v>-0.05</v>
      </c>
      <c r="I5791">
        <v>18.976240000000001</v>
      </c>
      <c r="J5791">
        <v>-370.64920000000001</v>
      </c>
      <c r="K5791">
        <v>1.1078730000000001</v>
      </c>
      <c r="L5791">
        <v>18.745180000000001</v>
      </c>
      <c r="M5791">
        <v>0.99983759999999999</v>
      </c>
      <c r="N5791">
        <v>0</v>
      </c>
      <c r="O5791">
        <v>1.801258E-2</v>
      </c>
      <c r="P5791">
        <v>0.99810969999999999</v>
      </c>
      <c r="Q5791">
        <v>-5.3131519999999998E-3</v>
      </c>
      <c r="R5791">
        <v>-6.1232370000000001E-2</v>
      </c>
      <c r="S5791">
        <v>3.0059200000000001</v>
      </c>
      <c r="T5791">
        <v>-5.1582459999999997E-2</v>
      </c>
      <c r="U5791">
        <v>1.0467529999999999E-2</v>
      </c>
      <c r="V5791">
        <v>7.9196890000000006E-2</v>
      </c>
      <c r="W5791">
        <v>-4.6681750000000001E-3</v>
      </c>
      <c r="X5791">
        <v>0.99684799999999996</v>
      </c>
      <c r="Y5791">
        <v>1.4525959999999999E-2</v>
      </c>
      <c r="Z5791">
        <v>-4.336877E-4</v>
      </c>
      <c r="AA5791">
        <v>0.99989439999999996</v>
      </c>
      <c r="AB5791">
        <v>27</v>
      </c>
      <c r="AC5791">
        <v>67.240799999999993</v>
      </c>
      <c r="AD5791">
        <v>-1.1578729999999999</v>
      </c>
      <c r="AE5791">
        <v>0.23106000000000201</v>
      </c>
      <c r="AF5791">
        <v>0.979867422246812</v>
      </c>
      <c r="AG5791">
        <v>-1.1578729999999999</v>
      </c>
      <c r="AH5791">
        <v>67.214122664488201</v>
      </c>
      <c r="AI5791">
        <v>90.986810893548906</v>
      </c>
      <c r="AJ5791">
        <v>89.164784292132495</v>
      </c>
      <c r="AK5791">
        <v>67.231236011293007</v>
      </c>
      <c r="AL5791">
        <v>90.267467713774906</v>
      </c>
      <c r="AM5791">
        <v>85.457545663792004</v>
      </c>
      <c r="AN5791">
        <v>0.99999993717374902</v>
      </c>
    </row>
    <row r="5792" spans="1:40" x14ac:dyDescent="0.25">
      <c r="A5792" t="str">
        <f>"20190312154951068"</f>
        <v>20190312154951068</v>
      </c>
      <c r="B5792" t="str">
        <f>"1552376991061788"</f>
        <v>1552376991061788</v>
      </c>
      <c r="C5792" t="s">
        <v>40</v>
      </c>
      <c r="D5792">
        <v>4.6599529999999998</v>
      </c>
      <c r="E5792">
        <v>0.50499729999999998</v>
      </c>
      <c r="F5792" t="s">
        <v>43</v>
      </c>
      <c r="G5792">
        <v>-300.83969999999999</v>
      </c>
      <c r="H5792">
        <v>-0.05</v>
      </c>
      <c r="I5792">
        <v>18.906780000000001</v>
      </c>
      <c r="J5792">
        <v>-370.37939999999998</v>
      </c>
      <c r="K5792">
        <v>1.1078589999999999</v>
      </c>
      <c r="L5792">
        <v>18.749600000000001</v>
      </c>
      <c r="M5792">
        <v>0.99984550000000005</v>
      </c>
      <c r="N5792">
        <v>0</v>
      </c>
      <c r="O5792">
        <v>1.7566640000000001E-2</v>
      </c>
      <c r="P5792">
        <v>0.99809219999999998</v>
      </c>
      <c r="Q5792">
        <v>-4.7013180000000003E-3</v>
      </c>
      <c r="R5792">
        <v>-6.1561619999999997E-2</v>
      </c>
      <c r="S5792">
        <v>3.00589</v>
      </c>
      <c r="T5792">
        <v>-4.9856190000000002E-2</v>
      </c>
      <c r="U5792">
        <v>6.9580079999999999E-3</v>
      </c>
      <c r="V5792">
        <v>7.9081860000000004E-2</v>
      </c>
      <c r="W5792">
        <v>-4.0909149999999997E-3</v>
      </c>
      <c r="X5792">
        <v>0.99685970000000002</v>
      </c>
      <c r="Y5792">
        <v>1.524766E-2</v>
      </c>
      <c r="Z5792">
        <v>-4.1777140000000002E-4</v>
      </c>
      <c r="AA5792">
        <v>0.99988370000000004</v>
      </c>
      <c r="AB5792">
        <v>27</v>
      </c>
      <c r="AC5792">
        <v>69.539699999999897</v>
      </c>
      <c r="AD5792">
        <v>-1.157859</v>
      </c>
      <c r="AE5792">
        <v>0.15717999999999599</v>
      </c>
      <c r="AF5792">
        <v>1.06412835656823</v>
      </c>
      <c r="AG5792">
        <v>-1.157859</v>
      </c>
      <c r="AH5792">
        <v>69.512459689947406</v>
      </c>
      <c r="AI5792">
        <v>90.954167497546095</v>
      </c>
      <c r="AJ5792">
        <v>89.122958648284694</v>
      </c>
      <c r="AK5792">
        <v>69.530245640078803</v>
      </c>
      <c r="AL5792">
        <v>90.2343928249405</v>
      </c>
      <c r="AM5792">
        <v>85.464168842018097</v>
      </c>
      <c r="AN5792">
        <v>0.99999996882534203</v>
      </c>
    </row>
    <row r="5793" spans="1:40" x14ac:dyDescent="0.25">
      <c r="A5793" t="str">
        <f>"20190312154951091"</f>
        <v>20190312154951091</v>
      </c>
      <c r="B5793" t="str">
        <f>"1552376991081307"</f>
        <v>1552376991081307</v>
      </c>
      <c r="C5793" t="s">
        <v>40</v>
      </c>
      <c r="D5793">
        <v>4.5947100000000001</v>
      </c>
      <c r="E5793">
        <v>0.51687179999999999</v>
      </c>
      <c r="F5793" t="s">
        <v>42</v>
      </c>
      <c r="G5793">
        <v>-325.67340000000002</v>
      </c>
      <c r="H5793" s="1">
        <v>-2.766266E-6</v>
      </c>
      <c r="I5793">
        <v>15.44115</v>
      </c>
      <c r="J5793">
        <v>-370.10390000000001</v>
      </c>
      <c r="K5793">
        <v>1.1078460000000001</v>
      </c>
      <c r="L5793">
        <v>18.75403</v>
      </c>
      <c r="M5793">
        <v>0.99985329999999994</v>
      </c>
      <c r="N5793">
        <v>0</v>
      </c>
      <c r="O5793">
        <v>1.7113960000000001E-2</v>
      </c>
      <c r="P5793">
        <v>0.998081</v>
      </c>
      <c r="Q5793">
        <v>-4.6105460000000001E-3</v>
      </c>
      <c r="R5793">
        <v>-6.174996E-2</v>
      </c>
      <c r="S5793">
        <v>2.9917600000000002</v>
      </c>
      <c r="T5793">
        <v>-7.4139120000000003E-2</v>
      </c>
      <c r="U5793">
        <v>-0.22140499999999999</v>
      </c>
      <c r="V5793">
        <v>7.8818659999999999E-2</v>
      </c>
      <c r="W5793">
        <v>-4.0274669999999999E-3</v>
      </c>
      <c r="X5793">
        <v>0.99688080000000001</v>
      </c>
      <c r="Y5793">
        <v>9.0826619999999997E-2</v>
      </c>
      <c r="Z5793">
        <v>-1.547194E-3</v>
      </c>
      <c r="AA5793">
        <v>0.99586549999999996</v>
      </c>
      <c r="AB5793">
        <v>28</v>
      </c>
      <c r="AC5793">
        <v>44.430500000000002</v>
      </c>
      <c r="AD5793">
        <v>-1.1078487662659999</v>
      </c>
      <c r="AE5793">
        <v>-3.3128799999999998</v>
      </c>
      <c r="AF5793">
        <v>4.0702602074372001</v>
      </c>
      <c r="AG5793">
        <v>-1.1078487662659999</v>
      </c>
      <c r="AH5793">
        <v>44.339881628874899</v>
      </c>
      <c r="AI5793">
        <v>91.425268969165003</v>
      </c>
      <c r="AJ5793">
        <v>84.755128827632205</v>
      </c>
      <c r="AK5793">
        <v>44.5400881219133</v>
      </c>
      <c r="AL5793">
        <v>90.230757493018203</v>
      </c>
      <c r="AM5793">
        <v>85.479297590439202</v>
      </c>
      <c r="AN5793">
        <v>0.99999996553163495</v>
      </c>
    </row>
    <row r="5794" spans="1:40" x14ac:dyDescent="0.25">
      <c r="A5794" t="str">
        <f>"20190312154951103"</f>
        <v>20190312154951103</v>
      </c>
      <c r="B5794" t="str">
        <f>"1552376991092043"</f>
        <v>1552376991092043</v>
      </c>
      <c r="C5794" t="s">
        <v>40</v>
      </c>
      <c r="D5794">
        <v>4.5988749999999996</v>
      </c>
      <c r="E5794">
        <v>0.51974569999999998</v>
      </c>
      <c r="F5794" t="s">
        <v>42</v>
      </c>
      <c r="G5794">
        <v>-335.17559999999997</v>
      </c>
      <c r="H5794" s="1">
        <v>-2.8596749999999999E-6</v>
      </c>
      <c r="I5794">
        <v>15.062889999999999</v>
      </c>
      <c r="J5794">
        <v>-369.93669999999997</v>
      </c>
      <c r="K5794">
        <v>1.107836</v>
      </c>
      <c r="L5794">
        <v>18.756620000000002</v>
      </c>
      <c r="M5794">
        <v>0.99985800000000002</v>
      </c>
      <c r="N5794">
        <v>0</v>
      </c>
      <c r="O5794">
        <v>1.6839960000000001E-2</v>
      </c>
      <c r="P5794">
        <v>0.99807840000000003</v>
      </c>
      <c r="Q5794">
        <v>-4.4517330000000003E-3</v>
      </c>
      <c r="R5794">
        <v>-6.1805310000000002E-2</v>
      </c>
      <c r="S5794">
        <v>2.985779</v>
      </c>
      <c r="T5794">
        <v>-9.4702010000000003E-2</v>
      </c>
      <c r="U5794">
        <v>-0.3155212</v>
      </c>
      <c r="V5794">
        <v>7.8600710000000004E-2</v>
      </c>
      <c r="W5794">
        <v>-3.8822169999999999E-3</v>
      </c>
      <c r="X5794">
        <v>0.99689859999999997</v>
      </c>
      <c r="Y5794">
        <v>0.121752399999999</v>
      </c>
      <c r="Z5794">
        <v>-2.4576200000000002E-3</v>
      </c>
      <c r="AA5794">
        <v>0.99255749999999998</v>
      </c>
      <c r="AB5794">
        <v>28</v>
      </c>
      <c r="AC5794">
        <v>34.761099999999999</v>
      </c>
      <c r="AD5794">
        <v>-1.107838859675</v>
      </c>
      <c r="AE5794">
        <v>-3.69373</v>
      </c>
      <c r="AF5794">
        <v>4.2742889404206803</v>
      </c>
      <c r="AG5794">
        <v>-1.107838859675</v>
      </c>
      <c r="AH5794">
        <v>34.659158208631801</v>
      </c>
      <c r="AI5794">
        <v>91.817012559086507</v>
      </c>
      <c r="AJ5794">
        <v>82.969581272529197</v>
      </c>
      <c r="AK5794">
        <v>34.939291644453398</v>
      </c>
      <c r="AL5794">
        <v>90.222435212236107</v>
      </c>
      <c r="AM5794">
        <v>85.491826835401298</v>
      </c>
      <c r="AN5794">
        <v>0.99999998095164899</v>
      </c>
    </row>
    <row r="5795" spans="1:40" x14ac:dyDescent="0.25">
      <c r="A5795" t="str">
        <f>"20190312154951116"</f>
        <v>20190312154951116</v>
      </c>
      <c r="B5795" t="str">
        <f>"1552376991111563"</f>
        <v>1552376991111563</v>
      </c>
      <c r="C5795" t="s">
        <v>40</v>
      </c>
      <c r="D5795">
        <v>4.5609970000000004</v>
      </c>
      <c r="E5795">
        <v>0.52283100000000005</v>
      </c>
      <c r="F5795" t="s">
        <v>42</v>
      </c>
      <c r="G5795">
        <v>-335.92500000000001</v>
      </c>
      <c r="H5795" s="1">
        <v>-2.6278329999999999E-6</v>
      </c>
      <c r="I5795">
        <v>14.899509999999999</v>
      </c>
      <c r="J5795">
        <v>-369.7808</v>
      </c>
      <c r="K5795">
        <v>1.1078269999999999</v>
      </c>
      <c r="L5795">
        <v>18.759</v>
      </c>
      <c r="M5795">
        <v>0.99986240000000004</v>
      </c>
      <c r="N5795">
        <v>0</v>
      </c>
      <c r="O5795">
        <v>1.6584560000000002E-2</v>
      </c>
      <c r="P5795">
        <v>0.99807409999999996</v>
      </c>
      <c r="Q5795">
        <v>-4.4745469999999997E-3</v>
      </c>
      <c r="R5795">
        <v>-6.1872610000000001E-2</v>
      </c>
      <c r="S5795">
        <v>2.9844059999999999</v>
      </c>
      <c r="T5795">
        <v>-9.7208619999999996E-2</v>
      </c>
      <c r="U5795">
        <v>-0.33843990000000002</v>
      </c>
      <c r="V5795">
        <v>7.8413380000000005E-2</v>
      </c>
      <c r="W5795">
        <v>-3.9148639999999997E-3</v>
      </c>
      <c r="X5795">
        <v>0.9969133</v>
      </c>
      <c r="Y5795">
        <v>0.12906769999999901</v>
      </c>
      <c r="Z5795">
        <v>-2.6331800000000002E-3</v>
      </c>
      <c r="AA5795">
        <v>0.99163230000000002</v>
      </c>
      <c r="AB5795">
        <v>28</v>
      </c>
      <c r="AC5795">
        <v>33.855799999999903</v>
      </c>
      <c r="AD5795">
        <v>-1.107829627833</v>
      </c>
      <c r="AE5795">
        <v>-3.8594899999999899</v>
      </c>
      <c r="AF5795">
        <v>4.4157753302728704</v>
      </c>
      <c r="AG5795">
        <v>-1.107829627833</v>
      </c>
      <c r="AH5795">
        <v>33.751460682282499</v>
      </c>
      <c r="AI5795">
        <v>91.864078942217802</v>
      </c>
      <c r="AJ5795">
        <v>82.546207960912895</v>
      </c>
      <c r="AK5795">
        <v>34.057120495417898</v>
      </c>
      <c r="AL5795">
        <v>90.224305744962095</v>
      </c>
      <c r="AM5795">
        <v>85.502593130362598</v>
      </c>
      <c r="AN5795">
        <v>1.00000005602002</v>
      </c>
    </row>
    <row r="5796" spans="1:40" x14ac:dyDescent="0.25">
      <c r="A5796" t="str">
        <f>"20190312154951135"</f>
        <v>20190312154951135</v>
      </c>
      <c r="B5796" t="str">
        <f>"1552376991132060"</f>
        <v>1552376991132060</v>
      </c>
      <c r="C5796" t="s">
        <v>40</v>
      </c>
      <c r="D5796">
        <v>4.5603109999999996</v>
      </c>
      <c r="E5796">
        <v>0.52438580000000001</v>
      </c>
      <c r="F5796" t="s">
        <v>42</v>
      </c>
      <c r="G5796">
        <v>-336.20909999999998</v>
      </c>
      <c r="H5796" s="1">
        <v>-2.5917850000000001E-6</v>
      </c>
      <c r="I5796">
        <v>14.6716</v>
      </c>
      <c r="J5796">
        <v>-369.53609999999998</v>
      </c>
      <c r="K5796">
        <v>1.1078079999999999</v>
      </c>
      <c r="L5796">
        <v>18.762699999999999</v>
      </c>
      <c r="M5796">
        <v>0.99986889999999995</v>
      </c>
      <c r="N5796">
        <v>0</v>
      </c>
      <c r="O5796">
        <v>1.6182289999999998E-2</v>
      </c>
      <c r="P5796">
        <v>0.99803580000000003</v>
      </c>
      <c r="Q5796">
        <v>-4.7144309999999998E-3</v>
      </c>
      <c r="R5796">
        <v>-6.2469669999999998E-2</v>
      </c>
      <c r="S5796">
        <v>2.9828489999999999</v>
      </c>
      <c r="T5796">
        <v>-9.8430749999999997E-2</v>
      </c>
      <c r="U5796">
        <v>-0.36315920000000002</v>
      </c>
      <c r="V5796">
        <v>7.8608330000000004E-2</v>
      </c>
      <c r="W5796">
        <v>-4.1678180000000002E-3</v>
      </c>
      <c r="X5796">
        <v>0.99689689999999997</v>
      </c>
      <c r="Y5796">
        <v>0.13682239999999901</v>
      </c>
      <c r="Z5796">
        <v>-2.780589E-3</v>
      </c>
      <c r="AA5796">
        <v>0.99059169999999996</v>
      </c>
      <c r="AB5796">
        <v>28</v>
      </c>
      <c r="AC5796">
        <v>33.326999999999998</v>
      </c>
      <c r="AD5796">
        <v>-1.1078105917850001</v>
      </c>
      <c r="AE5796">
        <v>-4.0910999999999902</v>
      </c>
      <c r="AF5796">
        <v>4.6248372639827702</v>
      </c>
      <c r="AG5796">
        <v>-1.1078105917850001</v>
      </c>
      <c r="AH5796">
        <v>33.2202712476698</v>
      </c>
      <c r="AI5796">
        <v>91.891728273951003</v>
      </c>
      <c r="AJ5796">
        <v>82.074376311668701</v>
      </c>
      <c r="AK5796">
        <v>33.558944944594899</v>
      </c>
      <c r="AL5796">
        <v>90.238799064237298</v>
      </c>
      <c r="AM5796">
        <v>85.491383932504903</v>
      </c>
      <c r="AN5796">
        <v>1.0000000347409299</v>
      </c>
    </row>
    <row r="5797" spans="1:40" x14ac:dyDescent="0.25">
      <c r="A5797" t="str">
        <f>"20190312154951159"</f>
        <v>20190312154951159</v>
      </c>
      <c r="B5797" t="str">
        <f>"1552376991151579"</f>
        <v>1552376991151579</v>
      </c>
      <c r="C5797" t="s">
        <v>40</v>
      </c>
      <c r="D5797">
        <v>4.5035249999999998</v>
      </c>
      <c r="E5797">
        <v>0.52545140000000001</v>
      </c>
      <c r="F5797" t="s">
        <v>42</v>
      </c>
      <c r="G5797">
        <v>-336.774</v>
      </c>
      <c r="H5797" s="1">
        <v>-2.4138169999999999E-6</v>
      </c>
      <c r="I5797">
        <v>14.617900000000001</v>
      </c>
      <c r="J5797">
        <v>-369.23829999999998</v>
      </c>
      <c r="K5797">
        <v>1.107791</v>
      </c>
      <c r="L5797">
        <v>18.767029999999998</v>
      </c>
      <c r="M5797">
        <v>0.99987689999999996</v>
      </c>
      <c r="N5797">
        <v>0</v>
      </c>
      <c r="O5797">
        <v>1.5687739999999999E-2</v>
      </c>
      <c r="P5797">
        <v>0.99802310000000005</v>
      </c>
      <c r="Q5797">
        <v>-4.7956630000000004E-3</v>
      </c>
      <c r="R5797">
        <v>-6.2667749999999994E-2</v>
      </c>
      <c r="S5797">
        <v>2.9818120000000001</v>
      </c>
      <c r="T5797">
        <v>-0.10082629999999999</v>
      </c>
      <c r="U5797">
        <v>-0.3772278</v>
      </c>
      <c r="V5797">
        <v>7.8312999999999994E-2</v>
      </c>
      <c r="W5797">
        <v>-4.2595460000000003E-3</v>
      </c>
      <c r="X5797">
        <v>0.99691980000000002</v>
      </c>
      <c r="Y5797">
        <v>0.14096929999999999</v>
      </c>
      <c r="Z5797">
        <v>-2.901542E-3</v>
      </c>
      <c r="AA5797">
        <v>0.99000969999999999</v>
      </c>
      <c r="AB5797">
        <v>28</v>
      </c>
      <c r="AC5797">
        <v>32.464299999999902</v>
      </c>
      <c r="AD5797">
        <v>-1.107793413817</v>
      </c>
      <c r="AE5797">
        <v>-4.1491299999999898</v>
      </c>
      <c r="AF5797">
        <v>4.6525804889722098</v>
      </c>
      <c r="AG5797">
        <v>-1.107793413817</v>
      </c>
      <c r="AH5797">
        <v>32.3581419139242</v>
      </c>
      <c r="AI5797">
        <v>91.940833121979097</v>
      </c>
      <c r="AJ5797">
        <v>81.817865999568895</v>
      </c>
      <c r="AK5797">
        <v>32.709678377747998</v>
      </c>
      <c r="AL5797">
        <v>90.244054727257193</v>
      </c>
      <c r="AM5797">
        <v>85.508356026604503</v>
      </c>
      <c r="AN5797">
        <v>1.0000000786665799</v>
      </c>
    </row>
    <row r="5798" spans="1:40" x14ac:dyDescent="0.25">
      <c r="A5798" t="str">
        <f>"20190312154951180"</f>
        <v>20190312154951180</v>
      </c>
      <c r="B5798" t="str">
        <f>"1552376991172076"</f>
        <v>1552376991172076</v>
      </c>
      <c r="C5798" t="s">
        <v>40</v>
      </c>
      <c r="D5798">
        <v>4.494847</v>
      </c>
      <c r="E5798">
        <v>0.526290699999999</v>
      </c>
      <c r="F5798" t="s">
        <v>42</v>
      </c>
      <c r="G5798">
        <v>-335.64359999999999</v>
      </c>
      <c r="H5798" s="1">
        <v>-2.8533069999999998E-6</v>
      </c>
      <c r="I5798">
        <v>14.411879999999901</v>
      </c>
      <c r="J5798">
        <v>-368.9599</v>
      </c>
      <c r="K5798">
        <v>1.107774</v>
      </c>
      <c r="L5798">
        <v>18.77094</v>
      </c>
      <c r="M5798">
        <v>0.9998842</v>
      </c>
      <c r="N5798">
        <v>0</v>
      </c>
      <c r="O5798">
        <v>1.521715E-2</v>
      </c>
      <c r="P5798">
        <v>0.99804649999999995</v>
      </c>
      <c r="Q5798">
        <v>-4.8717860000000003E-3</v>
      </c>
      <c r="R5798">
        <v>-6.229026E-2</v>
      </c>
      <c r="S5798">
        <v>2.9812319999999999</v>
      </c>
      <c r="T5798">
        <v>-9.830701E-2</v>
      </c>
      <c r="U5798">
        <v>-0.3864746</v>
      </c>
      <c r="V5798">
        <v>7.7466560000000004E-2</v>
      </c>
      <c r="W5798">
        <v>-4.3425759999999999E-3</v>
      </c>
      <c r="X5798">
        <v>0.99698549999999997</v>
      </c>
      <c r="Y5798">
        <v>0.14355119999999999</v>
      </c>
      <c r="Z5798">
        <v>-2.8560019999999998E-3</v>
      </c>
      <c r="AA5798">
        <v>0.98963869999999998</v>
      </c>
      <c r="AB5798">
        <v>28</v>
      </c>
      <c r="AC5798">
        <v>33.316299999999998</v>
      </c>
      <c r="AD5798">
        <v>-1.107776853307</v>
      </c>
      <c r="AE5798">
        <v>-4.3590600000000004</v>
      </c>
      <c r="AF5798">
        <v>4.8602514463518096</v>
      </c>
      <c r="AG5798">
        <v>-1.107776853307</v>
      </c>
      <c r="AH5798">
        <v>33.210011479264502</v>
      </c>
      <c r="AI5798">
        <v>91.890368669233098</v>
      </c>
      <c r="AJ5798">
        <v>81.673927793714</v>
      </c>
      <c r="AK5798">
        <v>33.582049909607498</v>
      </c>
      <c r="AL5798">
        <v>90.248812057404805</v>
      </c>
      <c r="AM5798">
        <v>85.556999782239203</v>
      </c>
      <c r="AN5798">
        <v>1.00000000654739</v>
      </c>
    </row>
    <row r="5799" spans="1:40" x14ac:dyDescent="0.25">
      <c r="A5799" t="str">
        <f>"20190312154951194"</f>
        <v>20190312154951194</v>
      </c>
      <c r="B5799" t="str">
        <f>"1552376991181836"</f>
        <v>1552376991181836</v>
      </c>
      <c r="C5799" t="s">
        <v>40</v>
      </c>
      <c r="D5799">
        <v>4.544295</v>
      </c>
      <c r="E5799">
        <v>0.52664239999999996</v>
      </c>
      <c r="F5799" t="s">
        <v>42</v>
      </c>
      <c r="G5799">
        <v>-335.26580000000001</v>
      </c>
      <c r="H5799" s="1">
        <v>-3.0012880000000001E-6</v>
      </c>
      <c r="I5799">
        <v>14.33893</v>
      </c>
      <c r="J5799">
        <v>-368.78789999999998</v>
      </c>
      <c r="K5799">
        <v>1.1077629999999901</v>
      </c>
      <c r="L5799">
        <v>18.77328</v>
      </c>
      <c r="M5799">
        <v>0.99988869999999996</v>
      </c>
      <c r="N5799">
        <v>0</v>
      </c>
      <c r="O5799">
        <v>1.491953E-2</v>
      </c>
      <c r="P5799">
        <v>0.99805169999999999</v>
      </c>
      <c r="Q5799">
        <v>-4.7026999999999998E-3</v>
      </c>
      <c r="R5799">
        <v>-6.221815E-2</v>
      </c>
      <c r="S5799">
        <v>2.980896</v>
      </c>
      <c r="T5799">
        <v>-9.8004339999999995E-2</v>
      </c>
      <c r="U5799">
        <v>-0.39208979999999999</v>
      </c>
      <c r="V5799">
        <v>7.7097689999999997E-2</v>
      </c>
      <c r="W5799">
        <v>-4.1776829999999997E-3</v>
      </c>
      <c r="X5799">
        <v>0.99701479999999998</v>
      </c>
      <c r="Y5799">
        <v>0.1451035</v>
      </c>
      <c r="Z5799">
        <v>-2.8628460000000001E-3</v>
      </c>
      <c r="AA5799">
        <v>0.98941239999999997</v>
      </c>
      <c r="AB5799">
        <v>29</v>
      </c>
      <c r="AC5799">
        <v>33.522099999999902</v>
      </c>
      <c r="AD5799">
        <v>-1.10776600128799</v>
      </c>
      <c r="AE5799">
        <v>-4.4343500000000002</v>
      </c>
      <c r="AF5799">
        <v>4.9287007057132497</v>
      </c>
      <c r="AG5799">
        <v>-1.10776600128799</v>
      </c>
      <c r="AH5799">
        <v>33.416346480504501</v>
      </c>
      <c r="AI5799">
        <v>91.878377220011402</v>
      </c>
      <c r="AJ5799">
        <v>81.609726058381</v>
      </c>
      <c r="AK5799">
        <v>33.796027107712497</v>
      </c>
      <c r="AL5799">
        <v>90.239364298134106</v>
      </c>
      <c r="AM5799">
        <v>85.578201199219706</v>
      </c>
      <c r="AN5799">
        <v>1.0000000091288099</v>
      </c>
    </row>
    <row r="5800" spans="1:40" x14ac:dyDescent="0.25">
      <c r="A5800" t="str">
        <f>"20190312154951214"</f>
        <v>20190312154951214</v>
      </c>
      <c r="B5800" t="str">
        <f>"1552376991201355"</f>
        <v>1552376991201355</v>
      </c>
      <c r="C5800" t="s">
        <v>40</v>
      </c>
      <c r="D5800">
        <v>4.4819469999999999</v>
      </c>
      <c r="E5800">
        <v>0.52725200000000005</v>
      </c>
      <c r="F5800" t="s">
        <v>42</v>
      </c>
      <c r="G5800">
        <v>-334.72669999999999</v>
      </c>
      <c r="H5800" s="1">
        <v>-3.2049239999999998E-6</v>
      </c>
      <c r="I5800">
        <v>14.263199999999999</v>
      </c>
      <c r="J5800">
        <v>-368.5283</v>
      </c>
      <c r="K5800">
        <v>1.1077459999999999</v>
      </c>
      <c r="L5800">
        <v>18.776730000000001</v>
      </c>
      <c r="M5800">
        <v>0.99989539999999999</v>
      </c>
      <c r="N5800">
        <v>0</v>
      </c>
      <c r="O5800">
        <v>1.445829E-2</v>
      </c>
      <c r="P5800">
        <v>0.99807330000000005</v>
      </c>
      <c r="Q5800">
        <v>-4.3518150000000002E-3</v>
      </c>
      <c r="R5800">
        <v>-6.189596E-2</v>
      </c>
      <c r="S5800">
        <v>2.980804</v>
      </c>
      <c r="T5800">
        <v>-9.6943860000000007E-2</v>
      </c>
      <c r="U5800">
        <v>-0.39468379999999997</v>
      </c>
      <c r="V5800">
        <v>7.6316159999999994E-2</v>
      </c>
      <c r="W5800">
        <v>-3.8324990000000001E-3</v>
      </c>
      <c r="X5800">
        <v>0.99707630000000003</v>
      </c>
      <c r="Y5800">
        <v>0.1454992</v>
      </c>
      <c r="Z5800">
        <v>-2.823276E-3</v>
      </c>
      <c r="AA5800">
        <v>0.98935439999999997</v>
      </c>
      <c r="AB5800">
        <v>29</v>
      </c>
      <c r="AC5800">
        <v>33.801600000000001</v>
      </c>
      <c r="AD5800">
        <v>-1.1077492049240001</v>
      </c>
      <c r="AE5800">
        <v>-4.5135300000000003</v>
      </c>
      <c r="AF5800">
        <v>4.9964993028685596</v>
      </c>
      <c r="AG5800">
        <v>-1.1077492049240001</v>
      </c>
      <c r="AH5800">
        <v>33.697251709827398</v>
      </c>
      <c r="AI5800">
        <v>91.862490878129805</v>
      </c>
      <c r="AJ5800">
        <v>81.565853732532801</v>
      </c>
      <c r="AK5800">
        <v>34.083674778111103</v>
      </c>
      <c r="AL5800">
        <v>90.219586556080202</v>
      </c>
      <c r="AM5800">
        <v>85.623118291988604</v>
      </c>
      <c r="AN5800">
        <v>0.99999999617371005</v>
      </c>
    </row>
    <row r="5801" spans="1:40" x14ac:dyDescent="0.25">
      <c r="A5801" t="str">
        <f>"20190312154951226"</f>
        <v>20190312154951226</v>
      </c>
      <c r="B5801" t="str">
        <f>"1552376991221851"</f>
        <v>1552376991221851</v>
      </c>
      <c r="C5801" t="s">
        <v>40</v>
      </c>
      <c r="D5801">
        <v>4.4906860000000002</v>
      </c>
      <c r="E5801">
        <v>0.52762790000000004</v>
      </c>
      <c r="F5801" t="s">
        <v>42</v>
      </c>
      <c r="G5801">
        <v>-334.02010000000001</v>
      </c>
      <c r="H5801" s="1">
        <v>-3.5150580000000001E-6</v>
      </c>
      <c r="I5801">
        <v>14.162710000000001</v>
      </c>
      <c r="J5801">
        <v>-368.36579999999998</v>
      </c>
      <c r="K5801">
        <v>1.1077250000000001</v>
      </c>
      <c r="L5801">
        <v>18.778839999999999</v>
      </c>
      <c r="M5801">
        <v>0.99989969999999995</v>
      </c>
      <c r="N5801">
        <v>0</v>
      </c>
      <c r="O5801">
        <v>1.416216E-2</v>
      </c>
      <c r="P5801">
        <v>0.99807489999999999</v>
      </c>
      <c r="Q5801">
        <v>-4.2195359999999899E-3</v>
      </c>
      <c r="R5801">
        <v>-6.1878610000000001E-2</v>
      </c>
      <c r="S5801">
        <v>2.9806520000000001</v>
      </c>
      <c r="T5801">
        <v>-9.5681909999999995E-2</v>
      </c>
      <c r="U5801">
        <v>-0.39852910000000002</v>
      </c>
      <c r="V5801">
        <v>7.6003719999999997E-2</v>
      </c>
      <c r="W5801">
        <v>-3.7035700000000002E-3</v>
      </c>
      <c r="X5801">
        <v>0.99710069999999995</v>
      </c>
      <c r="Y5801">
        <v>0.14646870000000001</v>
      </c>
      <c r="Z5801">
        <v>-2.7924730000000002E-3</v>
      </c>
      <c r="AA5801">
        <v>0.98921139999999996</v>
      </c>
      <c r="AB5801">
        <v>29</v>
      </c>
      <c r="AC5801">
        <v>34.345699999999901</v>
      </c>
      <c r="AD5801">
        <v>-1.1077285150579901</v>
      </c>
      <c r="AE5801">
        <v>-4.6161299999999903</v>
      </c>
      <c r="AF5801">
        <v>5.0968686075346898</v>
      </c>
      <c r="AG5801">
        <v>-1.1077285150579901</v>
      </c>
      <c r="AH5801">
        <v>34.241894315200298</v>
      </c>
      <c r="AI5801">
        <v>91.8327002696454</v>
      </c>
      <c r="AJ5801">
        <v>81.533746637323105</v>
      </c>
      <c r="AK5801">
        <v>34.636865596628297</v>
      </c>
      <c r="AL5801">
        <v>90.212199405918</v>
      </c>
      <c r="AM5801">
        <v>85.6410743926252</v>
      </c>
      <c r="AN5801">
        <v>1.0000000439125301</v>
      </c>
    </row>
    <row r="5802" spans="1:40" x14ac:dyDescent="0.25">
      <c r="A5802" t="str">
        <f>"20190312154951247"</f>
        <v>20190312154951247</v>
      </c>
      <c r="B5802" t="str">
        <f>"1552376991241371"</f>
        <v>1552376991241371</v>
      </c>
      <c r="C5802" t="s">
        <v>40</v>
      </c>
      <c r="D5802">
        <v>4.5023949999999999</v>
      </c>
      <c r="E5802">
        <v>0.52804219999999902</v>
      </c>
      <c r="F5802" t="s">
        <v>42</v>
      </c>
      <c r="G5802">
        <v>-334.35320000000002</v>
      </c>
      <c r="H5802" s="1">
        <v>-3.365862E-6</v>
      </c>
      <c r="I5802">
        <v>14.19811</v>
      </c>
      <c r="J5802">
        <v>-368.09399999999999</v>
      </c>
      <c r="K5802">
        <v>1.1076979999999901</v>
      </c>
      <c r="L5802">
        <v>18.782229999999998</v>
      </c>
      <c r="M5802">
        <v>0.99990670000000004</v>
      </c>
      <c r="N5802">
        <v>0</v>
      </c>
      <c r="O5802">
        <v>1.364516E-2</v>
      </c>
      <c r="P5802">
        <v>0.99807319999999999</v>
      </c>
      <c r="Q5802">
        <v>-4.5121029999999999E-3</v>
      </c>
      <c r="R5802">
        <v>-6.1886240000000002E-2</v>
      </c>
      <c r="S5802">
        <v>2.980499</v>
      </c>
      <c r="T5802">
        <v>-9.7069260000000004E-2</v>
      </c>
      <c r="U5802">
        <v>-0.40139770000000002</v>
      </c>
      <c r="V5802">
        <v>7.5495129999999994E-2</v>
      </c>
      <c r="W5802">
        <v>-4.0003629999999998E-3</v>
      </c>
      <c r="X5802">
        <v>0.99713810000000003</v>
      </c>
      <c r="Y5802">
        <v>0.14689669999999999</v>
      </c>
      <c r="Z5802">
        <v>-2.823079E-3</v>
      </c>
      <c r="AA5802">
        <v>0.98914780000000002</v>
      </c>
      <c r="AB5802">
        <v>29</v>
      </c>
      <c r="AC5802">
        <v>33.740799999999901</v>
      </c>
      <c r="AD5802">
        <v>-1.1077013658620001</v>
      </c>
      <c r="AE5802">
        <v>-4.5841199999999898</v>
      </c>
      <c r="AF5802">
        <v>5.0387596238821901</v>
      </c>
      <c r="AG5802">
        <v>-1.1077013658620001</v>
      </c>
      <c r="AH5802">
        <v>33.639508432762398</v>
      </c>
      <c r="AI5802">
        <v>91.865194541897495</v>
      </c>
      <c r="AJ5802">
        <v>81.481172591240707</v>
      </c>
      <c r="AK5802">
        <v>34.032816933969599</v>
      </c>
      <c r="AL5802">
        <v>90.229204538286098</v>
      </c>
      <c r="AM5802">
        <v>85.670293268355294</v>
      </c>
      <c r="AN5802">
        <v>0.99999995401472797</v>
      </c>
    </row>
    <row r="5803" spans="1:40" x14ac:dyDescent="0.25">
      <c r="A5803" t="str">
        <f>"20190312154951259"</f>
        <v>20190312154951259</v>
      </c>
      <c r="B5803" t="str">
        <f>"1552376991251131"</f>
        <v>1552376991251131</v>
      </c>
      <c r="C5803" t="s">
        <v>40</v>
      </c>
      <c r="D5803">
        <v>4.4899529999999999</v>
      </c>
      <c r="E5803">
        <v>0.52819569999999905</v>
      </c>
      <c r="F5803" t="s">
        <v>42</v>
      </c>
      <c r="G5803">
        <v>-335.20870000000002</v>
      </c>
      <c r="H5803" s="1">
        <v>-3.0264949999999998E-6</v>
      </c>
      <c r="I5803">
        <v>14.317270000000001</v>
      </c>
      <c r="J5803">
        <v>-367.92509999999999</v>
      </c>
      <c r="K5803">
        <v>1.10768</v>
      </c>
      <c r="L5803">
        <v>18.78424</v>
      </c>
      <c r="M5803">
        <v>0.9999112</v>
      </c>
      <c r="N5803">
        <v>0</v>
      </c>
      <c r="O5803">
        <v>1.330926E-2</v>
      </c>
      <c r="P5803">
        <v>0.99805509999999997</v>
      </c>
      <c r="Q5803">
        <v>-4.4235899999999998E-3</v>
      </c>
      <c r="R5803">
        <v>-6.2181159999999999E-2</v>
      </c>
      <c r="S5803">
        <v>2.9802550000000001</v>
      </c>
      <c r="T5803">
        <v>-0.10038610000000001</v>
      </c>
      <c r="U5803">
        <v>-0.40463260000000001</v>
      </c>
      <c r="V5803">
        <v>7.5454859999999999E-2</v>
      </c>
      <c r="W5803">
        <v>-3.9139270000000002E-3</v>
      </c>
      <c r="X5803">
        <v>0.99714150000000001</v>
      </c>
      <c r="Y5803">
        <v>0.14762339999999999</v>
      </c>
      <c r="Z5803">
        <v>-2.920434E-3</v>
      </c>
      <c r="AA5803">
        <v>0.98903929999999995</v>
      </c>
      <c r="AB5803">
        <v>29</v>
      </c>
      <c r="AC5803">
        <v>32.716399999999901</v>
      </c>
      <c r="AD5803">
        <v>-1.1076830264949999</v>
      </c>
      <c r="AE5803">
        <v>-4.4669699999999999</v>
      </c>
      <c r="AF5803">
        <v>4.89649537027507</v>
      </c>
      <c r="AG5803">
        <v>-1.1076830264949999</v>
      </c>
      <c r="AH5803">
        <v>32.617345012197802</v>
      </c>
      <c r="AI5803">
        <v>91.923477296701705</v>
      </c>
      <c r="AJ5803">
        <v>81.462545462505901</v>
      </c>
      <c r="AK5803">
        <v>33.001421548822002</v>
      </c>
      <c r="AL5803">
        <v>90.224252079297102</v>
      </c>
      <c r="AM5803">
        <v>85.6726087094642</v>
      </c>
      <c r="AN5803">
        <v>0.99999996287221404</v>
      </c>
    </row>
    <row r="5804" spans="1:40" x14ac:dyDescent="0.25">
      <c r="A5804" t="str">
        <f>"20190312154951272"</f>
        <v>20190312154951272</v>
      </c>
      <c r="B5804" t="str">
        <f>"1552376991261867"</f>
        <v>1552376991261867</v>
      </c>
      <c r="C5804" t="s">
        <v>40</v>
      </c>
      <c r="D5804">
        <v>4.4938560000000001</v>
      </c>
      <c r="E5804">
        <v>0.52833079999999999</v>
      </c>
      <c r="F5804" t="s">
        <v>42</v>
      </c>
      <c r="G5804">
        <v>-335.03030000000001</v>
      </c>
      <c r="H5804" s="1">
        <v>-3.093344E-6</v>
      </c>
      <c r="I5804">
        <v>14.29419</v>
      </c>
      <c r="J5804">
        <v>-367.76650000000001</v>
      </c>
      <c r="K5804">
        <v>1.107661</v>
      </c>
      <c r="L5804">
        <v>18.78604</v>
      </c>
      <c r="M5804">
        <v>0.99991569999999996</v>
      </c>
      <c r="N5804">
        <v>0</v>
      </c>
      <c r="O5804">
        <v>1.2983969999999999E-2</v>
      </c>
      <c r="P5804">
        <v>0.99801709999999999</v>
      </c>
      <c r="Q5804">
        <v>-4.8107280000000002E-3</v>
      </c>
      <c r="R5804">
        <v>-6.2758549999999996E-2</v>
      </c>
      <c r="S5804">
        <v>2.9801030000000002</v>
      </c>
      <c r="T5804">
        <v>-0.1003505</v>
      </c>
      <c r="U5804">
        <v>-0.40676879999999999</v>
      </c>
      <c r="V5804">
        <v>7.5706960000000004E-2</v>
      </c>
      <c r="W5804">
        <v>-4.3027150000000004E-3</v>
      </c>
      <c r="X5804">
        <v>0.99712080000000003</v>
      </c>
      <c r="Y5804">
        <v>0.14800459999999999</v>
      </c>
      <c r="Z5804">
        <v>-2.9148870000000001E-3</v>
      </c>
      <c r="AA5804">
        <v>0.98898240000000004</v>
      </c>
      <c r="AB5804">
        <v>29</v>
      </c>
      <c r="AC5804">
        <v>32.736199999999997</v>
      </c>
      <c r="AD5804">
        <v>-1.1076640933440001</v>
      </c>
      <c r="AE5804">
        <v>-4.4918500000000003</v>
      </c>
      <c r="AF5804">
        <v>4.9109986009986502</v>
      </c>
      <c r="AG5804">
        <v>-1.1076640933440001</v>
      </c>
      <c r="AH5804">
        <v>32.638441906413199</v>
      </c>
      <c r="AI5804">
        <v>91.922104050047395</v>
      </c>
      <c r="AJ5804">
        <v>81.443084729965406</v>
      </c>
      <c r="AK5804">
        <v>33.024426067397499</v>
      </c>
      <c r="AL5804">
        <v>90.246528177169196</v>
      </c>
      <c r="AM5804">
        <v>85.658115994974196</v>
      </c>
      <c r="AN5804">
        <v>0.999999973470726</v>
      </c>
    </row>
    <row r="5805" spans="1:40" x14ac:dyDescent="0.25">
      <c r="A5805" t="str">
        <f>"20190312154951291"</f>
        <v>20190312154951291</v>
      </c>
      <c r="B5805" t="str">
        <f>"1552376991281387"</f>
        <v>1552376991281387</v>
      </c>
      <c r="C5805" t="s">
        <v>40</v>
      </c>
      <c r="D5805">
        <v>4.4907589999999997</v>
      </c>
      <c r="E5805">
        <v>0.52865779999999996</v>
      </c>
      <c r="F5805" t="s">
        <v>42</v>
      </c>
      <c r="G5805">
        <v>-335.5403</v>
      </c>
      <c r="H5805" s="1">
        <v>-2.9032559999999999E-6</v>
      </c>
      <c r="I5805">
        <v>14.356299999999999</v>
      </c>
      <c r="J5805">
        <v>-367.51459999999997</v>
      </c>
      <c r="K5805">
        <v>1.1076220000000001</v>
      </c>
      <c r="L5805">
        <v>18.78885</v>
      </c>
      <c r="M5805">
        <v>0.99992230000000004</v>
      </c>
      <c r="N5805">
        <v>0</v>
      </c>
      <c r="O5805">
        <v>1.244603E-2</v>
      </c>
      <c r="P5805">
        <v>0.99796689999999999</v>
      </c>
      <c r="Q5805">
        <v>-5.3288320000000004E-3</v>
      </c>
      <c r="R5805">
        <v>-6.3511869999999998E-2</v>
      </c>
      <c r="S5805">
        <v>2.9797060000000002</v>
      </c>
      <c r="T5805">
        <v>-0.10241699999999999</v>
      </c>
      <c r="U5805">
        <v>-0.40957640000000001</v>
      </c>
      <c r="V5805">
        <v>7.5922119999999996E-2</v>
      </c>
      <c r="W5805">
        <v>-4.8221799999999997E-3</v>
      </c>
      <c r="X5805">
        <v>0.99710209999999999</v>
      </c>
      <c r="Y5805">
        <v>0.14840120000000001</v>
      </c>
      <c r="Z5805">
        <v>-2.9634589999999999E-3</v>
      </c>
      <c r="AA5805">
        <v>0.98892279999999999</v>
      </c>
      <c r="AB5805">
        <v>29</v>
      </c>
      <c r="AC5805">
        <v>31.9742999999999</v>
      </c>
      <c r="AD5805">
        <v>-1.1076249032559999</v>
      </c>
      <c r="AE5805">
        <v>-4.43255</v>
      </c>
      <c r="AF5805">
        <v>4.82447963076224</v>
      </c>
      <c r="AG5805">
        <v>-1.1076249032559999</v>
      </c>
      <c r="AH5805">
        <v>31.8791219606459</v>
      </c>
      <c r="AI5805">
        <v>91.967528606630495</v>
      </c>
      <c r="AJ5805">
        <v>81.394349753868099</v>
      </c>
      <c r="AK5805">
        <v>32.261135342943</v>
      </c>
      <c r="AL5805">
        <v>90.276291630146204</v>
      </c>
      <c r="AM5805">
        <v>85.645742355643804</v>
      </c>
      <c r="AN5805">
        <v>1.0000000097748201</v>
      </c>
    </row>
    <row r="5806" spans="1:40" x14ac:dyDescent="0.25">
      <c r="A5806" t="str">
        <f>"20190312154951302"</f>
        <v>20190312154951302</v>
      </c>
      <c r="B5806" t="str">
        <f>"1552376991291147"</f>
        <v>1552376991291147</v>
      </c>
      <c r="C5806" t="s">
        <v>40</v>
      </c>
      <c r="D5806">
        <v>4.4779019999999896</v>
      </c>
      <c r="E5806">
        <v>0.52880509999999903</v>
      </c>
      <c r="F5806" t="s">
        <v>42</v>
      </c>
      <c r="G5806">
        <v>-335.86320000000001</v>
      </c>
      <c r="H5806" s="1">
        <v>-2.7856360000000002E-6</v>
      </c>
      <c r="I5806">
        <v>14.385439999999999</v>
      </c>
      <c r="J5806">
        <v>-367.34930000000003</v>
      </c>
      <c r="K5806">
        <v>1.1075969999999999</v>
      </c>
      <c r="L5806">
        <v>18.790590000000002</v>
      </c>
      <c r="M5806">
        <v>0.99992700000000001</v>
      </c>
      <c r="N5806">
        <v>0</v>
      </c>
      <c r="O5806">
        <v>1.2078230000000001E-2</v>
      </c>
      <c r="P5806">
        <v>0.99792959999999997</v>
      </c>
      <c r="Q5806">
        <v>-5.5021569999999997E-3</v>
      </c>
      <c r="R5806">
        <v>-6.4082520000000004E-2</v>
      </c>
      <c r="S5806">
        <v>2.9791560000000001</v>
      </c>
      <c r="T5806">
        <v>-0.104254</v>
      </c>
      <c r="U5806">
        <v>-0.41445920000000003</v>
      </c>
      <c r="V5806">
        <v>7.6124990000000003E-2</v>
      </c>
      <c r="W5806">
        <v>-4.9959799999999997E-3</v>
      </c>
      <c r="X5806">
        <v>0.99708580000000002</v>
      </c>
      <c r="Y5806">
        <v>0.14964839999999999</v>
      </c>
      <c r="Z5806">
        <v>-3.0256979999999998E-3</v>
      </c>
      <c r="AA5806">
        <v>0.98873469999999997</v>
      </c>
      <c r="AB5806">
        <v>30</v>
      </c>
      <c r="AC5806">
        <v>31.4861</v>
      </c>
      <c r="AD5806">
        <v>-1.107599785636</v>
      </c>
      <c r="AE5806">
        <v>-4.4051499999999901</v>
      </c>
      <c r="AF5806">
        <v>4.7793244106103998</v>
      </c>
      <c r="AG5806">
        <v>-1.107599785636</v>
      </c>
      <c r="AH5806">
        <v>31.392495965103699</v>
      </c>
      <c r="AI5806">
        <v>91.997689360508403</v>
      </c>
      <c r="AJ5806">
        <v>81.3435240755352</v>
      </c>
      <c r="AK5806">
        <v>31.773534931229399</v>
      </c>
      <c r="AL5806">
        <v>90.286249749815298</v>
      </c>
      <c r="AM5806">
        <v>85.634081258902896</v>
      </c>
      <c r="AN5806">
        <v>1.00000003324014</v>
      </c>
    </row>
    <row r="5807" spans="1:40" x14ac:dyDescent="0.25">
      <c r="A5807" t="str">
        <f>"20190312154951315"</f>
        <v>20190312154951315</v>
      </c>
      <c r="B5807" t="str">
        <f>"1552376991311644"</f>
        <v>1552376991311644</v>
      </c>
      <c r="C5807" t="s">
        <v>40</v>
      </c>
      <c r="D5807">
        <v>4.5129769999999896</v>
      </c>
      <c r="E5807">
        <v>0.52906359999999997</v>
      </c>
      <c r="F5807" t="s">
        <v>42</v>
      </c>
      <c r="G5807">
        <v>-335.92200000000003</v>
      </c>
      <c r="H5807" s="1">
        <v>-2.7650199999999999E-6</v>
      </c>
      <c r="I5807">
        <v>14.38768</v>
      </c>
      <c r="J5807">
        <v>-367.18990000000002</v>
      </c>
      <c r="K5807">
        <v>1.107572</v>
      </c>
      <c r="L5807">
        <v>18.792179999999998</v>
      </c>
      <c r="M5807">
        <v>0.99993129999999997</v>
      </c>
      <c r="N5807">
        <v>0</v>
      </c>
      <c r="O5807">
        <v>1.170529E-2</v>
      </c>
      <c r="P5807">
        <v>0.99791099999999999</v>
      </c>
      <c r="Q5807">
        <v>-5.5397989999999998E-3</v>
      </c>
      <c r="R5807">
        <v>-6.4370369999999996E-2</v>
      </c>
      <c r="S5807">
        <v>2.978882</v>
      </c>
      <c r="T5807">
        <v>-0.1049852</v>
      </c>
      <c r="U5807">
        <v>-0.41732789999999997</v>
      </c>
      <c r="V5807">
        <v>7.6040220000000006E-2</v>
      </c>
      <c r="W5807">
        <v>-5.0327330000000002E-3</v>
      </c>
      <c r="X5807">
        <v>0.99709210000000004</v>
      </c>
      <c r="Y5807">
        <v>0.15022449999999901</v>
      </c>
      <c r="Z5807">
        <v>-3.0440039999999999E-3</v>
      </c>
      <c r="AA5807">
        <v>0.98864719999999995</v>
      </c>
      <c r="AB5807">
        <v>30</v>
      </c>
      <c r="AC5807">
        <v>31.267900000000001</v>
      </c>
      <c r="AD5807">
        <v>-1.1075747650200001</v>
      </c>
      <c r="AE5807">
        <v>-4.4044999999999899</v>
      </c>
      <c r="AF5807">
        <v>4.7643365331369099</v>
      </c>
      <c r="AG5807">
        <v>-1.1075747650200001</v>
      </c>
      <c r="AH5807">
        <v>31.175845853449101</v>
      </c>
      <c r="AI5807">
        <v>92.011342189161496</v>
      </c>
      <c r="AJ5807">
        <v>81.311202850712107</v>
      </c>
      <c r="AK5807">
        <v>31.557233546987401</v>
      </c>
      <c r="AL5807">
        <v>90.288355563266293</v>
      </c>
      <c r="AM5807">
        <v>85.638951668370197</v>
      </c>
      <c r="AN5807">
        <v>1.00000004967075</v>
      </c>
    </row>
    <row r="5808" spans="1:40" x14ac:dyDescent="0.25">
      <c r="A5808" t="str">
        <f>"20190312154951329"</f>
        <v>20190312154951329</v>
      </c>
      <c r="B5808" t="str">
        <f>"1552376991321404"</f>
        <v>1552376991321404</v>
      </c>
      <c r="C5808" t="s">
        <v>40</v>
      </c>
      <c r="D5808">
        <v>4.5254219999999998</v>
      </c>
      <c r="E5808">
        <v>0.529167099999999</v>
      </c>
      <c r="F5808" t="s">
        <v>42</v>
      </c>
      <c r="G5808">
        <v>-336.0437</v>
      </c>
      <c r="H5808" s="1">
        <v>-2.7210810000000002E-6</v>
      </c>
      <c r="I5808">
        <v>14.39719</v>
      </c>
      <c r="J5808">
        <v>-367.00869999999998</v>
      </c>
      <c r="K5808">
        <v>1.107548</v>
      </c>
      <c r="L5808">
        <v>18.793949999999999</v>
      </c>
      <c r="M5808">
        <v>0.99993650000000001</v>
      </c>
      <c r="N5808">
        <v>0</v>
      </c>
      <c r="O5808">
        <v>1.127095E-2</v>
      </c>
      <c r="P5808">
        <v>0.99786940000000002</v>
      </c>
      <c r="Q5808">
        <v>-5.5472719999999998E-3</v>
      </c>
      <c r="R5808">
        <v>-6.500939E-2</v>
      </c>
      <c r="S5808">
        <v>2.9785460000000001</v>
      </c>
      <c r="T5808">
        <v>-0.10591830000000001</v>
      </c>
      <c r="U5808">
        <v>-0.4202881</v>
      </c>
      <c r="V5808">
        <v>7.6245530000000006E-2</v>
      </c>
      <c r="W5808">
        <v>-5.0391059999999998E-3</v>
      </c>
      <c r="X5808">
        <v>0.99707630000000003</v>
      </c>
      <c r="Y5808">
        <v>0.15077209999999999</v>
      </c>
      <c r="Z5808">
        <v>-3.0654860000000001E-3</v>
      </c>
      <c r="AA5808">
        <v>0.98856379999999999</v>
      </c>
      <c r="AB5808">
        <v>30</v>
      </c>
      <c r="AC5808">
        <v>30.9649999999999</v>
      </c>
      <c r="AD5808">
        <v>-1.1075507210810001</v>
      </c>
      <c r="AE5808">
        <v>-4.3967599999999898</v>
      </c>
      <c r="AF5808">
        <v>4.7395420411882201</v>
      </c>
      <c r="AG5808">
        <v>-1.1075507210810001</v>
      </c>
      <c r="AH5808">
        <v>30.874758861542801</v>
      </c>
      <c r="AI5808">
        <v>92.030687476008097</v>
      </c>
      <c r="AJ5808">
        <v>81.272730056008399</v>
      </c>
      <c r="AK5808">
        <v>31.256050008252402</v>
      </c>
      <c r="AL5808">
        <v>90.288720739561001</v>
      </c>
      <c r="AM5808">
        <v>85.627153342304794</v>
      </c>
      <c r="AN5808">
        <v>0.99999996072797404</v>
      </c>
    </row>
    <row r="5809" spans="1:40" x14ac:dyDescent="0.25">
      <c r="A5809" t="str">
        <f>"20190312154951348"</f>
        <v>20190312154951348</v>
      </c>
      <c r="B5809" t="str">
        <f>"1552376991341900"</f>
        <v>1552376991341900</v>
      </c>
      <c r="C5809" t="s">
        <v>40</v>
      </c>
      <c r="D5809">
        <v>4.5523920000000002</v>
      </c>
      <c r="E5809">
        <v>0.52930339999999998</v>
      </c>
      <c r="F5809" t="s">
        <v>42</v>
      </c>
      <c r="G5809">
        <v>-335.95389999999998</v>
      </c>
      <c r="H5809" s="1">
        <v>-2.7554969999999998E-6</v>
      </c>
      <c r="I5809">
        <v>14.38273</v>
      </c>
      <c r="J5809">
        <v>-366.74779999999998</v>
      </c>
      <c r="K5809">
        <v>1.1075090000000001</v>
      </c>
      <c r="L5809">
        <v>18.796330000000001</v>
      </c>
      <c r="M5809">
        <v>0.99994340000000004</v>
      </c>
      <c r="N5809">
        <v>0</v>
      </c>
      <c r="O5809">
        <v>1.061663E-2</v>
      </c>
      <c r="P5809">
        <v>0.99784680000000003</v>
      </c>
      <c r="Q5809">
        <v>-5.5071080000000001E-3</v>
      </c>
      <c r="R5809">
        <v>-6.5356520000000001E-2</v>
      </c>
      <c r="S5809">
        <v>2.9782099999999998</v>
      </c>
      <c r="T5809">
        <v>-0.1062158</v>
      </c>
      <c r="U5809">
        <v>-0.42303469999999999</v>
      </c>
      <c r="V5809">
        <v>7.5939510000000002E-2</v>
      </c>
      <c r="W5809">
        <v>-4.9948989999999997E-3</v>
      </c>
      <c r="X5809">
        <v>0.99709990000000004</v>
      </c>
      <c r="Y5809">
        <v>0.1510341</v>
      </c>
      <c r="Z5809">
        <v>-3.0556670000000002E-3</v>
      </c>
      <c r="AA5809">
        <v>0.98852379999999995</v>
      </c>
      <c r="AB5809">
        <v>30</v>
      </c>
      <c r="AC5809">
        <v>30.793900000000001</v>
      </c>
      <c r="AD5809">
        <v>-1.107511755497</v>
      </c>
      <c r="AE5809">
        <v>-4.41359999999999</v>
      </c>
      <c r="AF5809">
        <v>4.7342782456349299</v>
      </c>
      <c r="AG5809">
        <v>-1.107511755497</v>
      </c>
      <c r="AH5809">
        <v>30.706387660688598</v>
      </c>
      <c r="AI5809">
        <v>92.041535600396898</v>
      </c>
      <c r="AJ5809">
        <v>81.235212389089199</v>
      </c>
      <c r="AK5809">
        <v>31.0889404123741</v>
      </c>
      <c r="AL5809">
        <v>90.286187826288099</v>
      </c>
      <c r="AM5809">
        <v>85.644739275210299</v>
      </c>
      <c r="AN5809">
        <v>0.99999998438753501</v>
      </c>
    </row>
    <row r="5810" spans="1:40" x14ac:dyDescent="0.25">
      <c r="A5810" t="str">
        <f>"20190312154951362"</f>
        <v>20190312154951362</v>
      </c>
      <c r="B5810" t="str">
        <f>"1552376991351660"</f>
        <v>1552376991351660</v>
      </c>
      <c r="C5810" t="s">
        <v>40</v>
      </c>
      <c r="D5810">
        <v>4.5464019999999996</v>
      </c>
      <c r="E5810">
        <v>0.52938339999999995</v>
      </c>
      <c r="F5810" t="s">
        <v>42</v>
      </c>
      <c r="G5810">
        <v>-336.02679999999998</v>
      </c>
      <c r="H5810" s="1">
        <v>-2.7230099999999999E-6</v>
      </c>
      <c r="I5810">
        <v>14.411490000000001</v>
      </c>
      <c r="J5810">
        <v>-366.5514</v>
      </c>
      <c r="K5810">
        <v>1.1074790000000001</v>
      </c>
      <c r="L5810">
        <v>18.797969999999999</v>
      </c>
      <c r="M5810">
        <v>0.99994890000000003</v>
      </c>
      <c r="N5810">
        <v>0</v>
      </c>
      <c r="O5810">
        <v>1.010551E-2</v>
      </c>
      <c r="P5810">
        <v>0.99782249999999995</v>
      </c>
      <c r="Q5810">
        <v>-5.6899840000000004E-3</v>
      </c>
      <c r="R5810">
        <v>-6.5713439999999998E-2</v>
      </c>
      <c r="S5810">
        <v>2.978027</v>
      </c>
      <c r="T5810">
        <v>-0.10735980000000001</v>
      </c>
      <c r="U5810">
        <v>-0.4250488</v>
      </c>
      <c r="V5810">
        <v>7.5786129999999993E-2</v>
      </c>
      <c r="W5810">
        <v>-5.1734119999999996E-3</v>
      </c>
      <c r="X5810">
        <v>0.99711070000000002</v>
      </c>
      <c r="Y5810">
        <v>0.15119060000000001</v>
      </c>
      <c r="Z5810">
        <v>-3.0730689999999999E-3</v>
      </c>
      <c r="AA5810">
        <v>0.98849989999999999</v>
      </c>
      <c r="AB5810">
        <v>30</v>
      </c>
      <c r="AC5810">
        <v>30.5246</v>
      </c>
      <c r="AD5810">
        <v>-1.10748172301</v>
      </c>
      <c r="AE5810">
        <v>-4.3864799999999997</v>
      </c>
      <c r="AF5810">
        <v>4.6886755922266001</v>
      </c>
      <c r="AG5810">
        <v>-1.10748172301</v>
      </c>
      <c r="AH5810">
        <v>30.439455301515601</v>
      </c>
      <c r="AI5810">
        <v>92.059412521708097</v>
      </c>
      <c r="AJ5810">
        <v>81.243389302650996</v>
      </c>
      <c r="AK5810">
        <v>30.8183489763633</v>
      </c>
      <c r="AL5810">
        <v>90.296415988141803</v>
      </c>
      <c r="AM5810">
        <v>85.653549034404406</v>
      </c>
      <c r="AN5810">
        <v>1.0000000248732901</v>
      </c>
    </row>
    <row r="5811" spans="1:40" x14ac:dyDescent="0.25">
      <c r="A5811" t="str">
        <f>"20190312154951382"</f>
        <v>20190312154951382</v>
      </c>
      <c r="B5811" t="str">
        <f>"1552376991371179"</f>
        <v>1552376991371179</v>
      </c>
      <c r="C5811" t="s">
        <v>40</v>
      </c>
      <c r="D5811">
        <v>4.5563690000000001</v>
      </c>
      <c r="E5811">
        <v>0.52951719999999902</v>
      </c>
      <c r="F5811" t="s">
        <v>42</v>
      </c>
      <c r="G5811">
        <v>-336.05939999999998</v>
      </c>
      <c r="H5811" s="1">
        <v>-2.7073420000000002E-6</v>
      </c>
      <c r="I5811">
        <v>14.42872</v>
      </c>
      <c r="J5811">
        <v>-366.28070000000002</v>
      </c>
      <c r="K5811">
        <v>1.107443</v>
      </c>
      <c r="L5811">
        <v>18.800049999999999</v>
      </c>
      <c r="M5811">
        <v>0.99995579999999995</v>
      </c>
      <c r="N5811">
        <v>0</v>
      </c>
      <c r="O5811">
        <v>9.3815210000000003E-3</v>
      </c>
      <c r="P5811">
        <v>0.99777159999999998</v>
      </c>
      <c r="Q5811">
        <v>-5.697578E-3</v>
      </c>
      <c r="R5811">
        <v>-6.6479999999999997E-2</v>
      </c>
      <c r="S5811">
        <v>2.977875</v>
      </c>
      <c r="T5811">
        <v>-0.1081574</v>
      </c>
      <c r="U5811">
        <v>-0.42669679999999999</v>
      </c>
      <c r="V5811">
        <v>7.5829800000000003E-2</v>
      </c>
      <c r="W5811">
        <v>-5.1731889999999999E-3</v>
      </c>
      <c r="X5811">
        <v>0.99710730000000003</v>
      </c>
      <c r="Y5811">
        <v>0.15101709999999999</v>
      </c>
      <c r="Z5811">
        <v>-3.0666280000000001E-3</v>
      </c>
      <c r="AA5811">
        <v>0.98852640000000003</v>
      </c>
      <c r="AB5811">
        <v>30</v>
      </c>
      <c r="AC5811">
        <v>30.221299999999999</v>
      </c>
      <c r="AD5811">
        <v>-1.1074457073420001</v>
      </c>
      <c r="AE5811">
        <v>-4.3713299999999897</v>
      </c>
      <c r="AF5811">
        <v>4.6485451947372196</v>
      </c>
      <c r="AG5811">
        <v>-1.1074457073420001</v>
      </c>
      <c r="AH5811">
        <v>30.139317944783802</v>
      </c>
      <c r="AI5811">
        <v>92.079772007658903</v>
      </c>
      <c r="AJ5811">
        <v>81.232060983114494</v>
      </c>
      <c r="AK5811">
        <v>30.51579745966</v>
      </c>
      <c r="AL5811">
        <v>90.296403234959101</v>
      </c>
      <c r="AM5811">
        <v>85.651039326237495</v>
      </c>
      <c r="AN5811">
        <v>0.99999994408287796</v>
      </c>
    </row>
    <row r="5812" spans="1:40" x14ac:dyDescent="0.25">
      <c r="A5812" t="str">
        <f>"20190312154951403"</f>
        <v>20190312154951403</v>
      </c>
      <c r="B5812" t="str">
        <f>"1552376991391676"</f>
        <v>1552376991391676</v>
      </c>
      <c r="C5812" t="s">
        <v>40</v>
      </c>
      <c r="D5812">
        <v>4.5247039999999998</v>
      </c>
      <c r="E5812">
        <v>0.52970759999999995</v>
      </c>
      <c r="F5812" t="s">
        <v>42</v>
      </c>
      <c r="G5812">
        <v>-336.13850000000002</v>
      </c>
      <c r="H5812" s="1">
        <v>-2.6755780000000001E-6</v>
      </c>
      <c r="I5812">
        <v>14.44689</v>
      </c>
      <c r="J5812">
        <v>-365.99950000000001</v>
      </c>
      <c r="K5812">
        <v>1.10741</v>
      </c>
      <c r="L5812">
        <v>18.802029999999998</v>
      </c>
      <c r="M5812">
        <v>0.99996280000000004</v>
      </c>
      <c r="N5812">
        <v>0</v>
      </c>
      <c r="O5812">
        <v>8.6124740000000002E-3</v>
      </c>
      <c r="P5812">
        <v>0.99769909999999995</v>
      </c>
      <c r="Q5812">
        <v>-5.5087529999999999E-3</v>
      </c>
      <c r="R5812">
        <v>-6.757705E-2</v>
      </c>
      <c r="S5812">
        <v>2.977417</v>
      </c>
      <c r="T5812">
        <v>-0.1093924</v>
      </c>
      <c r="U5812">
        <v>-0.42999270000000001</v>
      </c>
      <c r="V5812">
        <v>7.6159099999999993E-2</v>
      </c>
      <c r="W5812">
        <v>-4.9741560000000004E-3</v>
      </c>
      <c r="X5812">
        <v>0.99708319999999995</v>
      </c>
      <c r="Y5812">
        <v>0.15134819999999999</v>
      </c>
      <c r="Z5812">
        <v>-3.0797899999999998E-3</v>
      </c>
      <c r="AA5812">
        <v>0.98847569999999996</v>
      </c>
      <c r="AB5812">
        <v>30</v>
      </c>
      <c r="AC5812">
        <v>29.860999999999901</v>
      </c>
      <c r="AD5812">
        <v>-1.107412675578</v>
      </c>
      <c r="AE5812">
        <v>-4.3551399999999898</v>
      </c>
      <c r="AF5812">
        <v>4.6059527794082298</v>
      </c>
      <c r="AG5812">
        <v>-1.107412675578</v>
      </c>
      <c r="AH5812">
        <v>29.7822763480664</v>
      </c>
      <c r="AI5812">
        <v>92.1044872505434</v>
      </c>
      <c r="AJ5812">
        <v>81.208618593896105</v>
      </c>
      <c r="AK5812">
        <v>30.156676678851099</v>
      </c>
      <c r="AL5812">
        <v>90.284999340870002</v>
      </c>
      <c r="AM5812">
        <v>85.632121206207898</v>
      </c>
      <c r="AN5812">
        <v>0.99999992923147796</v>
      </c>
    </row>
    <row r="5813" spans="1:40" x14ac:dyDescent="0.25">
      <c r="A5813" t="str">
        <f>"20190312154951416"</f>
        <v>20190312154951416</v>
      </c>
      <c r="B5813" t="str">
        <f>"1552376991411195"</f>
        <v>1552376991411195</v>
      </c>
      <c r="C5813" t="s">
        <v>40</v>
      </c>
      <c r="D5813">
        <v>4.576962</v>
      </c>
      <c r="E5813">
        <v>0.52981820000000002</v>
      </c>
      <c r="F5813" t="s">
        <v>42</v>
      </c>
      <c r="G5813">
        <v>-336.03910000000002</v>
      </c>
      <c r="H5813" s="1">
        <v>-2.714769E-6</v>
      </c>
      <c r="I5813">
        <v>14.42675</v>
      </c>
      <c r="J5813">
        <v>-365.827</v>
      </c>
      <c r="K5813">
        <v>1.1073949999999999</v>
      </c>
      <c r="L5813">
        <v>18.803100000000001</v>
      </c>
      <c r="M5813">
        <v>0.99996680000000004</v>
      </c>
      <c r="N5813">
        <v>0</v>
      </c>
      <c r="O5813">
        <v>8.134278E-3</v>
      </c>
      <c r="P5813">
        <v>0.99763959999999996</v>
      </c>
      <c r="Q5813">
        <v>-5.5943080000000001E-3</v>
      </c>
      <c r="R5813">
        <v>-6.8441630000000003E-2</v>
      </c>
      <c r="S5813">
        <v>2.9768979999999998</v>
      </c>
      <c r="T5813">
        <v>-0.11003350000000001</v>
      </c>
      <c r="U5813">
        <v>-0.43472290000000002</v>
      </c>
      <c r="V5813">
        <v>7.6546149999999993E-2</v>
      </c>
      <c r="W5813">
        <v>-5.052501E-3</v>
      </c>
      <c r="X5813">
        <v>0.99705330000000003</v>
      </c>
      <c r="Y5813">
        <v>0.152436299999999</v>
      </c>
      <c r="Z5813">
        <v>-3.100425E-3</v>
      </c>
      <c r="AA5813">
        <v>0.98830839999999998</v>
      </c>
      <c r="AB5813">
        <v>31</v>
      </c>
      <c r="AC5813">
        <v>29.787899999999901</v>
      </c>
      <c r="AD5813">
        <v>-1.107397714769</v>
      </c>
      <c r="AE5813">
        <v>-4.3763500000000004</v>
      </c>
      <c r="AF5813">
        <v>4.6122685440129301</v>
      </c>
      <c r="AG5813">
        <v>-1.107397714769</v>
      </c>
      <c r="AH5813">
        <v>29.711121039278101</v>
      </c>
      <c r="AI5813">
        <v>92.109308376906696</v>
      </c>
      <c r="AJ5813">
        <v>81.176000859367505</v>
      </c>
      <c r="AK5813">
        <v>30.087373834075301</v>
      </c>
      <c r="AL5813">
        <v>90.289488197026998</v>
      </c>
      <c r="AM5813">
        <v>85.609878527355804</v>
      </c>
      <c r="AN5813">
        <v>1.0000000619435301</v>
      </c>
    </row>
    <row r="5814" spans="1:40" x14ac:dyDescent="0.25">
      <c r="A5814" t="str">
        <f>"20190312154951427"</f>
        <v>20190312154951427</v>
      </c>
      <c r="B5814" t="str">
        <f>"1552376991421931"</f>
        <v>1552376991421931</v>
      </c>
      <c r="C5814" t="s">
        <v>40</v>
      </c>
      <c r="D5814">
        <v>4.5598890000000001</v>
      </c>
      <c r="E5814">
        <v>0.52985879999999996</v>
      </c>
      <c r="F5814" t="s">
        <v>42</v>
      </c>
      <c r="G5814">
        <v>-336.36020000000002</v>
      </c>
      <c r="H5814" s="1">
        <v>-2.5950639999999998E-6</v>
      </c>
      <c r="I5814">
        <v>14.46597</v>
      </c>
      <c r="J5814">
        <v>-365.65390000000002</v>
      </c>
      <c r="K5814">
        <v>1.107375</v>
      </c>
      <c r="L5814">
        <v>18.80414</v>
      </c>
      <c r="M5814">
        <v>0.99997060000000004</v>
      </c>
      <c r="N5814">
        <v>0</v>
      </c>
      <c r="O5814">
        <v>7.652509E-3</v>
      </c>
      <c r="P5814">
        <v>0.99756590000000001</v>
      </c>
      <c r="Q5814">
        <v>-5.6171659999999998E-3</v>
      </c>
      <c r="R5814">
        <v>-6.9504979999999994E-2</v>
      </c>
      <c r="S5814">
        <v>2.97641</v>
      </c>
      <c r="T5814">
        <v>-0.11185680000000001</v>
      </c>
      <c r="U5814">
        <v>-0.43807980000000002</v>
      </c>
      <c r="V5814">
        <v>7.7128290000000002E-2</v>
      </c>
      <c r="W5814">
        <v>-5.0679409999999899E-3</v>
      </c>
      <c r="X5814">
        <v>0.99700829999999996</v>
      </c>
      <c r="Y5814">
        <v>0.15307079999999901</v>
      </c>
      <c r="Z5814">
        <v>-3.1458699999999998E-3</v>
      </c>
      <c r="AA5814">
        <v>0.98821020000000004</v>
      </c>
      <c r="AB5814">
        <v>31</v>
      </c>
      <c r="AC5814">
        <v>29.293700000000001</v>
      </c>
      <c r="AD5814">
        <v>-1.1073775950639999</v>
      </c>
      <c r="AE5814">
        <v>-4.3381699999999999</v>
      </c>
      <c r="AF5814">
        <v>4.5558425623214003</v>
      </c>
      <c r="AG5814">
        <v>-1.1073775950639999</v>
      </c>
      <c r="AH5814">
        <v>29.218785767495199</v>
      </c>
      <c r="AI5814">
        <v>92.144555464443002</v>
      </c>
      <c r="AJ5814">
        <v>81.137704040818704</v>
      </c>
      <c r="AK5814">
        <v>29.592556974980901</v>
      </c>
      <c r="AL5814">
        <v>90.290372872044699</v>
      </c>
      <c r="AM5814">
        <v>85.576424430951704</v>
      </c>
      <c r="AN5814">
        <v>1.0000000037065899</v>
      </c>
    </row>
    <row r="5815" spans="1:40" x14ac:dyDescent="0.25">
      <c r="A5815" t="str">
        <f>"20190312154951448"</f>
        <v>20190312154951448</v>
      </c>
      <c r="B5815" t="str">
        <f>"1552376991441451"</f>
        <v>1552376991441451</v>
      </c>
      <c r="C5815" t="s">
        <v>40</v>
      </c>
      <c r="D5815">
        <v>4.5761120000000002</v>
      </c>
      <c r="E5815">
        <v>0.52997720000000004</v>
      </c>
      <c r="F5815" t="s">
        <v>42</v>
      </c>
      <c r="G5815">
        <v>-336.48649999999998</v>
      </c>
      <c r="H5815" s="1">
        <v>-2.5493420000000002E-6</v>
      </c>
      <c r="I5815">
        <v>14.476279999999999</v>
      </c>
      <c r="J5815">
        <v>-365.36619999999999</v>
      </c>
      <c r="K5815">
        <v>1.107356</v>
      </c>
      <c r="L5815">
        <v>18.805599999999998</v>
      </c>
      <c r="M5815">
        <v>0.99997630000000004</v>
      </c>
      <c r="N5815">
        <v>0</v>
      </c>
      <c r="O5815">
        <v>6.8473020000000004E-3</v>
      </c>
      <c r="P5815">
        <v>0.99747790000000003</v>
      </c>
      <c r="Q5815">
        <v>-5.5592100000000002E-3</v>
      </c>
      <c r="R5815">
        <v>-7.0761399999999905E-2</v>
      </c>
      <c r="S5815">
        <v>2.9759220000000002</v>
      </c>
      <c r="T5815">
        <v>-0.11298469999999999</v>
      </c>
      <c r="U5815">
        <v>-0.44155879999999997</v>
      </c>
      <c r="V5815">
        <v>7.7581339999999999E-2</v>
      </c>
      <c r="W5815">
        <v>-4.9946959999999999E-3</v>
      </c>
      <c r="X5815">
        <v>0.99697349999999996</v>
      </c>
      <c r="Y5815">
        <v>0.15342700000000001</v>
      </c>
      <c r="Z5815">
        <v>-3.1541350000000002E-3</v>
      </c>
      <c r="AA5815">
        <v>0.98815489999999995</v>
      </c>
      <c r="AB5815">
        <v>31</v>
      </c>
      <c r="AC5815">
        <v>28.8797</v>
      </c>
      <c r="AD5815">
        <v>-1.107358549342</v>
      </c>
      <c r="AE5815">
        <v>-4.3293199999999903</v>
      </c>
      <c r="AF5815">
        <v>4.52046644563268</v>
      </c>
      <c r="AG5815">
        <v>-1.107358549342</v>
      </c>
      <c r="AH5815">
        <v>28.807954814682599</v>
      </c>
      <c r="AI5815">
        <v>92.174742183544197</v>
      </c>
      <c r="AJ5815">
        <v>81.082022450311896</v>
      </c>
      <c r="AK5815">
        <v>29.181485919118099</v>
      </c>
      <c r="AL5815">
        <v>90.286176194780197</v>
      </c>
      <c r="AM5815">
        <v>85.5503897903276</v>
      </c>
      <c r="AN5815">
        <v>0.99999998550328795</v>
      </c>
    </row>
    <row r="5816" spans="1:40" x14ac:dyDescent="0.25">
      <c r="A5816" t="str">
        <f>"20190312154951461"</f>
        <v>20190312154951461</v>
      </c>
      <c r="B5816" t="str">
        <f>"1552376991451212"</f>
        <v>1552376991451212</v>
      </c>
      <c r="C5816" t="s">
        <v>40</v>
      </c>
      <c r="D5816">
        <v>4.5673199999999996</v>
      </c>
      <c r="E5816">
        <v>0.53005089999999999</v>
      </c>
      <c r="F5816" t="s">
        <v>42</v>
      </c>
      <c r="G5816">
        <v>-336.5369</v>
      </c>
      <c r="H5816" s="1">
        <v>-2.5307319999999998E-6</v>
      </c>
      <c r="I5816">
        <v>14.481780000000001</v>
      </c>
      <c r="J5816">
        <v>-365.17320000000001</v>
      </c>
      <c r="K5816">
        <v>1.1073519999999999</v>
      </c>
      <c r="L5816">
        <v>18.806460000000001</v>
      </c>
      <c r="M5816">
        <v>0.99997999999999998</v>
      </c>
      <c r="N5816">
        <v>0</v>
      </c>
      <c r="O5816">
        <v>6.3056919999999999E-3</v>
      </c>
      <c r="P5816">
        <v>0.99743020000000004</v>
      </c>
      <c r="Q5816">
        <v>-5.5642579999999999E-3</v>
      </c>
      <c r="R5816">
        <v>-7.1432319999999994E-2</v>
      </c>
      <c r="S5816">
        <v>2.975311</v>
      </c>
      <c r="T5816">
        <v>-0.114284</v>
      </c>
      <c r="U5816">
        <v>-0.44622800000000001</v>
      </c>
      <c r="V5816">
        <v>7.7711730000000007E-2</v>
      </c>
      <c r="W5816">
        <v>-4.9883089999999998E-3</v>
      </c>
      <c r="X5816">
        <v>0.99696340000000006</v>
      </c>
      <c r="Y5816">
        <v>0.15443519999999999</v>
      </c>
      <c r="Z5816">
        <v>-3.189225E-3</v>
      </c>
      <c r="AA5816">
        <v>0.98799780000000004</v>
      </c>
      <c r="AB5816">
        <v>31</v>
      </c>
      <c r="AC5816">
        <v>28.636299999999999</v>
      </c>
      <c r="AD5816">
        <v>-1.1073545307320001</v>
      </c>
      <c r="AE5816">
        <v>-4.3246799999999999</v>
      </c>
      <c r="AF5816">
        <v>4.4985888178408304</v>
      </c>
      <c r="AG5816">
        <v>-1.1073545307320001</v>
      </c>
      <c r="AH5816">
        <v>28.566696223128101</v>
      </c>
      <c r="AI5816">
        <v>92.1928950425404</v>
      </c>
      <c r="AJ5816">
        <v>81.0507444821245</v>
      </c>
      <c r="AK5816">
        <v>28.939932075131399</v>
      </c>
      <c r="AL5816">
        <v>90.285810235478706</v>
      </c>
      <c r="AM5816">
        <v>85.542896521899806</v>
      </c>
      <c r="AN5816">
        <v>1.0000000085729099</v>
      </c>
    </row>
    <row r="5817" spans="1:40" x14ac:dyDescent="0.25">
      <c r="A5817" t="str">
        <f>"20190312154951481"</f>
        <v>20190312154951481</v>
      </c>
      <c r="B5817" t="str">
        <f>"1552376991471708"</f>
        <v>1552376991471708</v>
      </c>
      <c r="C5817" t="s">
        <v>40</v>
      </c>
      <c r="D5817">
        <v>4.5602159999999996</v>
      </c>
      <c r="E5817">
        <v>0.53012469999999901</v>
      </c>
      <c r="F5817" t="s">
        <v>42</v>
      </c>
      <c r="G5817">
        <v>-336.61509999999998</v>
      </c>
      <c r="H5817" s="1">
        <v>-2.499709E-6</v>
      </c>
      <c r="I5817">
        <v>14.498419999999999</v>
      </c>
      <c r="J5817">
        <v>-364.90339999999998</v>
      </c>
      <c r="K5817">
        <v>1.1073379999999999</v>
      </c>
      <c r="L5817">
        <v>18.807500000000001</v>
      </c>
      <c r="M5817">
        <v>0.99998450000000005</v>
      </c>
      <c r="N5817">
        <v>0</v>
      </c>
      <c r="O5817">
        <v>5.5482379999999996E-3</v>
      </c>
      <c r="P5817">
        <v>0.99737569999999998</v>
      </c>
      <c r="Q5817">
        <v>-4.8830159999999996E-3</v>
      </c>
      <c r="R5817">
        <v>-7.2239460000000005E-2</v>
      </c>
      <c r="S5817">
        <v>2.9749150000000002</v>
      </c>
      <c r="T5817">
        <v>-0.1153532</v>
      </c>
      <c r="U5817">
        <v>-0.44876100000000002</v>
      </c>
      <c r="V5817">
        <v>7.7764340000000001E-2</v>
      </c>
      <c r="W5817">
        <v>-4.2895989999999998E-3</v>
      </c>
      <c r="X5817">
        <v>0.99696249999999997</v>
      </c>
      <c r="Y5817">
        <v>0.154527</v>
      </c>
      <c r="Z5817">
        <v>-3.1918319999999999E-3</v>
      </c>
      <c r="AA5817">
        <v>0.98798339999999996</v>
      </c>
      <c r="AB5817">
        <v>31</v>
      </c>
      <c r="AC5817">
        <v>28.2882999999999</v>
      </c>
      <c r="AD5817">
        <v>-1.1073404997089999</v>
      </c>
      <c r="AE5817">
        <v>-4.3090799999999998</v>
      </c>
      <c r="AF5817">
        <v>4.4592858297677802</v>
      </c>
      <c r="AG5817">
        <v>-1.1073404997089999</v>
      </c>
      <c r="AH5817">
        <v>28.2216928841715</v>
      </c>
      <c r="AI5817">
        <v>92.219466184548494</v>
      </c>
      <c r="AJ5817">
        <v>81.020977313511807</v>
      </c>
      <c r="AK5817">
        <v>28.5932751244477</v>
      </c>
      <c r="AL5817">
        <v>90.245776682124799</v>
      </c>
      <c r="AM5817">
        <v>85.539887271735793</v>
      </c>
      <c r="AN5817">
        <v>0.99999995982073198</v>
      </c>
    </row>
    <row r="5818" spans="1:40" x14ac:dyDescent="0.25">
      <c r="A5818" t="str">
        <f>"20190312154951496"</f>
        <v>20190312154951496</v>
      </c>
      <c r="B5818" t="str">
        <f>"1552376991491228"</f>
        <v>1552376991491228</v>
      </c>
      <c r="C5818" t="s">
        <v>40</v>
      </c>
      <c r="D5818">
        <v>4.6100190000000003</v>
      </c>
      <c r="E5818">
        <v>0.53018779999999999</v>
      </c>
      <c r="F5818" t="s">
        <v>42</v>
      </c>
      <c r="G5818">
        <v>-336.28609999999998</v>
      </c>
      <c r="H5818" s="1">
        <v>-2.6216520000000002E-6</v>
      </c>
      <c r="I5818">
        <v>14.460789999999999</v>
      </c>
      <c r="J5818">
        <v>-364.70350000000002</v>
      </c>
      <c r="K5818">
        <v>1.107329</v>
      </c>
      <c r="L5818">
        <v>18.808140000000002</v>
      </c>
      <c r="M5818">
        <v>0.99998739999999997</v>
      </c>
      <c r="N5818">
        <v>0</v>
      </c>
      <c r="O5818">
        <v>4.9879720000000002E-3</v>
      </c>
      <c r="P5818">
        <v>0.99733810000000001</v>
      </c>
      <c r="Q5818">
        <v>-4.7198609999999997E-3</v>
      </c>
      <c r="R5818">
        <v>-7.2765499999999997E-2</v>
      </c>
      <c r="S5818">
        <v>2.97464</v>
      </c>
      <c r="T5818">
        <v>-0.1151032</v>
      </c>
      <c r="U5818">
        <v>-0.45181270000000001</v>
      </c>
      <c r="V5818">
        <v>7.7732079999999995E-2</v>
      </c>
      <c r="W5818">
        <v>-4.112699E-3</v>
      </c>
      <c r="X5818">
        <v>0.99696580000000001</v>
      </c>
      <c r="Y5818">
        <v>0.15497849999999999</v>
      </c>
      <c r="Z5818">
        <v>-3.1720960000000001E-3</v>
      </c>
      <c r="AA5818">
        <v>0.98791280000000004</v>
      </c>
      <c r="AB5818">
        <v>31</v>
      </c>
      <c r="AC5818">
        <v>28.417400000000001</v>
      </c>
      <c r="AD5818">
        <v>-1.1073316216519999</v>
      </c>
      <c r="AE5818">
        <v>-4.3473499999999898</v>
      </c>
      <c r="AF5818">
        <v>4.4823907099358999</v>
      </c>
      <c r="AG5818">
        <v>-1.1073316216519999</v>
      </c>
      <c r="AH5818">
        <v>28.353294846884999</v>
      </c>
      <c r="AI5818">
        <v>92.209129324985895</v>
      </c>
      <c r="AJ5818">
        <v>81.016421960333801</v>
      </c>
      <c r="AK5818">
        <v>28.7267704149148</v>
      </c>
      <c r="AL5818">
        <v>90.235640959756594</v>
      </c>
      <c r="AM5818">
        <v>85.541744755436099</v>
      </c>
      <c r="AN5818">
        <v>0.99999999846191501</v>
      </c>
    </row>
    <row r="5819" spans="1:40" x14ac:dyDescent="0.25">
      <c r="A5819" t="str">
        <f>"20190312154951516"</f>
        <v>20190312154951516</v>
      </c>
      <c r="B5819" t="str">
        <f>"1552376991511723"</f>
        <v>1552376991511723</v>
      </c>
      <c r="C5819" t="s">
        <v>40</v>
      </c>
      <c r="D5819">
        <v>4.6072920000000002</v>
      </c>
      <c r="E5819">
        <v>0.53021390000000002</v>
      </c>
      <c r="F5819" t="s">
        <v>42</v>
      </c>
      <c r="G5819">
        <v>-336.50569999999999</v>
      </c>
      <c r="H5819" s="1">
        <v>-2.5349940000000001E-6</v>
      </c>
      <c r="I5819">
        <v>14.50562</v>
      </c>
      <c r="J5819">
        <v>-364.41460000000001</v>
      </c>
      <c r="K5819">
        <v>1.107316</v>
      </c>
      <c r="L5819">
        <v>18.808869999999999</v>
      </c>
      <c r="M5819">
        <v>0.99999099999999996</v>
      </c>
      <c r="N5819">
        <v>0</v>
      </c>
      <c r="O5819">
        <v>4.1794939999999997E-3</v>
      </c>
      <c r="P5819">
        <v>0.99732379999999998</v>
      </c>
      <c r="Q5819">
        <v>-4.215669E-3</v>
      </c>
      <c r="R5819">
        <v>-7.2991609999999998E-2</v>
      </c>
      <c r="S5819">
        <v>2.974335</v>
      </c>
      <c r="T5819">
        <v>-0.1168027</v>
      </c>
      <c r="U5819">
        <v>-0.45382689999999998</v>
      </c>
      <c r="V5819">
        <v>7.7152890000000002E-2</v>
      </c>
      <c r="W5819">
        <v>-3.5869140000000001E-3</v>
      </c>
      <c r="X5819">
        <v>0.99701280000000003</v>
      </c>
      <c r="Y5819">
        <v>0.15484579999999901</v>
      </c>
      <c r="Z5819">
        <v>-3.1849109999999999E-3</v>
      </c>
      <c r="AA5819">
        <v>0.98793350000000002</v>
      </c>
      <c r="AB5819">
        <v>32</v>
      </c>
      <c r="AC5819">
        <v>27.908899999999999</v>
      </c>
      <c r="AD5819">
        <v>-1.107318534994</v>
      </c>
      <c r="AE5819">
        <v>-4.3032500000000002</v>
      </c>
      <c r="AF5819">
        <v>4.4130717976145704</v>
      </c>
      <c r="AG5819">
        <v>-1.107318534994</v>
      </c>
      <c r="AH5819">
        <v>27.847850778725402</v>
      </c>
      <c r="AI5819">
        <v>92.249026202901803</v>
      </c>
      <c r="AJ5819">
        <v>80.995171889635103</v>
      </c>
      <c r="AK5819">
        <v>28.217089680245198</v>
      </c>
      <c r="AL5819">
        <v>90.205515478711405</v>
      </c>
      <c r="AM5819">
        <v>85.575039030842404</v>
      </c>
      <c r="AN5819">
        <v>0.99999997887561698</v>
      </c>
    </row>
    <row r="5820" spans="1:40" x14ac:dyDescent="0.25">
      <c r="A5820" t="str">
        <f>"20190312154951529"</f>
        <v>20190312154951529</v>
      </c>
      <c r="B5820" t="str">
        <f>"1552376991521483"</f>
        <v>1552376991521483</v>
      </c>
      <c r="C5820" t="s">
        <v>40</v>
      </c>
      <c r="D5820">
        <v>4.6157370000000002</v>
      </c>
      <c r="E5820">
        <v>0.53022939999999996</v>
      </c>
      <c r="F5820" t="s">
        <v>42</v>
      </c>
      <c r="G5820">
        <v>-336.4074</v>
      </c>
      <c r="H5820" s="1">
        <v>-2.5624499999999999E-6</v>
      </c>
      <c r="I5820">
        <v>14.52816</v>
      </c>
      <c r="J5820">
        <v>-364.22210000000001</v>
      </c>
      <c r="K5820">
        <v>1.107315</v>
      </c>
      <c r="L5820">
        <v>18.809229999999999</v>
      </c>
      <c r="M5820">
        <v>0.99999309999999997</v>
      </c>
      <c r="N5820">
        <v>0</v>
      </c>
      <c r="O5820">
        <v>3.6418779999999999E-3</v>
      </c>
      <c r="P5820">
        <v>0.99729129999999999</v>
      </c>
      <c r="Q5820">
        <v>-4.2907170000000003E-3</v>
      </c>
      <c r="R5820">
        <v>-7.3428579999999993E-2</v>
      </c>
      <c r="S5820">
        <v>2.9742739999999999</v>
      </c>
      <c r="T5820">
        <v>-0.1175938</v>
      </c>
      <c r="U5820">
        <v>-0.45458979999999999</v>
      </c>
      <c r="V5820">
        <v>7.7053529999999995E-2</v>
      </c>
      <c r="W5820">
        <v>-3.6466480000000002E-3</v>
      </c>
      <c r="X5820">
        <v>0.99702029999999997</v>
      </c>
      <c r="Y5820">
        <v>0.15456439999999999</v>
      </c>
      <c r="Z5820">
        <v>-3.1798120000000002E-3</v>
      </c>
      <c r="AA5820">
        <v>0.98797760000000001</v>
      </c>
      <c r="AB5820">
        <v>32</v>
      </c>
      <c r="AC5820">
        <v>27.814699999999998</v>
      </c>
      <c r="AD5820">
        <v>-1.10731756245</v>
      </c>
      <c r="AE5820">
        <v>-4.2810699999999997</v>
      </c>
      <c r="AF5820">
        <v>4.3755651259070198</v>
      </c>
      <c r="AG5820">
        <v>-1.10731756245</v>
      </c>
      <c r="AH5820">
        <v>27.755952607553599</v>
      </c>
      <c r="AI5820">
        <v>92.256750267933896</v>
      </c>
      <c r="AJ5820">
        <v>81.041379094316397</v>
      </c>
      <c r="AK5820">
        <v>28.120537468333101</v>
      </c>
      <c r="AL5820">
        <v>90.2089380004319</v>
      </c>
      <c r="AM5820">
        <v>85.580748162401207</v>
      </c>
      <c r="AN5820">
        <v>1.00000001156959</v>
      </c>
    </row>
    <row r="5821" spans="1:40" x14ac:dyDescent="0.25">
      <c r="A5821" t="str">
        <f>"20190312154951552"</f>
        <v>20190312154951552</v>
      </c>
      <c r="B5821" t="str">
        <f>"1552376991541980"</f>
        <v>1552376991541980</v>
      </c>
      <c r="C5821" t="s">
        <v>40</v>
      </c>
      <c r="D5821">
        <v>4.6372350000000004</v>
      </c>
      <c r="E5821">
        <v>0.530271099999999</v>
      </c>
      <c r="F5821" t="s">
        <v>42</v>
      </c>
      <c r="G5821">
        <v>-336.54860000000002</v>
      </c>
      <c r="H5821" s="1">
        <v>-2.5040059999999998E-6</v>
      </c>
      <c r="I5821">
        <v>14.56729</v>
      </c>
      <c r="J5821">
        <v>-363.90780000000001</v>
      </c>
      <c r="K5821">
        <v>1.1073040000000001</v>
      </c>
      <c r="L5821">
        <v>18.8096</v>
      </c>
      <c r="M5821">
        <v>0.99999590000000005</v>
      </c>
      <c r="N5821">
        <v>0</v>
      </c>
      <c r="O5821">
        <v>2.7659109999999998E-3</v>
      </c>
      <c r="P5821">
        <v>0.99726499999999996</v>
      </c>
      <c r="Q5821">
        <v>-3.771473E-3</v>
      </c>
      <c r="R5821">
        <v>-7.3814759999999993E-2</v>
      </c>
      <c r="S5821">
        <v>2.9740600000000001</v>
      </c>
      <c r="T5821">
        <v>-0.11900280000000001</v>
      </c>
      <c r="U5821">
        <v>-0.45587159999999899</v>
      </c>
      <c r="V5821">
        <v>7.6567120000000002E-2</v>
      </c>
      <c r="W5821">
        <v>-3.095478E-3</v>
      </c>
      <c r="X5821">
        <v>0.99705960000000005</v>
      </c>
      <c r="Y5821">
        <v>0.1541237</v>
      </c>
      <c r="Z5821">
        <v>-3.1744080000000001E-3</v>
      </c>
      <c r="AA5821">
        <v>0.98804650000000005</v>
      </c>
      <c r="AB5821">
        <v>32</v>
      </c>
      <c r="AC5821">
        <v>27.359199999999898</v>
      </c>
      <c r="AD5821">
        <v>-1.1073065040059999</v>
      </c>
      <c r="AE5821">
        <v>-4.2423099999999998</v>
      </c>
      <c r="AF5821">
        <v>4.3110709307473396</v>
      </c>
      <c r="AG5821">
        <v>-1.1073065040059999</v>
      </c>
      <c r="AH5821">
        <v>27.303686604995502</v>
      </c>
      <c r="AI5821">
        <v>92.293981325967195</v>
      </c>
      <c r="AJ5821">
        <v>81.027450123562303</v>
      </c>
      <c r="AK5821">
        <v>27.664106030876201</v>
      </c>
      <c r="AL5821">
        <v>90.177358112491007</v>
      </c>
      <c r="AM5821">
        <v>85.608708185155706</v>
      </c>
      <c r="AN5821">
        <v>0.99999997590065104</v>
      </c>
    </row>
    <row r="5822" spans="1:40" x14ac:dyDescent="0.25">
      <c r="A5822" t="str">
        <f>"20190312154951572"</f>
        <v>20190312154951572</v>
      </c>
      <c r="B5822" t="str">
        <f>"1552376991561499"</f>
        <v>1552376991561499</v>
      </c>
      <c r="C5822" t="s">
        <v>40</v>
      </c>
      <c r="D5822">
        <v>4.6463369999999999</v>
      </c>
      <c r="E5822">
        <v>0.53027969999999902</v>
      </c>
      <c r="F5822" t="s">
        <v>42</v>
      </c>
      <c r="G5822">
        <v>-336.33409999999998</v>
      </c>
      <c r="H5822" s="1">
        <v>-2.5764020000000001E-6</v>
      </c>
      <c r="I5822">
        <v>14.569470000000001</v>
      </c>
      <c r="J5822">
        <v>-363.60939999999999</v>
      </c>
      <c r="K5822">
        <v>1.107302</v>
      </c>
      <c r="L5822">
        <v>18.809660000000001</v>
      </c>
      <c r="M5822">
        <v>0.9999979</v>
      </c>
      <c r="N5822">
        <v>0</v>
      </c>
      <c r="O5822">
        <v>1.9352989999999999E-3</v>
      </c>
      <c r="P5822">
        <v>0.99723499999999998</v>
      </c>
      <c r="Q5822">
        <v>-3.9586719999999999E-3</v>
      </c>
      <c r="R5822">
        <v>-7.4207490000000001E-2</v>
      </c>
      <c r="S5822">
        <v>2.973938</v>
      </c>
      <c r="T5822">
        <v>-0.1194274</v>
      </c>
      <c r="U5822">
        <v>-0.45730589999999999</v>
      </c>
      <c r="V5822">
        <v>7.6131509999999999E-2</v>
      </c>
      <c r="W5822">
        <v>-3.2459110000000002E-3</v>
      </c>
      <c r="X5822">
        <v>0.99709250000000005</v>
      </c>
      <c r="Y5822">
        <v>0.15377469999999999</v>
      </c>
      <c r="Z5822">
        <v>-3.145625E-3</v>
      </c>
      <c r="AA5822">
        <v>0.98810089999999995</v>
      </c>
      <c r="AB5822">
        <v>32</v>
      </c>
      <c r="AC5822">
        <v>27.275300000000001</v>
      </c>
      <c r="AD5822">
        <v>-1.107304576402</v>
      </c>
      <c r="AE5822">
        <v>-4.2401900000000001</v>
      </c>
      <c r="AF5822">
        <v>4.2860705634405596</v>
      </c>
      <c r="AG5822">
        <v>-1.107304576402</v>
      </c>
      <c r="AH5822">
        <v>27.223233833465802</v>
      </c>
      <c r="AI5822">
        <v>92.300909172768499</v>
      </c>
      <c r="AJ5822">
        <v>81.052704251571498</v>
      </c>
      <c r="AK5822">
        <v>27.580808266823301</v>
      </c>
      <c r="AL5822">
        <v>90.185977327893497</v>
      </c>
      <c r="AM5822">
        <v>85.633737995984703</v>
      </c>
      <c r="AN5822">
        <v>0.999999998154675</v>
      </c>
    </row>
    <row r="5823" spans="1:40" x14ac:dyDescent="0.25">
      <c r="A5823" t="str">
        <f>"20190312154951593"</f>
        <v>20190312154951593</v>
      </c>
      <c r="B5823" t="str">
        <f>"1552376991581996"</f>
        <v>1552376991581996</v>
      </c>
      <c r="C5823" t="s">
        <v>40</v>
      </c>
      <c r="D5823">
        <v>4.713336</v>
      </c>
      <c r="E5823">
        <v>0.53031839999999997</v>
      </c>
      <c r="F5823" t="s">
        <v>42</v>
      </c>
      <c r="G5823">
        <v>-336.55919999999998</v>
      </c>
      <c r="H5823" s="1">
        <v>-2.4812550000000001E-6</v>
      </c>
      <c r="I5823">
        <v>14.639150000000001</v>
      </c>
      <c r="J5823">
        <v>-363.30009999999999</v>
      </c>
      <c r="K5823">
        <v>1.1072900000000001</v>
      </c>
      <c r="L5823">
        <v>18.80951</v>
      </c>
      <c r="M5823">
        <v>0.99999910000000003</v>
      </c>
      <c r="N5823">
        <v>0</v>
      </c>
      <c r="O5823">
        <v>1.075884E-3</v>
      </c>
      <c r="P5823">
        <v>0.99719389999999997</v>
      </c>
      <c r="Q5823">
        <v>-3.8868489999999999E-3</v>
      </c>
      <c r="R5823">
        <v>-7.4762200000000001E-2</v>
      </c>
      <c r="S5823">
        <v>2.9736940000000001</v>
      </c>
      <c r="T5823">
        <v>-0.1217287</v>
      </c>
      <c r="U5823">
        <v>-0.45846559999999997</v>
      </c>
      <c r="V5823">
        <v>7.5829129999999995E-2</v>
      </c>
      <c r="W5823">
        <v>-3.130023E-3</v>
      </c>
      <c r="X5823">
        <v>0.99711590000000005</v>
      </c>
      <c r="Y5823">
        <v>0.15331040000000001</v>
      </c>
      <c r="Z5823">
        <v>-3.1619489999999998E-3</v>
      </c>
      <c r="AA5823">
        <v>0.98817299999999997</v>
      </c>
      <c r="AB5823">
        <v>32</v>
      </c>
      <c r="AC5823">
        <v>26.7409</v>
      </c>
      <c r="AD5823">
        <v>-1.10729248125499</v>
      </c>
      <c r="AE5823">
        <v>-4.1703599999999899</v>
      </c>
      <c r="AF5823">
        <v>4.1921104193037699</v>
      </c>
      <c r="AG5823">
        <v>-1.10729248125499</v>
      </c>
      <c r="AH5823">
        <v>26.691717737260198</v>
      </c>
      <c r="AI5823">
        <v>92.346789690894894</v>
      </c>
      <c r="AJ5823">
        <v>81.074233068232303</v>
      </c>
      <c r="AK5823">
        <v>27.041591709295702</v>
      </c>
      <c r="AL5823">
        <v>90.179337403016802</v>
      </c>
      <c r="AM5823">
        <v>85.651114969408795</v>
      </c>
      <c r="AN5823">
        <v>0.99999998601667295</v>
      </c>
    </row>
    <row r="5824" spans="1:40" x14ac:dyDescent="0.25">
      <c r="A5824" t="str">
        <f>"20190312154951615"</f>
        <v>20190312154951615</v>
      </c>
      <c r="B5824" t="str">
        <f>"1552376991611276"</f>
        <v>1552376991611276</v>
      </c>
      <c r="C5824" t="s">
        <v>40</v>
      </c>
      <c r="D5824">
        <v>4.6691399999999996</v>
      </c>
      <c r="E5824">
        <v>0.53030219999999995</v>
      </c>
      <c r="F5824" t="s">
        <v>42</v>
      </c>
      <c r="G5824">
        <v>-336.46690000000001</v>
      </c>
      <c r="H5824" s="1">
        <v>-2.5085790000000001E-6</v>
      </c>
      <c r="I5824">
        <v>14.65448</v>
      </c>
      <c r="J5824">
        <v>-362.97</v>
      </c>
      <c r="K5824">
        <v>1.107283</v>
      </c>
      <c r="L5824">
        <v>18.809049999999999</v>
      </c>
      <c r="M5824">
        <v>0.99999959999999999</v>
      </c>
      <c r="N5824">
        <v>0</v>
      </c>
      <c r="O5824">
        <v>1.5863720000000001E-4</v>
      </c>
      <c r="P5824">
        <v>0.99711229999999995</v>
      </c>
      <c r="Q5824">
        <v>-3.8595779999999998E-3</v>
      </c>
      <c r="R5824">
        <v>-7.5843099999999997E-2</v>
      </c>
      <c r="S5824">
        <v>2.9734500000000001</v>
      </c>
      <c r="T5824">
        <v>-0.12270159999999999</v>
      </c>
      <c r="U5824">
        <v>-0.46041870000000001</v>
      </c>
      <c r="V5824">
        <v>7.5995779999999999E-2</v>
      </c>
      <c r="W5824">
        <v>-3.0512180000000001E-3</v>
      </c>
      <c r="X5824">
        <v>0.99710350000000003</v>
      </c>
      <c r="Y5824">
        <v>0.1530492</v>
      </c>
      <c r="Z5824">
        <v>-3.144333E-3</v>
      </c>
      <c r="AA5824">
        <v>0.98821360000000003</v>
      </c>
      <c r="AB5824">
        <v>32</v>
      </c>
      <c r="AC5824">
        <v>26.5031</v>
      </c>
      <c r="AD5824">
        <v>-1.1072855085789901</v>
      </c>
      <c r="AE5824">
        <v>-4.1545699999999997</v>
      </c>
      <c r="AF5824">
        <v>4.1517012390562602</v>
      </c>
      <c r="AG5824">
        <v>-1.1072855085789901</v>
      </c>
      <c r="AH5824">
        <v>26.457366236912399</v>
      </c>
      <c r="AI5824">
        <v>92.367587753985703</v>
      </c>
      <c r="AJ5824">
        <v>81.081847442369593</v>
      </c>
      <c r="AK5824">
        <v>26.804009636060101</v>
      </c>
      <c r="AL5824">
        <v>90.174822179949601</v>
      </c>
      <c r="AM5824">
        <v>85.641540200607906</v>
      </c>
      <c r="AN5824">
        <v>1.0000000291106701</v>
      </c>
    </row>
    <row r="5825" spans="1:40" x14ac:dyDescent="0.25">
      <c r="A5825" t="str">
        <f>"20190312154951627"</f>
        <v>20190312154951627</v>
      </c>
      <c r="B5825" t="str">
        <f>"1552376991622011"</f>
        <v>1552376991622011</v>
      </c>
      <c r="C5825" t="s">
        <v>40</v>
      </c>
      <c r="D5825">
        <v>4.7447759999999999</v>
      </c>
      <c r="E5825">
        <v>0.5303137</v>
      </c>
      <c r="F5825" t="s">
        <v>42</v>
      </c>
      <c r="G5825">
        <v>-336.39839999999998</v>
      </c>
      <c r="H5825" s="1">
        <v>-2.5284639999999999E-6</v>
      </c>
      <c r="I5825">
        <v>14.66741</v>
      </c>
      <c r="J5825">
        <v>-362.78609999999998</v>
      </c>
      <c r="K5825">
        <v>1.107278</v>
      </c>
      <c r="L5825">
        <v>18.808689999999999</v>
      </c>
      <c r="M5825">
        <v>0.99999939999999998</v>
      </c>
      <c r="N5825">
        <v>0</v>
      </c>
      <c r="O5825">
        <v>-3.5164490000000001E-4</v>
      </c>
      <c r="P5825">
        <v>0.99705829999999995</v>
      </c>
      <c r="Q5825">
        <v>-3.835883E-3</v>
      </c>
      <c r="R5825">
        <v>-7.6550610000000005E-2</v>
      </c>
      <c r="S5825">
        <v>2.9729610000000002</v>
      </c>
      <c r="T5825">
        <v>-0.1238886</v>
      </c>
      <c r="U5825">
        <v>-0.46337889999999998</v>
      </c>
      <c r="V5825">
        <v>7.6194559999999995E-2</v>
      </c>
      <c r="W5825">
        <v>-2.9962550000000002E-3</v>
      </c>
      <c r="X5825">
        <v>0.99708850000000004</v>
      </c>
      <c r="Y5825">
        <v>0.15352769999999999</v>
      </c>
      <c r="Z5825">
        <v>-3.1637779999999999E-3</v>
      </c>
      <c r="AA5825">
        <v>0.98813930000000005</v>
      </c>
      <c r="AB5825">
        <v>33</v>
      </c>
      <c r="AC5825">
        <v>26.387699999999899</v>
      </c>
      <c r="AD5825">
        <v>-1.1072805284639999</v>
      </c>
      <c r="AE5825">
        <v>-4.1412799999999903</v>
      </c>
      <c r="AF5825">
        <v>4.1249120492125</v>
      </c>
      <c r="AG5825">
        <v>-1.1072805284639999</v>
      </c>
      <c r="AH5825">
        <v>26.343883124282002</v>
      </c>
      <c r="AI5825">
        <v>92.377888272017799</v>
      </c>
      <c r="AJ5825">
        <v>81.100912741149699</v>
      </c>
      <c r="AK5825">
        <v>26.6878464408105</v>
      </c>
      <c r="AL5825">
        <v>90.171673017103203</v>
      </c>
      <c r="AM5825">
        <v>85.630118517164902</v>
      </c>
      <c r="AN5825">
        <v>1.0000000326749301</v>
      </c>
    </row>
    <row r="5826" spans="1:40" x14ac:dyDescent="0.25">
      <c r="A5826" t="str">
        <f>"20190312154951639"</f>
        <v>20190312154951639</v>
      </c>
      <c r="B5826" t="str">
        <f>"1552376991631772"</f>
        <v>1552376991631772</v>
      </c>
      <c r="C5826" t="s">
        <v>40</v>
      </c>
      <c r="D5826">
        <v>4.7284350000000002</v>
      </c>
      <c r="E5826">
        <v>0.53029409999999999</v>
      </c>
      <c r="F5826" t="s">
        <v>42</v>
      </c>
      <c r="G5826">
        <v>-336.26339999999999</v>
      </c>
      <c r="H5826" s="1">
        <v>-2.5777700000000001E-6</v>
      </c>
      <c r="I5826">
        <v>14.65485</v>
      </c>
      <c r="J5826">
        <v>-362.60320000000002</v>
      </c>
      <c r="K5826">
        <v>1.1072740000000001</v>
      </c>
      <c r="L5826">
        <v>18.808199999999999</v>
      </c>
      <c r="M5826">
        <v>0.99999910000000003</v>
      </c>
      <c r="N5826">
        <v>0</v>
      </c>
      <c r="O5826">
        <v>-8.5931110000000001E-4</v>
      </c>
      <c r="P5826">
        <v>0.99701340000000005</v>
      </c>
      <c r="Q5826">
        <v>-3.7045939999999999E-3</v>
      </c>
      <c r="R5826">
        <v>-7.7139360000000004E-2</v>
      </c>
      <c r="S5826">
        <v>2.972626</v>
      </c>
      <c r="T5826">
        <v>-0.124102</v>
      </c>
      <c r="U5826">
        <v>-0.46554570000000001</v>
      </c>
      <c r="V5826">
        <v>7.6277189999999995E-2</v>
      </c>
      <c r="W5826">
        <v>-2.8294700000000002E-3</v>
      </c>
      <c r="X5826">
        <v>0.99708269999999999</v>
      </c>
      <c r="Y5826">
        <v>0.15374589999999999</v>
      </c>
      <c r="Z5826">
        <v>-3.1528670000000002E-3</v>
      </c>
      <c r="AA5826">
        <v>0.98810540000000002</v>
      </c>
      <c r="AB5826">
        <v>33</v>
      </c>
      <c r="AC5826">
        <v>26.3398</v>
      </c>
      <c r="AD5826">
        <v>-1.10727657776999</v>
      </c>
      <c r="AE5826">
        <v>-4.1533499999999997</v>
      </c>
      <c r="AF5826">
        <v>4.1236039077598097</v>
      </c>
      <c r="AG5826">
        <v>-1.10727657776999</v>
      </c>
      <c r="AH5826">
        <v>26.298012778481901</v>
      </c>
      <c r="AI5826">
        <v>92.3819413659959</v>
      </c>
      <c r="AJ5826">
        <v>81.088421217059704</v>
      </c>
      <c r="AK5826">
        <v>26.642365636425101</v>
      </c>
      <c r="AL5826">
        <v>90.162116895340702</v>
      </c>
      <c r="AM5826">
        <v>85.625372590477795</v>
      </c>
      <c r="AN5826">
        <v>1.00000006312703</v>
      </c>
    </row>
    <row r="5827" spans="1:40" x14ac:dyDescent="0.25">
      <c r="A5827" t="str">
        <f>"20190312154951651"</f>
        <v>20190312154951651</v>
      </c>
      <c r="B5827" t="str">
        <f>"1552376991641532"</f>
        <v>1552376991641532</v>
      </c>
      <c r="C5827" t="s">
        <v>40</v>
      </c>
      <c r="D5827">
        <v>4.7196870000000004</v>
      </c>
      <c r="E5827">
        <v>0.53028199999999903</v>
      </c>
      <c r="F5827" t="s">
        <v>42</v>
      </c>
      <c r="G5827">
        <v>-336.04250000000002</v>
      </c>
      <c r="H5827" s="1">
        <v>-2.6586499999999999E-6</v>
      </c>
      <c r="I5827">
        <v>14.633380000000001</v>
      </c>
      <c r="J5827">
        <v>-362.43849999999998</v>
      </c>
      <c r="K5827">
        <v>1.107273</v>
      </c>
      <c r="L5827">
        <v>18.80771</v>
      </c>
      <c r="M5827">
        <v>0.99999859999999896</v>
      </c>
      <c r="N5827">
        <v>0</v>
      </c>
      <c r="O5827">
        <v>-1.3160719999999999E-3</v>
      </c>
      <c r="P5827">
        <v>0.99695670000000003</v>
      </c>
      <c r="Q5827">
        <v>-3.7378649999999999E-3</v>
      </c>
      <c r="R5827">
        <v>-7.786883E-2</v>
      </c>
      <c r="S5827">
        <v>2.9724119999999998</v>
      </c>
      <c r="T5827">
        <v>-0.1239152</v>
      </c>
      <c r="U5827">
        <v>-0.46719359999999999</v>
      </c>
      <c r="V5827">
        <v>7.655112E-2</v>
      </c>
      <c r="W5827">
        <v>-2.8291129999999999E-3</v>
      </c>
      <c r="X5827">
        <v>0.99706170000000005</v>
      </c>
      <c r="Y5827">
        <v>0.1538408</v>
      </c>
      <c r="Z5827">
        <v>-3.1312639999999999E-3</v>
      </c>
      <c r="AA5827">
        <v>0.98809069999999999</v>
      </c>
      <c r="AB5827">
        <v>33</v>
      </c>
      <c r="AC5827">
        <v>26.395999999999901</v>
      </c>
      <c r="AD5827">
        <v>-1.1072756586500001</v>
      </c>
      <c r="AE5827">
        <v>-4.1743300000000003</v>
      </c>
      <c r="AF5827">
        <v>4.1324928644539698</v>
      </c>
      <c r="AG5827">
        <v>-1.1072756586500001</v>
      </c>
      <c r="AH5827">
        <v>26.356223762185198</v>
      </c>
      <c r="AI5827">
        <v>92.376687912540405</v>
      </c>
      <c r="AJ5827">
        <v>81.088927659680905</v>
      </c>
      <c r="AK5827">
        <v>26.701200116500001</v>
      </c>
      <c r="AL5827">
        <v>90.162096441865799</v>
      </c>
      <c r="AM5827">
        <v>85.609631442799696</v>
      </c>
      <c r="AN5827">
        <v>1.00000005573025</v>
      </c>
    </row>
    <row r="5828" spans="1:40" x14ac:dyDescent="0.25">
      <c r="A5828" t="str">
        <f>"20190312154951670"</f>
        <v>20190312154951670</v>
      </c>
      <c r="B5828" t="str">
        <f>"1552376991662029"</f>
        <v>1552376991662029</v>
      </c>
      <c r="C5828" t="s">
        <v>40</v>
      </c>
      <c r="D5828">
        <v>4.768535</v>
      </c>
      <c r="E5828">
        <v>0.53024199999999999</v>
      </c>
      <c r="F5828" t="s">
        <v>42</v>
      </c>
      <c r="G5828">
        <v>-335.94189999999998</v>
      </c>
      <c r="H5828" s="1">
        <v>-2.6954430000000002E-6</v>
      </c>
      <c r="I5828">
        <v>14.623729999999901</v>
      </c>
      <c r="J5828">
        <v>-362.15449999999998</v>
      </c>
      <c r="K5828">
        <v>1.107275</v>
      </c>
      <c r="L5828">
        <v>18.806640000000002</v>
      </c>
      <c r="M5828">
        <v>0.99999729999999998</v>
      </c>
      <c r="N5828">
        <v>0</v>
      </c>
      <c r="O5828">
        <v>-2.1032210000000002E-3</v>
      </c>
      <c r="P5828">
        <v>0.996865</v>
      </c>
      <c r="Q5828">
        <v>-3.7312859999999999E-3</v>
      </c>
      <c r="R5828">
        <v>-7.9037129999999997E-2</v>
      </c>
      <c r="S5828">
        <v>2.9720759999999999</v>
      </c>
      <c r="T5828">
        <v>-0.1242008</v>
      </c>
      <c r="U5828">
        <v>-0.46929929999999997</v>
      </c>
      <c r="V5828">
        <v>7.693498E-2</v>
      </c>
      <c r="W5828">
        <v>-2.759512E-3</v>
      </c>
      <c r="X5828">
        <v>0.99703229999999998</v>
      </c>
      <c r="Y5828">
        <v>0.15376339999999999</v>
      </c>
      <c r="Z5828">
        <v>-3.1043709999999999E-3</v>
      </c>
      <c r="AA5828">
        <v>0.98810279999999995</v>
      </c>
      <c r="AB5828">
        <v>33</v>
      </c>
      <c r="AC5828">
        <v>26.212599999999998</v>
      </c>
      <c r="AD5828">
        <v>-1.1072776954429999</v>
      </c>
      <c r="AE5828">
        <v>-4.1829099999999997</v>
      </c>
      <c r="AF5828">
        <v>4.1205996078999103</v>
      </c>
      <c r="AG5828">
        <v>-1.1072776954429999</v>
      </c>
      <c r="AH5828">
        <v>26.175791324897599</v>
      </c>
      <c r="AI5828">
        <v>92.392826517237495</v>
      </c>
      <c r="AJ5828">
        <v>81.053900146054502</v>
      </c>
      <c r="AK5828">
        <v>26.521264232838401</v>
      </c>
      <c r="AL5828">
        <v>90.158108590728602</v>
      </c>
      <c r="AM5828">
        <v>85.5875733870689</v>
      </c>
      <c r="AN5828">
        <v>1.0000000066486801</v>
      </c>
    </row>
    <row r="5829" spans="1:40" x14ac:dyDescent="0.25">
      <c r="A5829" t="str">
        <f>"20190312154951681"</f>
        <v>20190312154951681</v>
      </c>
      <c r="B5829" t="str">
        <f>"1552376991671788"</f>
        <v>1552376991671788</v>
      </c>
      <c r="C5829" t="s">
        <v>40</v>
      </c>
      <c r="D5829">
        <v>4.7093870000000004</v>
      </c>
      <c r="E5829">
        <v>0.53022400000000003</v>
      </c>
      <c r="F5829" t="s">
        <v>42</v>
      </c>
      <c r="G5829">
        <v>-335.83440000000002</v>
      </c>
      <c r="H5829" s="1">
        <v>-2.732199E-6</v>
      </c>
      <c r="I5829">
        <v>14.623010000000001</v>
      </c>
      <c r="J5829">
        <v>-361.98430000000002</v>
      </c>
      <c r="K5829">
        <v>1.107275</v>
      </c>
      <c r="L5829">
        <v>18.805910000000001</v>
      </c>
      <c r="M5829">
        <v>0.99999610000000005</v>
      </c>
      <c r="N5829">
        <v>0</v>
      </c>
      <c r="O5829">
        <v>-2.5744190000000001E-3</v>
      </c>
      <c r="P5829">
        <v>0.9968127</v>
      </c>
      <c r="Q5829">
        <v>-3.7397839999999999E-3</v>
      </c>
      <c r="R5829">
        <v>-7.9689049999999997E-2</v>
      </c>
      <c r="S5829">
        <v>2.971527</v>
      </c>
      <c r="T5829">
        <v>-0.12501109999999999</v>
      </c>
      <c r="U5829">
        <v>-0.47232059999999998</v>
      </c>
      <c r="V5829">
        <v>7.7117439999999995E-2</v>
      </c>
      <c r="W5829">
        <v>-2.7268790000000002E-3</v>
      </c>
      <c r="X5829">
        <v>0.99701830000000002</v>
      </c>
      <c r="Y5829">
        <v>0.1543042</v>
      </c>
      <c r="Z5829">
        <v>-3.1165390000000002E-3</v>
      </c>
      <c r="AA5829">
        <v>0.98801850000000002</v>
      </c>
      <c r="AB5829">
        <v>33</v>
      </c>
      <c r="AC5829">
        <v>26.149899999999999</v>
      </c>
      <c r="AD5829">
        <v>-1.1072777321989999</v>
      </c>
      <c r="AE5829">
        <v>-4.1829000000000001</v>
      </c>
      <c r="AF5829">
        <v>4.1083828667648499</v>
      </c>
      <c r="AG5829">
        <v>-1.1072777321989999</v>
      </c>
      <c r="AH5829">
        <v>26.114926767805901</v>
      </c>
      <c r="AI5829">
        <v>92.398434040833195</v>
      </c>
      <c r="AJ5829">
        <v>81.059542501987295</v>
      </c>
      <c r="AK5829">
        <v>26.4592946588531</v>
      </c>
      <c r="AL5829">
        <v>90.156238849544195</v>
      </c>
      <c r="AM5829">
        <v>85.577088432581306</v>
      </c>
      <c r="AN5829">
        <v>1.00000001297806</v>
      </c>
    </row>
    <row r="5830" spans="1:40" x14ac:dyDescent="0.25">
      <c r="A5830" t="str">
        <f>"20190312154951695"</f>
        <v>20190312154951695</v>
      </c>
      <c r="B5830" t="str">
        <f>"1552376991681549"</f>
        <v>1552376991681549</v>
      </c>
      <c r="C5830" t="s">
        <v>40</v>
      </c>
      <c r="D5830">
        <v>4.7620310000000003</v>
      </c>
      <c r="E5830">
        <v>0.53021090000000004</v>
      </c>
      <c r="F5830" t="s">
        <v>42</v>
      </c>
      <c r="G5830">
        <v>-335.78129999999999</v>
      </c>
      <c r="H5830" s="1">
        <v>-2.749917E-6</v>
      </c>
      <c r="I5830">
        <v>14.624370000000001</v>
      </c>
      <c r="J5830">
        <v>-361.79849999999999</v>
      </c>
      <c r="K5830">
        <v>1.107275</v>
      </c>
      <c r="L5830">
        <v>18.80499</v>
      </c>
      <c r="M5830">
        <v>0.99999450000000001</v>
      </c>
      <c r="N5830">
        <v>0</v>
      </c>
      <c r="O5830">
        <v>-3.0875920000000001E-3</v>
      </c>
      <c r="P5830">
        <v>0.99675860000000005</v>
      </c>
      <c r="Q5830">
        <v>-3.8430780000000002E-3</v>
      </c>
      <c r="R5830">
        <v>-8.0358840000000001E-2</v>
      </c>
      <c r="S5830">
        <v>2.9712519999999998</v>
      </c>
      <c r="T5830">
        <v>-0.12555839999999999</v>
      </c>
      <c r="U5830">
        <v>-0.47415160000000001</v>
      </c>
      <c r="V5830">
        <v>7.7275399999999994E-2</v>
      </c>
      <c r="W5830">
        <v>-2.7827210000000002E-3</v>
      </c>
      <c r="X5830">
        <v>0.9970059</v>
      </c>
      <c r="Y5830">
        <v>0.1544044</v>
      </c>
      <c r="Z5830">
        <v>-3.1108709999999999E-3</v>
      </c>
      <c r="AA5830">
        <v>0.98800279999999996</v>
      </c>
      <c r="AB5830">
        <v>33</v>
      </c>
      <c r="AC5830">
        <v>26.017199999999999</v>
      </c>
      <c r="AD5830">
        <v>-1.1072777499169999</v>
      </c>
      <c r="AE5830">
        <v>-4.1806199999999896</v>
      </c>
      <c r="AF5830">
        <v>4.0930423659856903</v>
      </c>
      <c r="AG5830">
        <v>-1.1072777499169999</v>
      </c>
      <c r="AH5830">
        <v>25.984103505191101</v>
      </c>
      <c r="AI5830">
        <v>92.410420777707103</v>
      </c>
      <c r="AJ5830">
        <v>81.048266405071402</v>
      </c>
      <c r="AK5830">
        <v>26.3277932002228</v>
      </c>
      <c r="AL5830">
        <v>90.159438374981804</v>
      </c>
      <c r="AM5830">
        <v>85.568010118660993</v>
      </c>
      <c r="AN5830">
        <v>0.99999999780806603</v>
      </c>
    </row>
    <row r="5831" spans="1:40" x14ac:dyDescent="0.25">
      <c r="A5831" t="str">
        <f>"20190312154951708"</f>
        <v>20190312154951708</v>
      </c>
      <c r="B5831" t="str">
        <f>"1552376991702043"</f>
        <v>1552376991702043</v>
      </c>
      <c r="C5831" t="s">
        <v>40</v>
      </c>
      <c r="D5831">
        <v>4.7389469999999996</v>
      </c>
      <c r="E5831">
        <v>0.53018030000000005</v>
      </c>
      <c r="F5831" t="s">
        <v>42</v>
      </c>
      <c r="G5831">
        <v>-335.71879999999999</v>
      </c>
      <c r="H5831" s="1">
        <v>-2.7708389999999998E-6</v>
      </c>
      <c r="I5831">
        <v>14.625679999999999</v>
      </c>
      <c r="J5831">
        <v>-361.58730000000003</v>
      </c>
      <c r="K5831">
        <v>1.1072759999999999</v>
      </c>
      <c r="L5831">
        <v>18.80386</v>
      </c>
      <c r="M5831">
        <v>0.99999249999999995</v>
      </c>
      <c r="N5831">
        <v>0</v>
      </c>
      <c r="O5831">
        <v>-3.6706389999999998E-3</v>
      </c>
      <c r="P5831">
        <v>0.99669419999999997</v>
      </c>
      <c r="Q5831">
        <v>-3.683094E-3</v>
      </c>
      <c r="R5831">
        <v>-8.1163109999999997E-2</v>
      </c>
      <c r="S5831">
        <v>2.9708559999999999</v>
      </c>
      <c r="T5831">
        <v>-0.12613489999999999</v>
      </c>
      <c r="U5831">
        <v>-0.4760742</v>
      </c>
      <c r="V5831">
        <v>7.749897E-2</v>
      </c>
      <c r="W5831">
        <v>-2.56675E-3</v>
      </c>
      <c r="X5831">
        <v>0.99698909999999996</v>
      </c>
      <c r="Y5831">
        <v>0.15447149999999901</v>
      </c>
      <c r="Z5831">
        <v>-3.1022279999999998E-3</v>
      </c>
      <c r="AA5831">
        <v>0.98799230000000005</v>
      </c>
      <c r="AB5831">
        <v>33</v>
      </c>
      <c r="AC5831">
        <v>25.868500000000001</v>
      </c>
      <c r="AD5831">
        <v>-1.1072787708389999</v>
      </c>
      <c r="AE5831">
        <v>-4.1781800000000002</v>
      </c>
      <c r="AF5831">
        <v>4.0759198438679798</v>
      </c>
      <c r="AG5831">
        <v>-1.1072787708389999</v>
      </c>
      <c r="AH5831">
        <v>25.837526535442802</v>
      </c>
      <c r="AI5831">
        <v>92.423995127943499</v>
      </c>
      <c r="AJ5831">
        <v>81.035356402621403</v>
      </c>
      <c r="AK5831">
        <v>26.180469176844401</v>
      </c>
      <c r="AL5831">
        <v>90.147064107659105</v>
      </c>
      <c r="AM5831">
        <v>85.555164379052997</v>
      </c>
      <c r="AN5831">
        <v>0.99999997203771596</v>
      </c>
    </row>
    <row r="5832" spans="1:40" x14ac:dyDescent="0.25">
      <c r="A5832" t="str">
        <f>"20190312154951720"</f>
        <v>20190312154951720</v>
      </c>
      <c r="B5832" t="str">
        <f>"1552376991711804"</f>
        <v>1552376991711804</v>
      </c>
      <c r="C5832" t="s">
        <v>40</v>
      </c>
      <c r="D5832">
        <v>4.776135</v>
      </c>
      <c r="E5832">
        <v>0.53017780000000003</v>
      </c>
      <c r="F5832" t="s">
        <v>42</v>
      </c>
      <c r="G5832">
        <v>-335.55489999999998</v>
      </c>
      <c r="H5832" s="1">
        <v>-2.8299179999999999E-6</v>
      </c>
      <c r="I5832">
        <v>14.613250000000001</v>
      </c>
      <c r="J5832">
        <v>-361.3972</v>
      </c>
      <c r="K5832">
        <v>1.107278</v>
      </c>
      <c r="L5832">
        <v>18.802759999999999</v>
      </c>
      <c r="M5832">
        <v>0.9999903</v>
      </c>
      <c r="N5832">
        <v>0</v>
      </c>
      <c r="O5832">
        <v>-4.1946730000000003E-3</v>
      </c>
      <c r="P5832">
        <v>0.99665150000000002</v>
      </c>
      <c r="Q5832">
        <v>-3.625901E-3</v>
      </c>
      <c r="R5832">
        <v>-8.1687170000000003E-2</v>
      </c>
      <c r="S5832">
        <v>2.9705509999999999</v>
      </c>
      <c r="T5832">
        <v>-0.12635109999999999</v>
      </c>
      <c r="U5832">
        <v>-0.47817989999999999</v>
      </c>
      <c r="V5832">
        <v>7.7501009999999995E-2</v>
      </c>
      <c r="W5832">
        <v>-2.4553550000000002E-3</v>
      </c>
      <c r="X5832">
        <v>0.99698929999999997</v>
      </c>
      <c r="Y5832">
        <v>0.15465229999999999</v>
      </c>
      <c r="Z5832">
        <v>-3.089367E-3</v>
      </c>
      <c r="AA5832">
        <v>0.98796419999999996</v>
      </c>
      <c r="AB5832">
        <v>33</v>
      </c>
      <c r="AC5832">
        <v>25.842300000000002</v>
      </c>
      <c r="AD5832">
        <v>-1.1072808299179999</v>
      </c>
      <c r="AE5832">
        <v>-4.1895099999999896</v>
      </c>
      <c r="AF5832">
        <v>4.0737854460672898</v>
      </c>
      <c r="AG5832">
        <v>-1.1072808299179999</v>
      </c>
      <c r="AH5832">
        <v>25.813468540598699</v>
      </c>
      <c r="AI5832">
        <v>92.426232081317593</v>
      </c>
      <c r="AJ5832">
        <v>81.031759628045705</v>
      </c>
      <c r="AK5832">
        <v>26.156394185616801</v>
      </c>
      <c r="AL5832">
        <v>90.140681613054397</v>
      </c>
      <c r="AM5832">
        <v>85.555048734932797</v>
      </c>
      <c r="AN5832">
        <v>1.00000004981684</v>
      </c>
    </row>
    <row r="5833" spans="1:40" x14ac:dyDescent="0.25">
      <c r="A5833" t="str">
        <f>"20190312154951739"</f>
        <v>20190312154951739</v>
      </c>
      <c r="B5833" t="str">
        <f>"1552376991731323"</f>
        <v>1552376991731323</v>
      </c>
      <c r="C5833" t="s">
        <v>40</v>
      </c>
      <c r="D5833">
        <v>4.8024440000000004</v>
      </c>
      <c r="E5833">
        <v>0.5301304</v>
      </c>
      <c r="F5833" t="s">
        <v>42</v>
      </c>
      <c r="G5833">
        <v>-335.43020000000001</v>
      </c>
      <c r="H5833" s="1">
        <v>-2.8732150000000001E-6</v>
      </c>
      <c r="I5833">
        <v>14.610099999999999</v>
      </c>
      <c r="J5833">
        <v>-361.13139999999999</v>
      </c>
      <c r="K5833">
        <v>1.107278</v>
      </c>
      <c r="L5833">
        <v>18.801030000000001</v>
      </c>
      <c r="M5833">
        <v>0.99998679999999995</v>
      </c>
      <c r="N5833">
        <v>0</v>
      </c>
      <c r="O5833">
        <v>-4.9263029999999999E-3</v>
      </c>
      <c r="P5833">
        <v>0.9965754</v>
      </c>
      <c r="Q5833">
        <v>-3.3808739999999999E-3</v>
      </c>
      <c r="R5833">
        <v>-8.2620689999999997E-2</v>
      </c>
      <c r="S5833">
        <v>2.9703369999999998</v>
      </c>
      <c r="T5833">
        <v>-0.126660199999999</v>
      </c>
      <c r="U5833">
        <v>-0.4795837</v>
      </c>
      <c r="V5833">
        <v>7.7705990000000003E-2</v>
      </c>
      <c r="W5833">
        <v>-2.1321309999999998E-3</v>
      </c>
      <c r="X5833">
        <v>0.99697409999999997</v>
      </c>
      <c r="Y5833">
        <v>0.154395899999999</v>
      </c>
      <c r="Z5833">
        <v>-3.0606159999999999E-3</v>
      </c>
      <c r="AA5833">
        <v>0.98800429999999995</v>
      </c>
      <c r="AB5833">
        <v>33</v>
      </c>
      <c r="AC5833">
        <v>25.701199999999901</v>
      </c>
      <c r="AD5833">
        <v>-1.1072808732149999</v>
      </c>
      <c r="AE5833">
        <v>-4.1909299999999901</v>
      </c>
      <c r="AF5833">
        <v>4.0569319521412801</v>
      </c>
      <c r="AG5833">
        <v>-1.1072808732149999</v>
      </c>
      <c r="AH5833">
        <v>25.675111906175601</v>
      </c>
      <c r="AI5833">
        <v>92.439217944979603</v>
      </c>
      <c r="AJ5833">
        <v>81.020913674865398</v>
      </c>
      <c r="AK5833">
        <v>26.017227738387799</v>
      </c>
      <c r="AL5833">
        <v>90.122162192717894</v>
      </c>
      <c r="AM5833">
        <v>85.543272048832804</v>
      </c>
      <c r="AN5833">
        <v>1.0000000614676401</v>
      </c>
    </row>
    <row r="5834" spans="1:40" x14ac:dyDescent="0.25">
      <c r="A5834" t="str">
        <f>"20190312154951765"</f>
        <v>20190312154951765</v>
      </c>
      <c r="B5834" t="str">
        <f>"1552376991751820"</f>
        <v>1552376991751820</v>
      </c>
      <c r="C5834" t="s">
        <v>40</v>
      </c>
      <c r="D5834">
        <v>4.7887719999999998</v>
      </c>
      <c r="E5834">
        <v>0.5078859</v>
      </c>
      <c r="F5834" t="s">
        <v>42</v>
      </c>
      <c r="G5834">
        <v>-335.12939999999998</v>
      </c>
      <c r="H5834" s="1">
        <v>-2.9832559999999999E-6</v>
      </c>
      <c r="I5834">
        <v>14.58126</v>
      </c>
      <c r="J5834">
        <v>-360.7346</v>
      </c>
      <c r="K5834">
        <v>1.107281</v>
      </c>
      <c r="L5834">
        <v>18.79813</v>
      </c>
      <c r="M5834">
        <v>0.99998089999999995</v>
      </c>
      <c r="N5834">
        <v>0</v>
      </c>
      <c r="O5834">
        <v>-6.0170900000000001E-3</v>
      </c>
      <c r="P5834">
        <v>0.99648369999999997</v>
      </c>
      <c r="Q5834">
        <v>-3.1378339999999999E-3</v>
      </c>
      <c r="R5834">
        <v>-8.3730310000000002E-2</v>
      </c>
      <c r="S5834">
        <v>2.96991</v>
      </c>
      <c r="T5834">
        <v>-0.12647139999999901</v>
      </c>
      <c r="U5834">
        <v>-0.48196410000000001</v>
      </c>
      <c r="V5834">
        <v>7.7729400000000004E-2</v>
      </c>
      <c r="W5834">
        <v>-1.7649569999999999E-3</v>
      </c>
      <c r="X5834">
        <v>0.99697290000000005</v>
      </c>
      <c r="Y5834">
        <v>0.1541138</v>
      </c>
      <c r="Z5834">
        <v>-3.0042139999999998E-3</v>
      </c>
      <c r="AA5834">
        <v>0.98804860000000005</v>
      </c>
      <c r="AB5834">
        <v>34</v>
      </c>
      <c r="AC5834">
        <v>25.6052</v>
      </c>
      <c r="AD5834">
        <v>-1.107283983256</v>
      </c>
      <c r="AE5834">
        <v>-4.2168700000000001</v>
      </c>
      <c r="AF5834">
        <v>4.0553411358991802</v>
      </c>
      <c r="AG5834">
        <v>-1.107283983256</v>
      </c>
      <c r="AH5834">
        <v>25.5835297218105</v>
      </c>
      <c r="AI5834">
        <v>92.447755914503205</v>
      </c>
      <c r="AJ5834">
        <v>80.992772769719593</v>
      </c>
      <c r="AK5834">
        <v>25.926605303719398</v>
      </c>
      <c r="AL5834">
        <v>90.1011246427571</v>
      </c>
      <c r="AM5834">
        <v>85.541929465484202</v>
      </c>
      <c r="AN5834">
        <v>0.99999996901598998</v>
      </c>
    </row>
    <row r="5835" spans="1:40" x14ac:dyDescent="0.25">
      <c r="A5835" t="str">
        <f>"20190312154951783"</f>
        <v>20190312154951783</v>
      </c>
      <c r="B5835" t="str">
        <f>"1552376991771340"</f>
        <v>1552376991771340</v>
      </c>
      <c r="C5835" t="s">
        <v>40</v>
      </c>
      <c r="D5835">
        <v>4.8030869999999997</v>
      </c>
      <c r="E5835">
        <v>0.50383009999999995</v>
      </c>
      <c r="F5835" t="s">
        <v>42</v>
      </c>
      <c r="G5835">
        <v>-328.83949999999999</v>
      </c>
      <c r="H5835" s="1">
        <v>-1.5273190000000001E-6</v>
      </c>
      <c r="I5835">
        <v>15.49174</v>
      </c>
      <c r="J5835">
        <v>-360.46719999999999</v>
      </c>
      <c r="K5835">
        <v>1.1072850000000001</v>
      </c>
      <c r="L5835">
        <v>18.795870000000001</v>
      </c>
      <c r="M5835">
        <v>0.99997590000000003</v>
      </c>
      <c r="N5835">
        <v>0</v>
      </c>
      <c r="O5835">
        <v>-6.750186E-3</v>
      </c>
      <c r="P5835">
        <v>0.99641570000000002</v>
      </c>
      <c r="Q5835">
        <v>-2.8846380000000001E-3</v>
      </c>
      <c r="R5835">
        <v>-8.4542430000000002E-2</v>
      </c>
      <c r="S5835">
        <v>2.9842219999999999</v>
      </c>
      <c r="T5835">
        <v>-0.1036011</v>
      </c>
      <c r="U5835">
        <v>-0.30935669999999998</v>
      </c>
      <c r="V5835">
        <v>7.7811729999999996E-2</v>
      </c>
      <c r="W5835">
        <v>-1.4196429999999999E-3</v>
      </c>
      <c r="X5835">
        <v>0.99696709999999999</v>
      </c>
      <c r="Y5835">
        <v>9.6341579999999996E-2</v>
      </c>
      <c r="Z5835">
        <v>-1.4337200000000001E-3</v>
      </c>
      <c r="AA5835">
        <v>0.99534730000000005</v>
      </c>
      <c r="AB5835">
        <v>34</v>
      </c>
      <c r="AC5835">
        <v>31.627700000000001</v>
      </c>
      <c r="AD5835">
        <v>-1.107286527319</v>
      </c>
      <c r="AE5835">
        <v>-3.3041299999999998</v>
      </c>
      <c r="AF5835">
        <v>3.0868189113049702</v>
      </c>
      <c r="AG5835">
        <v>-1.107286527319</v>
      </c>
      <c r="AH5835">
        <v>31.610955648545499</v>
      </c>
      <c r="AI5835">
        <v>91.996679467461902</v>
      </c>
      <c r="AJ5835">
        <v>84.422733285084007</v>
      </c>
      <c r="AK5835">
        <v>31.780608103985099</v>
      </c>
      <c r="AL5835">
        <v>90.081339576416198</v>
      </c>
      <c r="AM5835">
        <v>85.537200740495607</v>
      </c>
      <c r="AN5835">
        <v>1.00000003959712</v>
      </c>
    </row>
    <row r="5836" spans="1:40" x14ac:dyDescent="0.25">
      <c r="A5836" t="str">
        <f>"20190312154951794"</f>
        <v>20190312154951794</v>
      </c>
      <c r="B5836" t="str">
        <f>"1552376991782076"</f>
        <v>1552376991782076</v>
      </c>
      <c r="C5836" t="s">
        <v>40</v>
      </c>
      <c r="D5836">
        <v>4.7896400000000003</v>
      </c>
      <c r="E5836">
        <v>0.50284960000000001</v>
      </c>
      <c r="F5836" t="s">
        <v>42</v>
      </c>
      <c r="G5836">
        <v>-332.42180000000002</v>
      </c>
      <c r="H5836" s="1">
        <v>-3.8431370000000001E-6</v>
      </c>
      <c r="I5836">
        <v>16.178419999999999</v>
      </c>
      <c r="J5836">
        <v>-360.2867</v>
      </c>
      <c r="K5836">
        <v>1.107291</v>
      </c>
      <c r="L5836">
        <v>18.794250000000002</v>
      </c>
      <c r="M5836">
        <v>0.99997250000000004</v>
      </c>
      <c r="N5836">
        <v>0</v>
      </c>
      <c r="O5836">
        <v>-7.2442209999999899E-3</v>
      </c>
      <c r="P5836">
        <v>0.99634080000000003</v>
      </c>
      <c r="Q5836">
        <v>-2.9587889999999999E-3</v>
      </c>
      <c r="R5836">
        <v>-8.5419949999999994E-2</v>
      </c>
      <c r="S5836">
        <v>2.9868160000000001</v>
      </c>
      <c r="T5836">
        <v>-0.1179254</v>
      </c>
      <c r="U5836">
        <v>-0.27874759999999998</v>
      </c>
      <c r="V5836">
        <v>7.8197219999999998E-2</v>
      </c>
      <c r="W5836">
        <v>-1.425349E-3</v>
      </c>
      <c r="X5836">
        <v>0.99693690000000001</v>
      </c>
      <c r="Y5836">
        <v>8.5646319999999998E-2</v>
      </c>
      <c r="Z5836">
        <v>-1.4011640000000001E-3</v>
      </c>
      <c r="AA5836">
        <v>0.9963246</v>
      </c>
      <c r="AB5836">
        <v>34</v>
      </c>
      <c r="AC5836">
        <v>27.864899999999899</v>
      </c>
      <c r="AD5836">
        <v>-1.107294843137</v>
      </c>
      <c r="AE5836">
        <v>-2.6158299999999901</v>
      </c>
      <c r="AF5836">
        <v>2.4101290077741799</v>
      </c>
      <c r="AG5836">
        <v>-1.107294843137</v>
      </c>
      <c r="AH5836">
        <v>27.839540921686702</v>
      </c>
      <c r="AI5836">
        <v>92.269213138694795</v>
      </c>
      <c r="AJ5836">
        <v>85.052117405051206</v>
      </c>
      <c r="AK5836">
        <v>27.965601413773001</v>
      </c>
      <c r="AL5836">
        <v>90.081666508892894</v>
      </c>
      <c r="AM5836">
        <v>85.515046093503699</v>
      </c>
      <c r="AN5836">
        <v>1.00000000970855</v>
      </c>
    </row>
    <row r="5837" spans="1:40" x14ac:dyDescent="0.25">
      <c r="A5837" t="str">
        <f>"20190312154951805"</f>
        <v>20190312154951805</v>
      </c>
      <c r="B5837" t="str">
        <f>"1552376991801596"</f>
        <v>1552376991801596</v>
      </c>
      <c r="C5837" t="s">
        <v>40</v>
      </c>
      <c r="D5837">
        <v>4.8437029999999996</v>
      </c>
      <c r="E5837">
        <v>0.50131629999999905</v>
      </c>
      <c r="F5837" t="s">
        <v>42</v>
      </c>
      <c r="G5837">
        <v>-333.25380000000001</v>
      </c>
      <c r="H5837" s="1">
        <v>-3.4611190000000001E-6</v>
      </c>
      <c r="I5837">
        <v>16.319959999999998</v>
      </c>
      <c r="J5837">
        <v>-360.11200000000002</v>
      </c>
      <c r="K5837">
        <v>1.1072949999999999</v>
      </c>
      <c r="L5837">
        <v>18.792629999999999</v>
      </c>
      <c r="M5837">
        <v>0.99996879999999999</v>
      </c>
      <c r="N5837">
        <v>0</v>
      </c>
      <c r="O5837">
        <v>-7.7224049999999999E-3</v>
      </c>
      <c r="P5837">
        <v>0.99628870000000003</v>
      </c>
      <c r="Q5837">
        <v>-2.8883239999999998E-3</v>
      </c>
      <c r="R5837">
        <v>-8.6029789999999995E-2</v>
      </c>
      <c r="S5837">
        <v>2.9872130000000001</v>
      </c>
      <c r="T5837">
        <v>-0.12235890000000001</v>
      </c>
      <c r="U5837">
        <v>-0.27340700000000001</v>
      </c>
      <c r="V5837">
        <v>7.8330830000000004E-2</v>
      </c>
      <c r="W5837">
        <v>-1.2855830000000001E-3</v>
      </c>
      <c r="X5837">
        <v>0.9969266</v>
      </c>
      <c r="Y5837">
        <v>8.3388909999999997E-2</v>
      </c>
      <c r="Z5837">
        <v>-1.3880749999999999E-3</v>
      </c>
      <c r="AA5837">
        <v>0.99651610000000002</v>
      </c>
      <c r="AB5837">
        <v>34</v>
      </c>
      <c r="AC5837">
        <v>26.858199999999901</v>
      </c>
      <c r="AD5837">
        <v>-1.107298461119</v>
      </c>
      <c r="AE5837">
        <v>-2.4726699999999902</v>
      </c>
      <c r="AF5837">
        <v>2.2613747011097498</v>
      </c>
      <c r="AG5837">
        <v>-1.107298461119</v>
      </c>
      <c r="AH5837">
        <v>26.831271951253299</v>
      </c>
      <c r="AI5837">
        <v>92.354856325744194</v>
      </c>
      <c r="AJ5837">
        <v>85.182422182819195</v>
      </c>
      <c r="AK5837">
        <v>26.949157314152298</v>
      </c>
      <c r="AL5837">
        <v>90.073658499760995</v>
      </c>
      <c r="AM5837">
        <v>85.5073680914753</v>
      </c>
      <c r="AN5837">
        <v>1.00000000871984</v>
      </c>
    </row>
    <row r="5838" spans="1:40" x14ac:dyDescent="0.25">
      <c r="A5838" t="str">
        <f>"20190312154951817"</f>
        <v>20190312154951817</v>
      </c>
      <c r="B5838" t="str">
        <f>"1552376991811355"</f>
        <v>1552376991811355</v>
      </c>
      <c r="C5838" t="s">
        <v>40</v>
      </c>
      <c r="D5838">
        <v>4.8183360000000004</v>
      </c>
      <c r="E5838">
        <v>0.50058040000000004</v>
      </c>
      <c r="F5838" t="s">
        <v>41</v>
      </c>
      <c r="G5838">
        <v>-359.06479999999999</v>
      </c>
      <c r="H5838">
        <v>1.060133</v>
      </c>
      <c r="I5838">
        <v>18.700569999999999</v>
      </c>
      <c r="J5838">
        <v>-359.92899999999997</v>
      </c>
      <c r="K5838">
        <v>1.107302</v>
      </c>
      <c r="L5838">
        <v>18.790800000000001</v>
      </c>
      <c r="M5838">
        <v>0.99996459999999998</v>
      </c>
      <c r="N5838">
        <v>0</v>
      </c>
      <c r="O5838">
        <v>-8.2216010000000003E-3</v>
      </c>
      <c r="P5838">
        <v>0.99623490000000003</v>
      </c>
      <c r="Q5838">
        <v>-2.9545779999999998E-3</v>
      </c>
      <c r="R5838">
        <v>-8.6648840000000005E-2</v>
      </c>
      <c r="S5838">
        <v>2.9881289999999998</v>
      </c>
      <c r="T5838">
        <v>-0.1345848</v>
      </c>
      <c r="U5838">
        <v>-0.26239010000000001</v>
      </c>
      <c r="V5838">
        <v>7.8452510000000003E-2</v>
      </c>
      <c r="W5838">
        <v>-1.2681319999999999E-3</v>
      </c>
      <c r="X5838">
        <v>0.9969171</v>
      </c>
      <c r="Y5838">
        <v>7.9209799999999997E-2</v>
      </c>
      <c r="Z5838">
        <v>-1.4101090000000001E-3</v>
      </c>
      <c r="AA5838">
        <v>0.99685699999999999</v>
      </c>
      <c r="AB5838">
        <v>34</v>
      </c>
      <c r="AC5838">
        <v>0.86420000000003905</v>
      </c>
      <c r="AD5838">
        <v>-4.7169000000000003E-2</v>
      </c>
      <c r="AE5838">
        <v>-9.0229999999998201E-2</v>
      </c>
      <c r="AF5838">
        <v>8.2877593431086694E-2</v>
      </c>
      <c r="AG5838">
        <v>-4.7169000000000003E-2</v>
      </c>
      <c r="AH5838">
        <v>0.86237124347107097</v>
      </c>
      <c r="AI5838">
        <v>93.116449360563394</v>
      </c>
      <c r="AJ5838">
        <v>84.510487660740694</v>
      </c>
      <c r="AK5838">
        <v>0.86762766877259601</v>
      </c>
      <c r="AL5838">
        <v>90.072658626988797</v>
      </c>
      <c r="AM5838">
        <v>85.500375120777605</v>
      </c>
      <c r="AN5838">
        <v>1.0000000543782299</v>
      </c>
    </row>
    <row r="5839" spans="1:40" x14ac:dyDescent="0.25">
      <c r="A5839" t="str">
        <f>"20190312154951827"</f>
        <v>20190312154951827</v>
      </c>
      <c r="B5839" t="str">
        <f>"1552376991822092"</f>
        <v>1552376991822092</v>
      </c>
      <c r="C5839" t="s">
        <v>40</v>
      </c>
      <c r="D5839">
        <v>4.7867600000000001</v>
      </c>
      <c r="E5839">
        <v>0.5004033</v>
      </c>
      <c r="F5839" t="s">
        <v>42</v>
      </c>
      <c r="G5839">
        <v>-336.32199999999898</v>
      </c>
      <c r="H5839" s="1">
        <v>-2.0683289999999999E-6</v>
      </c>
      <c r="I5839">
        <v>16.75151</v>
      </c>
      <c r="J5839">
        <v>-359.76889999999997</v>
      </c>
      <c r="K5839">
        <v>1.1073040000000001</v>
      </c>
      <c r="L5839">
        <v>18.789149999999999</v>
      </c>
      <c r="M5839">
        <v>0.99996079999999998</v>
      </c>
      <c r="N5839">
        <v>0</v>
      </c>
      <c r="O5839">
        <v>-8.6585569999999903E-3</v>
      </c>
      <c r="P5839">
        <v>0.99619230000000003</v>
      </c>
      <c r="Q5839">
        <v>-3.008578E-3</v>
      </c>
      <c r="R5839">
        <v>-8.7133349999999998E-2</v>
      </c>
      <c r="S5839">
        <v>2.988464</v>
      </c>
      <c r="T5839">
        <v>-0.14017579999999999</v>
      </c>
      <c r="U5839">
        <v>-0.25814819999999999</v>
      </c>
      <c r="V5839">
        <v>7.8501929999999998E-2</v>
      </c>
      <c r="W5839">
        <v>-1.2461550000000001E-3</v>
      </c>
      <c r="X5839">
        <v>0.99691320000000005</v>
      </c>
      <c r="Y5839">
        <v>7.7356430000000004E-2</v>
      </c>
      <c r="Z5839">
        <v>-1.404747E-3</v>
      </c>
      <c r="AA5839">
        <v>0.99700250000000001</v>
      </c>
      <c r="AB5839">
        <v>34</v>
      </c>
      <c r="AC5839">
        <v>23.446899999999999</v>
      </c>
      <c r="AD5839">
        <v>-1.1073060683289999</v>
      </c>
      <c r="AE5839">
        <v>-2.0376400000000001</v>
      </c>
      <c r="AF5839">
        <v>1.8304949862739599</v>
      </c>
      <c r="AG5839">
        <v>-1.1073060683289999</v>
      </c>
      <c r="AH5839">
        <v>23.4118399422353</v>
      </c>
      <c r="AI5839">
        <v>92.699664465904405</v>
      </c>
      <c r="AJ5839">
        <v>85.529326083594199</v>
      </c>
      <c r="AK5839">
        <v>23.509382980090699</v>
      </c>
      <c r="AL5839">
        <v>90.071399439375796</v>
      </c>
      <c r="AM5839">
        <v>85.497534757983999</v>
      </c>
      <c r="AN5839">
        <v>1.00000001712512</v>
      </c>
    </row>
    <row r="5840" spans="1:40" x14ac:dyDescent="0.25">
      <c r="A5840" t="str">
        <f>"20190312154951839"</f>
        <v>20190312154951839</v>
      </c>
      <c r="B5840" t="str">
        <f>"1552376991831852"</f>
        <v>1552376991831852</v>
      </c>
      <c r="C5840" t="s">
        <v>40</v>
      </c>
      <c r="D5840">
        <v>4.7697279999999997</v>
      </c>
      <c r="E5840">
        <v>0.50022140000000004</v>
      </c>
      <c r="F5840" t="s">
        <v>41</v>
      </c>
      <c r="G5840">
        <v>-358.76330000000002</v>
      </c>
      <c r="H5840">
        <v>1.059439</v>
      </c>
      <c r="I5840">
        <v>18.702059999999999</v>
      </c>
      <c r="J5840">
        <v>-359.5736</v>
      </c>
      <c r="K5840">
        <v>1.107315</v>
      </c>
      <c r="L5840">
        <v>18.787050000000001</v>
      </c>
      <c r="M5840">
        <v>0.99995579999999995</v>
      </c>
      <c r="N5840">
        <v>0</v>
      </c>
      <c r="O5840">
        <v>-9.1903439999999996E-3</v>
      </c>
      <c r="P5840">
        <v>0.99612800000000001</v>
      </c>
      <c r="Q5840">
        <v>-3.0334049999999999E-3</v>
      </c>
      <c r="R5840">
        <v>-8.7864970000000001E-2</v>
      </c>
      <c r="S5840">
        <v>2.9884339999999998</v>
      </c>
      <c r="T5840">
        <v>-0.14225779999999999</v>
      </c>
      <c r="U5840">
        <v>-0.25808720000000002</v>
      </c>
      <c r="V5840">
        <v>7.8704090000000004E-2</v>
      </c>
      <c r="W5840">
        <v>-1.169792E-3</v>
      </c>
      <c r="X5840">
        <v>0.99689729999999999</v>
      </c>
      <c r="Y5840">
        <v>7.6805860000000004E-2</v>
      </c>
      <c r="Z5840">
        <v>-1.3872839999999999E-3</v>
      </c>
      <c r="AA5840">
        <v>0.99704510000000002</v>
      </c>
      <c r="AB5840">
        <v>34</v>
      </c>
      <c r="AC5840">
        <v>0.81029999999998303</v>
      </c>
      <c r="AD5840">
        <v>-4.7876000000000002E-2</v>
      </c>
      <c r="AE5840">
        <v>-8.4990000000001203E-2</v>
      </c>
      <c r="AF5840">
        <v>7.7272640467604403E-2</v>
      </c>
      <c r="AG5840">
        <v>-4.7876000000000002E-2</v>
      </c>
      <c r="AH5840">
        <v>0.80825598747369198</v>
      </c>
      <c r="AI5840">
        <v>93.374529636560197</v>
      </c>
      <c r="AJ5840">
        <v>84.538882850338993</v>
      </c>
      <c r="AK5840">
        <v>0.81335165434632894</v>
      </c>
      <c r="AL5840">
        <v>90.0670241621755</v>
      </c>
      <c r="AM5840">
        <v>85.485916064589205</v>
      </c>
      <c r="AN5840">
        <v>0.99999996447167006</v>
      </c>
    </row>
    <row r="5841" spans="1:40" x14ac:dyDescent="0.25">
      <c r="A5841" t="str">
        <f>"20190312154951851"</f>
        <v>20190312154951851</v>
      </c>
      <c r="B5841" t="str">
        <f>"1552376991841612"</f>
        <v>1552376991841612</v>
      </c>
      <c r="C5841" t="s">
        <v>40</v>
      </c>
      <c r="D5841">
        <v>4.8434039999999996</v>
      </c>
      <c r="E5841">
        <v>0.49979449999999997</v>
      </c>
      <c r="F5841" t="s">
        <v>42</v>
      </c>
      <c r="G5841">
        <v>-336.4384</v>
      </c>
      <c r="H5841" s="1">
        <v>-2.0127100000000001E-6</v>
      </c>
      <c r="I5841">
        <v>16.78351</v>
      </c>
      <c r="J5841">
        <v>-359.40769999999998</v>
      </c>
      <c r="K5841">
        <v>1.107324</v>
      </c>
      <c r="L5841">
        <v>18.785160000000001</v>
      </c>
      <c r="M5841">
        <v>0.99995129999999999</v>
      </c>
      <c r="N5841">
        <v>0</v>
      </c>
      <c r="O5841">
        <v>-9.6420080000000005E-3</v>
      </c>
      <c r="P5841">
        <v>0.9960639</v>
      </c>
      <c r="Q5841">
        <v>-2.8565270000000002E-3</v>
      </c>
      <c r="R5841">
        <v>-8.859243E-2</v>
      </c>
      <c r="S5841">
        <v>2.9884029999999999</v>
      </c>
      <c r="T5841">
        <v>-0.14303339999999901</v>
      </c>
      <c r="U5841">
        <v>-0.25878909999999999</v>
      </c>
      <c r="V5841">
        <v>7.8982590000000005E-2</v>
      </c>
      <c r="W5841">
        <v>-9.0076230000000004E-4</v>
      </c>
      <c r="X5841">
        <v>0.99687559999999997</v>
      </c>
      <c r="Y5841">
        <v>7.6588729999999994E-2</v>
      </c>
      <c r="Z5841">
        <v>-1.368094E-3</v>
      </c>
      <c r="AA5841">
        <v>0.9970618</v>
      </c>
      <c r="AB5841">
        <v>34</v>
      </c>
      <c r="AC5841">
        <v>22.969299999999901</v>
      </c>
      <c r="AD5841">
        <v>-1.10732601271</v>
      </c>
      <c r="AE5841">
        <v>-2.0016500000000002</v>
      </c>
      <c r="AF5841">
        <v>1.77598981260522</v>
      </c>
      <c r="AG5841">
        <v>-1.10732601271</v>
      </c>
      <c r="AH5841">
        <v>22.934631507636301</v>
      </c>
      <c r="AI5841">
        <v>92.755960672511804</v>
      </c>
      <c r="AJ5841">
        <v>85.572021515332594</v>
      </c>
      <c r="AK5841">
        <v>23.029929072925199</v>
      </c>
      <c r="AL5841">
        <v>90.051609884526002</v>
      </c>
      <c r="AM5841">
        <v>85.469910827106602</v>
      </c>
      <c r="AN5841">
        <v>1.00000001138559</v>
      </c>
    </row>
    <row r="5842" spans="1:40" x14ac:dyDescent="0.25">
      <c r="A5842" t="str">
        <f>"20190312154951863"</f>
        <v>20190312154951863</v>
      </c>
      <c r="B5842" t="str">
        <f>"1552376991851371"</f>
        <v>1552376991851371</v>
      </c>
      <c r="C5842" t="s">
        <v>40</v>
      </c>
      <c r="D5842">
        <v>4.7636320000000003</v>
      </c>
      <c r="E5842">
        <v>0.49968420000000002</v>
      </c>
      <c r="F5842" t="s">
        <v>41</v>
      </c>
      <c r="G5842">
        <v>-358.44380000000001</v>
      </c>
      <c r="H5842">
        <v>1.060039</v>
      </c>
      <c r="I5842">
        <v>18.702010000000001</v>
      </c>
      <c r="J5842">
        <v>-359.21539999999999</v>
      </c>
      <c r="K5842">
        <v>1.1073379999999999</v>
      </c>
      <c r="L5842">
        <v>18.782900000000001</v>
      </c>
      <c r="M5842">
        <v>0.99994590000000005</v>
      </c>
      <c r="N5842">
        <v>0</v>
      </c>
      <c r="O5842">
        <v>-1.0164889999999999E-2</v>
      </c>
      <c r="P5842">
        <v>0.9960215</v>
      </c>
      <c r="Q5842">
        <v>-2.9922220000000001E-3</v>
      </c>
      <c r="R5842">
        <v>-8.9063399999999904E-2</v>
      </c>
      <c r="S5842">
        <v>2.988556</v>
      </c>
      <c r="T5842">
        <v>-0.146626799999999</v>
      </c>
      <c r="U5842">
        <v>-0.25738529999999998</v>
      </c>
      <c r="V5842">
        <v>7.8932440000000006E-2</v>
      </c>
      <c r="W5842">
        <v>-9.2311889999999999E-4</v>
      </c>
      <c r="X5842">
        <v>0.99687950000000003</v>
      </c>
      <c r="Y5842">
        <v>7.5596010000000005E-2</v>
      </c>
      <c r="Z5842">
        <v>-1.3525029999999999E-3</v>
      </c>
      <c r="AA5842">
        <v>0.99713759999999996</v>
      </c>
      <c r="AB5842">
        <v>35</v>
      </c>
      <c r="AC5842">
        <v>0.77159999999997797</v>
      </c>
      <c r="AD5842">
        <v>-4.7298999999999897E-2</v>
      </c>
      <c r="AE5842">
        <v>-8.0890000000000101E-2</v>
      </c>
      <c r="AF5842">
        <v>7.2772091269505998E-2</v>
      </c>
      <c r="AG5842">
        <v>-4.7298999999999897E-2</v>
      </c>
      <c r="AH5842">
        <v>0.76952219382682896</v>
      </c>
      <c r="AI5842">
        <v>93.501699800756597</v>
      </c>
      <c r="AJ5842">
        <v>84.597725053821193</v>
      </c>
      <c r="AK5842">
        <v>0.77440130388629402</v>
      </c>
      <c r="AL5842">
        <v>90.052890826592702</v>
      </c>
      <c r="AM5842">
        <v>85.472792884270802</v>
      </c>
      <c r="AN5842">
        <v>0.99999995987655199</v>
      </c>
    </row>
    <row r="5843" spans="1:40" x14ac:dyDescent="0.25">
      <c r="A5843" t="str">
        <f>"20190312154951874"</f>
        <v>20190312154951874</v>
      </c>
      <c r="B5843" t="str">
        <f>"1552376991861132"</f>
        <v>1552376991861132</v>
      </c>
      <c r="C5843" t="s">
        <v>40</v>
      </c>
      <c r="D5843">
        <v>4.7973889999999999</v>
      </c>
      <c r="E5843">
        <v>0.4995656</v>
      </c>
      <c r="F5843" t="s">
        <v>42</v>
      </c>
      <c r="G5843">
        <v>-336.69130000000001</v>
      </c>
      <c r="H5843" s="1">
        <v>-1.8944199999999999E-6</v>
      </c>
      <c r="I5843">
        <v>16.838789999999999</v>
      </c>
      <c r="J5843">
        <v>-359.04050000000001</v>
      </c>
      <c r="K5843">
        <v>1.107353</v>
      </c>
      <c r="L5843">
        <v>18.780729999999998</v>
      </c>
      <c r="M5843">
        <v>0.99994079999999996</v>
      </c>
      <c r="N5843">
        <v>0</v>
      </c>
      <c r="O5843">
        <v>-1.064059E-2</v>
      </c>
      <c r="P5843">
        <v>0.99595400000000001</v>
      </c>
      <c r="Q5843">
        <v>-2.9926100000000001E-3</v>
      </c>
      <c r="R5843">
        <v>-8.9817579999999994E-2</v>
      </c>
      <c r="S5843">
        <v>2.9885250000000001</v>
      </c>
      <c r="T5843">
        <v>-0.14692279999999999</v>
      </c>
      <c r="U5843">
        <v>-0.25793460000000001</v>
      </c>
      <c r="V5843">
        <v>7.9213279999999997E-2</v>
      </c>
      <c r="W5843">
        <v>-8.0675199999999999E-4</v>
      </c>
      <c r="X5843">
        <v>0.99685729999999995</v>
      </c>
      <c r="Y5843">
        <v>7.5305049999999998E-2</v>
      </c>
      <c r="Z5843">
        <v>-1.3247759999999999E-3</v>
      </c>
      <c r="AA5843">
        <v>0.99715969999999998</v>
      </c>
      <c r="AB5843">
        <v>35</v>
      </c>
      <c r="AC5843">
        <v>22.3492</v>
      </c>
      <c r="AD5843">
        <v>-1.10735489442</v>
      </c>
      <c r="AE5843">
        <v>-1.94193999999999</v>
      </c>
      <c r="AF5843">
        <v>1.6998788579333699</v>
      </c>
      <c r="AG5843">
        <v>-1.10735489442</v>
      </c>
      <c r="AH5843">
        <v>22.3142274843458</v>
      </c>
      <c r="AI5843">
        <v>92.8328071318779</v>
      </c>
      <c r="AJ5843">
        <v>85.643670255389196</v>
      </c>
      <c r="AK5843">
        <v>22.406261875131701</v>
      </c>
      <c r="AL5843">
        <v>90.046223492706005</v>
      </c>
      <c r="AM5843">
        <v>85.456651735916296</v>
      </c>
      <c r="AN5843">
        <v>0.99999993557021605</v>
      </c>
    </row>
    <row r="5844" spans="1:40" x14ac:dyDescent="0.25">
      <c r="A5844" t="str">
        <f>"20190312154951885"</f>
        <v>20190312154951885</v>
      </c>
      <c r="B5844" t="str">
        <f>"1552376991871868"</f>
        <v>1552376991871868</v>
      </c>
      <c r="C5844" t="s">
        <v>40</v>
      </c>
      <c r="D5844">
        <v>4.8048489999999999</v>
      </c>
      <c r="E5844">
        <v>0.49947370000000002</v>
      </c>
      <c r="F5844" t="s">
        <v>42</v>
      </c>
      <c r="G5844">
        <v>-336.52109999999999</v>
      </c>
      <c r="H5844" s="1">
        <v>-1.9695189999999998E-6</v>
      </c>
      <c r="I5844">
        <v>16.827059999999999</v>
      </c>
      <c r="J5844">
        <v>-358.86989999999997</v>
      </c>
      <c r="K5844">
        <v>1.107367</v>
      </c>
      <c r="L5844">
        <v>18.778559999999999</v>
      </c>
      <c r="M5844">
        <v>0.99993529999999997</v>
      </c>
      <c r="N5844">
        <v>0</v>
      </c>
      <c r="O5844">
        <v>-1.110413E-2</v>
      </c>
      <c r="P5844">
        <v>0.99591359999999995</v>
      </c>
      <c r="Q5844">
        <v>-3.1587479999999999E-3</v>
      </c>
      <c r="R5844">
        <v>-9.0257509999999999E-2</v>
      </c>
      <c r="S5844">
        <v>2.9884029999999999</v>
      </c>
      <c r="T5844">
        <v>-0.1469493</v>
      </c>
      <c r="U5844">
        <v>-0.2592468</v>
      </c>
      <c r="V5844">
        <v>7.9191620000000004E-2</v>
      </c>
      <c r="W5844">
        <v>-8.5499649999999996E-4</v>
      </c>
      <c r="X5844">
        <v>0.9968591</v>
      </c>
      <c r="Y5844">
        <v>7.5281479999999998E-2</v>
      </c>
      <c r="Z5844">
        <v>-1.3017339999999999E-3</v>
      </c>
      <c r="AA5844">
        <v>0.99716139999999998</v>
      </c>
      <c r="AB5844">
        <v>35</v>
      </c>
      <c r="AC5844">
        <v>22.348799999999901</v>
      </c>
      <c r="AD5844">
        <v>-1.1073689695190001</v>
      </c>
      <c r="AE5844">
        <v>-1.9515</v>
      </c>
      <c r="AF5844">
        <v>1.6990750458489401</v>
      </c>
      <c r="AG5844">
        <v>-1.1073689695190001</v>
      </c>
      <c r="AH5844">
        <v>22.314720706208401</v>
      </c>
      <c r="AI5844">
        <v>92.832788642188305</v>
      </c>
      <c r="AJ5844">
        <v>85.6458181565866</v>
      </c>
      <c r="AK5844">
        <v>22.406692800191799</v>
      </c>
      <c r="AL5844">
        <v>90.048987694248297</v>
      </c>
      <c r="AM5844">
        <v>85.457897032655197</v>
      </c>
      <c r="AN5844">
        <v>1.0000000544750201</v>
      </c>
    </row>
    <row r="5845" spans="1:40" x14ac:dyDescent="0.25">
      <c r="A5845" t="str">
        <f>"20190312154951897"</f>
        <v>20190312154951897</v>
      </c>
      <c r="B5845" t="str">
        <f>"1552376991891388"</f>
        <v>1552376991891388</v>
      </c>
      <c r="C5845" t="s">
        <v>40</v>
      </c>
      <c r="D5845">
        <v>4.7978610000000002</v>
      </c>
      <c r="E5845">
        <v>0.49934099999999998</v>
      </c>
      <c r="F5845" t="s">
        <v>41</v>
      </c>
      <c r="G5845">
        <v>-357.83210000000003</v>
      </c>
      <c r="H5845">
        <v>1.056087</v>
      </c>
      <c r="I5845">
        <v>18.688179999999999</v>
      </c>
      <c r="J5845">
        <v>-358.67809999999997</v>
      </c>
      <c r="K5845">
        <v>1.107386</v>
      </c>
      <c r="L5845">
        <v>18.776</v>
      </c>
      <c r="M5845">
        <v>0.99992899999999996</v>
      </c>
      <c r="N5845">
        <v>0</v>
      </c>
      <c r="O5845">
        <v>-1.162535E-2</v>
      </c>
      <c r="P5845">
        <v>0.99585599999999996</v>
      </c>
      <c r="Q5845">
        <v>-3.1445230000000002E-3</v>
      </c>
      <c r="R5845">
        <v>-9.0890399999999996E-2</v>
      </c>
      <c r="S5845">
        <v>2.9883419999999998</v>
      </c>
      <c r="T5845">
        <v>-0.1476276</v>
      </c>
      <c r="U5845">
        <v>-0.25976559999999999</v>
      </c>
      <c r="V5845">
        <v>7.9305719999999996E-2</v>
      </c>
      <c r="W5845">
        <v>-6.8770759999999995E-4</v>
      </c>
      <c r="X5845">
        <v>0.99685009999999996</v>
      </c>
      <c r="Y5845">
        <v>7.4935589999999996E-2</v>
      </c>
      <c r="Z5845">
        <v>-1.2735520000000001E-3</v>
      </c>
      <c r="AA5845">
        <v>0.99718759999999995</v>
      </c>
      <c r="AB5845">
        <v>35</v>
      </c>
      <c r="AC5845">
        <v>0.84599999999994602</v>
      </c>
      <c r="AD5845">
        <v>-5.12989999999999E-2</v>
      </c>
      <c r="AE5845">
        <v>-8.7820000000000606E-2</v>
      </c>
      <c r="AF5845">
        <v>7.7696352586618694E-2</v>
      </c>
      <c r="AG5845">
        <v>-5.12989999999999E-2</v>
      </c>
      <c r="AH5845">
        <v>0.84389397094913698</v>
      </c>
      <c r="AI5845">
        <v>93.464025779883897</v>
      </c>
      <c r="AJ5845">
        <v>84.739673030037693</v>
      </c>
      <c r="AK5845">
        <v>0.84901433722320996</v>
      </c>
      <c r="AL5845">
        <v>90.039402746281795</v>
      </c>
      <c r="AM5845">
        <v>85.451339277943305</v>
      </c>
      <c r="AN5845">
        <v>0.99999999601823497</v>
      </c>
    </row>
    <row r="5846" spans="1:40" x14ac:dyDescent="0.25">
      <c r="A5846" t="str">
        <f>"20190312154951908"</f>
        <v>20190312154951908</v>
      </c>
      <c r="B5846" t="str">
        <f>"1552376991901148"</f>
        <v>1552376991901148</v>
      </c>
      <c r="C5846" t="s">
        <v>40</v>
      </c>
      <c r="D5846">
        <v>4.8208409999999997</v>
      </c>
      <c r="E5846">
        <v>0.49929279999999998</v>
      </c>
      <c r="F5846" t="s">
        <v>42</v>
      </c>
      <c r="G5846">
        <v>-336.33670000000001</v>
      </c>
      <c r="H5846" s="1">
        <v>-2.0484569999999998E-6</v>
      </c>
      <c r="I5846">
        <v>16.827850000000002</v>
      </c>
      <c r="J5846">
        <v>-358.50720000000001</v>
      </c>
      <c r="K5846">
        <v>1.1074029999999999</v>
      </c>
      <c r="L5846">
        <v>18.773620000000001</v>
      </c>
      <c r="M5846">
        <v>0.99992309999999995</v>
      </c>
      <c r="N5846">
        <v>0</v>
      </c>
      <c r="O5846">
        <v>-1.209028E-2</v>
      </c>
      <c r="P5846">
        <v>0.99579169999999995</v>
      </c>
      <c r="Q5846">
        <v>-3.1884610000000001E-3</v>
      </c>
      <c r="R5846">
        <v>-9.1592989999999999E-2</v>
      </c>
      <c r="S5846">
        <v>2.9882200000000001</v>
      </c>
      <c r="T5846">
        <v>-0.14811589999999999</v>
      </c>
      <c r="U5846">
        <v>-0.26055909999999999</v>
      </c>
      <c r="V5846">
        <v>7.9545550000000007E-2</v>
      </c>
      <c r="W5846">
        <v>-5.8942809999999995E-4</v>
      </c>
      <c r="X5846">
        <v>0.99683109999999997</v>
      </c>
      <c r="Y5846">
        <v>7.4738520000000003E-2</v>
      </c>
      <c r="Z5846">
        <v>-1.249944E-3</v>
      </c>
      <c r="AA5846">
        <v>0.99720240000000004</v>
      </c>
      <c r="AB5846">
        <v>35</v>
      </c>
      <c r="AC5846">
        <v>22.170500000000001</v>
      </c>
      <c r="AD5846">
        <v>-1.1074050484569999</v>
      </c>
      <c r="AE5846">
        <v>-1.94577</v>
      </c>
      <c r="AF5846">
        <v>1.6734359809175801</v>
      </c>
      <c r="AG5846">
        <v>-1.1074050484569999</v>
      </c>
      <c r="AH5846">
        <v>22.137594498024001</v>
      </c>
      <c r="AI5846">
        <v>92.855627773839799</v>
      </c>
      <c r="AJ5846">
        <v>85.677090642925506</v>
      </c>
      <c r="AK5846">
        <v>22.228356306360599</v>
      </c>
      <c r="AL5846">
        <v>90.033771742995597</v>
      </c>
      <c r="AM5846">
        <v>85.437554975654294</v>
      </c>
      <c r="AN5846">
        <v>1.00000004193874</v>
      </c>
    </row>
    <row r="5847" spans="1:40" x14ac:dyDescent="0.25">
      <c r="A5847" t="str">
        <f>"20190312154951919"</f>
        <v>20190312154951919</v>
      </c>
      <c r="B5847" t="str">
        <f>"1552376991911884"</f>
        <v>1552376991911884</v>
      </c>
      <c r="C5847" t="s">
        <v>40</v>
      </c>
      <c r="D5847">
        <v>4.7867189999999997</v>
      </c>
      <c r="E5847">
        <v>0.49923709999999999</v>
      </c>
      <c r="F5847" t="s">
        <v>41</v>
      </c>
      <c r="G5847">
        <v>-357.51670000000001</v>
      </c>
      <c r="H5847">
        <v>1.058163</v>
      </c>
      <c r="I5847">
        <v>18.68657</v>
      </c>
      <c r="J5847">
        <v>-358.32369999999997</v>
      </c>
      <c r="K5847">
        <v>1.1074250000000001</v>
      </c>
      <c r="L5847">
        <v>18.771000000000001</v>
      </c>
      <c r="M5847">
        <v>0.99991660000000004</v>
      </c>
      <c r="N5847">
        <v>0</v>
      </c>
      <c r="O5847">
        <v>-1.258927E-2</v>
      </c>
      <c r="P5847">
        <v>0.99573920000000005</v>
      </c>
      <c r="Q5847">
        <v>-3.1259170000000002E-3</v>
      </c>
      <c r="R5847">
        <v>-9.2164360000000001E-2</v>
      </c>
      <c r="S5847">
        <v>2.9881289999999998</v>
      </c>
      <c r="T5847">
        <v>-0.1485736</v>
      </c>
      <c r="U5847">
        <v>-0.26232909999999998</v>
      </c>
      <c r="V5847">
        <v>7.9620609999999994E-2</v>
      </c>
      <c r="W5847">
        <v>-3.6185889999999999E-4</v>
      </c>
      <c r="X5847">
        <v>0.99682519999999997</v>
      </c>
      <c r="Y5847">
        <v>7.4829770000000004E-2</v>
      </c>
      <c r="Z5847">
        <v>-1.2313319999999999E-3</v>
      </c>
      <c r="AA5847">
        <v>0.99719550000000001</v>
      </c>
      <c r="AB5847">
        <v>35</v>
      </c>
      <c r="AC5847">
        <v>0.80699999999995897</v>
      </c>
      <c r="AD5847">
        <v>-4.9262000000000097E-2</v>
      </c>
      <c r="AE5847">
        <v>-8.4430000000001101E-2</v>
      </c>
      <c r="AF5847">
        <v>7.3990999026376597E-2</v>
      </c>
      <c r="AG5847">
        <v>-4.9262000000000097E-2</v>
      </c>
      <c r="AH5847">
        <v>0.80503165835836399</v>
      </c>
      <c r="AI5847">
        <v>93.487051625056097</v>
      </c>
      <c r="AJ5847">
        <v>84.748660379315496</v>
      </c>
      <c r="AK5847">
        <v>0.80992430729058795</v>
      </c>
      <c r="AL5847">
        <v>90.020732987664303</v>
      </c>
      <c r="AM5847">
        <v>85.433241091956006</v>
      </c>
      <c r="AN5847">
        <v>1.00000002591683</v>
      </c>
    </row>
    <row r="5848" spans="1:40" x14ac:dyDescent="0.25">
      <c r="A5848" t="str">
        <f>"20190312154951939"</f>
        <v>20190312154951939</v>
      </c>
      <c r="B5848" t="str">
        <f>"1552376991931404"</f>
        <v>1552376991931404</v>
      </c>
      <c r="C5848" t="s">
        <v>40</v>
      </c>
      <c r="D5848">
        <v>4.8344110000000002</v>
      </c>
      <c r="E5848">
        <v>0.49917400000000001</v>
      </c>
      <c r="F5848" t="s">
        <v>42</v>
      </c>
      <c r="G5848">
        <v>-336.03789999999998</v>
      </c>
      <c r="H5848" s="1">
        <v>-2.1806750000000001E-6</v>
      </c>
      <c r="I5848">
        <v>16.805229999999899</v>
      </c>
      <c r="J5848">
        <v>-358.03680000000003</v>
      </c>
      <c r="K5848">
        <v>1.107464</v>
      </c>
      <c r="L5848">
        <v>18.766719999999999</v>
      </c>
      <c r="M5848">
        <v>0.9999055</v>
      </c>
      <c r="N5848">
        <v>0</v>
      </c>
      <c r="O5848">
        <v>-1.3370760000000001E-2</v>
      </c>
      <c r="P5848">
        <v>0.99561900000000003</v>
      </c>
      <c r="Q5848">
        <v>-2.9689909999999998E-3</v>
      </c>
      <c r="R5848">
        <v>-9.3458349999999996E-2</v>
      </c>
      <c r="S5848">
        <v>2.9879760000000002</v>
      </c>
      <c r="T5848">
        <v>-0.14847829999999901</v>
      </c>
      <c r="U5848">
        <v>-0.2635498</v>
      </c>
      <c r="V5848">
        <v>8.0138020000000004E-2</v>
      </c>
      <c r="W5848" s="1">
        <v>7.3610109999999894E-5</v>
      </c>
      <c r="X5848">
        <v>0.9967838</v>
      </c>
      <c r="Y5848">
        <v>7.4460589999999993E-2</v>
      </c>
      <c r="Z5848">
        <v>-1.182713E-3</v>
      </c>
      <c r="AA5848">
        <v>0.99722330000000003</v>
      </c>
      <c r="AB5848">
        <v>35</v>
      </c>
      <c r="AC5848">
        <v>21.998899999999999</v>
      </c>
      <c r="AD5848">
        <v>-1.1074661806749999</v>
      </c>
      <c r="AE5848">
        <v>-1.96149</v>
      </c>
      <c r="AF5848">
        <v>1.66298985779826</v>
      </c>
      <c r="AG5848">
        <v>-1.1074661806749999</v>
      </c>
      <c r="AH5848">
        <v>21.9679258613833</v>
      </c>
      <c r="AI5848">
        <v>92.8777813836696</v>
      </c>
      <c r="AJ5848">
        <v>85.670919711781394</v>
      </c>
      <c r="AK5848">
        <v>22.058598850781799</v>
      </c>
      <c r="AL5848">
        <v>89.995782451472493</v>
      </c>
      <c r="AM5848">
        <v>85.403500935407095</v>
      </c>
      <c r="AN5848">
        <v>1.0000000258052</v>
      </c>
    </row>
    <row r="5849" spans="1:40" x14ac:dyDescent="0.25">
      <c r="A5849" t="str">
        <f>"20190312154951952"</f>
        <v>20190312154951952</v>
      </c>
      <c r="B5849" t="str">
        <f>"1552376991941163"</f>
        <v>1552376991941163</v>
      </c>
      <c r="C5849" t="s">
        <v>40</v>
      </c>
      <c r="D5849">
        <v>4.8024639999999996</v>
      </c>
      <c r="E5849">
        <v>0.49909750000000003</v>
      </c>
      <c r="F5849" t="s">
        <v>42</v>
      </c>
      <c r="G5849">
        <v>-335.67860000000002</v>
      </c>
      <c r="H5849" s="1">
        <v>-2.3412390000000002E-6</v>
      </c>
      <c r="I5849">
        <v>16.76906</v>
      </c>
      <c r="J5849">
        <v>-357.82319999999999</v>
      </c>
      <c r="K5849">
        <v>1.1074999999999999</v>
      </c>
      <c r="L5849">
        <v>18.763400000000001</v>
      </c>
      <c r="M5849">
        <v>0.99989680000000003</v>
      </c>
      <c r="N5849">
        <v>0</v>
      </c>
      <c r="O5849">
        <v>-1.3953520000000001E-2</v>
      </c>
      <c r="P5849">
        <v>0.9955446</v>
      </c>
      <c r="Q5849">
        <v>-3.178082E-3</v>
      </c>
      <c r="R5849">
        <v>-9.4239980000000001E-2</v>
      </c>
      <c r="S5849">
        <v>2.9877319999999998</v>
      </c>
      <c r="T5849">
        <v>-0.14799079999999901</v>
      </c>
      <c r="U5849">
        <v>-0.26693729999999999</v>
      </c>
      <c r="V5849">
        <v>8.0339750000000001E-2</v>
      </c>
      <c r="W5849" s="1">
        <v>8.9547830000000006E-5</v>
      </c>
      <c r="X5849">
        <v>0.99676750000000003</v>
      </c>
      <c r="Y5849">
        <v>7.5008820000000004E-2</v>
      </c>
      <c r="Z5849">
        <v>-1.1636350000000001E-3</v>
      </c>
      <c r="AA5849">
        <v>0.99718220000000002</v>
      </c>
      <c r="AB5849">
        <v>35</v>
      </c>
      <c r="AC5849">
        <v>22.144599999999901</v>
      </c>
      <c r="AD5849">
        <v>-1.1075023412389999</v>
      </c>
      <c r="AE5849">
        <v>-1.99434</v>
      </c>
      <c r="AF5849">
        <v>1.6809782280663199</v>
      </c>
      <c r="AG5849">
        <v>-1.1075023412389999</v>
      </c>
      <c r="AH5849">
        <v>22.115401649067199</v>
      </c>
      <c r="AI5849">
        <v>92.8586496987717</v>
      </c>
      <c r="AJ5849">
        <v>85.653340627334501</v>
      </c>
      <c r="AK5849">
        <v>22.206828664594301</v>
      </c>
      <c r="AL5849">
        <v>89.994869287096407</v>
      </c>
      <c r="AM5849">
        <v>85.3919049886929</v>
      </c>
      <c r="AN5849">
        <v>0.99999996625256204</v>
      </c>
    </row>
    <row r="5850" spans="1:40" x14ac:dyDescent="0.25">
      <c r="A5850" t="str">
        <f>"20190312154951966"</f>
        <v>20190312154951966</v>
      </c>
      <c r="B5850" t="str">
        <f>"1552376991951900"</f>
        <v>1552376991951900</v>
      </c>
      <c r="C5850" t="s">
        <v>40</v>
      </c>
      <c r="D5850">
        <v>4.8156239999999997</v>
      </c>
      <c r="E5850">
        <v>0.49903399999999998</v>
      </c>
      <c r="F5850" t="s">
        <v>42</v>
      </c>
      <c r="G5850">
        <v>-335.5779</v>
      </c>
      <c r="H5850" s="1">
        <v>-2.3855330000000001E-6</v>
      </c>
      <c r="I5850">
        <v>16.762929999999901</v>
      </c>
      <c r="J5850">
        <v>-357.61750000000001</v>
      </c>
      <c r="K5850">
        <v>1.1075299999999999</v>
      </c>
      <c r="L5850">
        <v>18.760069999999999</v>
      </c>
      <c r="M5850">
        <v>0.99988790000000005</v>
      </c>
      <c r="N5850">
        <v>0</v>
      </c>
      <c r="O5850">
        <v>-1.4514620000000001E-2</v>
      </c>
      <c r="P5850">
        <v>0.99548999999999999</v>
      </c>
      <c r="Q5850">
        <v>-3.4029260000000001E-3</v>
      </c>
      <c r="R5850">
        <v>-9.4808169999999997E-2</v>
      </c>
      <c r="S5850">
        <v>2.9874879999999999</v>
      </c>
      <c r="T5850">
        <v>-0.14873459999999999</v>
      </c>
      <c r="U5850">
        <v>-0.2686462</v>
      </c>
      <c r="V5850">
        <v>8.0349329999999997E-2</v>
      </c>
      <c r="W5850" s="1">
        <v>9.2189989999999996E-5</v>
      </c>
      <c r="X5850">
        <v>0.99676670000000001</v>
      </c>
      <c r="Y5850">
        <v>7.5022290000000005E-2</v>
      </c>
      <c r="Z5850">
        <v>-1.1420239999999999E-3</v>
      </c>
      <c r="AA5850">
        <v>0.99718119999999999</v>
      </c>
      <c r="AB5850">
        <v>35</v>
      </c>
      <c r="AC5850">
        <v>22.0396</v>
      </c>
      <c r="AD5850">
        <v>-1.1075323855329999</v>
      </c>
      <c r="AE5850">
        <v>-1.9971399999999999</v>
      </c>
      <c r="AF5850">
        <v>1.6728410851041999</v>
      </c>
      <c r="AG5850">
        <v>-1.1075323855329999</v>
      </c>
      <c r="AH5850">
        <v>22.011135121929399</v>
      </c>
      <c r="AI5850">
        <v>92.872248344869504</v>
      </c>
      <c r="AJ5850">
        <v>85.653889062462795</v>
      </c>
      <c r="AK5850">
        <v>22.1023775788228</v>
      </c>
      <c r="AL5850">
        <v>89.994717902328702</v>
      </c>
      <c r="AM5850">
        <v>85.391354186863893</v>
      </c>
      <c r="AN5850">
        <v>0.99999993877966398</v>
      </c>
    </row>
    <row r="5851" spans="1:40" x14ac:dyDescent="0.25">
      <c r="A5851" t="str">
        <f>"20190312154951984"</f>
        <v>20190312154951984</v>
      </c>
      <c r="B5851" t="str">
        <f>"1552376991971420"</f>
        <v>1552376991971420</v>
      </c>
      <c r="C5851" t="s">
        <v>40</v>
      </c>
      <c r="D5851">
        <v>4.8209200000000001</v>
      </c>
      <c r="E5851">
        <v>0.49889109999999998</v>
      </c>
      <c r="F5851" t="s">
        <v>41</v>
      </c>
      <c r="G5851">
        <v>-356.57470000000001</v>
      </c>
      <c r="H5851">
        <v>1.0554699999999999</v>
      </c>
      <c r="I5851">
        <v>18.665959999999998</v>
      </c>
      <c r="J5851">
        <v>-357.3279</v>
      </c>
      <c r="K5851">
        <v>1.1075790000000001</v>
      </c>
      <c r="L5851">
        <v>18.75516</v>
      </c>
      <c r="M5851">
        <v>0.99987470000000001</v>
      </c>
      <c r="N5851">
        <v>0</v>
      </c>
      <c r="O5851">
        <v>-1.5306200000000001E-2</v>
      </c>
      <c r="P5851">
        <v>0.99538539999999998</v>
      </c>
      <c r="Q5851">
        <v>-3.880456E-3</v>
      </c>
      <c r="R5851">
        <v>-9.5878679999999994E-2</v>
      </c>
      <c r="S5851">
        <v>2.9873959999999999</v>
      </c>
      <c r="T5851">
        <v>-0.14917520000000001</v>
      </c>
      <c r="U5851">
        <v>-0.26980589999999999</v>
      </c>
      <c r="V5851">
        <v>8.0631899999999895E-2</v>
      </c>
      <c r="W5851" s="1">
        <v>-4.0283659999999999E-5</v>
      </c>
      <c r="X5851">
        <v>0.99674399999999996</v>
      </c>
      <c r="Y5851">
        <v>7.4620549999999994E-2</v>
      </c>
      <c r="Z5851">
        <v>-1.0960080000000001E-3</v>
      </c>
      <c r="AA5851">
        <v>0.99721139999999997</v>
      </c>
      <c r="AB5851">
        <v>35</v>
      </c>
      <c r="AC5851">
        <v>0.75319999999999199</v>
      </c>
      <c r="AD5851">
        <v>-5.2108999999999898E-2</v>
      </c>
      <c r="AE5851">
        <v>-8.91999999999981E-2</v>
      </c>
      <c r="AF5851">
        <v>7.7295977648138295E-2</v>
      </c>
      <c r="AG5851">
        <v>-5.2108999999999898E-2</v>
      </c>
      <c r="AH5851">
        <v>0.750932570929013</v>
      </c>
      <c r="AI5851">
        <v>93.948730020604202</v>
      </c>
      <c r="AJ5851">
        <v>84.123053191742102</v>
      </c>
      <c r="AK5851">
        <v>0.75669659846178705</v>
      </c>
      <c r="AL5851">
        <v>90.002308083579095</v>
      </c>
      <c r="AM5851">
        <v>85.375111961886404</v>
      </c>
      <c r="AN5851">
        <v>1.0000000532281901</v>
      </c>
    </row>
    <row r="5852" spans="1:40" x14ac:dyDescent="0.25">
      <c r="A5852" t="str">
        <f>"20190312154951999"</f>
        <v>20190312154951999</v>
      </c>
      <c r="B5852" t="str">
        <f>"1552376991991916"</f>
        <v>1552376991991916</v>
      </c>
      <c r="C5852" t="s">
        <v>40</v>
      </c>
      <c r="D5852">
        <v>4.949446</v>
      </c>
      <c r="E5852">
        <v>0.4988013</v>
      </c>
      <c r="F5852" t="s">
        <v>42</v>
      </c>
      <c r="G5852">
        <v>-335.52080000000001</v>
      </c>
      <c r="H5852" s="1">
        <v>-2.4087630000000002E-6</v>
      </c>
      <c r="I5852">
        <v>16.770039999999899</v>
      </c>
      <c r="J5852">
        <v>-357.08530000000002</v>
      </c>
      <c r="K5852">
        <v>1.1076189999999999</v>
      </c>
      <c r="L5852">
        <v>18.750889999999998</v>
      </c>
      <c r="M5852">
        <v>0.99986319999999995</v>
      </c>
      <c r="N5852">
        <v>0</v>
      </c>
      <c r="O5852">
        <v>-1.5970140000000001E-2</v>
      </c>
      <c r="P5852">
        <v>0.99531720000000001</v>
      </c>
      <c r="Q5852">
        <v>-4.4625869999999996E-3</v>
      </c>
      <c r="R5852">
        <v>-9.6561569999999999E-2</v>
      </c>
      <c r="S5852">
        <v>2.987152</v>
      </c>
      <c r="T5852">
        <v>-0.1517172</v>
      </c>
      <c r="U5852">
        <v>-0.27191159999999998</v>
      </c>
      <c r="V5852">
        <v>8.0653160000000002E-2</v>
      </c>
      <c r="W5852">
        <v>-3.191383E-4</v>
      </c>
      <c r="X5852">
        <v>0.99674220000000002</v>
      </c>
      <c r="Y5852">
        <v>7.4661169999999999E-2</v>
      </c>
      <c r="Z5852">
        <v>-1.082129E-3</v>
      </c>
      <c r="AA5852">
        <v>0.99720839999999999</v>
      </c>
      <c r="AB5852">
        <v>35</v>
      </c>
      <c r="AC5852">
        <v>21.564499999999999</v>
      </c>
      <c r="AD5852">
        <v>-1.1076214087630001</v>
      </c>
      <c r="AE5852">
        <v>-1.98085</v>
      </c>
      <c r="AF5852">
        <v>1.63193678550113</v>
      </c>
      <c r="AG5852">
        <v>-1.1076214087630001</v>
      </c>
      <c r="AH5852">
        <v>21.5370414392744</v>
      </c>
      <c r="AI5852">
        <v>92.935651161482198</v>
      </c>
      <c r="AJ5852">
        <v>85.6667794250518</v>
      </c>
      <c r="AK5852">
        <v>21.627163401936102</v>
      </c>
      <c r="AL5852">
        <v>90.0182852775486</v>
      </c>
      <c r="AM5852">
        <v>85.373889504043504</v>
      </c>
      <c r="AN5852">
        <v>1.0000000236640301</v>
      </c>
    </row>
    <row r="5853" spans="1:40" x14ac:dyDescent="0.25">
      <c r="A5853" t="str">
        <f>"20190312154952017"</f>
        <v>20190312154952017</v>
      </c>
      <c r="B5853" t="str">
        <f>"1552376992011436"</f>
        <v>1552376992011436</v>
      </c>
      <c r="C5853" t="s">
        <v>40</v>
      </c>
      <c r="D5853">
        <v>5.0312210000000004</v>
      </c>
      <c r="E5853">
        <v>0.47654869999999999</v>
      </c>
      <c r="F5853" t="s">
        <v>42</v>
      </c>
      <c r="G5853">
        <v>-335.58609999999999</v>
      </c>
      <c r="H5853" s="1">
        <v>-2.378324E-6</v>
      </c>
      <c r="I5853">
        <v>16.783739999999899</v>
      </c>
      <c r="J5853">
        <v>-356.79419999999999</v>
      </c>
      <c r="K5853">
        <v>1.107666</v>
      </c>
      <c r="L5853">
        <v>18.745480000000001</v>
      </c>
      <c r="M5853">
        <v>0.99984839999999997</v>
      </c>
      <c r="N5853">
        <v>0</v>
      </c>
      <c r="O5853">
        <v>-1.6767219999999999E-2</v>
      </c>
      <c r="P5853">
        <v>0.99529610000000002</v>
      </c>
      <c r="Q5853">
        <v>-4.4138149999999998E-3</v>
      </c>
      <c r="R5853">
        <v>-9.6783999999999995E-2</v>
      </c>
      <c r="S5853">
        <v>2.9869080000000001</v>
      </c>
      <c r="T5853">
        <v>-0.15388250000000001</v>
      </c>
      <c r="U5853">
        <v>-0.2732849</v>
      </c>
      <c r="V5853">
        <v>8.0082120000000007E-2</v>
      </c>
      <c r="W5853">
        <v>1.190344E-4</v>
      </c>
      <c r="X5853">
        <v>0.99678829999999996</v>
      </c>
      <c r="Y5853">
        <v>7.4327530000000003E-2</v>
      </c>
      <c r="Z5853">
        <v>-1.0481139999999999E-3</v>
      </c>
      <c r="AA5853">
        <v>0.99723329999999999</v>
      </c>
      <c r="AB5853">
        <v>35</v>
      </c>
      <c r="AC5853">
        <v>21.208100000000002</v>
      </c>
      <c r="AD5853">
        <v>-1.107668378324</v>
      </c>
      <c r="AE5853">
        <v>-1.96174</v>
      </c>
      <c r="AF5853">
        <v>1.6015277959721199</v>
      </c>
      <c r="AG5853">
        <v>-1.107668378324</v>
      </c>
      <c r="AH5853">
        <v>21.180724710367699</v>
      </c>
      <c r="AI5853">
        <v>92.985110582865204</v>
      </c>
      <c r="AJ5853">
        <v>85.6759502330668</v>
      </c>
      <c r="AK5853">
        <v>21.2700474793544</v>
      </c>
      <c r="AL5853">
        <v>89.993179831503198</v>
      </c>
      <c r="AM5853">
        <v>85.406714130422998</v>
      </c>
      <c r="AN5853">
        <v>1.0000000375648801</v>
      </c>
    </row>
    <row r="5854" spans="1:40" x14ac:dyDescent="0.25">
      <c r="A5854" t="str">
        <f>"20190312154952029"</f>
        <v>20190312154952029</v>
      </c>
      <c r="B5854" t="str">
        <f>"1552376992021196"</f>
        <v>1552376992021196</v>
      </c>
      <c r="C5854" t="s">
        <v>40</v>
      </c>
      <c r="D5854">
        <v>4.8216710000000003</v>
      </c>
      <c r="E5854">
        <v>0.47654869999999999</v>
      </c>
      <c r="F5854" t="s">
        <v>42</v>
      </c>
      <c r="G5854">
        <v>-332.94589999999999</v>
      </c>
      <c r="H5854" s="1">
        <v>-3.3007969999999999E-6</v>
      </c>
      <c r="I5854">
        <v>17.968440000000001</v>
      </c>
      <c r="J5854">
        <v>-356.62029999999999</v>
      </c>
      <c r="K5854">
        <v>1.107693</v>
      </c>
      <c r="L5854">
        <v>18.74222</v>
      </c>
      <c r="M5854">
        <v>0.99983889999999997</v>
      </c>
      <c r="N5854">
        <v>0</v>
      </c>
      <c r="O5854">
        <v>-1.724316E-2</v>
      </c>
      <c r="P5854">
        <v>0.99526269999999994</v>
      </c>
      <c r="Q5854">
        <v>-4.5782959999999999E-3</v>
      </c>
      <c r="R5854">
        <v>-9.711388E-2</v>
      </c>
      <c r="S5854">
        <v>3.0040589999999998</v>
      </c>
      <c r="T5854">
        <v>-0.13952800000000001</v>
      </c>
      <c r="U5854">
        <v>-9.7869869999999998E-2</v>
      </c>
      <c r="V5854">
        <v>7.9938549999999997E-2</v>
      </c>
      <c r="W5854">
        <v>1.9771280000000001E-4</v>
      </c>
      <c r="X5854">
        <v>0.99679980000000001</v>
      </c>
      <c r="Y5854">
        <v>1.532493E-2</v>
      </c>
      <c r="Z5854">
        <v>4.445564E-4</v>
      </c>
      <c r="AA5854">
        <v>0.99988250000000001</v>
      </c>
      <c r="AB5854">
        <v>35</v>
      </c>
      <c r="AC5854">
        <v>23.674399999999899</v>
      </c>
      <c r="AD5854">
        <v>-1.107696300797</v>
      </c>
      <c r="AE5854">
        <v>-0.77377999999999802</v>
      </c>
      <c r="AF5854">
        <v>0.364641000507749</v>
      </c>
      <c r="AG5854">
        <v>-1.107696300797</v>
      </c>
      <c r="AH5854">
        <v>23.632541800292699</v>
      </c>
      <c r="AI5854">
        <v>92.683264895235894</v>
      </c>
      <c r="AJ5854">
        <v>89.116018378024705</v>
      </c>
      <c r="AK5854">
        <v>23.661297219227698</v>
      </c>
      <c r="AL5854">
        <v>89.988671891225806</v>
      </c>
      <c r="AM5854">
        <v>85.414966432137007</v>
      </c>
      <c r="AN5854">
        <v>1.00000002607324</v>
      </c>
    </row>
    <row r="5855" spans="1:40" x14ac:dyDescent="0.25">
      <c r="A5855" t="str">
        <f>"20190312154952039"</f>
        <v>20190312154952039</v>
      </c>
      <c r="B5855" t="str">
        <f>"1552376992031689"</f>
        <v>1552376992031689</v>
      </c>
      <c r="C5855" t="s">
        <v>40</v>
      </c>
      <c r="D5855">
        <v>4.7085819999999998</v>
      </c>
      <c r="E5855">
        <v>0.44788289999999997</v>
      </c>
      <c r="F5855" t="s">
        <v>42</v>
      </c>
      <c r="G5855">
        <v>-332.86250000000001</v>
      </c>
      <c r="H5855" s="1">
        <v>-3.3380519999999998E-6</v>
      </c>
      <c r="I5855">
        <v>17.960139999999999</v>
      </c>
      <c r="J5855">
        <v>-356.4359</v>
      </c>
      <c r="K5855">
        <v>1.107728</v>
      </c>
      <c r="L5855">
        <v>18.738589999999999</v>
      </c>
      <c r="M5855">
        <v>0.99982890000000002</v>
      </c>
      <c r="N5855">
        <v>0</v>
      </c>
      <c r="O5855">
        <v>-1.7748670000000001E-2</v>
      </c>
      <c r="P5855">
        <v>0.99523320000000004</v>
      </c>
      <c r="Q5855">
        <v>-4.6953819999999997E-3</v>
      </c>
      <c r="R5855">
        <v>-9.7411979999999995E-2</v>
      </c>
      <c r="S5855">
        <v>3.0039669999999998</v>
      </c>
      <c r="T5855">
        <v>-0.14005819999999999</v>
      </c>
      <c r="U5855">
        <v>-9.8876950000000005E-2</v>
      </c>
      <c r="V5855">
        <v>7.9733230000000002E-2</v>
      </c>
      <c r="W5855">
        <v>3.493468E-4</v>
      </c>
      <c r="X5855">
        <v>0.99681620000000004</v>
      </c>
      <c r="Y5855">
        <v>1.515596E-2</v>
      </c>
      <c r="Z5855">
        <v>4.7373510000000001E-4</v>
      </c>
      <c r="AA5855">
        <v>0.99988500000000002</v>
      </c>
      <c r="AB5855">
        <v>35</v>
      </c>
      <c r="AC5855">
        <v>23.5733999999999</v>
      </c>
      <c r="AD5855">
        <v>-1.107731338052</v>
      </c>
      <c r="AE5855">
        <v>-0.77844999999999898</v>
      </c>
      <c r="AF5855">
        <v>0.35913304855914402</v>
      </c>
      <c r="AG5855">
        <v>-1.107731338052</v>
      </c>
      <c r="AH5855">
        <v>23.531599050865498</v>
      </c>
      <c r="AI5855">
        <v>92.694850322602505</v>
      </c>
      <c r="AJ5855">
        <v>89.125634830106193</v>
      </c>
      <c r="AK5855">
        <v>23.5603947155935</v>
      </c>
      <c r="AL5855">
        <v>89.9799839028327</v>
      </c>
      <c r="AM5855">
        <v>85.426767869304399</v>
      </c>
      <c r="AN5855">
        <v>1.0000000232959201</v>
      </c>
    </row>
    <row r="5856" spans="1:40" x14ac:dyDescent="0.25">
      <c r="A5856" t="str">
        <f>"20190312154952051"</f>
        <v>20190312154952051</v>
      </c>
      <c r="B5856" t="str">
        <f>"1552376992041448"</f>
        <v>1552376992041448</v>
      </c>
      <c r="C5856" t="s">
        <v>40</v>
      </c>
      <c r="D5856">
        <v>4.791614</v>
      </c>
      <c r="E5856">
        <v>0.4448781</v>
      </c>
      <c r="F5856" t="s">
        <v>43</v>
      </c>
      <c r="G5856">
        <v>-315.9982</v>
      </c>
      <c r="H5856">
        <v>-0.05</v>
      </c>
      <c r="I5856">
        <v>20.414580000000001</v>
      </c>
      <c r="J5856">
        <v>-356.27019999999999</v>
      </c>
      <c r="K5856">
        <v>1.1077600000000001</v>
      </c>
      <c r="L5856">
        <v>18.73526</v>
      </c>
      <c r="M5856">
        <v>0.99981929999999997</v>
      </c>
      <c r="N5856">
        <v>0</v>
      </c>
      <c r="O5856">
        <v>-1.8202280000000001E-2</v>
      </c>
      <c r="P5856">
        <v>0.99522290000000002</v>
      </c>
      <c r="Q5856">
        <v>-4.9828829999999996E-3</v>
      </c>
      <c r="R5856">
        <v>-9.7503679999999995E-2</v>
      </c>
      <c r="S5856">
        <v>3.0262449999999999</v>
      </c>
      <c r="T5856">
        <v>-8.6641190000000007E-2</v>
      </c>
      <c r="U5856">
        <v>0.12542719999999999</v>
      </c>
      <c r="V5856">
        <v>7.9372609999999996E-2</v>
      </c>
      <c r="W5856">
        <v>3.102461E-4</v>
      </c>
      <c r="X5856">
        <v>0.99684490000000003</v>
      </c>
      <c r="Y5856">
        <v>-5.9559210000000001E-2</v>
      </c>
      <c r="Z5856">
        <v>1.3728830000000001E-3</v>
      </c>
      <c r="AA5856">
        <v>0.99822379999999999</v>
      </c>
      <c r="AB5856">
        <v>35</v>
      </c>
      <c r="AC5856">
        <v>40.271999999999899</v>
      </c>
      <c r="AD5856">
        <v>-1.1577599999999999</v>
      </c>
      <c r="AE5856">
        <v>1.6793199999999899</v>
      </c>
      <c r="AF5856">
        <v>-2.4101065625641098</v>
      </c>
      <c r="AG5856">
        <v>-1.1577599999999999</v>
      </c>
      <c r="AH5856">
        <v>40.201591804535603</v>
      </c>
      <c r="AI5856">
        <v>91.646642384623703</v>
      </c>
      <c r="AJ5856">
        <v>93.430805853581106</v>
      </c>
      <c r="AK5856">
        <v>40.290408355823601</v>
      </c>
      <c r="AL5856">
        <v>89.982224206349002</v>
      </c>
      <c r="AM5856">
        <v>85.447495205720699</v>
      </c>
      <c r="AN5856">
        <v>0.99999993106342899</v>
      </c>
    </row>
    <row r="5857" spans="1:40" x14ac:dyDescent="0.25">
      <c r="A5857" t="str">
        <f>"20190312154952063"</f>
        <v>20190312154952063</v>
      </c>
      <c r="B5857" t="str">
        <f>"1552376992051209"</f>
        <v>1552376992051209</v>
      </c>
      <c r="C5857" t="s">
        <v>40</v>
      </c>
      <c r="D5857">
        <v>4.7688569999999997</v>
      </c>
      <c r="E5857">
        <v>0.44349499999999997</v>
      </c>
      <c r="F5857" t="s">
        <v>42</v>
      </c>
      <c r="G5857">
        <v>-323.98520000000002</v>
      </c>
      <c r="H5857" s="1">
        <v>-3.0142720000000002E-6</v>
      </c>
      <c r="I5857">
        <v>20.33258</v>
      </c>
      <c r="J5857">
        <v>-356.06279999999998</v>
      </c>
      <c r="K5857">
        <v>1.1077969999999999</v>
      </c>
      <c r="L5857">
        <v>18.731020000000001</v>
      </c>
      <c r="M5857">
        <v>0.99980690000000005</v>
      </c>
      <c r="N5857">
        <v>0</v>
      </c>
      <c r="O5857">
        <v>-1.8770640000000002E-2</v>
      </c>
      <c r="P5857">
        <v>0.99519190000000002</v>
      </c>
      <c r="Q5857">
        <v>-5.357433E-3</v>
      </c>
      <c r="R5857">
        <v>-9.7798609999999994E-2</v>
      </c>
      <c r="S5857">
        <v>3.0285950000000001</v>
      </c>
      <c r="T5857">
        <v>-0.1039171</v>
      </c>
      <c r="U5857">
        <v>0.14984129999999901</v>
      </c>
      <c r="V5857">
        <v>7.9101530000000003E-2</v>
      </c>
      <c r="W5857">
        <v>2.5207199999999999E-4</v>
      </c>
      <c r="X5857">
        <v>0.99686649999999999</v>
      </c>
      <c r="Y5857">
        <v>-6.810339E-2</v>
      </c>
      <c r="Z5857">
        <v>1.8108569999999999E-3</v>
      </c>
      <c r="AA5857">
        <v>0.99767660000000002</v>
      </c>
      <c r="AB5857">
        <v>35</v>
      </c>
      <c r="AC5857">
        <v>32.077599999999897</v>
      </c>
      <c r="AD5857">
        <v>-1.1078000142719999</v>
      </c>
      <c r="AE5857">
        <v>1.6015599999999901</v>
      </c>
      <c r="AF5857">
        <v>-2.2007868089085001</v>
      </c>
      <c r="AG5857">
        <v>-1.1078000142719999</v>
      </c>
      <c r="AH5857">
        <v>32.003810476431198</v>
      </c>
      <c r="AI5857">
        <v>91.977813476400797</v>
      </c>
      <c r="AJ5857">
        <v>93.933831459064393</v>
      </c>
      <c r="AK5857">
        <v>32.098513493014103</v>
      </c>
      <c r="AL5857">
        <v>89.985557337639904</v>
      </c>
      <c r="AM5857">
        <v>85.463076175116598</v>
      </c>
      <c r="AN5857">
        <v>0.99999996720544104</v>
      </c>
    </row>
    <row r="5858" spans="1:40" x14ac:dyDescent="0.25">
      <c r="A5858" t="str">
        <f>"20190312154952077"</f>
        <v>20190312154952077</v>
      </c>
      <c r="B5858" t="str">
        <f>"1552376992071706"</f>
        <v>1552376992071706</v>
      </c>
      <c r="C5858" t="s">
        <v>40</v>
      </c>
      <c r="D5858">
        <v>4.7553159999999997</v>
      </c>
      <c r="E5858">
        <v>0.4427567</v>
      </c>
      <c r="F5858" t="s">
        <v>42</v>
      </c>
      <c r="G5858">
        <v>-324.50720000000001</v>
      </c>
      <c r="H5858" s="1">
        <v>-2.7847440000000002E-6</v>
      </c>
      <c r="I5858">
        <v>20.397220000000001</v>
      </c>
      <c r="J5858">
        <v>-355.85809999999998</v>
      </c>
      <c r="K5858">
        <v>1.107834</v>
      </c>
      <c r="L5858">
        <v>18.726649999999999</v>
      </c>
      <c r="M5858">
        <v>0.99979419999999997</v>
      </c>
      <c r="N5858">
        <v>0</v>
      </c>
      <c r="O5858">
        <v>-1.9331460000000002E-2</v>
      </c>
      <c r="P5858">
        <v>0.99514250000000004</v>
      </c>
      <c r="Q5858">
        <v>-5.4984880000000002E-3</v>
      </c>
      <c r="R5858">
        <v>-9.8291840000000005E-2</v>
      </c>
      <c r="S5858">
        <v>3.0296630000000002</v>
      </c>
      <c r="T5858">
        <v>-0.1063602</v>
      </c>
      <c r="U5858">
        <v>0.15997310000000001</v>
      </c>
      <c r="V5858">
        <v>7.9036750000000003E-2</v>
      </c>
      <c r="W5858">
        <v>4.3613110000000001E-4</v>
      </c>
      <c r="X5858">
        <v>0.99687159999999997</v>
      </c>
      <c r="Y5858">
        <v>-7.1967809999999993E-2</v>
      </c>
      <c r="Z5858">
        <v>1.940036E-3</v>
      </c>
      <c r="AA5858">
        <v>0.99740510000000004</v>
      </c>
      <c r="AB5858">
        <v>35</v>
      </c>
      <c r="AC5858">
        <v>31.3508999999999</v>
      </c>
      <c r="AD5858">
        <v>-1.107836784744</v>
      </c>
      <c r="AE5858">
        <v>1.6705700000000001</v>
      </c>
      <c r="AF5858">
        <v>-2.2734971135942699</v>
      </c>
      <c r="AG5858">
        <v>-1.107836784744</v>
      </c>
      <c r="AH5858">
        <v>31.273805621272299</v>
      </c>
      <c r="AI5858">
        <v>92.023450206602305</v>
      </c>
      <c r="AJ5858">
        <v>94.157890065196</v>
      </c>
      <c r="AK5858">
        <v>31.375898544970401</v>
      </c>
      <c r="AL5858">
        <v>89.975011527675306</v>
      </c>
      <c r="AM5858">
        <v>85.466799280112895</v>
      </c>
      <c r="AN5858">
        <v>0.99999999247372895</v>
      </c>
    </row>
    <row r="5859" spans="1:40" x14ac:dyDescent="0.25">
      <c r="A5859" t="str">
        <f>"20190312154952097"</f>
        <v>20190312154952097</v>
      </c>
      <c r="B5859" t="str">
        <f>"1552376992091224"</f>
        <v>1552376992091224</v>
      </c>
      <c r="C5859" t="s">
        <v>40</v>
      </c>
      <c r="D5859">
        <v>4.7767169999999997</v>
      </c>
      <c r="E5859">
        <v>0.44225599999999998</v>
      </c>
      <c r="F5859" t="s">
        <v>42</v>
      </c>
      <c r="G5859">
        <v>-328.04300000000001</v>
      </c>
      <c r="H5859" s="1">
        <v>-1.0719719999999999E-6</v>
      </c>
      <c r="I5859">
        <v>20.241820000000001</v>
      </c>
      <c r="J5859">
        <v>-355.55399999999997</v>
      </c>
      <c r="K5859">
        <v>1.1079019999999999</v>
      </c>
      <c r="L5859">
        <v>18.72</v>
      </c>
      <c r="M5859">
        <v>0.99977470000000002</v>
      </c>
      <c r="N5859">
        <v>0</v>
      </c>
      <c r="O5859">
        <v>-2.0164100000000001E-2</v>
      </c>
      <c r="P5859">
        <v>0.99508280000000005</v>
      </c>
      <c r="Q5859">
        <v>-5.9408100000000004E-3</v>
      </c>
      <c r="R5859">
        <v>-9.8870550000000001E-2</v>
      </c>
      <c r="S5859">
        <v>3.0303040000000001</v>
      </c>
      <c r="T5859">
        <v>-0.1206928</v>
      </c>
      <c r="U5859">
        <v>0.16506960000000001</v>
      </c>
      <c r="V5859">
        <v>7.8786289999999995E-2</v>
      </c>
      <c r="W5859">
        <v>4.947819E-4</v>
      </c>
      <c r="X5859">
        <v>0.99689139999999998</v>
      </c>
      <c r="Y5859">
        <v>-7.4441149999999998E-2</v>
      </c>
      <c r="Z5859">
        <v>2.2830440000000001E-3</v>
      </c>
      <c r="AA5859">
        <v>0.99722279999999996</v>
      </c>
      <c r="AB5859">
        <v>35</v>
      </c>
      <c r="AC5859">
        <v>27.510999999999999</v>
      </c>
      <c r="AD5859">
        <v>-1.107903071972</v>
      </c>
      <c r="AE5859">
        <v>1.52182</v>
      </c>
      <c r="AF5859">
        <v>-2.0729057912811699</v>
      </c>
      <c r="AG5859">
        <v>-1.107903071972</v>
      </c>
      <c r="AH5859">
        <v>27.430369322593101</v>
      </c>
      <c r="AI5859">
        <v>92.306330475839999</v>
      </c>
      <c r="AJ5859">
        <v>94.321612870078198</v>
      </c>
      <c r="AK5859">
        <v>27.530883545761299</v>
      </c>
      <c r="AL5859">
        <v>89.971651084019399</v>
      </c>
      <c r="AM5859">
        <v>85.481194354797296</v>
      </c>
      <c r="AN5859">
        <v>0.99999999384752603</v>
      </c>
    </row>
    <row r="5860" spans="1:40" x14ac:dyDescent="0.25">
      <c r="A5860" t="str">
        <f>"20190312154952110"</f>
        <v>20190312154952110</v>
      </c>
      <c r="B5860" t="str">
        <f>"1552376992101961"</f>
        <v>1552376992101961</v>
      </c>
      <c r="C5860" t="s">
        <v>40</v>
      </c>
      <c r="D5860">
        <v>4.724507</v>
      </c>
      <c r="E5860">
        <v>0.44203029999999999</v>
      </c>
      <c r="F5860" t="s">
        <v>42</v>
      </c>
      <c r="G5860">
        <v>-328.54969999999997</v>
      </c>
      <c r="H5860" s="1">
        <v>-8.2440659999999895E-7</v>
      </c>
      <c r="I5860">
        <v>20.211490000000001</v>
      </c>
      <c r="J5860">
        <v>-355.32159999999999</v>
      </c>
      <c r="K5860">
        <v>1.107952</v>
      </c>
      <c r="L5860">
        <v>18.714749999999999</v>
      </c>
      <c r="M5860">
        <v>0.99975899999999995</v>
      </c>
      <c r="N5860">
        <v>0</v>
      </c>
      <c r="O5860">
        <v>-2.0800019999999999E-2</v>
      </c>
      <c r="P5860">
        <v>0.99501799999999996</v>
      </c>
      <c r="Q5860">
        <v>-6.2715690000000003E-3</v>
      </c>
      <c r="R5860">
        <v>-9.9498459999999997E-2</v>
      </c>
      <c r="S5860">
        <v>3.0307010000000001</v>
      </c>
      <c r="T5860">
        <v>-0.1243399</v>
      </c>
      <c r="U5860">
        <v>0.16738889999999901</v>
      </c>
      <c r="V5860">
        <v>7.8781589999999999E-2</v>
      </c>
      <c r="W5860">
        <v>5.5820149999999999E-4</v>
      </c>
      <c r="X5860">
        <v>0.99689170000000005</v>
      </c>
      <c r="Y5860">
        <v>-7.5822959999999995E-2</v>
      </c>
      <c r="Z5860">
        <v>2.4059979999999999E-3</v>
      </c>
      <c r="AA5860">
        <v>0.99711839999999996</v>
      </c>
      <c r="AB5860">
        <v>35</v>
      </c>
      <c r="AC5860">
        <v>26.771899999999999</v>
      </c>
      <c r="AD5860">
        <v>-1.1079528244065999</v>
      </c>
      <c r="AE5860">
        <v>1.49673999999999</v>
      </c>
      <c r="AF5860">
        <v>-2.0497862033045302</v>
      </c>
      <c r="AG5860">
        <v>-1.1079528244065999</v>
      </c>
      <c r="AH5860">
        <v>26.689405974363801</v>
      </c>
      <c r="AI5860">
        <v>92.370173244469697</v>
      </c>
      <c r="AJ5860">
        <v>94.391779974227006</v>
      </c>
      <c r="AK5860">
        <v>26.7909233548374</v>
      </c>
      <c r="AL5860">
        <v>89.968017406864604</v>
      </c>
      <c r="AM5860">
        <v>85.481464162170795</v>
      </c>
      <c r="AN5860">
        <v>0.99999995602036496</v>
      </c>
    </row>
    <row r="5861" spans="1:40" x14ac:dyDescent="0.25">
      <c r="A5861" t="str">
        <f>"20190312154952130"</f>
        <v>20190312154952130</v>
      </c>
      <c r="B5861" t="str">
        <f>"1552376992121480"</f>
        <v>1552376992121480</v>
      </c>
      <c r="C5861" t="s">
        <v>40</v>
      </c>
      <c r="D5861">
        <v>4.713266</v>
      </c>
      <c r="E5861">
        <v>0.4417066</v>
      </c>
      <c r="F5861" t="s">
        <v>42</v>
      </c>
      <c r="G5861">
        <v>-328.71839999999997</v>
      </c>
      <c r="H5861" s="1">
        <v>-7.3710730000000001E-7</v>
      </c>
      <c r="I5861">
        <v>20.183150000000001</v>
      </c>
      <c r="J5861">
        <v>-355.02620000000002</v>
      </c>
      <c r="K5861">
        <v>1.1080139999999901</v>
      </c>
      <c r="L5861">
        <v>18.707820000000002</v>
      </c>
      <c r="M5861">
        <v>0.99973820000000002</v>
      </c>
      <c r="N5861">
        <v>0</v>
      </c>
      <c r="O5861">
        <v>-2.160465E-2</v>
      </c>
      <c r="P5861">
        <v>0.99495100000000003</v>
      </c>
      <c r="Q5861">
        <v>-6.4537079999999998E-3</v>
      </c>
      <c r="R5861">
        <v>-0.1001573</v>
      </c>
      <c r="S5861">
        <v>3.030945</v>
      </c>
      <c r="T5861">
        <v>-0.12623110000000001</v>
      </c>
      <c r="U5861">
        <v>0.16729740000000001</v>
      </c>
      <c r="V5861">
        <v>7.8640039999999994E-2</v>
      </c>
      <c r="W5861">
        <v>8.8435759999999999E-4</v>
      </c>
      <c r="X5861">
        <v>0.99690270000000003</v>
      </c>
      <c r="Y5861">
        <v>-7.6587230000000006E-2</v>
      </c>
      <c r="Z5861">
        <v>2.491741E-3</v>
      </c>
      <c r="AA5861">
        <v>0.99705980000000005</v>
      </c>
      <c r="AB5861">
        <v>35</v>
      </c>
      <c r="AC5861">
        <v>26.3078</v>
      </c>
      <c r="AD5861">
        <v>-1.1080147371072999</v>
      </c>
      <c r="AE5861">
        <v>1.47532999999999</v>
      </c>
      <c r="AF5861">
        <v>-2.0397656350101201</v>
      </c>
      <c r="AG5861">
        <v>-1.1080147371072999</v>
      </c>
      <c r="AH5861">
        <v>26.223413199083399</v>
      </c>
      <c r="AI5861">
        <v>92.412194873212897</v>
      </c>
      <c r="AJ5861">
        <v>94.447747167922998</v>
      </c>
      <c r="AK5861">
        <v>26.325951840594001</v>
      </c>
      <c r="AL5861">
        <v>89.949330036126497</v>
      </c>
      <c r="AM5861">
        <v>85.489598827856597</v>
      </c>
      <c r="AN5861">
        <v>1.0000000156234199</v>
      </c>
    </row>
    <row r="5862" spans="1:40" x14ac:dyDescent="0.25">
      <c r="A5862" t="str">
        <f>"20190312154952143"</f>
        <v>20190312154952143</v>
      </c>
      <c r="B5862" t="str">
        <f>"1552376992131270"</f>
        <v>1552376992131270</v>
      </c>
      <c r="C5862" t="s">
        <v>40</v>
      </c>
      <c r="D5862">
        <v>4.707592</v>
      </c>
      <c r="E5862">
        <v>0.44156139999999999</v>
      </c>
      <c r="F5862" t="s">
        <v>42</v>
      </c>
      <c r="G5862">
        <v>-328.68310000000002</v>
      </c>
      <c r="H5862" s="1">
        <v>-7.4945430000000001E-7</v>
      </c>
      <c r="I5862">
        <v>20.16677</v>
      </c>
      <c r="J5862">
        <v>-354.79829999999998</v>
      </c>
      <c r="K5862">
        <v>1.1080650000000001</v>
      </c>
      <c r="L5862">
        <v>18.702300000000001</v>
      </c>
      <c r="M5862">
        <v>0.99972159999999999</v>
      </c>
      <c r="N5862">
        <v>0</v>
      </c>
      <c r="O5862">
        <v>-2.222091E-2</v>
      </c>
      <c r="P5862">
        <v>0.99490179999999995</v>
      </c>
      <c r="Q5862">
        <v>-6.5833979999999999E-3</v>
      </c>
      <c r="R5862">
        <v>-0.100634</v>
      </c>
      <c r="S5862">
        <v>3.03125</v>
      </c>
      <c r="T5862">
        <v>-0.1274972</v>
      </c>
      <c r="U5862">
        <v>0.1678772</v>
      </c>
      <c r="V5862">
        <v>7.8503879999999998E-2</v>
      </c>
      <c r="W5862">
        <v>1.15091E-3</v>
      </c>
      <c r="X5862">
        <v>0.9969131</v>
      </c>
      <c r="Y5862">
        <v>-7.7383569999999999E-2</v>
      </c>
      <c r="Z5862">
        <v>2.5590700000000001E-3</v>
      </c>
      <c r="AA5862">
        <v>0.9969981</v>
      </c>
      <c r="AB5862">
        <v>35</v>
      </c>
      <c r="AC5862">
        <v>26.115199999999898</v>
      </c>
      <c r="AD5862">
        <v>-1.10806574945429</v>
      </c>
      <c r="AE5862">
        <v>1.4644699999999899</v>
      </c>
      <c r="AF5862">
        <v>-2.0407676812574702</v>
      </c>
      <c r="AG5862">
        <v>-1.10806574945429</v>
      </c>
      <c r="AH5862">
        <v>26.029494539478598</v>
      </c>
      <c r="AI5862">
        <v>92.430139477014905</v>
      </c>
      <c r="AJ5862">
        <v>94.482940482765798</v>
      </c>
      <c r="AK5862">
        <v>26.132874476695498</v>
      </c>
      <c r="AL5862">
        <v>89.934057696964999</v>
      </c>
      <c r="AM5862">
        <v>85.497422926145305</v>
      </c>
      <c r="AN5862">
        <v>0.99999995636024497</v>
      </c>
    </row>
    <row r="5863" spans="1:40" x14ac:dyDescent="0.25">
      <c r="A5863" t="str">
        <f>"20190312154952157"</f>
        <v>20190312154952157</v>
      </c>
      <c r="B5863" t="str">
        <f>"1552376992151742"</f>
        <v>1552376992151742</v>
      </c>
      <c r="C5863" t="s">
        <v>40</v>
      </c>
      <c r="D5863">
        <v>4.6960730000000002</v>
      </c>
      <c r="E5863">
        <v>0.44119000000000003</v>
      </c>
      <c r="F5863" t="s">
        <v>42</v>
      </c>
      <c r="G5863">
        <v>-328.46839999999997</v>
      </c>
      <c r="H5863" s="1">
        <v>-8.4859350000000005E-7</v>
      </c>
      <c r="I5863">
        <v>20.15802</v>
      </c>
      <c r="J5863">
        <v>-354.5849</v>
      </c>
      <c r="K5863">
        <v>1.108117</v>
      </c>
      <c r="L5863">
        <v>18.697019999999998</v>
      </c>
      <c r="M5863">
        <v>0.99970570000000003</v>
      </c>
      <c r="N5863">
        <v>0</v>
      </c>
      <c r="O5863">
        <v>-2.2792610000000001E-2</v>
      </c>
      <c r="P5863">
        <v>0.99485219999999996</v>
      </c>
      <c r="Q5863">
        <v>-6.7714009999999998E-3</v>
      </c>
      <c r="R5863">
        <v>-0.1011117</v>
      </c>
      <c r="S5863">
        <v>3.0314640000000002</v>
      </c>
      <c r="T5863">
        <v>-0.12757599999999999</v>
      </c>
      <c r="U5863">
        <v>0.16760249999999999</v>
      </c>
      <c r="V5863">
        <v>7.8412529999999994E-2</v>
      </c>
      <c r="W5863">
        <v>1.3397369999999999E-3</v>
      </c>
      <c r="X5863">
        <v>0.99692009999999998</v>
      </c>
      <c r="Y5863">
        <v>-7.7858810000000001E-2</v>
      </c>
      <c r="Z5863">
        <v>2.5945009999999999E-3</v>
      </c>
      <c r="AA5863">
        <v>0.99696099999999999</v>
      </c>
      <c r="AB5863">
        <v>35</v>
      </c>
      <c r="AC5863">
        <v>26.116499999999998</v>
      </c>
      <c r="AD5863">
        <v>-1.1081178485934999</v>
      </c>
      <c r="AE5863">
        <v>1.4609999999999901</v>
      </c>
      <c r="AF5863">
        <v>-2.0522211045878</v>
      </c>
      <c r="AG5863">
        <v>-1.1081178485934999</v>
      </c>
      <c r="AH5863">
        <v>26.0296989386657</v>
      </c>
      <c r="AI5863">
        <v>92.430151201468803</v>
      </c>
      <c r="AJ5863">
        <v>94.507961469552797</v>
      </c>
      <c r="AK5863">
        <v>26.133977184233999</v>
      </c>
      <c r="AL5863">
        <v>89.923238701491996</v>
      </c>
      <c r="AM5863">
        <v>85.502672232859993</v>
      </c>
      <c r="AN5863">
        <v>1.0000000027701199</v>
      </c>
    </row>
    <row r="5864" spans="1:40" x14ac:dyDescent="0.25">
      <c r="A5864" t="str">
        <f>"20190312154952176"</f>
        <v>20190312154952176</v>
      </c>
      <c r="B5864" t="str">
        <f>"1552376992171262"</f>
        <v>1552376992171262</v>
      </c>
      <c r="C5864" t="s">
        <v>40</v>
      </c>
      <c r="D5864">
        <v>4.679989</v>
      </c>
      <c r="E5864">
        <v>0.44072470000000002</v>
      </c>
      <c r="F5864" t="s">
        <v>42</v>
      </c>
      <c r="G5864">
        <v>-328.07580000000002</v>
      </c>
      <c r="H5864" s="1">
        <v>-1.038797E-6</v>
      </c>
      <c r="I5864">
        <v>20.175280000000001</v>
      </c>
      <c r="J5864">
        <v>-354.30380000000002</v>
      </c>
      <c r="K5864">
        <v>1.1081939999999999</v>
      </c>
      <c r="L5864">
        <v>18.689820000000001</v>
      </c>
      <c r="M5864">
        <v>0.99968400000000002</v>
      </c>
      <c r="N5864">
        <v>0</v>
      </c>
      <c r="O5864">
        <v>-2.353746E-2</v>
      </c>
      <c r="P5864">
        <v>0.99476960000000003</v>
      </c>
      <c r="Q5864">
        <v>-7.1170699999999996E-3</v>
      </c>
      <c r="R5864">
        <v>-0.1018973</v>
      </c>
      <c r="S5864">
        <v>3.0318299999999998</v>
      </c>
      <c r="T5864">
        <v>-0.1267346</v>
      </c>
      <c r="U5864">
        <v>0.16906740000000001</v>
      </c>
      <c r="V5864">
        <v>7.8457379999999993E-2</v>
      </c>
      <c r="W5864">
        <v>1.50090799999999E-3</v>
      </c>
      <c r="X5864">
        <v>0.99691640000000004</v>
      </c>
      <c r="Y5864">
        <v>-7.9074720000000001E-2</v>
      </c>
      <c r="Z5864">
        <v>2.633551E-3</v>
      </c>
      <c r="AA5864">
        <v>0.99686520000000001</v>
      </c>
      <c r="AB5864">
        <v>35</v>
      </c>
      <c r="AC5864">
        <v>26.228000000000002</v>
      </c>
      <c r="AD5864">
        <v>-1.1081950387970001</v>
      </c>
      <c r="AE5864">
        <v>1.48545999999999</v>
      </c>
      <c r="AF5864">
        <v>-2.0986782620398299</v>
      </c>
      <c r="AG5864">
        <v>-1.1081950387970001</v>
      </c>
      <c r="AH5864">
        <v>26.1392515834936</v>
      </c>
      <c r="AI5864">
        <v>92.419870153376195</v>
      </c>
      <c r="AJ5864">
        <v>94.590338978960105</v>
      </c>
      <c r="AK5864">
        <v>26.246771611700101</v>
      </c>
      <c r="AL5864">
        <v>89.914004279111793</v>
      </c>
      <c r="AM5864">
        <v>85.500093803545298</v>
      </c>
      <c r="AN5864">
        <v>1.0000000608951201</v>
      </c>
    </row>
    <row r="5865" spans="1:40" x14ac:dyDescent="0.25">
      <c r="A5865" t="str">
        <f>"20190312154952189"</f>
        <v>20190312154952189</v>
      </c>
      <c r="B5865" t="str">
        <f>"1552376992181998"</f>
        <v>1552376992181998</v>
      </c>
      <c r="C5865" t="s">
        <v>40</v>
      </c>
      <c r="D5865">
        <v>4.6743489999999897</v>
      </c>
      <c r="E5865">
        <v>0.44059320000000002</v>
      </c>
      <c r="F5865" t="s">
        <v>42</v>
      </c>
      <c r="G5865">
        <v>-327.66370000000001</v>
      </c>
      <c r="H5865" s="1">
        <v>-1.236335E-6</v>
      </c>
      <c r="I5865">
        <v>20.18561</v>
      </c>
      <c r="J5865">
        <v>-354.07319999999999</v>
      </c>
      <c r="K5865">
        <v>1.108268</v>
      </c>
      <c r="L5865">
        <v>18.68384</v>
      </c>
      <c r="M5865">
        <v>0.99966569999999999</v>
      </c>
      <c r="N5865">
        <v>0</v>
      </c>
      <c r="O5865">
        <v>-2.414003E-2</v>
      </c>
      <c r="P5865">
        <v>0.99470270000000005</v>
      </c>
      <c r="Q5865">
        <v>-7.1679369999999897E-3</v>
      </c>
      <c r="R5865">
        <v>-0.10254389999999899</v>
      </c>
      <c r="S5865">
        <v>3.0322879999999999</v>
      </c>
      <c r="T5865">
        <v>-0.12613949999999999</v>
      </c>
      <c r="U5865">
        <v>0.17025760000000001</v>
      </c>
      <c r="V5865">
        <v>7.8505080000000005E-2</v>
      </c>
      <c r="W5865">
        <v>1.87141E-3</v>
      </c>
      <c r="X5865">
        <v>0.99691189999999996</v>
      </c>
      <c r="Y5865">
        <v>-8.0056840000000004E-2</v>
      </c>
      <c r="Z5865">
        <v>2.66622E-3</v>
      </c>
      <c r="AA5865">
        <v>0.99678670000000003</v>
      </c>
      <c r="AB5865">
        <v>35</v>
      </c>
      <c r="AC5865">
        <v>26.409499999999898</v>
      </c>
      <c r="AD5865">
        <v>-1.108269236335</v>
      </c>
      <c r="AE5865">
        <v>1.50177</v>
      </c>
      <c r="AF5865">
        <v>-2.1351378320590002</v>
      </c>
      <c r="AG5865">
        <v>-1.108269236335</v>
      </c>
      <c r="AH5865">
        <v>26.319348803930701</v>
      </c>
      <c r="AI5865">
        <v>92.403330848655898</v>
      </c>
      <c r="AJ5865">
        <v>94.637921525719804</v>
      </c>
      <c r="AK5865">
        <v>26.429059682952499</v>
      </c>
      <c r="AL5865">
        <v>89.892776036569998</v>
      </c>
      <c r="AM5865">
        <v>85.497348985734504</v>
      </c>
      <c r="AN5865">
        <v>0.99999994306140005</v>
      </c>
    </row>
    <row r="5866" spans="1:40" x14ac:dyDescent="0.25">
      <c r="A5866" t="str">
        <f>"20190312154952209"</f>
        <v>20190312154952209</v>
      </c>
      <c r="B5866" t="str">
        <f>"1552376992201518"</f>
        <v>1552376992201518</v>
      </c>
      <c r="C5866" t="s">
        <v>40</v>
      </c>
      <c r="D5866">
        <v>4.7213139999999996</v>
      </c>
      <c r="E5866">
        <v>0.4402218</v>
      </c>
      <c r="F5866" t="s">
        <v>42</v>
      </c>
      <c r="G5866">
        <v>-327.39769999999999</v>
      </c>
      <c r="H5866" s="1">
        <v>-1.3588149999999901E-6</v>
      </c>
      <c r="I5866">
        <v>20.173439999999999</v>
      </c>
      <c r="J5866">
        <v>-353.77699999999999</v>
      </c>
      <c r="K5866">
        <v>1.1083590000000001</v>
      </c>
      <c r="L5866">
        <v>18.675930000000001</v>
      </c>
      <c r="M5866">
        <v>0.99964229999999998</v>
      </c>
      <c r="N5866">
        <v>0</v>
      </c>
      <c r="O5866">
        <v>-2.490063E-2</v>
      </c>
      <c r="P5866">
        <v>0.99457209999999996</v>
      </c>
      <c r="Q5866">
        <v>-7.1964669999999998E-3</v>
      </c>
      <c r="R5866">
        <v>-0.1038028</v>
      </c>
      <c r="S5866">
        <v>3.0325319999999998</v>
      </c>
      <c r="T5866">
        <v>-0.12599060000000001</v>
      </c>
      <c r="U5866">
        <v>0.16934199999999999</v>
      </c>
      <c r="V5866">
        <v>7.9009410000000002E-2</v>
      </c>
      <c r="W5866">
        <v>2.3739949999999998E-3</v>
      </c>
      <c r="X5866">
        <v>0.99687110000000001</v>
      </c>
      <c r="Y5866">
        <v>-8.0510040000000005E-2</v>
      </c>
      <c r="Z5866">
        <v>2.703857E-3</v>
      </c>
      <c r="AA5866">
        <v>0.99675009999999997</v>
      </c>
      <c r="AB5866">
        <v>35</v>
      </c>
      <c r="AC5866">
        <v>26.379300000000001</v>
      </c>
      <c r="AD5866">
        <v>-1.1083603588149999</v>
      </c>
      <c r="AE5866">
        <v>1.4975099999999999</v>
      </c>
      <c r="AF5866">
        <v>-2.15015447033299</v>
      </c>
      <c r="AG5866">
        <v>-1.1083603588149999</v>
      </c>
      <c r="AH5866">
        <v>26.287570923552298</v>
      </c>
      <c r="AI5866">
        <v>92.406300144745899</v>
      </c>
      <c r="AJ5866">
        <v>94.676017508270206</v>
      </c>
      <c r="AK5866">
        <v>26.3986365555511</v>
      </c>
      <c r="AL5866">
        <v>89.863979985816997</v>
      </c>
      <c r="AM5866">
        <v>85.468358586420905</v>
      </c>
      <c r="AN5866">
        <v>1.000000056368</v>
      </c>
    </row>
    <row r="5867" spans="1:40" x14ac:dyDescent="0.25">
      <c r="A5867" t="str">
        <f>"20190312154952222"</f>
        <v>20190312154952222</v>
      </c>
      <c r="B5867" t="str">
        <f>"1552376992211278"</f>
        <v>1552376992211278</v>
      </c>
      <c r="C5867" t="s">
        <v>40</v>
      </c>
      <c r="D5867">
        <v>4.7304449999999996</v>
      </c>
      <c r="E5867">
        <v>0.44006600000000001</v>
      </c>
      <c r="F5867" t="s">
        <v>42</v>
      </c>
      <c r="G5867">
        <v>-326.79520000000002</v>
      </c>
      <c r="H5867" s="1">
        <v>-1.6437630000000001E-6</v>
      </c>
      <c r="I5867">
        <v>20.173970000000001</v>
      </c>
      <c r="J5867">
        <v>-353.56880000000001</v>
      </c>
      <c r="K5867">
        <v>1.1084229999999999</v>
      </c>
      <c r="L5867">
        <v>18.670259999999999</v>
      </c>
      <c r="M5867">
        <v>0.9996254</v>
      </c>
      <c r="N5867">
        <v>0</v>
      </c>
      <c r="O5867">
        <v>-2.5422770000000001E-2</v>
      </c>
      <c r="P5867">
        <v>0.99449129999999997</v>
      </c>
      <c r="Q5867">
        <v>-7.4518379999999997E-3</v>
      </c>
      <c r="R5867">
        <v>-0.1045528</v>
      </c>
      <c r="S5867">
        <v>3.0330509999999999</v>
      </c>
      <c r="T5867">
        <v>-0.1245918</v>
      </c>
      <c r="U5867">
        <v>0.16839599999999999</v>
      </c>
      <c r="V5867">
        <v>7.9240660000000004E-2</v>
      </c>
      <c r="W5867">
        <v>2.4746080000000001E-3</v>
      </c>
      <c r="X5867">
        <v>0.99685250000000003</v>
      </c>
      <c r="Y5867">
        <v>-8.0712770000000003E-2</v>
      </c>
      <c r="Z5867">
        <v>2.6990180000000001E-3</v>
      </c>
      <c r="AA5867">
        <v>0.99673369999999994</v>
      </c>
      <c r="AB5867">
        <v>35</v>
      </c>
      <c r="AC5867">
        <v>26.773599999999899</v>
      </c>
      <c r="AD5867">
        <v>-1.1084246437630001</v>
      </c>
      <c r="AE5867">
        <v>1.5037100000000001</v>
      </c>
      <c r="AF5867">
        <v>-2.1801929811876102</v>
      </c>
      <c r="AG5867">
        <v>-1.1084246437630001</v>
      </c>
      <c r="AH5867">
        <v>26.681128762481201</v>
      </c>
      <c r="AI5867">
        <v>92.370999877858395</v>
      </c>
      <c r="AJ5867">
        <v>94.671426942146098</v>
      </c>
      <c r="AK5867">
        <v>26.792993088981799</v>
      </c>
      <c r="AL5867">
        <v>89.858215268928106</v>
      </c>
      <c r="AM5867">
        <v>85.455066117010702</v>
      </c>
      <c r="AN5867">
        <v>1.00000005631911</v>
      </c>
    </row>
    <row r="5868" spans="1:40" x14ac:dyDescent="0.25">
      <c r="A5868" t="str">
        <f>"20190312154952243"</f>
        <v>20190312154952243</v>
      </c>
      <c r="B5868" t="str">
        <f>"1552376992231386"</f>
        <v>1552376992231386</v>
      </c>
      <c r="C5868" t="s">
        <v>40</v>
      </c>
      <c r="D5868">
        <v>4.7494389999999997</v>
      </c>
      <c r="E5868">
        <v>0.43968000000000002</v>
      </c>
      <c r="F5868" t="s">
        <v>42</v>
      </c>
      <c r="G5868">
        <v>-326.6447</v>
      </c>
      <c r="H5868" s="1">
        <v>-1.7099290000000001E-6</v>
      </c>
      <c r="I5868">
        <v>20.15523</v>
      </c>
      <c r="J5868">
        <v>-353.2353</v>
      </c>
      <c r="K5868">
        <v>1.1085130000000001</v>
      </c>
      <c r="L5868">
        <v>18.660920000000001</v>
      </c>
      <c r="M5868">
        <v>0.99959920000000002</v>
      </c>
      <c r="N5868">
        <v>0</v>
      </c>
      <c r="O5868">
        <v>-2.6230969999999999E-2</v>
      </c>
      <c r="P5868">
        <v>0.99432710000000002</v>
      </c>
      <c r="Q5868">
        <v>-7.9552919999999992E-3</v>
      </c>
      <c r="R5868">
        <v>-0.1060688</v>
      </c>
      <c r="S5868">
        <v>3.033264</v>
      </c>
      <c r="T5868">
        <v>-0.1248749</v>
      </c>
      <c r="U5868">
        <v>0.16729740000000001</v>
      </c>
      <c r="V5868">
        <v>7.9954010000000006E-2</v>
      </c>
      <c r="W5868">
        <v>2.5013100000000001E-3</v>
      </c>
      <c r="X5868">
        <v>0.9967954</v>
      </c>
      <c r="Y5868">
        <v>-8.1153520000000007E-2</v>
      </c>
      <c r="Z5868">
        <v>2.7472880000000001E-3</v>
      </c>
      <c r="AA5868">
        <v>0.99669779999999997</v>
      </c>
      <c r="AB5868">
        <v>35</v>
      </c>
      <c r="AC5868">
        <v>26.590599999999899</v>
      </c>
      <c r="AD5868">
        <v>-1.10851470992899</v>
      </c>
      <c r="AE5868">
        <v>1.49430999999999</v>
      </c>
      <c r="AF5868">
        <v>-2.18754275834835</v>
      </c>
      <c r="AG5868">
        <v>-1.10851470992899</v>
      </c>
      <c r="AH5868">
        <v>26.496346718938401</v>
      </c>
      <c r="AI5868">
        <v>92.3875447774751</v>
      </c>
      <c r="AJ5868">
        <v>94.719645117000397</v>
      </c>
      <c r="AK5868">
        <v>26.609594841559101</v>
      </c>
      <c r="AL5868">
        <v>89.856685342134</v>
      </c>
      <c r="AM5868">
        <v>85.414063318643997</v>
      </c>
      <c r="AN5868">
        <v>0.99999998486397801</v>
      </c>
    </row>
    <row r="5869" spans="1:40" x14ac:dyDescent="0.25">
      <c r="A5869" t="str">
        <f>"20190312154952257"</f>
        <v>20190312154952257</v>
      </c>
      <c r="B5869" t="str">
        <f>"1552376992251846"</f>
        <v>1552376992251846</v>
      </c>
      <c r="C5869" t="s">
        <v>40</v>
      </c>
      <c r="D5869">
        <v>4.7190180000000002</v>
      </c>
      <c r="E5869">
        <v>0.43930350000000001</v>
      </c>
      <c r="F5869" t="s">
        <v>42</v>
      </c>
      <c r="G5869">
        <v>-326.62689999999998</v>
      </c>
      <c r="H5869" s="1">
        <v>-1.707247E-6</v>
      </c>
      <c r="I5869">
        <v>20.113530000000001</v>
      </c>
      <c r="J5869">
        <v>-353.00850000000003</v>
      </c>
      <c r="K5869">
        <v>1.108568</v>
      </c>
      <c r="L5869">
        <v>18.654450000000001</v>
      </c>
      <c r="M5869">
        <v>0.99958190000000002</v>
      </c>
      <c r="N5869">
        <v>0</v>
      </c>
      <c r="O5869">
        <v>-2.6747010000000002E-2</v>
      </c>
      <c r="P5869">
        <v>0.99425850000000005</v>
      </c>
      <c r="Q5869">
        <v>-8.2416260000000002E-3</v>
      </c>
      <c r="R5869">
        <v>-0.1066873</v>
      </c>
      <c r="S5869">
        <v>3.0337519999999998</v>
      </c>
      <c r="T5869">
        <v>-0.12638720000000001</v>
      </c>
      <c r="U5869">
        <v>0.16561890000000001</v>
      </c>
      <c r="V5869">
        <v>8.0059469999999994E-2</v>
      </c>
      <c r="W5869">
        <v>2.5442260000000001E-3</v>
      </c>
      <c r="X5869">
        <v>0.99678679999999997</v>
      </c>
      <c r="Y5869">
        <v>-8.1106979999999995E-2</v>
      </c>
      <c r="Z5869">
        <v>2.800636E-3</v>
      </c>
      <c r="AA5869">
        <v>0.99670150000000002</v>
      </c>
      <c r="AB5869">
        <v>35</v>
      </c>
      <c r="AC5869">
        <v>26.381599999999999</v>
      </c>
      <c r="AD5869">
        <v>-1.108569707247</v>
      </c>
      <c r="AE5869">
        <v>1.4590799999999899</v>
      </c>
      <c r="AF5869">
        <v>-2.1604263173946401</v>
      </c>
      <c r="AG5869">
        <v>-1.108569707247</v>
      </c>
      <c r="AH5869">
        <v>26.2868581679366</v>
      </c>
      <c r="AI5869">
        <v>92.406742357747106</v>
      </c>
      <c r="AJ5869">
        <v>94.698383114829696</v>
      </c>
      <c r="AK5869">
        <v>26.3987742330952</v>
      </c>
      <c r="AL5869">
        <v>89.854226424716998</v>
      </c>
      <c r="AM5869">
        <v>85.408000833475</v>
      </c>
      <c r="AN5869">
        <v>0.99999995823842902</v>
      </c>
    </row>
    <row r="5870" spans="1:40" x14ac:dyDescent="0.25">
      <c r="A5870" t="str">
        <f>"20190312154952275"</f>
        <v>20190312154952275</v>
      </c>
      <c r="B5870" t="str">
        <f>"1552376992271365"</f>
        <v>1552376992271365</v>
      </c>
      <c r="C5870" t="s">
        <v>40</v>
      </c>
      <c r="D5870">
        <v>4.6869100000000001</v>
      </c>
      <c r="E5870">
        <v>0.43887910000000002</v>
      </c>
      <c r="F5870" t="s">
        <v>42</v>
      </c>
      <c r="G5870">
        <v>-326.24270000000001</v>
      </c>
      <c r="H5870" s="1">
        <v>-1.891868E-6</v>
      </c>
      <c r="I5870">
        <v>20.124860000000002</v>
      </c>
      <c r="J5870">
        <v>-352.72460000000001</v>
      </c>
      <c r="K5870">
        <v>1.1086339999999999</v>
      </c>
      <c r="L5870">
        <v>18.646270000000001</v>
      </c>
      <c r="M5870">
        <v>0.99956129999999999</v>
      </c>
      <c r="N5870">
        <v>0</v>
      </c>
      <c r="O5870">
        <v>-2.7356459999999999E-2</v>
      </c>
      <c r="P5870">
        <v>0.9941643</v>
      </c>
      <c r="Q5870">
        <v>-8.3804039999999993E-3</v>
      </c>
      <c r="R5870">
        <v>-0.10755199999999999</v>
      </c>
      <c r="S5870">
        <v>3.0341800000000001</v>
      </c>
      <c r="T5870">
        <v>-0.1256679</v>
      </c>
      <c r="U5870">
        <v>0.166687</v>
      </c>
      <c r="V5870">
        <v>8.0318589999999995E-2</v>
      </c>
      <c r="W5870">
        <v>2.791703E-3</v>
      </c>
      <c r="X5870">
        <v>0.99676529999999997</v>
      </c>
      <c r="Y5870">
        <v>-8.2056660000000003E-2</v>
      </c>
      <c r="Z5870">
        <v>2.829158E-3</v>
      </c>
      <c r="AA5870">
        <v>0.99662360000000005</v>
      </c>
      <c r="AB5870">
        <v>35</v>
      </c>
      <c r="AC5870">
        <v>26.4819</v>
      </c>
      <c r="AD5870">
        <v>-1.1086358918679999</v>
      </c>
      <c r="AE5870">
        <v>1.4785900000000001</v>
      </c>
      <c r="AF5870">
        <v>-2.1986928381555302</v>
      </c>
      <c r="AG5870">
        <v>-1.1086358918679999</v>
      </c>
      <c r="AH5870">
        <v>26.385437002974399</v>
      </c>
      <c r="AI5870">
        <v>92.3976789561289</v>
      </c>
      <c r="AJ5870">
        <v>94.763439886507996</v>
      </c>
      <c r="AK5870">
        <v>26.5000869729747</v>
      </c>
      <c r="AL5870">
        <v>89.840046987301804</v>
      </c>
      <c r="AM5870">
        <v>85.393103326245694</v>
      </c>
      <c r="AN5870">
        <v>0.99999996639465805</v>
      </c>
    </row>
    <row r="5871" spans="1:40" x14ac:dyDescent="0.25">
      <c r="A5871" t="str">
        <f>"20190312154952297"</f>
        <v>20190312154952297</v>
      </c>
      <c r="B5871" t="str">
        <f>"1552376992291862"</f>
        <v>1552376992291862</v>
      </c>
      <c r="C5871" t="s">
        <v>40</v>
      </c>
      <c r="D5871">
        <v>4.6939979999999997</v>
      </c>
      <c r="E5871">
        <v>0.43246770000000001</v>
      </c>
      <c r="F5871" t="s">
        <v>42</v>
      </c>
      <c r="G5871">
        <v>-325.69619999999998</v>
      </c>
      <c r="H5871" s="1">
        <v>-2.1533950000000001E-6</v>
      </c>
      <c r="I5871">
        <v>20.136849999999999</v>
      </c>
      <c r="J5871">
        <v>-352.38010000000003</v>
      </c>
      <c r="K5871">
        <v>1.1087100000000001</v>
      </c>
      <c r="L5871">
        <v>18.636109999999999</v>
      </c>
      <c r="M5871">
        <v>0.99953760000000003</v>
      </c>
      <c r="N5871">
        <v>0</v>
      </c>
      <c r="O5871">
        <v>-2.8034590000000002E-2</v>
      </c>
      <c r="P5871">
        <v>0.99403269999999999</v>
      </c>
      <c r="Q5871">
        <v>-8.5775309999999994E-3</v>
      </c>
      <c r="R5871">
        <v>-0.1087471</v>
      </c>
      <c r="S5871">
        <v>3.0346679999999999</v>
      </c>
      <c r="T5871">
        <v>-0.1244745</v>
      </c>
      <c r="U5871">
        <v>0.16735839999999999</v>
      </c>
      <c r="V5871">
        <v>8.0840549999999997E-2</v>
      </c>
      <c r="W5871">
        <v>3.018677E-3</v>
      </c>
      <c r="X5871">
        <v>0.99672249999999996</v>
      </c>
      <c r="Y5871">
        <v>-8.2944439999999994E-2</v>
      </c>
      <c r="Z5871">
        <v>2.8478259999999999E-3</v>
      </c>
      <c r="AA5871">
        <v>0.99655009999999999</v>
      </c>
      <c r="AB5871">
        <v>35</v>
      </c>
      <c r="AC5871">
        <v>26.683900000000001</v>
      </c>
      <c r="AD5871">
        <v>-1.108712153395</v>
      </c>
      <c r="AE5871">
        <v>1.50073999999999</v>
      </c>
      <c r="AF5871">
        <v>-2.2444116055182599</v>
      </c>
      <c r="AG5871">
        <v>-1.108712153395</v>
      </c>
      <c r="AH5871">
        <v>26.585582613083801</v>
      </c>
      <c r="AI5871">
        <v>92.379596459660505</v>
      </c>
      <c r="AJ5871">
        <v>94.825589508900705</v>
      </c>
      <c r="AK5871">
        <v>26.703180128426201</v>
      </c>
      <c r="AL5871">
        <v>89.827042289741499</v>
      </c>
      <c r="AM5871">
        <v>85.363096741143096</v>
      </c>
      <c r="AN5871">
        <v>1.0000000244706899</v>
      </c>
    </row>
    <row r="5872" spans="1:40" x14ac:dyDescent="0.25">
      <c r="A5872" t="str">
        <f>"20190312154952333"</f>
        <v>20190312154952333</v>
      </c>
      <c r="B5872" t="str">
        <f>"1552376992321142"</f>
        <v>1552376992321142</v>
      </c>
      <c r="C5872" t="s">
        <v>40</v>
      </c>
      <c r="D5872">
        <v>4.6486320000000001</v>
      </c>
      <c r="E5872">
        <v>0.43270979999999998</v>
      </c>
      <c r="F5872" t="s">
        <v>43</v>
      </c>
      <c r="G5872">
        <v>-317.49020000000002</v>
      </c>
      <c r="H5872">
        <v>-0.05</v>
      </c>
      <c r="I5872">
        <v>21.083939999999998</v>
      </c>
      <c r="J5872">
        <v>-351.82499999999999</v>
      </c>
      <c r="K5872">
        <v>1.1088579999999999</v>
      </c>
      <c r="L5872">
        <v>18.61938</v>
      </c>
      <c r="M5872">
        <v>0.99950360000000005</v>
      </c>
      <c r="N5872">
        <v>0</v>
      </c>
      <c r="O5872">
        <v>-2.8983140000000001E-2</v>
      </c>
      <c r="P5872">
        <v>0.99386819999999998</v>
      </c>
      <c r="Q5872">
        <v>-8.7693479999999997E-3</v>
      </c>
      <c r="R5872">
        <v>-0.1102239</v>
      </c>
      <c r="S5872">
        <v>3.0404969999999998</v>
      </c>
      <c r="T5872">
        <v>-0.1009762</v>
      </c>
      <c r="U5872">
        <v>0.2133179</v>
      </c>
      <c r="V5872">
        <v>8.1375459999999997E-2</v>
      </c>
      <c r="W5872">
        <v>3.4177869999999998E-3</v>
      </c>
      <c r="X5872">
        <v>0.99667760000000005</v>
      </c>
      <c r="Y5872">
        <v>-9.8801589999999995E-2</v>
      </c>
      <c r="Z5872">
        <v>2.5994719999999998E-3</v>
      </c>
      <c r="AA5872">
        <v>0.99510379999999998</v>
      </c>
      <c r="AB5872">
        <v>35</v>
      </c>
      <c r="AC5872">
        <v>34.334799999999902</v>
      </c>
      <c r="AD5872">
        <v>-1.1588579999999999</v>
      </c>
      <c r="AE5872">
        <v>2.4645599999999899</v>
      </c>
      <c r="AF5872">
        <v>-3.4548152261774101</v>
      </c>
      <c r="AG5872">
        <v>-1.1588579999999999</v>
      </c>
      <c r="AH5872">
        <v>34.210165948496702</v>
      </c>
      <c r="AI5872">
        <v>91.930322803998394</v>
      </c>
      <c r="AJ5872">
        <v>95.766633711257697</v>
      </c>
      <c r="AK5872">
        <v>34.403693905376997</v>
      </c>
      <c r="AL5872">
        <v>89.804174837126098</v>
      </c>
      <c r="AM5872">
        <v>85.332340813745304</v>
      </c>
      <c r="AN5872">
        <v>0.99999994254997204</v>
      </c>
    </row>
    <row r="5873" spans="1:40" x14ac:dyDescent="0.25">
      <c r="A5873" t="str">
        <f>"20190312154952348"</f>
        <v>20190312154952348</v>
      </c>
      <c r="B5873" t="str">
        <f>"1552376992341170"</f>
        <v>1552376992341170</v>
      </c>
      <c r="C5873" t="s">
        <v>40</v>
      </c>
      <c r="D5873">
        <v>4.7286780000000004</v>
      </c>
      <c r="E5873">
        <v>0.43398229999999999</v>
      </c>
      <c r="F5873" t="s">
        <v>43</v>
      </c>
      <c r="G5873">
        <v>-317.40199999999999</v>
      </c>
      <c r="H5873">
        <v>-0.05</v>
      </c>
      <c r="I5873">
        <v>20.961120000000001</v>
      </c>
      <c r="J5873">
        <v>-351.60160000000002</v>
      </c>
      <c r="K5873">
        <v>1.108919</v>
      </c>
      <c r="L5873">
        <v>18.612580000000001</v>
      </c>
      <c r="M5873">
        <v>0.99949149999999998</v>
      </c>
      <c r="N5873">
        <v>0</v>
      </c>
      <c r="O5873">
        <v>-2.9315270000000001E-2</v>
      </c>
      <c r="P5873">
        <v>0.99381589999999997</v>
      </c>
      <c r="Q5873">
        <v>-8.9652299999999994E-3</v>
      </c>
      <c r="R5873">
        <v>-0.1106786</v>
      </c>
      <c r="S5873">
        <v>3.040619</v>
      </c>
      <c r="T5873">
        <v>-0.1023631</v>
      </c>
      <c r="U5873">
        <v>0.20684810000000001</v>
      </c>
      <c r="V5873">
        <v>8.1499959999999996E-2</v>
      </c>
      <c r="W5873">
        <v>3.4316160000000002E-3</v>
      </c>
      <c r="X5873">
        <v>0.99666739999999998</v>
      </c>
      <c r="Y5873">
        <v>-9.7020980000000007E-2</v>
      </c>
      <c r="Z5873">
        <v>2.616476E-3</v>
      </c>
      <c r="AA5873">
        <v>0.99527889999999997</v>
      </c>
      <c r="AB5873">
        <v>35</v>
      </c>
      <c r="AC5873">
        <v>34.199599999999997</v>
      </c>
      <c r="AD5873">
        <v>-1.158919</v>
      </c>
      <c r="AE5873">
        <v>2.3485399999999998</v>
      </c>
      <c r="AF5873">
        <v>-3.3463552109289698</v>
      </c>
      <c r="AG5873">
        <v>-1.158919</v>
      </c>
      <c r="AH5873">
        <v>34.077097863328703</v>
      </c>
      <c r="AI5873">
        <v>91.938489307780898</v>
      </c>
      <c r="AJ5873">
        <v>95.608437443679406</v>
      </c>
      <c r="AK5873">
        <v>34.260615657532398</v>
      </c>
      <c r="AL5873">
        <v>89.8033824930896</v>
      </c>
      <c r="AM5873">
        <v>85.325183547114605</v>
      </c>
      <c r="AN5873">
        <v>0.99999996284556503</v>
      </c>
    </row>
    <row r="5874" spans="1:40" x14ac:dyDescent="0.25">
      <c r="A5874" t="str">
        <f>"20190312154952363"</f>
        <v>20190312154952363</v>
      </c>
      <c r="B5874" t="str">
        <f>"1552376992351905"</f>
        <v>1552376992351905</v>
      </c>
      <c r="C5874" t="s">
        <v>40</v>
      </c>
      <c r="D5874">
        <v>4.6292450000000001</v>
      </c>
      <c r="E5874">
        <v>0.43416169999999998</v>
      </c>
      <c r="F5874" t="s">
        <v>42</v>
      </c>
      <c r="G5874">
        <v>-325.6558</v>
      </c>
      <c r="H5874" s="1">
        <v>-2.2135230000000001E-6</v>
      </c>
      <c r="I5874">
        <v>20.291039999999999</v>
      </c>
      <c r="J5874">
        <v>-351.33940000000001</v>
      </c>
      <c r="K5874">
        <v>1.1089899999999999</v>
      </c>
      <c r="L5874">
        <v>18.604489999999998</v>
      </c>
      <c r="M5874">
        <v>0.99947859999999999</v>
      </c>
      <c r="N5874">
        <v>0</v>
      </c>
      <c r="O5874">
        <v>-2.9658279999999999E-2</v>
      </c>
      <c r="P5874">
        <v>0.99375959999999997</v>
      </c>
      <c r="Q5874">
        <v>-8.4797220000000003E-3</v>
      </c>
      <c r="R5874">
        <v>-0.111223</v>
      </c>
      <c r="S5874">
        <v>3.0394290000000002</v>
      </c>
      <c r="T5874">
        <v>-0.1299052</v>
      </c>
      <c r="U5874">
        <v>0.19662479999999999</v>
      </c>
      <c r="V5874">
        <v>8.1704109999999996E-2</v>
      </c>
      <c r="W5874">
        <v>4.1406669999999998E-3</v>
      </c>
      <c r="X5874">
        <v>0.99664799999999998</v>
      </c>
      <c r="Y5874">
        <v>-9.4014349999999997E-2</v>
      </c>
      <c r="Z5874">
        <v>3.2720399999999999E-3</v>
      </c>
      <c r="AA5874">
        <v>0.99556549999999999</v>
      </c>
      <c r="AB5874">
        <v>35</v>
      </c>
      <c r="AC5874">
        <v>25.683599999999998</v>
      </c>
      <c r="AD5874">
        <v>-1.1089922135229999</v>
      </c>
      <c r="AE5874">
        <v>1.68655</v>
      </c>
      <c r="AF5874">
        <v>-2.4430660565710398</v>
      </c>
      <c r="AG5874">
        <v>-1.1089922135229999</v>
      </c>
      <c r="AH5874">
        <v>25.574798008331499</v>
      </c>
      <c r="AI5874">
        <v>92.471706212997404</v>
      </c>
      <c r="AJ5874">
        <v>95.456696580918603</v>
      </c>
      <c r="AK5874">
        <v>25.715145899904702</v>
      </c>
      <c r="AL5874">
        <v>89.762756571792806</v>
      </c>
      <c r="AM5874">
        <v>85.313434833865799</v>
      </c>
      <c r="AN5874">
        <v>0.99999997130904805</v>
      </c>
    </row>
    <row r="5875" spans="1:40" x14ac:dyDescent="0.25">
      <c r="A5875" t="str">
        <f>"20190312154952377"</f>
        <v>20190312154952377</v>
      </c>
      <c r="B5875" t="str">
        <f>"1552376992371425"</f>
        <v>1552376992371425</v>
      </c>
      <c r="C5875" t="s">
        <v>40</v>
      </c>
      <c r="D5875">
        <v>5.0613029999999997</v>
      </c>
      <c r="E5875">
        <v>0.46543020000000002</v>
      </c>
      <c r="F5875" t="s">
        <v>42</v>
      </c>
      <c r="G5875">
        <v>-323.23289999999997</v>
      </c>
      <c r="H5875" s="1">
        <v>-3.3850900000000001E-6</v>
      </c>
      <c r="I5875">
        <v>20.389710000000001</v>
      </c>
      <c r="J5875">
        <v>-351.13069999999999</v>
      </c>
      <c r="K5875">
        <v>1.1090469999999999</v>
      </c>
      <c r="L5875">
        <v>18.598050000000001</v>
      </c>
      <c r="M5875">
        <v>0.99946959999999996</v>
      </c>
      <c r="N5875">
        <v>0</v>
      </c>
      <c r="O5875">
        <v>-2.9888609999999999E-2</v>
      </c>
      <c r="P5875">
        <v>0.99369289999999999</v>
      </c>
      <c r="Q5875">
        <v>-8.482758E-3</v>
      </c>
      <c r="R5875">
        <v>-0.1118128</v>
      </c>
      <c r="S5875">
        <v>3.0394290000000002</v>
      </c>
      <c r="T5875">
        <v>-0.11992650000000001</v>
      </c>
      <c r="U5875">
        <v>0.19305420000000001</v>
      </c>
      <c r="V5875">
        <v>8.2065620000000006E-2</v>
      </c>
      <c r="W5875">
        <v>4.298021E-3</v>
      </c>
      <c r="X5875">
        <v>0.99661770000000005</v>
      </c>
      <c r="Y5875">
        <v>-9.3096189999999995E-2</v>
      </c>
      <c r="Z5875">
        <v>3.0119980000000001E-3</v>
      </c>
      <c r="AA5875">
        <v>0.9956526</v>
      </c>
      <c r="AB5875">
        <v>35</v>
      </c>
      <c r="AC5875">
        <v>27.8978</v>
      </c>
      <c r="AD5875">
        <v>-1.10905038509</v>
      </c>
      <c r="AE5875">
        <v>1.79166</v>
      </c>
      <c r="AF5875">
        <v>-2.6206310011868301</v>
      </c>
      <c r="AG5875">
        <v>-1.10905038509</v>
      </c>
      <c r="AH5875">
        <v>27.788044074811101</v>
      </c>
      <c r="AI5875">
        <v>92.275436712143204</v>
      </c>
      <c r="AJ5875">
        <v>95.387508006331799</v>
      </c>
      <c r="AK5875">
        <v>27.9333688105229</v>
      </c>
      <c r="AL5875">
        <v>89.753740787964801</v>
      </c>
      <c r="AM5875">
        <v>85.292649052763295</v>
      </c>
      <c r="AN5875">
        <v>1.00000003946189</v>
      </c>
    </row>
    <row r="5876" spans="1:40" x14ac:dyDescent="0.25">
      <c r="A5876" t="str">
        <f>"20190312154952390"</f>
        <v>20190312154952390</v>
      </c>
      <c r="B5876" t="str">
        <f>"1552376992381185"</f>
        <v>1552376992381185</v>
      </c>
      <c r="C5876" t="s">
        <v>40</v>
      </c>
      <c r="D5876">
        <v>4.814781</v>
      </c>
      <c r="E5876">
        <v>0.46543020000000002</v>
      </c>
      <c r="F5876" t="s">
        <v>42</v>
      </c>
      <c r="G5876">
        <v>-332.30520000000001</v>
      </c>
      <c r="H5876" s="1">
        <v>-3.5239799999999999E-6</v>
      </c>
      <c r="I5876">
        <v>18.259730000000001</v>
      </c>
      <c r="J5876">
        <v>-350.9246</v>
      </c>
      <c r="K5876">
        <v>1.1091</v>
      </c>
      <c r="L5876">
        <v>18.591640000000002</v>
      </c>
      <c r="M5876">
        <v>0.99946190000000001</v>
      </c>
      <c r="N5876">
        <v>0</v>
      </c>
      <c r="O5876">
        <v>-3.0089879999999999E-2</v>
      </c>
      <c r="P5876">
        <v>0.99364620000000003</v>
      </c>
      <c r="Q5876">
        <v>-8.5133280000000006E-3</v>
      </c>
      <c r="R5876">
        <v>-0.1122272</v>
      </c>
      <c r="S5876">
        <v>3.011444</v>
      </c>
      <c r="T5876">
        <v>-0.17741009999999999</v>
      </c>
      <c r="U5876">
        <v>-5.4107669999999997E-2</v>
      </c>
      <c r="V5876">
        <v>8.228017E-2</v>
      </c>
      <c r="W5876">
        <v>4.4177069999999999E-3</v>
      </c>
      <c r="X5876">
        <v>0.99659940000000002</v>
      </c>
      <c r="Y5876">
        <v>-1.205824E-2</v>
      </c>
      <c r="Z5876">
        <v>2.1256579999999999E-3</v>
      </c>
      <c r="AA5876">
        <v>0.99992499999999995</v>
      </c>
      <c r="AB5876">
        <v>35</v>
      </c>
      <c r="AC5876">
        <v>18.619399999999899</v>
      </c>
      <c r="AD5876">
        <v>-1.10910352397999</v>
      </c>
      <c r="AE5876">
        <v>-0.33190999999999998</v>
      </c>
      <c r="AF5876">
        <v>-0.22773579348769599</v>
      </c>
      <c r="AG5876">
        <v>-1.10910352397999</v>
      </c>
      <c r="AH5876">
        <v>18.555138483588198</v>
      </c>
      <c r="AI5876">
        <v>93.420435946889796</v>
      </c>
      <c r="AJ5876">
        <v>90.703182285180006</v>
      </c>
      <c r="AK5876">
        <v>18.589651378217901</v>
      </c>
      <c r="AL5876">
        <v>89.746883198638002</v>
      </c>
      <c r="AM5876">
        <v>85.280311539857806</v>
      </c>
      <c r="AN5876">
        <v>0.99999995329536195</v>
      </c>
    </row>
    <row r="5877" spans="1:40" x14ac:dyDescent="0.25">
      <c r="A5877" t="str">
        <f>"20190312154952408"</f>
        <v>20190312154952408</v>
      </c>
      <c r="B5877" t="str">
        <f>"1552376992401682"</f>
        <v>1552376992401682</v>
      </c>
      <c r="C5877" t="s">
        <v>40</v>
      </c>
      <c r="D5877">
        <v>4.7848870000000003</v>
      </c>
      <c r="E5877">
        <v>0.51030370000000003</v>
      </c>
      <c r="F5877" t="s">
        <v>42</v>
      </c>
      <c r="G5877">
        <v>-332.09879999999998</v>
      </c>
      <c r="H5877" s="1">
        <v>-3.6149950000000002E-6</v>
      </c>
      <c r="I5877">
        <v>18.24568</v>
      </c>
      <c r="J5877">
        <v>-350.64550000000003</v>
      </c>
      <c r="K5877">
        <v>1.1091799999999901</v>
      </c>
      <c r="L5877">
        <v>18.582979999999999</v>
      </c>
      <c r="M5877">
        <v>0.99945320000000004</v>
      </c>
      <c r="N5877">
        <v>0</v>
      </c>
      <c r="O5877">
        <v>-3.0303859999999998E-2</v>
      </c>
      <c r="P5877">
        <v>0.99351579999999995</v>
      </c>
      <c r="Q5877">
        <v>-8.7322800000000003E-3</v>
      </c>
      <c r="R5877">
        <v>-0.1133593</v>
      </c>
      <c r="S5877">
        <v>3.011444</v>
      </c>
      <c r="T5877">
        <v>-0.17741699999999999</v>
      </c>
      <c r="U5877">
        <v>-5.5328370000000002E-2</v>
      </c>
      <c r="V5877">
        <v>8.3201349999999993E-2</v>
      </c>
      <c r="W5877">
        <v>4.3843290000000002E-3</v>
      </c>
      <c r="X5877">
        <v>0.9965231</v>
      </c>
      <c r="Y5877">
        <v>-1.186716E-2</v>
      </c>
      <c r="Z5877">
        <v>2.1327009999999999E-3</v>
      </c>
      <c r="AA5877">
        <v>0.99992729999999996</v>
      </c>
      <c r="AB5877">
        <v>35</v>
      </c>
      <c r="AC5877">
        <v>18.546700000000001</v>
      </c>
      <c r="AD5877">
        <v>-1.1091836149949901</v>
      </c>
      <c r="AE5877">
        <v>-0.33729999999999899</v>
      </c>
      <c r="AF5877">
        <v>-0.224139318919549</v>
      </c>
      <c r="AG5877">
        <v>-1.1091836149949901</v>
      </c>
      <c r="AH5877">
        <v>18.4823204985654</v>
      </c>
      <c r="AI5877">
        <v>93.434133331041195</v>
      </c>
      <c r="AJ5877">
        <v>90.694804934572005</v>
      </c>
      <c r="AK5877">
        <v>18.5169300300496</v>
      </c>
      <c r="AL5877">
        <v>89.748795644471898</v>
      </c>
      <c r="AM5877">
        <v>85.227350558369096</v>
      </c>
      <c r="AN5877">
        <v>0.99999998790810596</v>
      </c>
    </row>
    <row r="5878" spans="1:40" x14ac:dyDescent="0.25">
      <c r="A5878" t="str">
        <f>"20190312154952422"</f>
        <v>20190312154952422</v>
      </c>
      <c r="B5878" t="str">
        <f>"1552376992411442"</f>
        <v>1552376992411442</v>
      </c>
      <c r="C5878" t="s">
        <v>40</v>
      </c>
      <c r="D5878">
        <v>5.0164279999999897</v>
      </c>
      <c r="E5878">
        <v>0.51424380000000003</v>
      </c>
      <c r="F5878" t="s">
        <v>42</v>
      </c>
      <c r="G5878">
        <v>-327.8974</v>
      </c>
      <c r="H5878" s="1">
        <v>-1.9146229999999998E-6</v>
      </c>
      <c r="I5878">
        <v>15.395829999999901</v>
      </c>
      <c r="J5878">
        <v>-350.42939999999999</v>
      </c>
      <c r="K5878">
        <v>1.1092470000000001</v>
      </c>
      <c r="L5878">
        <v>18.57629</v>
      </c>
      <c r="M5878">
        <v>0.9994478</v>
      </c>
      <c r="N5878">
        <v>0</v>
      </c>
      <c r="O5878">
        <v>-3.042402E-2</v>
      </c>
      <c r="P5878">
        <v>0.99344860000000001</v>
      </c>
      <c r="Q5878">
        <v>-8.6693150000000004E-3</v>
      </c>
      <c r="R5878">
        <v>-0.1139527</v>
      </c>
      <c r="S5878">
        <v>2.970825</v>
      </c>
      <c r="T5878">
        <v>-0.14485490000000001</v>
      </c>
      <c r="U5878">
        <v>-0.41622920000000002</v>
      </c>
      <c r="V5878">
        <v>8.3676139999999996E-2</v>
      </c>
      <c r="W5878">
        <v>4.5779230000000002E-3</v>
      </c>
      <c r="X5878">
        <v>0.99648250000000005</v>
      </c>
      <c r="Y5878">
        <v>0.1084629</v>
      </c>
      <c r="Z5878">
        <v>-1.155334E-3</v>
      </c>
      <c r="AA5878">
        <v>0.99409979999999998</v>
      </c>
      <c r="AB5878">
        <v>35</v>
      </c>
      <c r="AC5878">
        <v>22.531999999999901</v>
      </c>
      <c r="AD5878">
        <v>-1.10924891462299</v>
      </c>
      <c r="AE5878">
        <v>-3.1804600000000001</v>
      </c>
      <c r="AF5878">
        <v>2.4875013410464502</v>
      </c>
      <c r="AG5878">
        <v>-1.10924891462299</v>
      </c>
      <c r="AH5878">
        <v>22.564719459653201</v>
      </c>
      <c r="AI5878">
        <v>92.797392766409502</v>
      </c>
      <c r="AJ5878">
        <v>83.709198895748997</v>
      </c>
      <c r="AK5878">
        <v>22.728498858682901</v>
      </c>
      <c r="AL5878">
        <v>89.737703420471206</v>
      </c>
      <c r="AM5878">
        <v>85.200047585721904</v>
      </c>
      <c r="AN5878">
        <v>1.00000001329527</v>
      </c>
    </row>
    <row r="5879" spans="1:40" x14ac:dyDescent="0.25">
      <c r="A5879" t="str">
        <f>"20190312154952441"</f>
        <v>20190312154952441</v>
      </c>
      <c r="B5879" t="str">
        <f>"1552376992431937"</f>
        <v>1552376992431937</v>
      </c>
      <c r="C5879" t="s">
        <v>40</v>
      </c>
      <c r="D5879">
        <v>4.7348739999999996</v>
      </c>
      <c r="E5879">
        <v>0.5148258</v>
      </c>
      <c r="F5879" t="s">
        <v>42</v>
      </c>
      <c r="G5879">
        <v>-326.49110000000002</v>
      </c>
      <c r="H5879" s="1">
        <v>-2.5735290000000002E-6</v>
      </c>
      <c r="I5879">
        <v>14.948980000000001</v>
      </c>
      <c r="J5879">
        <v>-350.13319999999999</v>
      </c>
      <c r="K5879">
        <v>1.109332</v>
      </c>
      <c r="L5879">
        <v>18.567139999999998</v>
      </c>
      <c r="M5879">
        <v>0.99944230000000001</v>
      </c>
      <c r="N5879">
        <v>0</v>
      </c>
      <c r="O5879">
        <v>-3.053848E-2</v>
      </c>
      <c r="P5879">
        <v>0.9933459</v>
      </c>
      <c r="Q5879">
        <v>-8.5468550000000008E-3</v>
      </c>
      <c r="R5879">
        <v>-0.1148523</v>
      </c>
      <c r="S5879">
        <v>2.9670100000000001</v>
      </c>
      <c r="T5879">
        <v>-0.13748529999999901</v>
      </c>
      <c r="U5879">
        <v>-0.44958500000000001</v>
      </c>
      <c r="V5879">
        <v>8.4463800000000006E-2</v>
      </c>
      <c r="W5879">
        <v>4.8621139999999998E-3</v>
      </c>
      <c r="X5879">
        <v>0.99641469999999999</v>
      </c>
      <c r="Y5879">
        <v>0.1194581</v>
      </c>
      <c r="Z5879">
        <v>-1.34509E-3</v>
      </c>
      <c r="AA5879">
        <v>0.99283829999999995</v>
      </c>
      <c r="AB5879">
        <v>35</v>
      </c>
      <c r="AC5879">
        <v>23.6420999999999</v>
      </c>
      <c r="AD5879">
        <v>-1.1093345735289999</v>
      </c>
      <c r="AE5879">
        <v>-3.61816</v>
      </c>
      <c r="AF5879">
        <v>2.8881991167352798</v>
      </c>
      <c r="AG5879">
        <v>-1.1093345735289999</v>
      </c>
      <c r="AH5879">
        <v>23.6906089669084</v>
      </c>
      <c r="AI5879">
        <v>92.661293670535798</v>
      </c>
      <c r="AJ5879">
        <v>83.049186194654297</v>
      </c>
      <c r="AK5879">
        <v>23.891782490155499</v>
      </c>
      <c r="AL5879">
        <v>89.721420294575594</v>
      </c>
      <c r="AM5879">
        <v>85.154750668990303</v>
      </c>
      <c r="AN5879">
        <v>1.00000001401953</v>
      </c>
    </row>
    <row r="5880" spans="1:40" x14ac:dyDescent="0.25">
      <c r="A5880" t="str">
        <f>"20190312154952454"</f>
        <v>20190312154952454</v>
      </c>
      <c r="B5880" t="str">
        <f>"1552376992441698"</f>
        <v>1552376992441698</v>
      </c>
      <c r="C5880" t="s">
        <v>40</v>
      </c>
      <c r="D5880">
        <v>4.7236799999999999</v>
      </c>
      <c r="E5880">
        <v>0.51492689999999997</v>
      </c>
      <c r="F5880" t="s">
        <v>42</v>
      </c>
      <c r="G5880">
        <v>-323.53649999999999</v>
      </c>
      <c r="H5880" s="1">
        <v>-3.9495650000000004E-6</v>
      </c>
      <c r="I5880">
        <v>14.464930000000001</v>
      </c>
      <c r="J5880">
        <v>-349.93430000000001</v>
      </c>
      <c r="K5880">
        <v>1.109389</v>
      </c>
      <c r="L5880">
        <v>18.560939999999999</v>
      </c>
      <c r="M5880">
        <v>0.99944</v>
      </c>
      <c r="N5880">
        <v>0</v>
      </c>
      <c r="O5880">
        <v>-3.0577989999999999E-2</v>
      </c>
      <c r="P5880">
        <v>0.99328209999999995</v>
      </c>
      <c r="Q5880">
        <v>-8.6023980000000007E-3</v>
      </c>
      <c r="R5880">
        <v>-0.115398</v>
      </c>
      <c r="S5880">
        <v>2.9661249999999999</v>
      </c>
      <c r="T5880">
        <v>-0.1237158</v>
      </c>
      <c r="U5880">
        <v>-0.45748899999999998</v>
      </c>
      <c r="V5880">
        <v>8.4971340000000006E-2</v>
      </c>
      <c r="W5880">
        <v>4.9040759999999899E-3</v>
      </c>
      <c r="X5880">
        <v>0.99637129999999996</v>
      </c>
      <c r="Y5880">
        <v>0.12206309999999999</v>
      </c>
      <c r="Z5880">
        <v>-1.262972E-3</v>
      </c>
      <c r="AA5880">
        <v>0.99252149999999995</v>
      </c>
      <c r="AB5880">
        <v>35</v>
      </c>
      <c r="AC5880">
        <v>26.3978</v>
      </c>
      <c r="AD5880">
        <v>-1.1093929495649999</v>
      </c>
      <c r="AE5880">
        <v>-4.0960099999999997</v>
      </c>
      <c r="AF5880">
        <v>3.2811691819973201</v>
      </c>
      <c r="AG5880">
        <v>-1.1093929495649999</v>
      </c>
      <c r="AH5880">
        <v>26.465069797726201</v>
      </c>
      <c r="AI5880">
        <v>92.382166977454602</v>
      </c>
      <c r="AJ5880">
        <v>82.932469848752802</v>
      </c>
      <c r="AK5880">
        <v>26.6907613850926</v>
      </c>
      <c r="AL5880">
        <v>89.719016008925095</v>
      </c>
      <c r="AM5880">
        <v>85.125564300834597</v>
      </c>
      <c r="AN5880">
        <v>0.99999997302324894</v>
      </c>
    </row>
    <row r="5881" spans="1:40" x14ac:dyDescent="0.25">
      <c r="A5881" t="str">
        <f>"20190312154952467"</f>
        <v>20190312154952467</v>
      </c>
      <c r="B5881" t="str">
        <f>"1552376992451457"</f>
        <v>1552376992451457</v>
      </c>
      <c r="C5881" t="s">
        <v>40</v>
      </c>
      <c r="D5881">
        <v>4.7417959999999999</v>
      </c>
      <c r="E5881">
        <v>0.51495449999999998</v>
      </c>
      <c r="F5881" t="s">
        <v>42</v>
      </c>
      <c r="G5881">
        <v>-323.78730000000002</v>
      </c>
      <c r="H5881" s="1">
        <v>-3.8235209999999998E-6</v>
      </c>
      <c r="I5881">
        <v>14.50719</v>
      </c>
      <c r="J5881">
        <v>-349.74610000000001</v>
      </c>
      <c r="K5881">
        <v>1.1094409999999999</v>
      </c>
      <c r="L5881">
        <v>18.555150000000001</v>
      </c>
      <c r="M5881">
        <v>0.99943820000000005</v>
      </c>
      <c r="N5881">
        <v>0</v>
      </c>
      <c r="O5881">
        <v>-3.0598170000000001E-2</v>
      </c>
      <c r="P5881">
        <v>0.9932261</v>
      </c>
      <c r="Q5881">
        <v>-8.6025449999999996E-3</v>
      </c>
      <c r="R5881">
        <v>-0.1158795</v>
      </c>
      <c r="S5881">
        <v>2.9657900000000001</v>
      </c>
      <c r="T5881">
        <v>-0.1258359</v>
      </c>
      <c r="U5881">
        <v>-0.4598083</v>
      </c>
      <c r="V5881">
        <v>8.5433659999999995E-2</v>
      </c>
      <c r="W5881">
        <v>4.9922889999999996E-3</v>
      </c>
      <c r="X5881">
        <v>0.99633130000000003</v>
      </c>
      <c r="Y5881">
        <v>0.1228146</v>
      </c>
      <c r="Z5881">
        <v>-1.299658E-3</v>
      </c>
      <c r="AA5881">
        <v>0.9924288</v>
      </c>
      <c r="AB5881">
        <v>35</v>
      </c>
      <c r="AC5881">
        <v>25.9588</v>
      </c>
      <c r="AD5881">
        <v>-1.1094448235209999</v>
      </c>
      <c r="AE5881">
        <v>-4.0479599999999998</v>
      </c>
      <c r="AF5881">
        <v>3.2459099756331402</v>
      </c>
      <c r="AG5881">
        <v>-1.1094448235209999</v>
      </c>
      <c r="AH5881">
        <v>26.024107660934298</v>
      </c>
      <c r="AI5881">
        <v>92.422375730704999</v>
      </c>
      <c r="AJ5881">
        <v>82.8903828903305</v>
      </c>
      <c r="AK5881">
        <v>26.249209110642798</v>
      </c>
      <c r="AL5881">
        <v>89.713961706664406</v>
      </c>
      <c r="AM5881">
        <v>85.098976042510799</v>
      </c>
      <c r="AN5881">
        <v>0.99999994628507105</v>
      </c>
    </row>
    <row r="5882" spans="1:40" x14ac:dyDescent="0.25">
      <c r="A5882" t="str">
        <f>"20190312154952479"</f>
        <v>20190312154952479</v>
      </c>
      <c r="B5882" t="str">
        <f>"1552376992471953"</f>
        <v>1552376992471953</v>
      </c>
      <c r="C5882" t="s">
        <v>40</v>
      </c>
      <c r="D5882">
        <v>4.7540089999999999</v>
      </c>
      <c r="E5882">
        <v>0.5149937</v>
      </c>
      <c r="F5882" t="s">
        <v>42</v>
      </c>
      <c r="G5882">
        <v>-324.14589999999998</v>
      </c>
      <c r="H5882" s="1">
        <v>-3.6423729999999999E-6</v>
      </c>
      <c r="I5882">
        <v>14.57288</v>
      </c>
      <c r="J5882">
        <v>-349.54070000000002</v>
      </c>
      <c r="K5882">
        <v>1.109499</v>
      </c>
      <c r="L5882">
        <v>18.548860000000001</v>
      </c>
      <c r="M5882">
        <v>0.99943789999999999</v>
      </c>
      <c r="N5882">
        <v>0</v>
      </c>
      <c r="O5882">
        <v>-3.0573920000000001E-2</v>
      </c>
      <c r="P5882">
        <v>0.99318499999999998</v>
      </c>
      <c r="Q5882">
        <v>-8.4460279999999995E-3</v>
      </c>
      <c r="R5882">
        <v>-0.1162424</v>
      </c>
      <c r="S5882">
        <v>2.9655149999999999</v>
      </c>
      <c r="T5882">
        <v>-0.12851750000000001</v>
      </c>
      <c r="U5882">
        <v>-0.46130369999999998</v>
      </c>
      <c r="V5882">
        <v>8.5821330000000001E-2</v>
      </c>
      <c r="W5882">
        <v>5.235951E-3</v>
      </c>
      <c r="X5882">
        <v>0.99629679999999998</v>
      </c>
      <c r="Y5882">
        <v>0.12333719999999999</v>
      </c>
      <c r="Z5882">
        <v>-1.3396949999999999E-3</v>
      </c>
      <c r="AA5882">
        <v>0.99236389999999997</v>
      </c>
      <c r="AB5882">
        <v>35</v>
      </c>
      <c r="AC5882">
        <v>25.3948</v>
      </c>
      <c r="AD5882">
        <v>-1.1095026423729999</v>
      </c>
      <c r="AE5882">
        <v>-3.9759799999999998</v>
      </c>
      <c r="AF5882">
        <v>3.1916822925846899</v>
      </c>
      <c r="AG5882">
        <v>-1.1095026423729999</v>
      </c>
      <c r="AH5882">
        <v>25.457068163524202</v>
      </c>
      <c r="AI5882">
        <v>92.476197675169999</v>
      </c>
      <c r="AJ5882">
        <v>82.853824008596405</v>
      </c>
      <c r="AK5882">
        <v>25.6803456256443</v>
      </c>
      <c r="AL5882">
        <v>89.700000739629701</v>
      </c>
      <c r="AM5882">
        <v>85.076676214210806</v>
      </c>
      <c r="AN5882">
        <v>1.0000000147780399</v>
      </c>
    </row>
    <row r="5883" spans="1:40" x14ac:dyDescent="0.25">
      <c r="A5883" t="str">
        <f>"20190312154952493"</f>
        <v>20190312154952493</v>
      </c>
      <c r="B5883" t="str">
        <f>"1552376992481714"</f>
        <v>1552376992481714</v>
      </c>
      <c r="C5883" t="s">
        <v>40</v>
      </c>
      <c r="D5883">
        <v>4.740418</v>
      </c>
      <c r="E5883">
        <v>0.51505570000000001</v>
      </c>
      <c r="F5883" t="s">
        <v>42</v>
      </c>
      <c r="G5883">
        <v>-323.08690000000001</v>
      </c>
      <c r="H5883" s="1">
        <v>-4.1701430000000002E-6</v>
      </c>
      <c r="I5883">
        <v>14.41967</v>
      </c>
      <c r="J5883">
        <v>-349.33929999999998</v>
      </c>
      <c r="K5883">
        <v>1.109556</v>
      </c>
      <c r="L5883">
        <v>18.542719999999999</v>
      </c>
      <c r="M5883">
        <v>0.99943850000000001</v>
      </c>
      <c r="N5883">
        <v>0</v>
      </c>
      <c r="O5883">
        <v>-3.052208E-2</v>
      </c>
      <c r="P5883">
        <v>0.99314610000000003</v>
      </c>
      <c r="Q5883">
        <v>-8.1259939999999992E-3</v>
      </c>
      <c r="R5883">
        <v>-0.11659890000000001</v>
      </c>
      <c r="S5883">
        <v>2.9653320000000001</v>
      </c>
      <c r="T5883">
        <v>-0.1243693</v>
      </c>
      <c r="U5883">
        <v>-0.4628601</v>
      </c>
      <c r="V5883">
        <v>8.622966E-2</v>
      </c>
      <c r="W5883">
        <v>5.6364869999999999E-3</v>
      </c>
      <c r="X5883">
        <v>0.99625929999999996</v>
      </c>
      <c r="Y5883">
        <v>0.1239113</v>
      </c>
      <c r="Z5883">
        <v>-1.310638E-3</v>
      </c>
      <c r="AA5883">
        <v>0.99229239999999996</v>
      </c>
      <c r="AB5883">
        <v>35</v>
      </c>
      <c r="AC5883">
        <v>26.252399999999898</v>
      </c>
      <c r="AD5883">
        <v>-1.109560170143</v>
      </c>
      <c r="AE5883">
        <v>-4.1230500000000001</v>
      </c>
      <c r="AF5883">
        <v>3.3139968396184099</v>
      </c>
      <c r="AG5883">
        <v>-1.109560170143</v>
      </c>
      <c r="AH5883">
        <v>26.320137695764998</v>
      </c>
      <c r="AI5883">
        <v>92.395061718890304</v>
      </c>
      <c r="AJ5883">
        <v>82.823591746185599</v>
      </c>
      <c r="AK5883">
        <v>26.551145872602198</v>
      </c>
      <c r="AL5883">
        <v>89.677051360203393</v>
      </c>
      <c r="AM5883">
        <v>85.053182175560394</v>
      </c>
      <c r="AN5883">
        <v>0.99999995854295198</v>
      </c>
    </row>
    <row r="5884" spans="1:40" x14ac:dyDescent="0.25">
      <c r="A5884" t="str">
        <f>"20190312154952509"</f>
        <v>20190312154952509</v>
      </c>
      <c r="B5884" t="str">
        <f>"1552376992501234"</f>
        <v>1552376992501234</v>
      </c>
      <c r="C5884" t="s">
        <v>40</v>
      </c>
      <c r="D5884">
        <v>4.725956</v>
      </c>
      <c r="E5884">
        <v>0.51524159999999997</v>
      </c>
      <c r="F5884" t="s">
        <v>42</v>
      </c>
      <c r="G5884">
        <v>-322.27280000000002</v>
      </c>
      <c r="H5884" s="1">
        <v>-4.575742E-6</v>
      </c>
      <c r="I5884">
        <v>14.3026</v>
      </c>
      <c r="J5884">
        <v>-349.09100000000001</v>
      </c>
      <c r="K5884">
        <v>1.109629</v>
      </c>
      <c r="L5884">
        <v>18.53519</v>
      </c>
      <c r="M5884">
        <v>0.99944069999999996</v>
      </c>
      <c r="N5884">
        <v>0</v>
      </c>
      <c r="O5884">
        <v>-3.0418239999999999E-2</v>
      </c>
      <c r="P5884">
        <v>0.99303719999999995</v>
      </c>
      <c r="Q5884">
        <v>-7.5166240000000004E-3</v>
      </c>
      <c r="R5884">
        <v>-0.1175615</v>
      </c>
      <c r="S5884">
        <v>2.9651489999999998</v>
      </c>
      <c r="T5884">
        <v>-0.1215528</v>
      </c>
      <c r="U5884">
        <v>-0.46450809999999998</v>
      </c>
      <c r="V5884">
        <v>8.7298180000000003E-2</v>
      </c>
      <c r="W5884">
        <v>6.3369489999999997E-3</v>
      </c>
      <c r="X5884">
        <v>0.99616210000000005</v>
      </c>
      <c r="Y5884">
        <v>0.124565</v>
      </c>
      <c r="Z5884">
        <v>-1.2985410000000001E-3</v>
      </c>
      <c r="AA5884">
        <v>0.99221060000000005</v>
      </c>
      <c r="AB5884">
        <v>35</v>
      </c>
      <c r="AC5884">
        <v>26.818199999999901</v>
      </c>
      <c r="AD5884">
        <v>-1.1096335757419999</v>
      </c>
      <c r="AE5884">
        <v>-4.2325900000000001</v>
      </c>
      <c r="AF5884">
        <v>3.40909536499949</v>
      </c>
      <c r="AG5884">
        <v>-1.1096335757419999</v>
      </c>
      <c r="AH5884">
        <v>26.889632225523101</v>
      </c>
      <c r="AI5884">
        <v>92.344295573045798</v>
      </c>
      <c r="AJ5884">
        <v>82.774530002944303</v>
      </c>
      <c r="AK5884">
        <v>27.127578939226499</v>
      </c>
      <c r="AL5884">
        <v>89.636917147878293</v>
      </c>
      <c r="AM5884">
        <v>84.991707051906701</v>
      </c>
      <c r="AN5884">
        <v>1.0000000293151701</v>
      </c>
    </row>
    <row r="5885" spans="1:40" x14ac:dyDescent="0.25">
      <c r="A5885" t="str">
        <f>"20190312154952521"</f>
        <v>20190312154952521</v>
      </c>
      <c r="B5885" t="str">
        <f>"1552376992511970"</f>
        <v>1552376992511970</v>
      </c>
      <c r="C5885" t="s">
        <v>40</v>
      </c>
      <c r="D5885">
        <v>4.7922219999999998</v>
      </c>
      <c r="E5885">
        <v>0.51500789999999996</v>
      </c>
      <c r="F5885" t="s">
        <v>42</v>
      </c>
      <c r="G5885">
        <v>-321.08859999999999</v>
      </c>
      <c r="H5885" s="1">
        <v>-5.1704209999999996E-6</v>
      </c>
      <c r="I5885">
        <v>14.105790000000001</v>
      </c>
      <c r="J5885">
        <v>-348.89299999999997</v>
      </c>
      <c r="K5885">
        <v>1.109688</v>
      </c>
      <c r="L5885">
        <v>18.529240000000001</v>
      </c>
      <c r="M5885">
        <v>0.99944350000000004</v>
      </c>
      <c r="N5885">
        <v>0</v>
      </c>
      <c r="O5885">
        <v>-3.0294870000000002E-2</v>
      </c>
      <c r="P5885">
        <v>0.9930118</v>
      </c>
      <c r="Q5885">
        <v>-7.3019790000000001E-3</v>
      </c>
      <c r="R5885">
        <v>-0.1177913</v>
      </c>
      <c r="S5885">
        <v>2.964569</v>
      </c>
      <c r="T5885">
        <v>-0.1174753</v>
      </c>
      <c r="U5885">
        <v>-0.46893309999999999</v>
      </c>
      <c r="V5885">
        <v>8.765059E-2</v>
      </c>
      <c r="W5885">
        <v>6.6192309999999997E-3</v>
      </c>
      <c r="X5885">
        <v>0.9961293</v>
      </c>
      <c r="Y5885">
        <v>0.1261659</v>
      </c>
      <c r="Z5885">
        <v>-1.2914790000000001E-3</v>
      </c>
      <c r="AA5885">
        <v>0.99200829999999995</v>
      </c>
      <c r="AB5885">
        <v>35</v>
      </c>
      <c r="AC5885">
        <v>27.804400000000001</v>
      </c>
      <c r="AD5885">
        <v>-1.109693170421</v>
      </c>
      <c r="AE5885">
        <v>-4.4234499999999901</v>
      </c>
      <c r="AF5885">
        <v>3.5734549589928801</v>
      </c>
      <c r="AG5885">
        <v>-1.109693170421</v>
      </c>
      <c r="AH5885">
        <v>27.882339901419201</v>
      </c>
      <c r="AI5885">
        <v>92.260648860862403</v>
      </c>
      <c r="AJ5885">
        <v>82.696674592242701</v>
      </c>
      <c r="AK5885">
        <v>28.132292435112799</v>
      </c>
      <c r="AL5885">
        <v>89.6207432348303</v>
      </c>
      <c r="AM5885">
        <v>84.971428028977797</v>
      </c>
      <c r="AN5885">
        <v>1.0000000112324301</v>
      </c>
    </row>
    <row r="5886" spans="1:40" x14ac:dyDescent="0.25">
      <c r="A5886" t="str">
        <f>"20190312154952535"</f>
        <v>20190312154952535</v>
      </c>
      <c r="B5886" t="str">
        <f>"1552376992521730"</f>
        <v>1552376992521730</v>
      </c>
      <c r="C5886" t="s">
        <v>40</v>
      </c>
      <c r="D5886">
        <v>4.7618489999999998</v>
      </c>
      <c r="E5886">
        <v>0.5148317</v>
      </c>
      <c r="F5886" t="s">
        <v>42</v>
      </c>
      <c r="G5886">
        <v>-321.3329</v>
      </c>
      <c r="H5886" s="1">
        <v>-5.0413670000000003E-6</v>
      </c>
      <c r="I5886">
        <v>14.182309999999999</v>
      </c>
      <c r="J5886">
        <v>-348.68880000000001</v>
      </c>
      <c r="K5886">
        <v>1.1097520000000001</v>
      </c>
      <c r="L5886">
        <v>18.523160000000001</v>
      </c>
      <c r="M5886">
        <v>0.99944770000000005</v>
      </c>
      <c r="N5886">
        <v>0</v>
      </c>
      <c r="O5886">
        <v>-3.013089E-2</v>
      </c>
      <c r="P5886">
        <v>0.99296719999999905</v>
      </c>
      <c r="Q5886">
        <v>-7.4053349999999999E-3</v>
      </c>
      <c r="R5886">
        <v>-0.1181604</v>
      </c>
      <c r="S5886">
        <v>2.9647830000000002</v>
      </c>
      <c r="T5886">
        <v>-0.1193753</v>
      </c>
      <c r="U5886">
        <v>-0.4676208</v>
      </c>
      <c r="V5886">
        <v>8.8183189999999995E-2</v>
      </c>
      <c r="W5886">
        <v>6.5806090000000003E-3</v>
      </c>
      <c r="X5886">
        <v>0.99608249999999998</v>
      </c>
      <c r="Y5886">
        <v>0.1258869</v>
      </c>
      <c r="Z5886">
        <v>-1.313271E-3</v>
      </c>
      <c r="AA5886">
        <v>0.99204369999999997</v>
      </c>
      <c r="AB5886">
        <v>35</v>
      </c>
      <c r="AC5886">
        <v>27.355899999999998</v>
      </c>
      <c r="AD5886">
        <v>-1.1097570413669999</v>
      </c>
      <c r="AE5886">
        <v>-4.3408499999999997</v>
      </c>
      <c r="AF5886">
        <v>3.50890730379591</v>
      </c>
      <c r="AG5886">
        <v>-1.1097570413669999</v>
      </c>
      <c r="AH5886">
        <v>27.430249908744798</v>
      </c>
      <c r="AI5886">
        <v>92.298069762825804</v>
      </c>
      <c r="AJ5886">
        <v>82.710252400226693</v>
      </c>
      <c r="AK5886">
        <v>27.6760293614111</v>
      </c>
      <c r="AL5886">
        <v>89.6229561424542</v>
      </c>
      <c r="AM5886">
        <v>84.940794047397304</v>
      </c>
      <c r="AN5886">
        <v>0.99999996310981698</v>
      </c>
    </row>
    <row r="5887" spans="1:40" x14ac:dyDescent="0.25">
      <c r="A5887" t="str">
        <f>"20190312154952552"</f>
        <v>20190312154952552</v>
      </c>
      <c r="B5887" t="str">
        <f>"1552376992541249"</f>
        <v>1552376992541249</v>
      </c>
      <c r="C5887" t="s">
        <v>40</v>
      </c>
      <c r="D5887">
        <v>4.7643069999999996</v>
      </c>
      <c r="E5887">
        <v>0.51457940000000002</v>
      </c>
      <c r="F5887" t="s">
        <v>42</v>
      </c>
      <c r="G5887">
        <v>-321.13119999999998</v>
      </c>
      <c r="H5887" s="1">
        <v>-5.1372510000000001E-6</v>
      </c>
      <c r="I5887">
        <v>14.179410000000001</v>
      </c>
      <c r="J5887">
        <v>-348.41739999999999</v>
      </c>
      <c r="K5887">
        <v>1.1098319999999999</v>
      </c>
      <c r="L5887">
        <v>18.5152</v>
      </c>
      <c r="M5887">
        <v>0.99945490000000003</v>
      </c>
      <c r="N5887">
        <v>0</v>
      </c>
      <c r="O5887">
        <v>-2.986223E-2</v>
      </c>
      <c r="P5887">
        <v>0.99293069999999894</v>
      </c>
      <c r="Q5887">
        <v>-7.2305869999999897E-3</v>
      </c>
      <c r="R5887">
        <v>-0.1184767</v>
      </c>
      <c r="S5887">
        <v>2.9647519999999998</v>
      </c>
      <c r="T5887">
        <v>-0.1193916</v>
      </c>
      <c r="U5887">
        <v>-0.4673157</v>
      </c>
      <c r="V5887">
        <v>8.8767109999999996E-2</v>
      </c>
      <c r="W5887">
        <v>6.8357089999999997E-3</v>
      </c>
      <c r="X5887">
        <v>0.99602900000000005</v>
      </c>
      <c r="Y5887">
        <v>0.1260551</v>
      </c>
      <c r="Z5887">
        <v>-1.327569E-3</v>
      </c>
      <c r="AA5887">
        <v>0.99202230000000002</v>
      </c>
      <c r="AB5887">
        <v>35</v>
      </c>
      <c r="AC5887">
        <v>27.286200000000001</v>
      </c>
      <c r="AD5887">
        <v>-1.1098371372510001</v>
      </c>
      <c r="AE5887">
        <v>-4.3357899999999896</v>
      </c>
      <c r="AF5887">
        <v>3.51327931902415</v>
      </c>
      <c r="AG5887">
        <v>-1.1098371372510001</v>
      </c>
      <c r="AH5887">
        <v>27.359369998977002</v>
      </c>
      <c r="AI5887">
        <v>92.304040515208897</v>
      </c>
      <c r="AJ5887">
        <v>82.682563287411398</v>
      </c>
      <c r="AK5887">
        <v>27.6063397933451</v>
      </c>
      <c r="AL5887">
        <v>89.608339692816998</v>
      </c>
      <c r="AM5887">
        <v>84.907197136284694</v>
      </c>
      <c r="AN5887">
        <v>1.0000000477881399</v>
      </c>
    </row>
    <row r="5888" spans="1:40" x14ac:dyDescent="0.25">
      <c r="A5888" t="str">
        <f>"20190312154952566"</f>
        <v>20190312154952566</v>
      </c>
      <c r="B5888" t="str">
        <f>"1552376992561745"</f>
        <v>1552376992561745</v>
      </c>
      <c r="C5888" t="s">
        <v>40</v>
      </c>
      <c r="D5888">
        <v>4.7755049999999999</v>
      </c>
      <c r="E5888">
        <v>0.51428370000000001</v>
      </c>
      <c r="F5888" t="s">
        <v>42</v>
      </c>
      <c r="G5888">
        <v>-321.0727</v>
      </c>
      <c r="H5888" s="1">
        <v>-5.1585599999999998E-6</v>
      </c>
      <c r="I5888">
        <v>14.215009999999999</v>
      </c>
      <c r="J5888">
        <v>-348.2072</v>
      </c>
      <c r="K5888">
        <v>1.1099000000000001</v>
      </c>
      <c r="L5888">
        <v>18.50909</v>
      </c>
      <c r="M5888">
        <v>0.9994615</v>
      </c>
      <c r="N5888">
        <v>0</v>
      </c>
      <c r="O5888">
        <v>-2.9614680000000001E-2</v>
      </c>
      <c r="P5888">
        <v>0.99293480000000001</v>
      </c>
      <c r="Q5888">
        <v>-7.2017519999999996E-3</v>
      </c>
      <c r="R5888">
        <v>-0.1184428</v>
      </c>
      <c r="S5888">
        <v>2.9648439999999998</v>
      </c>
      <c r="T5888">
        <v>-0.1203341</v>
      </c>
      <c r="U5888">
        <v>-0.46624759999999998</v>
      </c>
      <c r="V5888">
        <v>8.8978619999999994E-2</v>
      </c>
      <c r="W5888">
        <v>6.9234459999999998E-3</v>
      </c>
      <c r="X5888">
        <v>0.99600949999999999</v>
      </c>
      <c r="Y5888">
        <v>0.125946</v>
      </c>
      <c r="Z5888">
        <v>-1.3458039999999999E-3</v>
      </c>
      <c r="AA5888">
        <v>0.99203620000000003</v>
      </c>
      <c r="AB5888">
        <v>35</v>
      </c>
      <c r="AC5888">
        <v>27.134499999999999</v>
      </c>
      <c r="AD5888">
        <v>-1.1099051585599999</v>
      </c>
      <c r="AE5888">
        <v>-4.2940799999999903</v>
      </c>
      <c r="AF5888">
        <v>3.4828515452230602</v>
      </c>
      <c r="AG5888">
        <v>-1.1099051585599999</v>
      </c>
      <c r="AH5888">
        <v>27.205370768083299</v>
      </c>
      <c r="AI5888">
        <v>92.317324821002799</v>
      </c>
      <c r="AJ5888">
        <v>82.704634851500899</v>
      </c>
      <c r="AK5888">
        <v>27.449851419924698</v>
      </c>
      <c r="AL5888">
        <v>89.603312605842305</v>
      </c>
      <c r="AM5888">
        <v>84.895026877204103</v>
      </c>
      <c r="AN5888">
        <v>1.0000000265059299</v>
      </c>
    </row>
    <row r="5889" spans="1:40" x14ac:dyDescent="0.25">
      <c r="A5889" t="str">
        <f>"20190312154952580"</f>
        <v>20190312154952580</v>
      </c>
      <c r="B5889" t="str">
        <f>"1552376992571505"</f>
        <v>1552376992571505</v>
      </c>
      <c r="C5889" t="s">
        <v>40</v>
      </c>
      <c r="D5889">
        <v>4.7655329999999996</v>
      </c>
      <c r="E5889">
        <v>0.51412100000000005</v>
      </c>
      <c r="F5889" t="s">
        <v>42</v>
      </c>
      <c r="G5889">
        <v>-321.51130000000001</v>
      </c>
      <c r="H5889" s="1">
        <v>-4.9300220000000004E-6</v>
      </c>
      <c r="I5889">
        <v>14.334720000000001</v>
      </c>
      <c r="J5889">
        <v>-347.99160000000001</v>
      </c>
      <c r="K5889">
        <v>1.10997099999999</v>
      </c>
      <c r="L5889">
        <v>18.50299</v>
      </c>
      <c r="M5889">
        <v>0.99947019999999998</v>
      </c>
      <c r="N5889">
        <v>0</v>
      </c>
      <c r="O5889">
        <v>-2.9303269999999999E-2</v>
      </c>
      <c r="P5889">
        <v>0.99294550000000004</v>
      </c>
      <c r="Q5889">
        <v>-7.280234E-3</v>
      </c>
      <c r="R5889">
        <v>-0.11834939999999999</v>
      </c>
      <c r="S5889">
        <v>2.9651489999999998</v>
      </c>
      <c r="T5889">
        <v>-0.1232786</v>
      </c>
      <c r="U5889">
        <v>-0.4636536</v>
      </c>
      <c r="V5889">
        <v>8.919436E-2</v>
      </c>
      <c r="W5889">
        <v>6.9000819999999897E-3</v>
      </c>
      <c r="X5889">
        <v>0.9959903</v>
      </c>
      <c r="Y5889">
        <v>0.12538879999999999</v>
      </c>
      <c r="Z5889">
        <v>-1.379992E-3</v>
      </c>
      <c r="AA5889">
        <v>0.99210670000000001</v>
      </c>
      <c r="AB5889">
        <v>35</v>
      </c>
      <c r="AC5889">
        <v>26.4803</v>
      </c>
      <c r="AD5889">
        <v>-1.10997593002199</v>
      </c>
      <c r="AE5889">
        <v>-4.1682699999999997</v>
      </c>
      <c r="AF5889">
        <v>3.38463926058408</v>
      </c>
      <c r="AG5889">
        <v>-1.10997593002199</v>
      </c>
      <c r="AH5889">
        <v>26.5455685493496</v>
      </c>
      <c r="AI5889">
        <v>92.375163501488004</v>
      </c>
      <c r="AJ5889">
        <v>82.733823192957701</v>
      </c>
      <c r="AK5889">
        <v>26.7834844465341</v>
      </c>
      <c r="AL5889">
        <v>89.604651270612706</v>
      </c>
      <c r="AM5889">
        <v>84.882616735647204</v>
      </c>
      <c r="AN5889">
        <v>0.99999996134075197</v>
      </c>
    </row>
    <row r="5890" spans="1:40" x14ac:dyDescent="0.25">
      <c r="A5890" t="str">
        <f>"20190312154952599"</f>
        <v>20190312154952599</v>
      </c>
      <c r="B5890" t="str">
        <f>"1552376992592001"</f>
        <v>1552376992592001</v>
      </c>
      <c r="C5890" t="s">
        <v>40</v>
      </c>
      <c r="D5890">
        <v>4.7522599999999997</v>
      </c>
      <c r="E5890">
        <v>0.51384629999999998</v>
      </c>
      <c r="F5890" t="s">
        <v>42</v>
      </c>
      <c r="G5890">
        <v>-321.64780000000002</v>
      </c>
      <c r="H5890" s="1">
        <v>-4.8542199999999997E-6</v>
      </c>
      <c r="I5890">
        <v>14.398239999999999</v>
      </c>
      <c r="J5890">
        <v>-347.6893</v>
      </c>
      <c r="K5890">
        <v>1.1100589999999999</v>
      </c>
      <c r="L5890">
        <v>18.49457</v>
      </c>
      <c r="M5890">
        <v>0.99948389999999998</v>
      </c>
      <c r="N5890">
        <v>0</v>
      </c>
      <c r="O5890">
        <v>-2.880595E-2</v>
      </c>
      <c r="P5890">
        <v>0.99296980000000001</v>
      </c>
      <c r="Q5890">
        <v>-7.3980540000000003E-3</v>
      </c>
      <c r="R5890">
        <v>-0.1181372</v>
      </c>
      <c r="S5890">
        <v>2.9653019999999999</v>
      </c>
      <c r="T5890">
        <v>-0.12494039999999999</v>
      </c>
      <c r="U5890">
        <v>-0.46203610000000001</v>
      </c>
      <c r="V5890">
        <v>8.9475589999999994E-2</v>
      </c>
      <c r="W5890">
        <v>6.8543060000000001E-3</v>
      </c>
      <c r="X5890">
        <v>0.9959654</v>
      </c>
      <c r="Y5890">
        <v>0.1253437</v>
      </c>
      <c r="Z5890">
        <v>-1.4184110000000001E-3</v>
      </c>
      <c r="AA5890">
        <v>0.99211229999999995</v>
      </c>
      <c r="AB5890">
        <v>35</v>
      </c>
      <c r="AC5890">
        <v>26.0414999999999</v>
      </c>
      <c r="AD5890">
        <v>-1.1100638542200001</v>
      </c>
      <c r="AE5890">
        <v>-4.09633</v>
      </c>
      <c r="AF5890">
        <v>3.3384841124323699</v>
      </c>
      <c r="AG5890">
        <v>-1.1100638542200001</v>
      </c>
      <c r="AH5890">
        <v>26.1024179237338</v>
      </c>
      <c r="AI5890">
        <v>92.415511111921504</v>
      </c>
      <c r="AJ5890">
        <v>82.711473678218098</v>
      </c>
      <c r="AK5890">
        <v>26.338449828998399</v>
      </c>
      <c r="AL5890">
        <v>89.607274107883498</v>
      </c>
      <c r="AM5890">
        <v>84.866440036160199</v>
      </c>
      <c r="AN5890">
        <v>0.99999997035687405</v>
      </c>
    </row>
    <row r="5891" spans="1:40" x14ac:dyDescent="0.25">
      <c r="A5891" t="str">
        <f>"20190312154952612"</f>
        <v>20190312154952612</v>
      </c>
      <c r="B5891" t="str">
        <f>"1552376992601762"</f>
        <v>1552376992601762</v>
      </c>
      <c r="C5891" t="s">
        <v>40</v>
      </c>
      <c r="D5891">
        <v>4.7332960000000002</v>
      </c>
      <c r="E5891">
        <v>0.51365640000000001</v>
      </c>
      <c r="F5891" t="s">
        <v>42</v>
      </c>
      <c r="G5891">
        <v>-322.04070000000002</v>
      </c>
      <c r="H5891" s="1">
        <v>-4.6460400000000003E-6</v>
      </c>
      <c r="I5891">
        <v>14.52481</v>
      </c>
      <c r="J5891">
        <v>-347.4914</v>
      </c>
      <c r="K5891">
        <v>1.1101209999999999</v>
      </c>
      <c r="L5891">
        <v>18.4892</v>
      </c>
      <c r="M5891">
        <v>0.99949410000000005</v>
      </c>
      <c r="N5891">
        <v>0</v>
      </c>
      <c r="O5891">
        <v>-2.843356E-2</v>
      </c>
      <c r="P5891">
        <v>0.99303629999999998</v>
      </c>
      <c r="Q5891">
        <v>-7.5204709999999999E-3</v>
      </c>
      <c r="R5891">
        <v>-0.1175686</v>
      </c>
      <c r="S5891">
        <v>2.9656980000000002</v>
      </c>
      <c r="T5891">
        <v>-0.1283543</v>
      </c>
      <c r="U5891">
        <v>-0.4590149</v>
      </c>
      <c r="V5891">
        <v>8.9275679999999996E-2</v>
      </c>
      <c r="W5891">
        <v>6.7751520000000004E-3</v>
      </c>
      <c r="X5891">
        <v>0.99598390000000003</v>
      </c>
      <c r="Y5891">
        <v>0.1247019</v>
      </c>
      <c r="Z5891">
        <v>-1.4592400000000001E-3</v>
      </c>
      <c r="AA5891">
        <v>0.9921932</v>
      </c>
      <c r="AB5891">
        <v>34</v>
      </c>
      <c r="AC5891">
        <v>25.450699999999902</v>
      </c>
      <c r="AD5891">
        <v>-1.11012564604</v>
      </c>
      <c r="AE5891">
        <v>-3.9643899999999999</v>
      </c>
      <c r="AF5891">
        <v>3.2330538581905102</v>
      </c>
      <c r="AG5891">
        <v>-1.11012564604</v>
      </c>
      <c r="AH5891">
        <v>25.5057635436083</v>
      </c>
      <c r="AI5891">
        <v>92.472438321549205</v>
      </c>
      <c r="AJ5891">
        <v>82.775841493892102</v>
      </c>
      <c r="AK5891">
        <v>25.7338102530972</v>
      </c>
      <c r="AL5891">
        <v>89.611809410851905</v>
      </c>
      <c r="AM5891">
        <v>84.877943199521496</v>
      </c>
      <c r="AN5891">
        <v>0.99999998939164703</v>
      </c>
    </row>
    <row r="5892" spans="1:40" x14ac:dyDescent="0.25">
      <c r="A5892" t="str">
        <f>"20190312154952632"</f>
        <v>20190312154952632</v>
      </c>
      <c r="B5892" t="str">
        <f>"1552376992621282"</f>
        <v>1552376992621282</v>
      </c>
      <c r="C5892" t="s">
        <v>40</v>
      </c>
      <c r="D5892">
        <v>4.7376120000000004</v>
      </c>
      <c r="E5892">
        <v>0.51343739999999904</v>
      </c>
      <c r="F5892" t="s">
        <v>42</v>
      </c>
      <c r="G5892">
        <v>-322.34840000000003</v>
      </c>
      <c r="H5892" s="1">
        <v>-4.4826460000000001E-6</v>
      </c>
      <c r="I5892">
        <v>14.625870000000001</v>
      </c>
      <c r="J5892">
        <v>-347.1934</v>
      </c>
      <c r="K5892">
        <v>1.1102179999999999</v>
      </c>
      <c r="L5892">
        <v>18.481290000000001</v>
      </c>
      <c r="M5892">
        <v>0.99951109999999999</v>
      </c>
      <c r="N5892">
        <v>0</v>
      </c>
      <c r="O5892">
        <v>-2.7807269999999999E-2</v>
      </c>
      <c r="P5892">
        <v>0.99309139999999996</v>
      </c>
      <c r="Q5892">
        <v>-7.8264210000000001E-3</v>
      </c>
      <c r="R5892">
        <v>-0.1170841</v>
      </c>
      <c r="S5892">
        <v>2.9660639999999998</v>
      </c>
      <c r="T5892">
        <v>-0.1309594</v>
      </c>
      <c r="U5892">
        <v>-0.45574949999999997</v>
      </c>
      <c r="V5892">
        <v>8.9412610000000003E-2</v>
      </c>
      <c r="W5892">
        <v>6.5295869999999999E-3</v>
      </c>
      <c r="X5892">
        <v>0.99597329999999995</v>
      </c>
      <c r="Y5892">
        <v>0.12423430000000001</v>
      </c>
      <c r="Z5892">
        <v>-1.5059520000000001E-3</v>
      </c>
      <c r="AA5892">
        <v>0.99225180000000002</v>
      </c>
      <c r="AB5892">
        <v>34</v>
      </c>
      <c r="AC5892">
        <v>24.844999999999899</v>
      </c>
      <c r="AD5892">
        <v>-1.1102224826460001</v>
      </c>
      <c r="AE5892">
        <v>-3.8554199999999899</v>
      </c>
      <c r="AF5892">
        <v>3.1568311613100501</v>
      </c>
      <c r="AG5892">
        <v>-1.1102224826460001</v>
      </c>
      <c r="AH5892">
        <v>24.894069755775401</v>
      </c>
      <c r="AI5892">
        <v>92.533316571021899</v>
      </c>
      <c r="AJ5892">
        <v>82.772864497251007</v>
      </c>
      <c r="AK5892">
        <v>25.117979336471301</v>
      </c>
      <c r="AL5892">
        <v>89.625879576528206</v>
      </c>
      <c r="AM5892">
        <v>84.870074628332901</v>
      </c>
      <c r="AN5892">
        <v>1.0000000323231399</v>
      </c>
    </row>
    <row r="5893" spans="1:40" x14ac:dyDescent="0.25">
      <c r="A5893" t="str">
        <f>"20190312154952646"</f>
        <v>20190312154952646</v>
      </c>
      <c r="B5893" t="str">
        <f>"1552376992641777"</f>
        <v>1552376992641777</v>
      </c>
      <c r="C5893" t="s">
        <v>40</v>
      </c>
      <c r="D5893">
        <v>4.7346069999999996</v>
      </c>
      <c r="E5893">
        <v>0.51328759999999996</v>
      </c>
      <c r="F5893" t="s">
        <v>42</v>
      </c>
      <c r="G5893">
        <v>-323.20260000000002</v>
      </c>
      <c r="H5893" s="1">
        <v>-4.04373299999999E-6</v>
      </c>
      <c r="I5893">
        <v>14.823919999999999</v>
      </c>
      <c r="J5893">
        <v>-346.97089999999997</v>
      </c>
      <c r="K5893">
        <v>1.1102879999999999</v>
      </c>
      <c r="L5893">
        <v>18.475560000000002</v>
      </c>
      <c r="M5893">
        <v>0.99952479999999999</v>
      </c>
      <c r="N5893">
        <v>0</v>
      </c>
      <c r="O5893">
        <v>-2.729498E-2</v>
      </c>
      <c r="P5893">
        <v>0.99310569999999998</v>
      </c>
      <c r="Q5893">
        <v>-7.602971E-3</v>
      </c>
      <c r="R5893">
        <v>-0.1169777</v>
      </c>
      <c r="S5893">
        <v>2.9664920000000001</v>
      </c>
      <c r="T5893">
        <v>-0.1372805</v>
      </c>
      <c r="U5893">
        <v>-0.45223999999999998</v>
      </c>
      <c r="V5893">
        <v>8.9814939999999996E-2</v>
      </c>
      <c r="W5893">
        <v>6.7942250000000001E-3</v>
      </c>
      <c r="X5893">
        <v>0.99593529999999997</v>
      </c>
      <c r="Y5893">
        <v>0.12356549999999999</v>
      </c>
      <c r="Z5893">
        <v>-1.5866260000000001E-3</v>
      </c>
      <c r="AA5893">
        <v>0.99233510000000003</v>
      </c>
      <c r="AB5893">
        <v>34</v>
      </c>
      <c r="AC5893">
        <v>23.768299999999901</v>
      </c>
      <c r="AD5893">
        <v>-1.1102920437329999</v>
      </c>
      <c r="AE5893">
        <v>-3.65164</v>
      </c>
      <c r="AF5893">
        <v>2.99507247588812</v>
      </c>
      <c r="AG5893">
        <v>-1.1102920437329999</v>
      </c>
      <c r="AH5893">
        <v>23.808369645297699</v>
      </c>
      <c r="AI5893">
        <v>92.649177297667293</v>
      </c>
      <c r="AJ5893">
        <v>82.829905047883798</v>
      </c>
      <c r="AK5893">
        <v>24.021691712394698</v>
      </c>
      <c r="AL5893">
        <v>89.610716588723903</v>
      </c>
      <c r="AM5893">
        <v>84.846919939574093</v>
      </c>
      <c r="AN5893">
        <v>1.0000000033633201</v>
      </c>
    </row>
    <row r="5894" spans="1:40" x14ac:dyDescent="0.25">
      <c r="A5894" t="str">
        <f>"20190312154952660"</f>
        <v>20190312154952660</v>
      </c>
      <c r="B5894" t="str">
        <f>"1552376992651538"</f>
        <v>1552376992651538</v>
      </c>
      <c r="C5894" t="s">
        <v>40</v>
      </c>
      <c r="D5894">
        <v>4.7201849999999999</v>
      </c>
      <c r="E5894">
        <v>0.51323059999999998</v>
      </c>
      <c r="F5894" t="s">
        <v>42</v>
      </c>
      <c r="G5894">
        <v>-323.64769999999999</v>
      </c>
      <c r="H5894" s="1">
        <v>-3.8138300000000002E-6</v>
      </c>
      <c r="I5894">
        <v>14.93384</v>
      </c>
      <c r="J5894">
        <v>-346.75900000000001</v>
      </c>
      <c r="K5894">
        <v>1.110355</v>
      </c>
      <c r="L5894">
        <v>18.470279999999999</v>
      </c>
      <c r="M5894">
        <v>0.99953879999999995</v>
      </c>
      <c r="N5894">
        <v>0</v>
      </c>
      <c r="O5894">
        <v>-2.676013E-2</v>
      </c>
      <c r="P5894">
        <v>0.99313200000000001</v>
      </c>
      <c r="Q5894">
        <v>-7.3280389999999997E-3</v>
      </c>
      <c r="R5894">
        <v>-0.1167701</v>
      </c>
      <c r="S5894">
        <v>2.966675</v>
      </c>
      <c r="T5894">
        <v>-0.14122750000000001</v>
      </c>
      <c r="U5894">
        <v>-0.45050050000000003</v>
      </c>
      <c r="V5894">
        <v>9.0138369999999995E-2</v>
      </c>
      <c r="W5894">
        <v>7.1046390000000003E-3</v>
      </c>
      <c r="X5894">
        <v>0.99590389999999995</v>
      </c>
      <c r="Y5894">
        <v>0.1235122</v>
      </c>
      <c r="Z5894">
        <v>-1.6561760000000001E-3</v>
      </c>
      <c r="AA5894">
        <v>0.99234169999999999</v>
      </c>
      <c r="AB5894">
        <v>34</v>
      </c>
      <c r="AC5894">
        <v>23.1113</v>
      </c>
      <c r="AD5894">
        <v>-1.11035881382999</v>
      </c>
      <c r="AE5894">
        <v>-3.53643999999999</v>
      </c>
      <c r="AF5894">
        <v>2.9100847046363598</v>
      </c>
      <c r="AG5894">
        <v>-1.11035881382999</v>
      </c>
      <c r="AH5894">
        <v>23.1454644854755</v>
      </c>
      <c r="AI5894">
        <v>92.725125981119803</v>
      </c>
      <c r="AJ5894">
        <v>82.833791621356497</v>
      </c>
      <c r="AK5894">
        <v>23.3541006234883</v>
      </c>
      <c r="AL5894">
        <v>89.592930741619597</v>
      </c>
      <c r="AM5894">
        <v>84.828301604267295</v>
      </c>
      <c r="AN5894">
        <v>0.999999989838393</v>
      </c>
    </row>
    <row r="5895" spans="1:40" x14ac:dyDescent="0.25">
      <c r="A5895" t="str">
        <f>"20190312154952675"</f>
        <v>20190312154952675</v>
      </c>
      <c r="B5895" t="str">
        <f>"1552376992672034"</f>
        <v>1552376992672034</v>
      </c>
      <c r="C5895" t="s">
        <v>40</v>
      </c>
      <c r="D5895">
        <v>4.7344939999999998</v>
      </c>
      <c r="E5895">
        <v>0.5131192</v>
      </c>
      <c r="F5895" t="s">
        <v>42</v>
      </c>
      <c r="G5895">
        <v>-323.64850000000001</v>
      </c>
      <c r="H5895" s="1">
        <v>-3.807033E-6</v>
      </c>
      <c r="I5895">
        <v>14.9701</v>
      </c>
      <c r="J5895">
        <v>-346.51249999999999</v>
      </c>
      <c r="K5895">
        <v>1.110425</v>
      </c>
      <c r="L5895">
        <v>18.464259999999999</v>
      </c>
      <c r="M5895">
        <v>0.99955590000000005</v>
      </c>
      <c r="N5895">
        <v>0</v>
      </c>
      <c r="O5895">
        <v>-2.6103870000000001E-2</v>
      </c>
      <c r="P5895">
        <v>0.99308099999999999</v>
      </c>
      <c r="Q5895">
        <v>-6.1754829999999998E-3</v>
      </c>
      <c r="R5895">
        <v>-0.117269899999999</v>
      </c>
      <c r="S5895">
        <v>2.9668580000000002</v>
      </c>
      <c r="T5895">
        <v>-0.14254439999999999</v>
      </c>
      <c r="U5895">
        <v>-0.44934079999999899</v>
      </c>
      <c r="V5895">
        <v>9.1290090000000004E-2</v>
      </c>
      <c r="W5895">
        <v>8.2957440000000007E-3</v>
      </c>
      <c r="X5895">
        <v>0.99578979999999995</v>
      </c>
      <c r="Y5895">
        <v>0.1237724</v>
      </c>
      <c r="Z5895">
        <v>-1.7090569999999999E-3</v>
      </c>
      <c r="AA5895">
        <v>0.9923092</v>
      </c>
      <c r="AB5895">
        <v>34</v>
      </c>
      <c r="AC5895">
        <v>22.863999999999901</v>
      </c>
      <c r="AD5895">
        <v>-1.110428807033</v>
      </c>
      <c r="AE5895">
        <v>-3.4941599999999902</v>
      </c>
      <c r="AF5895">
        <v>2.8894087492854599</v>
      </c>
      <c r="AG5895">
        <v>-1.110428807033</v>
      </c>
      <c r="AH5895">
        <v>22.894657956491798</v>
      </c>
      <c r="AI5895">
        <v>92.754945089771695</v>
      </c>
      <c r="AJ5895">
        <v>82.807042996273694</v>
      </c>
      <c r="AK5895">
        <v>23.102967298610999</v>
      </c>
      <c r="AL5895">
        <v>89.524683435046001</v>
      </c>
      <c r="AM5895">
        <v>84.761989960473798</v>
      </c>
      <c r="AN5895">
        <v>1.00000001284238</v>
      </c>
    </row>
    <row r="5896" spans="1:40" x14ac:dyDescent="0.25">
      <c r="A5896" t="str">
        <f>"20190312154952689"</f>
        <v>20190312154952689</v>
      </c>
      <c r="B5896" t="str">
        <f>"1552376992681795"</f>
        <v>1552376992681795</v>
      </c>
      <c r="C5896" t="s">
        <v>40</v>
      </c>
      <c r="D5896">
        <v>4.7445029999999999</v>
      </c>
      <c r="E5896">
        <v>0.51307579999999997</v>
      </c>
      <c r="F5896" t="s">
        <v>42</v>
      </c>
      <c r="G5896">
        <v>-323.51389999999998</v>
      </c>
      <c r="H5896" s="1">
        <v>-3.8693530000000004E-6</v>
      </c>
      <c r="I5896">
        <v>14.977550000000001</v>
      </c>
      <c r="J5896">
        <v>-346.31540000000001</v>
      </c>
      <c r="K5896">
        <v>1.1104750000000001</v>
      </c>
      <c r="L5896">
        <v>18.459630000000001</v>
      </c>
      <c r="M5896">
        <v>0.99956979999999995</v>
      </c>
      <c r="N5896">
        <v>0</v>
      </c>
      <c r="O5896">
        <v>-2.5556059999999998E-2</v>
      </c>
      <c r="P5896">
        <v>0.99306490000000003</v>
      </c>
      <c r="Q5896">
        <v>-5.7779009999999898E-3</v>
      </c>
      <c r="R5896">
        <v>-0.1174254</v>
      </c>
      <c r="S5896">
        <v>2.9669189999999999</v>
      </c>
      <c r="T5896">
        <v>-0.1432496</v>
      </c>
      <c r="U5896">
        <v>-0.44979859999999999</v>
      </c>
      <c r="V5896">
        <v>9.1990139999999998E-2</v>
      </c>
      <c r="W5896">
        <v>8.7210680000000002E-3</v>
      </c>
      <c r="X5896">
        <v>0.99572169999999904</v>
      </c>
      <c r="Y5896">
        <v>0.1244604</v>
      </c>
      <c r="Z5896">
        <v>-1.760207E-3</v>
      </c>
      <c r="AA5896">
        <v>0.99222299999999997</v>
      </c>
      <c r="AB5896">
        <v>34</v>
      </c>
      <c r="AC5896">
        <v>22.801500000000001</v>
      </c>
      <c r="AD5896">
        <v>-1.1104788693529899</v>
      </c>
      <c r="AE5896">
        <v>-3.4820799999999901</v>
      </c>
      <c r="AF5896">
        <v>2.8914637069729499</v>
      </c>
      <c r="AG5896">
        <v>-1.1104788693529899</v>
      </c>
      <c r="AH5896">
        <v>22.830132341684902</v>
      </c>
      <c r="AI5896">
        <v>92.762690465466804</v>
      </c>
      <c r="AJ5896">
        <v>82.781851235015594</v>
      </c>
      <c r="AK5896">
        <v>23.039285328040599</v>
      </c>
      <c r="AL5896">
        <v>89.500313263194201</v>
      </c>
      <c r="AM5896">
        <v>84.721689798060098</v>
      </c>
      <c r="AN5896">
        <v>0.99999997336758395</v>
      </c>
    </row>
    <row r="5897" spans="1:40" x14ac:dyDescent="0.25">
      <c r="A5897" t="str">
        <f>"20190312154952702"</f>
        <v>20190312154952702</v>
      </c>
      <c r="B5897" t="str">
        <f>"1552376992691554"</f>
        <v>1552376992691554</v>
      </c>
      <c r="C5897" t="s">
        <v>40</v>
      </c>
      <c r="D5897">
        <v>4.7279929999999997</v>
      </c>
      <c r="E5897">
        <v>0.51304830000000001</v>
      </c>
      <c r="F5897" t="s">
        <v>42</v>
      </c>
      <c r="G5897">
        <v>-323.41210000000001</v>
      </c>
      <c r="H5897" s="1">
        <v>-3.9158059999999996E-6</v>
      </c>
      <c r="I5897">
        <v>14.98687</v>
      </c>
      <c r="J5897">
        <v>-346.10520000000002</v>
      </c>
      <c r="K5897">
        <v>1.1105240000000001</v>
      </c>
      <c r="L5897">
        <v>18.454799999999999</v>
      </c>
      <c r="M5897">
        <v>0.9995849</v>
      </c>
      <c r="N5897">
        <v>0</v>
      </c>
      <c r="O5897">
        <v>-2.4947359999999998E-2</v>
      </c>
      <c r="P5897">
        <v>0.99307160000000005</v>
      </c>
      <c r="Q5897">
        <v>-5.4255800000000002E-3</v>
      </c>
      <c r="R5897">
        <v>-0.11738659999999999</v>
      </c>
      <c r="S5897">
        <v>2.966888</v>
      </c>
      <c r="T5897">
        <v>-0.14385129999999999</v>
      </c>
      <c r="U5897">
        <v>-0.44985960000000003</v>
      </c>
      <c r="V5897">
        <v>9.2555970000000001E-2</v>
      </c>
      <c r="W5897">
        <v>9.1006139999999999E-3</v>
      </c>
      <c r="X5897">
        <v>0.99566589999999999</v>
      </c>
      <c r="Y5897">
        <v>0.12508369999999999</v>
      </c>
      <c r="Z5897">
        <v>-1.8119200000000001E-3</v>
      </c>
      <c r="AA5897">
        <v>0.99214449999999998</v>
      </c>
      <c r="AB5897">
        <v>34</v>
      </c>
      <c r="AC5897">
        <v>22.693100000000001</v>
      </c>
      <c r="AD5897">
        <v>-1.110527915806</v>
      </c>
      <c r="AE5897">
        <v>-3.4679299999999902</v>
      </c>
      <c r="AF5897">
        <v>2.89388655523154</v>
      </c>
      <c r="AG5897">
        <v>-1.110527915806</v>
      </c>
      <c r="AH5897">
        <v>22.719393333108201</v>
      </c>
      <c r="AI5897">
        <v>92.776006966705907</v>
      </c>
      <c r="AJ5897">
        <v>82.741029568299993</v>
      </c>
      <c r="AK5897">
        <v>22.9298644799923</v>
      </c>
      <c r="AL5897">
        <v>89.478566032460805</v>
      </c>
      <c r="AM5897">
        <v>84.689112135777506</v>
      </c>
      <c r="AN5897">
        <v>1.0000000065903101</v>
      </c>
    </row>
    <row r="5898" spans="1:40" x14ac:dyDescent="0.25">
      <c r="A5898" t="str">
        <f>"20190312154952721"</f>
        <v>20190312154952721</v>
      </c>
      <c r="B5898" t="str">
        <f>"1552376992712049"</f>
        <v>1552376992712049</v>
      </c>
      <c r="C5898" t="s">
        <v>40</v>
      </c>
      <c r="D5898">
        <v>4.6878529999999996</v>
      </c>
      <c r="E5898">
        <v>0.51328009999999902</v>
      </c>
      <c r="F5898" t="s">
        <v>42</v>
      </c>
      <c r="G5898">
        <v>-323.25880000000001</v>
      </c>
      <c r="H5898" s="1">
        <v>-3.9871329999999998E-6</v>
      </c>
      <c r="I5898">
        <v>14.993209999999999</v>
      </c>
      <c r="J5898">
        <v>-345.8186</v>
      </c>
      <c r="K5898">
        <v>1.110584</v>
      </c>
      <c r="L5898">
        <v>18.44849</v>
      </c>
      <c r="M5898">
        <v>0.99960579999999999</v>
      </c>
      <c r="N5898">
        <v>0</v>
      </c>
      <c r="O5898">
        <v>-2.4086130000000001E-2</v>
      </c>
      <c r="P5898">
        <v>0.99307409999999996</v>
      </c>
      <c r="Q5898">
        <v>-4.9281120000000001E-3</v>
      </c>
      <c r="R5898">
        <v>-0.11738709999999999</v>
      </c>
      <c r="S5898">
        <v>2.967041</v>
      </c>
      <c r="T5898">
        <v>-0.14422360000000001</v>
      </c>
      <c r="U5898">
        <v>-0.44955440000000002</v>
      </c>
      <c r="V5898">
        <v>9.3412209999999996E-2</v>
      </c>
      <c r="W5898">
        <v>9.6298800000000004E-3</v>
      </c>
      <c r="X5898">
        <v>0.99558100000000005</v>
      </c>
      <c r="Y5898">
        <v>0.12582869999999999</v>
      </c>
      <c r="Z5898">
        <v>-1.876076E-3</v>
      </c>
      <c r="AA5898">
        <v>0.99205019999999999</v>
      </c>
      <c r="AB5898">
        <v>34</v>
      </c>
      <c r="AC5898">
        <v>22.559799999999999</v>
      </c>
      <c r="AD5898">
        <v>-1.110587987133</v>
      </c>
      <c r="AE5898">
        <v>-3.4552799999999899</v>
      </c>
      <c r="AF5898">
        <v>2.9039662137136899</v>
      </c>
      <c r="AG5898">
        <v>-1.110587987133</v>
      </c>
      <c r="AH5898">
        <v>22.583012177206399</v>
      </c>
      <c r="AI5898">
        <v>92.792469142112793</v>
      </c>
      <c r="AJ5898">
        <v>82.672504956032</v>
      </c>
      <c r="AK5898">
        <v>22.796027382932401</v>
      </c>
      <c r="AL5898">
        <v>89.448240019137003</v>
      </c>
      <c r="AM5898">
        <v>84.639811262787006</v>
      </c>
      <c r="AN5898">
        <v>1.00000005156344</v>
      </c>
    </row>
    <row r="5899" spans="1:40" x14ac:dyDescent="0.25">
      <c r="A5899" t="str">
        <f>"20190312154952736"</f>
        <v>20190312154952736</v>
      </c>
      <c r="B5899" t="str">
        <f>"1552376992721811"</f>
        <v>1552376992721811</v>
      </c>
      <c r="C5899" t="s">
        <v>40</v>
      </c>
      <c r="D5899">
        <v>4.5925900000000004</v>
      </c>
      <c r="E5899">
        <v>0.53701109999999996</v>
      </c>
      <c r="F5899" t="s">
        <v>42</v>
      </c>
      <c r="G5899">
        <v>-322.76670000000001</v>
      </c>
      <c r="H5899" s="1">
        <v>-4.2291190000000002E-6</v>
      </c>
      <c r="I5899">
        <v>14.94037</v>
      </c>
      <c r="J5899">
        <v>-345.601</v>
      </c>
      <c r="K5899">
        <v>1.1106210000000001</v>
      </c>
      <c r="L5899">
        <v>18.44388</v>
      </c>
      <c r="M5899">
        <v>0.99962139999999999</v>
      </c>
      <c r="N5899">
        <v>0</v>
      </c>
      <c r="O5899">
        <v>-2.3414790000000001E-2</v>
      </c>
      <c r="P5899">
        <v>0.99304210000000004</v>
      </c>
      <c r="Q5899">
        <v>-4.8676229999999997E-3</v>
      </c>
      <c r="R5899">
        <v>-0.1176595</v>
      </c>
      <c r="S5899">
        <v>2.9668580000000002</v>
      </c>
      <c r="T5899">
        <v>-0.1429367</v>
      </c>
      <c r="U5899">
        <v>-0.45150760000000001</v>
      </c>
      <c r="V5899">
        <v>9.4353010000000001E-2</v>
      </c>
      <c r="W5899">
        <v>9.7114160000000005E-3</v>
      </c>
      <c r="X5899">
        <v>0.99549140000000003</v>
      </c>
      <c r="Y5899">
        <v>0.12714210000000001</v>
      </c>
      <c r="Z5899">
        <v>-1.9229259999999999E-3</v>
      </c>
      <c r="AA5899">
        <v>0.99188259999999995</v>
      </c>
      <c r="AB5899">
        <v>34</v>
      </c>
      <c r="AC5899">
        <v>22.834299999999899</v>
      </c>
      <c r="AD5899">
        <v>-1.110625229119</v>
      </c>
      <c r="AE5899">
        <v>-3.5035099999999901</v>
      </c>
      <c r="AF5899">
        <v>2.9609893935670102</v>
      </c>
      <c r="AG5899">
        <v>-1.110625229119</v>
      </c>
      <c r="AH5899">
        <v>22.857251155499</v>
      </c>
      <c r="AI5899">
        <v>92.758776937048097</v>
      </c>
      <c r="AJ5899">
        <v>82.618856859330407</v>
      </c>
      <c r="AK5899">
        <v>23.074983791412102</v>
      </c>
      <c r="AL5899">
        <v>89.443568083944797</v>
      </c>
      <c r="AM5899">
        <v>84.585660972707004</v>
      </c>
      <c r="AN5899">
        <v>0.99999996478537101</v>
      </c>
    </row>
    <row r="5900" spans="1:40" x14ac:dyDescent="0.25">
      <c r="A5900" t="str">
        <f>"20190312154952754"</f>
        <v>20190312154952754</v>
      </c>
      <c r="B5900" t="str">
        <f>"1552376992741329"</f>
        <v>1552376992741329</v>
      </c>
      <c r="C5900" t="s">
        <v>40</v>
      </c>
      <c r="D5900">
        <v>4.5613809999999999</v>
      </c>
      <c r="E5900">
        <v>0.53979860000000002</v>
      </c>
      <c r="F5900" t="s">
        <v>42</v>
      </c>
      <c r="G5900">
        <v>-321.286</v>
      </c>
      <c r="H5900" s="1">
        <v>-5.2466340000000004E-6</v>
      </c>
      <c r="I5900">
        <v>13.150040000000001</v>
      </c>
      <c r="J5900">
        <v>-345.32199999999898</v>
      </c>
      <c r="K5900">
        <v>1.110665</v>
      </c>
      <c r="L5900">
        <v>18.43817</v>
      </c>
      <c r="M5900">
        <v>0.99964129999999995</v>
      </c>
      <c r="N5900">
        <v>0</v>
      </c>
      <c r="O5900">
        <v>-2.254128E-2</v>
      </c>
      <c r="P5900">
        <v>0.993004</v>
      </c>
      <c r="Q5900">
        <v>-4.43144E-3</v>
      </c>
      <c r="R5900">
        <v>-0.11799759999999999</v>
      </c>
      <c r="S5900">
        <v>2.9443969999999999</v>
      </c>
      <c r="T5900">
        <v>-0.13449029999999901</v>
      </c>
      <c r="U5900">
        <v>-0.64105219999999996</v>
      </c>
      <c r="V5900">
        <v>9.5560270000000003E-2</v>
      </c>
      <c r="W5900">
        <v>1.017154E-2</v>
      </c>
      <c r="X5900">
        <v>0.99537169999999997</v>
      </c>
      <c r="Y5900">
        <v>0.19048709999999999</v>
      </c>
      <c r="Z5900">
        <v>-3.2812729999999999E-3</v>
      </c>
      <c r="AA5900">
        <v>0.98168420000000001</v>
      </c>
      <c r="AB5900">
        <v>34</v>
      </c>
      <c r="AC5900">
        <v>24.035999999999898</v>
      </c>
      <c r="AD5900">
        <v>-1.1106702466339999</v>
      </c>
      <c r="AE5900">
        <v>-5.2881299999999998</v>
      </c>
      <c r="AF5900">
        <v>4.7352830631787404</v>
      </c>
      <c r="AG5900">
        <v>-1.1106702466339999</v>
      </c>
      <c r="AH5900">
        <v>24.100021767170801</v>
      </c>
      <c r="AI5900">
        <v>92.589220904083703</v>
      </c>
      <c r="AJ5900">
        <v>78.883868726286096</v>
      </c>
      <c r="AK5900">
        <v>24.5859216476277</v>
      </c>
      <c r="AL5900">
        <v>89.417203650759504</v>
      </c>
      <c r="AM5900">
        <v>84.516147940421902</v>
      </c>
      <c r="AN5900">
        <v>1.00000002329466</v>
      </c>
    </row>
    <row r="5901" spans="1:40" x14ac:dyDescent="0.25">
      <c r="A5901" t="str">
        <f>"20190312154952768"</f>
        <v>20190312154952768</v>
      </c>
      <c r="B5901" t="str">
        <f>"1552376992752065"</f>
        <v>1552376992752065</v>
      </c>
      <c r="C5901" t="s">
        <v>40</v>
      </c>
      <c r="D5901">
        <v>4.5146189999999997</v>
      </c>
      <c r="E5901">
        <v>0.5401977</v>
      </c>
      <c r="F5901" t="s">
        <v>42</v>
      </c>
      <c r="G5901">
        <v>-321.06139999999999</v>
      </c>
      <c r="H5901" s="1">
        <v>-5.3865159999999996E-6</v>
      </c>
      <c r="I5901">
        <v>12.960150000000001</v>
      </c>
      <c r="J5901">
        <v>-345.10890000000001</v>
      </c>
      <c r="K5901">
        <v>1.1106879999999999</v>
      </c>
      <c r="L5901">
        <v>18.433990000000001</v>
      </c>
      <c r="M5901">
        <v>0.99965610000000005</v>
      </c>
      <c r="N5901">
        <v>0</v>
      </c>
      <c r="O5901">
        <v>-2.18677E-2</v>
      </c>
      <c r="P5901">
        <v>0.9929732</v>
      </c>
      <c r="Q5901">
        <v>-4.5504869999999998E-3</v>
      </c>
      <c r="R5901">
        <v>-0.1182518</v>
      </c>
      <c r="S5901">
        <v>2.9416199999999999</v>
      </c>
      <c r="T5901">
        <v>-0.13466979999999901</v>
      </c>
      <c r="U5901">
        <v>-0.66421509999999995</v>
      </c>
      <c r="V5901">
        <v>9.6485370000000001E-2</v>
      </c>
      <c r="W5901">
        <v>1.006807E-2</v>
      </c>
      <c r="X5901">
        <v>0.99528349999999999</v>
      </c>
      <c r="Y5901">
        <v>0.19869249999999999</v>
      </c>
      <c r="Z5901">
        <v>-3.5017270000000001E-3</v>
      </c>
      <c r="AA5901">
        <v>0.98005560000000003</v>
      </c>
      <c r="AB5901">
        <v>34</v>
      </c>
      <c r="AC5901">
        <v>24.047499999999999</v>
      </c>
      <c r="AD5901">
        <v>-1.11069338651599</v>
      </c>
      <c r="AE5901">
        <v>-5.4738399999999903</v>
      </c>
      <c r="AF5901">
        <v>4.9365997926693099</v>
      </c>
      <c r="AG5901">
        <v>-1.11069338651599</v>
      </c>
      <c r="AH5901">
        <v>24.112556260661702</v>
      </c>
      <c r="AI5901">
        <v>92.583823704588397</v>
      </c>
      <c r="AJ5901">
        <v>78.429638080461899</v>
      </c>
      <c r="AK5901">
        <v>24.637756122167598</v>
      </c>
      <c r="AL5901">
        <v>89.4231323460494</v>
      </c>
      <c r="AM5901">
        <v>84.462900563418799</v>
      </c>
      <c r="AN5901">
        <v>1.0000000190149001</v>
      </c>
    </row>
    <row r="5902" spans="1:40" x14ac:dyDescent="0.25">
      <c r="A5902" t="str">
        <f>"20190312154952789"</f>
        <v>20190312154952789</v>
      </c>
      <c r="B5902" t="str">
        <f>"1552376992782321"</f>
        <v>1552376992782321</v>
      </c>
      <c r="C5902" t="s">
        <v>40</v>
      </c>
      <c r="D5902">
        <v>4.6507259999999997</v>
      </c>
      <c r="E5902">
        <v>0.54063439999999996</v>
      </c>
      <c r="F5902" t="s">
        <v>42</v>
      </c>
      <c r="G5902">
        <v>-320.64100000000002</v>
      </c>
      <c r="H5902" s="1">
        <v>-5.6005479999999996E-6</v>
      </c>
      <c r="I5902">
        <v>12.873849999999999</v>
      </c>
      <c r="J5902">
        <v>-344.79610000000002</v>
      </c>
      <c r="K5902">
        <v>1.1107100000000001</v>
      </c>
      <c r="L5902">
        <v>18.428129999999999</v>
      </c>
      <c r="M5902">
        <v>0.99967720000000004</v>
      </c>
      <c r="N5902">
        <v>0</v>
      </c>
      <c r="O5902">
        <v>-2.087168E-2</v>
      </c>
      <c r="P5902">
        <v>0.99278580000000005</v>
      </c>
      <c r="Q5902">
        <v>-5.8317859999999899E-3</v>
      </c>
      <c r="R5902">
        <v>-0.1197612</v>
      </c>
      <c r="S5902">
        <v>2.941071</v>
      </c>
      <c r="T5902">
        <v>-0.1335065</v>
      </c>
      <c r="U5902">
        <v>-0.66833500000000001</v>
      </c>
      <c r="V5902">
        <v>9.8992300000000005E-2</v>
      </c>
      <c r="W5902">
        <v>8.8068950000000003E-3</v>
      </c>
      <c r="X5902">
        <v>0.99504919999999997</v>
      </c>
      <c r="Y5902">
        <v>0.20101330000000001</v>
      </c>
      <c r="Z5902">
        <v>-3.5681689999999999E-3</v>
      </c>
      <c r="AA5902">
        <v>0.97958199999999995</v>
      </c>
      <c r="AB5902">
        <v>34</v>
      </c>
      <c r="AC5902">
        <v>24.155100000000001</v>
      </c>
      <c r="AD5902">
        <v>-1.1107156005479999</v>
      </c>
      <c r="AE5902">
        <v>-5.5542800000000003</v>
      </c>
      <c r="AF5902">
        <v>5.0387404744426698</v>
      </c>
      <c r="AG5902">
        <v>-1.1107156005479999</v>
      </c>
      <c r="AH5902">
        <v>24.217142919530101</v>
      </c>
      <c r="AI5902">
        <v>92.571036388268098</v>
      </c>
      <c r="AJ5902">
        <v>78.246445256660394</v>
      </c>
      <c r="AK5902">
        <v>24.760706894170699</v>
      </c>
      <c r="AL5902">
        <v>89.495395549468796</v>
      </c>
      <c r="AM5902">
        <v>84.318633197971707</v>
      </c>
      <c r="AN5902">
        <v>0.99999997363973503</v>
      </c>
    </row>
    <row r="5903" spans="1:40" x14ac:dyDescent="0.25">
      <c r="A5903" t="str">
        <f>"20190312154952803"</f>
        <v>20190312154952803</v>
      </c>
      <c r="B5903" t="str">
        <f>"1552376992792082"</f>
        <v>1552376992792082</v>
      </c>
      <c r="C5903" t="s">
        <v>40</v>
      </c>
      <c r="D5903">
        <v>4.6124749999999999</v>
      </c>
      <c r="E5903">
        <v>0.54062809999999994</v>
      </c>
      <c r="F5903" t="s">
        <v>43</v>
      </c>
      <c r="G5903">
        <v>-318.3415</v>
      </c>
      <c r="H5903">
        <v>-0.05</v>
      </c>
      <c r="I5903">
        <v>12.33769</v>
      </c>
      <c r="J5903">
        <v>-344.56619999999998</v>
      </c>
      <c r="K5903">
        <v>1.1107209999999901</v>
      </c>
      <c r="L5903">
        <v>18.424009999999999</v>
      </c>
      <c r="M5903">
        <v>0.99969209999999997</v>
      </c>
      <c r="N5903">
        <v>0</v>
      </c>
      <c r="O5903">
        <v>-2.0138E-2</v>
      </c>
      <c r="P5903">
        <v>0.99271920000000002</v>
      </c>
      <c r="Q5903">
        <v>-6.7130640000000004E-3</v>
      </c>
      <c r="R5903">
        <v>-0.12026580000000001</v>
      </c>
      <c r="S5903">
        <v>2.9394529999999999</v>
      </c>
      <c r="T5903">
        <v>-0.12897</v>
      </c>
      <c r="U5903">
        <v>-0.67672730000000003</v>
      </c>
      <c r="V5903">
        <v>0.1002301</v>
      </c>
      <c r="W5903">
        <v>7.9376510000000004E-3</v>
      </c>
      <c r="X5903">
        <v>0.99493259999999994</v>
      </c>
      <c r="Y5903">
        <v>0.2045129</v>
      </c>
      <c r="Z5903">
        <v>-3.5552779999999998E-3</v>
      </c>
      <c r="AA5903">
        <v>0.97885739999999999</v>
      </c>
      <c r="AB5903">
        <v>34</v>
      </c>
      <c r="AC5903">
        <v>26.224699999999899</v>
      </c>
      <c r="AD5903">
        <v>-1.1607209999999999</v>
      </c>
      <c r="AE5903">
        <v>-6.08631999999999</v>
      </c>
      <c r="AF5903">
        <v>5.5466065247169096</v>
      </c>
      <c r="AG5903">
        <v>-1.1607209999999999</v>
      </c>
      <c r="AH5903">
        <v>26.2930843660187</v>
      </c>
      <c r="AI5903">
        <v>92.4733443564254</v>
      </c>
      <c r="AJ5903">
        <v>78.087931191606899</v>
      </c>
      <c r="AK5903">
        <v>26.896810269220602</v>
      </c>
      <c r="AL5903">
        <v>89.545201312904794</v>
      </c>
      <c r="AM5903">
        <v>84.247397231237997</v>
      </c>
      <c r="AN5903">
        <v>0.99999997889608305</v>
      </c>
    </row>
    <row r="5904" spans="1:40" x14ac:dyDescent="0.25">
      <c r="A5904" t="str">
        <f>"20190312154952822"</f>
        <v>20190312154952822</v>
      </c>
      <c r="B5904" t="str">
        <f>"1552376992811601"</f>
        <v>1552376992811601</v>
      </c>
      <c r="C5904" t="s">
        <v>40</v>
      </c>
      <c r="D5904">
        <v>4.6490859999999996</v>
      </c>
      <c r="E5904">
        <v>0.54079750000000004</v>
      </c>
      <c r="F5904" t="s">
        <v>43</v>
      </c>
      <c r="G5904">
        <v>-318.54050000000001</v>
      </c>
      <c r="H5904">
        <v>-0.05</v>
      </c>
      <c r="I5904">
        <v>12.41888</v>
      </c>
      <c r="J5904">
        <v>-344.28730000000002</v>
      </c>
      <c r="K5904">
        <v>1.1107209999999901</v>
      </c>
      <c r="L5904">
        <v>18.419280000000001</v>
      </c>
      <c r="M5904">
        <v>0.99970950000000003</v>
      </c>
      <c r="N5904">
        <v>0</v>
      </c>
      <c r="O5904">
        <v>-1.9248410000000001E-2</v>
      </c>
      <c r="P5904">
        <v>0.99257079999999998</v>
      </c>
      <c r="Q5904">
        <v>-8.7583399999999999E-3</v>
      </c>
      <c r="R5904">
        <v>-0.1213538</v>
      </c>
      <c r="S5904">
        <v>2.938965</v>
      </c>
      <c r="T5904">
        <v>-0.13107489999999999</v>
      </c>
      <c r="U5904">
        <v>-0.67813109999999999</v>
      </c>
      <c r="V5904">
        <v>0.1022107</v>
      </c>
      <c r="W5904">
        <v>5.9054190000000003E-3</v>
      </c>
      <c r="X5904">
        <v>0.99474530000000005</v>
      </c>
      <c r="Y5904">
        <v>0.2058555</v>
      </c>
      <c r="Z5904">
        <v>-3.6822769999999999E-3</v>
      </c>
      <c r="AA5904">
        <v>0.97857550000000004</v>
      </c>
      <c r="AB5904">
        <v>34</v>
      </c>
      <c r="AC5904">
        <v>25.7468</v>
      </c>
      <c r="AD5904">
        <v>-1.1607209999999999</v>
      </c>
      <c r="AE5904">
        <v>-6.0004</v>
      </c>
      <c r="AF5904">
        <v>5.4930620084121697</v>
      </c>
      <c r="AG5904">
        <v>-1.1607209999999999</v>
      </c>
      <c r="AH5904">
        <v>25.8077896210341</v>
      </c>
      <c r="AI5904">
        <v>92.518828808001203</v>
      </c>
      <c r="AJ5904">
        <v>77.984182587743703</v>
      </c>
      <c r="AK5904">
        <v>26.411418148059699</v>
      </c>
      <c r="AL5904">
        <v>89.661642467503</v>
      </c>
      <c r="AM5904">
        <v>84.133410990060696</v>
      </c>
      <c r="AN5904">
        <v>1.00000005652007</v>
      </c>
    </row>
    <row r="5905" spans="1:40" x14ac:dyDescent="0.25">
      <c r="A5905" t="str">
        <f>"20190312154952844"</f>
        <v>20190312154952844</v>
      </c>
      <c r="B5905" t="str">
        <f>"1552376992832097"</f>
        <v>1552376992832097</v>
      </c>
      <c r="C5905" t="s">
        <v>40</v>
      </c>
      <c r="D5905">
        <v>4.5838599999999996</v>
      </c>
      <c r="E5905">
        <v>0.54084880000000002</v>
      </c>
      <c r="F5905" t="s">
        <v>42</v>
      </c>
      <c r="G5905">
        <v>-320.2364</v>
      </c>
      <c r="H5905" s="1">
        <v>-5.79947199999999E-6</v>
      </c>
      <c r="I5905">
        <v>12.83052</v>
      </c>
      <c r="J5905">
        <v>-343.9615</v>
      </c>
      <c r="K5905">
        <v>1.1107290000000001</v>
      </c>
      <c r="L5905">
        <v>18.41403</v>
      </c>
      <c r="M5905">
        <v>0.99972879999999997</v>
      </c>
      <c r="N5905">
        <v>0</v>
      </c>
      <c r="O5905">
        <v>-1.821068E-2</v>
      </c>
      <c r="P5905">
        <v>0.99254379999999998</v>
      </c>
      <c r="Q5905">
        <v>-9.8812099999999996E-3</v>
      </c>
      <c r="R5905">
        <v>-0.1214871</v>
      </c>
      <c r="S5905">
        <v>2.9378660000000001</v>
      </c>
      <c r="T5905">
        <v>-0.13567770000000001</v>
      </c>
      <c r="U5905">
        <v>-0.68267819999999901</v>
      </c>
      <c r="V5905">
        <v>0.1033795</v>
      </c>
      <c r="W5905">
        <v>4.794881E-3</v>
      </c>
      <c r="X5905">
        <v>0.99463049999999997</v>
      </c>
      <c r="Y5905">
        <v>0.208372</v>
      </c>
      <c r="Z5905">
        <v>-3.9167200000000003E-3</v>
      </c>
      <c r="AA5905">
        <v>0.97804179999999996</v>
      </c>
      <c r="AB5905">
        <v>34</v>
      </c>
      <c r="AC5905">
        <v>23.725100000000001</v>
      </c>
      <c r="AD5905">
        <v>-1.110734799472</v>
      </c>
      <c r="AE5905">
        <v>-5.5835099999999898</v>
      </c>
      <c r="AF5905">
        <v>5.1398138401665303</v>
      </c>
      <c r="AG5905">
        <v>-1.110734799472</v>
      </c>
      <c r="AH5905">
        <v>23.773482484051598</v>
      </c>
      <c r="AI5905">
        <v>92.614681024387295</v>
      </c>
      <c r="AJ5905">
        <v>77.800449000022894</v>
      </c>
      <c r="AK5905">
        <v>24.34809823222</v>
      </c>
      <c r="AL5905">
        <v>89.725272522423793</v>
      </c>
      <c r="AM5905">
        <v>84.066121325829997</v>
      </c>
      <c r="AN5905">
        <v>1.00000007171714</v>
      </c>
    </row>
    <row r="5906" spans="1:40" x14ac:dyDescent="0.25">
      <c r="A5906" t="str">
        <f>"20190312154952857"</f>
        <v>20190312154952857</v>
      </c>
      <c r="B5906" t="str">
        <f>"1552376992841857"</f>
        <v>1552376992841857</v>
      </c>
      <c r="C5906" t="s">
        <v>40</v>
      </c>
      <c r="D5906">
        <v>5.3304499999999999</v>
      </c>
      <c r="E5906">
        <v>0.54086140000000005</v>
      </c>
      <c r="F5906" t="s">
        <v>42</v>
      </c>
      <c r="G5906">
        <v>-320.35789999999997</v>
      </c>
      <c r="H5906" s="1">
        <v>-5.7257939999999997E-6</v>
      </c>
      <c r="I5906">
        <v>12.92216</v>
      </c>
      <c r="J5906">
        <v>-343.75420000000003</v>
      </c>
      <c r="K5906">
        <v>1.1107400000000001</v>
      </c>
      <c r="L5906">
        <v>18.410889999999998</v>
      </c>
      <c r="M5906">
        <v>0.99974059999999998</v>
      </c>
      <c r="N5906">
        <v>0</v>
      </c>
      <c r="O5906">
        <v>-1.7553490000000001E-2</v>
      </c>
      <c r="P5906">
        <v>0.99258150000000001</v>
      </c>
      <c r="Q5906">
        <v>-9.9865830000000003E-3</v>
      </c>
      <c r="R5906">
        <v>-0.1211718</v>
      </c>
      <c r="S5906">
        <v>2.9375</v>
      </c>
      <c r="T5906">
        <v>-0.13823250000000001</v>
      </c>
      <c r="U5906">
        <v>-0.68347170000000002</v>
      </c>
      <c r="V5906">
        <v>0.1037174</v>
      </c>
      <c r="W5906">
        <v>4.6952239999999996E-3</v>
      </c>
      <c r="X5906">
        <v>0.99459569999999997</v>
      </c>
      <c r="Y5906">
        <v>0.20928340000000001</v>
      </c>
      <c r="Z5906">
        <v>-4.0423780000000001E-3</v>
      </c>
      <c r="AA5906">
        <v>0.97784669999999896</v>
      </c>
      <c r="AB5906">
        <v>34</v>
      </c>
      <c r="AC5906">
        <v>23.3963</v>
      </c>
      <c r="AD5906">
        <v>-1.1107457257940001</v>
      </c>
      <c r="AE5906">
        <v>-5.4887299999999897</v>
      </c>
      <c r="AF5906">
        <v>5.0663308430187897</v>
      </c>
      <c r="AG5906">
        <v>-1.1107457257940001</v>
      </c>
      <c r="AH5906">
        <v>23.438977686961199</v>
      </c>
      <c r="AI5906">
        <v>92.651996230357099</v>
      </c>
      <c r="AJ5906">
        <v>77.803165561199606</v>
      </c>
      <c r="AK5906">
        <v>24.005981323165301</v>
      </c>
      <c r="AL5906">
        <v>89.730982485866207</v>
      </c>
      <c r="AM5906">
        <v>84.046658471364196</v>
      </c>
      <c r="AN5906">
        <v>0.99999997532482898</v>
      </c>
    </row>
    <row r="5907" spans="1:40" x14ac:dyDescent="0.25">
      <c r="A5907" t="str">
        <f>"20190312154952871"</f>
        <v>20190312154952871</v>
      </c>
      <c r="B5907" t="str">
        <f>"1552376992861378"</f>
        <v>1552376992861378</v>
      </c>
      <c r="C5907" t="s">
        <v>40</v>
      </c>
      <c r="D5907">
        <v>4.6193650000000002</v>
      </c>
      <c r="E5907">
        <v>0.54101169999999899</v>
      </c>
      <c r="F5907" t="s">
        <v>42</v>
      </c>
      <c r="G5907">
        <v>-320.15230000000003</v>
      </c>
      <c r="H5907" s="1">
        <v>-5.8220079999999997E-6</v>
      </c>
      <c r="I5907">
        <v>12.92765</v>
      </c>
      <c r="J5907">
        <v>-343.55689999999998</v>
      </c>
      <c r="K5907">
        <v>1.110746</v>
      </c>
      <c r="L5907">
        <v>18.40802</v>
      </c>
      <c r="M5907">
        <v>0.99975119999999895</v>
      </c>
      <c r="N5907">
        <v>0</v>
      </c>
      <c r="O5907">
        <v>-1.6929940000000001E-2</v>
      </c>
      <c r="P5907">
        <v>0.99265669999999995</v>
      </c>
      <c r="Q5907">
        <v>-9.8200570000000001E-3</v>
      </c>
      <c r="R5907">
        <v>-0.12056740000000001</v>
      </c>
      <c r="S5907">
        <v>2.9377140000000002</v>
      </c>
      <c r="T5907">
        <v>-0.13825390000000001</v>
      </c>
      <c r="U5907">
        <v>-0.68249510000000002</v>
      </c>
      <c r="V5907">
        <v>0.10373159999999999</v>
      </c>
      <c r="W5907">
        <v>4.8659289999999997E-3</v>
      </c>
      <c r="X5907">
        <v>0.99459339999999996</v>
      </c>
      <c r="Y5907">
        <v>0.20956810000000001</v>
      </c>
      <c r="Z5907">
        <v>-4.0783920000000001E-3</v>
      </c>
      <c r="AA5907">
        <v>0.97778549999999997</v>
      </c>
      <c r="AB5907">
        <v>34</v>
      </c>
      <c r="AC5907">
        <v>23.404599999999899</v>
      </c>
      <c r="AD5907">
        <v>-1.1107518220079999</v>
      </c>
      <c r="AE5907">
        <v>-5.4803699999999997</v>
      </c>
      <c r="AF5907">
        <v>5.07247310177309</v>
      </c>
      <c r="AG5907">
        <v>-1.1107518220079999</v>
      </c>
      <c r="AH5907">
        <v>23.443978218213498</v>
      </c>
      <c r="AI5907">
        <v>92.651327815997504</v>
      </c>
      <c r="AJ5907">
        <v>77.7913484495201</v>
      </c>
      <c r="AK5907">
        <v>24.0121608289294</v>
      </c>
      <c r="AL5907">
        <v>89.721201698193099</v>
      </c>
      <c r="AM5907">
        <v>84.0458355814729</v>
      </c>
      <c r="AN5907">
        <v>0.99999997671357599</v>
      </c>
    </row>
    <row r="5908" spans="1:40" x14ac:dyDescent="0.25">
      <c r="A5908" t="str">
        <f>"20190312154952888"</f>
        <v>20190312154952888</v>
      </c>
      <c r="B5908" t="str">
        <f>"1552376992881873"</f>
        <v>1552376992881873</v>
      </c>
      <c r="C5908" t="s">
        <v>40</v>
      </c>
      <c r="D5908">
        <v>4.5966129999999996</v>
      </c>
      <c r="E5908">
        <v>0.54120109999999999</v>
      </c>
      <c r="F5908" t="s">
        <v>43</v>
      </c>
      <c r="G5908">
        <v>-318.28930000000003</v>
      </c>
      <c r="H5908">
        <v>-0.05</v>
      </c>
      <c r="I5908">
        <v>12.54283</v>
      </c>
      <c r="J5908">
        <v>-343.28429999999997</v>
      </c>
      <c r="K5908">
        <v>1.110749</v>
      </c>
      <c r="L5908">
        <v>18.404240000000001</v>
      </c>
      <c r="M5908">
        <v>0.99976520000000002</v>
      </c>
      <c r="N5908">
        <v>0</v>
      </c>
      <c r="O5908">
        <v>-1.6073609999999999E-2</v>
      </c>
      <c r="P5908">
        <v>0.99272269999999896</v>
      </c>
      <c r="Q5908">
        <v>-9.1746840000000007E-3</v>
      </c>
      <c r="R5908">
        <v>-0.120072499999999</v>
      </c>
      <c r="S5908">
        <v>2.9379879999999998</v>
      </c>
      <c r="T5908">
        <v>-0.1349659</v>
      </c>
      <c r="U5908">
        <v>-0.68197629999999998</v>
      </c>
      <c r="V5908">
        <v>0.10408630000000001</v>
      </c>
      <c r="W5908">
        <v>5.5163269999999997E-3</v>
      </c>
      <c r="X5908">
        <v>0.99455300000000002</v>
      </c>
      <c r="Y5908">
        <v>0.21022959999999999</v>
      </c>
      <c r="Z5908">
        <v>-4.0349649999999997E-3</v>
      </c>
      <c r="AA5908">
        <v>0.9776437</v>
      </c>
      <c r="AB5908">
        <v>34</v>
      </c>
      <c r="AC5908">
        <v>24.994999999999902</v>
      </c>
      <c r="AD5908">
        <v>-1.160749</v>
      </c>
      <c r="AE5908">
        <v>-5.8614099999999896</v>
      </c>
      <c r="AF5908">
        <v>5.4477141370911903</v>
      </c>
      <c r="AG5908">
        <v>-1.160749</v>
      </c>
      <c r="AH5908">
        <v>25.034818285135799</v>
      </c>
      <c r="AI5908">
        <v>92.594019689597502</v>
      </c>
      <c r="AJ5908">
        <v>77.723508128887104</v>
      </c>
      <c r="AK5908">
        <v>25.646969687084599</v>
      </c>
      <c r="AL5908">
        <v>89.683936150598896</v>
      </c>
      <c r="AM5908">
        <v>84.025381979466502</v>
      </c>
      <c r="AN5908">
        <v>1.0000000287601301</v>
      </c>
    </row>
    <row r="5909" spans="1:40" x14ac:dyDescent="0.25">
      <c r="A5909" t="str">
        <f>"20190312154952901"</f>
        <v>20190312154952901</v>
      </c>
      <c r="B5909" t="str">
        <f>"1552376992891633"</f>
        <v>1552376992891633</v>
      </c>
      <c r="C5909" t="s">
        <v>40</v>
      </c>
      <c r="D5909">
        <v>4.6163730000000003</v>
      </c>
      <c r="E5909">
        <v>0.54122040000000005</v>
      </c>
      <c r="F5909" t="s">
        <v>43</v>
      </c>
      <c r="G5909">
        <v>-317.76830000000001</v>
      </c>
      <c r="H5909">
        <v>-0.05</v>
      </c>
      <c r="I5909">
        <v>12.48193</v>
      </c>
      <c r="J5909">
        <v>-343.08539999999999</v>
      </c>
      <c r="K5909">
        <v>1.1107499999999999</v>
      </c>
      <c r="L5909">
        <v>18.40164</v>
      </c>
      <c r="M5909">
        <v>0.99977510000000003</v>
      </c>
      <c r="N5909">
        <v>0</v>
      </c>
      <c r="O5909">
        <v>-1.5452850000000001E-2</v>
      </c>
      <c r="P5909">
        <v>0.99278310000000003</v>
      </c>
      <c r="Q5909">
        <v>-9.0957469999999995E-3</v>
      </c>
      <c r="R5909">
        <v>-0.1195799</v>
      </c>
      <c r="S5909">
        <v>2.9382630000000001</v>
      </c>
      <c r="T5909">
        <v>-0.13366459999999999</v>
      </c>
      <c r="U5909">
        <v>-0.68197629999999998</v>
      </c>
      <c r="V5909">
        <v>0.10421</v>
      </c>
      <c r="W5909">
        <v>5.5978649999999996E-3</v>
      </c>
      <c r="X5909">
        <v>0.99453959999999997</v>
      </c>
      <c r="Y5909">
        <v>0.21081900000000001</v>
      </c>
      <c r="Z5909">
        <v>-4.0367909999999996E-3</v>
      </c>
      <c r="AA5909">
        <v>0.97751679999999996</v>
      </c>
      <c r="AB5909">
        <v>34</v>
      </c>
      <c r="AC5909">
        <v>25.3170999999999</v>
      </c>
      <c r="AD5909">
        <v>-1.1607499999999999</v>
      </c>
      <c r="AE5909">
        <v>-5.9197100000000002</v>
      </c>
      <c r="AF5909">
        <v>5.5167449132344997</v>
      </c>
      <c r="AG5909">
        <v>-1.1607499999999999</v>
      </c>
      <c r="AH5909">
        <v>25.355027078986701</v>
      </c>
      <c r="AI5909">
        <v>92.561319498163101</v>
      </c>
      <c r="AJ5909">
        <v>77.724907147351303</v>
      </c>
      <c r="AK5909">
        <v>25.974202840055501</v>
      </c>
      <c r="AL5909">
        <v>89.679264298314294</v>
      </c>
      <c r="AM5909">
        <v>84.018252963723995</v>
      </c>
      <c r="AN5909">
        <v>1.00000003808035</v>
      </c>
    </row>
    <row r="5910" spans="1:40" x14ac:dyDescent="0.25">
      <c r="A5910" t="str">
        <f>"20190312154952916"</f>
        <v>20190312154952916</v>
      </c>
      <c r="B5910" t="str">
        <f>"1552376992901394"</f>
        <v>1552376992901394</v>
      </c>
      <c r="C5910" t="s">
        <v>40</v>
      </c>
      <c r="D5910">
        <v>4.5993879999999896</v>
      </c>
      <c r="E5910">
        <v>0.54124130000000004</v>
      </c>
      <c r="F5910" t="s">
        <v>43</v>
      </c>
      <c r="G5910">
        <v>-317.45699999999999</v>
      </c>
      <c r="H5910">
        <v>-0.05</v>
      </c>
      <c r="I5910">
        <v>12.465389999999999</v>
      </c>
      <c r="J5910">
        <v>-342.8854</v>
      </c>
      <c r="K5910">
        <v>1.110751</v>
      </c>
      <c r="L5910">
        <v>18.3992</v>
      </c>
      <c r="M5910">
        <v>0.99978440000000002</v>
      </c>
      <c r="N5910">
        <v>0</v>
      </c>
      <c r="O5910">
        <v>-1.483282E-2</v>
      </c>
      <c r="P5910">
        <v>0.99284349999999999</v>
      </c>
      <c r="Q5910">
        <v>-9.2908130000000002E-3</v>
      </c>
      <c r="R5910">
        <v>-0.1190606</v>
      </c>
      <c r="S5910">
        <v>2.938599</v>
      </c>
      <c r="T5910">
        <v>-0.13309399999999999</v>
      </c>
      <c r="U5910">
        <v>-0.68066409999999999</v>
      </c>
      <c r="V5910">
        <v>0.1043072</v>
      </c>
      <c r="W5910">
        <v>5.404748E-3</v>
      </c>
      <c r="X5910">
        <v>0.99453040000000004</v>
      </c>
      <c r="Y5910">
        <v>0.21098720000000001</v>
      </c>
      <c r="Z5910">
        <v>-4.0507620000000003E-3</v>
      </c>
      <c r="AA5910">
        <v>0.97748040000000003</v>
      </c>
      <c r="AB5910">
        <v>34</v>
      </c>
      <c r="AC5910">
        <v>25.4284</v>
      </c>
      <c r="AD5910">
        <v>-1.1607510000000001</v>
      </c>
      <c r="AE5910">
        <v>-5.9338100000000003</v>
      </c>
      <c r="AF5910">
        <v>5.5449848311872296</v>
      </c>
      <c r="AG5910">
        <v>-1.1607510000000001</v>
      </c>
      <c r="AH5910">
        <v>25.463307947987801</v>
      </c>
      <c r="AI5910">
        <v>92.550346987690801</v>
      </c>
      <c r="AJ5910">
        <v>77.714852539112201</v>
      </c>
      <c r="AK5910">
        <v>26.085901389757598</v>
      </c>
      <c r="AL5910">
        <v>89.690329230189704</v>
      </c>
      <c r="AM5910">
        <v>84.0126591230771</v>
      </c>
      <c r="AN5910">
        <v>0.99999995989847001</v>
      </c>
    </row>
    <row r="5911" spans="1:40" x14ac:dyDescent="0.25">
      <c r="A5911" t="str">
        <f>"20190312154952929"</f>
        <v>20190312154952929</v>
      </c>
      <c r="B5911" t="str">
        <f>"1552376992921890"</f>
        <v>1552376992921890</v>
      </c>
      <c r="C5911" t="s">
        <v>40</v>
      </c>
      <c r="D5911">
        <v>4.634455</v>
      </c>
      <c r="E5911">
        <v>0.54137880000000005</v>
      </c>
      <c r="F5911" t="s">
        <v>43</v>
      </c>
      <c r="G5911">
        <v>-317.17160000000001</v>
      </c>
      <c r="H5911">
        <v>-0.05</v>
      </c>
      <c r="I5911">
        <v>12.45612</v>
      </c>
      <c r="J5911">
        <v>-342.67219999999998</v>
      </c>
      <c r="K5911">
        <v>1.110743</v>
      </c>
      <c r="L5911">
        <v>18.39667</v>
      </c>
      <c r="M5911">
        <v>0.99979390000000001</v>
      </c>
      <c r="N5911">
        <v>0</v>
      </c>
      <c r="O5911">
        <v>-1.417622E-2</v>
      </c>
      <c r="P5911">
        <v>0.99292840000000004</v>
      </c>
      <c r="Q5911">
        <v>-9.6589999999999992E-3</v>
      </c>
      <c r="R5911">
        <v>-0.11832330000000001</v>
      </c>
      <c r="S5911">
        <v>2.9389340000000002</v>
      </c>
      <c r="T5911">
        <v>-0.13266689999999901</v>
      </c>
      <c r="U5911">
        <v>-0.67926030000000004</v>
      </c>
      <c r="V5911">
        <v>0.10422240000000001</v>
      </c>
      <c r="W5911">
        <v>5.0371119999999998E-3</v>
      </c>
      <c r="X5911">
        <v>0.99454129999999996</v>
      </c>
      <c r="Y5911">
        <v>0.21116190000000001</v>
      </c>
      <c r="Z5911">
        <v>-4.070649E-3</v>
      </c>
      <c r="AA5911">
        <v>0.97744260000000005</v>
      </c>
      <c r="AB5911">
        <v>34</v>
      </c>
      <c r="AC5911">
        <v>25.500599999999899</v>
      </c>
      <c r="AD5911">
        <v>-1.1607430000000001</v>
      </c>
      <c r="AE5911">
        <v>-5.94055</v>
      </c>
      <c r="AF5911">
        <v>5.5674711021732897</v>
      </c>
      <c r="AG5911">
        <v>-1.1607430000000001</v>
      </c>
      <c r="AH5911">
        <v>25.5320832351434</v>
      </c>
      <c r="AI5911">
        <v>92.543313276601694</v>
      </c>
      <c r="AJ5911">
        <v>77.6987646148512</v>
      </c>
      <c r="AK5911">
        <v>26.157815908670099</v>
      </c>
      <c r="AL5911">
        <v>89.711393532349206</v>
      </c>
      <c r="AM5911">
        <v>84.017556506150399</v>
      </c>
      <c r="AN5911">
        <v>1.00000003928237</v>
      </c>
    </row>
    <row r="5912" spans="1:40" x14ac:dyDescent="0.25">
      <c r="A5912" t="str">
        <f>"20190312154952944"</f>
        <v>20190312154952944</v>
      </c>
      <c r="B5912" t="str">
        <f>"1552376992931649"</f>
        <v>1552376992931649</v>
      </c>
      <c r="C5912" t="s">
        <v>40</v>
      </c>
      <c r="D5912">
        <v>4.6152559999999996</v>
      </c>
      <c r="E5912">
        <v>0.54140669999999902</v>
      </c>
      <c r="F5912" t="s">
        <v>43</v>
      </c>
      <c r="G5912">
        <v>-316.97160000000002</v>
      </c>
      <c r="H5912">
        <v>-0.05</v>
      </c>
      <c r="I5912">
        <v>12.466710000000001</v>
      </c>
      <c r="J5912">
        <v>-342.44110000000001</v>
      </c>
      <c r="K5912">
        <v>1.1107400000000001</v>
      </c>
      <c r="L5912">
        <v>18.39404</v>
      </c>
      <c r="M5912">
        <v>0.99980369999999996</v>
      </c>
      <c r="N5912">
        <v>0</v>
      </c>
      <c r="O5912">
        <v>-1.347245E-2</v>
      </c>
      <c r="P5912">
        <v>0.99304320000000001</v>
      </c>
      <c r="Q5912">
        <v>-9.613669E-3</v>
      </c>
      <c r="R5912">
        <v>-0.11735909999999999</v>
      </c>
      <c r="S5912">
        <v>2.9393009999999999</v>
      </c>
      <c r="T5912">
        <v>-0.13275090000000001</v>
      </c>
      <c r="U5912">
        <v>-0.67819209999999996</v>
      </c>
      <c r="V5912">
        <v>0.1039571</v>
      </c>
      <c r="W5912">
        <v>5.0824099999999999E-3</v>
      </c>
      <c r="X5912">
        <v>0.99456880000000003</v>
      </c>
      <c r="Y5912">
        <v>0.2114847</v>
      </c>
      <c r="Z5912">
        <v>-4.1114159999999997E-3</v>
      </c>
      <c r="AA5912">
        <v>0.97737260000000004</v>
      </c>
      <c r="AB5912">
        <v>34</v>
      </c>
      <c r="AC5912">
        <v>25.469499999999901</v>
      </c>
      <c r="AD5912">
        <v>-1.1607399999999899</v>
      </c>
      <c r="AE5912">
        <v>-5.9273300000000004</v>
      </c>
      <c r="AF5912">
        <v>5.57263962999368</v>
      </c>
      <c r="AG5912">
        <v>-1.1607399999999899</v>
      </c>
      <c r="AH5912">
        <v>25.4968167983337</v>
      </c>
      <c r="AI5912">
        <v>92.546552629274203</v>
      </c>
      <c r="AJ5912">
        <v>77.671183487182404</v>
      </c>
      <c r="AK5912">
        <v>26.124496103105301</v>
      </c>
      <c r="AL5912">
        <v>89.708798104655202</v>
      </c>
      <c r="AM5912">
        <v>84.032838708226606</v>
      </c>
      <c r="AN5912">
        <v>1.00000000373262</v>
      </c>
    </row>
    <row r="5913" spans="1:40" x14ac:dyDescent="0.25">
      <c r="A5913" t="str">
        <f>"20190312154952960"</f>
        <v>20190312154952960</v>
      </c>
      <c r="B5913" t="str">
        <f>"1552376992952145"</f>
        <v>1552376992952145</v>
      </c>
      <c r="C5913" t="s">
        <v>40</v>
      </c>
      <c r="D5913">
        <v>4.5966389999999997</v>
      </c>
      <c r="E5913">
        <v>0.54165479999999999</v>
      </c>
      <c r="F5913" t="s">
        <v>43</v>
      </c>
      <c r="G5913">
        <v>-316.5917</v>
      </c>
      <c r="H5913">
        <v>-0.05</v>
      </c>
      <c r="I5913">
        <v>12.452730000000001</v>
      </c>
      <c r="J5913">
        <v>-342.22190000000001</v>
      </c>
      <c r="K5913">
        <v>1.1107389999999999</v>
      </c>
      <c r="L5913">
        <v>18.391749999999998</v>
      </c>
      <c r="M5913">
        <v>0.99981220000000004</v>
      </c>
      <c r="N5913">
        <v>0</v>
      </c>
      <c r="O5913">
        <v>-1.2816630000000001E-2</v>
      </c>
      <c r="P5913">
        <v>0.99312469999999997</v>
      </c>
      <c r="Q5913">
        <v>-9.0157840000000006E-3</v>
      </c>
      <c r="R5913">
        <v>-0.1167151</v>
      </c>
      <c r="S5913">
        <v>2.9399109999999999</v>
      </c>
      <c r="T5913">
        <v>-0.13201379999999999</v>
      </c>
      <c r="U5913">
        <v>-0.67572019999999899</v>
      </c>
      <c r="V5913">
        <v>0.1039631</v>
      </c>
      <c r="W5913">
        <v>5.6789259999999999E-3</v>
      </c>
      <c r="X5913">
        <v>0.99456500000000003</v>
      </c>
      <c r="Y5913">
        <v>0.21130260000000001</v>
      </c>
      <c r="Z5913">
        <v>-4.1131659999999997E-3</v>
      </c>
      <c r="AA5913">
        <v>0.97741199999999995</v>
      </c>
      <c r="AB5913">
        <v>34</v>
      </c>
      <c r="AC5913">
        <v>25.630199999999999</v>
      </c>
      <c r="AD5913">
        <v>-1.160739</v>
      </c>
      <c r="AE5913">
        <v>-5.9390199999999904</v>
      </c>
      <c r="AF5913">
        <v>5.5991060206096996</v>
      </c>
      <c r="AG5913">
        <v>-1.160739</v>
      </c>
      <c r="AH5913">
        <v>25.654285012979098</v>
      </c>
      <c r="AI5913">
        <v>92.531103177259993</v>
      </c>
      <c r="AJ5913">
        <v>77.688130897503498</v>
      </c>
      <c r="AK5913">
        <v>26.283828541202201</v>
      </c>
      <c r="AL5913">
        <v>89.674619777892303</v>
      </c>
      <c r="AM5913">
        <v>84.032474156142499</v>
      </c>
      <c r="AN5913">
        <v>1.0000000577935599</v>
      </c>
    </row>
    <row r="5914" spans="1:40" x14ac:dyDescent="0.25">
      <c r="A5914" t="str">
        <f>"20190312154952974"</f>
        <v>20190312154952974</v>
      </c>
      <c r="B5914" t="str">
        <f>"1552376992961906"</f>
        <v>1552376992961906</v>
      </c>
      <c r="C5914" t="s">
        <v>40</v>
      </c>
      <c r="D5914">
        <v>4.628101</v>
      </c>
      <c r="E5914">
        <v>0.54179219999999995</v>
      </c>
      <c r="F5914" t="s">
        <v>43</v>
      </c>
      <c r="G5914">
        <v>-316.11470000000003</v>
      </c>
      <c r="H5914">
        <v>-0.05</v>
      </c>
      <c r="I5914">
        <v>12.39091</v>
      </c>
      <c r="J5914">
        <v>-341.98989999999998</v>
      </c>
      <c r="K5914">
        <v>1.1107309999999999</v>
      </c>
      <c r="L5914">
        <v>18.389469999999999</v>
      </c>
      <c r="M5914">
        <v>0.99982079999999995</v>
      </c>
      <c r="N5914">
        <v>0</v>
      </c>
      <c r="O5914">
        <v>-1.213332E-2</v>
      </c>
      <c r="P5914">
        <v>0.99323399999999995</v>
      </c>
      <c r="Q5914">
        <v>-8.7030719999999992E-3</v>
      </c>
      <c r="R5914">
        <v>-0.1158035</v>
      </c>
      <c r="S5914">
        <v>2.9401860000000002</v>
      </c>
      <c r="T5914">
        <v>-0.1307218</v>
      </c>
      <c r="U5914">
        <v>-0.67581179999999996</v>
      </c>
      <c r="V5914">
        <v>0.10372960000000001</v>
      </c>
      <c r="W5914">
        <v>5.9893419999999999E-3</v>
      </c>
      <c r="X5914">
        <v>0.99458749999999996</v>
      </c>
      <c r="Y5914">
        <v>0.2119819</v>
      </c>
      <c r="Z5914">
        <v>-4.1174209999999996E-3</v>
      </c>
      <c r="AA5914">
        <v>0.97726489999999999</v>
      </c>
      <c r="AB5914">
        <v>34</v>
      </c>
      <c r="AC5914">
        <v>25.8751999999999</v>
      </c>
      <c r="AD5914">
        <v>-1.160731</v>
      </c>
      <c r="AE5914">
        <v>-5.9985600000000003</v>
      </c>
      <c r="AF5914">
        <v>5.67329892129528</v>
      </c>
      <c r="AG5914">
        <v>-1.160731</v>
      </c>
      <c r="AH5914">
        <v>25.896630720353201</v>
      </c>
      <c r="AI5914">
        <v>92.506999928745003</v>
      </c>
      <c r="AJ5914">
        <v>77.643154672351997</v>
      </c>
      <c r="AK5914">
        <v>26.5361847252214</v>
      </c>
      <c r="AL5914">
        <v>89.6568339291657</v>
      </c>
      <c r="AM5914">
        <v>84.045914489873596</v>
      </c>
      <c r="AN5914">
        <v>0.999999998645001</v>
      </c>
    </row>
    <row r="5915" spans="1:40" x14ac:dyDescent="0.25">
      <c r="A5915" t="str">
        <f>"20190312154952991"</f>
        <v>20190312154952991</v>
      </c>
      <c r="B5915" t="str">
        <f>"1552376992981425"</f>
        <v>1552376992981425</v>
      </c>
      <c r="C5915" t="s">
        <v>40</v>
      </c>
      <c r="D5915">
        <v>4.5134280000000002</v>
      </c>
      <c r="E5915">
        <v>0.54202099999999998</v>
      </c>
      <c r="F5915" t="s">
        <v>43</v>
      </c>
      <c r="G5915">
        <v>-315.66129999999998</v>
      </c>
      <c r="H5915">
        <v>-0.05</v>
      </c>
      <c r="I5915">
        <v>12.35364</v>
      </c>
      <c r="J5915">
        <v>-341.74829999999997</v>
      </c>
      <c r="K5915">
        <v>1.1107180000000001</v>
      </c>
      <c r="L5915">
        <v>18.387239999999998</v>
      </c>
      <c r="M5915">
        <v>0.99982890000000002</v>
      </c>
      <c r="N5915">
        <v>0</v>
      </c>
      <c r="O5915">
        <v>-1.143575E-2</v>
      </c>
      <c r="P5915">
        <v>0.99333990000000005</v>
      </c>
      <c r="Q5915">
        <v>-7.6864999999999998E-3</v>
      </c>
      <c r="R5915">
        <v>-0.1149657</v>
      </c>
      <c r="S5915">
        <v>2.9407350000000001</v>
      </c>
      <c r="T5915">
        <v>-0.12964589999999901</v>
      </c>
      <c r="U5915">
        <v>-0.67416379999999998</v>
      </c>
      <c r="V5915">
        <v>0.10358239999999901</v>
      </c>
      <c r="W5915">
        <v>7.002599E-3</v>
      </c>
      <c r="X5915">
        <v>0.99459620000000004</v>
      </c>
      <c r="Y5915">
        <v>0.21210599999999999</v>
      </c>
      <c r="Z5915">
        <v>-4.1161000000000001E-3</v>
      </c>
      <c r="AA5915">
        <v>0.97723800000000005</v>
      </c>
      <c r="AB5915">
        <v>34</v>
      </c>
      <c r="AC5915">
        <v>26.0869999999999</v>
      </c>
      <c r="AD5915">
        <v>-1.1607179999999999</v>
      </c>
      <c r="AE5915">
        <v>-6.0335999999999999</v>
      </c>
      <c r="AF5915">
        <v>5.7240927124937802</v>
      </c>
      <c r="AG5915">
        <v>-1.1607179999999999</v>
      </c>
      <c r="AH5915">
        <v>26.1052428525701</v>
      </c>
      <c r="AI5915">
        <v>92.486862115407007</v>
      </c>
      <c r="AJ5915">
        <v>77.632490720911406</v>
      </c>
      <c r="AK5915">
        <v>26.750630049559799</v>
      </c>
      <c r="AL5915">
        <v>89.598777342723906</v>
      </c>
      <c r="AM5915">
        <v>84.054354844936796</v>
      </c>
      <c r="AN5915">
        <v>0.99999997551847697</v>
      </c>
    </row>
    <row r="5916" spans="1:40" x14ac:dyDescent="0.25">
      <c r="A5916" t="str">
        <f>"20190312154953006"</f>
        <v>20190312154953006</v>
      </c>
      <c r="B5916" t="str">
        <f>"1552376993001922"</f>
        <v>1552376993001922</v>
      </c>
      <c r="C5916" t="s">
        <v>40</v>
      </c>
      <c r="D5916">
        <v>5.1607620000000001</v>
      </c>
      <c r="E5916">
        <v>0.54217669999999996</v>
      </c>
      <c r="F5916" t="s">
        <v>43</v>
      </c>
      <c r="G5916">
        <v>-314.851</v>
      </c>
      <c r="H5916">
        <v>-0.05</v>
      </c>
      <c r="I5916">
        <v>12.22784</v>
      </c>
      <c r="J5916">
        <v>-341.51679999999999</v>
      </c>
      <c r="K5916">
        <v>1.1107039999999999</v>
      </c>
      <c r="L5916">
        <v>18.38522</v>
      </c>
      <c r="M5916">
        <v>0.99983610000000001</v>
      </c>
      <c r="N5916">
        <v>0</v>
      </c>
      <c r="O5916">
        <v>-1.078171E-2</v>
      </c>
      <c r="P5916">
        <v>0.99344889999999997</v>
      </c>
      <c r="Q5916">
        <v>-7.6751930000000003E-3</v>
      </c>
      <c r="R5916">
        <v>-0.1140201</v>
      </c>
      <c r="S5916">
        <v>2.9411930000000002</v>
      </c>
      <c r="T5916">
        <v>-0.12692320000000001</v>
      </c>
      <c r="U5916">
        <v>-0.67352290000000004</v>
      </c>
      <c r="V5916">
        <v>0.1032865</v>
      </c>
      <c r="W5916">
        <v>7.0092740000000002E-3</v>
      </c>
      <c r="X5916">
        <v>0.99462689999999998</v>
      </c>
      <c r="Y5916">
        <v>0.2125166</v>
      </c>
      <c r="Z5916">
        <v>-4.0657970000000003E-3</v>
      </c>
      <c r="AA5916">
        <v>0.97714900000000005</v>
      </c>
      <c r="AB5916">
        <v>34</v>
      </c>
      <c r="AC5916">
        <v>26.665799999999901</v>
      </c>
      <c r="AD5916">
        <v>-1.160704</v>
      </c>
      <c r="AE5916">
        <v>-6.1573799999999999</v>
      </c>
      <c r="AF5916">
        <v>5.8589498379073701</v>
      </c>
      <c r="AG5916">
        <v>-1.160704</v>
      </c>
      <c r="AH5916">
        <v>26.682648107205601</v>
      </c>
      <c r="AI5916">
        <v>92.432925887543007</v>
      </c>
      <c r="AJ5916">
        <v>77.615590113230994</v>
      </c>
      <c r="AK5916">
        <v>27.342974179699102</v>
      </c>
      <c r="AL5916">
        <v>89.598394873994096</v>
      </c>
      <c r="AM5916">
        <v>84.071400088595595</v>
      </c>
      <c r="AN5916">
        <v>0.99999995060393199</v>
      </c>
    </row>
    <row r="5917" spans="1:40" x14ac:dyDescent="0.25">
      <c r="A5917" t="str">
        <f>"20190312154953023"</f>
        <v>20190312154953023</v>
      </c>
      <c r="B5917" t="str">
        <f>"1552376993011682"</f>
        <v>1552376993011682</v>
      </c>
      <c r="C5917" t="s">
        <v>40</v>
      </c>
      <c r="D5917">
        <v>4.6218320000000004</v>
      </c>
      <c r="E5917">
        <v>0.54236890000000004</v>
      </c>
      <c r="F5917" t="s">
        <v>43</v>
      </c>
      <c r="G5917">
        <v>-314.56900000000002</v>
      </c>
      <c r="H5917">
        <v>-0.05</v>
      </c>
      <c r="I5917">
        <v>12.2301</v>
      </c>
      <c r="J5917">
        <v>-341.25900000000001</v>
      </c>
      <c r="K5917">
        <v>1.110687</v>
      </c>
      <c r="L5917">
        <v>18.383150000000001</v>
      </c>
      <c r="M5917">
        <v>0.9998437</v>
      </c>
      <c r="N5917">
        <v>0</v>
      </c>
      <c r="O5917">
        <v>-1.0076E-2</v>
      </c>
      <c r="P5917">
        <v>0.99361529999999998</v>
      </c>
      <c r="Q5917">
        <v>-7.4766110000000002E-3</v>
      </c>
      <c r="R5917">
        <v>-0.1125767</v>
      </c>
      <c r="S5917">
        <v>2.941681</v>
      </c>
      <c r="T5917">
        <v>-0.12670490000000001</v>
      </c>
      <c r="U5917">
        <v>-0.67190550000000004</v>
      </c>
      <c r="V5917">
        <v>0.10254340000000001</v>
      </c>
      <c r="W5917">
        <v>7.2019120000000004E-3</v>
      </c>
      <c r="X5917">
        <v>0.99470250000000004</v>
      </c>
      <c r="Y5917">
        <v>0.2126603</v>
      </c>
      <c r="Z5917">
        <v>-4.0914360000000004E-3</v>
      </c>
      <c r="AA5917">
        <v>0.97711769999999998</v>
      </c>
      <c r="AB5917">
        <v>34</v>
      </c>
      <c r="AC5917">
        <v>26.69</v>
      </c>
      <c r="AD5917">
        <v>-1.160687</v>
      </c>
      <c r="AE5917">
        <v>-6.1530500000000004</v>
      </c>
      <c r="AF5917">
        <v>5.8732339458169696</v>
      </c>
      <c r="AG5917">
        <v>-1.160687</v>
      </c>
      <c r="AH5917">
        <v>26.702698346734799</v>
      </c>
      <c r="AI5917">
        <v>92.430877342327506</v>
      </c>
      <c r="AJ5917">
        <v>77.595364292897898</v>
      </c>
      <c r="AK5917">
        <v>27.365601953748101</v>
      </c>
      <c r="AL5917">
        <v>89.587357287286693</v>
      </c>
      <c r="AM5917">
        <v>84.114197371952997</v>
      </c>
      <c r="AN5917">
        <v>1.0000000399631299</v>
      </c>
    </row>
    <row r="5918" spans="1:40" x14ac:dyDescent="0.25">
      <c r="A5918" t="str">
        <f>"20190312154953037"</f>
        <v>20190312154953037</v>
      </c>
      <c r="B5918" t="str">
        <f>"1552376993021442"</f>
        <v>1552376993021442</v>
      </c>
      <c r="C5918" t="s">
        <v>40</v>
      </c>
      <c r="D5918">
        <v>4.6480139999999999</v>
      </c>
      <c r="E5918">
        <v>0.54256369999999998</v>
      </c>
      <c r="F5918" t="s">
        <v>43</v>
      </c>
      <c r="G5918">
        <v>-314.25880000000001</v>
      </c>
      <c r="H5918">
        <v>-0.05</v>
      </c>
      <c r="I5918">
        <v>12.24297</v>
      </c>
      <c r="J5918">
        <v>-341.05279999999999</v>
      </c>
      <c r="K5918">
        <v>1.11067</v>
      </c>
      <c r="L5918">
        <v>18.38165</v>
      </c>
      <c r="M5918">
        <v>0.99984899999999999</v>
      </c>
      <c r="N5918">
        <v>0</v>
      </c>
      <c r="O5918">
        <v>-9.5288999999999999E-3</v>
      </c>
      <c r="P5918">
        <v>0.99369269999999998</v>
      </c>
      <c r="Q5918">
        <v>-7.5548719999999998E-3</v>
      </c>
      <c r="R5918">
        <v>-0.11188579999999999</v>
      </c>
      <c r="S5918">
        <v>2.9425050000000001</v>
      </c>
      <c r="T5918">
        <v>-0.12649250000000001</v>
      </c>
      <c r="U5918">
        <v>-0.6691589</v>
      </c>
      <c r="V5918">
        <v>0.1023964</v>
      </c>
      <c r="W5918">
        <v>7.1184669999999999E-3</v>
      </c>
      <c r="X5918">
        <v>0.9947182</v>
      </c>
      <c r="Y5918">
        <v>0.21226900000000001</v>
      </c>
      <c r="Z5918">
        <v>-4.0987840000000003E-3</v>
      </c>
      <c r="AA5918">
        <v>0.97720269999999998</v>
      </c>
      <c r="AB5918">
        <v>34</v>
      </c>
      <c r="AC5918">
        <v>26.793999999999901</v>
      </c>
      <c r="AD5918">
        <v>-1.1606700000000001</v>
      </c>
      <c r="AE5918">
        <v>-6.1386799999999999</v>
      </c>
      <c r="AF5918">
        <v>5.8725867539874397</v>
      </c>
      <c r="AG5918">
        <v>-1.1606700000000001</v>
      </c>
      <c r="AH5918">
        <v>26.803496631167601</v>
      </c>
      <c r="AI5918">
        <v>92.422142450837995</v>
      </c>
      <c r="AJ5918">
        <v>77.641897441904206</v>
      </c>
      <c r="AK5918">
        <v>27.463828241689502</v>
      </c>
      <c r="AL5918">
        <v>89.592138438196301</v>
      </c>
      <c r="AM5918">
        <v>84.122667909737302</v>
      </c>
      <c r="AN5918">
        <v>0.99999999635831505</v>
      </c>
    </row>
    <row r="5919" spans="1:40" x14ac:dyDescent="0.25">
      <c r="A5919" t="str">
        <f>"20190312154953052"</f>
        <v>20190312154953052</v>
      </c>
      <c r="B5919" t="str">
        <f>"1552376993041937"</f>
        <v>1552376993041937</v>
      </c>
      <c r="C5919" t="s">
        <v>40</v>
      </c>
      <c r="D5919">
        <v>4.6963559999999998</v>
      </c>
      <c r="E5919">
        <v>0.54220649999999904</v>
      </c>
      <c r="F5919" t="s">
        <v>43</v>
      </c>
      <c r="G5919">
        <v>-314.16660000000002</v>
      </c>
      <c r="H5919">
        <v>-0.05</v>
      </c>
      <c r="I5919">
        <v>12.271929999999999</v>
      </c>
      <c r="J5919">
        <v>-340.83030000000002</v>
      </c>
      <c r="K5919">
        <v>1.110652</v>
      </c>
      <c r="L5919">
        <v>18.380099999999999</v>
      </c>
      <c r="M5919">
        <v>0.99985420000000003</v>
      </c>
      <c r="N5919">
        <v>0</v>
      </c>
      <c r="O5919">
        <v>-8.9555119999999901E-3</v>
      </c>
      <c r="P5919">
        <v>0.99381240000000004</v>
      </c>
      <c r="Q5919">
        <v>-7.7720559999999899E-3</v>
      </c>
      <c r="R5919">
        <v>-0.1108003</v>
      </c>
      <c r="S5919">
        <v>2.94278</v>
      </c>
      <c r="T5919">
        <v>-0.1270394</v>
      </c>
      <c r="U5919">
        <v>-0.66873169999999904</v>
      </c>
      <c r="V5919">
        <v>0.10188129999999999</v>
      </c>
      <c r="W5919">
        <v>6.8953130000000001E-3</v>
      </c>
      <c r="X5919">
        <v>0.99477269999999896</v>
      </c>
      <c r="Y5919">
        <v>0.21267230000000001</v>
      </c>
      <c r="Z5919">
        <v>-4.1491940000000001E-3</v>
      </c>
      <c r="AA5919">
        <v>0.97711479999999995</v>
      </c>
      <c r="AB5919">
        <v>34</v>
      </c>
      <c r="AC5919">
        <v>26.663699999999999</v>
      </c>
      <c r="AD5919">
        <v>-1.160652</v>
      </c>
      <c r="AE5919">
        <v>-6.1081699999999897</v>
      </c>
      <c r="AF5919">
        <v>5.8585653763584196</v>
      </c>
      <c r="AG5919">
        <v>-1.160652</v>
      </c>
      <c r="AH5919">
        <v>26.669324744404701</v>
      </c>
      <c r="AI5919">
        <v>92.433982406662096</v>
      </c>
      <c r="AJ5919">
        <v>77.610382147346201</v>
      </c>
      <c r="AK5919">
        <v>27.329888101795898</v>
      </c>
      <c r="AL5919">
        <v>89.604924549658705</v>
      </c>
      <c r="AM5919">
        <v>84.152346286631101</v>
      </c>
      <c r="AN5919">
        <v>1.0000000346481701</v>
      </c>
    </row>
    <row r="5920" spans="1:40" x14ac:dyDescent="0.25">
      <c r="A5920" t="str">
        <f>"20190312154953069"</f>
        <v>20190312154953069</v>
      </c>
      <c r="B5920" t="str">
        <f>"1552376993061458"</f>
        <v>1552376993061458</v>
      </c>
      <c r="C5920" t="s">
        <v>40</v>
      </c>
      <c r="D5920">
        <v>4.6556189999999997</v>
      </c>
      <c r="E5920">
        <v>0.54129629999999995</v>
      </c>
      <c r="F5920" t="s">
        <v>43</v>
      </c>
      <c r="G5920">
        <v>-314.08519999999999</v>
      </c>
      <c r="H5920">
        <v>-0.05</v>
      </c>
      <c r="I5920">
        <v>12.359920000000001</v>
      </c>
      <c r="J5920">
        <v>-340.59030000000001</v>
      </c>
      <c r="K5920">
        <v>1.1106290000000001</v>
      </c>
      <c r="L5920">
        <v>18.378540000000001</v>
      </c>
      <c r="M5920">
        <v>0.99985950000000001</v>
      </c>
      <c r="N5920">
        <v>0</v>
      </c>
      <c r="O5920">
        <v>-8.3606269999999903E-3</v>
      </c>
      <c r="P5920">
        <v>0.99393569999999998</v>
      </c>
      <c r="Q5920">
        <v>-7.5139480000000003E-3</v>
      </c>
      <c r="R5920">
        <v>-0.10970779999999999</v>
      </c>
      <c r="S5920">
        <v>2.9437869999999999</v>
      </c>
      <c r="T5920">
        <v>-0.1277509</v>
      </c>
      <c r="U5920">
        <v>-0.662628199999999</v>
      </c>
      <c r="V5920">
        <v>0.1013796</v>
      </c>
      <c r="W5920">
        <v>7.1456469999999998E-3</v>
      </c>
      <c r="X5920">
        <v>0.99482210000000004</v>
      </c>
      <c r="Y5920">
        <v>0.21125260000000001</v>
      </c>
      <c r="Z5920">
        <v>-4.1670229999999997E-3</v>
      </c>
      <c r="AA5920">
        <v>0.97742260000000003</v>
      </c>
      <c r="AB5920">
        <v>34</v>
      </c>
      <c r="AC5920">
        <v>26.505099999999999</v>
      </c>
      <c r="AD5920">
        <v>-1.1606289999999999</v>
      </c>
      <c r="AE5920">
        <v>-6.0186200000000003</v>
      </c>
      <c r="AF5920">
        <v>5.7862360683910197</v>
      </c>
      <c r="AG5920">
        <v>-1.1606289999999999</v>
      </c>
      <c r="AH5920">
        <v>26.506165632151401</v>
      </c>
      <c r="AI5920">
        <v>92.4496018456326</v>
      </c>
      <c r="AJ5920">
        <v>77.685644280272001</v>
      </c>
      <c r="AK5920">
        <v>27.1551911065607</v>
      </c>
      <c r="AL5920">
        <v>89.590581079130502</v>
      </c>
      <c r="AM5920">
        <v>84.181231110802202</v>
      </c>
      <c r="AN5920">
        <v>0.99999994710780704</v>
      </c>
    </row>
    <row r="5921" spans="1:40" x14ac:dyDescent="0.25">
      <c r="A5921" t="str">
        <f>"20190312154953083"</f>
        <v>20190312154953083</v>
      </c>
      <c r="B5921" t="str">
        <f>"1552376993072194"</f>
        <v>1552376993072194</v>
      </c>
      <c r="C5921" t="s">
        <v>40</v>
      </c>
      <c r="D5921">
        <v>4.641635</v>
      </c>
      <c r="E5921">
        <v>0.54091529999999999</v>
      </c>
      <c r="F5921" t="s">
        <v>43</v>
      </c>
      <c r="G5921">
        <v>-314.3503</v>
      </c>
      <c r="H5921">
        <v>-0.05</v>
      </c>
      <c r="I5921">
        <v>12.57002</v>
      </c>
      <c r="J5921">
        <v>-340.34190000000001</v>
      </c>
      <c r="K5921">
        <v>1.1106</v>
      </c>
      <c r="L5921">
        <v>18.377109999999998</v>
      </c>
      <c r="M5921">
        <v>0.99986410000000003</v>
      </c>
      <c r="N5921">
        <v>0</v>
      </c>
      <c r="O5921">
        <v>-7.7755899999999998E-3</v>
      </c>
      <c r="P5921">
        <v>0.99403169999999996</v>
      </c>
      <c r="Q5921">
        <v>-7.0897769999999898E-3</v>
      </c>
      <c r="R5921">
        <v>-0.10886220000000001</v>
      </c>
      <c r="S5921">
        <v>2.9453130000000001</v>
      </c>
      <c r="T5921">
        <v>-0.13027449999999999</v>
      </c>
      <c r="U5921">
        <v>-0.65197749999999999</v>
      </c>
      <c r="V5921">
        <v>0.1011151</v>
      </c>
      <c r="W5921">
        <v>7.5604840000000001E-3</v>
      </c>
      <c r="X5921">
        <v>0.99484600000000001</v>
      </c>
      <c r="Y5921">
        <v>0.2083431</v>
      </c>
      <c r="Z5921">
        <v>-4.2107680000000001E-3</v>
      </c>
      <c r="AA5921">
        <v>0.97804669999999905</v>
      </c>
      <c r="AB5921">
        <v>34</v>
      </c>
      <c r="AC5921">
        <v>25.991599999999998</v>
      </c>
      <c r="AD5921">
        <v>-1.1606000000000001</v>
      </c>
      <c r="AE5921">
        <v>-5.8070899999999996</v>
      </c>
      <c r="AF5921">
        <v>5.5941692367110303</v>
      </c>
      <c r="AG5921">
        <v>-1.1606000000000001</v>
      </c>
      <c r="AH5921">
        <v>25.986621662412698</v>
      </c>
      <c r="AI5921">
        <v>92.500016524555605</v>
      </c>
      <c r="AJ5921">
        <v>77.8512727778309</v>
      </c>
      <c r="AK5921">
        <v>26.607258919970299</v>
      </c>
      <c r="AL5921">
        <v>89.566812046172103</v>
      </c>
      <c r="AM5921">
        <v>84.196447025299193</v>
      </c>
      <c r="AN5921">
        <v>0.99999999404116202</v>
      </c>
    </row>
    <row r="5922" spans="1:40" x14ac:dyDescent="0.25">
      <c r="A5922" t="str">
        <f>"20190312154953102"</f>
        <v>20190312154953102</v>
      </c>
      <c r="B5922" t="str">
        <f>"1552376993091714"</f>
        <v>1552376993091714</v>
      </c>
      <c r="C5922" t="s">
        <v>40</v>
      </c>
      <c r="D5922">
        <v>4.6760950000000001</v>
      </c>
      <c r="E5922">
        <v>0.54029269999999996</v>
      </c>
      <c r="F5922" t="s">
        <v>43</v>
      </c>
      <c r="G5922">
        <v>-314.1046</v>
      </c>
      <c r="H5922">
        <v>-0.05</v>
      </c>
      <c r="I5922">
        <v>12.620570000000001</v>
      </c>
      <c r="J5922">
        <v>-340.08300000000003</v>
      </c>
      <c r="K5922">
        <v>1.110565</v>
      </c>
      <c r="L5922">
        <v>18.37567</v>
      </c>
      <c r="M5922">
        <v>0.99986850000000005</v>
      </c>
      <c r="N5922">
        <v>0</v>
      </c>
      <c r="O5922">
        <v>-7.2031409999999997E-3</v>
      </c>
      <c r="P5922">
        <v>0.9941257</v>
      </c>
      <c r="Q5922">
        <v>-5.9645790000000002E-3</v>
      </c>
      <c r="R5922">
        <v>-0.1080681</v>
      </c>
      <c r="S5922">
        <v>2.9462890000000002</v>
      </c>
      <c r="T5922">
        <v>-0.13032830000000001</v>
      </c>
      <c r="U5922">
        <v>-0.64642330000000003</v>
      </c>
      <c r="V5922">
        <v>0.1008889</v>
      </c>
      <c r="W5922">
        <v>8.6748150000000007E-3</v>
      </c>
      <c r="X5922">
        <v>0.99485990000000002</v>
      </c>
      <c r="Y5922">
        <v>0.2070766</v>
      </c>
      <c r="Z5922">
        <v>-4.2093190000000004E-3</v>
      </c>
      <c r="AA5922">
        <v>0.97831570000000001</v>
      </c>
      <c r="AB5922">
        <v>34</v>
      </c>
      <c r="AC5922">
        <v>25.978400000000001</v>
      </c>
      <c r="AD5922">
        <v>-1.1605650000000001</v>
      </c>
      <c r="AE5922">
        <v>-5.7550999999999997</v>
      </c>
      <c r="AF5922">
        <v>5.5572326357837998</v>
      </c>
      <c r="AG5922">
        <v>-1.1605650000000001</v>
      </c>
      <c r="AH5922">
        <v>25.969779619524601</v>
      </c>
      <c r="AI5922">
        <v>92.502218048673996</v>
      </c>
      <c r="AJ5922">
        <v>77.9215286887747</v>
      </c>
      <c r="AK5922">
        <v>26.583062261036002</v>
      </c>
      <c r="AL5922">
        <v>89.502963489176693</v>
      </c>
      <c r="AM5922">
        <v>84.209421921356395</v>
      </c>
      <c r="AN5922">
        <v>1.0000000215932501</v>
      </c>
    </row>
    <row r="5923" spans="1:40" x14ac:dyDescent="0.25">
      <c r="A5923" t="str">
        <f>"20190312154953117"</f>
        <v>20190312154953117</v>
      </c>
      <c r="B5923" t="str">
        <f>"1552376993101474"</f>
        <v>1552376993101474</v>
      </c>
      <c r="C5923" t="s">
        <v>40</v>
      </c>
      <c r="D5923">
        <v>4.6369749999999996</v>
      </c>
      <c r="E5923">
        <v>0.54006669999999901</v>
      </c>
      <c r="F5923" t="s">
        <v>43</v>
      </c>
      <c r="G5923">
        <v>-313.68889999999999</v>
      </c>
      <c r="H5923">
        <v>-0.05</v>
      </c>
      <c r="I5923">
        <v>12.65314</v>
      </c>
      <c r="J5923">
        <v>-339.86829999999998</v>
      </c>
      <c r="K5923">
        <v>1.110533</v>
      </c>
      <c r="L5923">
        <v>18.374600000000001</v>
      </c>
      <c r="M5923">
        <v>0.99987159999999997</v>
      </c>
      <c r="N5923">
        <v>0</v>
      </c>
      <c r="O5923">
        <v>-6.7619139999999999E-3</v>
      </c>
      <c r="P5923">
        <v>0.99418249999999997</v>
      </c>
      <c r="Q5923">
        <v>-5.5869020000000004E-3</v>
      </c>
      <c r="R5923">
        <v>-0.1075639</v>
      </c>
      <c r="S5923">
        <v>2.9474490000000002</v>
      </c>
      <c r="T5923">
        <v>-0.1296011</v>
      </c>
      <c r="U5923">
        <v>-0.63903809999999905</v>
      </c>
      <c r="V5923">
        <v>0.1008233</v>
      </c>
      <c r="W5923">
        <v>9.0424419999999995E-3</v>
      </c>
      <c r="X5923">
        <v>0.99486330000000001</v>
      </c>
      <c r="Y5923">
        <v>0.20509079999999999</v>
      </c>
      <c r="Z5923">
        <v>-4.1613759999999996E-3</v>
      </c>
      <c r="AA5923">
        <v>0.97873410000000005</v>
      </c>
      <c r="AB5923">
        <v>33</v>
      </c>
      <c r="AC5923">
        <v>26.179399999999902</v>
      </c>
      <c r="AD5923">
        <v>-1.160533</v>
      </c>
      <c r="AE5923">
        <v>-5.7214600000000004</v>
      </c>
      <c r="AF5923">
        <v>5.5339084205119802</v>
      </c>
      <c r="AG5923">
        <v>-1.160533</v>
      </c>
      <c r="AH5923">
        <v>26.168412870009899</v>
      </c>
      <c r="AI5923">
        <v>92.484450325082307</v>
      </c>
      <c r="AJ5923">
        <v>78.059422006587198</v>
      </c>
      <c r="AK5923">
        <v>26.772314270268101</v>
      </c>
      <c r="AL5923">
        <v>89.481899199385495</v>
      </c>
      <c r="AM5923">
        <v>84.213181153511897</v>
      </c>
      <c r="AN5923">
        <v>1.00000004463355</v>
      </c>
    </row>
    <row r="5924" spans="1:40" x14ac:dyDescent="0.25">
      <c r="A5924" t="str">
        <f>"20190312154953135"</f>
        <v>20190312154953135</v>
      </c>
      <c r="B5924" t="str">
        <f>"1552376993121970"</f>
        <v>1552376993121970</v>
      </c>
      <c r="C5924" t="s">
        <v>40</v>
      </c>
      <c r="D5924">
        <v>4.6366120000000004</v>
      </c>
      <c r="E5924">
        <v>0.53965030000000003</v>
      </c>
      <c r="F5924" t="s">
        <v>43</v>
      </c>
      <c r="G5924">
        <v>-313.553</v>
      </c>
      <c r="H5924">
        <v>-0.05</v>
      </c>
      <c r="I5924">
        <v>12.70003</v>
      </c>
      <c r="J5924">
        <v>-339.58269999999999</v>
      </c>
      <c r="K5924">
        <v>1.110482</v>
      </c>
      <c r="L5924">
        <v>18.373259999999998</v>
      </c>
      <c r="M5924">
        <v>0.99987510000000002</v>
      </c>
      <c r="N5924">
        <v>0</v>
      </c>
      <c r="O5924">
        <v>-6.2218999999999998E-3</v>
      </c>
      <c r="P5924">
        <v>0.99428019999999995</v>
      </c>
      <c r="Q5924">
        <v>-4.9069170000000002E-3</v>
      </c>
      <c r="R5924">
        <v>-0.1066921</v>
      </c>
      <c r="S5924">
        <v>2.9480590000000002</v>
      </c>
      <c r="T5924">
        <v>-0.13001260000000001</v>
      </c>
      <c r="U5924">
        <v>-0.63571169999999899</v>
      </c>
      <c r="V5924">
        <v>0.1004881</v>
      </c>
      <c r="W5924">
        <v>9.7076000000000003E-3</v>
      </c>
      <c r="X5924">
        <v>0.99489090000000002</v>
      </c>
      <c r="Y5924">
        <v>0.20452129999999999</v>
      </c>
      <c r="Z5924">
        <v>-4.1853419999999999E-3</v>
      </c>
      <c r="AA5924">
        <v>0.97885319999999998</v>
      </c>
      <c r="AB5924">
        <v>33</v>
      </c>
      <c r="AC5924">
        <v>26.029699999999899</v>
      </c>
      <c r="AD5924">
        <v>-1.160482</v>
      </c>
      <c r="AE5924">
        <v>-5.6732300000000002</v>
      </c>
      <c r="AF5924">
        <v>5.50071124698575</v>
      </c>
      <c r="AG5924">
        <v>-1.160482</v>
      </c>
      <c r="AH5924">
        <v>26.015134180412701</v>
      </c>
      <c r="AI5924">
        <v>92.498975484498999</v>
      </c>
      <c r="AJ5924">
        <v>78.061072456463705</v>
      </c>
      <c r="AK5924">
        <v>26.615629790029701</v>
      </c>
      <c r="AL5924">
        <v>89.443786754163796</v>
      </c>
      <c r="AM5924">
        <v>84.232449179102403</v>
      </c>
      <c r="AN5924">
        <v>0.99999999932108996</v>
      </c>
    </row>
    <row r="5925" spans="1:40" x14ac:dyDescent="0.25">
      <c r="A5925" t="str">
        <f>"20190312154953158"</f>
        <v>20190312154953158</v>
      </c>
      <c r="B5925" t="str">
        <f>"1552376993152227"</f>
        <v>1552376993152227</v>
      </c>
      <c r="C5925" t="s">
        <v>40</v>
      </c>
      <c r="D5925">
        <v>4.6486960000000002</v>
      </c>
      <c r="E5925">
        <v>0.53917789999999999</v>
      </c>
      <c r="F5925" t="s">
        <v>43</v>
      </c>
      <c r="G5925">
        <v>-313.51119999999997</v>
      </c>
      <c r="H5925">
        <v>-0.05</v>
      </c>
      <c r="I5925">
        <v>12.80597</v>
      </c>
      <c r="J5925">
        <v>-339.2457</v>
      </c>
      <c r="K5925">
        <v>1.110417</v>
      </c>
      <c r="L5925">
        <v>18.371770000000001</v>
      </c>
      <c r="M5925">
        <v>0.9998783</v>
      </c>
      <c r="N5925">
        <v>0</v>
      </c>
      <c r="O5925">
        <v>-5.6611719999999999E-3</v>
      </c>
      <c r="P5925">
        <v>0.99440879999999998</v>
      </c>
      <c r="Q5925">
        <v>-4.4469030000000003E-3</v>
      </c>
      <c r="R5925">
        <v>-0.1055039</v>
      </c>
      <c r="S5925">
        <v>2.9490050000000001</v>
      </c>
      <c r="T5925">
        <v>-0.13126479999999999</v>
      </c>
      <c r="U5925">
        <v>-0.62973020000000002</v>
      </c>
      <c r="V5925">
        <v>9.9858450000000001E-2</v>
      </c>
      <c r="W5925">
        <v>1.014818E-2</v>
      </c>
      <c r="X5925">
        <v>0.99494990000000005</v>
      </c>
      <c r="Y5925">
        <v>0.20310449999999999</v>
      </c>
      <c r="Z5925">
        <v>-4.2186740000000004E-3</v>
      </c>
      <c r="AA5925">
        <v>0.97914800000000002</v>
      </c>
      <c r="AB5925">
        <v>33</v>
      </c>
      <c r="AC5925">
        <v>25.734500000000001</v>
      </c>
      <c r="AD5925">
        <v>-1.160417</v>
      </c>
      <c r="AE5925">
        <v>-5.5658000000000003</v>
      </c>
      <c r="AF5925">
        <v>5.4095004475655104</v>
      </c>
      <c r="AG5925">
        <v>-1.160417</v>
      </c>
      <c r="AH5925">
        <v>25.7156492450085</v>
      </c>
      <c r="AI5925">
        <v>92.528452515535506</v>
      </c>
      <c r="AJ5925">
        <v>78.120559909134599</v>
      </c>
      <c r="AK5925">
        <v>26.304065822576</v>
      </c>
      <c r="AL5925">
        <v>89.418542135415393</v>
      </c>
      <c r="AM5925">
        <v>84.268684420078102</v>
      </c>
      <c r="AN5925">
        <v>0.99999999955186203</v>
      </c>
    </row>
    <row r="5926" spans="1:40" x14ac:dyDescent="0.25">
      <c r="A5926" t="str">
        <f>"20190312154953171"</f>
        <v>20190312154953171</v>
      </c>
      <c r="B5926" t="str">
        <f>"1552376993161987"</f>
        <v>1552376993161987</v>
      </c>
      <c r="C5926" t="s">
        <v>40</v>
      </c>
      <c r="D5926">
        <v>4.6915509999999996</v>
      </c>
      <c r="E5926">
        <v>0.53906109999999996</v>
      </c>
      <c r="F5926" t="s">
        <v>43</v>
      </c>
      <c r="G5926">
        <v>-313.88580000000002</v>
      </c>
      <c r="H5926">
        <v>-0.05</v>
      </c>
      <c r="I5926">
        <v>13.024290000000001</v>
      </c>
      <c r="J5926">
        <v>-339.03969999999998</v>
      </c>
      <c r="K5926">
        <v>1.1103749999999999</v>
      </c>
      <c r="L5926">
        <v>18.370940000000001</v>
      </c>
      <c r="M5926">
        <v>0.99988010000000005</v>
      </c>
      <c r="N5926">
        <v>0</v>
      </c>
      <c r="O5926">
        <v>-5.3601680000000002E-3</v>
      </c>
      <c r="P5926">
        <v>0.99448360000000002</v>
      </c>
      <c r="Q5926">
        <v>-4.6812670000000002E-3</v>
      </c>
      <c r="R5926">
        <v>-0.1047874</v>
      </c>
      <c r="S5926">
        <v>2.950256</v>
      </c>
      <c r="T5926">
        <v>-0.1349977</v>
      </c>
      <c r="U5926">
        <v>-0.62210080000000001</v>
      </c>
      <c r="V5926">
        <v>9.9442420000000004E-2</v>
      </c>
      <c r="W5926">
        <v>9.9016650000000005E-3</v>
      </c>
      <c r="X5926">
        <v>0.99499400000000005</v>
      </c>
      <c r="Y5926">
        <v>0.20088210000000001</v>
      </c>
      <c r="Z5926">
        <v>-4.3012229999999999E-3</v>
      </c>
      <c r="AA5926">
        <v>0.97960599999999998</v>
      </c>
      <c r="AB5926">
        <v>33</v>
      </c>
      <c r="AC5926">
        <v>25.153899999999901</v>
      </c>
      <c r="AD5926">
        <v>-1.1603749999999999</v>
      </c>
      <c r="AE5926">
        <v>-5.3466500000000003</v>
      </c>
      <c r="AF5926">
        <v>5.2011398813478698</v>
      </c>
      <c r="AG5926">
        <v>-1.1603749999999999</v>
      </c>
      <c r="AH5926">
        <v>25.131031761046799</v>
      </c>
      <c r="AI5926">
        <v>92.588854507806801</v>
      </c>
      <c r="AJ5926">
        <v>78.3070976670585</v>
      </c>
      <c r="AK5926">
        <v>25.689824514401</v>
      </c>
      <c r="AL5926">
        <v>89.432667085626903</v>
      </c>
      <c r="AM5926">
        <v>84.292655533290898</v>
      </c>
      <c r="AN5926">
        <v>0.99999994895061295</v>
      </c>
    </row>
    <row r="5927" spans="1:40" x14ac:dyDescent="0.25">
      <c r="A5927" t="str">
        <f>"20190312154953193"</f>
        <v>20190312154953193</v>
      </c>
      <c r="B5927" t="str">
        <f>"1552376993181505"</f>
        <v>1552376993181505</v>
      </c>
      <c r="C5927" t="s">
        <v>40</v>
      </c>
      <c r="D5927">
        <v>4.7015379999999896</v>
      </c>
      <c r="E5927">
        <v>0.53888879999999995</v>
      </c>
      <c r="F5927" t="s">
        <v>43</v>
      </c>
      <c r="G5927">
        <v>-314.14510000000001</v>
      </c>
      <c r="H5927">
        <v>-0.05</v>
      </c>
      <c r="I5927">
        <v>13.14902</v>
      </c>
      <c r="J5927">
        <v>-338.7337</v>
      </c>
      <c r="K5927">
        <v>1.1103130000000001</v>
      </c>
      <c r="L5927">
        <v>18.36975</v>
      </c>
      <c r="M5927">
        <v>0.9998821</v>
      </c>
      <c r="N5927">
        <v>0</v>
      </c>
      <c r="O5927">
        <v>-4.9765859999999999E-3</v>
      </c>
      <c r="P5927">
        <v>0.9946045</v>
      </c>
      <c r="Q5927">
        <v>-4.3955670000000004E-3</v>
      </c>
      <c r="R5927">
        <v>-0.1036475</v>
      </c>
      <c r="S5927">
        <v>2.9507750000000001</v>
      </c>
      <c r="T5927">
        <v>-0.13753989999999999</v>
      </c>
      <c r="U5927">
        <v>-0.61895749999999905</v>
      </c>
      <c r="V5927">
        <v>9.8684889999999997E-2</v>
      </c>
      <c r="W5927">
        <v>1.0168200000000001E-2</v>
      </c>
      <c r="X5927">
        <v>0.99506680000000003</v>
      </c>
      <c r="Y5927">
        <v>0.20021659999999999</v>
      </c>
      <c r="Z5927">
        <v>-4.3841949999999996E-3</v>
      </c>
      <c r="AA5927">
        <v>0.97974190000000005</v>
      </c>
      <c r="AB5927">
        <v>33</v>
      </c>
      <c r="AC5927">
        <v>24.5885999999999</v>
      </c>
      <c r="AD5927">
        <v>-1.1603129999999999</v>
      </c>
      <c r="AE5927">
        <v>-5.2207299999999899</v>
      </c>
      <c r="AF5927">
        <v>5.0874450623707501</v>
      </c>
      <c r="AG5927">
        <v>-1.1603129999999999</v>
      </c>
      <c r="AH5927">
        <v>24.561944214323699</v>
      </c>
      <c r="AI5927">
        <v>92.648523836728103</v>
      </c>
      <c r="AJ5927">
        <v>78.297962435731904</v>
      </c>
      <c r="AK5927">
        <v>25.110108066437299</v>
      </c>
      <c r="AL5927">
        <v>89.417395025548799</v>
      </c>
      <c r="AM5927">
        <v>84.336260713355998</v>
      </c>
      <c r="AN5927">
        <v>1.0000000181338899</v>
      </c>
    </row>
    <row r="5928" spans="1:40" x14ac:dyDescent="0.25">
      <c r="A5928" t="str">
        <f>"20190312154953212"</f>
        <v>20190312154953212</v>
      </c>
      <c r="B5928" t="str">
        <f>"1552376993202003"</f>
        <v>1552376993202003</v>
      </c>
      <c r="C5928" t="s">
        <v>40</v>
      </c>
      <c r="D5928">
        <v>4.6945259999999998</v>
      </c>
      <c r="E5928">
        <v>0.53882069999999904</v>
      </c>
      <c r="F5928" t="s">
        <v>43</v>
      </c>
      <c r="G5928">
        <v>-314.21550000000002</v>
      </c>
      <c r="H5928">
        <v>-0.05</v>
      </c>
      <c r="I5928">
        <v>13.26843</v>
      </c>
      <c r="J5928">
        <v>-338.43130000000002</v>
      </c>
      <c r="K5928">
        <v>1.110252</v>
      </c>
      <c r="L5928">
        <v>18.368590000000001</v>
      </c>
      <c r="M5928">
        <v>0.99988370000000004</v>
      </c>
      <c r="N5928">
        <v>0</v>
      </c>
      <c r="O5928">
        <v>-4.67506E-3</v>
      </c>
      <c r="P5928">
        <v>0.99465800000000004</v>
      </c>
      <c r="Q5928">
        <v>-3.548786E-3</v>
      </c>
      <c r="R5928">
        <v>-0.1031653</v>
      </c>
      <c r="S5928">
        <v>2.9516909999999998</v>
      </c>
      <c r="T5928">
        <v>-0.13968749999999999</v>
      </c>
      <c r="U5928">
        <v>-0.61413569999999995</v>
      </c>
      <c r="V5928">
        <v>9.850362E-2</v>
      </c>
      <c r="W5928">
        <v>1.099547E-2</v>
      </c>
      <c r="X5928">
        <v>0.99507590000000001</v>
      </c>
      <c r="Y5928">
        <v>0.1989119</v>
      </c>
      <c r="Z5928">
        <v>-4.4355459999999899E-3</v>
      </c>
      <c r="AA5928">
        <v>0.98000739999999997</v>
      </c>
      <c r="AB5928">
        <v>33</v>
      </c>
      <c r="AC5928">
        <v>24.215800000000002</v>
      </c>
      <c r="AD5928">
        <v>-1.1602520000000001</v>
      </c>
      <c r="AE5928">
        <v>-5.1001599999999998</v>
      </c>
      <c r="AF5928">
        <v>4.9759441237459603</v>
      </c>
      <c r="AG5928">
        <v>-1.1602520000000001</v>
      </c>
      <c r="AH5928">
        <v>24.186216399928899</v>
      </c>
      <c r="AI5928">
        <v>92.690207430047806</v>
      </c>
      <c r="AJ5928">
        <v>78.374481778253099</v>
      </c>
      <c r="AK5928">
        <v>24.720017564118599</v>
      </c>
      <c r="AL5928">
        <v>89.369993251864102</v>
      </c>
      <c r="AM5928">
        <v>84.3466481017782</v>
      </c>
      <c r="AN5928">
        <v>0.99999995513721596</v>
      </c>
    </row>
    <row r="5929" spans="1:40" x14ac:dyDescent="0.25">
      <c r="A5929" t="str">
        <f>"20190312154953226"</f>
        <v>20190312154953226</v>
      </c>
      <c r="B5929" t="str">
        <f>"1552376993211762"</f>
        <v>1552376993211762</v>
      </c>
      <c r="C5929" t="s">
        <v>40</v>
      </c>
      <c r="D5929">
        <v>4.739465</v>
      </c>
      <c r="E5929">
        <v>0.53874309999999903</v>
      </c>
      <c r="F5929" t="s">
        <v>43</v>
      </c>
      <c r="G5929">
        <v>-314.08690000000001</v>
      </c>
      <c r="H5929">
        <v>-0.05</v>
      </c>
      <c r="I5929">
        <v>13.32147</v>
      </c>
      <c r="J5929">
        <v>-338.22840000000002</v>
      </c>
      <c r="K5929">
        <v>1.1102080000000001</v>
      </c>
      <c r="L5929">
        <v>18.367830000000001</v>
      </c>
      <c r="M5929">
        <v>0.99988449999999995</v>
      </c>
      <c r="N5929">
        <v>0</v>
      </c>
      <c r="O5929">
        <v>-4.5095539999999998E-3</v>
      </c>
      <c r="P5929">
        <v>0.99466489999999996</v>
      </c>
      <c r="Q5929">
        <v>-2.9803849999999999E-3</v>
      </c>
      <c r="R5929">
        <v>-0.1031166</v>
      </c>
      <c r="S5929">
        <v>2.9520870000000001</v>
      </c>
      <c r="T5929">
        <v>-0.14069599999999999</v>
      </c>
      <c r="U5929">
        <v>-0.61202999999999996</v>
      </c>
      <c r="V5929">
        <v>9.8620239999999998E-2</v>
      </c>
      <c r="W5929">
        <v>1.155047E-2</v>
      </c>
      <c r="X5929">
        <v>0.99505809999999995</v>
      </c>
      <c r="Y5929">
        <v>0.1983751</v>
      </c>
      <c r="Z5929">
        <v>-4.4624169999999998E-3</v>
      </c>
      <c r="AA5929">
        <v>0.98011599999999999</v>
      </c>
      <c r="AB5929">
        <v>33</v>
      </c>
      <c r="AC5929">
        <v>24.141500000000001</v>
      </c>
      <c r="AD5929">
        <v>-1.1602079999999999</v>
      </c>
      <c r="AE5929">
        <v>-5.0463599999999902</v>
      </c>
      <c r="AF5929">
        <v>4.9265276977760202</v>
      </c>
      <c r="AG5929">
        <v>-1.1602079999999999</v>
      </c>
      <c r="AH5929">
        <v>24.110658249909498</v>
      </c>
      <c r="AI5929">
        <v>92.699268305278906</v>
      </c>
      <c r="AJ5929">
        <v>78.451725676076506</v>
      </c>
      <c r="AK5929">
        <v>24.636164453992201</v>
      </c>
      <c r="AL5929">
        <v>89.338192097236004</v>
      </c>
      <c r="AM5929">
        <v>84.339897850905601</v>
      </c>
      <c r="AN5929">
        <v>0.99999999373524395</v>
      </c>
    </row>
    <row r="5930" spans="1:40" x14ac:dyDescent="0.25">
      <c r="A5930" t="str">
        <f>"20190312154953240"</f>
        <v>20190312154953240</v>
      </c>
      <c r="B5930" t="str">
        <f>"1552376993232258"</f>
        <v>1552376993232258</v>
      </c>
      <c r="C5930" t="s">
        <v>40</v>
      </c>
      <c r="D5930">
        <v>4.8588709999999997</v>
      </c>
      <c r="E5930">
        <v>0.50307979999999997</v>
      </c>
      <c r="F5930" t="s">
        <v>43</v>
      </c>
      <c r="G5930">
        <v>-313.89089999999999</v>
      </c>
      <c r="H5930">
        <v>-0.05</v>
      </c>
      <c r="I5930">
        <v>13.33005</v>
      </c>
      <c r="J5930">
        <v>-338.02210000000002</v>
      </c>
      <c r="K5930">
        <v>1.1101620000000001</v>
      </c>
      <c r="L5930">
        <v>18.367069999999998</v>
      </c>
      <c r="M5930">
        <v>0.99988500000000002</v>
      </c>
      <c r="N5930">
        <v>0</v>
      </c>
      <c r="O5930">
        <v>-4.3919010000000001E-3</v>
      </c>
      <c r="P5930">
        <v>0.99465170000000003</v>
      </c>
      <c r="Q5930">
        <v>-2.6232769999999998E-3</v>
      </c>
      <c r="R5930">
        <v>-0.1032536</v>
      </c>
      <c r="S5930">
        <v>2.9523009999999998</v>
      </c>
      <c r="T5930">
        <v>-0.140740899999999</v>
      </c>
      <c r="U5930">
        <v>-0.6111145</v>
      </c>
      <c r="V5930">
        <v>9.8875519999999995E-2</v>
      </c>
      <c r="W5930">
        <v>1.1893300000000001E-2</v>
      </c>
      <c r="X5930">
        <v>0.99502869999999999</v>
      </c>
      <c r="Y5930">
        <v>0.1981849</v>
      </c>
      <c r="Z5930">
        <v>-4.4647189999999998E-3</v>
      </c>
      <c r="AA5930">
        <v>0.98015450000000004</v>
      </c>
      <c r="AB5930">
        <v>33</v>
      </c>
      <c r="AC5930">
        <v>24.1312</v>
      </c>
      <c r="AD5930">
        <v>-1.1601619999999999</v>
      </c>
      <c r="AE5930">
        <v>-5.0370200000000001</v>
      </c>
      <c r="AF5930">
        <v>4.9200808237890197</v>
      </c>
      <c r="AG5930">
        <v>-1.1601619999999999</v>
      </c>
      <c r="AH5930">
        <v>24.099712741367199</v>
      </c>
      <c r="AI5930">
        <v>92.700477885353493</v>
      </c>
      <c r="AJ5930">
        <v>78.461334784673795</v>
      </c>
      <c r="AK5930">
        <v>24.624161415067</v>
      </c>
      <c r="AL5930">
        <v>89.318548016700603</v>
      </c>
      <c r="AM5930">
        <v>84.325175517387194</v>
      </c>
      <c r="AN5930">
        <v>0.99999996643192401</v>
      </c>
    </row>
    <row r="5931" spans="1:40" x14ac:dyDescent="0.25">
      <c r="A5931" t="str">
        <f>"20190312154953257"</f>
        <v>20190312154953257</v>
      </c>
      <c r="B5931" t="str">
        <f>"1552376993251868"</f>
        <v>1552376993251868</v>
      </c>
      <c r="C5931" t="s">
        <v>40</v>
      </c>
      <c r="D5931">
        <v>4.78172</v>
      </c>
      <c r="E5931">
        <v>0.48666739999999997</v>
      </c>
      <c r="F5931" t="s">
        <v>41</v>
      </c>
      <c r="G5931">
        <v>-337.21289999999999</v>
      </c>
      <c r="H5931">
        <v>1.047922</v>
      </c>
      <c r="I5931">
        <v>18.278680000000001</v>
      </c>
      <c r="J5931">
        <v>-337.76839999999999</v>
      </c>
      <c r="K5931">
        <v>1.110098</v>
      </c>
      <c r="L5931">
        <v>18.36609</v>
      </c>
      <c r="M5931">
        <v>0.99988540000000004</v>
      </c>
      <c r="N5931">
        <v>0</v>
      </c>
      <c r="O5931">
        <v>-4.2857340000000002E-3</v>
      </c>
      <c r="P5931">
        <v>0.99462379999999995</v>
      </c>
      <c r="Q5931">
        <v>-2.1848269999999999E-3</v>
      </c>
      <c r="R5931">
        <v>-0.10353320000000001</v>
      </c>
      <c r="S5931">
        <v>2.9818120000000001</v>
      </c>
      <c r="T5931">
        <v>-0.22928970000000001</v>
      </c>
      <c r="U5931">
        <v>-0.32437129999999997</v>
      </c>
      <c r="V5931">
        <v>9.9262420000000004E-2</v>
      </c>
      <c r="W5931">
        <v>1.2314790000000001E-2</v>
      </c>
      <c r="X5931">
        <v>0.99498509999999996</v>
      </c>
      <c r="Y5931">
        <v>0.10359359999999999</v>
      </c>
      <c r="Z5931">
        <v>-3.6373320000000001E-3</v>
      </c>
      <c r="AA5931">
        <v>0.99461310000000003</v>
      </c>
      <c r="AB5931">
        <v>33</v>
      </c>
      <c r="AC5931">
        <v>0.555499999999995</v>
      </c>
      <c r="AD5931">
        <v>-6.2176000000000002E-2</v>
      </c>
      <c r="AE5931">
        <v>-8.7410000000001903E-2</v>
      </c>
      <c r="AF5931">
        <v>8.4001290143370197E-2</v>
      </c>
      <c r="AG5931">
        <v>-6.2176000000000002E-2</v>
      </c>
      <c r="AH5931">
        <v>0.54915602283499099</v>
      </c>
      <c r="AI5931">
        <v>96.385925017999597</v>
      </c>
      <c r="AJ5931">
        <v>81.303200130569493</v>
      </c>
      <c r="AK5931">
        <v>0.559011993733315</v>
      </c>
      <c r="AL5931">
        <v>89.294396683085793</v>
      </c>
      <c r="AM5931">
        <v>84.302867712001202</v>
      </c>
      <c r="AN5931">
        <v>1.0000000156494999</v>
      </c>
    </row>
    <row r="5932" spans="1:40" x14ac:dyDescent="0.25">
      <c r="A5932" t="str">
        <f>"20190312154953271"</f>
        <v>20190312154953271</v>
      </c>
      <c r="B5932" t="str">
        <f>"1552376993261629"</f>
        <v>1552376993261629</v>
      </c>
      <c r="C5932" t="s">
        <v>40</v>
      </c>
      <c r="D5932">
        <v>4.8356589999999997</v>
      </c>
      <c r="E5932">
        <v>0.48159020000000002</v>
      </c>
      <c r="F5932" t="s">
        <v>42</v>
      </c>
      <c r="G5932">
        <v>-320.00749999999999</v>
      </c>
      <c r="H5932" s="1">
        <v>-5.1328789999999996E-6</v>
      </c>
      <c r="I5932">
        <v>17.198539999999898</v>
      </c>
      <c r="J5932">
        <v>-337.56950000000001</v>
      </c>
      <c r="K5932">
        <v>1.1100509999999999</v>
      </c>
      <c r="L5932">
        <v>18.36533</v>
      </c>
      <c r="M5932">
        <v>0.99988569999999999</v>
      </c>
      <c r="N5932">
        <v>0</v>
      </c>
      <c r="O5932">
        <v>-4.237177E-3</v>
      </c>
      <c r="P5932">
        <v>0.99462320000000004</v>
      </c>
      <c r="Q5932">
        <v>-2.1219379999999999E-3</v>
      </c>
      <c r="R5932">
        <v>-0.1035398</v>
      </c>
      <c r="S5932">
        <v>2.9952700000000001</v>
      </c>
      <c r="T5932">
        <v>-0.1872125</v>
      </c>
      <c r="U5932">
        <v>-0.1968994</v>
      </c>
      <c r="V5932">
        <v>9.9318779999999995E-2</v>
      </c>
      <c r="W5932">
        <v>1.2364379999999999E-2</v>
      </c>
      <c r="X5932">
        <v>0.99497880000000005</v>
      </c>
      <c r="Y5932">
        <v>6.125535E-2</v>
      </c>
      <c r="Z5932">
        <v>-1.6460800000000001E-3</v>
      </c>
      <c r="AA5932">
        <v>0.99812080000000003</v>
      </c>
      <c r="AB5932">
        <v>33</v>
      </c>
      <c r="AC5932">
        <v>17.562000000000001</v>
      </c>
      <c r="AD5932">
        <v>-1.110056132879</v>
      </c>
      <c r="AE5932">
        <v>-1.16679</v>
      </c>
      <c r="AF5932">
        <v>1.0880305524647</v>
      </c>
      <c r="AG5932">
        <v>-1.110056132879</v>
      </c>
      <c r="AH5932">
        <v>17.497188624135202</v>
      </c>
      <c r="AI5932">
        <v>93.623112788870202</v>
      </c>
      <c r="AJ5932">
        <v>86.441748702184995</v>
      </c>
      <c r="AK5932">
        <v>17.566093613829</v>
      </c>
      <c r="AL5932">
        <v>89.291555126257407</v>
      </c>
      <c r="AM5932">
        <v>84.299618390974203</v>
      </c>
      <c r="AN5932">
        <v>0.99999995520145502</v>
      </c>
    </row>
    <row r="5933" spans="1:40" x14ac:dyDescent="0.25">
      <c r="A5933" t="str">
        <f>"20190312154953283"</f>
        <v>20190312154953283</v>
      </c>
      <c r="B5933" t="str">
        <f>"1552376993271389"</f>
        <v>1552376993271389</v>
      </c>
      <c r="C5933" t="s">
        <v>40</v>
      </c>
      <c r="D5933">
        <v>4.8707880000000001</v>
      </c>
      <c r="E5933">
        <v>0.4782053</v>
      </c>
      <c r="F5933" t="s">
        <v>41</v>
      </c>
      <c r="G5933">
        <v>-336.61700000000002</v>
      </c>
      <c r="H5933">
        <v>1.0513490000000001</v>
      </c>
      <c r="I5933">
        <v>18.315449999999998</v>
      </c>
      <c r="J5933">
        <v>-337.37920000000003</v>
      </c>
      <c r="K5933">
        <v>1.110004</v>
      </c>
      <c r="L5933">
        <v>18.364560000000001</v>
      </c>
      <c r="M5933">
        <v>0.99988580000000005</v>
      </c>
      <c r="N5933">
        <v>0</v>
      </c>
      <c r="O5933">
        <v>-4.221041E-3</v>
      </c>
      <c r="P5933">
        <v>0.99463060000000003</v>
      </c>
      <c r="Q5933">
        <v>-2.462653E-3</v>
      </c>
      <c r="R5933">
        <v>-0.1034605</v>
      </c>
      <c r="S5933">
        <v>2.9995120000000002</v>
      </c>
      <c r="T5933">
        <v>-0.1849034</v>
      </c>
      <c r="U5933">
        <v>-0.156738299999999</v>
      </c>
      <c r="V5933">
        <v>9.9257059999999994E-2</v>
      </c>
      <c r="W5933">
        <v>1.201059E-2</v>
      </c>
      <c r="X5933">
        <v>0.99498929999999997</v>
      </c>
      <c r="Y5933">
        <v>4.7884549999999998E-2</v>
      </c>
      <c r="Z5933">
        <v>-1.213708E-3</v>
      </c>
      <c r="AA5933">
        <v>0.99885210000000002</v>
      </c>
      <c r="AB5933">
        <v>33</v>
      </c>
      <c r="AC5933">
        <v>0.76220000000006305</v>
      </c>
      <c r="AD5933">
        <v>-5.8654999999999902E-2</v>
      </c>
      <c r="AE5933">
        <v>-4.9110000000002402E-2</v>
      </c>
      <c r="AF5933">
        <v>4.5622882118593902E-2</v>
      </c>
      <c r="AG5933">
        <v>-5.8654999999999902E-2</v>
      </c>
      <c r="AH5933">
        <v>0.75793057839908395</v>
      </c>
      <c r="AI5933">
        <v>94.417242441264307</v>
      </c>
      <c r="AJ5933">
        <v>86.555293587706601</v>
      </c>
      <c r="AK5933">
        <v>0.76156458561974705</v>
      </c>
      <c r="AL5933">
        <v>89.3118273118654</v>
      </c>
      <c r="AM5933">
        <v>84.303197212769206</v>
      </c>
      <c r="AN5933">
        <v>0.99999996267323998</v>
      </c>
    </row>
    <row r="5934" spans="1:40" x14ac:dyDescent="0.25">
      <c r="A5934" t="str">
        <f>"20190312154953300"</f>
        <v>20190312154953300</v>
      </c>
      <c r="B5934" t="str">
        <f>"1552376993291885"</f>
        <v>1552376993291885</v>
      </c>
      <c r="C5934" t="s">
        <v>40</v>
      </c>
      <c r="D5934">
        <v>4.8506640000000001</v>
      </c>
      <c r="E5934">
        <v>0.47394920000000001</v>
      </c>
      <c r="F5934" t="s">
        <v>43</v>
      </c>
      <c r="G5934">
        <v>-318.6155</v>
      </c>
      <c r="H5934">
        <v>-0.05</v>
      </c>
      <c r="I5934">
        <v>17.55396</v>
      </c>
      <c r="J5934">
        <v>-337.12699999999899</v>
      </c>
      <c r="K5934">
        <v>1.109936</v>
      </c>
      <c r="L5934">
        <v>18.363530000000001</v>
      </c>
      <c r="M5934">
        <v>0.99988560000000004</v>
      </c>
      <c r="N5934">
        <v>0</v>
      </c>
      <c r="O5934">
        <v>-4.2686859999999998E-3</v>
      </c>
      <c r="P5934">
        <v>0.99459589999999998</v>
      </c>
      <c r="Q5934">
        <v>-3.1991709999999998E-3</v>
      </c>
      <c r="R5934">
        <v>-0.10377359999999999</v>
      </c>
      <c r="S5934">
        <v>3.0022579999999999</v>
      </c>
      <c r="T5934">
        <v>-0.18560450000000001</v>
      </c>
      <c r="U5934">
        <v>-0.1296997</v>
      </c>
      <c r="V5934">
        <v>9.9525080000000002E-2</v>
      </c>
      <c r="W5934">
        <v>1.125485E-2</v>
      </c>
      <c r="X5934">
        <v>0.99497139999999995</v>
      </c>
      <c r="Y5934">
        <v>3.8829059999999999E-2</v>
      </c>
      <c r="Z5934">
        <v>-9.3499179999999998E-4</v>
      </c>
      <c r="AA5934">
        <v>0.99924539999999995</v>
      </c>
      <c r="AB5934">
        <v>33</v>
      </c>
      <c r="AC5934">
        <v>18.511499999999899</v>
      </c>
      <c r="AD5934">
        <v>-1.1599360000000001</v>
      </c>
      <c r="AE5934">
        <v>-0.80956999999999701</v>
      </c>
      <c r="AF5934">
        <v>0.72768286490484702</v>
      </c>
      <c r="AG5934">
        <v>-1.1599360000000001</v>
      </c>
      <c r="AH5934">
        <v>18.4425146312511</v>
      </c>
      <c r="AI5934">
        <v>93.596068342679899</v>
      </c>
      <c r="AJ5934">
        <v>87.740463191836</v>
      </c>
      <c r="AK5934">
        <v>18.493277692174601</v>
      </c>
      <c r="AL5934">
        <v>89.355130981026505</v>
      </c>
      <c r="AM5934">
        <v>84.287813862207997</v>
      </c>
      <c r="AN5934">
        <v>1.00000000000774</v>
      </c>
    </row>
    <row r="5935" spans="1:40" x14ac:dyDescent="0.25">
      <c r="A5935" t="str">
        <f>"20190312154953313"</f>
        <v>20190312154953313</v>
      </c>
      <c r="B5935" t="str">
        <f>"1552376993301645"</f>
        <v>1552376993301645</v>
      </c>
      <c r="C5935" t="s">
        <v>40</v>
      </c>
      <c r="D5935">
        <v>4.804322</v>
      </c>
      <c r="E5935">
        <v>0.47277459999999999</v>
      </c>
      <c r="F5935" t="s">
        <v>43</v>
      </c>
      <c r="G5935">
        <v>-318.55889999999999</v>
      </c>
      <c r="H5935">
        <v>-0.05</v>
      </c>
      <c r="I5935">
        <v>17.76436</v>
      </c>
      <c r="J5935">
        <v>-336.9486</v>
      </c>
      <c r="K5935">
        <v>1.1098809999999999</v>
      </c>
      <c r="L5935">
        <v>18.3627</v>
      </c>
      <c r="M5935">
        <v>0.99988529999999998</v>
      </c>
      <c r="N5935">
        <v>0</v>
      </c>
      <c r="O5935">
        <v>-4.348172E-3</v>
      </c>
      <c r="P5935">
        <v>0.99457309999999999</v>
      </c>
      <c r="Q5935">
        <v>-3.6595170000000002E-3</v>
      </c>
      <c r="R5935">
        <v>-0.1039783</v>
      </c>
      <c r="S5935">
        <v>3.0055540000000001</v>
      </c>
      <c r="T5935">
        <v>-0.18775510000000001</v>
      </c>
      <c r="U5935">
        <v>-9.6984860000000006E-2</v>
      </c>
      <c r="V5935">
        <v>9.9652009999999999E-2</v>
      </c>
      <c r="W5935">
        <v>1.077995E-2</v>
      </c>
      <c r="X5935">
        <v>0.99496390000000001</v>
      </c>
      <c r="Y5935">
        <v>2.7859310000000002E-2</v>
      </c>
      <c r="Z5935">
        <v>-5.9778809999999996E-4</v>
      </c>
      <c r="AA5935">
        <v>0.99961169999999999</v>
      </c>
      <c r="AB5935">
        <v>33</v>
      </c>
      <c r="AC5935">
        <v>18.389700000000001</v>
      </c>
      <c r="AD5935">
        <v>-1.1598809999999999</v>
      </c>
      <c r="AE5935">
        <v>-0.59833999999999998</v>
      </c>
      <c r="AF5935">
        <v>0.51631256752671495</v>
      </c>
      <c r="AG5935">
        <v>-1.1598809999999999</v>
      </c>
      <c r="AH5935">
        <v>18.319328708739</v>
      </c>
      <c r="AI5935">
        <v>93.621389444495804</v>
      </c>
      <c r="AJ5935">
        <v>88.385601220969207</v>
      </c>
      <c r="AK5935">
        <v>18.363270594868901</v>
      </c>
      <c r="AL5935">
        <v>89.382342365389604</v>
      </c>
      <c r="AM5935">
        <v>84.280534227477901</v>
      </c>
      <c r="AN5935">
        <v>0.99999994636112399</v>
      </c>
    </row>
    <row r="5936" spans="1:40" x14ac:dyDescent="0.25">
      <c r="A5936" t="str">
        <f>"20190312154953325"</f>
        <v>20190312154953325</v>
      </c>
      <c r="B5936" t="str">
        <f>"1552376993322141"</f>
        <v>1552376993322141</v>
      </c>
      <c r="C5936" t="s">
        <v>40</v>
      </c>
      <c r="D5936">
        <v>4.8366579999999999</v>
      </c>
      <c r="E5936">
        <v>0.47086640000000002</v>
      </c>
      <c r="F5936" t="s">
        <v>43</v>
      </c>
      <c r="G5936">
        <v>-318.33370000000002</v>
      </c>
      <c r="H5936">
        <v>-0.05</v>
      </c>
      <c r="I5936">
        <v>17.815670000000001</v>
      </c>
      <c r="J5936">
        <v>-336.76310000000001</v>
      </c>
      <c r="K5936">
        <v>1.109818</v>
      </c>
      <c r="L5936">
        <v>18.36185</v>
      </c>
      <c r="M5936">
        <v>0.99988489999999997</v>
      </c>
      <c r="N5936">
        <v>0</v>
      </c>
      <c r="O5936">
        <v>-4.4569709999999997E-3</v>
      </c>
      <c r="P5936">
        <v>0.9945543</v>
      </c>
      <c r="Q5936">
        <v>-3.9681380000000004E-3</v>
      </c>
      <c r="R5936">
        <v>-0.1041448</v>
      </c>
      <c r="S5936">
        <v>3.0064389999999999</v>
      </c>
      <c r="T5936">
        <v>-0.18732940000000001</v>
      </c>
      <c r="U5936">
        <v>-8.8348389999999999E-2</v>
      </c>
      <c r="V5936">
        <v>9.9711889999999997E-2</v>
      </c>
      <c r="W5936">
        <v>1.045477E-2</v>
      </c>
      <c r="X5936">
        <v>0.9949614</v>
      </c>
      <c r="Y5936">
        <v>2.4878339999999999E-2</v>
      </c>
      <c r="Z5936">
        <v>-4.9675309999999999E-4</v>
      </c>
      <c r="AA5936">
        <v>0.99969039999999998</v>
      </c>
      <c r="AB5936">
        <v>33</v>
      </c>
      <c r="AC5936">
        <v>18.429399999999902</v>
      </c>
      <c r="AD5936">
        <v>-1.159818</v>
      </c>
      <c r="AE5936">
        <v>-0.546179999999999</v>
      </c>
      <c r="AF5936">
        <v>0.46219767526643202</v>
      </c>
      <c r="AG5936">
        <v>-1.159818</v>
      </c>
      <c r="AH5936">
        <v>18.3590032356813</v>
      </c>
      <c r="AI5936">
        <v>93.613677552761303</v>
      </c>
      <c r="AJ5936">
        <v>88.557852893426897</v>
      </c>
      <c r="AK5936">
        <v>18.401407671477301</v>
      </c>
      <c r="AL5936">
        <v>89.400974875657496</v>
      </c>
      <c r="AM5936">
        <v>84.277105973490094</v>
      </c>
      <c r="AN5936">
        <v>0.99999997535654195</v>
      </c>
    </row>
    <row r="5937" spans="1:40" x14ac:dyDescent="0.25">
      <c r="A5937" t="str">
        <f>"20190312154953336"</f>
        <v>20190312154953336</v>
      </c>
      <c r="B5937" t="str">
        <f>"1552376993331902"</f>
        <v>1552376993331902</v>
      </c>
      <c r="C5937" t="s">
        <v>40</v>
      </c>
      <c r="D5937">
        <v>4.8472479999999996</v>
      </c>
      <c r="E5937">
        <v>0.47016039999999998</v>
      </c>
      <c r="F5937" t="s">
        <v>41</v>
      </c>
      <c r="G5937">
        <v>-335.73669999999998</v>
      </c>
      <c r="H5937">
        <v>1.0420389999999999</v>
      </c>
      <c r="I5937">
        <v>18.336639999999999</v>
      </c>
      <c r="J5937">
        <v>-336.58210000000003</v>
      </c>
      <c r="K5937">
        <v>1.1097509999999999</v>
      </c>
      <c r="L5937">
        <v>18.36093</v>
      </c>
      <c r="M5937">
        <v>0.99988410000000005</v>
      </c>
      <c r="N5937">
        <v>0</v>
      </c>
      <c r="O5937">
        <v>-4.6360129999999996E-3</v>
      </c>
      <c r="P5937">
        <v>0.99452759999999996</v>
      </c>
      <c r="Q5937">
        <v>-4.6066249999999996E-3</v>
      </c>
      <c r="R5937">
        <v>-0.1043743</v>
      </c>
      <c r="S5937">
        <v>3.0079349999999998</v>
      </c>
      <c r="T5937">
        <v>-0.19861019999999999</v>
      </c>
      <c r="U5937">
        <v>-7.3303220000000002E-2</v>
      </c>
      <c r="V5937">
        <v>9.9765010000000001E-2</v>
      </c>
      <c r="W5937">
        <v>9.7986719999999996E-3</v>
      </c>
      <c r="X5937">
        <v>0.99496280000000004</v>
      </c>
      <c r="Y5937">
        <v>1.969456E-2</v>
      </c>
      <c r="Z5937">
        <v>-3.4364140000000003E-4</v>
      </c>
      <c r="AA5937">
        <v>0.99980599999999997</v>
      </c>
      <c r="AB5937">
        <v>33</v>
      </c>
      <c r="AC5937">
        <v>0.84540000000004001</v>
      </c>
      <c r="AD5937">
        <v>-6.7711999999999994E-2</v>
      </c>
      <c r="AE5937">
        <v>-2.4290000000000499E-2</v>
      </c>
      <c r="AF5937">
        <v>2.0240303881552801E-2</v>
      </c>
      <c r="AG5937">
        <v>-6.7711999999999994E-2</v>
      </c>
      <c r="AH5937">
        <v>0.84011849328402499</v>
      </c>
      <c r="AI5937">
        <v>94.606642436159802</v>
      </c>
      <c r="AJ5937">
        <v>88.619885525137704</v>
      </c>
      <c r="AK5937">
        <v>0.84308580085483498</v>
      </c>
      <c r="AL5937">
        <v>89.438568477624401</v>
      </c>
      <c r="AM5937">
        <v>84.274085445130893</v>
      </c>
      <c r="AN5937">
        <v>1.0000000222885499</v>
      </c>
    </row>
    <row r="5938" spans="1:40" x14ac:dyDescent="0.25">
      <c r="A5938" t="str">
        <f>"20190312154953349"</f>
        <v>20190312154953349</v>
      </c>
      <c r="B5938" t="str">
        <f>"1552376993341661"</f>
        <v>1552376993341661</v>
      </c>
      <c r="C5938" t="s">
        <v>40</v>
      </c>
      <c r="D5938">
        <v>4.8720489999999996</v>
      </c>
      <c r="E5938">
        <v>0.46961079999999999</v>
      </c>
      <c r="F5938" t="s">
        <v>42</v>
      </c>
      <c r="G5938">
        <v>-320.29020000000003</v>
      </c>
      <c r="H5938" s="1">
        <v>-4.8585909999999999E-6</v>
      </c>
      <c r="I5938">
        <v>17.991399999999999</v>
      </c>
      <c r="J5938">
        <v>-336.40780000000001</v>
      </c>
      <c r="K5938">
        <v>1.109683</v>
      </c>
      <c r="L5938">
        <v>18.359950000000001</v>
      </c>
      <c r="M5938">
        <v>0.99988319999999997</v>
      </c>
      <c r="N5938">
        <v>0</v>
      </c>
      <c r="O5938">
        <v>-4.8320960000000001E-3</v>
      </c>
      <c r="P5938">
        <v>0.99448419999999904</v>
      </c>
      <c r="Q5938">
        <v>-4.6396500000000004E-3</v>
      </c>
      <c r="R5938">
        <v>-0.10478460000000001</v>
      </c>
      <c r="S5938">
        <v>3.0084230000000001</v>
      </c>
      <c r="T5938">
        <v>-0.20492540000000001</v>
      </c>
      <c r="U5938">
        <v>-6.8237300000000001E-2</v>
      </c>
      <c r="V5938">
        <v>9.9982009999999996E-2</v>
      </c>
      <c r="W5938">
        <v>9.7476530000000002E-3</v>
      </c>
      <c r="X5938">
        <v>0.99494150000000003</v>
      </c>
      <c r="Y5938">
        <v>1.781456E-2</v>
      </c>
      <c r="Z5938">
        <v>-2.772044E-4</v>
      </c>
      <c r="AA5938">
        <v>0.99984130000000004</v>
      </c>
      <c r="AB5938">
        <v>33</v>
      </c>
      <c r="AC5938">
        <v>16.1175999999999</v>
      </c>
      <c r="AD5938">
        <v>-1.1096878585909999</v>
      </c>
      <c r="AE5938">
        <v>-0.36855000000000199</v>
      </c>
      <c r="AF5938">
        <v>0.28928515151180101</v>
      </c>
      <c r="AG5938">
        <v>-1.1096878585909999</v>
      </c>
      <c r="AH5938">
        <v>16.0431839462547</v>
      </c>
      <c r="AI5938">
        <v>93.956137393968902</v>
      </c>
      <c r="AJ5938">
        <v>88.966974243929599</v>
      </c>
      <c r="AK5938">
        <v>16.084117761809502</v>
      </c>
      <c r="AL5938">
        <v>89.441491780189097</v>
      </c>
      <c r="AM5938">
        <v>84.261591943088206</v>
      </c>
      <c r="AN5938">
        <v>1.0000000037424399</v>
      </c>
    </row>
    <row r="5939" spans="1:40" x14ac:dyDescent="0.25">
      <c r="A5939" t="str">
        <f>"20190312154953361"</f>
        <v>20190312154953361</v>
      </c>
      <c r="B5939" t="str">
        <f>"1552376993351422"</f>
        <v>1552376993351422</v>
      </c>
      <c r="C5939" t="s">
        <v>40</v>
      </c>
      <c r="D5939">
        <v>4.8198699999999999</v>
      </c>
      <c r="E5939">
        <v>0.46910570000000001</v>
      </c>
      <c r="F5939" t="s">
        <v>41</v>
      </c>
      <c r="G5939">
        <v>-335.44110000000001</v>
      </c>
      <c r="H5939">
        <v>1.0425</v>
      </c>
      <c r="I5939">
        <v>18.338619999999999</v>
      </c>
      <c r="J5939">
        <v>-336.23480000000001</v>
      </c>
      <c r="K5939">
        <v>1.1096159999999999</v>
      </c>
      <c r="L5939">
        <v>18.35895</v>
      </c>
      <c r="M5939">
        <v>0.99988200000000005</v>
      </c>
      <c r="N5939">
        <v>0</v>
      </c>
      <c r="O5939">
        <v>-5.07115E-3</v>
      </c>
      <c r="P5939">
        <v>0.99445680000000003</v>
      </c>
      <c r="Q5939">
        <v>-4.8764500000000001E-3</v>
      </c>
      <c r="R5939">
        <v>-0.1050338</v>
      </c>
      <c r="S5939">
        <v>3.0087890000000002</v>
      </c>
      <c r="T5939">
        <v>-0.2090206</v>
      </c>
      <c r="U5939">
        <v>-6.4971920000000002E-2</v>
      </c>
      <c r="V5939">
        <v>9.9994810000000003E-2</v>
      </c>
      <c r="W5939">
        <v>9.4930329999999997E-3</v>
      </c>
      <c r="X5939">
        <v>0.99494269999999996</v>
      </c>
      <c r="Y5939">
        <v>1.6490729999999999E-2</v>
      </c>
      <c r="Z5939">
        <v>-2.2019060000000001E-4</v>
      </c>
      <c r="AA5939">
        <v>0.99986399999999998</v>
      </c>
      <c r="AB5939">
        <v>33</v>
      </c>
      <c r="AC5939">
        <v>0.79370000000000096</v>
      </c>
      <c r="AD5939">
        <v>-6.7115999999999898E-2</v>
      </c>
      <c r="AE5939">
        <v>-2.0329999999997701E-2</v>
      </c>
      <c r="AF5939">
        <v>1.61886616320721E-2</v>
      </c>
      <c r="AG5939">
        <v>-6.7115999999999898E-2</v>
      </c>
      <c r="AH5939">
        <v>0.78816081234526703</v>
      </c>
      <c r="AI5939">
        <v>94.866270467738602</v>
      </c>
      <c r="AJ5939">
        <v>88.823321880710196</v>
      </c>
      <c r="AK5939">
        <v>0.79117892814343105</v>
      </c>
      <c r="AL5939">
        <v>89.456081119888196</v>
      </c>
      <c r="AM5939">
        <v>84.260869074308999</v>
      </c>
      <c r="AN5939">
        <v>1.00000002799288</v>
      </c>
    </row>
    <row r="5940" spans="1:40" x14ac:dyDescent="0.25">
      <c r="A5940" t="str">
        <f>"20190312154953373"</f>
        <v>20190312154953373</v>
      </c>
      <c r="B5940" t="str">
        <f>"1552376993362157"</f>
        <v>1552376993362157</v>
      </c>
      <c r="C5940" t="s">
        <v>40</v>
      </c>
      <c r="D5940">
        <v>4.8106080000000002</v>
      </c>
      <c r="E5940">
        <v>0.4686458</v>
      </c>
      <c r="F5940" t="s">
        <v>42</v>
      </c>
      <c r="G5940">
        <v>-320.44909999999999</v>
      </c>
      <c r="H5940" s="1">
        <v>-4.7756480000000001E-6</v>
      </c>
      <c r="I5940">
        <v>18.03557</v>
      </c>
      <c r="J5940">
        <v>-336.04809999999998</v>
      </c>
      <c r="K5940">
        <v>1.1095389999999901</v>
      </c>
      <c r="L5940">
        <v>18.357700000000001</v>
      </c>
      <c r="M5940">
        <v>0.99988030000000006</v>
      </c>
      <c r="N5940">
        <v>0</v>
      </c>
      <c r="O5940">
        <v>-5.3870369999999999E-3</v>
      </c>
      <c r="P5940">
        <v>0.99443760000000003</v>
      </c>
      <c r="Q5940">
        <v>-4.7700479999999998E-3</v>
      </c>
      <c r="R5940">
        <v>-0.10522089999999901</v>
      </c>
      <c r="S5940">
        <v>3.0091860000000001</v>
      </c>
      <c r="T5940">
        <v>-0.21152409999999999</v>
      </c>
      <c r="U5940">
        <v>-6.1645510000000001E-2</v>
      </c>
      <c r="V5940">
        <v>9.986942E-2</v>
      </c>
      <c r="W5940">
        <v>9.5793379999999997E-3</v>
      </c>
      <c r="X5940">
        <v>0.99495449999999996</v>
      </c>
      <c r="Y5940">
        <v>1.507083E-2</v>
      </c>
      <c r="Z5940">
        <v>-1.5078030000000001E-4</v>
      </c>
      <c r="AA5940">
        <v>0.99988639999999995</v>
      </c>
      <c r="AB5940">
        <v>33</v>
      </c>
      <c r="AC5940">
        <v>15.598999999999901</v>
      </c>
      <c r="AD5940">
        <v>-1.10954377564799</v>
      </c>
      <c r="AE5940">
        <v>-0.32213000000000103</v>
      </c>
      <c r="AF5940">
        <v>0.236886113880346</v>
      </c>
      <c r="AG5940">
        <v>-1.10954377564799</v>
      </c>
      <c r="AH5940">
        <v>15.522011188761599</v>
      </c>
      <c r="AI5940">
        <v>94.088185711798701</v>
      </c>
      <c r="AJ5940">
        <v>89.125659631650905</v>
      </c>
      <c r="AK5940">
        <v>15.5634197323426</v>
      </c>
      <c r="AL5940">
        <v>89.451136000989095</v>
      </c>
      <c r="AM5940">
        <v>84.268085319990504</v>
      </c>
      <c r="AN5940">
        <v>1.0000000609189501</v>
      </c>
    </row>
    <row r="5941" spans="1:40" x14ac:dyDescent="0.25">
      <c r="A5941" t="str">
        <f>"20190312154953391"</f>
        <v>20190312154953391</v>
      </c>
      <c r="B5941" t="str">
        <f>"1552376993381677"</f>
        <v>1552376993381677</v>
      </c>
      <c r="C5941" t="s">
        <v>40</v>
      </c>
      <c r="D5941">
        <v>4.7736919999999996</v>
      </c>
      <c r="E5941">
        <v>0.46818520000000002</v>
      </c>
      <c r="F5941" t="s">
        <v>41</v>
      </c>
      <c r="G5941">
        <v>-335.1377</v>
      </c>
      <c r="H5941">
        <v>1.0449679999999999</v>
      </c>
      <c r="I5941">
        <v>18.340009999999999</v>
      </c>
      <c r="J5941">
        <v>-335.78820000000002</v>
      </c>
      <c r="K5941">
        <v>1.109424</v>
      </c>
      <c r="L5941">
        <v>18.355830000000001</v>
      </c>
      <c r="M5941">
        <v>0.99987740000000003</v>
      </c>
      <c r="N5941">
        <v>0</v>
      </c>
      <c r="O5941">
        <v>-5.9139020000000004E-3</v>
      </c>
      <c r="P5941">
        <v>0.99433340000000003</v>
      </c>
      <c r="Q5941">
        <v>-4.5399419999999999E-3</v>
      </c>
      <c r="R5941">
        <v>-0.1062104</v>
      </c>
      <c r="S5941">
        <v>3.0095209999999999</v>
      </c>
      <c r="T5941">
        <v>-0.2134751</v>
      </c>
      <c r="U5941">
        <v>-5.8532710000000002E-2</v>
      </c>
      <c r="V5941">
        <v>0.1003382</v>
      </c>
      <c r="W5941">
        <v>9.7786469999999997E-3</v>
      </c>
      <c r="X5941">
        <v>0.99490540000000005</v>
      </c>
      <c r="Y5941">
        <v>1.3512669999999999E-2</v>
      </c>
      <c r="Z5941" s="1">
        <v>-5.9639770000000002E-5</v>
      </c>
      <c r="AA5941">
        <v>0.99990869999999998</v>
      </c>
      <c r="AB5941">
        <v>33</v>
      </c>
      <c r="AC5941">
        <v>0.65050000000002195</v>
      </c>
      <c r="AD5941">
        <v>-6.4455999999999805E-2</v>
      </c>
      <c r="AE5941">
        <v>-1.5819999999997902E-2</v>
      </c>
      <c r="AF5941">
        <v>1.18559899052575E-2</v>
      </c>
      <c r="AG5941">
        <v>-6.4455999999999805E-2</v>
      </c>
      <c r="AH5941">
        <v>0.64426044769683499</v>
      </c>
      <c r="AI5941">
        <v>95.7122699925322</v>
      </c>
      <c r="AJ5941">
        <v>88.945734570860694</v>
      </c>
      <c r="AK5941">
        <v>0.64758525685747304</v>
      </c>
      <c r="AL5941">
        <v>89.439715904841606</v>
      </c>
      <c r="AM5941">
        <v>84.241078239258997</v>
      </c>
      <c r="AN5941">
        <v>1.0000000656327701</v>
      </c>
    </row>
    <row r="5942" spans="1:40" x14ac:dyDescent="0.25">
      <c r="A5942" t="str">
        <f>"20190312154953407"</f>
        <v>20190312154953407</v>
      </c>
      <c r="B5942" t="str">
        <f>"1552376993402174"</f>
        <v>1552376993402174</v>
      </c>
      <c r="C5942" t="s">
        <v>40</v>
      </c>
      <c r="D5942">
        <v>5.0719180000000001</v>
      </c>
      <c r="E5942">
        <v>0.4678118</v>
      </c>
      <c r="F5942" t="s">
        <v>41</v>
      </c>
      <c r="G5942">
        <v>-334.85250000000002</v>
      </c>
      <c r="H5942">
        <v>1.041733</v>
      </c>
      <c r="I5942">
        <v>18.337589999999999</v>
      </c>
      <c r="J5942">
        <v>-335.56709999999998</v>
      </c>
      <c r="K5942">
        <v>1.109321</v>
      </c>
      <c r="L5942">
        <v>18.35406</v>
      </c>
      <c r="M5942">
        <v>0.99987420000000005</v>
      </c>
      <c r="N5942">
        <v>0</v>
      </c>
      <c r="O5942">
        <v>-6.4473859999999899E-3</v>
      </c>
      <c r="P5942">
        <v>0.99424590000000002</v>
      </c>
      <c r="Q5942">
        <v>-4.6174340000000001E-3</v>
      </c>
      <c r="R5942">
        <v>-0.1070238</v>
      </c>
      <c r="S5942">
        <v>3.009979</v>
      </c>
      <c r="T5942">
        <v>-0.21767349999999999</v>
      </c>
      <c r="U5942">
        <v>-5.7617189999999999E-2</v>
      </c>
      <c r="V5942">
        <v>0.1006235</v>
      </c>
      <c r="W5942">
        <v>9.6742249999999998E-3</v>
      </c>
      <c r="X5942">
        <v>0.99487749999999997</v>
      </c>
      <c r="Y5942">
        <v>1.267501E-2</v>
      </c>
      <c r="Z5942" s="1">
        <v>7.9743909999999998E-6</v>
      </c>
      <c r="AA5942">
        <v>0.99991969999999997</v>
      </c>
      <c r="AB5942">
        <v>33</v>
      </c>
      <c r="AC5942">
        <v>0.71459999999996104</v>
      </c>
      <c r="AD5942">
        <v>-6.7587999999999898E-2</v>
      </c>
      <c r="AE5942">
        <v>-1.6470000000001699E-2</v>
      </c>
      <c r="AF5942">
        <v>1.17567554045073E-2</v>
      </c>
      <c r="AG5942">
        <v>-6.7587999999999898E-2</v>
      </c>
      <c r="AH5942">
        <v>0.70835796720871003</v>
      </c>
      <c r="AI5942">
        <v>95.449632593161795</v>
      </c>
      <c r="AJ5942">
        <v>89.049138071138998</v>
      </c>
      <c r="AK5942">
        <v>0.71167223407246705</v>
      </c>
      <c r="AL5942">
        <v>89.445699068639897</v>
      </c>
      <c r="AM5942">
        <v>84.224653082583799</v>
      </c>
      <c r="AN5942">
        <v>0.99999995969392397</v>
      </c>
    </row>
    <row r="5943" spans="1:40" x14ac:dyDescent="0.25">
      <c r="A5943" t="str">
        <f>"20190312154953426"</f>
        <v>20190312154953426</v>
      </c>
      <c r="B5943" t="str">
        <f>"1552376993421693"</f>
        <v>1552376993421693</v>
      </c>
      <c r="C5943" t="s">
        <v>40</v>
      </c>
      <c r="D5943">
        <v>4.8382350000000001</v>
      </c>
      <c r="E5943">
        <v>0.46730359999999999</v>
      </c>
      <c r="F5943" t="s">
        <v>41</v>
      </c>
      <c r="G5943">
        <v>-334.56290000000001</v>
      </c>
      <c r="H5943">
        <v>1.036591</v>
      </c>
      <c r="I5943">
        <v>18.33465</v>
      </c>
      <c r="J5943">
        <v>-335.28620000000001</v>
      </c>
      <c r="K5943">
        <v>1.109189</v>
      </c>
      <c r="L5943">
        <v>18.351500000000001</v>
      </c>
      <c r="M5943">
        <v>0.9998686</v>
      </c>
      <c r="N5943">
        <v>0</v>
      </c>
      <c r="O5943">
        <v>-7.2599919999999998E-3</v>
      </c>
      <c r="P5943">
        <v>0.99402480000000004</v>
      </c>
      <c r="Q5943">
        <v>-4.9149969999999999E-3</v>
      </c>
      <c r="R5943">
        <v>-0.1090448</v>
      </c>
      <c r="S5943">
        <v>3.0101930000000001</v>
      </c>
      <c r="T5943">
        <v>-0.2178745</v>
      </c>
      <c r="U5943">
        <v>-5.7098389999999999E-2</v>
      </c>
      <c r="V5943">
        <v>0.10184020000000001</v>
      </c>
      <c r="W5943">
        <v>9.3380700000000004E-3</v>
      </c>
      <c r="X5943">
        <v>0.99475690000000005</v>
      </c>
      <c r="Y5943">
        <v>1.16934E-2</v>
      </c>
      <c r="Z5943">
        <v>1.0219249999999999E-4</v>
      </c>
      <c r="AA5943">
        <v>0.99993160000000003</v>
      </c>
      <c r="AB5943">
        <v>33</v>
      </c>
      <c r="AC5943">
        <v>0.72329999999999395</v>
      </c>
      <c r="AD5943">
        <v>-7.2597999999999899E-2</v>
      </c>
      <c r="AE5943">
        <v>-1.6850000000001499E-2</v>
      </c>
      <c r="AF5943">
        <v>1.14822398504178E-2</v>
      </c>
      <c r="AG5943">
        <v>-7.2597999999999899E-2</v>
      </c>
      <c r="AH5943">
        <v>0.71619209875043299</v>
      </c>
      <c r="AI5943">
        <v>95.787372403974203</v>
      </c>
      <c r="AJ5943">
        <v>89.0814929039541</v>
      </c>
      <c r="AK5943">
        <v>0.71995377195243004</v>
      </c>
      <c r="AL5943">
        <v>89.464960201662393</v>
      </c>
      <c r="AM5943">
        <v>84.154596754842302</v>
      </c>
      <c r="AN5943">
        <v>0.99999995799248598</v>
      </c>
    </row>
    <row r="5944" spans="1:40" x14ac:dyDescent="0.25">
      <c r="A5944" t="str">
        <f>"20190312154953441"</f>
        <v>20190312154953441</v>
      </c>
      <c r="B5944" t="str">
        <f>"1552376993431453"</f>
        <v>1552376993431453</v>
      </c>
      <c r="C5944" t="s">
        <v>40</v>
      </c>
      <c r="D5944">
        <v>4.8342090000000004</v>
      </c>
      <c r="E5944">
        <v>0.46713890000000002</v>
      </c>
      <c r="F5944" t="s">
        <v>41</v>
      </c>
      <c r="G5944">
        <v>-334.26940000000002</v>
      </c>
      <c r="H5944">
        <v>1.0361400000000001</v>
      </c>
      <c r="I5944">
        <v>18.331530000000001</v>
      </c>
      <c r="J5944">
        <v>-335.04689999999999</v>
      </c>
      <c r="K5944">
        <v>1.1090739999999999</v>
      </c>
      <c r="L5944">
        <v>18.348970000000001</v>
      </c>
      <c r="M5944">
        <v>0.99986240000000004</v>
      </c>
      <c r="N5944">
        <v>0</v>
      </c>
      <c r="O5944">
        <v>-8.0737150000000004E-3</v>
      </c>
      <c r="P5944">
        <v>0.99384930000000005</v>
      </c>
      <c r="Q5944">
        <v>-5.0598420000000002E-3</v>
      </c>
      <c r="R5944">
        <v>-0.11062619999999999</v>
      </c>
      <c r="S5944">
        <v>3.010437</v>
      </c>
      <c r="T5944">
        <v>-0.21629909999999999</v>
      </c>
      <c r="U5944">
        <v>-5.9204100000000003E-2</v>
      </c>
      <c r="V5944">
        <v>0.10261579999999999</v>
      </c>
      <c r="W5944">
        <v>9.1606940000000005E-3</v>
      </c>
      <c r="X5944">
        <v>0.99467890000000003</v>
      </c>
      <c r="Y5944">
        <v>1.1579809999999999E-2</v>
      </c>
      <c r="Z5944">
        <v>1.6390900000000001E-4</v>
      </c>
      <c r="AA5944">
        <v>0.99993290000000001</v>
      </c>
      <c r="AB5944">
        <v>33</v>
      </c>
      <c r="AC5944">
        <v>0.77749999999997499</v>
      </c>
      <c r="AD5944">
        <v>-7.2933999999999805E-2</v>
      </c>
      <c r="AE5944">
        <v>-1.7440000000004102E-2</v>
      </c>
      <c r="AF5944">
        <v>1.10641485372985E-2</v>
      </c>
      <c r="AG5944">
        <v>-7.2933999999999805E-2</v>
      </c>
      <c r="AH5944">
        <v>0.77083589476443604</v>
      </c>
      <c r="AI5944">
        <v>95.404497062315002</v>
      </c>
      <c r="AJ5944">
        <v>89.177664804552293</v>
      </c>
      <c r="AK5944">
        <v>0.77435764372552296</v>
      </c>
      <c r="AL5944">
        <v>89.475123564230998</v>
      </c>
      <c r="AM5944">
        <v>84.109932186171207</v>
      </c>
      <c r="AN5944">
        <v>1.0000000174146999</v>
      </c>
    </row>
    <row r="5945" spans="1:40" x14ac:dyDescent="0.25">
      <c r="A5945" t="str">
        <f>"20190312154953457"</f>
        <v>20190312154953457</v>
      </c>
      <c r="B5945" t="str">
        <f>"1552376993451950"</f>
        <v>1552376993451950</v>
      </c>
      <c r="C5945" t="s">
        <v>40</v>
      </c>
      <c r="D5945">
        <v>4.8523199999999997</v>
      </c>
      <c r="E5945">
        <v>0.4667502</v>
      </c>
      <c r="F5945" t="s">
        <v>43</v>
      </c>
      <c r="G5945">
        <v>-318.83640000000003</v>
      </c>
      <c r="H5945">
        <v>-0.05</v>
      </c>
      <c r="I5945">
        <v>18.010960000000001</v>
      </c>
      <c r="J5945">
        <v>-334.81279999999998</v>
      </c>
      <c r="K5945">
        <v>1.1089560000000001</v>
      </c>
      <c r="L5945">
        <v>18.346250000000001</v>
      </c>
      <c r="M5945">
        <v>0.99985489999999999</v>
      </c>
      <c r="N5945">
        <v>0</v>
      </c>
      <c r="O5945">
        <v>-8.9646559999999997E-3</v>
      </c>
      <c r="P5945">
        <v>0.99363409999999996</v>
      </c>
      <c r="Q5945">
        <v>-4.8330049999999996E-3</v>
      </c>
      <c r="R5945">
        <v>-0.11255279999999999</v>
      </c>
      <c r="S5945">
        <v>3.010529</v>
      </c>
      <c r="T5945">
        <v>-0.215258</v>
      </c>
      <c r="U5945">
        <v>-6.2774659999999996E-2</v>
      </c>
      <c r="V5945">
        <v>0.1036608</v>
      </c>
      <c r="W5945">
        <v>9.354757E-3</v>
      </c>
      <c r="X5945">
        <v>0.99456869999999997</v>
      </c>
      <c r="Y5945">
        <v>1.187527E-2</v>
      </c>
      <c r="Z5945">
        <v>2.161838E-4</v>
      </c>
      <c r="AA5945">
        <v>0.99992950000000003</v>
      </c>
      <c r="AB5945">
        <v>33</v>
      </c>
      <c r="AC5945">
        <v>15.9763999999999</v>
      </c>
      <c r="AD5945">
        <v>-1.1589559999999901</v>
      </c>
      <c r="AE5945">
        <v>-0.33528999999999998</v>
      </c>
      <c r="AF5945">
        <v>0.191033731276888</v>
      </c>
      <c r="AG5945">
        <v>-1.1589559999999901</v>
      </c>
      <c r="AH5945">
        <v>15.8951556166832</v>
      </c>
      <c r="AI5945">
        <v>94.169900647044599</v>
      </c>
      <c r="AJ5945">
        <v>89.311431742671701</v>
      </c>
      <c r="AK5945">
        <v>15.9384956936028</v>
      </c>
      <c r="AL5945">
        <v>89.464004080186896</v>
      </c>
      <c r="AM5945">
        <v>84.049723605311897</v>
      </c>
      <c r="AN5945">
        <v>0.99999998597742901</v>
      </c>
    </row>
    <row r="5946" spans="1:40" x14ac:dyDescent="0.25">
      <c r="A5946" t="str">
        <f>"20190312154953470"</f>
        <v>20190312154953470</v>
      </c>
      <c r="B5946" t="str">
        <f>"1552376993461709"</f>
        <v>1552376993461709</v>
      </c>
      <c r="C5946" t="s">
        <v>40</v>
      </c>
      <c r="D5946">
        <v>4.8592209999999998</v>
      </c>
      <c r="E5946">
        <v>0.46658080000000002</v>
      </c>
      <c r="F5946" t="s">
        <v>43</v>
      </c>
      <c r="G5946">
        <v>-318.54289999999997</v>
      </c>
      <c r="H5946">
        <v>-0.05</v>
      </c>
      <c r="I5946">
        <v>17.991350000000001</v>
      </c>
      <c r="J5946">
        <v>-334.62990000000002</v>
      </c>
      <c r="K5946">
        <v>1.1088659999999999</v>
      </c>
      <c r="L5946">
        <v>18.34393</v>
      </c>
      <c r="M5946">
        <v>0.99984770000000001</v>
      </c>
      <c r="N5946">
        <v>0</v>
      </c>
      <c r="O5946">
        <v>-9.7264369999999992E-3</v>
      </c>
      <c r="P5946">
        <v>0.99348809999999999</v>
      </c>
      <c r="Q5946">
        <v>-4.8125800000000003E-3</v>
      </c>
      <c r="R5946">
        <v>-0.11383509999999999</v>
      </c>
      <c r="S5946">
        <v>3.010742</v>
      </c>
      <c r="T5946">
        <v>-0.21446470000000001</v>
      </c>
      <c r="U5946">
        <v>-6.5673830000000002E-2</v>
      </c>
      <c r="V5946">
        <v>0.1041889</v>
      </c>
      <c r="W5946">
        <v>9.3495130000000003E-3</v>
      </c>
      <c r="X5946">
        <v>0.9945136</v>
      </c>
      <c r="Y5946">
        <v>1.2075860000000001E-2</v>
      </c>
      <c r="Z5946">
        <v>2.6242680000000001E-4</v>
      </c>
      <c r="AA5946">
        <v>0.99992700000000001</v>
      </c>
      <c r="AB5946">
        <v>33</v>
      </c>
      <c r="AC5946">
        <v>16.087</v>
      </c>
      <c r="AD5946">
        <v>-1.158866</v>
      </c>
      <c r="AE5946">
        <v>-0.35257999999999901</v>
      </c>
      <c r="AF5946">
        <v>0.19506590958150699</v>
      </c>
      <c r="AG5946">
        <v>-1.158866</v>
      </c>
      <c r="AH5946">
        <v>16.0066437486336</v>
      </c>
      <c r="AI5946">
        <v>94.140629340534801</v>
      </c>
      <c r="AJ5946">
        <v>89.301796160973595</v>
      </c>
      <c r="AK5946">
        <v>16.049724770559401</v>
      </c>
      <c r="AL5946">
        <v>89.4643045708562</v>
      </c>
      <c r="AM5946">
        <v>84.019300124861999</v>
      </c>
      <c r="AN5946">
        <v>1.00000002043075</v>
      </c>
    </row>
    <row r="5947" spans="1:40" x14ac:dyDescent="0.25">
      <c r="A5947" t="str">
        <f>"20190312154953483"</f>
        <v>20190312154953483</v>
      </c>
      <c r="B5947" t="str">
        <f>"1552376993471469"</f>
        <v>1552376993471469</v>
      </c>
      <c r="C5947" t="s">
        <v>40</v>
      </c>
      <c r="D5947">
        <v>4.8773030000000004</v>
      </c>
      <c r="E5947">
        <v>0.46638879999999999</v>
      </c>
      <c r="F5947" t="s">
        <v>41</v>
      </c>
      <c r="G5947">
        <v>-333.6789</v>
      </c>
      <c r="H5947">
        <v>1.040591</v>
      </c>
      <c r="I5947">
        <v>18.32207</v>
      </c>
      <c r="J5947">
        <v>-334.43869999999998</v>
      </c>
      <c r="K5947">
        <v>1.1087670000000001</v>
      </c>
      <c r="L5947">
        <v>18.341249999999999</v>
      </c>
      <c r="M5947">
        <v>0.99983880000000003</v>
      </c>
      <c r="N5947">
        <v>0</v>
      </c>
      <c r="O5947">
        <v>-1.059272E-2</v>
      </c>
      <c r="P5947">
        <v>0.9933303</v>
      </c>
      <c r="Q5947">
        <v>-4.7541650000000003E-3</v>
      </c>
      <c r="R5947">
        <v>-0.11520610000000001</v>
      </c>
      <c r="S5947">
        <v>3.010834</v>
      </c>
      <c r="T5947">
        <v>-0.2160136</v>
      </c>
      <c r="U5947">
        <v>-6.8176269999999997E-2</v>
      </c>
      <c r="V5947">
        <v>0.10470210000000001</v>
      </c>
      <c r="W5947">
        <v>9.3800280000000003E-3</v>
      </c>
      <c r="X5947">
        <v>0.99445939999999999</v>
      </c>
      <c r="Y5947">
        <v>1.204174E-2</v>
      </c>
      <c r="Z5947">
        <v>3.2759260000000002E-4</v>
      </c>
      <c r="AA5947">
        <v>0.99992749999999997</v>
      </c>
      <c r="AB5947">
        <v>33</v>
      </c>
      <c r="AC5947">
        <v>0.75979999999998404</v>
      </c>
      <c r="AD5947">
        <v>-6.8176E-2</v>
      </c>
      <c r="AE5947">
        <v>-1.9179999999998601E-2</v>
      </c>
      <c r="AF5947">
        <v>1.1040892537220799E-2</v>
      </c>
      <c r="AG5947">
        <v>-6.8176E-2</v>
      </c>
      <c r="AH5947">
        <v>0.75389460809727205</v>
      </c>
      <c r="AI5947">
        <v>95.166750588465504</v>
      </c>
      <c r="AJ5947">
        <v>89.160955235652693</v>
      </c>
      <c r="AK5947">
        <v>0.757051483323398</v>
      </c>
      <c r="AL5947">
        <v>89.462556106000207</v>
      </c>
      <c r="AM5947">
        <v>83.989731108824998</v>
      </c>
      <c r="AN5947">
        <v>1.00000000645902</v>
      </c>
    </row>
    <row r="5948" spans="1:40" x14ac:dyDescent="0.25">
      <c r="A5948" t="str">
        <f>"20190312154953496"</f>
        <v>20190312154953496</v>
      </c>
      <c r="B5948" t="str">
        <f>"1552376993491966"</f>
        <v>1552376993491966</v>
      </c>
      <c r="C5948" t="s">
        <v>40</v>
      </c>
      <c r="D5948">
        <v>4.8422219999999996</v>
      </c>
      <c r="E5948">
        <v>0.46605730000000001</v>
      </c>
      <c r="F5948" t="s">
        <v>43</v>
      </c>
      <c r="G5948">
        <v>-318.36810000000003</v>
      </c>
      <c r="H5948">
        <v>-0.05</v>
      </c>
      <c r="I5948">
        <v>17.963200000000001</v>
      </c>
      <c r="J5948">
        <v>-334.23809999999997</v>
      </c>
      <c r="K5948">
        <v>1.108663</v>
      </c>
      <c r="L5948">
        <v>18.338170000000002</v>
      </c>
      <c r="M5948">
        <v>0.99982760000000004</v>
      </c>
      <c r="N5948">
        <v>0</v>
      </c>
      <c r="O5948">
        <v>-1.1605020000000001E-2</v>
      </c>
      <c r="P5948">
        <v>0.99316130000000002</v>
      </c>
      <c r="Q5948">
        <v>-4.4452859999999997E-3</v>
      </c>
      <c r="R5948">
        <v>-0.1166663</v>
      </c>
      <c r="S5948">
        <v>3.0109249999999999</v>
      </c>
      <c r="T5948">
        <v>-0.2171022</v>
      </c>
      <c r="U5948">
        <v>-7.08313E-2</v>
      </c>
      <c r="V5948">
        <v>0.1051605</v>
      </c>
      <c r="W5948">
        <v>9.6599200000000007E-3</v>
      </c>
      <c r="X5948">
        <v>0.99440839999999997</v>
      </c>
      <c r="Y5948">
        <v>1.1912849999999999E-2</v>
      </c>
      <c r="Z5948">
        <v>4.067516E-4</v>
      </c>
      <c r="AA5948">
        <v>0.99992899999999996</v>
      </c>
      <c r="AB5948">
        <v>33</v>
      </c>
      <c r="AC5948">
        <v>15.8699999999999</v>
      </c>
      <c r="AD5948">
        <v>-1.158663</v>
      </c>
      <c r="AE5948">
        <v>-0.37497000000000102</v>
      </c>
      <c r="AF5948">
        <v>0.189742884304825</v>
      </c>
      <c r="AG5948">
        <v>-1.158663</v>
      </c>
      <c r="AH5948">
        <v>15.7891673333634</v>
      </c>
      <c r="AI5948">
        <v>94.196734886787794</v>
      </c>
      <c r="AJ5948">
        <v>89.311493573754504</v>
      </c>
      <c r="AK5948">
        <v>15.832760573907001</v>
      </c>
      <c r="AL5948">
        <v>89.446518776073603</v>
      </c>
      <c r="AM5948">
        <v>83.963303900624098</v>
      </c>
      <c r="AN5948">
        <v>1.0000000554026001</v>
      </c>
    </row>
    <row r="5949" spans="1:40" x14ac:dyDescent="0.25">
      <c r="A5949" t="str">
        <f>"20190312154953513"</f>
        <v>20190312154953513</v>
      </c>
      <c r="B5949" t="str">
        <f>"1552376993501725"</f>
        <v>1552376993501725</v>
      </c>
      <c r="C5949" t="s">
        <v>40</v>
      </c>
      <c r="D5949">
        <v>4.8316350000000003</v>
      </c>
      <c r="E5949">
        <v>0.46585729999999997</v>
      </c>
      <c r="F5949" t="s">
        <v>43</v>
      </c>
      <c r="G5949">
        <v>-318.26330000000002</v>
      </c>
      <c r="H5949">
        <v>-0.05</v>
      </c>
      <c r="I5949">
        <v>17.953489999999999</v>
      </c>
      <c r="J5949">
        <v>-334.01229999999998</v>
      </c>
      <c r="K5949">
        <v>1.1085400000000001</v>
      </c>
      <c r="L5949">
        <v>18.334379999999999</v>
      </c>
      <c r="M5949">
        <v>0.99981279999999995</v>
      </c>
      <c r="N5949">
        <v>0</v>
      </c>
      <c r="O5949">
        <v>-1.282787E-2</v>
      </c>
      <c r="P5949">
        <v>0.99283399999999999</v>
      </c>
      <c r="Q5949">
        <v>-4.4647360000000004E-3</v>
      </c>
      <c r="R5949">
        <v>-0.1194206</v>
      </c>
      <c r="S5949">
        <v>3.0111080000000001</v>
      </c>
      <c r="T5949">
        <v>-0.21839749999999999</v>
      </c>
      <c r="U5949">
        <v>-7.2509770000000001E-2</v>
      </c>
      <c r="V5949">
        <v>0.1067053</v>
      </c>
      <c r="W5949">
        <v>9.6012730000000004E-3</v>
      </c>
      <c r="X5949">
        <v>0.99424429999999997</v>
      </c>
      <c r="Y5949">
        <v>1.125045E-2</v>
      </c>
      <c r="Z5949">
        <v>5.2169409999999999E-4</v>
      </c>
      <c r="AA5949">
        <v>0.99993659999999995</v>
      </c>
      <c r="AB5949">
        <v>33</v>
      </c>
      <c r="AC5949">
        <v>15.748999999999899</v>
      </c>
      <c r="AD5949">
        <v>-1.1585399999999999</v>
      </c>
      <c r="AE5949">
        <v>-0.38089000000000001</v>
      </c>
      <c r="AF5949">
        <v>0.17784946570253299</v>
      </c>
      <c r="AG5949">
        <v>-1.1585399999999999</v>
      </c>
      <c r="AH5949">
        <v>15.6678536910654</v>
      </c>
      <c r="AI5949">
        <v>94.228697540681495</v>
      </c>
      <c r="AJ5949">
        <v>89.349650159815496</v>
      </c>
      <c r="AK5949">
        <v>15.711635327001501</v>
      </c>
      <c r="AL5949">
        <v>89.4498791085568</v>
      </c>
      <c r="AM5949">
        <v>83.874291262185906</v>
      </c>
      <c r="AN5949">
        <v>0.99999996678689895</v>
      </c>
    </row>
    <row r="5950" spans="1:40" x14ac:dyDescent="0.25">
      <c r="A5950" t="str">
        <f>"20190312154953526"</f>
        <v>20190312154953526</v>
      </c>
      <c r="B5950" t="str">
        <f>"1552376993511485"</f>
        <v>1552376993511485</v>
      </c>
      <c r="C5950" t="s">
        <v>40</v>
      </c>
      <c r="D5950">
        <v>4.8191620000000004</v>
      </c>
      <c r="E5950">
        <v>0.46568779999999999</v>
      </c>
      <c r="F5950" t="s">
        <v>41</v>
      </c>
      <c r="G5950">
        <v>-333.0926</v>
      </c>
      <c r="H5950">
        <v>1.0414239999999999</v>
      </c>
      <c r="I5950">
        <v>18.31005</v>
      </c>
      <c r="J5950">
        <v>-333.8193</v>
      </c>
      <c r="K5950">
        <v>1.1084320000000001</v>
      </c>
      <c r="L5950">
        <v>18.330929999999999</v>
      </c>
      <c r="M5950">
        <v>0.99979790000000002</v>
      </c>
      <c r="N5950">
        <v>0</v>
      </c>
      <c r="O5950">
        <v>-1.393729E-2</v>
      </c>
      <c r="P5950">
        <v>0.99261440000000001</v>
      </c>
      <c r="Q5950">
        <v>-4.5993780000000003E-3</v>
      </c>
      <c r="R5950">
        <v>-0.1212271</v>
      </c>
      <c r="S5950">
        <v>3.0111690000000002</v>
      </c>
      <c r="T5950">
        <v>-0.21966430000000001</v>
      </c>
      <c r="U5950">
        <v>-7.9132079999999994E-2</v>
      </c>
      <c r="V5950">
        <v>0.1074133</v>
      </c>
      <c r="W5950">
        <v>9.4348639999999994E-3</v>
      </c>
      <c r="X5950">
        <v>0.99416970000000005</v>
      </c>
      <c r="Y5950">
        <v>1.2338200000000001E-2</v>
      </c>
      <c r="Z5950">
        <v>5.6587399999999996E-4</v>
      </c>
      <c r="AA5950">
        <v>0.99992369999999997</v>
      </c>
      <c r="AB5950">
        <v>33</v>
      </c>
      <c r="AC5950">
        <v>0.72669999999999302</v>
      </c>
      <c r="AD5950">
        <v>-6.7007999999999901E-2</v>
      </c>
      <c r="AE5950">
        <v>-2.0879999999998199E-2</v>
      </c>
      <c r="AF5950">
        <v>1.0658134426303E-2</v>
      </c>
      <c r="AG5950">
        <v>-6.7007999999999901E-2</v>
      </c>
      <c r="AH5950">
        <v>0.72079697343603999</v>
      </c>
      <c r="AI5950">
        <v>95.310589074397001</v>
      </c>
      <c r="AJ5950">
        <v>89.152852131180097</v>
      </c>
      <c r="AK5950">
        <v>0.72398338710774601</v>
      </c>
      <c r="AL5950">
        <v>89.4594140991736</v>
      </c>
      <c r="AM5950">
        <v>83.833499545865806</v>
      </c>
      <c r="AN5950">
        <v>1.0000000130368301</v>
      </c>
    </row>
    <row r="5951" spans="1:40" x14ac:dyDescent="0.25">
      <c r="A5951" t="str">
        <f>"20190312154953537"</f>
        <v>20190312154953537</v>
      </c>
      <c r="B5951" t="str">
        <f>"1552376993531982"</f>
        <v>1552376993531982</v>
      </c>
      <c r="C5951" t="s">
        <v>40</v>
      </c>
      <c r="D5951">
        <v>4.8133730000000003</v>
      </c>
      <c r="E5951">
        <v>0.4654025</v>
      </c>
      <c r="F5951" t="s">
        <v>41</v>
      </c>
      <c r="G5951">
        <v>-332.80680000000001</v>
      </c>
      <c r="H5951">
        <v>1.0340860000000001</v>
      </c>
      <c r="I5951">
        <v>18.303000000000001</v>
      </c>
      <c r="J5951">
        <v>-333.63510000000002</v>
      </c>
      <c r="K5951">
        <v>1.10833</v>
      </c>
      <c r="L5951">
        <v>18.32724</v>
      </c>
      <c r="M5951">
        <v>0.99978100000000003</v>
      </c>
      <c r="N5951">
        <v>0</v>
      </c>
      <c r="O5951">
        <v>-1.5093179999999999E-2</v>
      </c>
      <c r="P5951">
        <v>0.99238649999999995</v>
      </c>
      <c r="Q5951">
        <v>-4.7983599999999998E-3</v>
      </c>
      <c r="R5951">
        <v>-0.12307029999999999</v>
      </c>
      <c r="S5951">
        <v>3.0111690000000002</v>
      </c>
      <c r="T5951">
        <v>-0.2211436</v>
      </c>
      <c r="U5951">
        <v>-8.3160399999999995E-2</v>
      </c>
      <c r="V5951">
        <v>0.10811179999999999</v>
      </c>
      <c r="W5951">
        <v>9.2069439999999999E-3</v>
      </c>
      <c r="X5951">
        <v>0.99409610000000004</v>
      </c>
      <c r="Y5951">
        <v>1.2521539999999999E-2</v>
      </c>
      <c r="Z5951">
        <v>6.4769410000000002E-4</v>
      </c>
      <c r="AA5951">
        <v>0.99992139999999996</v>
      </c>
      <c r="AB5951">
        <v>33</v>
      </c>
      <c r="AC5951">
        <v>0.82830000000001203</v>
      </c>
      <c r="AD5951">
        <v>-7.4243999999999893E-2</v>
      </c>
      <c r="AE5951">
        <v>-2.4239999999998901E-2</v>
      </c>
      <c r="AF5951">
        <v>1.16407979788145E-2</v>
      </c>
      <c r="AG5951">
        <v>-7.4243999999999893E-2</v>
      </c>
      <c r="AH5951">
        <v>0.821973208264002</v>
      </c>
      <c r="AI5951">
        <v>95.160670356595404</v>
      </c>
      <c r="AJ5951">
        <v>89.188630476839094</v>
      </c>
      <c r="AK5951">
        <v>0.82540149916110594</v>
      </c>
      <c r="AL5951">
        <v>89.472473509613096</v>
      </c>
      <c r="AM5951">
        <v>83.793255320316703</v>
      </c>
      <c r="AN5951">
        <v>0.99999999257613403</v>
      </c>
    </row>
    <row r="5952" spans="1:40" x14ac:dyDescent="0.25">
      <c r="A5952" t="str">
        <f>"20190312154953550"</f>
        <v>20190312154953550</v>
      </c>
      <c r="B5952" t="str">
        <f>"1552376993541741"</f>
        <v>1552376993541741</v>
      </c>
      <c r="C5952" t="s">
        <v>40</v>
      </c>
      <c r="D5952">
        <v>4.8077670000000001</v>
      </c>
      <c r="E5952">
        <v>0.46523229999999999</v>
      </c>
      <c r="F5952" t="s">
        <v>43</v>
      </c>
      <c r="G5952">
        <v>-318.0598</v>
      </c>
      <c r="H5952">
        <v>-0.05</v>
      </c>
      <c r="I5952">
        <v>17.880979999999902</v>
      </c>
      <c r="J5952">
        <v>-333.4597</v>
      </c>
      <c r="K5952">
        <v>1.1082379999999901</v>
      </c>
      <c r="L5952">
        <v>18.323550000000001</v>
      </c>
      <c r="M5952">
        <v>0.99976319999999996</v>
      </c>
      <c r="N5952">
        <v>0</v>
      </c>
      <c r="O5952">
        <v>-1.6229850000000001E-2</v>
      </c>
      <c r="P5952">
        <v>0.99216409999999999</v>
      </c>
      <c r="Q5952">
        <v>-5.001742E-3</v>
      </c>
      <c r="R5952">
        <v>-0.1248408</v>
      </c>
      <c r="S5952">
        <v>3.0112000000000001</v>
      </c>
      <c r="T5952">
        <v>-0.2239429</v>
      </c>
      <c r="U5952">
        <v>-8.627319E-2</v>
      </c>
      <c r="V5952">
        <v>0.1087568</v>
      </c>
      <c r="W5952">
        <v>8.976164E-3</v>
      </c>
      <c r="X5952">
        <v>0.99402789999999996</v>
      </c>
      <c r="Y5952">
        <v>1.2420850000000001E-2</v>
      </c>
      <c r="Z5952">
        <v>7.4398200000000002E-4</v>
      </c>
      <c r="AA5952">
        <v>0.99992259999999999</v>
      </c>
      <c r="AB5952">
        <v>33</v>
      </c>
      <c r="AC5952">
        <v>15.399900000000001</v>
      </c>
      <c r="AD5952">
        <v>-1.1582380000000001</v>
      </c>
      <c r="AE5952">
        <v>-0.44257000000000302</v>
      </c>
      <c r="AF5952">
        <v>0.191465204863772</v>
      </c>
      <c r="AG5952">
        <v>-1.1582380000000001</v>
      </c>
      <c r="AH5952">
        <v>15.3184749643135</v>
      </c>
      <c r="AI5952">
        <v>94.323600394471995</v>
      </c>
      <c r="AJ5952">
        <v>89.283898888538303</v>
      </c>
      <c r="AK5952">
        <v>15.363393161070199</v>
      </c>
      <c r="AL5952">
        <v>89.485696800386705</v>
      </c>
      <c r="AM5952">
        <v>83.756092197411306</v>
      </c>
      <c r="AN5952">
        <v>1.0000000395224</v>
      </c>
    </row>
    <row r="5953" spans="1:40" x14ac:dyDescent="0.25">
      <c r="A5953" t="str">
        <f>"20190312154953563"</f>
        <v>20190312154953563</v>
      </c>
      <c r="B5953" t="str">
        <f>"1552376993551502"</f>
        <v>1552376993551502</v>
      </c>
      <c r="C5953" t="s">
        <v>40</v>
      </c>
      <c r="D5953">
        <v>4.8221299999999996</v>
      </c>
      <c r="E5953">
        <v>0.46508739999999998</v>
      </c>
      <c r="F5953" t="s">
        <v>41</v>
      </c>
      <c r="G5953">
        <v>-332.51209999999998</v>
      </c>
      <c r="H5953">
        <v>1.037201</v>
      </c>
      <c r="I5953">
        <v>18.294889999999999</v>
      </c>
      <c r="J5953">
        <v>-333.27330000000001</v>
      </c>
      <c r="K5953">
        <v>1.108144</v>
      </c>
      <c r="L5953">
        <v>18.319369999999999</v>
      </c>
      <c r="M5953">
        <v>0.99974200000000002</v>
      </c>
      <c r="N5953">
        <v>0</v>
      </c>
      <c r="O5953">
        <v>-1.7491969999999999E-2</v>
      </c>
      <c r="P5953">
        <v>0.99194559999999998</v>
      </c>
      <c r="Q5953">
        <v>-5.1805230000000002E-3</v>
      </c>
      <c r="R5953">
        <v>-0.12656019999999901</v>
      </c>
      <c r="S5953">
        <v>3.0112299999999999</v>
      </c>
      <c r="T5953">
        <v>-0.2255501</v>
      </c>
      <c r="U5953">
        <v>-9.0271000000000004E-2</v>
      </c>
      <c r="V5953">
        <v>0.1092258</v>
      </c>
      <c r="W5953">
        <v>8.7706550000000005E-3</v>
      </c>
      <c r="X5953">
        <v>0.99397829999999998</v>
      </c>
      <c r="Y5953">
        <v>1.248811E-2</v>
      </c>
      <c r="Z5953">
        <v>8.4113739999999997E-4</v>
      </c>
      <c r="AA5953">
        <v>0.99992170000000002</v>
      </c>
      <c r="AB5953">
        <v>33</v>
      </c>
      <c r="AC5953">
        <v>0.76120000000002996</v>
      </c>
      <c r="AD5953">
        <v>-7.0942999999999895E-2</v>
      </c>
      <c r="AE5953">
        <v>-2.4480000000003999E-2</v>
      </c>
      <c r="AF5953">
        <v>1.10639655619541E-2</v>
      </c>
      <c r="AG5953">
        <v>-7.0942999999999895E-2</v>
      </c>
      <c r="AH5953">
        <v>0.754960921947464</v>
      </c>
      <c r="AI5953">
        <v>95.367696034113294</v>
      </c>
      <c r="AJ5953">
        <v>89.160389449748294</v>
      </c>
      <c r="AK5953">
        <v>0.75836753243445298</v>
      </c>
      <c r="AL5953">
        <v>89.497472057256601</v>
      </c>
      <c r="AM5953">
        <v>83.729069757586501</v>
      </c>
      <c r="AN5953">
        <v>1.00000003032282</v>
      </c>
    </row>
    <row r="5954" spans="1:40" x14ac:dyDescent="0.25">
      <c r="A5954" t="str">
        <f>"20190312154953580"</f>
        <v>20190312154953580</v>
      </c>
      <c r="B5954" t="str">
        <f>"1552376993571997"</f>
        <v>1552376993571997</v>
      </c>
      <c r="C5954" t="s">
        <v>40</v>
      </c>
      <c r="D5954">
        <v>4.781758</v>
      </c>
      <c r="E5954">
        <v>0.46494170000000001</v>
      </c>
      <c r="F5954" t="s">
        <v>43</v>
      </c>
      <c r="G5954">
        <v>-317.90649999999999</v>
      </c>
      <c r="H5954">
        <v>-0.05</v>
      </c>
      <c r="I5954">
        <v>17.837979999999899</v>
      </c>
      <c r="J5954">
        <v>-333.02019999999999</v>
      </c>
      <c r="K5954">
        <v>1.1080239999999999</v>
      </c>
      <c r="L5954">
        <v>18.313110000000002</v>
      </c>
      <c r="M5954">
        <v>0.99970840000000005</v>
      </c>
      <c r="N5954">
        <v>0</v>
      </c>
      <c r="O5954">
        <v>-1.930979E-2</v>
      </c>
      <c r="P5954">
        <v>0.9914944</v>
      </c>
      <c r="Q5954">
        <v>-4.9812509999999999E-3</v>
      </c>
      <c r="R5954">
        <v>-0.1300539</v>
      </c>
      <c r="S5954">
        <v>3.011139</v>
      </c>
      <c r="T5954">
        <v>-0.22693849999999999</v>
      </c>
      <c r="U5954">
        <v>-9.4329830000000003E-2</v>
      </c>
      <c r="V5954">
        <v>0.1109236</v>
      </c>
      <c r="W5954">
        <v>8.9294370000000001E-3</v>
      </c>
      <c r="X5954">
        <v>0.99378880000000003</v>
      </c>
      <c r="Y5954">
        <v>1.202406E-2</v>
      </c>
      <c r="Z5954">
        <v>1.000515E-3</v>
      </c>
      <c r="AA5954">
        <v>0.99992720000000002</v>
      </c>
      <c r="AB5954">
        <v>33</v>
      </c>
      <c r="AC5954">
        <v>15.1136999999999</v>
      </c>
      <c r="AD5954">
        <v>-1.1580239999999999</v>
      </c>
      <c r="AE5954">
        <v>-0.47513000000000299</v>
      </c>
      <c r="AF5954">
        <v>0.18210032544162899</v>
      </c>
      <c r="AG5954">
        <v>-1.1580239999999999</v>
      </c>
      <c r="AH5954">
        <v>15.0318957018336</v>
      </c>
      <c r="AI5954">
        <v>94.4049171797203</v>
      </c>
      <c r="AJ5954">
        <v>89.305937856868596</v>
      </c>
      <c r="AK5954">
        <v>15.077535226419</v>
      </c>
      <c r="AL5954">
        <v>89.488374136733</v>
      </c>
      <c r="AM5954">
        <v>83.631185116151201</v>
      </c>
      <c r="AN5954">
        <v>0.99999997944376795</v>
      </c>
    </row>
    <row r="5955" spans="1:40" x14ac:dyDescent="0.25">
      <c r="A5955" t="str">
        <f>"20190312154953594"</f>
        <v>20190312154953594</v>
      </c>
      <c r="B5955" t="str">
        <f>"1552376993581759"</f>
        <v>1552376993581759</v>
      </c>
      <c r="C5955" t="s">
        <v>40</v>
      </c>
      <c r="D5955">
        <v>5.0129400000000004</v>
      </c>
      <c r="E5955">
        <v>0.46494170000000001</v>
      </c>
      <c r="F5955" t="s">
        <v>43</v>
      </c>
      <c r="G5955">
        <v>-317.7038</v>
      </c>
      <c r="H5955">
        <v>-0.05</v>
      </c>
      <c r="I5955">
        <v>17.78593</v>
      </c>
      <c r="J5955">
        <v>-332.81760000000003</v>
      </c>
      <c r="K5955">
        <v>1.1079330000000001</v>
      </c>
      <c r="L5955">
        <v>18.307739999999999</v>
      </c>
      <c r="M5955">
        <v>0.99967790000000001</v>
      </c>
      <c r="N5955">
        <v>0</v>
      </c>
      <c r="O5955">
        <v>-2.0831880000000001E-2</v>
      </c>
      <c r="P5955">
        <v>0.99115379999999997</v>
      </c>
      <c r="Q5955">
        <v>-5.1122160000000002E-3</v>
      </c>
      <c r="R5955">
        <v>-0.13261999999999999</v>
      </c>
      <c r="S5955">
        <v>3.0109859999999999</v>
      </c>
      <c r="T5955">
        <v>-0.2276512</v>
      </c>
      <c r="U5955">
        <v>-0.1036377</v>
      </c>
      <c r="V5955">
        <v>0.1119841</v>
      </c>
      <c r="W5955">
        <v>8.7692250000000003E-3</v>
      </c>
      <c r="X5955">
        <v>0.99367130000000004</v>
      </c>
      <c r="Y5955">
        <v>1.3590919999999999E-2</v>
      </c>
      <c r="Z5955">
        <v>1.0593639999999999E-3</v>
      </c>
      <c r="AA5955">
        <v>0.99990710000000005</v>
      </c>
      <c r="AB5955">
        <v>33</v>
      </c>
      <c r="AC5955">
        <v>15.113799999999999</v>
      </c>
      <c r="AD5955">
        <v>-1.1579330000000001</v>
      </c>
      <c r="AE5955">
        <v>-0.521809999999998</v>
      </c>
      <c r="AF5955">
        <v>0.20560934873723299</v>
      </c>
      <c r="AG5955">
        <v>-1.1579330000000001</v>
      </c>
      <c r="AH5955">
        <v>15.033254563345899</v>
      </c>
      <c r="AI5955">
        <v>94.404087441245693</v>
      </c>
      <c r="AJ5955">
        <v>89.216416286338003</v>
      </c>
      <c r="AK5955">
        <v>15.0791852168191</v>
      </c>
      <c r="AL5955">
        <v>89.497553975722994</v>
      </c>
      <c r="AM5955">
        <v>83.570048780964299</v>
      </c>
      <c r="AN5955">
        <v>0.99999999520180005</v>
      </c>
    </row>
    <row r="5956" spans="1:40" x14ac:dyDescent="0.25">
      <c r="A5956" t="str">
        <f>"20190312154953608"</f>
        <v>20190312154953608</v>
      </c>
      <c r="B5956" t="str">
        <f>"1552376993601278"</f>
        <v>1552376993601278</v>
      </c>
      <c r="C5956" t="s">
        <v>40</v>
      </c>
      <c r="D5956">
        <v>4.9298900000000003</v>
      </c>
      <c r="E5956">
        <v>0.50404409999999999</v>
      </c>
      <c r="F5956" t="s">
        <v>41</v>
      </c>
      <c r="G5956">
        <v>-331.92660000000001</v>
      </c>
      <c r="H5956">
        <v>1.0403830000000001</v>
      </c>
      <c r="I5956">
        <v>18.2745</v>
      </c>
      <c r="J5956">
        <v>-332.62079999999997</v>
      </c>
      <c r="K5956">
        <v>1.107856</v>
      </c>
      <c r="L5956">
        <v>18.30228</v>
      </c>
      <c r="M5956">
        <v>0.99964509999999995</v>
      </c>
      <c r="N5956">
        <v>0</v>
      </c>
      <c r="O5956">
        <v>-2.235214E-2</v>
      </c>
      <c r="P5956">
        <v>0.99077930000000003</v>
      </c>
      <c r="Q5956">
        <v>-5.2926930000000002E-3</v>
      </c>
      <c r="R5956">
        <v>-0.13538310000000001</v>
      </c>
      <c r="S5956">
        <v>3.0107119999999998</v>
      </c>
      <c r="T5956">
        <v>-0.22807430000000001</v>
      </c>
      <c r="U5956">
        <v>-0.1114807</v>
      </c>
      <c r="V5956">
        <v>0.1132442</v>
      </c>
      <c r="W5956">
        <v>8.5594239999999995E-3</v>
      </c>
      <c r="X5956">
        <v>0.99353029999999998</v>
      </c>
      <c r="Y5956">
        <v>1.46762E-2</v>
      </c>
      <c r="Z5956">
        <v>1.135261E-3</v>
      </c>
      <c r="AA5956">
        <v>0.99989159999999999</v>
      </c>
      <c r="AB5956">
        <v>33</v>
      </c>
      <c r="AC5956">
        <v>0.69419999999996596</v>
      </c>
      <c r="AD5956">
        <v>-6.7472999999999894E-2</v>
      </c>
      <c r="AE5956">
        <v>-2.7779999999999899E-2</v>
      </c>
      <c r="AF5956">
        <v>1.2140069374906399E-2</v>
      </c>
      <c r="AG5956">
        <v>-6.7472999999999894E-2</v>
      </c>
      <c r="AH5956">
        <v>0.68815695357054096</v>
      </c>
      <c r="AI5956">
        <v>95.5990205996154</v>
      </c>
      <c r="AJ5956">
        <v>88.989325634006505</v>
      </c>
      <c r="AK5956">
        <v>0.69156343148037802</v>
      </c>
      <c r="AL5956">
        <v>89.509575133762695</v>
      </c>
      <c r="AM5956">
        <v>83.497397129072297</v>
      </c>
      <c r="AN5956">
        <v>0.99999998479547003</v>
      </c>
    </row>
    <row r="5957" spans="1:40" x14ac:dyDescent="0.25">
      <c r="A5957" t="str">
        <f>"20190312154953626"</f>
        <v>20190312154953626</v>
      </c>
      <c r="B5957" t="str">
        <f>"1552376993621774"</f>
        <v>1552376993621774</v>
      </c>
      <c r="C5957" t="s">
        <v>40</v>
      </c>
      <c r="D5957">
        <v>4.8467929999999999</v>
      </c>
      <c r="E5957">
        <v>0.55590280000000003</v>
      </c>
      <c r="F5957" t="s">
        <v>41</v>
      </c>
      <c r="G5957">
        <v>-331.64699999999999</v>
      </c>
      <c r="H5957">
        <v>1.0282530000000001</v>
      </c>
      <c r="I5957">
        <v>18.161760000000001</v>
      </c>
      <c r="J5957">
        <v>-332.358</v>
      </c>
      <c r="K5957">
        <v>1.107758</v>
      </c>
      <c r="L5957">
        <v>18.294339999999998</v>
      </c>
      <c r="M5957">
        <v>0.99959589999999998</v>
      </c>
      <c r="N5957">
        <v>0</v>
      </c>
      <c r="O5957">
        <v>-2.4457360000000001E-2</v>
      </c>
      <c r="P5957">
        <v>0.99008470000000004</v>
      </c>
      <c r="Q5957">
        <v>-6.0406890000000001E-3</v>
      </c>
      <c r="R5957">
        <v>-0.140343</v>
      </c>
      <c r="S5957">
        <v>2.9681090000000001</v>
      </c>
      <c r="T5957">
        <v>-0.24266560000000001</v>
      </c>
      <c r="U5957">
        <v>-0.42846679999999998</v>
      </c>
      <c r="V5957">
        <v>0.1161249</v>
      </c>
      <c r="W5957">
        <v>7.7669480000000001E-3</v>
      </c>
      <c r="X5957">
        <v>0.99320419999999998</v>
      </c>
      <c r="Y5957">
        <v>0.11831759999999999</v>
      </c>
      <c r="Z5957">
        <v>-2.8186600000000002E-3</v>
      </c>
      <c r="AA5957">
        <v>0.99297179999999996</v>
      </c>
      <c r="AB5957">
        <v>32</v>
      </c>
      <c r="AC5957">
        <v>0.71100000000001196</v>
      </c>
      <c r="AD5957">
        <v>-7.9504999999999895E-2</v>
      </c>
      <c r="AE5957">
        <v>-0.13257999999999701</v>
      </c>
      <c r="AF5957">
        <v>0.11377449126959201</v>
      </c>
      <c r="AG5957">
        <v>-7.9504999999999895E-2</v>
      </c>
      <c r="AH5957">
        <v>0.70550495548579695</v>
      </c>
      <c r="AI5957">
        <v>96.348330676676895</v>
      </c>
      <c r="AJ5957">
        <v>80.838969324710206</v>
      </c>
      <c r="AK5957">
        <v>0.71902915247135202</v>
      </c>
      <c r="AL5957">
        <v>89.554982163428903</v>
      </c>
      <c r="AM5957">
        <v>83.331285802806605</v>
      </c>
      <c r="AN5957">
        <v>0.99999995038944101</v>
      </c>
    </row>
    <row r="5958" spans="1:40" x14ac:dyDescent="0.25">
      <c r="A5958" t="str">
        <f>"20190312154953640"</f>
        <v>20190312154953640</v>
      </c>
      <c r="B5958" t="str">
        <f>"1552376993631534"</f>
        <v>1552376993631534</v>
      </c>
      <c r="C5958" t="s">
        <v>40</v>
      </c>
      <c r="D5958">
        <v>4.8635250000000001</v>
      </c>
      <c r="E5958">
        <v>0.55883859999999996</v>
      </c>
      <c r="F5958" t="s">
        <v>43</v>
      </c>
      <c r="G5958">
        <v>-319.31490000000002</v>
      </c>
      <c r="H5958">
        <v>-0.05</v>
      </c>
      <c r="I5958">
        <v>14.47115</v>
      </c>
      <c r="J5958">
        <v>-332.14949999999999</v>
      </c>
      <c r="K5958">
        <v>1.1076950000000001</v>
      </c>
      <c r="L5958">
        <v>18.287510000000001</v>
      </c>
      <c r="M5958">
        <v>0.9995522</v>
      </c>
      <c r="N5958">
        <v>0</v>
      </c>
      <c r="O5958">
        <v>-2.6178259999999998E-2</v>
      </c>
      <c r="P5958">
        <v>0.98967570000000005</v>
      </c>
      <c r="Q5958">
        <v>-6.3014330000000004E-3</v>
      </c>
      <c r="R5958">
        <v>-0.14318620000000001</v>
      </c>
      <c r="S5958">
        <v>2.907654</v>
      </c>
      <c r="T5958">
        <v>-0.25809589999999999</v>
      </c>
      <c r="U5958">
        <v>-0.85229489999999997</v>
      </c>
      <c r="V5958">
        <v>0.1172675</v>
      </c>
      <c r="W5958">
        <v>7.480853E-3</v>
      </c>
      <c r="X5958">
        <v>0.99307219999999996</v>
      </c>
      <c r="Y5958">
        <v>0.25523780000000001</v>
      </c>
      <c r="Z5958">
        <v>-8.8046029999999994E-3</v>
      </c>
      <c r="AA5958">
        <v>0.96683819999999998</v>
      </c>
      <c r="AB5958">
        <v>32</v>
      </c>
      <c r="AC5958">
        <v>12.834599999999901</v>
      </c>
      <c r="AD5958">
        <v>-1.1576949999999999</v>
      </c>
      <c r="AE5958">
        <v>-3.81636</v>
      </c>
      <c r="AF5958">
        <v>3.4532152159871199</v>
      </c>
      <c r="AG5958">
        <v>-1.1576949999999999</v>
      </c>
      <c r="AH5958">
        <v>12.834177407595799</v>
      </c>
      <c r="AI5958">
        <v>94.978247307481993</v>
      </c>
      <c r="AJ5958">
        <v>74.940421147383802</v>
      </c>
      <c r="AK5958">
        <v>13.3409543425721</v>
      </c>
      <c r="AL5958">
        <v>89.571374703179202</v>
      </c>
      <c r="AM5958">
        <v>83.265382433536899</v>
      </c>
      <c r="AN5958">
        <v>1.0000000120653401</v>
      </c>
    </row>
    <row r="5959" spans="1:40" x14ac:dyDescent="0.25">
      <c r="A5959" t="str">
        <f>"20190312154953653"</f>
        <v>20190312154953653</v>
      </c>
      <c r="B5959" t="str">
        <f>"1552376993642270"</f>
        <v>1552376993642270</v>
      </c>
      <c r="C5959" t="s">
        <v>40</v>
      </c>
      <c r="D5959">
        <v>4.8336629999999996</v>
      </c>
      <c r="E5959">
        <v>0.55974419999999903</v>
      </c>
      <c r="F5959" t="s">
        <v>42</v>
      </c>
      <c r="G5959">
        <v>-320.19589999999999</v>
      </c>
      <c r="H5959" s="1">
        <v>-5.4961520000000004E-6</v>
      </c>
      <c r="I5959">
        <v>14.648580000000001</v>
      </c>
      <c r="J5959">
        <v>-331.95139999999998</v>
      </c>
      <c r="K5959">
        <v>1.1076429999999999</v>
      </c>
      <c r="L5959">
        <v>18.280729999999998</v>
      </c>
      <c r="M5959">
        <v>0.99950740000000005</v>
      </c>
      <c r="N5959">
        <v>0</v>
      </c>
      <c r="O5959">
        <v>-2.7837279999999999E-2</v>
      </c>
      <c r="P5959">
        <v>0.98924690000000004</v>
      </c>
      <c r="Q5959">
        <v>-6.6084560000000004E-3</v>
      </c>
      <c r="R5959">
        <v>-0.1461073</v>
      </c>
      <c r="S5959">
        <v>2.9017940000000002</v>
      </c>
      <c r="T5959">
        <v>-0.26889790000000002</v>
      </c>
      <c r="U5959">
        <v>-0.88336179999999997</v>
      </c>
      <c r="V5959">
        <v>0.11855010000000001</v>
      </c>
      <c r="W5959">
        <v>7.1499379999999998E-3</v>
      </c>
      <c r="X5959">
        <v>0.99292230000000004</v>
      </c>
      <c r="Y5959">
        <v>0.26355529999999999</v>
      </c>
      <c r="Z5959">
        <v>-9.4021120000000007E-3</v>
      </c>
      <c r="AA5959">
        <v>0.96459850000000003</v>
      </c>
      <c r="AB5959">
        <v>32</v>
      </c>
      <c r="AC5959">
        <v>11.7554999999999</v>
      </c>
      <c r="AD5959">
        <v>-1.1076484961519999</v>
      </c>
      <c r="AE5959">
        <v>-3.63214999999999</v>
      </c>
      <c r="AF5959">
        <v>3.2769090925687299</v>
      </c>
      <c r="AG5959">
        <v>-1.1076484961519999</v>
      </c>
      <c r="AH5959">
        <v>11.7567810579759</v>
      </c>
      <c r="AI5959">
        <v>95.185631063779994</v>
      </c>
      <c r="AJ5959">
        <v>74.425515830946793</v>
      </c>
      <c r="AK5959">
        <v>12.255077284014501</v>
      </c>
      <c r="AL5959">
        <v>89.590335226365298</v>
      </c>
      <c r="AM5959">
        <v>83.191392822458894</v>
      </c>
      <c r="AN5959">
        <v>0.99999997083035097</v>
      </c>
    </row>
    <row r="5960" spans="1:40" x14ac:dyDescent="0.25">
      <c r="A5960" t="str">
        <f>"20190312154953674"</f>
        <v>20190312154953674</v>
      </c>
      <c r="B5960" t="str">
        <f>"1552376993661789"</f>
        <v>1552376993661789</v>
      </c>
      <c r="C5960" t="s">
        <v>40</v>
      </c>
      <c r="D5960">
        <v>4.769692</v>
      </c>
      <c r="E5960">
        <v>0.56017939999999999</v>
      </c>
      <c r="F5960" t="s">
        <v>42</v>
      </c>
      <c r="G5960">
        <v>-320.11689999999999</v>
      </c>
      <c r="H5960" s="1">
        <v>-5.5402139999999999E-6</v>
      </c>
      <c r="I5960">
        <v>14.610519999999999</v>
      </c>
      <c r="J5960">
        <v>-331.65039999999999</v>
      </c>
      <c r="K5960">
        <v>1.1075759999999999</v>
      </c>
      <c r="L5960">
        <v>18.269780000000001</v>
      </c>
      <c r="M5960">
        <v>0.99943269999999995</v>
      </c>
      <c r="N5960">
        <v>0</v>
      </c>
      <c r="O5960">
        <v>-3.0399389999999998E-2</v>
      </c>
      <c r="P5960">
        <v>0.98846860000000003</v>
      </c>
      <c r="Q5960">
        <v>-6.9981519999999997E-3</v>
      </c>
      <c r="R5960">
        <v>-0.15126389999999901</v>
      </c>
      <c r="S5960">
        <v>2.8980709999999998</v>
      </c>
      <c r="T5960">
        <v>-0.2712446</v>
      </c>
      <c r="U5960">
        <v>-0.89877320000000005</v>
      </c>
      <c r="V5960">
        <v>0.12118130000000001</v>
      </c>
      <c r="W5960">
        <v>6.721749E-3</v>
      </c>
      <c r="X5960">
        <v>0.99260769999999998</v>
      </c>
      <c r="Y5960">
        <v>0.26609749999999999</v>
      </c>
      <c r="Z5960">
        <v>-9.3710319999999996E-3</v>
      </c>
      <c r="AA5960">
        <v>0.9639006</v>
      </c>
      <c r="AB5960">
        <v>32</v>
      </c>
      <c r="AC5960">
        <v>11.5335</v>
      </c>
      <c r="AD5960">
        <v>-1.1075815402139999</v>
      </c>
      <c r="AE5960">
        <v>-3.65925999999999</v>
      </c>
      <c r="AF5960">
        <v>3.2794428545512</v>
      </c>
      <c r="AG5960">
        <v>-1.1075815402139999</v>
      </c>
      <c r="AH5960">
        <v>11.5427068404764</v>
      </c>
      <c r="AI5960">
        <v>95.273574995589996</v>
      </c>
      <c r="AJ5960">
        <v>74.139417600911798</v>
      </c>
      <c r="AK5960">
        <v>12.0505420421519</v>
      </c>
      <c r="AL5960">
        <v>89.614869277248303</v>
      </c>
      <c r="AM5960">
        <v>83.039558799405498</v>
      </c>
      <c r="AN5960">
        <v>1.00000006773929</v>
      </c>
    </row>
    <row r="5961" spans="1:40" x14ac:dyDescent="0.25">
      <c r="A5961" t="str">
        <f>"20190312154953693"</f>
        <v>20190312154953693</v>
      </c>
      <c r="B5961" t="str">
        <f>"1552376993681310"</f>
        <v>1552376993681310</v>
      </c>
      <c r="C5961" t="s">
        <v>40</v>
      </c>
      <c r="D5961">
        <v>4.7686390000000003</v>
      </c>
      <c r="E5961">
        <v>0.55975750000000002</v>
      </c>
      <c r="F5961" t="s">
        <v>43</v>
      </c>
      <c r="G5961">
        <v>-319.25409999999999</v>
      </c>
      <c r="H5961">
        <v>-0.05</v>
      </c>
      <c r="I5961">
        <v>14.339259999999999</v>
      </c>
      <c r="J5961">
        <v>-331.3931</v>
      </c>
      <c r="K5961">
        <v>1.1075280000000001</v>
      </c>
      <c r="L5961">
        <v>18.259740000000001</v>
      </c>
      <c r="M5961">
        <v>0.99936259999999999</v>
      </c>
      <c r="N5961">
        <v>0</v>
      </c>
      <c r="O5961">
        <v>-3.2620910000000003E-2</v>
      </c>
      <c r="P5961">
        <v>0.98782539999999996</v>
      </c>
      <c r="Q5961">
        <v>-7.1005449999999998E-3</v>
      </c>
      <c r="R5961">
        <v>-0.1554053</v>
      </c>
      <c r="S5961">
        <v>2.8927309999999999</v>
      </c>
      <c r="T5961">
        <v>-0.27012599999999998</v>
      </c>
      <c r="U5961">
        <v>-0.91720579999999996</v>
      </c>
      <c r="V5961">
        <v>0.1231348</v>
      </c>
      <c r="W5961">
        <v>6.5906209999999996E-3</v>
      </c>
      <c r="X5961">
        <v>0.99236809999999998</v>
      </c>
      <c r="Y5961">
        <v>0.2700477</v>
      </c>
      <c r="Z5961">
        <v>-9.318471E-3</v>
      </c>
      <c r="AA5961">
        <v>0.96280189999999999</v>
      </c>
      <c r="AB5961">
        <v>32</v>
      </c>
      <c r="AC5961">
        <v>12.138999999999999</v>
      </c>
      <c r="AD5961">
        <v>-1.1575279999999999</v>
      </c>
      <c r="AE5961">
        <v>-3.92048</v>
      </c>
      <c r="AF5961">
        <v>3.49360012636058</v>
      </c>
      <c r="AG5961">
        <v>-1.1575279999999999</v>
      </c>
      <c r="AH5961">
        <v>12.160314059377299</v>
      </c>
      <c r="AI5961">
        <v>95.227335079038994</v>
      </c>
      <c r="AJ5961">
        <v>73.970894443587596</v>
      </c>
      <c r="AK5961">
        <v>12.7050521815686</v>
      </c>
      <c r="AL5961">
        <v>89.622382510125604</v>
      </c>
      <c r="AM5961">
        <v>82.926790250736801</v>
      </c>
      <c r="AN5961">
        <v>1.0000000305768999</v>
      </c>
    </row>
    <row r="5962" spans="1:40" x14ac:dyDescent="0.25">
      <c r="A5962" t="str">
        <f>"20190312154953707"</f>
        <v>20190312154953707</v>
      </c>
      <c r="B5962" t="str">
        <f>"1552376993701805"</f>
        <v>1552376993701805</v>
      </c>
      <c r="C5962" t="s">
        <v>40</v>
      </c>
      <c r="D5962">
        <v>4.7869809999999999</v>
      </c>
      <c r="E5962">
        <v>0.5597008</v>
      </c>
      <c r="F5962" t="s">
        <v>43</v>
      </c>
      <c r="G5962">
        <v>-319.0068</v>
      </c>
      <c r="H5962">
        <v>-0.05</v>
      </c>
      <c r="I5962">
        <v>14.290620000000001</v>
      </c>
      <c r="J5962">
        <v>-331.17910000000001</v>
      </c>
      <c r="K5962">
        <v>1.10749599999999</v>
      </c>
      <c r="L5962">
        <v>18.250979999999998</v>
      </c>
      <c r="M5962">
        <v>0.99930010000000002</v>
      </c>
      <c r="N5962">
        <v>0</v>
      </c>
      <c r="O5962">
        <v>-3.4485809999999999E-2</v>
      </c>
      <c r="P5962">
        <v>0.98741190000000001</v>
      </c>
      <c r="Q5962">
        <v>-6.9979259999999998E-3</v>
      </c>
      <c r="R5962">
        <v>-0.15801589999999999</v>
      </c>
      <c r="S5962">
        <v>2.8893430000000002</v>
      </c>
      <c r="T5962">
        <v>-0.27001550000000002</v>
      </c>
      <c r="U5962">
        <v>-0.92587280000000005</v>
      </c>
      <c r="V5962">
        <v>0.12390710000000001</v>
      </c>
      <c r="W5962">
        <v>6.6769259999999997E-3</v>
      </c>
      <c r="X5962">
        <v>0.99227140000000003</v>
      </c>
      <c r="Y5962">
        <v>0.27120040000000001</v>
      </c>
      <c r="Z5962">
        <v>-9.2042159999999994E-3</v>
      </c>
      <c r="AA5962">
        <v>0.96247890000000003</v>
      </c>
      <c r="AB5962">
        <v>32</v>
      </c>
      <c r="AC5962">
        <v>12.1723</v>
      </c>
      <c r="AD5962">
        <v>-1.1574960000000001</v>
      </c>
      <c r="AE5962">
        <v>-3.9603599999999899</v>
      </c>
      <c r="AF5962">
        <v>3.5094909891930799</v>
      </c>
      <c r="AG5962">
        <v>-1.1574960000000001</v>
      </c>
      <c r="AH5962">
        <v>12.201874016433999</v>
      </c>
      <c r="AI5962">
        <v>95.209040131691097</v>
      </c>
      <c r="AJ5962">
        <v>73.953758427274394</v>
      </c>
      <c r="AK5962">
        <v>12.749198151498399</v>
      </c>
      <c r="AL5962">
        <v>89.617437493208698</v>
      </c>
      <c r="AM5962">
        <v>82.882194235692296</v>
      </c>
      <c r="AN5962">
        <v>1.00000004101458</v>
      </c>
    </row>
    <row r="5963" spans="1:40" x14ac:dyDescent="0.25">
      <c r="A5963" t="str">
        <f>"20190312154953722"</f>
        <v>20190312154953722</v>
      </c>
      <c r="B5963" t="str">
        <f>"1552376993711565"</f>
        <v>1552376993711565</v>
      </c>
      <c r="C5963" t="s">
        <v>40</v>
      </c>
      <c r="D5963">
        <v>4.793088</v>
      </c>
      <c r="E5963">
        <v>0.55966749999999998</v>
      </c>
      <c r="F5963" t="s">
        <v>43</v>
      </c>
      <c r="G5963">
        <v>-318.73869999999999</v>
      </c>
      <c r="H5963">
        <v>-0.05</v>
      </c>
      <c r="I5963">
        <v>14.23016</v>
      </c>
      <c r="J5963">
        <v>-330.95460000000003</v>
      </c>
      <c r="K5963">
        <v>1.107467</v>
      </c>
      <c r="L5963">
        <v>18.241299999999999</v>
      </c>
      <c r="M5963">
        <v>0.99922999999999995</v>
      </c>
      <c r="N5963">
        <v>0</v>
      </c>
      <c r="O5963">
        <v>-3.6458020000000001E-2</v>
      </c>
      <c r="P5963">
        <v>0.98698719999999995</v>
      </c>
      <c r="Q5963">
        <v>-6.8637489999999997E-3</v>
      </c>
      <c r="R5963">
        <v>-0.1606522</v>
      </c>
      <c r="S5963">
        <v>2.8870239999999998</v>
      </c>
      <c r="T5963">
        <v>-0.26861819999999997</v>
      </c>
      <c r="U5963">
        <v>-0.93310550000000003</v>
      </c>
      <c r="V5963">
        <v>0.12459969999999999</v>
      </c>
      <c r="W5963">
        <v>6.7970859999999999E-3</v>
      </c>
      <c r="X5963">
        <v>0.99218379999999995</v>
      </c>
      <c r="Y5963">
        <v>0.27172560000000001</v>
      </c>
      <c r="Z5963">
        <v>-9.0061329999999995E-3</v>
      </c>
      <c r="AA5963">
        <v>0.96233270000000004</v>
      </c>
      <c r="AB5963">
        <v>32</v>
      </c>
      <c r="AC5963">
        <v>12.2159</v>
      </c>
      <c r="AD5963">
        <v>-1.157467</v>
      </c>
      <c r="AE5963">
        <v>-4.0111399999999904</v>
      </c>
      <c r="AF5963">
        <v>3.5344155845004601</v>
      </c>
      <c r="AG5963">
        <v>-1.157467</v>
      </c>
      <c r="AH5963">
        <v>12.2547185485253</v>
      </c>
      <c r="AI5963">
        <v>95.185482741982895</v>
      </c>
      <c r="AJ5963">
        <v>73.911770764989399</v>
      </c>
      <c r="AK5963">
        <v>12.8066369544708</v>
      </c>
      <c r="AL5963">
        <v>89.610552656237203</v>
      </c>
      <c r="AM5963">
        <v>82.842194152200307</v>
      </c>
      <c r="AN5963">
        <v>0.99999998930030998</v>
      </c>
    </row>
    <row r="5964" spans="1:40" x14ac:dyDescent="0.25">
      <c r="A5964" t="str">
        <f>"20190312154953739"</f>
        <v>20190312154953739</v>
      </c>
      <c r="B5964" t="str">
        <f>"1552376993732062"</f>
        <v>1552376993732062</v>
      </c>
      <c r="C5964" t="s">
        <v>40</v>
      </c>
      <c r="D5964">
        <v>4.7788510000000004</v>
      </c>
      <c r="E5964">
        <v>0.55923159999999905</v>
      </c>
      <c r="F5964" t="s">
        <v>43</v>
      </c>
      <c r="G5964">
        <v>-318.4357</v>
      </c>
      <c r="H5964">
        <v>-0.05</v>
      </c>
      <c r="I5964">
        <v>14.15897</v>
      </c>
      <c r="J5964">
        <v>-330.71379999999999</v>
      </c>
      <c r="K5964">
        <v>1.107442</v>
      </c>
      <c r="L5964">
        <v>18.230409999999999</v>
      </c>
      <c r="M5964">
        <v>0.99915019999999999</v>
      </c>
      <c r="N5964">
        <v>0</v>
      </c>
      <c r="O5964">
        <v>-3.858669E-2</v>
      </c>
      <c r="P5964">
        <v>0.98649189999999998</v>
      </c>
      <c r="Q5964">
        <v>-6.4452909999999997E-3</v>
      </c>
      <c r="R5964">
        <v>-0.163683</v>
      </c>
      <c r="S5964">
        <v>2.8845830000000001</v>
      </c>
      <c r="T5964">
        <v>-0.26670179999999999</v>
      </c>
      <c r="U5964">
        <v>-0.94064329999999996</v>
      </c>
      <c r="V5964">
        <v>0.12553639999999999</v>
      </c>
      <c r="W5964">
        <v>7.1995269999999998E-3</v>
      </c>
      <c r="X5964">
        <v>0.99206289999999997</v>
      </c>
      <c r="Y5964">
        <v>0.2722079</v>
      </c>
      <c r="Z5964">
        <v>-8.7767260000000003E-3</v>
      </c>
      <c r="AA5964">
        <v>0.96219840000000001</v>
      </c>
      <c r="AB5964">
        <v>32</v>
      </c>
      <c r="AC5964">
        <v>12.278099999999901</v>
      </c>
      <c r="AD5964">
        <v>-1.1574420000000001</v>
      </c>
      <c r="AE5964">
        <v>-4.0714399999999902</v>
      </c>
      <c r="AF5964">
        <v>3.5660356472105401</v>
      </c>
      <c r="AG5964">
        <v>-1.1574420000000001</v>
      </c>
      <c r="AH5964">
        <v>12.3273779134847</v>
      </c>
      <c r="AI5964">
        <v>95.153790805335404</v>
      </c>
      <c r="AJ5964">
        <v>73.866022136785503</v>
      </c>
      <c r="AK5964">
        <v>12.8848953601654</v>
      </c>
      <c r="AL5964">
        <v>89.587493928582603</v>
      </c>
      <c r="AM5964">
        <v>82.788078912583899</v>
      </c>
      <c r="AN5964">
        <v>1.0000000092351899</v>
      </c>
    </row>
    <row r="5965" spans="1:40" x14ac:dyDescent="0.25">
      <c r="A5965" t="str">
        <f>"20190312154953753"</f>
        <v>20190312154953753</v>
      </c>
      <c r="B5965" t="str">
        <f>"1552376993741822"</f>
        <v>1552376993741822</v>
      </c>
      <c r="C5965" t="s">
        <v>40</v>
      </c>
      <c r="D5965">
        <v>4.7862359999999997</v>
      </c>
      <c r="E5965">
        <v>0.55906739999999999</v>
      </c>
      <c r="F5965" t="s">
        <v>43</v>
      </c>
      <c r="G5965">
        <v>-318.13580000000002</v>
      </c>
      <c r="H5965">
        <v>-0.05</v>
      </c>
      <c r="I5965">
        <v>14.1028</v>
      </c>
      <c r="J5965">
        <v>-330.51600000000002</v>
      </c>
      <c r="K5965">
        <v>1.1074219999999999</v>
      </c>
      <c r="L5965">
        <v>18.221039999999999</v>
      </c>
      <c r="M5965">
        <v>0.99908070000000004</v>
      </c>
      <c r="N5965">
        <v>0</v>
      </c>
      <c r="O5965">
        <v>-4.0345190000000003E-2</v>
      </c>
      <c r="P5965">
        <v>0.98616740000000003</v>
      </c>
      <c r="Q5965">
        <v>-5.884355E-3</v>
      </c>
      <c r="R5965">
        <v>-0.16564899999999999</v>
      </c>
      <c r="S5965">
        <v>2.8824160000000001</v>
      </c>
      <c r="T5965">
        <v>-0.26524249999999999</v>
      </c>
      <c r="U5965">
        <v>-0.94589230000000002</v>
      </c>
      <c r="V5965">
        <v>0.12577099999999999</v>
      </c>
      <c r="W5965">
        <v>7.751689E-3</v>
      </c>
      <c r="X5965">
        <v>0.99202900000000005</v>
      </c>
      <c r="Y5965">
        <v>0.27232610000000002</v>
      </c>
      <c r="Z5965">
        <v>-8.5812219999999995E-3</v>
      </c>
      <c r="AA5965">
        <v>0.96216670000000004</v>
      </c>
      <c r="AB5965">
        <v>32</v>
      </c>
      <c r="AC5965">
        <v>12.380199999999901</v>
      </c>
      <c r="AD5965">
        <v>-1.157422</v>
      </c>
      <c r="AE5965">
        <v>-4.1182399999999904</v>
      </c>
      <c r="AF5965">
        <v>3.5871232447008601</v>
      </c>
      <c r="AG5965">
        <v>-1.157422</v>
      </c>
      <c r="AH5965">
        <v>12.4384020792403</v>
      </c>
      <c r="AI5965">
        <v>95.109146364728403</v>
      </c>
      <c r="AJ5965">
        <v>73.912914682587896</v>
      </c>
      <c r="AK5965">
        <v>12.996958303526499</v>
      </c>
      <c r="AL5965">
        <v>89.555856481456303</v>
      </c>
      <c r="AM5965">
        <v>82.774499417096294</v>
      </c>
      <c r="AN5965">
        <v>0.99999998498217602</v>
      </c>
    </row>
    <row r="5966" spans="1:40" x14ac:dyDescent="0.25">
      <c r="A5966" t="str">
        <f>"20190312154953772"</f>
        <v>20190312154953772</v>
      </c>
      <c r="B5966" t="str">
        <f>"1552376993761341"</f>
        <v>1552376993761341</v>
      </c>
      <c r="C5966" t="s">
        <v>40</v>
      </c>
      <c r="D5966">
        <v>4.8026200000000001</v>
      </c>
      <c r="E5966">
        <v>0.55883799999999995</v>
      </c>
      <c r="F5966" t="s">
        <v>43</v>
      </c>
      <c r="G5966">
        <v>-317.84789999999998</v>
      </c>
      <c r="H5966">
        <v>-0.05</v>
      </c>
      <c r="I5966">
        <v>14.042759999999999</v>
      </c>
      <c r="J5966">
        <v>-330.25330000000002</v>
      </c>
      <c r="K5966">
        <v>1.107397</v>
      </c>
      <c r="L5966">
        <v>18.208100000000002</v>
      </c>
      <c r="M5966">
        <v>0.99898310000000001</v>
      </c>
      <c r="N5966">
        <v>0</v>
      </c>
      <c r="O5966">
        <v>-4.269423E-2</v>
      </c>
      <c r="P5966">
        <v>0.98569910000000005</v>
      </c>
      <c r="Q5966">
        <v>-5.1721329999999998E-3</v>
      </c>
      <c r="R5966">
        <v>-0.1684368</v>
      </c>
      <c r="S5966">
        <v>2.88089</v>
      </c>
      <c r="T5966">
        <v>-0.26321280000000002</v>
      </c>
      <c r="U5966">
        <v>-0.95019529999999996</v>
      </c>
      <c r="V5966">
        <v>0.126248</v>
      </c>
      <c r="W5966">
        <v>8.4516639999999994E-3</v>
      </c>
      <c r="X5966">
        <v>0.99196269999999998</v>
      </c>
      <c r="Y5966">
        <v>0.27153680000000002</v>
      </c>
      <c r="Z5966">
        <v>-8.2752480000000007E-3</v>
      </c>
      <c r="AA5966">
        <v>0.96239249999999998</v>
      </c>
      <c r="AB5966">
        <v>32</v>
      </c>
      <c r="AC5966">
        <v>12.4054</v>
      </c>
      <c r="AD5966">
        <v>-1.157397</v>
      </c>
      <c r="AE5966">
        <v>-4.1653399999999996</v>
      </c>
      <c r="AF5966">
        <v>3.6036567235664498</v>
      </c>
      <c r="AG5966">
        <v>-1.157397</v>
      </c>
      <c r="AH5966">
        <v>12.4743593395568</v>
      </c>
      <c r="AI5966">
        <v>95.093720322140001</v>
      </c>
      <c r="AJ5966">
        <v>73.886781376633195</v>
      </c>
      <c r="AK5966">
        <v>13.035933051734499</v>
      </c>
      <c r="AL5966">
        <v>89.515749554456306</v>
      </c>
      <c r="AM5966">
        <v>82.746907594713804</v>
      </c>
      <c r="AN5966">
        <v>0.99999999315982901</v>
      </c>
    </row>
    <row r="5967" spans="1:40" x14ac:dyDescent="0.25">
      <c r="A5967" t="str">
        <f>"20190312154953794"</f>
        <v>20190312154953794</v>
      </c>
      <c r="B5967" t="str">
        <f>"1552376993781838"</f>
        <v>1552376993781838</v>
      </c>
      <c r="C5967" t="s">
        <v>40</v>
      </c>
      <c r="D5967">
        <v>4.8164179999999996</v>
      </c>
      <c r="E5967">
        <v>0.55863079999999998</v>
      </c>
      <c r="F5967" t="s">
        <v>43</v>
      </c>
      <c r="G5967">
        <v>-317.50490000000002</v>
      </c>
      <c r="H5967">
        <v>-0.05</v>
      </c>
      <c r="I5967">
        <v>13.97331</v>
      </c>
      <c r="J5967">
        <v>-329.93020000000001</v>
      </c>
      <c r="K5967">
        <v>1.1073649999999999</v>
      </c>
      <c r="L5967">
        <v>18.19125</v>
      </c>
      <c r="M5967">
        <v>0.99885429999999997</v>
      </c>
      <c r="N5967">
        <v>0</v>
      </c>
      <c r="O5967">
        <v>-4.5605630000000001E-2</v>
      </c>
      <c r="P5967">
        <v>0.98523879999999997</v>
      </c>
      <c r="Q5967">
        <v>-6.1273589999999998E-3</v>
      </c>
      <c r="R5967">
        <v>-0.1710757</v>
      </c>
      <c r="S5967">
        <v>2.8787539999999998</v>
      </c>
      <c r="T5967">
        <v>-0.26135540000000002</v>
      </c>
      <c r="U5967">
        <v>-0.95626829999999996</v>
      </c>
      <c r="V5967">
        <v>0.12600819999999999</v>
      </c>
      <c r="W5967">
        <v>7.4889600000000002E-3</v>
      </c>
      <c r="X5967">
        <v>0.99200089999999996</v>
      </c>
      <c r="Y5967">
        <v>0.27079959999999997</v>
      </c>
      <c r="Z5967">
        <v>-7.9318770000000004E-3</v>
      </c>
      <c r="AA5967">
        <v>0.96260310000000004</v>
      </c>
      <c r="AB5967">
        <v>32</v>
      </c>
      <c r="AC5967">
        <v>12.425299999999901</v>
      </c>
      <c r="AD5967">
        <v>-1.157365</v>
      </c>
      <c r="AE5967">
        <v>-4.2179399999999898</v>
      </c>
      <c r="AF5967">
        <v>3.6186751593857598</v>
      </c>
      <c r="AG5967">
        <v>-1.157365</v>
      </c>
      <c r="AH5967">
        <v>12.5074474523619</v>
      </c>
      <c r="AI5967">
        <v>95.0795873712797</v>
      </c>
      <c r="AJ5967">
        <v>73.863699707696298</v>
      </c>
      <c r="AK5967">
        <v>13.071746074108599</v>
      </c>
      <c r="AL5967">
        <v>89.570910174506594</v>
      </c>
      <c r="AM5967">
        <v>82.7608139000817</v>
      </c>
      <c r="AN5967">
        <v>0.99999996829496496</v>
      </c>
    </row>
    <row r="5968" spans="1:40" x14ac:dyDescent="0.25">
      <c r="A5968" t="str">
        <f>"20190312154953809"</f>
        <v>20190312154953809</v>
      </c>
      <c r="B5968" t="str">
        <f>"1552376993791598"</f>
        <v>1552376993791598</v>
      </c>
      <c r="C5968" t="s">
        <v>40</v>
      </c>
      <c r="D5968">
        <v>4.8081389999999997</v>
      </c>
      <c r="E5968">
        <v>0.55862400000000001</v>
      </c>
      <c r="F5968" t="s">
        <v>43</v>
      </c>
      <c r="G5968">
        <v>-317.36340000000001</v>
      </c>
      <c r="H5968">
        <v>-0.05</v>
      </c>
      <c r="I5968">
        <v>13.98831</v>
      </c>
      <c r="J5968">
        <v>-329.72059999999999</v>
      </c>
      <c r="K5968">
        <v>1.1073470000000001</v>
      </c>
      <c r="L5968">
        <v>18.179870000000001</v>
      </c>
      <c r="M5968">
        <v>0.99876600000000004</v>
      </c>
      <c r="N5968">
        <v>0</v>
      </c>
      <c r="O5968">
        <v>-4.7504709999999999E-2</v>
      </c>
      <c r="P5968">
        <v>0.98489459999999995</v>
      </c>
      <c r="Q5968">
        <v>-6.5874870000000004E-3</v>
      </c>
      <c r="R5968">
        <v>-0.17303160000000001</v>
      </c>
      <c r="S5968">
        <v>2.8762819999999998</v>
      </c>
      <c r="T5968">
        <v>-0.26489849999999998</v>
      </c>
      <c r="U5968">
        <v>-0.96197509999999997</v>
      </c>
      <c r="V5968">
        <v>0.12608929999999999</v>
      </c>
      <c r="W5968">
        <v>7.0216710000000002E-3</v>
      </c>
      <c r="X5968">
        <v>0.99199400000000004</v>
      </c>
      <c r="Y5968">
        <v>0.27091959999999998</v>
      </c>
      <c r="Z5968">
        <v>-7.8793240000000001E-3</v>
      </c>
      <c r="AA5968">
        <v>0.96256969999999997</v>
      </c>
      <c r="AB5968">
        <v>32</v>
      </c>
      <c r="AC5968">
        <v>12.357199999999899</v>
      </c>
      <c r="AD5968">
        <v>-1.1573469999999999</v>
      </c>
      <c r="AE5968">
        <v>-4.19156</v>
      </c>
      <c r="AF5968">
        <v>3.5716431215714901</v>
      </c>
      <c r="AG5968">
        <v>-1.1573469999999999</v>
      </c>
      <c r="AH5968">
        <v>12.444489182771701</v>
      </c>
      <c r="AI5968">
        <v>95.108200877213605</v>
      </c>
      <c r="AJ5968">
        <v>73.986203085332505</v>
      </c>
      <c r="AK5968">
        <v>12.9985152108385</v>
      </c>
      <c r="AL5968">
        <v>89.597684562765593</v>
      </c>
      <c r="AM5968">
        <v>82.756154319598394</v>
      </c>
      <c r="AN5968">
        <v>0.99999995573706002</v>
      </c>
    </row>
    <row r="5969" spans="1:40" x14ac:dyDescent="0.25">
      <c r="A5969" t="str">
        <f>"20190312154953821"</f>
        <v>20190312154953821</v>
      </c>
      <c r="B5969" t="str">
        <f>"1552376993812094"</f>
        <v>1552376993812094</v>
      </c>
      <c r="C5969" t="s">
        <v>40</v>
      </c>
      <c r="D5969">
        <v>4.8068629999999999</v>
      </c>
      <c r="E5969">
        <v>0.55859419999999904</v>
      </c>
      <c r="F5969" t="s">
        <v>43</v>
      </c>
      <c r="G5969">
        <v>-317.25119999999998</v>
      </c>
      <c r="H5969">
        <v>-0.05</v>
      </c>
      <c r="I5969">
        <v>13.982390000000001</v>
      </c>
      <c r="J5969">
        <v>-329.51839999999999</v>
      </c>
      <c r="K5969">
        <v>1.1073309999999901</v>
      </c>
      <c r="L5969">
        <v>18.16846</v>
      </c>
      <c r="M5969">
        <v>0.99867660000000003</v>
      </c>
      <c r="N5969">
        <v>0</v>
      </c>
      <c r="O5969">
        <v>-4.9346399999999999E-2</v>
      </c>
      <c r="P5969">
        <v>0.98462609999999995</v>
      </c>
      <c r="Q5969">
        <v>-7.2861799999999997E-3</v>
      </c>
      <c r="R5969">
        <v>-0.1745236</v>
      </c>
      <c r="S5969">
        <v>2.8742369999999999</v>
      </c>
      <c r="T5969">
        <v>-0.26677129999999999</v>
      </c>
      <c r="U5969">
        <v>-0.96752930000000004</v>
      </c>
      <c r="V5969">
        <v>0.12575919999999999</v>
      </c>
      <c r="W5969">
        <v>6.3202600000000003E-3</v>
      </c>
      <c r="X5969">
        <v>0.99204060000000005</v>
      </c>
      <c r="Y5969">
        <v>0.27101700000000001</v>
      </c>
      <c r="Z5969">
        <v>-7.7769809999999997E-3</v>
      </c>
      <c r="AA5969">
        <v>0.96254309999999998</v>
      </c>
      <c r="AB5969">
        <v>32</v>
      </c>
      <c r="AC5969">
        <v>12.267200000000001</v>
      </c>
      <c r="AD5969">
        <v>-1.1573310000000001</v>
      </c>
      <c r="AE5969">
        <v>-4.18607</v>
      </c>
      <c r="AF5969">
        <v>3.5472832042025</v>
      </c>
      <c r="AG5969">
        <v>-1.1573310000000001</v>
      </c>
      <c r="AH5969">
        <v>12.360300457273301</v>
      </c>
      <c r="AI5969">
        <v>95.142758934094701</v>
      </c>
      <c r="AJ5969">
        <v>73.987047839770199</v>
      </c>
      <c r="AK5969">
        <v>12.911222272443799</v>
      </c>
      <c r="AL5969">
        <v>89.637873342855201</v>
      </c>
      <c r="AM5969">
        <v>82.775253747278697</v>
      </c>
      <c r="AN5969">
        <v>0.999999937059731</v>
      </c>
    </row>
    <row r="5970" spans="1:40" x14ac:dyDescent="0.25">
      <c r="A5970" t="str">
        <f>"20190312154953841"</f>
        <v>20190312154953841</v>
      </c>
      <c r="B5970" t="str">
        <f>"1552376993831614"</f>
        <v>1552376993831614</v>
      </c>
      <c r="C5970" t="s">
        <v>40</v>
      </c>
      <c r="D5970">
        <v>4.8071970000000004</v>
      </c>
      <c r="E5970">
        <v>0.55848520000000001</v>
      </c>
      <c r="F5970" t="s">
        <v>43</v>
      </c>
      <c r="G5970">
        <v>-317.15530000000001</v>
      </c>
      <c r="H5970">
        <v>-0.05</v>
      </c>
      <c r="I5970">
        <v>13.987270000000001</v>
      </c>
      <c r="J5970">
        <v>-329.25060000000002</v>
      </c>
      <c r="K5970">
        <v>1.1073029999999999</v>
      </c>
      <c r="L5970">
        <v>18.152740000000001</v>
      </c>
      <c r="M5970">
        <v>0.99855240000000001</v>
      </c>
      <c r="N5970">
        <v>0</v>
      </c>
      <c r="O5970">
        <v>-5.1798219999999999E-2</v>
      </c>
      <c r="P5970">
        <v>0.98425739999999995</v>
      </c>
      <c r="Q5970">
        <v>-7.9650859999999997E-3</v>
      </c>
      <c r="R5970">
        <v>-0.17656229999999901</v>
      </c>
      <c r="S5970">
        <v>2.8726500000000001</v>
      </c>
      <c r="T5970">
        <v>-0.26891419999999999</v>
      </c>
      <c r="U5970">
        <v>-0.97152709999999998</v>
      </c>
      <c r="V5970">
        <v>0.12537429999999999</v>
      </c>
      <c r="W5970">
        <v>5.638395E-3</v>
      </c>
      <c r="X5970">
        <v>0.99209349999999996</v>
      </c>
      <c r="Y5970">
        <v>0.270016799999999</v>
      </c>
      <c r="Z5970">
        <v>-7.5744439999999996E-3</v>
      </c>
      <c r="AA5970">
        <v>0.96282579999999995</v>
      </c>
      <c r="AB5970">
        <v>32</v>
      </c>
      <c r="AC5970">
        <v>12.0953</v>
      </c>
      <c r="AD5970">
        <v>-1.157303</v>
      </c>
      <c r="AE5970">
        <v>-4.1654699999999902</v>
      </c>
      <c r="AF5970">
        <v>3.5046131242250098</v>
      </c>
      <c r="AG5970">
        <v>-1.157303</v>
      </c>
      <c r="AH5970">
        <v>12.1950374645838</v>
      </c>
      <c r="AI5970">
        <v>95.211408568618097</v>
      </c>
      <c r="AJ5970">
        <v>73.9663933370487</v>
      </c>
      <c r="AK5970">
        <v>12.7412951518635</v>
      </c>
      <c r="AL5970">
        <v>89.676942054631695</v>
      </c>
      <c r="AM5970">
        <v>82.797513332609398</v>
      </c>
      <c r="AN5970">
        <v>1.00000000967045</v>
      </c>
    </row>
    <row r="5971" spans="1:40" x14ac:dyDescent="0.25">
      <c r="A5971" t="str">
        <f>"20190312154953856"</f>
        <v>20190312154953856</v>
      </c>
      <c r="B5971" t="str">
        <f>"1552376993841373"</f>
        <v>1552376993841373</v>
      </c>
      <c r="C5971" t="s">
        <v>40</v>
      </c>
      <c r="D5971">
        <v>4.8370249999999997</v>
      </c>
      <c r="E5971">
        <v>0.55841529999999995</v>
      </c>
      <c r="F5971" t="s">
        <v>43</v>
      </c>
      <c r="G5971">
        <v>-317.03230000000002</v>
      </c>
      <c r="H5971">
        <v>-0.05</v>
      </c>
      <c r="I5971">
        <v>13.996409999999999</v>
      </c>
      <c r="J5971">
        <v>-329.05040000000002</v>
      </c>
      <c r="K5971">
        <v>1.1072930000000001</v>
      </c>
      <c r="L5971">
        <v>18.140499999999999</v>
      </c>
      <c r="M5971">
        <v>0.99845519999999999</v>
      </c>
      <c r="N5971">
        <v>0</v>
      </c>
      <c r="O5971">
        <v>-5.3640390000000003E-2</v>
      </c>
      <c r="P5971">
        <v>0.98394119999999996</v>
      </c>
      <c r="Q5971">
        <v>-8.2227180000000004E-3</v>
      </c>
      <c r="R5971">
        <v>-0.1783035</v>
      </c>
      <c r="S5971">
        <v>2.8706049999999999</v>
      </c>
      <c r="T5971">
        <v>-0.27190120000000001</v>
      </c>
      <c r="U5971">
        <v>-0.97650150000000002</v>
      </c>
      <c r="V5971">
        <v>0.12529799999999999</v>
      </c>
      <c r="W5971">
        <v>5.3770930000000003E-3</v>
      </c>
      <c r="X5971">
        <v>0.9921046</v>
      </c>
      <c r="Y5971">
        <v>0.26993349999999999</v>
      </c>
      <c r="Z5971">
        <v>-7.4890690000000001E-3</v>
      </c>
      <c r="AA5971">
        <v>0.96284990000000004</v>
      </c>
      <c r="AB5971">
        <v>32</v>
      </c>
      <c r="AC5971">
        <v>12.0181</v>
      </c>
      <c r="AD5971">
        <v>-1.1572929999999999</v>
      </c>
      <c r="AE5971">
        <v>-4.1440899999999896</v>
      </c>
      <c r="AF5971">
        <v>3.4646857659629</v>
      </c>
      <c r="AG5971">
        <v>-1.1572929999999999</v>
      </c>
      <c r="AH5971">
        <v>12.1226417385917</v>
      </c>
      <c r="AI5971">
        <v>95.244491121798305</v>
      </c>
      <c r="AJ5971">
        <v>74.049911912748101</v>
      </c>
      <c r="AK5971">
        <v>12.661035394743999</v>
      </c>
      <c r="AL5971">
        <v>89.691913786465705</v>
      </c>
      <c r="AM5971">
        <v>82.801930305876297</v>
      </c>
      <c r="AN5971">
        <v>1.0000000196371399</v>
      </c>
    </row>
    <row r="5972" spans="1:40" x14ac:dyDescent="0.25">
      <c r="A5972" t="str">
        <f>"20190312154953872"</f>
        <v>20190312154953872</v>
      </c>
      <c r="B5972" t="str">
        <f>"1552376993861869"</f>
        <v>1552376993861869</v>
      </c>
      <c r="C5972" t="s">
        <v>40</v>
      </c>
      <c r="D5972">
        <v>4.8313249999999996</v>
      </c>
      <c r="E5972">
        <v>0.55833269999999902</v>
      </c>
      <c r="F5972" t="s">
        <v>43</v>
      </c>
      <c r="G5972">
        <v>-316.88479999999998</v>
      </c>
      <c r="H5972">
        <v>-0.05</v>
      </c>
      <c r="I5972">
        <v>13.98076</v>
      </c>
      <c r="J5972">
        <v>-328.80860000000001</v>
      </c>
      <c r="K5972">
        <v>1.1072930000000001</v>
      </c>
      <c r="L5972">
        <v>18.125309999999999</v>
      </c>
      <c r="M5972">
        <v>0.99833269999999996</v>
      </c>
      <c r="N5972">
        <v>0</v>
      </c>
      <c r="O5972">
        <v>-5.5872239999999997E-2</v>
      </c>
      <c r="P5972">
        <v>0.98354509999999995</v>
      </c>
      <c r="Q5972">
        <v>-7.9304760000000005E-3</v>
      </c>
      <c r="R5972">
        <v>-0.1804888</v>
      </c>
      <c r="S5972">
        <v>2.8688959999999999</v>
      </c>
      <c r="T5972">
        <v>-0.2729143</v>
      </c>
      <c r="U5972">
        <v>-0.98095699999999997</v>
      </c>
      <c r="V5972">
        <v>0.12528590000000001</v>
      </c>
      <c r="W5972">
        <v>5.6650969999999896E-3</v>
      </c>
      <c r="X5972">
        <v>0.99210449999999994</v>
      </c>
      <c r="Y5972">
        <v>0.2693007</v>
      </c>
      <c r="Z5972">
        <v>-7.2852259999999997E-3</v>
      </c>
      <c r="AA5972">
        <v>0.96302860000000001</v>
      </c>
      <c r="AB5972">
        <v>32</v>
      </c>
      <c r="AC5972">
        <v>11.9238</v>
      </c>
      <c r="AD5972">
        <v>-1.1572929999999999</v>
      </c>
      <c r="AE5972">
        <v>-4.14454999999999</v>
      </c>
      <c r="AF5972">
        <v>3.4428588909390601</v>
      </c>
      <c r="AG5972">
        <v>-1.1572929999999999</v>
      </c>
      <c r="AH5972">
        <v>12.035604060512499</v>
      </c>
      <c r="AI5972">
        <v>95.281852191788701</v>
      </c>
      <c r="AJ5972">
        <v>74.036495192809099</v>
      </c>
      <c r="AK5972">
        <v>12.5717289794281</v>
      </c>
      <c r="AL5972">
        <v>89.675412113379906</v>
      </c>
      <c r="AM5972">
        <v>82.802617414138595</v>
      </c>
      <c r="AN5972">
        <v>0.99999999449153898</v>
      </c>
    </row>
    <row r="5973" spans="1:40" x14ac:dyDescent="0.25">
      <c r="A5973" t="str">
        <f>"20190312154953886"</f>
        <v>20190312154953886</v>
      </c>
      <c r="B5973" t="str">
        <f>"1552376993871630"</f>
        <v>1552376993871630</v>
      </c>
      <c r="C5973" t="s">
        <v>40</v>
      </c>
      <c r="D5973">
        <v>4.7810459999999999</v>
      </c>
      <c r="E5973">
        <v>0.55831309999999901</v>
      </c>
      <c r="F5973" t="s">
        <v>43</v>
      </c>
      <c r="G5973">
        <v>-316.67680000000001</v>
      </c>
      <c r="H5973">
        <v>-0.05</v>
      </c>
      <c r="I5973">
        <v>13.950559999999999</v>
      </c>
      <c r="J5973">
        <v>-328.60770000000002</v>
      </c>
      <c r="K5973">
        <v>1.1072879999999901</v>
      </c>
      <c r="L5973">
        <v>18.112300000000001</v>
      </c>
      <c r="M5973">
        <v>0.99822699999999998</v>
      </c>
      <c r="N5973">
        <v>0</v>
      </c>
      <c r="O5973">
        <v>-5.7732329999999998E-2</v>
      </c>
      <c r="P5973">
        <v>0.98319319999999999</v>
      </c>
      <c r="Q5973">
        <v>-7.3613389999999997E-3</v>
      </c>
      <c r="R5973">
        <v>-0.18241969999999999</v>
      </c>
      <c r="S5973">
        <v>2.8669739999999999</v>
      </c>
      <c r="T5973">
        <v>-0.27349050000000003</v>
      </c>
      <c r="U5973">
        <v>-0.98657229999999996</v>
      </c>
      <c r="V5973">
        <v>0.125389</v>
      </c>
      <c r="W5973">
        <v>6.2301400000000003E-3</v>
      </c>
      <c r="X5973">
        <v>0.99208810000000003</v>
      </c>
      <c r="Y5973">
        <v>0.269395099999999</v>
      </c>
      <c r="Z5973">
        <v>-7.1362379999999996E-3</v>
      </c>
      <c r="AA5973">
        <v>0.96300330000000001</v>
      </c>
      <c r="AB5973">
        <v>32</v>
      </c>
      <c r="AC5973">
        <v>11.930899999999999</v>
      </c>
      <c r="AD5973">
        <v>-1.1572880000000001</v>
      </c>
      <c r="AE5973">
        <v>-4.16174</v>
      </c>
      <c r="AF5973">
        <v>3.43709516266272</v>
      </c>
      <c r="AG5973">
        <v>-1.1572880000000001</v>
      </c>
      <c r="AH5973">
        <v>12.050208744625399</v>
      </c>
      <c r="AI5973">
        <v>95.276607194374407</v>
      </c>
      <c r="AJ5973">
        <v>74.080198657239706</v>
      </c>
      <c r="AK5973">
        <v>12.584135626303</v>
      </c>
      <c r="AL5973">
        <v>89.643036965488093</v>
      </c>
      <c r="AM5973">
        <v>82.796638922570693</v>
      </c>
      <c r="AN5973">
        <v>1.00000000706351</v>
      </c>
    </row>
    <row r="5974" spans="1:40" x14ac:dyDescent="0.25">
      <c r="A5974" t="str">
        <f>"20190312154953899"</f>
        <v>20190312154953899</v>
      </c>
      <c r="B5974" t="str">
        <f>"1552376993892126"</f>
        <v>1552376993892126</v>
      </c>
      <c r="C5974" t="s">
        <v>40</v>
      </c>
      <c r="D5974">
        <v>4.8254869999999999</v>
      </c>
      <c r="E5974">
        <v>0.55833750000000004</v>
      </c>
      <c r="F5974" t="s">
        <v>43</v>
      </c>
      <c r="G5974">
        <v>-316.42520000000002</v>
      </c>
      <c r="H5974">
        <v>-0.05</v>
      </c>
      <c r="I5974">
        <v>13.894439999999999</v>
      </c>
      <c r="J5974">
        <v>-328.40069999999997</v>
      </c>
      <c r="K5974">
        <v>1.107291</v>
      </c>
      <c r="L5974">
        <v>18.09836</v>
      </c>
      <c r="M5974">
        <v>0.9981139</v>
      </c>
      <c r="N5974">
        <v>0</v>
      </c>
      <c r="O5974">
        <v>-5.9655060000000003E-2</v>
      </c>
      <c r="P5974">
        <v>0.98285319999999998</v>
      </c>
      <c r="Q5974">
        <v>-6.9881379999999996E-3</v>
      </c>
      <c r="R5974">
        <v>-0.1842577</v>
      </c>
      <c r="S5974">
        <v>2.8652039999999999</v>
      </c>
      <c r="T5974">
        <v>-0.27218389999999998</v>
      </c>
      <c r="U5974">
        <v>-0.99200440000000001</v>
      </c>
      <c r="V5974">
        <v>0.12533469999999999</v>
      </c>
      <c r="W5974">
        <v>6.6015880000000002E-3</v>
      </c>
      <c r="X5974">
        <v>0.99209250000000004</v>
      </c>
      <c r="Y5974">
        <v>0.26937050000000001</v>
      </c>
      <c r="Z5974">
        <v>-6.9271920000000004E-3</v>
      </c>
      <c r="AA5974">
        <v>0.96301170000000003</v>
      </c>
      <c r="AB5974">
        <v>32</v>
      </c>
      <c r="AC5974">
        <v>11.975499999999901</v>
      </c>
      <c r="AD5974">
        <v>-1.1572910000000001</v>
      </c>
      <c r="AE5974">
        <v>-4.2039200000000001</v>
      </c>
      <c r="AF5974">
        <v>3.4532457819853999</v>
      </c>
      <c r="AG5974">
        <v>-1.1572910000000001</v>
      </c>
      <c r="AH5974">
        <v>12.1043394097502</v>
      </c>
      <c r="AI5974">
        <v>95.253075106069701</v>
      </c>
      <c r="AJ5974">
        <v>74.077086986077603</v>
      </c>
      <c r="AK5974">
        <v>12.640382171276</v>
      </c>
      <c r="AL5974">
        <v>89.621754102529096</v>
      </c>
      <c r="AM5974">
        <v>82.7997572075585</v>
      </c>
      <c r="AN5974">
        <v>0.99999994827222904</v>
      </c>
    </row>
    <row r="5975" spans="1:40" x14ac:dyDescent="0.25">
      <c r="A5975" t="str">
        <f>"20190312154953916"</f>
        <v>20190312154953916</v>
      </c>
      <c r="B5975" t="str">
        <f>"1552376993901886"</f>
        <v>1552376993901886</v>
      </c>
      <c r="C5975" t="s">
        <v>40</v>
      </c>
      <c r="D5975">
        <v>4.7844100000000003</v>
      </c>
      <c r="E5975">
        <v>0.55834030000000001</v>
      </c>
      <c r="F5975" t="s">
        <v>43</v>
      </c>
      <c r="G5975">
        <v>-316.18450000000001</v>
      </c>
      <c r="H5975">
        <v>-0.05</v>
      </c>
      <c r="I5975">
        <v>13.8432</v>
      </c>
      <c r="J5975">
        <v>-328.17599999999999</v>
      </c>
      <c r="K5975">
        <v>1.107289</v>
      </c>
      <c r="L5975">
        <v>18.082820000000002</v>
      </c>
      <c r="M5975">
        <v>0.99798699999999996</v>
      </c>
      <c r="N5975">
        <v>0</v>
      </c>
      <c r="O5975">
        <v>-6.1744050000000002E-2</v>
      </c>
      <c r="P5975">
        <v>0.98240640000000001</v>
      </c>
      <c r="Q5975">
        <v>-5.1023960000000004E-3</v>
      </c>
      <c r="R5975">
        <v>-0.1866864</v>
      </c>
      <c r="S5975">
        <v>2.863464</v>
      </c>
      <c r="T5975">
        <v>-0.27126810000000001</v>
      </c>
      <c r="U5975">
        <v>-0.99740600000000001</v>
      </c>
      <c r="V5975">
        <v>0.12572150000000001</v>
      </c>
      <c r="W5975">
        <v>8.4817039999999996E-3</v>
      </c>
      <c r="X5975">
        <v>0.9920293</v>
      </c>
      <c r="Y5975">
        <v>0.26917170000000001</v>
      </c>
      <c r="Z5975">
        <v>-6.7061990000000004E-3</v>
      </c>
      <c r="AA5975">
        <v>0.96306879999999995</v>
      </c>
      <c r="AB5975">
        <v>32</v>
      </c>
      <c r="AC5975">
        <v>11.991499999999901</v>
      </c>
      <c r="AD5975">
        <v>-1.157289</v>
      </c>
      <c r="AE5975">
        <v>-4.2396200000000004</v>
      </c>
      <c r="AF5975">
        <v>3.4623822885776501</v>
      </c>
      <c r="AG5975">
        <v>-1.157289</v>
      </c>
      <c r="AH5975">
        <v>12.129988661084599</v>
      </c>
      <c r="AI5975">
        <v>95.241813973459998</v>
      </c>
      <c r="AJ5975">
        <v>74.069141811460298</v>
      </c>
      <c r="AK5975">
        <v>12.6674399094615</v>
      </c>
      <c r="AL5975">
        <v>89.514028322820806</v>
      </c>
      <c r="AM5975">
        <v>82.777315299123501</v>
      </c>
      <c r="AN5975">
        <v>0.99999998346174102</v>
      </c>
    </row>
    <row r="5976" spans="1:40" x14ac:dyDescent="0.25">
      <c r="A5976" t="str">
        <f>"20190312154953930"</f>
        <v>20190312154953930</v>
      </c>
      <c r="B5976" t="str">
        <f>"1552376993921406"</f>
        <v>1552376993921406</v>
      </c>
      <c r="C5976" t="s">
        <v>40</v>
      </c>
      <c r="D5976">
        <v>4.7866739999999997</v>
      </c>
      <c r="E5976">
        <v>0.55840109999999998</v>
      </c>
      <c r="F5976" t="s">
        <v>43</v>
      </c>
      <c r="G5976">
        <v>-315.72449999999998</v>
      </c>
      <c r="H5976">
        <v>-0.05</v>
      </c>
      <c r="I5976">
        <v>13.712400000000001</v>
      </c>
      <c r="J5976">
        <v>-327.98050000000001</v>
      </c>
      <c r="K5976">
        <v>1.1072919999999999</v>
      </c>
      <c r="L5976">
        <v>18.06897</v>
      </c>
      <c r="M5976">
        <v>0.9978728</v>
      </c>
      <c r="N5976">
        <v>0</v>
      </c>
      <c r="O5976">
        <v>-6.3564319999999994E-2</v>
      </c>
      <c r="P5976">
        <v>0.98204119999999995</v>
      </c>
      <c r="Q5976">
        <v>-4.6547000000000003E-3</v>
      </c>
      <c r="R5976">
        <v>-0.18861049999999999</v>
      </c>
      <c r="S5976">
        <v>2.8614809999999999</v>
      </c>
      <c r="T5976">
        <v>-0.26595540000000001</v>
      </c>
      <c r="U5976">
        <v>-1.004364</v>
      </c>
      <c r="V5976">
        <v>0.125858</v>
      </c>
      <c r="W5976">
        <v>8.9260989999999998E-3</v>
      </c>
      <c r="X5976">
        <v>0.99200809999999995</v>
      </c>
      <c r="Y5976">
        <v>0.26974579999999998</v>
      </c>
      <c r="Z5976">
        <v>-6.4402210000000003E-3</v>
      </c>
      <c r="AA5976">
        <v>0.96291009999999999</v>
      </c>
      <c r="AB5976">
        <v>32</v>
      </c>
      <c r="AC5976">
        <v>12.256</v>
      </c>
      <c r="AD5976">
        <v>-1.157292</v>
      </c>
      <c r="AE5976">
        <v>-4.3565699999999996</v>
      </c>
      <c r="AF5976">
        <v>3.5406042473509398</v>
      </c>
      <c r="AG5976">
        <v>-1.157292</v>
      </c>
      <c r="AH5976">
        <v>12.409922827394601</v>
      </c>
      <c r="AI5976">
        <v>95.124405131299298</v>
      </c>
      <c r="AJ5976">
        <v>74.076324455407601</v>
      </c>
      <c r="AK5976">
        <v>12.956905023635599</v>
      </c>
      <c r="AL5976">
        <v>89.488565403549302</v>
      </c>
      <c r="AM5976">
        <v>82.769403452855798</v>
      </c>
      <c r="AN5976">
        <v>0.99999999093648295</v>
      </c>
    </row>
    <row r="5977" spans="1:40" x14ac:dyDescent="0.25">
      <c r="A5977" t="str">
        <f>"20190312154953943"</f>
        <v>20190312154953943</v>
      </c>
      <c r="B5977" t="str">
        <f>"1552376993932142"</f>
        <v>1552376993932142</v>
      </c>
      <c r="C5977" t="s">
        <v>40</v>
      </c>
      <c r="D5977">
        <v>4.7528800000000002</v>
      </c>
      <c r="E5977">
        <v>0.55848959999999903</v>
      </c>
      <c r="F5977" t="s">
        <v>43</v>
      </c>
      <c r="G5977">
        <v>-315.50630000000001</v>
      </c>
      <c r="H5977">
        <v>-0.05</v>
      </c>
      <c r="I5977">
        <v>13.66154</v>
      </c>
      <c r="J5977">
        <v>-327.77620000000002</v>
      </c>
      <c r="K5977">
        <v>1.1072919999999999</v>
      </c>
      <c r="L5977">
        <v>18.054110000000001</v>
      </c>
      <c r="M5977">
        <v>0.99774960000000001</v>
      </c>
      <c r="N5977">
        <v>0</v>
      </c>
      <c r="O5977">
        <v>-6.5468960000000007E-2</v>
      </c>
      <c r="P5977">
        <v>0.98162590000000005</v>
      </c>
      <c r="Q5977">
        <v>-4.099498E-3</v>
      </c>
      <c r="R5977">
        <v>-0.19077330000000001</v>
      </c>
      <c r="S5977">
        <v>2.8595579999999998</v>
      </c>
      <c r="T5977">
        <v>-0.26529419999999998</v>
      </c>
      <c r="U5977">
        <v>-1.010345</v>
      </c>
      <c r="V5977">
        <v>0.1261526</v>
      </c>
      <c r="W5977">
        <v>9.4768219999999993E-3</v>
      </c>
      <c r="X5977">
        <v>0.9919656</v>
      </c>
      <c r="Y5977">
        <v>0.2699126</v>
      </c>
      <c r="Z5977">
        <v>-6.263785E-3</v>
      </c>
      <c r="AA5977">
        <v>0.96286450000000001</v>
      </c>
      <c r="AB5977">
        <v>32</v>
      </c>
      <c r="AC5977">
        <v>12.2699</v>
      </c>
      <c r="AD5977">
        <v>-1.157292</v>
      </c>
      <c r="AE5977">
        <v>-4.3925700000000001</v>
      </c>
      <c r="AF5977">
        <v>3.5517548640471501</v>
      </c>
      <c r="AG5977">
        <v>-1.157292</v>
      </c>
      <c r="AH5977">
        <v>12.4331355328302</v>
      </c>
      <c r="AI5977">
        <v>95.114399563071501</v>
      </c>
      <c r="AJ5977">
        <v>74.0570308070306</v>
      </c>
      <c r="AK5977">
        <v>12.982185739130101</v>
      </c>
      <c r="AL5977">
        <v>89.4570099792479</v>
      </c>
      <c r="AM5977">
        <v>82.752351095936305</v>
      </c>
      <c r="AN5977">
        <v>1.00000002011266</v>
      </c>
    </row>
    <row r="5978" spans="1:40" x14ac:dyDescent="0.25">
      <c r="A5978" t="str">
        <f>"20190312154953960"</f>
        <v>20190312154953960</v>
      </c>
      <c r="B5978" t="str">
        <f>"1552376993952168"</f>
        <v>1552376993952168</v>
      </c>
      <c r="C5978" t="s">
        <v>40</v>
      </c>
      <c r="D5978">
        <v>4.7534789999999996</v>
      </c>
      <c r="E5978">
        <v>0.55864820000000004</v>
      </c>
      <c r="F5978" t="s">
        <v>43</v>
      </c>
      <c r="G5978">
        <v>-315.29719999999998</v>
      </c>
      <c r="H5978">
        <v>-0.05</v>
      </c>
      <c r="I5978">
        <v>13.611359999999999</v>
      </c>
      <c r="J5978">
        <v>-327.54660000000001</v>
      </c>
      <c r="K5978">
        <v>1.1072930000000001</v>
      </c>
      <c r="L5978">
        <v>18.036829999999998</v>
      </c>
      <c r="M5978">
        <v>0.99760629999999995</v>
      </c>
      <c r="N5978">
        <v>0</v>
      </c>
      <c r="O5978">
        <v>-6.7614880000000002E-2</v>
      </c>
      <c r="P5978">
        <v>0.98104659999999999</v>
      </c>
      <c r="Q5978">
        <v>-3.5343060000000001E-3</v>
      </c>
      <c r="R5978">
        <v>-0.19373960000000001</v>
      </c>
      <c r="S5978">
        <v>2.857361</v>
      </c>
      <c r="T5978">
        <v>-0.26498939999999999</v>
      </c>
      <c r="U5978">
        <v>-1.0172730000000001</v>
      </c>
      <c r="V5978">
        <v>0.1270212</v>
      </c>
      <c r="W5978">
        <v>1.003326E-2</v>
      </c>
      <c r="X5978">
        <v>0.99184919999999999</v>
      </c>
      <c r="Y5978">
        <v>0.27015670000000003</v>
      </c>
      <c r="Z5978">
        <v>-6.0784609999999899E-3</v>
      </c>
      <c r="AA5978">
        <v>0.96279720000000002</v>
      </c>
      <c r="AB5978">
        <v>32</v>
      </c>
      <c r="AC5978">
        <v>12.2494</v>
      </c>
      <c r="AD5978">
        <v>-1.1572929999999999</v>
      </c>
      <c r="AE5978">
        <v>-4.42546999999999</v>
      </c>
      <c r="AF5978">
        <v>3.55891226955826</v>
      </c>
      <c r="AG5978">
        <v>-1.1572929999999999</v>
      </c>
      <c r="AH5978">
        <v>12.4225386885322</v>
      </c>
      <c r="AI5978">
        <v>95.117639831623706</v>
      </c>
      <c r="AJ5978">
        <v>74.013610546322198</v>
      </c>
      <c r="AK5978">
        <v>12.9739990403245</v>
      </c>
      <c r="AL5978">
        <v>89.425126869455099</v>
      </c>
      <c r="AM5978">
        <v>82.702137699719998</v>
      </c>
      <c r="AN5978">
        <v>0.99999994354815203</v>
      </c>
    </row>
    <row r="5979" spans="1:40" x14ac:dyDescent="0.25">
      <c r="A5979" t="str">
        <f>"20190312154953972"</f>
        <v>20190312154953972</v>
      </c>
      <c r="B5979" t="str">
        <f>"1552376993961928"</f>
        <v>1552376993961928</v>
      </c>
      <c r="C5979" t="s">
        <v>40</v>
      </c>
      <c r="D5979">
        <v>4.7505899999999999</v>
      </c>
      <c r="E5979">
        <v>0.55865209999999998</v>
      </c>
      <c r="F5979" t="s">
        <v>43</v>
      </c>
      <c r="G5979">
        <v>-315.13260000000002</v>
      </c>
      <c r="H5979">
        <v>-0.05</v>
      </c>
      <c r="I5979">
        <v>13.569430000000001</v>
      </c>
      <c r="J5979">
        <v>-327.37150000000003</v>
      </c>
      <c r="K5979">
        <v>1.1072900000000001</v>
      </c>
      <c r="L5979">
        <v>18.023350000000001</v>
      </c>
      <c r="M5979">
        <v>0.99749390000000004</v>
      </c>
      <c r="N5979">
        <v>0</v>
      </c>
      <c r="O5979">
        <v>-6.9258059999999996E-2</v>
      </c>
      <c r="P5979">
        <v>0.98059439999999998</v>
      </c>
      <c r="Q5979">
        <v>-3.3039409999999999E-3</v>
      </c>
      <c r="R5979">
        <v>-0.1960211</v>
      </c>
      <c r="S5979">
        <v>2.854187</v>
      </c>
      <c r="T5979">
        <v>-0.26608110000000001</v>
      </c>
      <c r="U5979">
        <v>-1.0271300000000001</v>
      </c>
      <c r="V5979">
        <v>0.127695899999999</v>
      </c>
      <c r="W5979">
        <v>1.025594E-2</v>
      </c>
      <c r="X5979">
        <v>0.99176030000000004</v>
      </c>
      <c r="Y5979">
        <v>0.27184920000000001</v>
      </c>
      <c r="Z5979">
        <v>-6.0357559999999998E-3</v>
      </c>
      <c r="AA5979">
        <v>0.96232090000000003</v>
      </c>
      <c r="AB5979">
        <v>32</v>
      </c>
      <c r="AC5979">
        <v>12.238899999999999</v>
      </c>
      <c r="AD5979">
        <v>-1.1572899999999999</v>
      </c>
      <c r="AE5979">
        <v>-4.4539200000000001</v>
      </c>
      <c r="AF5979">
        <v>3.5673254677738</v>
      </c>
      <c r="AG5979">
        <v>-1.1572899999999999</v>
      </c>
      <c r="AH5979">
        <v>12.419944400129999</v>
      </c>
      <c r="AI5979">
        <v>95.117695137464196</v>
      </c>
      <c r="AJ5979">
        <v>73.974581600810495</v>
      </c>
      <c r="AK5979">
        <v>12.973825574573199</v>
      </c>
      <c r="AL5979">
        <v>89.412367597582602</v>
      </c>
      <c r="AM5979">
        <v>82.663144311823302</v>
      </c>
      <c r="AN5979">
        <v>0.99999995991909096</v>
      </c>
    </row>
    <row r="5980" spans="1:40" x14ac:dyDescent="0.25">
      <c r="A5980" t="str">
        <f>"20190312154953988"</f>
        <v>20190312154953988</v>
      </c>
      <c r="B5980" t="str">
        <f>"1552376993971688"</f>
        <v>1552376993971688</v>
      </c>
      <c r="C5980" t="s">
        <v>40</v>
      </c>
      <c r="D5980">
        <v>4.7586810000000002</v>
      </c>
      <c r="E5980">
        <v>0.55867219999999995</v>
      </c>
      <c r="F5980" t="s">
        <v>43</v>
      </c>
      <c r="G5980">
        <v>-314.99090000000001</v>
      </c>
      <c r="H5980">
        <v>-0.05</v>
      </c>
      <c r="I5980">
        <v>13.535740000000001</v>
      </c>
      <c r="J5980">
        <v>-327.16050000000001</v>
      </c>
      <c r="K5980">
        <v>1.10727999999999</v>
      </c>
      <c r="L5980">
        <v>18.006810000000002</v>
      </c>
      <c r="M5980">
        <v>0.99735370000000001</v>
      </c>
      <c r="N5980">
        <v>0</v>
      </c>
      <c r="O5980">
        <v>-7.124714E-2</v>
      </c>
      <c r="P5980">
        <v>0.97993129999999995</v>
      </c>
      <c r="Q5980">
        <v>-3.2037419999999999E-3</v>
      </c>
      <c r="R5980">
        <v>-0.19931070000000001</v>
      </c>
      <c r="S5980">
        <v>2.8518680000000001</v>
      </c>
      <c r="T5980">
        <v>-0.26658199999999999</v>
      </c>
      <c r="U5980">
        <v>-1.033722</v>
      </c>
      <c r="V5980">
        <v>0.129047</v>
      </c>
      <c r="W5980">
        <v>1.0340810000000001E-2</v>
      </c>
      <c r="X5980">
        <v>0.99158449999999998</v>
      </c>
      <c r="Y5980">
        <v>0.27215050000000002</v>
      </c>
      <c r="Z5980">
        <v>-5.8847169999999898E-3</v>
      </c>
      <c r="AA5980">
        <v>0.96223669999999994</v>
      </c>
      <c r="AB5980">
        <v>32</v>
      </c>
      <c r="AC5980">
        <v>12.169600000000001</v>
      </c>
      <c r="AD5980">
        <v>-1.1572800000000001</v>
      </c>
      <c r="AE5980">
        <v>-4.4710700000000001</v>
      </c>
      <c r="AF5980">
        <v>3.5641668413248402</v>
      </c>
      <c r="AG5980">
        <v>-1.1572800000000001</v>
      </c>
      <c r="AH5980">
        <v>12.3587794162635</v>
      </c>
      <c r="AI5980">
        <v>95.141258532548306</v>
      </c>
      <c r="AJ5980">
        <v>73.912888761562201</v>
      </c>
      <c r="AK5980">
        <v>12.914410978866099</v>
      </c>
      <c r="AL5980">
        <v>89.407504635251598</v>
      </c>
      <c r="AM5980">
        <v>82.585075297218097</v>
      </c>
      <c r="AN5980">
        <v>0.99999994060035102</v>
      </c>
    </row>
    <row r="5981" spans="1:40" x14ac:dyDescent="0.25">
      <c r="A5981" t="str">
        <f>"20190312154954000"</f>
        <v>20190312154954000</v>
      </c>
      <c r="B5981" t="str">
        <f>"1552376993992184"</f>
        <v>1552376993992184</v>
      </c>
      <c r="C5981" t="s">
        <v>40</v>
      </c>
      <c r="D5981">
        <v>4.719506</v>
      </c>
      <c r="E5981">
        <v>0.5587048</v>
      </c>
      <c r="F5981" t="s">
        <v>43</v>
      </c>
      <c r="G5981">
        <v>-314.85329999999999</v>
      </c>
      <c r="H5981">
        <v>-0.05</v>
      </c>
      <c r="I5981">
        <v>13.49887</v>
      </c>
      <c r="J5981">
        <v>-326.96620000000001</v>
      </c>
      <c r="K5981">
        <v>1.1072630000000001</v>
      </c>
      <c r="L5981">
        <v>17.991060000000001</v>
      </c>
      <c r="M5981">
        <v>0.99722</v>
      </c>
      <c r="N5981">
        <v>0</v>
      </c>
      <c r="O5981">
        <v>-7.3097850000000006E-2</v>
      </c>
      <c r="P5981">
        <v>0.97935899999999998</v>
      </c>
      <c r="Q5981">
        <v>-3.259152E-3</v>
      </c>
      <c r="R5981">
        <v>-0.20210339999999999</v>
      </c>
      <c r="S5981">
        <v>2.8483580000000002</v>
      </c>
      <c r="T5981">
        <v>-0.26783899999999999</v>
      </c>
      <c r="U5981">
        <v>-1.043304</v>
      </c>
      <c r="V5981">
        <v>0.1300337</v>
      </c>
      <c r="W5981">
        <v>1.0272150000000001E-2</v>
      </c>
      <c r="X5981">
        <v>0.99145640000000002</v>
      </c>
      <c r="Y5981">
        <v>0.2735958</v>
      </c>
      <c r="Z5981">
        <v>-5.8149350000000002E-3</v>
      </c>
      <c r="AA5981">
        <v>0.96182719999999999</v>
      </c>
      <c r="AB5981">
        <v>32</v>
      </c>
      <c r="AC5981">
        <v>12.1129</v>
      </c>
      <c r="AD5981">
        <v>-1.1572629999999999</v>
      </c>
      <c r="AE5981">
        <v>-4.4921899999999901</v>
      </c>
      <c r="AF5981">
        <v>3.5660357617855798</v>
      </c>
      <c r="AG5981">
        <v>-1.1572629999999999</v>
      </c>
      <c r="AH5981">
        <v>12.31011328145</v>
      </c>
      <c r="AI5981">
        <v>95.159629882772904</v>
      </c>
      <c r="AJ5981">
        <v>73.844573776628707</v>
      </c>
      <c r="AK5981">
        <v>12.8683626661528</v>
      </c>
      <c r="AL5981">
        <v>89.411438829195703</v>
      </c>
      <c r="AM5981">
        <v>82.528064092619204</v>
      </c>
      <c r="AN5981">
        <v>1.0000000366511299</v>
      </c>
    </row>
    <row r="5982" spans="1:40" x14ac:dyDescent="0.25">
      <c r="A5982" t="str">
        <f>"20190312154954017"</f>
        <v>20190312154954017</v>
      </c>
      <c r="B5982" t="str">
        <f>"1552376994001946"</f>
        <v>1552376994001946</v>
      </c>
      <c r="C5982" t="s">
        <v>40</v>
      </c>
      <c r="D5982">
        <v>4.7139870000000004</v>
      </c>
      <c r="E5982">
        <v>0.55871549999999903</v>
      </c>
      <c r="F5982" t="s">
        <v>43</v>
      </c>
      <c r="G5982">
        <v>-314.80130000000003</v>
      </c>
      <c r="H5982">
        <v>-0.05</v>
      </c>
      <c r="I5982">
        <v>13.4949799999999</v>
      </c>
      <c r="J5982">
        <v>-326.74549999999999</v>
      </c>
      <c r="K5982">
        <v>1.107235</v>
      </c>
      <c r="L5982">
        <v>17.972750000000001</v>
      </c>
      <c r="M5982">
        <v>0.99706159999999999</v>
      </c>
      <c r="N5982">
        <v>0</v>
      </c>
      <c r="O5982">
        <v>-7.5225100000000003E-2</v>
      </c>
      <c r="P5982">
        <v>0.9784043</v>
      </c>
      <c r="Q5982">
        <v>-3.8181249999999999E-3</v>
      </c>
      <c r="R5982">
        <v>-0.2066656</v>
      </c>
      <c r="S5982">
        <v>2.8453059999999999</v>
      </c>
      <c r="T5982">
        <v>-0.27067740000000001</v>
      </c>
      <c r="U5982">
        <v>-1.0516049999999999</v>
      </c>
      <c r="V5982">
        <v>0.13253609999999999</v>
      </c>
      <c r="W5982">
        <v>9.684715E-3</v>
      </c>
      <c r="X5982">
        <v>0.99113090000000004</v>
      </c>
      <c r="Y5982">
        <v>0.274337</v>
      </c>
      <c r="Z5982">
        <v>-5.7197659999999899E-3</v>
      </c>
      <c r="AA5982">
        <v>0.96161660000000004</v>
      </c>
      <c r="AB5982">
        <v>32</v>
      </c>
      <c r="AC5982">
        <v>11.944199999999899</v>
      </c>
      <c r="AD5982">
        <v>-1.157235</v>
      </c>
      <c r="AE5982">
        <v>-4.4777699999999996</v>
      </c>
      <c r="AF5982">
        <v>3.5373685091137199</v>
      </c>
      <c r="AG5982">
        <v>-1.157235</v>
      </c>
      <c r="AH5982">
        <v>12.1472500176673</v>
      </c>
      <c r="AI5982">
        <v>95.226178663289403</v>
      </c>
      <c r="AJ5982">
        <v>73.764051851792203</v>
      </c>
      <c r="AK5982">
        <v>12.704638987638001</v>
      </c>
      <c r="AL5982">
        <v>89.445098050197004</v>
      </c>
      <c r="AM5982">
        <v>82.383472437681107</v>
      </c>
      <c r="AN5982">
        <v>1.0000000362213199</v>
      </c>
    </row>
    <row r="5983" spans="1:40" x14ac:dyDescent="0.25">
      <c r="A5983" t="str">
        <f>"20190312154954031"</f>
        <v>20190312154954031</v>
      </c>
      <c r="B5983" t="str">
        <f>"1552376994021464"</f>
        <v>1552376994021464</v>
      </c>
      <c r="C5983" t="s">
        <v>40</v>
      </c>
      <c r="D5983">
        <v>4.366466</v>
      </c>
      <c r="E5983">
        <v>0.55878879999999997</v>
      </c>
      <c r="F5983" t="s">
        <v>43</v>
      </c>
      <c r="G5983">
        <v>-314.68509999999998</v>
      </c>
      <c r="H5983">
        <v>-0.05</v>
      </c>
      <c r="I5983">
        <v>13.450290000000001</v>
      </c>
      <c r="J5983">
        <v>-326.54259999999999</v>
      </c>
      <c r="K5983">
        <v>1.1072</v>
      </c>
      <c r="L5983">
        <v>17.955469999999998</v>
      </c>
      <c r="M5983">
        <v>0.99690959999999995</v>
      </c>
      <c r="N5983">
        <v>0</v>
      </c>
      <c r="O5983">
        <v>-7.7212119999999995E-2</v>
      </c>
      <c r="P5983">
        <v>0.97763789999999995</v>
      </c>
      <c r="Q5983">
        <v>-4.0681229999999999E-3</v>
      </c>
      <c r="R5983">
        <v>-0.21025630000000001</v>
      </c>
      <c r="S5983">
        <v>2.8402099999999999</v>
      </c>
      <c r="T5983">
        <v>-0.27252729999999997</v>
      </c>
      <c r="U5983">
        <v>-1.0650329999999999</v>
      </c>
      <c r="V5983">
        <v>0.1341986</v>
      </c>
      <c r="W5983">
        <v>9.4110240000000005E-3</v>
      </c>
      <c r="X5983">
        <v>0.99090979999999995</v>
      </c>
      <c r="Y5983">
        <v>0.2769586</v>
      </c>
      <c r="Z5983">
        <v>-5.7031069999999998E-3</v>
      </c>
      <c r="AA5983">
        <v>0.96086490000000002</v>
      </c>
      <c r="AB5983">
        <v>32</v>
      </c>
      <c r="AC5983">
        <v>11.8575</v>
      </c>
      <c r="AD5983">
        <v>-1.1572</v>
      </c>
      <c r="AE5983">
        <v>-4.5051800000000002</v>
      </c>
      <c r="AF5983">
        <v>3.5465717831417698</v>
      </c>
      <c r="AG5983">
        <v>-1.1572</v>
      </c>
      <c r="AH5983">
        <v>12.0695329745339</v>
      </c>
      <c r="AI5983">
        <v>95.255768330476897</v>
      </c>
      <c r="AJ5983">
        <v>73.6248390851284</v>
      </c>
      <c r="AK5983">
        <v>12.632929568248899</v>
      </c>
      <c r="AL5983">
        <v>89.460780101235798</v>
      </c>
      <c r="AM5983">
        <v>82.287375242691695</v>
      </c>
      <c r="AN5983">
        <v>1.0000000316753599</v>
      </c>
    </row>
    <row r="5984" spans="1:40" x14ac:dyDescent="0.25">
      <c r="A5984" t="str">
        <f>"20190312154954046"</f>
        <v>20190312154954046</v>
      </c>
      <c r="B5984" t="str">
        <f>"1552376994032201"</f>
        <v>1552376994032201</v>
      </c>
      <c r="C5984" t="s">
        <v>40</v>
      </c>
      <c r="D5984">
        <v>4.7101559999999996</v>
      </c>
      <c r="E5984">
        <v>0.55882869999999996</v>
      </c>
      <c r="F5984" t="s">
        <v>43</v>
      </c>
      <c r="G5984">
        <v>-314.56689999999998</v>
      </c>
      <c r="H5984">
        <v>-0.05</v>
      </c>
      <c r="I5984">
        <v>13.410159999999999</v>
      </c>
      <c r="J5984">
        <v>-326.33730000000003</v>
      </c>
      <c r="K5984">
        <v>1.107159</v>
      </c>
      <c r="L5984">
        <v>17.937650000000001</v>
      </c>
      <c r="M5984">
        <v>0.996749</v>
      </c>
      <c r="N5984">
        <v>0</v>
      </c>
      <c r="O5984">
        <v>-7.9259019999999999E-2</v>
      </c>
      <c r="P5984">
        <v>0.97687760000000001</v>
      </c>
      <c r="Q5984">
        <v>-4.1566190000000003E-3</v>
      </c>
      <c r="R5984">
        <v>-0.2137599</v>
      </c>
      <c r="S5984">
        <v>2.8359990000000002</v>
      </c>
      <c r="T5984">
        <v>-0.27403889999999997</v>
      </c>
      <c r="U5984">
        <v>-1.0763849999999999</v>
      </c>
      <c r="V5984">
        <v>0.13571629999999901</v>
      </c>
      <c r="W5984">
        <v>9.2965870000000003E-3</v>
      </c>
      <c r="X5984">
        <v>0.99070409999999998</v>
      </c>
      <c r="Y5984">
        <v>0.27881230000000001</v>
      </c>
      <c r="Z5984">
        <v>-5.6363319999999904E-3</v>
      </c>
      <c r="AA5984">
        <v>0.96032910000000005</v>
      </c>
      <c r="AB5984">
        <v>32</v>
      </c>
      <c r="AC5984">
        <v>11.7704</v>
      </c>
      <c r="AD5984">
        <v>-1.157159</v>
      </c>
      <c r="AE5984">
        <v>-4.5274900000000002</v>
      </c>
      <c r="AF5984">
        <v>3.5503441227099599</v>
      </c>
      <c r="AG5984">
        <v>-1.157159</v>
      </c>
      <c r="AH5984">
        <v>11.9912864114036</v>
      </c>
      <c r="AI5984">
        <v>95.286498786817702</v>
      </c>
      <c r="AJ5984">
        <v>73.507189937415404</v>
      </c>
      <c r="AK5984">
        <v>12.5592559549225</v>
      </c>
      <c r="AL5984">
        <v>89.4673371159829</v>
      </c>
      <c r="AM5984">
        <v>82.199618559930698</v>
      </c>
      <c r="AN5984">
        <v>0.99999997718617395</v>
      </c>
    </row>
    <row r="5985" spans="1:40" x14ac:dyDescent="0.25">
      <c r="A5985" t="str">
        <f>"20190312154954061"</f>
        <v>20190312154954061</v>
      </c>
      <c r="B5985" t="str">
        <f>"1552376994052228"</f>
        <v>1552376994052228</v>
      </c>
      <c r="C5985" t="s">
        <v>40</v>
      </c>
      <c r="D5985">
        <v>4.737679</v>
      </c>
      <c r="E5985">
        <v>0.5588246</v>
      </c>
      <c r="F5985" t="s">
        <v>43</v>
      </c>
      <c r="G5985">
        <v>-314.39830000000001</v>
      </c>
      <c r="H5985">
        <v>-0.05</v>
      </c>
      <c r="I5985">
        <v>13.353759999999999</v>
      </c>
      <c r="J5985">
        <v>-326.10660000000001</v>
      </c>
      <c r="K5985">
        <v>1.107091</v>
      </c>
      <c r="L5985">
        <v>17.916869999999999</v>
      </c>
      <c r="M5985">
        <v>0.99655609999999994</v>
      </c>
      <c r="N5985">
        <v>0</v>
      </c>
      <c r="O5985">
        <v>-8.1647890000000001E-2</v>
      </c>
      <c r="P5985">
        <v>0.97566010000000003</v>
      </c>
      <c r="Q5985">
        <v>-3.9650909999999996E-3</v>
      </c>
      <c r="R5985">
        <v>-0.21925259999999999</v>
      </c>
      <c r="S5985">
        <v>2.8318789999999998</v>
      </c>
      <c r="T5985">
        <v>-0.27447339999999998</v>
      </c>
      <c r="U5985">
        <v>-1.08728</v>
      </c>
      <c r="V5985">
        <v>0.13891770000000001</v>
      </c>
      <c r="W5985">
        <v>9.4391549999999994E-3</v>
      </c>
      <c r="X5985">
        <v>0.99025890000000005</v>
      </c>
      <c r="Y5985">
        <v>0.28019909999999998</v>
      </c>
      <c r="Z5985">
        <v>-5.493258E-3</v>
      </c>
      <c r="AA5985">
        <v>0.95992619999999895</v>
      </c>
      <c r="AB5985">
        <v>32</v>
      </c>
      <c r="AC5985">
        <v>11.708299999999999</v>
      </c>
      <c r="AD5985">
        <v>-1.1570910000000001</v>
      </c>
      <c r="AE5985">
        <v>-4.5631099999999902</v>
      </c>
      <c r="AF5985">
        <v>3.5616151755187002</v>
      </c>
      <c r="AG5985">
        <v>-1.1570910000000001</v>
      </c>
      <c r="AH5985">
        <v>11.9405659347571</v>
      </c>
      <c r="AI5985">
        <v>95.305344105756802</v>
      </c>
      <c r="AJ5985">
        <v>73.391284366224099</v>
      </c>
      <c r="AK5985">
        <v>12.514035203844101</v>
      </c>
      <c r="AL5985">
        <v>89.459168201744603</v>
      </c>
      <c r="AM5985">
        <v>82.014418517162497</v>
      </c>
      <c r="AN5985">
        <v>0.99999995702480604</v>
      </c>
    </row>
    <row r="5986" spans="1:40" x14ac:dyDescent="0.25">
      <c r="A5986" t="str">
        <f>"20190312154954076"</f>
        <v>20190312154954076</v>
      </c>
      <c r="B5986" t="str">
        <f>"1552376994061988"</f>
        <v>1552376994061988</v>
      </c>
      <c r="C5986" t="s">
        <v>40</v>
      </c>
      <c r="D5986">
        <v>4.7489369999999997</v>
      </c>
      <c r="E5986">
        <v>0.55886420000000003</v>
      </c>
      <c r="F5986" t="s">
        <v>43</v>
      </c>
      <c r="G5986">
        <v>-314.19779999999997</v>
      </c>
      <c r="H5986">
        <v>-0.05</v>
      </c>
      <c r="I5986">
        <v>13.266489999999999</v>
      </c>
      <c r="J5986">
        <v>-325.8997</v>
      </c>
      <c r="K5986">
        <v>1.107022</v>
      </c>
      <c r="L5986">
        <v>17.897670000000002</v>
      </c>
      <c r="M5986">
        <v>0.99637220000000004</v>
      </c>
      <c r="N5986">
        <v>0</v>
      </c>
      <c r="O5986">
        <v>-8.3863770000000004E-2</v>
      </c>
      <c r="P5986">
        <v>0.97481079999999998</v>
      </c>
      <c r="Q5986">
        <v>-4.0395049999999997E-3</v>
      </c>
      <c r="R5986">
        <v>-0.2229979</v>
      </c>
      <c r="S5986">
        <v>2.825745</v>
      </c>
      <c r="T5986">
        <v>-0.27455780000000002</v>
      </c>
      <c r="U5986">
        <v>-1.1034550000000001</v>
      </c>
      <c r="V5986">
        <v>0.14051949999999999</v>
      </c>
      <c r="W5986">
        <v>9.3280580000000002E-3</v>
      </c>
      <c r="X5986">
        <v>0.99003399999999997</v>
      </c>
      <c r="Y5986">
        <v>0.28353109999999998</v>
      </c>
      <c r="Z5986">
        <v>-5.4517019999999897E-3</v>
      </c>
      <c r="AA5986">
        <v>0.95894749999999995</v>
      </c>
      <c r="AB5986">
        <v>32</v>
      </c>
      <c r="AC5986">
        <v>11.7019</v>
      </c>
      <c r="AD5986">
        <v>-1.157022</v>
      </c>
      <c r="AE5986">
        <v>-4.6311799999999996</v>
      </c>
      <c r="AF5986">
        <v>3.6029405682814999</v>
      </c>
      <c r="AG5986">
        <v>-1.157022</v>
      </c>
      <c r="AH5986">
        <v>11.948107720641801</v>
      </c>
      <c r="AI5986">
        <v>95.296958266118097</v>
      </c>
      <c r="AJ5986">
        <v>73.219364650776697</v>
      </c>
      <c r="AK5986">
        <v>12.5330426773036</v>
      </c>
      <c r="AL5986">
        <v>89.465533911492699</v>
      </c>
      <c r="AM5986">
        <v>81.921737869386106</v>
      </c>
      <c r="AN5986">
        <v>1.0000000318511499</v>
      </c>
    </row>
    <row r="5987" spans="1:40" x14ac:dyDescent="0.25">
      <c r="A5987" t="str">
        <f>"20190312154954089"</f>
        <v>20190312154954089</v>
      </c>
      <c r="B5987" t="str">
        <f>"1552376994081508"</f>
        <v>1552376994081508</v>
      </c>
      <c r="C5987" t="s">
        <v>40</v>
      </c>
      <c r="D5987">
        <v>4.7032850000000002</v>
      </c>
      <c r="E5987">
        <v>0.55886080000000005</v>
      </c>
      <c r="F5987" t="s">
        <v>43</v>
      </c>
      <c r="G5987">
        <v>-314.05849999999998</v>
      </c>
      <c r="H5987">
        <v>-0.05</v>
      </c>
      <c r="I5987">
        <v>13.2193</v>
      </c>
      <c r="J5987">
        <v>-325.72120000000001</v>
      </c>
      <c r="K5987">
        <v>1.106951</v>
      </c>
      <c r="L5987">
        <v>17.880769999999998</v>
      </c>
      <c r="M5987">
        <v>0.99620430000000004</v>
      </c>
      <c r="N5987">
        <v>0</v>
      </c>
      <c r="O5987">
        <v>-8.5833649999999997E-2</v>
      </c>
      <c r="P5987">
        <v>0.97404219999999997</v>
      </c>
      <c r="Q5987">
        <v>-3.4186949999999998E-3</v>
      </c>
      <c r="R5987">
        <v>-0.22634080000000001</v>
      </c>
      <c r="S5987">
        <v>2.8214109999999999</v>
      </c>
      <c r="T5987">
        <v>-0.27568330000000002</v>
      </c>
      <c r="U5987">
        <v>-1.114716</v>
      </c>
      <c r="V5987">
        <v>0.14196420000000001</v>
      </c>
      <c r="W5987">
        <v>9.9121539999999994E-3</v>
      </c>
      <c r="X5987">
        <v>0.98982210000000004</v>
      </c>
      <c r="Y5987">
        <v>0.28544190000000003</v>
      </c>
      <c r="Z5987">
        <v>-5.3848840000000004E-3</v>
      </c>
      <c r="AA5987">
        <v>0.95838089999999998</v>
      </c>
      <c r="AB5987">
        <v>32</v>
      </c>
      <c r="AC5987">
        <v>11.662699999999999</v>
      </c>
      <c r="AD5987">
        <v>-1.1569510000000001</v>
      </c>
      <c r="AE5987">
        <v>-4.6614699999999996</v>
      </c>
      <c r="AF5987">
        <v>3.6124534287250398</v>
      </c>
      <c r="AG5987">
        <v>-1.1569510000000001</v>
      </c>
      <c r="AH5987">
        <v>11.918669177374399</v>
      </c>
      <c r="AI5987">
        <v>95.307386904874406</v>
      </c>
      <c r="AJ5987">
        <v>73.138362956126102</v>
      </c>
      <c r="AK5987">
        <v>12.507718830818099</v>
      </c>
      <c r="AL5987">
        <v>89.432066074033102</v>
      </c>
      <c r="AM5987">
        <v>81.8380737683961</v>
      </c>
      <c r="AN5987">
        <v>0.99999993726348202</v>
      </c>
    </row>
    <row r="5988" spans="1:40" x14ac:dyDescent="0.25">
      <c r="A5988" t="str">
        <f>"20190312154954105"</f>
        <v>20190312154954105</v>
      </c>
      <c r="B5988" t="str">
        <f>"1552376994091268"</f>
        <v>1552376994091268</v>
      </c>
      <c r="C5988" t="s">
        <v>40</v>
      </c>
      <c r="D5988">
        <v>4.7692819999999996</v>
      </c>
      <c r="E5988">
        <v>0.55889759999999999</v>
      </c>
      <c r="F5988" t="s">
        <v>43</v>
      </c>
      <c r="G5988">
        <v>-313.84879999999998</v>
      </c>
      <c r="H5988">
        <v>-0.05</v>
      </c>
      <c r="I5988">
        <v>13.142749999999999</v>
      </c>
      <c r="J5988">
        <v>-325.48590000000002</v>
      </c>
      <c r="K5988">
        <v>1.1068480000000001</v>
      </c>
      <c r="L5988">
        <v>17.857879999999899</v>
      </c>
      <c r="M5988">
        <v>0.99596640000000003</v>
      </c>
      <c r="N5988">
        <v>0</v>
      </c>
      <c r="O5988">
        <v>-8.8551320000000003E-2</v>
      </c>
      <c r="P5988">
        <v>0.97300640000000005</v>
      </c>
      <c r="Q5988">
        <v>-2.286354E-3</v>
      </c>
      <c r="R5988">
        <v>-0.2307669</v>
      </c>
      <c r="S5988">
        <v>2.817688</v>
      </c>
      <c r="T5988">
        <v>-0.27458080000000001</v>
      </c>
      <c r="U5988">
        <v>-1.1244809999999901</v>
      </c>
      <c r="V5988">
        <v>0.14377470000000001</v>
      </c>
      <c r="W5988">
        <v>1.0989270000000001E-2</v>
      </c>
      <c r="X5988">
        <v>0.98954949999999997</v>
      </c>
      <c r="Y5988">
        <v>0.28614329999999999</v>
      </c>
      <c r="Z5988">
        <v>-5.1481529999999999E-3</v>
      </c>
      <c r="AA5988">
        <v>0.95817300000000005</v>
      </c>
      <c r="AB5988">
        <v>32</v>
      </c>
      <c r="AC5988">
        <v>11.6371</v>
      </c>
      <c r="AD5988">
        <v>-1.1568479999999901</v>
      </c>
      <c r="AE5988">
        <v>-4.7151299999999896</v>
      </c>
      <c r="AF5988">
        <v>3.6351565899421798</v>
      </c>
      <c r="AG5988">
        <v>-1.1568479999999901</v>
      </c>
      <c r="AH5988">
        <v>11.9078666941015</v>
      </c>
      <c r="AI5988">
        <v>95.308497039438507</v>
      </c>
      <c r="AJ5988">
        <v>73.023956519598002</v>
      </c>
      <c r="AK5988">
        <v>12.5039973581649</v>
      </c>
      <c r="AL5988">
        <v>89.370348579933193</v>
      </c>
      <c r="AM5988">
        <v>81.733166693435294</v>
      </c>
      <c r="AN5988">
        <v>1.0000000706827299</v>
      </c>
    </row>
    <row r="5989" spans="1:40" x14ac:dyDescent="0.25">
      <c r="A5989" t="str">
        <f>"20190312154954118"</f>
        <v>20190312154954118</v>
      </c>
      <c r="B5989" t="str">
        <f>"1552376994102004"</f>
        <v>1552376994102004</v>
      </c>
      <c r="C5989" t="s">
        <v>40</v>
      </c>
      <c r="D5989">
        <v>4.7258620000000002</v>
      </c>
      <c r="E5989">
        <v>0.55885759999999995</v>
      </c>
      <c r="F5989" t="s">
        <v>43</v>
      </c>
      <c r="G5989">
        <v>-313.46190000000001</v>
      </c>
      <c r="H5989">
        <v>-0.05</v>
      </c>
      <c r="I5989">
        <v>12.993040000000001</v>
      </c>
      <c r="J5989">
        <v>-325.30669999999998</v>
      </c>
      <c r="K5989">
        <v>1.1067419999999999</v>
      </c>
      <c r="L5989">
        <v>17.83972</v>
      </c>
      <c r="M5989">
        <v>0.99576739999999997</v>
      </c>
      <c r="N5989">
        <v>0</v>
      </c>
      <c r="O5989">
        <v>-9.0761530000000007E-2</v>
      </c>
      <c r="P5989">
        <v>0.97233570000000002</v>
      </c>
      <c r="Q5989">
        <v>-1.3252680000000001E-3</v>
      </c>
      <c r="R5989">
        <v>-0.23358390000000001</v>
      </c>
      <c r="S5989">
        <v>2.8126829999999998</v>
      </c>
      <c r="T5989">
        <v>-0.27061390000000002</v>
      </c>
      <c r="U5989">
        <v>-1.1379999999999999</v>
      </c>
      <c r="V5989">
        <v>0.14445450000000001</v>
      </c>
      <c r="W5989">
        <v>1.190855E-2</v>
      </c>
      <c r="X5989">
        <v>0.98943979999999998</v>
      </c>
      <c r="Y5989">
        <v>0.28858859999999997</v>
      </c>
      <c r="Z5989">
        <v>-4.9896430000000002E-3</v>
      </c>
      <c r="AA5989">
        <v>0.95744019999999996</v>
      </c>
      <c r="AB5989">
        <v>32</v>
      </c>
      <c r="AC5989">
        <v>11.8447999999999</v>
      </c>
      <c r="AD5989">
        <v>-1.1567419999999999</v>
      </c>
      <c r="AE5989">
        <v>-4.8466800000000001</v>
      </c>
      <c r="AF5989">
        <v>3.72110802821885</v>
      </c>
      <c r="AG5989">
        <v>-1.1567419999999999</v>
      </c>
      <c r="AH5989">
        <v>12.1366916578661</v>
      </c>
      <c r="AI5989">
        <v>95.2065702983828</v>
      </c>
      <c r="AJ5989">
        <v>72.954467518848006</v>
      </c>
      <c r="AK5989">
        <v>12.7469204677191</v>
      </c>
      <c r="AL5989">
        <v>89.317674228641906</v>
      </c>
      <c r="AM5989">
        <v>81.693715212978304</v>
      </c>
      <c r="AN5989">
        <v>1.00000001697869</v>
      </c>
    </row>
    <row r="5990" spans="1:40" x14ac:dyDescent="0.25">
      <c r="A5990" t="str">
        <f>"20190312154954129"</f>
        <v>20190312154954129</v>
      </c>
      <c r="B5990" t="str">
        <f>"1552376994121524"</f>
        <v>1552376994121524</v>
      </c>
      <c r="C5990" t="s">
        <v>40</v>
      </c>
      <c r="D5990">
        <v>4.7233970000000003</v>
      </c>
      <c r="E5990">
        <v>0.55886359999999902</v>
      </c>
      <c r="F5990" t="s">
        <v>43</v>
      </c>
      <c r="G5990">
        <v>-313.13979999999998</v>
      </c>
      <c r="H5990">
        <v>-0.05</v>
      </c>
      <c r="I5990">
        <v>12.87555</v>
      </c>
      <c r="J5990">
        <v>-325.14850000000001</v>
      </c>
      <c r="K5990">
        <v>1.106646</v>
      </c>
      <c r="L5990">
        <v>17.823429999999998</v>
      </c>
      <c r="M5990">
        <v>0.99558270000000004</v>
      </c>
      <c r="N5990">
        <v>0</v>
      </c>
      <c r="O5990">
        <v>-9.2764840000000001E-2</v>
      </c>
      <c r="P5990">
        <v>0.9717131</v>
      </c>
      <c r="Q5990">
        <v>-2.3988629999999999E-4</v>
      </c>
      <c r="R5990">
        <v>-0.23616480000000001</v>
      </c>
      <c r="S5990">
        <v>2.8096009999999998</v>
      </c>
      <c r="T5990">
        <v>-0.26711610000000002</v>
      </c>
      <c r="U5990">
        <v>-1.1463319999999999</v>
      </c>
      <c r="V5990">
        <v>0.14510239999999999</v>
      </c>
      <c r="W5990">
        <v>1.295513E-2</v>
      </c>
      <c r="X5990">
        <v>0.98933179999999998</v>
      </c>
      <c r="Y5990">
        <v>0.28948800000000002</v>
      </c>
      <c r="Z5990">
        <v>-4.7884920000000001E-3</v>
      </c>
      <c r="AA5990">
        <v>0.95716970000000001</v>
      </c>
      <c r="AB5990">
        <v>32</v>
      </c>
      <c r="AC5990">
        <v>12.008699999999999</v>
      </c>
      <c r="AD5990">
        <v>-1.1566459999999901</v>
      </c>
      <c r="AE5990">
        <v>-4.9478799999999898</v>
      </c>
      <c r="AF5990">
        <v>3.7824411473674902</v>
      </c>
      <c r="AG5990">
        <v>-1.1566459999999901</v>
      </c>
      <c r="AH5990">
        <v>12.3182534337171</v>
      </c>
      <c r="AI5990">
        <v>95.129160280626905</v>
      </c>
      <c r="AJ5990">
        <v>72.930379638279007</v>
      </c>
      <c r="AK5990">
        <v>12.937699125420201</v>
      </c>
      <c r="AL5990">
        <v>89.257704945393996</v>
      </c>
      <c r="AM5990">
        <v>81.656085587159495</v>
      </c>
      <c r="AN5990">
        <v>0.99999997618515801</v>
      </c>
    </row>
    <row r="5991" spans="1:40" x14ac:dyDescent="0.25">
      <c r="A5991" t="str">
        <f>"20190312154954150"</f>
        <v>20190312154954150</v>
      </c>
      <c r="B5991" t="str">
        <f>"1552376994142022"</f>
        <v>1552376994142022</v>
      </c>
      <c r="C5991" t="s">
        <v>40</v>
      </c>
      <c r="D5991">
        <v>4.7636890000000003</v>
      </c>
      <c r="E5991">
        <v>0.57679769999999997</v>
      </c>
      <c r="F5991" t="s">
        <v>43</v>
      </c>
      <c r="G5991">
        <v>-312.88679999999999</v>
      </c>
      <c r="H5991">
        <v>-0.05</v>
      </c>
      <c r="I5991">
        <v>12.78101</v>
      </c>
      <c r="J5991">
        <v>-324.85820000000001</v>
      </c>
      <c r="K5991">
        <v>1.1064499999999999</v>
      </c>
      <c r="L5991">
        <v>17.792390000000001</v>
      </c>
      <c r="M5991">
        <v>0.99521230000000005</v>
      </c>
      <c r="N5991">
        <v>0</v>
      </c>
      <c r="O5991">
        <v>-9.6657320000000005E-2</v>
      </c>
      <c r="P5991">
        <v>0.97043959999999996</v>
      </c>
      <c r="Q5991">
        <v>1.3360570000000001E-3</v>
      </c>
      <c r="R5991">
        <v>-0.24134249999999999</v>
      </c>
      <c r="S5991">
        <v>2.806702</v>
      </c>
      <c r="T5991">
        <v>-0.26475559999999998</v>
      </c>
      <c r="U5991">
        <v>-1.1542049999999999</v>
      </c>
      <c r="V5991">
        <v>0.1465282</v>
      </c>
      <c r="W5991">
        <v>1.4451779999999999E-2</v>
      </c>
      <c r="X5991">
        <v>0.98910089999999995</v>
      </c>
      <c r="Y5991">
        <v>0.28842210000000001</v>
      </c>
      <c r="Z5991">
        <v>-4.3527669999999996E-3</v>
      </c>
      <c r="AA5991">
        <v>0.9574935</v>
      </c>
      <c r="AB5991">
        <v>31</v>
      </c>
      <c r="AC5991">
        <v>11.971399999999999</v>
      </c>
      <c r="AD5991">
        <v>-1.15645</v>
      </c>
      <c r="AE5991">
        <v>-5.0113799999999999</v>
      </c>
      <c r="AF5991">
        <v>3.8004883800445599</v>
      </c>
      <c r="AG5991">
        <v>-1.15645</v>
      </c>
      <c r="AH5991">
        <v>12.3020894973877</v>
      </c>
      <c r="AI5991">
        <v>95.132311131637195</v>
      </c>
      <c r="AJ5991">
        <v>72.832495731226601</v>
      </c>
      <c r="AK5991">
        <v>12.9275865702416</v>
      </c>
      <c r="AL5991">
        <v>89.171945156583902</v>
      </c>
      <c r="AM5991">
        <v>81.573329509534901</v>
      </c>
      <c r="AN5991">
        <v>0.99999997886060799</v>
      </c>
    </row>
    <row r="5992" spans="1:40" x14ac:dyDescent="0.25">
      <c r="A5992" t="str">
        <f>"20190312154954160"</f>
        <v>20190312154954160</v>
      </c>
      <c r="B5992" t="str">
        <f>"1552376994151779"</f>
        <v>1552376994151779</v>
      </c>
      <c r="C5992" t="s">
        <v>40</v>
      </c>
      <c r="D5992">
        <v>4.7389299999999999</v>
      </c>
      <c r="E5992">
        <v>0.57918389999999997</v>
      </c>
      <c r="F5992" t="s">
        <v>43</v>
      </c>
      <c r="G5992">
        <v>-313.93619999999999</v>
      </c>
      <c r="H5992">
        <v>-0.05</v>
      </c>
      <c r="I5992">
        <v>12.63104</v>
      </c>
      <c r="J5992">
        <v>-324.7054</v>
      </c>
      <c r="K5992">
        <v>1.1063339999999999</v>
      </c>
      <c r="L5992">
        <v>17.775539999999999</v>
      </c>
      <c r="M5992">
        <v>0.99499950000000004</v>
      </c>
      <c r="N5992">
        <v>0</v>
      </c>
      <c r="O5992">
        <v>-9.8821110000000004E-2</v>
      </c>
      <c r="P5992">
        <v>0.96971700000000005</v>
      </c>
      <c r="Q5992">
        <v>2.3294129999999998E-3</v>
      </c>
      <c r="R5992">
        <v>-0.24422060000000001</v>
      </c>
      <c r="S5992">
        <v>2.7666930000000001</v>
      </c>
      <c r="T5992">
        <v>-0.29294379999999998</v>
      </c>
      <c r="U5992">
        <v>-1.307434</v>
      </c>
      <c r="V5992">
        <v>0.1473254</v>
      </c>
      <c r="W5992">
        <v>1.539868E-2</v>
      </c>
      <c r="X5992">
        <v>0.98896819999999996</v>
      </c>
      <c r="Y5992">
        <v>0.33474179999999998</v>
      </c>
      <c r="Z5992">
        <v>-6.9416419999999996E-3</v>
      </c>
      <c r="AA5992">
        <v>0.94228429999999996</v>
      </c>
      <c r="AB5992">
        <v>31</v>
      </c>
      <c r="AC5992">
        <v>10.7692</v>
      </c>
      <c r="AD5992">
        <v>-1.156334</v>
      </c>
      <c r="AE5992">
        <v>-5.1444999999999999</v>
      </c>
      <c r="AF5992">
        <v>4.0172668500985402</v>
      </c>
      <c r="AG5992">
        <v>-1.156334</v>
      </c>
      <c r="AH5992">
        <v>11.120525529906301</v>
      </c>
      <c r="AI5992">
        <v>95.585556837275405</v>
      </c>
      <c r="AJ5992">
        <v>70.137850999979406</v>
      </c>
      <c r="AK5992">
        <v>11.8803042606557</v>
      </c>
      <c r="AL5992">
        <v>89.117685751728501</v>
      </c>
      <c r="AM5992">
        <v>81.527026736579302</v>
      </c>
      <c r="AN5992">
        <v>0.99999999672107098</v>
      </c>
    </row>
    <row r="5993" spans="1:40" x14ac:dyDescent="0.25">
      <c r="A5993" t="str">
        <f>"20190312154954172"</f>
        <v>20190312154954172</v>
      </c>
      <c r="B5993" t="str">
        <f>"1552376994161540"</f>
        <v>1552376994161540</v>
      </c>
      <c r="C5993" t="s">
        <v>40</v>
      </c>
      <c r="D5993">
        <v>4.7931369999999998</v>
      </c>
      <c r="E5993">
        <v>0.58066010000000001</v>
      </c>
      <c r="F5993" t="s">
        <v>43</v>
      </c>
      <c r="G5993">
        <v>-313.72129999999999</v>
      </c>
      <c r="H5993">
        <v>-0.05</v>
      </c>
      <c r="I5993">
        <v>12.46199</v>
      </c>
      <c r="J5993">
        <v>-324.55889999999999</v>
      </c>
      <c r="K5993">
        <v>1.10622</v>
      </c>
      <c r="L5993">
        <v>17.758879999999898</v>
      </c>
      <c r="M5993">
        <v>0.9947821</v>
      </c>
      <c r="N5993">
        <v>0</v>
      </c>
      <c r="O5993">
        <v>-0.10098500000000001</v>
      </c>
      <c r="P5993">
        <v>0.96903360000000005</v>
      </c>
      <c r="Q5993">
        <v>3.55011E-3</v>
      </c>
      <c r="R5993">
        <v>-0.2469027</v>
      </c>
      <c r="S5993">
        <v>2.758362</v>
      </c>
      <c r="T5993">
        <v>-0.29038019999999998</v>
      </c>
      <c r="U5993">
        <v>-1.3343510000000001</v>
      </c>
      <c r="V5993">
        <v>0.14792649999999999</v>
      </c>
      <c r="W5993">
        <v>1.6576790000000001E-2</v>
      </c>
      <c r="X5993">
        <v>0.98885940000000006</v>
      </c>
      <c r="Y5993">
        <v>0.34126289999999998</v>
      </c>
      <c r="Z5993">
        <v>-6.9996679999999997E-3</v>
      </c>
      <c r="AA5993">
        <v>0.93994180000000005</v>
      </c>
      <c r="AB5993">
        <v>31</v>
      </c>
      <c r="AC5993">
        <v>10.8376</v>
      </c>
      <c r="AD5993">
        <v>-1.15622</v>
      </c>
      <c r="AE5993">
        <v>-5.2968899999999897</v>
      </c>
      <c r="AF5993">
        <v>4.1372460280873096</v>
      </c>
      <c r="AG5993">
        <v>-1.15622</v>
      </c>
      <c r="AH5993">
        <v>11.214121587389</v>
      </c>
      <c r="AI5993">
        <v>95.525078432517901</v>
      </c>
      <c r="AJ5993">
        <v>69.749378690977096</v>
      </c>
      <c r="AK5993">
        <v>12.008753988739601</v>
      </c>
      <c r="AL5993">
        <v>89.050176368767396</v>
      </c>
      <c r="AM5993">
        <v>81.492038831447999</v>
      </c>
      <c r="AN5993">
        <v>0.99999997616865599</v>
      </c>
    </row>
    <row r="5994" spans="1:40" x14ac:dyDescent="0.25">
      <c r="A5994" t="str">
        <f>"20190312154954182"</f>
        <v>20190312154954182</v>
      </c>
      <c r="B5994" t="str">
        <f>"1552376994171300"</f>
        <v>1552376994171300</v>
      </c>
      <c r="C5994" t="s">
        <v>40</v>
      </c>
      <c r="D5994">
        <v>4.7887789999999999</v>
      </c>
      <c r="E5994">
        <v>0.58107359999999997</v>
      </c>
      <c r="F5994" t="s">
        <v>43</v>
      </c>
      <c r="G5994">
        <v>-313.25310000000002</v>
      </c>
      <c r="H5994">
        <v>-0.05</v>
      </c>
      <c r="I5994">
        <v>12.196809999999999</v>
      </c>
      <c r="J5994">
        <v>-324.40890000000002</v>
      </c>
      <c r="K5994">
        <v>1.106101</v>
      </c>
      <c r="L5994">
        <v>17.741579999999999</v>
      </c>
      <c r="M5994">
        <v>0.99454889999999996</v>
      </c>
      <c r="N5994">
        <v>0</v>
      </c>
      <c r="O5994">
        <v>-0.103257</v>
      </c>
      <c r="P5994">
        <v>0.96824809999999994</v>
      </c>
      <c r="Q5994">
        <v>4.8823449999999997E-3</v>
      </c>
      <c r="R5994">
        <v>-0.2499439</v>
      </c>
      <c r="S5994">
        <v>2.7519230000000001</v>
      </c>
      <c r="T5994">
        <v>-0.28143269999999998</v>
      </c>
      <c r="U5994">
        <v>-1.3538509999999999</v>
      </c>
      <c r="V5994">
        <v>0.14879049999999999</v>
      </c>
      <c r="W5994">
        <v>1.786167E-2</v>
      </c>
      <c r="X5994">
        <v>0.98870740000000001</v>
      </c>
      <c r="Y5994">
        <v>0.34540949999999998</v>
      </c>
      <c r="Z5994">
        <v>-6.7743090000000001E-3</v>
      </c>
      <c r="AA5994">
        <v>0.93842760000000003</v>
      </c>
      <c r="AB5994">
        <v>31</v>
      </c>
      <c r="AC5994">
        <v>11.155799999999999</v>
      </c>
      <c r="AD5994">
        <v>-1.156101</v>
      </c>
      <c r="AE5994">
        <v>-5.54476999999999</v>
      </c>
      <c r="AF5994">
        <v>4.3258350447261096</v>
      </c>
      <c r="AG5994">
        <v>-1.156101</v>
      </c>
      <c r="AH5994">
        <v>11.569118371913801</v>
      </c>
      <c r="AI5994">
        <v>95.347346588447095</v>
      </c>
      <c r="AJ5994">
        <v>69.498614235274005</v>
      </c>
      <c r="AK5994">
        <v>12.405398754563899</v>
      </c>
      <c r="AL5994">
        <v>88.976547255943402</v>
      </c>
      <c r="AM5994">
        <v>81.441783561684304</v>
      </c>
      <c r="AN5994">
        <v>0.999999987480099</v>
      </c>
    </row>
    <row r="5995" spans="1:40" x14ac:dyDescent="0.25">
      <c r="A5995" t="str">
        <f>"20190312154954193"</f>
        <v>20190312154954193</v>
      </c>
      <c r="B5995" t="str">
        <f>"1552376994182037"</f>
        <v>1552376994182037</v>
      </c>
      <c r="C5995" t="s">
        <v>40</v>
      </c>
      <c r="D5995">
        <v>4.764005</v>
      </c>
      <c r="E5995">
        <v>0.58144819999999997</v>
      </c>
      <c r="F5995" t="s">
        <v>43</v>
      </c>
      <c r="G5995">
        <v>-313.34379999999999</v>
      </c>
      <c r="H5995">
        <v>-0.05</v>
      </c>
      <c r="I5995">
        <v>12.2415</v>
      </c>
      <c r="J5995">
        <v>-324.24419999999998</v>
      </c>
      <c r="K5995">
        <v>1.1059650000000001</v>
      </c>
      <c r="L5995">
        <v>17.72186</v>
      </c>
      <c r="M5995">
        <v>0.99427180000000004</v>
      </c>
      <c r="N5995">
        <v>0</v>
      </c>
      <c r="O5995">
        <v>-0.1058901</v>
      </c>
      <c r="P5995">
        <v>0.96738190000000002</v>
      </c>
      <c r="Q5995">
        <v>6.1135599999999997E-3</v>
      </c>
      <c r="R5995">
        <v>-0.253249</v>
      </c>
      <c r="S5995">
        <v>2.7473139999999998</v>
      </c>
      <c r="T5995">
        <v>-0.28704610000000003</v>
      </c>
      <c r="U5995">
        <v>-1.3656010000000001</v>
      </c>
      <c r="V5995">
        <v>0.14956759999999999</v>
      </c>
      <c r="W5995">
        <v>1.9040689999999999E-2</v>
      </c>
      <c r="X5995">
        <v>0.98856809999999995</v>
      </c>
      <c r="Y5995">
        <v>0.34673690000000001</v>
      </c>
      <c r="Z5995">
        <v>-6.7237410000000001E-3</v>
      </c>
      <c r="AA5995">
        <v>0.9379383</v>
      </c>
      <c r="AB5995">
        <v>31</v>
      </c>
      <c r="AC5995">
        <v>10.9003999999999</v>
      </c>
      <c r="AD5995">
        <v>-1.1559649999999999</v>
      </c>
      <c r="AE5995">
        <v>-5.4803599999999904</v>
      </c>
      <c r="AF5995">
        <v>4.2569610797796997</v>
      </c>
      <c r="AG5995">
        <v>-1.1559649999999999</v>
      </c>
      <c r="AH5995">
        <v>11.317879609378201</v>
      </c>
      <c r="AI5995">
        <v>95.460745204829195</v>
      </c>
      <c r="AJ5995">
        <v>69.387360068775195</v>
      </c>
      <c r="AK5995">
        <v>12.1471137134861</v>
      </c>
      <c r="AL5995">
        <v>88.908982840066599</v>
      </c>
      <c r="AM5995">
        <v>81.396558847680794</v>
      </c>
      <c r="AN5995">
        <v>0.999999951591521</v>
      </c>
    </row>
    <row r="5996" spans="1:40" x14ac:dyDescent="0.25">
      <c r="A5996" t="str">
        <f>"20190312154954206"</f>
        <v>20190312154954206</v>
      </c>
      <c r="B5996" t="str">
        <f>"1552376994201556"</f>
        <v>1552376994201556</v>
      </c>
      <c r="C5996" t="s">
        <v>40</v>
      </c>
      <c r="D5996">
        <v>4.8106479999999996</v>
      </c>
      <c r="E5996">
        <v>0.58156019999999997</v>
      </c>
      <c r="F5996" t="s">
        <v>43</v>
      </c>
      <c r="G5996">
        <v>-313.22620000000001</v>
      </c>
      <c r="H5996">
        <v>-0.05</v>
      </c>
      <c r="I5996">
        <v>12.183199999999999</v>
      </c>
      <c r="J5996">
        <v>-324.07760000000002</v>
      </c>
      <c r="K5996">
        <v>1.10582</v>
      </c>
      <c r="L5996">
        <v>17.70166</v>
      </c>
      <c r="M5996">
        <v>0.99397800000000003</v>
      </c>
      <c r="N5996">
        <v>0</v>
      </c>
      <c r="O5996">
        <v>-0.1086109</v>
      </c>
      <c r="P5996">
        <v>0.96649240000000003</v>
      </c>
      <c r="Q5996">
        <v>7.1805559999999899E-3</v>
      </c>
      <c r="R5996">
        <v>-0.25659480000000001</v>
      </c>
      <c r="S5996">
        <v>2.7421259999999998</v>
      </c>
      <c r="T5996">
        <v>-0.28769280000000003</v>
      </c>
      <c r="U5996">
        <v>-1.3784479999999999</v>
      </c>
      <c r="V5996">
        <v>0.1503013</v>
      </c>
      <c r="W5996">
        <v>2.00533E-2</v>
      </c>
      <c r="X5996">
        <v>0.9884368</v>
      </c>
      <c r="Y5996">
        <v>0.34839160000000002</v>
      </c>
      <c r="Z5996">
        <v>-6.5616429999999998E-3</v>
      </c>
      <c r="AA5996">
        <v>0.93732610000000005</v>
      </c>
      <c r="AB5996">
        <v>31</v>
      </c>
      <c r="AC5996">
        <v>10.8514</v>
      </c>
      <c r="AD5996">
        <v>-1.1558200000000001</v>
      </c>
      <c r="AE5996">
        <v>-5.5184600000000001</v>
      </c>
      <c r="AF5996">
        <v>4.2686257558932503</v>
      </c>
      <c r="AG5996">
        <v>-1.1558200000000001</v>
      </c>
      <c r="AH5996">
        <v>11.2849002404551</v>
      </c>
      <c r="AI5996">
        <v>95.472092285942097</v>
      </c>
      <c r="AJ5996">
        <v>69.280377205724406</v>
      </c>
      <c r="AK5996">
        <v>12.120480978628599</v>
      </c>
      <c r="AL5996">
        <v>88.850953479857296</v>
      </c>
      <c r="AM5996">
        <v>81.353859986808601</v>
      </c>
      <c r="AN5996">
        <v>0.99999996160840898</v>
      </c>
    </row>
    <row r="5997" spans="1:40" x14ac:dyDescent="0.25">
      <c r="A5997" t="str">
        <f>"20190312154954220"</f>
        <v>20190312154954220</v>
      </c>
      <c r="B5997" t="str">
        <f>"1552376994212293"</f>
        <v>1552376994212293</v>
      </c>
      <c r="C5997" t="s">
        <v>40</v>
      </c>
      <c r="D5997">
        <v>4.7743000000000002</v>
      </c>
      <c r="E5997">
        <v>0.58150859999999904</v>
      </c>
      <c r="F5997" t="s">
        <v>43</v>
      </c>
      <c r="G5997">
        <v>-313.03050000000002</v>
      </c>
      <c r="H5997">
        <v>-0.05</v>
      </c>
      <c r="I5997">
        <v>12.095459999999999</v>
      </c>
      <c r="J5997">
        <v>-323.8852</v>
      </c>
      <c r="K5997">
        <v>1.105642</v>
      </c>
      <c r="L5997">
        <v>17.677309999999999</v>
      </c>
      <c r="M5997">
        <v>0.99360669999999995</v>
      </c>
      <c r="N5997">
        <v>0</v>
      </c>
      <c r="O5997">
        <v>-0.1119565</v>
      </c>
      <c r="P5997">
        <v>0.96544189999999996</v>
      </c>
      <c r="Q5997">
        <v>8.1497689999999994E-3</v>
      </c>
      <c r="R5997">
        <v>-0.26049159999999999</v>
      </c>
      <c r="S5997">
        <v>2.7373349999999999</v>
      </c>
      <c r="T5997">
        <v>-0.2864003</v>
      </c>
      <c r="U5997">
        <v>-1.38916</v>
      </c>
      <c r="V5997">
        <v>0.1509808</v>
      </c>
      <c r="W5997">
        <v>2.0960050000000001E-2</v>
      </c>
      <c r="X5997">
        <v>0.98831440000000004</v>
      </c>
      <c r="Y5997">
        <v>0.34883779999999998</v>
      </c>
      <c r="Z5997">
        <v>-6.2360649999999998E-3</v>
      </c>
      <c r="AA5997">
        <v>0.9371623</v>
      </c>
      <c r="AB5997">
        <v>31</v>
      </c>
      <c r="AC5997">
        <v>10.8546999999999</v>
      </c>
      <c r="AD5997">
        <v>-1.1556420000000001</v>
      </c>
      <c r="AE5997">
        <v>-5.5818500000000002</v>
      </c>
      <c r="AF5997">
        <v>4.2928848281237704</v>
      </c>
      <c r="AG5997">
        <v>-1.1556420000000001</v>
      </c>
      <c r="AH5997">
        <v>11.310047545980099</v>
      </c>
      <c r="AI5997">
        <v>95.456819453201405</v>
      </c>
      <c r="AJ5997">
        <v>69.2150501333943</v>
      </c>
      <c r="AK5997">
        <v>12.152429554292</v>
      </c>
      <c r="AL5997">
        <v>88.798989574225601</v>
      </c>
      <c r="AM5997">
        <v>81.314306977008499</v>
      </c>
      <c r="AN5997">
        <v>0.99999993945599897</v>
      </c>
    </row>
    <row r="5998" spans="1:40" x14ac:dyDescent="0.25">
      <c r="A5998" t="str">
        <f>"20190312154954234"</f>
        <v>20190312154954234</v>
      </c>
      <c r="B5998" t="str">
        <f>"1552376994222052"</f>
        <v>1552376994222052</v>
      </c>
      <c r="C5998" t="s">
        <v>40</v>
      </c>
      <c r="D5998">
        <v>4.7930720000000004</v>
      </c>
      <c r="E5998">
        <v>0.58126940000000005</v>
      </c>
      <c r="F5998" t="s">
        <v>43</v>
      </c>
      <c r="G5998">
        <v>-312.83749999999998</v>
      </c>
      <c r="H5998">
        <v>-0.05</v>
      </c>
      <c r="I5998">
        <v>12.01526</v>
      </c>
      <c r="J5998">
        <v>-323.67989999999998</v>
      </c>
      <c r="K5998">
        <v>1.105456</v>
      </c>
      <c r="L5998">
        <v>17.650510000000001</v>
      </c>
      <c r="M5998">
        <v>0.9931818</v>
      </c>
      <c r="N5998">
        <v>0</v>
      </c>
      <c r="O5998">
        <v>-0.11566360000000001</v>
      </c>
      <c r="P5998">
        <v>0.9643429</v>
      </c>
      <c r="Q5998">
        <v>8.7801049999999999E-3</v>
      </c>
      <c r="R5998">
        <v>-0.2645111</v>
      </c>
      <c r="S5998">
        <v>2.7320250000000001</v>
      </c>
      <c r="T5998">
        <v>-0.28578049999999999</v>
      </c>
      <c r="U5998">
        <v>-1.400177</v>
      </c>
      <c r="V5998">
        <v>0.15142720000000001</v>
      </c>
      <c r="W5998">
        <v>2.1528789999999999E-2</v>
      </c>
      <c r="X5998">
        <v>0.9882339</v>
      </c>
      <c r="Y5998">
        <v>0.34909279999999998</v>
      </c>
      <c r="Z5998">
        <v>-5.8834780000000001E-3</v>
      </c>
      <c r="AA5998">
        <v>0.93706970000000001</v>
      </c>
      <c r="AB5998">
        <v>31</v>
      </c>
      <c r="AC5998">
        <v>10.8423999999999</v>
      </c>
      <c r="AD5998">
        <v>-1.155456</v>
      </c>
      <c r="AE5998">
        <v>-5.6352499999999903</v>
      </c>
      <c r="AF5998">
        <v>4.3047263569813898</v>
      </c>
      <c r="AG5998">
        <v>-1.155456</v>
      </c>
      <c r="AH5998">
        <v>11.3202581463495</v>
      </c>
      <c r="AI5998">
        <v>95.449789328915003</v>
      </c>
      <c r="AJ5998">
        <v>69.179817055582404</v>
      </c>
      <c r="AK5998">
        <v>12.1661001178035</v>
      </c>
      <c r="AL5998">
        <v>88.766395843692806</v>
      </c>
      <c r="AM5998">
        <v>81.288320917730601</v>
      </c>
      <c r="AN5998">
        <v>0.99999996340395603</v>
      </c>
    </row>
    <row r="5999" spans="1:40" x14ac:dyDescent="0.25">
      <c r="A5999" t="str">
        <f>"20190312154954251"</f>
        <v>20190312154954251</v>
      </c>
      <c r="B5999" t="str">
        <f>"1552376994241572"</f>
        <v>1552376994241572</v>
      </c>
      <c r="C5999" t="s">
        <v>40</v>
      </c>
      <c r="D5999">
        <v>4.749943</v>
      </c>
      <c r="E5999">
        <v>0.58100949999999996</v>
      </c>
      <c r="F5999" t="s">
        <v>43</v>
      </c>
      <c r="G5999">
        <v>-312.6069</v>
      </c>
      <c r="H5999">
        <v>-0.05</v>
      </c>
      <c r="I5999">
        <v>11.92511</v>
      </c>
      <c r="J5999">
        <v>-323.44920000000002</v>
      </c>
      <c r="K5999">
        <v>1.1052420000000001</v>
      </c>
      <c r="L5999">
        <v>17.619420000000002</v>
      </c>
      <c r="M5999">
        <v>0.99266710000000002</v>
      </c>
      <c r="N5999">
        <v>0</v>
      </c>
      <c r="O5999">
        <v>-0.11999799999999999</v>
      </c>
      <c r="P5999">
        <v>0.96271479999999998</v>
      </c>
      <c r="Q5999">
        <v>9.5303750000000007E-3</v>
      </c>
      <c r="R5999">
        <v>-0.27035090000000001</v>
      </c>
      <c r="S5999">
        <v>2.7267760000000001</v>
      </c>
      <c r="T5999">
        <v>-0.2845374</v>
      </c>
      <c r="U5999">
        <v>-1.4099120000000001</v>
      </c>
      <c r="V5999">
        <v>0.15312329999999999</v>
      </c>
      <c r="W5999">
        <v>2.2194769999999999E-2</v>
      </c>
      <c r="X5999">
        <v>0.9879578</v>
      </c>
      <c r="Y5999">
        <v>0.348408</v>
      </c>
      <c r="Z5999">
        <v>-5.4141359999999999E-3</v>
      </c>
      <c r="AA5999">
        <v>0.93732740000000003</v>
      </c>
      <c r="AB5999">
        <v>31</v>
      </c>
      <c r="AC5999">
        <v>10.8423</v>
      </c>
      <c r="AD5999">
        <v>-1.1552420000000001</v>
      </c>
      <c r="AE5999">
        <v>-5.6943099999999998</v>
      </c>
      <c r="AF5999">
        <v>4.3135784751418997</v>
      </c>
      <c r="AG5999">
        <v>-1.1552420000000001</v>
      </c>
      <c r="AH5999">
        <v>11.346352590014201</v>
      </c>
      <c r="AI5999">
        <v>95.436499455809397</v>
      </c>
      <c r="AJ5999">
        <v>69.184541093782798</v>
      </c>
      <c r="AK5999">
        <v>12.193492544660501</v>
      </c>
      <c r="AL5999">
        <v>88.728228902363597</v>
      </c>
      <c r="AM5999">
        <v>81.189842355003194</v>
      </c>
      <c r="AN5999">
        <v>0.99999998369954102</v>
      </c>
    </row>
    <row r="6000" spans="1:40" x14ac:dyDescent="0.25">
      <c r="A6000" t="str">
        <f>"20190312154954263"</f>
        <v>20190312154954263</v>
      </c>
      <c r="B6000" t="str">
        <f>"1552376994252308"</f>
        <v>1552376994252308</v>
      </c>
      <c r="C6000" t="s">
        <v>40</v>
      </c>
      <c r="D6000">
        <v>4.7683419999999996</v>
      </c>
      <c r="E6000">
        <v>0.58091519999999996</v>
      </c>
      <c r="F6000" t="s">
        <v>43</v>
      </c>
      <c r="G6000">
        <v>-312.41180000000003</v>
      </c>
      <c r="H6000">
        <v>-0.05</v>
      </c>
      <c r="I6000">
        <v>11.836460000000001</v>
      </c>
      <c r="J6000">
        <v>-323.27530000000002</v>
      </c>
      <c r="K6000">
        <v>1.105083</v>
      </c>
      <c r="L6000">
        <v>17.59525</v>
      </c>
      <c r="M6000">
        <v>0.99225189999999996</v>
      </c>
      <c r="N6000">
        <v>0</v>
      </c>
      <c r="O6000">
        <v>-0.1233828</v>
      </c>
      <c r="P6000">
        <v>0.96162040000000004</v>
      </c>
      <c r="Q6000">
        <v>9.8248799999999994E-3</v>
      </c>
      <c r="R6000">
        <v>-0.27420729999999999</v>
      </c>
      <c r="S6000">
        <v>2.7189939999999999</v>
      </c>
      <c r="T6000">
        <v>-0.28458600000000001</v>
      </c>
      <c r="U6000">
        <v>-1.4245909999999999</v>
      </c>
      <c r="V6000">
        <v>0.15372640000000001</v>
      </c>
      <c r="W6000">
        <v>2.2434079999999999E-2</v>
      </c>
      <c r="X6000">
        <v>0.98785880000000004</v>
      </c>
      <c r="Y6000">
        <v>0.35028930000000003</v>
      </c>
      <c r="Z6000">
        <v>-5.19032E-3</v>
      </c>
      <c r="AA6000">
        <v>0.93662719999999999</v>
      </c>
      <c r="AB6000">
        <v>31</v>
      </c>
      <c r="AC6000">
        <v>10.863499999999901</v>
      </c>
      <c r="AD6000">
        <v>-1.1550830000000001</v>
      </c>
      <c r="AE6000">
        <v>-5.7587899999999896</v>
      </c>
      <c r="AF6000">
        <v>4.3359999262339803</v>
      </c>
      <c r="AG6000">
        <v>-1.1550830000000001</v>
      </c>
      <c r="AH6000">
        <v>11.3905609828686</v>
      </c>
      <c r="AI6000">
        <v>95.413902735067097</v>
      </c>
      <c r="AJ6000">
        <v>69.159869454380996</v>
      </c>
      <c r="AK6000">
        <v>12.2425484112434</v>
      </c>
      <c r="AL6000">
        <v>88.714514121144006</v>
      </c>
      <c r="AM6000">
        <v>81.154817389494397</v>
      </c>
      <c r="AN6000">
        <v>1.0000000513699201</v>
      </c>
    </row>
    <row r="6001" spans="1:40" x14ac:dyDescent="0.25">
      <c r="A6001" t="str">
        <f>"20190312154954275"</f>
        <v>20190312154954275</v>
      </c>
      <c r="B6001" t="str">
        <f>"1552376994271828"</f>
        <v>1552376994271828</v>
      </c>
      <c r="C6001" t="s">
        <v>40</v>
      </c>
      <c r="D6001">
        <v>4.761863</v>
      </c>
      <c r="E6001">
        <v>0.5805941</v>
      </c>
      <c r="F6001" t="s">
        <v>43</v>
      </c>
      <c r="G6001">
        <v>-312.3109</v>
      </c>
      <c r="H6001">
        <v>-0.05</v>
      </c>
      <c r="I6001">
        <v>11.798450000000001</v>
      </c>
      <c r="J6001">
        <v>-323.10180000000003</v>
      </c>
      <c r="K6001">
        <v>1.1049290000000001</v>
      </c>
      <c r="L6001">
        <v>17.570129999999999</v>
      </c>
      <c r="M6001">
        <v>0.9918072</v>
      </c>
      <c r="N6001">
        <v>0</v>
      </c>
      <c r="O6001">
        <v>-0.12690660000000001</v>
      </c>
      <c r="P6001">
        <v>0.96036089999999996</v>
      </c>
      <c r="Q6001">
        <v>1.0210759999999999E-2</v>
      </c>
      <c r="R6001">
        <v>-0.27857320000000002</v>
      </c>
      <c r="S6001">
        <v>2.713562</v>
      </c>
      <c r="T6001">
        <v>-0.28586889999999998</v>
      </c>
      <c r="U6001">
        <v>-1.434631</v>
      </c>
      <c r="V6001">
        <v>0.1547192</v>
      </c>
      <c r="W6001">
        <v>2.2762069999999999E-2</v>
      </c>
      <c r="X6001">
        <v>0.98769620000000002</v>
      </c>
      <c r="Y6001">
        <v>0.35045120000000002</v>
      </c>
      <c r="Z6001">
        <v>-4.8870320000000004E-3</v>
      </c>
      <c r="AA6001">
        <v>0.93656819999999996</v>
      </c>
      <c r="AB6001">
        <v>31</v>
      </c>
      <c r="AC6001">
        <v>10.790900000000001</v>
      </c>
      <c r="AD6001">
        <v>-1.1549290000000001</v>
      </c>
      <c r="AE6001">
        <v>-5.7716799999999902</v>
      </c>
      <c r="AF6001">
        <v>4.3169707929812704</v>
      </c>
      <c r="AG6001">
        <v>-1.1549290000000001</v>
      </c>
      <c r="AH6001">
        <v>11.3352140308734</v>
      </c>
      <c r="AI6001">
        <v>95.439134760968301</v>
      </c>
      <c r="AJ6001">
        <v>69.150865443052496</v>
      </c>
      <c r="AK6001">
        <v>12.1843003470943</v>
      </c>
      <c r="AL6001">
        <v>88.695716763902197</v>
      </c>
      <c r="AM6001">
        <v>81.097163157305403</v>
      </c>
      <c r="AN6001">
        <v>0.99999996308688099</v>
      </c>
    </row>
    <row r="6002" spans="1:40" x14ac:dyDescent="0.25">
      <c r="A6002" t="str">
        <f>"20190312154954288"</f>
        <v>20190312154954288</v>
      </c>
      <c r="B6002" t="str">
        <f>"1552376994281588"</f>
        <v>1552376994281588</v>
      </c>
      <c r="C6002" t="s">
        <v>40</v>
      </c>
      <c r="D6002">
        <v>4.7692540000000001</v>
      </c>
      <c r="E6002">
        <v>0.58047939999999998</v>
      </c>
      <c r="F6002" t="s">
        <v>43</v>
      </c>
      <c r="G6002">
        <v>-312.31630000000001</v>
      </c>
      <c r="H6002">
        <v>-0.05</v>
      </c>
      <c r="I6002">
        <v>11.815860000000001</v>
      </c>
      <c r="J6002">
        <v>-322.9307</v>
      </c>
      <c r="K6002">
        <v>1.1047769999999999</v>
      </c>
      <c r="L6002">
        <v>17.544920000000001</v>
      </c>
      <c r="M6002">
        <v>0.99134739999999999</v>
      </c>
      <c r="N6002">
        <v>0</v>
      </c>
      <c r="O6002">
        <v>-0.13044819999999999</v>
      </c>
      <c r="P6002">
        <v>0.95913769999999998</v>
      </c>
      <c r="Q6002">
        <v>1.044834E-2</v>
      </c>
      <c r="R6002">
        <v>-0.28274759999999999</v>
      </c>
      <c r="S6002">
        <v>2.7077939999999998</v>
      </c>
      <c r="T6002">
        <v>-0.28995739999999998</v>
      </c>
      <c r="U6002">
        <v>-1.444672</v>
      </c>
      <c r="V6002">
        <v>0.15549879999999999</v>
      </c>
      <c r="W6002">
        <v>2.2945119999999999E-2</v>
      </c>
      <c r="X6002">
        <v>0.98756960000000005</v>
      </c>
      <c r="Y6002">
        <v>0.35062480000000001</v>
      </c>
      <c r="Z6002">
        <v>-4.6244110000000001E-3</v>
      </c>
      <c r="AA6002">
        <v>0.93650460000000002</v>
      </c>
      <c r="AB6002">
        <v>31</v>
      </c>
      <c r="AC6002">
        <v>10.6143999999999</v>
      </c>
      <c r="AD6002">
        <v>-1.1547769999999999</v>
      </c>
      <c r="AE6002">
        <v>-5.7290599999999996</v>
      </c>
      <c r="AF6002">
        <v>4.2563056920694802</v>
      </c>
      <c r="AG6002">
        <v>-1.1547769999999999</v>
      </c>
      <c r="AH6002">
        <v>11.168736851519499</v>
      </c>
      <c r="AI6002">
        <v>95.518542373893297</v>
      </c>
      <c r="AJ6002">
        <v>69.138603868690396</v>
      </c>
      <c r="AK6002">
        <v>12.0079278363322</v>
      </c>
      <c r="AL6002">
        <v>88.685226125799602</v>
      </c>
      <c r="AM6002">
        <v>81.051899026864305</v>
      </c>
      <c r="AN6002">
        <v>1.0000000350886999</v>
      </c>
    </row>
    <row r="6003" spans="1:40" x14ac:dyDescent="0.25">
      <c r="A6003" t="str">
        <f>"20190312154954300"</f>
        <v>20190312154954300</v>
      </c>
      <c r="B6003" t="str">
        <f>"1552376994291348"</f>
        <v>1552376994291348</v>
      </c>
      <c r="C6003" t="s">
        <v>40</v>
      </c>
      <c r="D6003">
        <v>4.7748970000000002</v>
      </c>
      <c r="E6003">
        <v>0.58045069999999999</v>
      </c>
      <c r="F6003" t="s">
        <v>43</v>
      </c>
      <c r="G6003">
        <v>-312.24919999999997</v>
      </c>
      <c r="H6003">
        <v>-0.05</v>
      </c>
      <c r="I6003">
        <v>11.791169999999999</v>
      </c>
      <c r="J6003">
        <v>-322.76920000000001</v>
      </c>
      <c r="K6003">
        <v>1.1046400000000001</v>
      </c>
      <c r="L6003">
        <v>17.520320000000002</v>
      </c>
      <c r="M6003">
        <v>0.99088549999999997</v>
      </c>
      <c r="N6003">
        <v>0</v>
      </c>
      <c r="O6003">
        <v>-0.1339108</v>
      </c>
      <c r="P6003">
        <v>0.95787160000000005</v>
      </c>
      <c r="Q6003">
        <v>1.028747E-2</v>
      </c>
      <c r="R6003">
        <v>-0.28701300000000002</v>
      </c>
      <c r="S6003">
        <v>2.7019350000000002</v>
      </c>
      <c r="T6003">
        <v>-0.29210730000000001</v>
      </c>
      <c r="U6003">
        <v>-1.455444</v>
      </c>
      <c r="V6003">
        <v>0.15644910000000001</v>
      </c>
      <c r="W6003">
        <v>2.2729650000000001E-2</v>
      </c>
      <c r="X6003">
        <v>0.98742439999999998</v>
      </c>
      <c r="Y6003">
        <v>0.35109400000000002</v>
      </c>
      <c r="Z6003">
        <v>-4.3461560000000003E-3</v>
      </c>
      <c r="AA6003">
        <v>0.93633010000000005</v>
      </c>
      <c r="AB6003">
        <v>31</v>
      </c>
      <c r="AC6003">
        <v>10.52</v>
      </c>
      <c r="AD6003">
        <v>-1.1546399999999899</v>
      </c>
      <c r="AE6003">
        <v>-5.7291499999999997</v>
      </c>
      <c r="AF6003">
        <v>4.2293516840719798</v>
      </c>
      <c r="AG6003">
        <v>-1.1546399999999899</v>
      </c>
      <c r="AH6003">
        <v>11.089475276464601</v>
      </c>
      <c r="AI6003">
        <v>95.556545622998499</v>
      </c>
      <c r="AJ6003">
        <v>69.123934566829703</v>
      </c>
      <c r="AK6003">
        <v>11.9246413407063</v>
      </c>
      <c r="AL6003">
        <v>88.6975747591421</v>
      </c>
      <c r="AM6003">
        <v>80.996805267950293</v>
      </c>
      <c r="AN6003">
        <v>0.999999951797645</v>
      </c>
    </row>
    <row r="6004" spans="1:40" x14ac:dyDescent="0.25">
      <c r="A6004" t="str">
        <f>"20190312154954317"</f>
        <v>20190312154954317</v>
      </c>
      <c r="B6004" t="str">
        <f>"1552376994311844"</f>
        <v>1552376994311844</v>
      </c>
      <c r="C6004" t="s">
        <v>40</v>
      </c>
      <c r="D6004">
        <v>4.81074</v>
      </c>
      <c r="E6004">
        <v>0.58025939999999998</v>
      </c>
      <c r="F6004" t="s">
        <v>43</v>
      </c>
      <c r="G6004">
        <v>-312.15449999999998</v>
      </c>
      <c r="H6004">
        <v>-0.05</v>
      </c>
      <c r="I6004">
        <v>11.741580000000001</v>
      </c>
      <c r="J6004">
        <v>-322.52379999999999</v>
      </c>
      <c r="K6004">
        <v>1.104422</v>
      </c>
      <c r="L6004">
        <v>17.481719999999999</v>
      </c>
      <c r="M6004">
        <v>0.99013709999999999</v>
      </c>
      <c r="N6004">
        <v>0</v>
      </c>
      <c r="O6004">
        <v>-0.13933380000000001</v>
      </c>
      <c r="P6004">
        <v>0.9558738</v>
      </c>
      <c r="Q6004">
        <v>9.4360290000000003E-3</v>
      </c>
      <c r="R6004">
        <v>-0.29362700000000003</v>
      </c>
      <c r="S6004">
        <v>2.695465</v>
      </c>
      <c r="T6004">
        <v>-0.29320570000000001</v>
      </c>
      <c r="U6004">
        <v>-1.467438</v>
      </c>
      <c r="V6004">
        <v>0.15786710000000001</v>
      </c>
      <c r="W6004">
        <v>2.1797190000000001E-2</v>
      </c>
      <c r="X6004">
        <v>0.98721979999999998</v>
      </c>
      <c r="Y6004">
        <v>0.35014689999999998</v>
      </c>
      <c r="Z6004">
        <v>-3.783097E-3</v>
      </c>
      <c r="AA6004">
        <v>0.93668709999999999</v>
      </c>
      <c r="AB6004">
        <v>31</v>
      </c>
      <c r="AC6004">
        <v>10.369300000000001</v>
      </c>
      <c r="AD6004">
        <v>-1.1544219999999901</v>
      </c>
      <c r="AE6004">
        <v>-5.7401400000000002</v>
      </c>
      <c r="AF6004">
        <v>4.1993462431081596</v>
      </c>
      <c r="AG6004">
        <v>-1.1544219999999901</v>
      </c>
      <c r="AH6004">
        <v>10.9639936643024</v>
      </c>
      <c r="AI6004">
        <v>95.615650152772503</v>
      </c>
      <c r="AJ6004">
        <v>69.042537306559694</v>
      </c>
      <c r="AK6004">
        <v>11.7973029161098</v>
      </c>
      <c r="AL6004">
        <v>88.751014137066306</v>
      </c>
      <c r="AM6004">
        <v>80.914706814158706</v>
      </c>
      <c r="AN6004">
        <v>1.00000003613317</v>
      </c>
    </row>
    <row r="6005" spans="1:40" x14ac:dyDescent="0.25">
      <c r="A6005" t="str">
        <f>"20190312154954331"</f>
        <v>20190312154954331</v>
      </c>
      <c r="B6005" t="str">
        <f>"1552376994321604"</f>
        <v>1552376994321604</v>
      </c>
      <c r="C6005" t="s">
        <v>40</v>
      </c>
      <c r="D6005">
        <v>4.7860440000000004</v>
      </c>
      <c r="E6005">
        <v>0.58007089999999994</v>
      </c>
      <c r="F6005" t="s">
        <v>43</v>
      </c>
      <c r="G6005">
        <v>-312.06479999999999</v>
      </c>
      <c r="H6005">
        <v>-0.05</v>
      </c>
      <c r="I6005">
        <v>11.69975</v>
      </c>
      <c r="J6005">
        <v>-322.34219999999999</v>
      </c>
      <c r="K6005">
        <v>1.1042650000000001</v>
      </c>
      <c r="L6005">
        <v>17.452179999999998</v>
      </c>
      <c r="M6005">
        <v>0.98954609999999998</v>
      </c>
      <c r="N6005">
        <v>0</v>
      </c>
      <c r="O6005">
        <v>-0.14346889999999901</v>
      </c>
      <c r="P6005">
        <v>0.95435729999999996</v>
      </c>
      <c r="Q6005">
        <v>9.1231439999999997E-3</v>
      </c>
      <c r="R6005">
        <v>-0.29852820000000002</v>
      </c>
      <c r="S6005">
        <v>2.685425</v>
      </c>
      <c r="T6005">
        <v>-0.29640529999999998</v>
      </c>
      <c r="U6005">
        <v>-1.484558</v>
      </c>
      <c r="V6005">
        <v>0.1588126</v>
      </c>
      <c r="W6005">
        <v>2.1425820000000002E-2</v>
      </c>
      <c r="X6005">
        <v>0.98707619999999896</v>
      </c>
      <c r="Y6005">
        <v>0.35227639999999999</v>
      </c>
      <c r="Z6005">
        <v>-3.5280229999999999E-3</v>
      </c>
      <c r="AA6005">
        <v>0.93588939999999998</v>
      </c>
      <c r="AB6005">
        <v>31</v>
      </c>
      <c r="AC6005">
        <v>10.2774</v>
      </c>
      <c r="AD6005">
        <v>-1.1542649999999901</v>
      </c>
      <c r="AE6005">
        <v>-5.7524299999999897</v>
      </c>
      <c r="AF6005">
        <v>4.17813135358492</v>
      </c>
      <c r="AG6005">
        <v>-1.1542649999999901</v>
      </c>
      <c r="AH6005">
        <v>10.8918257847762</v>
      </c>
      <c r="AI6005">
        <v>95.650747658041695</v>
      </c>
      <c r="AJ6005">
        <v>69.0130626605267</v>
      </c>
      <c r="AK6005">
        <v>11.722669415451</v>
      </c>
      <c r="AL6005">
        <v>88.772296954864899</v>
      </c>
      <c r="AM6005">
        <v>80.859901512090005</v>
      </c>
      <c r="AN6005">
        <v>0.99999996614393505</v>
      </c>
    </row>
    <row r="6006" spans="1:40" x14ac:dyDescent="0.25">
      <c r="A6006" t="str">
        <f>"20190312154954343"</f>
        <v>20190312154954343</v>
      </c>
      <c r="B6006" t="str">
        <f>"1552376994331364"</f>
        <v>1552376994331364</v>
      </c>
      <c r="C6006" t="s">
        <v>40</v>
      </c>
      <c r="D6006">
        <v>4.8395979999999996</v>
      </c>
      <c r="E6006">
        <v>0.57991110000000001</v>
      </c>
      <c r="F6006" t="s">
        <v>43</v>
      </c>
      <c r="G6006">
        <v>-311.98599999999999</v>
      </c>
      <c r="H6006">
        <v>-0.05</v>
      </c>
      <c r="I6006">
        <v>11.662430000000001</v>
      </c>
      <c r="J6006">
        <v>-322.16820000000001</v>
      </c>
      <c r="K6006">
        <v>1.1041179999999999</v>
      </c>
      <c r="L6006">
        <v>17.423159999999999</v>
      </c>
      <c r="M6006">
        <v>0.98894890000000002</v>
      </c>
      <c r="N6006">
        <v>0</v>
      </c>
      <c r="O6006">
        <v>-0.14752799999999999</v>
      </c>
      <c r="P6006">
        <v>0.95273949999999996</v>
      </c>
      <c r="Q6006">
        <v>8.7129359999999993E-3</v>
      </c>
      <c r="R6006">
        <v>-0.30366409999999899</v>
      </c>
      <c r="S6006">
        <v>2.6780400000000002</v>
      </c>
      <c r="T6006">
        <v>-0.29848479999999999</v>
      </c>
      <c r="U6006">
        <v>-1.4971920000000001</v>
      </c>
      <c r="V6006">
        <v>0.16008039999999901</v>
      </c>
      <c r="W6006">
        <v>2.0953380000000001E-2</v>
      </c>
      <c r="X6006">
        <v>0.98688160000000003</v>
      </c>
      <c r="Y6006">
        <v>0.35290139999999998</v>
      </c>
      <c r="Z6006">
        <v>-3.181541E-3</v>
      </c>
      <c r="AA6006">
        <v>0.93565509999999996</v>
      </c>
      <c r="AB6006">
        <v>31</v>
      </c>
      <c r="AC6006">
        <v>10.1822</v>
      </c>
      <c r="AD6006">
        <v>-1.154118</v>
      </c>
      <c r="AE6006">
        <v>-5.7607299999999899</v>
      </c>
      <c r="AF6006">
        <v>4.1549234042719601</v>
      </c>
      <c r="AG6006">
        <v>-1.154118</v>
      </c>
      <c r="AH6006">
        <v>10.815462678735299</v>
      </c>
      <c r="AI6006">
        <v>95.688600250436707</v>
      </c>
      <c r="AJ6006">
        <v>68.984966632403797</v>
      </c>
      <c r="AK6006">
        <v>11.643436340205</v>
      </c>
      <c r="AL6006">
        <v>88.799371936385398</v>
      </c>
      <c r="AM6006">
        <v>80.786396952557595</v>
      </c>
      <c r="AN6006">
        <v>1.00000003550807</v>
      </c>
    </row>
    <row r="6007" spans="1:40" x14ac:dyDescent="0.25">
      <c r="A6007" t="str">
        <f>"20190312154954355"</f>
        <v>20190312154954355</v>
      </c>
      <c r="B6007" t="str">
        <f>"1552376994351859"</f>
        <v>1552376994351859</v>
      </c>
      <c r="C6007" t="s">
        <v>40</v>
      </c>
      <c r="D6007">
        <v>4.833672</v>
      </c>
      <c r="E6007">
        <v>0.57966509999999905</v>
      </c>
      <c r="F6007" t="s">
        <v>43</v>
      </c>
      <c r="G6007">
        <v>-311.8947</v>
      </c>
      <c r="H6007">
        <v>-0.05</v>
      </c>
      <c r="I6007">
        <v>11.61229</v>
      </c>
      <c r="J6007">
        <v>-321.9984</v>
      </c>
      <c r="K6007">
        <v>1.1039730000000001</v>
      </c>
      <c r="L6007">
        <v>17.393709999999999</v>
      </c>
      <c r="M6007">
        <v>0.98833029999999999</v>
      </c>
      <c r="N6007">
        <v>0</v>
      </c>
      <c r="O6007">
        <v>-0.1516159</v>
      </c>
      <c r="P6007">
        <v>0.95112770000000002</v>
      </c>
      <c r="Q6007">
        <v>8.9063049999999998E-3</v>
      </c>
      <c r="R6007">
        <v>-0.3086699</v>
      </c>
      <c r="S6007">
        <v>2.6702270000000001</v>
      </c>
      <c r="T6007">
        <v>-0.29996990000000001</v>
      </c>
      <c r="U6007">
        <v>-1.5103150000000001</v>
      </c>
      <c r="V6007">
        <v>0.1611997</v>
      </c>
      <c r="W6007">
        <v>2.108925E-2</v>
      </c>
      <c r="X6007">
        <v>0.98669649999999998</v>
      </c>
      <c r="Y6007">
        <v>0.35369440000000002</v>
      </c>
      <c r="Z6007">
        <v>-2.830047E-3</v>
      </c>
      <c r="AA6007">
        <v>0.93535679999999999</v>
      </c>
      <c r="AB6007">
        <v>31</v>
      </c>
      <c r="AC6007">
        <v>10.1037</v>
      </c>
      <c r="AD6007">
        <v>-1.1539729999999999</v>
      </c>
      <c r="AE6007">
        <v>-5.7814199999999998</v>
      </c>
      <c r="AF6007">
        <v>4.1418206835925897</v>
      </c>
      <c r="AG6007">
        <v>-1.1539729999999999</v>
      </c>
      <c r="AH6007">
        <v>10.7578034621783</v>
      </c>
      <c r="AI6007">
        <v>95.716574077895302</v>
      </c>
      <c r="AJ6007">
        <v>68.942986646344295</v>
      </c>
      <c r="AK6007">
        <v>11.5851917373266</v>
      </c>
      <c r="AL6007">
        <v>88.791585445649403</v>
      </c>
      <c r="AM6007">
        <v>80.721380620671098</v>
      </c>
      <c r="AN6007">
        <v>1.00000004142895</v>
      </c>
    </row>
    <row r="6008" spans="1:40" x14ac:dyDescent="0.25">
      <c r="A6008" t="str">
        <f>"20190312154954367"</f>
        <v>20190312154954367</v>
      </c>
      <c r="B6008" t="str">
        <f>"1552376994361620"</f>
        <v>1552376994361620</v>
      </c>
      <c r="C6008" t="s">
        <v>40</v>
      </c>
      <c r="D6008">
        <v>4.8187980000000001</v>
      </c>
      <c r="E6008">
        <v>0.57963089999999995</v>
      </c>
      <c r="F6008" t="s">
        <v>43</v>
      </c>
      <c r="G6008">
        <v>-311.79199999999997</v>
      </c>
      <c r="H6008">
        <v>-0.05</v>
      </c>
      <c r="I6008">
        <v>11.558439999999999</v>
      </c>
      <c r="J6008">
        <v>-321.84010000000001</v>
      </c>
      <c r="K6008">
        <v>1.103839</v>
      </c>
      <c r="L6008">
        <v>17.365879999999901</v>
      </c>
      <c r="M6008">
        <v>0.98773029999999995</v>
      </c>
      <c r="N6008">
        <v>0</v>
      </c>
      <c r="O6008">
        <v>-0.15547469999999999</v>
      </c>
      <c r="P6008">
        <v>0.94956929999999995</v>
      </c>
      <c r="Q6008">
        <v>9.3170200000000005E-3</v>
      </c>
      <c r="R6008">
        <v>-0.313419</v>
      </c>
      <c r="S6008">
        <v>2.6629330000000002</v>
      </c>
      <c r="T6008">
        <v>-0.30107899999999999</v>
      </c>
      <c r="U6008">
        <v>-1.5224610000000001</v>
      </c>
      <c r="V6008">
        <v>0.162290299999999</v>
      </c>
      <c r="W6008">
        <v>2.1443940000000002E-2</v>
      </c>
      <c r="X6008">
        <v>0.98651</v>
      </c>
      <c r="Y6008">
        <v>0.35436770000000001</v>
      </c>
      <c r="Z6008">
        <v>-2.4880810000000001E-3</v>
      </c>
      <c r="AA6008">
        <v>0.93510280000000001</v>
      </c>
      <c r="AB6008">
        <v>31</v>
      </c>
      <c r="AC6008">
        <v>10.0480999999999</v>
      </c>
      <c r="AD6008">
        <v>-1.1538389999999901</v>
      </c>
      <c r="AE6008">
        <v>-5.8074399999999899</v>
      </c>
      <c r="AF6008">
        <v>4.1335530310540296</v>
      </c>
      <c r="AG6008">
        <v>-1.1538389999999901</v>
      </c>
      <c r="AH6008">
        <v>10.722904845993501</v>
      </c>
      <c r="AI6008">
        <v>95.733472850263496</v>
      </c>
      <c r="AJ6008">
        <v>68.918938687975597</v>
      </c>
      <c r="AK6008">
        <v>11.54981789617</v>
      </c>
      <c r="AL6008">
        <v>88.771258536290304</v>
      </c>
      <c r="AM6008">
        <v>80.657973920455305</v>
      </c>
      <c r="AN6008">
        <v>0.99999998206840601</v>
      </c>
    </row>
    <row r="6009" spans="1:40" x14ac:dyDescent="0.25">
      <c r="A6009" t="str">
        <f>"20190312154954385"</f>
        <v>20190312154954385</v>
      </c>
      <c r="B6009" t="str">
        <f>"1552376994371380"</f>
        <v>1552376994371380</v>
      </c>
      <c r="C6009" t="s">
        <v>40</v>
      </c>
      <c r="D6009">
        <v>4.780735</v>
      </c>
      <c r="E6009">
        <v>0.57958160000000003</v>
      </c>
      <c r="F6009" t="s">
        <v>43</v>
      </c>
      <c r="G6009">
        <v>-311.67140000000001</v>
      </c>
      <c r="H6009">
        <v>-0.05</v>
      </c>
      <c r="I6009">
        <v>11.48621</v>
      </c>
      <c r="J6009">
        <v>-321.5915</v>
      </c>
      <c r="K6009">
        <v>1.1036280000000001</v>
      </c>
      <c r="L6009">
        <v>17.320529999999899</v>
      </c>
      <c r="M6009">
        <v>0.98672490000000002</v>
      </c>
      <c r="N6009">
        <v>0</v>
      </c>
      <c r="O6009">
        <v>-0.1617323</v>
      </c>
      <c r="P6009">
        <v>0.94681979999999999</v>
      </c>
      <c r="Q6009">
        <v>9.821883E-3</v>
      </c>
      <c r="R6009">
        <v>-0.32161499999999998</v>
      </c>
      <c r="S6009">
        <v>2.6554869999999999</v>
      </c>
      <c r="T6009">
        <v>-0.30131659999999999</v>
      </c>
      <c r="U6009">
        <v>-1.535431</v>
      </c>
      <c r="V6009">
        <v>0.1645838</v>
      </c>
      <c r="W6009">
        <v>2.1849150000000001E-2</v>
      </c>
      <c r="X6009">
        <v>0.98612109999999997</v>
      </c>
      <c r="Y6009">
        <v>0.35303449999999997</v>
      </c>
      <c r="Z6009">
        <v>-1.7873850000000001E-3</v>
      </c>
      <c r="AA6009">
        <v>0.93560860000000001</v>
      </c>
      <c r="AB6009">
        <v>31</v>
      </c>
      <c r="AC6009">
        <v>9.9200999999999908</v>
      </c>
      <c r="AD6009">
        <v>-1.1536280000000001</v>
      </c>
      <c r="AE6009">
        <v>-5.8343199999999902</v>
      </c>
      <c r="AF6009">
        <v>4.1116039660558599</v>
      </c>
      <c r="AG6009">
        <v>-1.1536280000000001</v>
      </c>
      <c r="AH6009">
        <v>10.626394441840199</v>
      </c>
      <c r="AI6009">
        <v>95.781371683132505</v>
      </c>
      <c r="AJ6009">
        <v>68.847364310433406</v>
      </c>
      <c r="AK6009">
        <v>11.452353625768099</v>
      </c>
      <c r="AL6009">
        <v>88.748036316868394</v>
      </c>
      <c r="AM6009">
        <v>80.524659943520007</v>
      </c>
      <c r="AN6009">
        <v>1.0000000182216799</v>
      </c>
    </row>
    <row r="6010" spans="1:40" x14ac:dyDescent="0.25">
      <c r="A6010" t="str">
        <f>"20190312154954396"</f>
        <v>20190312154954396</v>
      </c>
      <c r="B6010" t="str">
        <f>"1552376994391876"</f>
        <v>1552376994391876</v>
      </c>
      <c r="C6010" t="s">
        <v>40</v>
      </c>
      <c r="D6010">
        <v>4.82965</v>
      </c>
      <c r="E6010">
        <v>0.57951399999999997</v>
      </c>
      <c r="F6010" t="s">
        <v>43</v>
      </c>
      <c r="G6010">
        <v>-311.4239</v>
      </c>
      <c r="H6010">
        <v>-0.05</v>
      </c>
      <c r="I6010">
        <v>11.324769999999999</v>
      </c>
      <c r="J6010">
        <v>-321.42959999999999</v>
      </c>
      <c r="K6010">
        <v>1.103491</v>
      </c>
      <c r="L6010">
        <v>17.2897</v>
      </c>
      <c r="M6010">
        <v>0.98602299999999998</v>
      </c>
      <c r="N6010">
        <v>0</v>
      </c>
      <c r="O6010">
        <v>-0.16595489999999999</v>
      </c>
      <c r="P6010">
        <v>0.94513029999999998</v>
      </c>
      <c r="Q6010">
        <v>9.7497940000000009E-3</v>
      </c>
      <c r="R6010">
        <v>-0.326548</v>
      </c>
      <c r="S6010">
        <v>2.642334</v>
      </c>
      <c r="T6010">
        <v>-0.29980269999999998</v>
      </c>
      <c r="U6010">
        <v>-1.5581670000000001</v>
      </c>
      <c r="V6010">
        <v>0.16551089999999999</v>
      </c>
      <c r="W6010">
        <v>2.1723300000000001E-2</v>
      </c>
      <c r="X6010">
        <v>0.98596870000000003</v>
      </c>
      <c r="Y6010">
        <v>0.35704639999999999</v>
      </c>
      <c r="Z6010">
        <v>-1.5673880000000001E-3</v>
      </c>
      <c r="AA6010">
        <v>0.93408530000000001</v>
      </c>
      <c r="AB6010">
        <v>31</v>
      </c>
      <c r="AC6010">
        <v>10.0056999999999</v>
      </c>
      <c r="AD6010">
        <v>-1.153491</v>
      </c>
      <c r="AE6010">
        <v>-5.9649299999999998</v>
      </c>
      <c r="AF6010">
        <v>4.1805307075265796</v>
      </c>
      <c r="AG6010">
        <v>-1.153491</v>
      </c>
      <c r="AH6010">
        <v>10.7515178691493</v>
      </c>
      <c r="AI6010">
        <v>95.710213189944696</v>
      </c>
      <c r="AJ6010">
        <v>68.752341998993302</v>
      </c>
      <c r="AK6010">
        <v>11.5932098650154</v>
      </c>
      <c r="AL6010">
        <v>88.755248702885396</v>
      </c>
      <c r="AM6010">
        <v>80.470815570183305</v>
      </c>
      <c r="AN6010">
        <v>1.0000000185806901</v>
      </c>
    </row>
    <row r="6011" spans="1:40" x14ac:dyDescent="0.25">
      <c r="A6011" t="str">
        <f>"20190312154954409"</f>
        <v>20190312154954409</v>
      </c>
      <c r="B6011" t="str">
        <f>"1552376994401636"</f>
        <v>1552376994401636</v>
      </c>
      <c r="C6011" t="s">
        <v>40</v>
      </c>
      <c r="D6011">
        <v>4.8381639999999999</v>
      </c>
      <c r="E6011">
        <v>0.57948980000000005</v>
      </c>
      <c r="F6011" t="s">
        <v>43</v>
      </c>
      <c r="G6011">
        <v>-311.30739999999997</v>
      </c>
      <c r="H6011">
        <v>-0.05</v>
      </c>
      <c r="I6011">
        <v>11.2514</v>
      </c>
      <c r="J6011">
        <v>-321.26060000000001</v>
      </c>
      <c r="K6011">
        <v>1.1033379999999999</v>
      </c>
      <c r="L6011">
        <v>17.257079999999998</v>
      </c>
      <c r="M6011">
        <v>0.98522279999999995</v>
      </c>
      <c r="N6011">
        <v>0</v>
      </c>
      <c r="O6011">
        <v>-0.17064960000000001</v>
      </c>
      <c r="P6011">
        <v>0.94335400000000003</v>
      </c>
      <c r="Q6011">
        <v>9.5194159999999993E-3</v>
      </c>
      <c r="R6011">
        <v>-0.33165119999999998</v>
      </c>
      <c r="S6011">
        <v>2.6342469999999998</v>
      </c>
      <c r="T6011">
        <v>-0.30019069999999998</v>
      </c>
      <c r="U6011">
        <v>-1.571442</v>
      </c>
      <c r="V6011">
        <v>0.1661445</v>
      </c>
      <c r="W6011">
        <v>2.1342389999999999E-2</v>
      </c>
      <c r="X6011">
        <v>0.98587040000000004</v>
      </c>
      <c r="Y6011">
        <v>0.35734890000000002</v>
      </c>
      <c r="Z6011">
        <v>-1.1127140000000001E-3</v>
      </c>
      <c r="AA6011">
        <v>0.93397030000000003</v>
      </c>
      <c r="AB6011">
        <v>31</v>
      </c>
      <c r="AC6011">
        <v>9.9532000000000291</v>
      </c>
      <c r="AD6011">
        <v>-1.153338</v>
      </c>
      <c r="AE6011">
        <v>-6.0056799999999901</v>
      </c>
      <c r="AF6011">
        <v>4.1777527886947698</v>
      </c>
      <c r="AG6011">
        <v>-1.153338</v>
      </c>
      <c r="AH6011">
        <v>10.7265632292292</v>
      </c>
      <c r="AI6011">
        <v>95.721415148456501</v>
      </c>
      <c r="AJ6011">
        <v>68.7202161351928</v>
      </c>
      <c r="AK6011">
        <v>11.569052062133</v>
      </c>
      <c r="AL6011">
        <v>88.777078238776497</v>
      </c>
      <c r="AM6011">
        <v>80.434073110223693</v>
      </c>
      <c r="AN6011">
        <v>0.99999996904365995</v>
      </c>
    </row>
    <row r="6012" spans="1:40" x14ac:dyDescent="0.25">
      <c r="A6012" t="str">
        <f>"20190312154954423"</f>
        <v>20190312154954423</v>
      </c>
      <c r="B6012" t="str">
        <f>"1552376994412372"</f>
        <v>1552376994412372</v>
      </c>
      <c r="C6012" t="s">
        <v>40</v>
      </c>
      <c r="D6012">
        <v>4.8062469999999999</v>
      </c>
      <c r="E6012">
        <v>0.57938239999999996</v>
      </c>
      <c r="F6012" t="s">
        <v>43</v>
      </c>
      <c r="G6012">
        <v>-311.19490000000002</v>
      </c>
      <c r="H6012">
        <v>-0.05</v>
      </c>
      <c r="I6012">
        <v>11.1783</v>
      </c>
      <c r="J6012">
        <v>-321.07209999999998</v>
      </c>
      <c r="K6012">
        <v>1.1031470000000001</v>
      </c>
      <c r="L6012">
        <v>17.21979</v>
      </c>
      <c r="M6012">
        <v>0.98419060000000003</v>
      </c>
      <c r="N6012">
        <v>0</v>
      </c>
      <c r="O6012">
        <v>-0.176533</v>
      </c>
      <c r="P6012">
        <v>0.94098539999999997</v>
      </c>
      <c r="Q6012">
        <v>9.4236059999999993E-3</v>
      </c>
      <c r="R6012">
        <v>-0.33831660000000002</v>
      </c>
      <c r="S6012">
        <v>2.625702</v>
      </c>
      <c r="T6012">
        <v>-0.30085650000000003</v>
      </c>
      <c r="U6012">
        <v>-1.585693</v>
      </c>
      <c r="V6012">
        <v>0.16722699999999999</v>
      </c>
      <c r="W6012">
        <v>2.0851829999999998E-2</v>
      </c>
      <c r="X6012">
        <v>0.98569790000000002</v>
      </c>
      <c r="Y6012">
        <v>0.35685549999999999</v>
      </c>
      <c r="Z6012">
        <v>-4.9439630000000002E-4</v>
      </c>
      <c r="AA6012">
        <v>0.93415950000000003</v>
      </c>
      <c r="AB6012">
        <v>31</v>
      </c>
      <c r="AC6012">
        <v>9.8771999999999593</v>
      </c>
      <c r="AD6012">
        <v>-1.1531469999999999</v>
      </c>
      <c r="AE6012">
        <v>-6.0414899999999996</v>
      </c>
      <c r="AF6012">
        <v>4.1614783242047899</v>
      </c>
      <c r="AG6012">
        <v>-1.1531469999999999</v>
      </c>
      <c r="AH6012">
        <v>10.682712033668</v>
      </c>
      <c r="AI6012">
        <v>95.743653743592603</v>
      </c>
      <c r="AJ6012">
        <v>68.716469314433397</v>
      </c>
      <c r="AK6012">
        <v>11.522499131729701</v>
      </c>
      <c r="AL6012">
        <v>88.805191562655807</v>
      </c>
      <c r="AM6012">
        <v>80.371256715209199</v>
      </c>
      <c r="AN6012">
        <v>1.0000000092038701</v>
      </c>
    </row>
    <row r="6013" spans="1:40" x14ac:dyDescent="0.25">
      <c r="A6013" t="str">
        <f>"20190312154954441"</f>
        <v>20190312154954441</v>
      </c>
      <c r="B6013" t="str">
        <f>"1552376994431892"</f>
        <v>1552376994431892</v>
      </c>
      <c r="C6013" t="s">
        <v>40</v>
      </c>
      <c r="D6013">
        <v>4.8723960000000002</v>
      </c>
      <c r="E6013">
        <v>0.58024019999999898</v>
      </c>
      <c r="F6013" t="s">
        <v>43</v>
      </c>
      <c r="G6013">
        <v>-311.0641</v>
      </c>
      <c r="H6013">
        <v>-0.05</v>
      </c>
      <c r="I6013">
        <v>11.08347</v>
      </c>
      <c r="J6013">
        <v>-320.82470000000001</v>
      </c>
      <c r="K6013">
        <v>1.102651</v>
      </c>
      <c r="L6013">
        <v>17.16901</v>
      </c>
      <c r="M6013">
        <v>0.98279229999999995</v>
      </c>
      <c r="N6013">
        <v>0</v>
      </c>
      <c r="O6013">
        <v>-0.184198</v>
      </c>
      <c r="P6013">
        <v>0.93749780000000005</v>
      </c>
      <c r="Q6013">
        <v>1.0078719999999999E-2</v>
      </c>
      <c r="R6013">
        <v>-0.34784530000000002</v>
      </c>
      <c r="S6013">
        <v>2.6147459999999998</v>
      </c>
      <c r="T6013">
        <v>-0.30127880000000001</v>
      </c>
      <c r="U6013">
        <v>-1.60321</v>
      </c>
      <c r="V6013">
        <v>0.1695652</v>
      </c>
      <c r="W6013">
        <v>2.083086E-2</v>
      </c>
      <c r="X6013">
        <v>0.98529880000000003</v>
      </c>
      <c r="Y6013">
        <v>0.35590660000000002</v>
      </c>
      <c r="Z6013">
        <v>3.319811E-4</v>
      </c>
      <c r="AA6013">
        <v>0.93452139999999995</v>
      </c>
      <c r="AB6013">
        <v>31</v>
      </c>
      <c r="AC6013">
        <v>9.7606000000000002</v>
      </c>
      <c r="AD6013">
        <v>-1.1526510000000001</v>
      </c>
      <c r="AE6013">
        <v>-6.0855399999999999</v>
      </c>
      <c r="AF6013">
        <v>4.1417451883611598</v>
      </c>
      <c r="AG6013">
        <v>-1.1526510000000001</v>
      </c>
      <c r="AH6013">
        <v>10.608079201273799</v>
      </c>
      <c r="AI6013">
        <v>95.779607919838298</v>
      </c>
      <c r="AJ6013">
        <v>68.672681060997206</v>
      </c>
      <c r="AK6013">
        <v>11.4461348006046</v>
      </c>
      <c r="AL6013">
        <v>88.806393309394494</v>
      </c>
      <c r="AM6013">
        <v>80.235320653029405</v>
      </c>
      <c r="AN6013">
        <v>1.0000000035304</v>
      </c>
    </row>
    <row r="6014" spans="1:40" x14ac:dyDescent="0.25">
      <c r="A6014" t="str">
        <f>"20190312154954457"</f>
        <v>20190312154954457</v>
      </c>
      <c r="B6014" t="str">
        <f>"1552376994451412"</f>
        <v>1552376994451412</v>
      </c>
      <c r="C6014" t="s">
        <v>40</v>
      </c>
      <c r="D6014">
        <v>4.9919229999999999</v>
      </c>
      <c r="E6014">
        <v>0.59953000000000001</v>
      </c>
      <c r="F6014" t="s">
        <v>43</v>
      </c>
      <c r="G6014">
        <v>-310.80200000000002</v>
      </c>
      <c r="H6014">
        <v>-0.05</v>
      </c>
      <c r="I6014">
        <v>10.851760000000001</v>
      </c>
      <c r="J6014">
        <v>-320.61559999999997</v>
      </c>
      <c r="K6014">
        <v>1.102125</v>
      </c>
      <c r="L6014">
        <v>17.124479999999998</v>
      </c>
      <c r="M6014">
        <v>0.98159609999999997</v>
      </c>
      <c r="N6014">
        <v>0</v>
      </c>
      <c r="O6014">
        <v>-0.19048319999999999</v>
      </c>
      <c r="P6014">
        <v>0.93475039999999998</v>
      </c>
      <c r="Q6014">
        <v>1.067448E-2</v>
      </c>
      <c r="R6014">
        <v>-0.35514509999999899</v>
      </c>
      <c r="S6014">
        <v>2.596069</v>
      </c>
      <c r="T6014">
        <v>-0.29855949999999998</v>
      </c>
      <c r="U6014">
        <v>-1.6362920000000001</v>
      </c>
      <c r="V6014">
        <v>0.1709706</v>
      </c>
      <c r="W6014">
        <v>2.1080669999999999E-2</v>
      </c>
      <c r="X6014">
        <v>0.9850506</v>
      </c>
      <c r="Y6014">
        <v>0.36149930000000002</v>
      </c>
      <c r="Z6014">
        <v>6.6506119999999995E-4</v>
      </c>
      <c r="AA6014">
        <v>0.93237219999999998</v>
      </c>
      <c r="AB6014">
        <v>31</v>
      </c>
      <c r="AC6014">
        <v>9.8135999999999495</v>
      </c>
      <c r="AD6014">
        <v>-1.1521250000000001</v>
      </c>
      <c r="AE6014">
        <v>-6.2727199999999899</v>
      </c>
      <c r="AF6014">
        <v>4.2467932799060497</v>
      </c>
      <c r="AG6014">
        <v>-1.1521250000000001</v>
      </c>
      <c r="AH6014">
        <v>10.723907305792901</v>
      </c>
      <c r="AI6014">
        <v>95.704230883990803</v>
      </c>
      <c r="AJ6014">
        <v>68.395852396265198</v>
      </c>
      <c r="AK6014">
        <v>11.591584580251199</v>
      </c>
      <c r="AL6014">
        <v>88.792077117945297</v>
      </c>
      <c r="AM6014">
        <v>80.1535336575065</v>
      </c>
      <c r="AN6014">
        <v>1.0000000126361801</v>
      </c>
    </row>
    <row r="6015" spans="1:40" x14ac:dyDescent="0.25">
      <c r="A6015" t="str">
        <f>"20190312154954471"</f>
        <v>20190312154954471</v>
      </c>
      <c r="B6015" t="str">
        <f>"1552376994462148"</f>
        <v>1552376994462148</v>
      </c>
      <c r="C6015" t="s">
        <v>40</v>
      </c>
      <c r="D6015">
        <v>4.969627</v>
      </c>
      <c r="E6015">
        <v>0.60179249999999995</v>
      </c>
      <c r="F6015" t="s">
        <v>43</v>
      </c>
      <c r="G6015">
        <v>-314.73399999999998</v>
      </c>
      <c r="H6015">
        <v>-0.05</v>
      </c>
      <c r="I6015">
        <v>12.95378</v>
      </c>
      <c r="J6015">
        <v>-320.4092</v>
      </c>
      <c r="K6015">
        <v>1.101539</v>
      </c>
      <c r="L6015">
        <v>17.079279999999901</v>
      </c>
      <c r="M6015">
        <v>0.9803828</v>
      </c>
      <c r="N6015">
        <v>0</v>
      </c>
      <c r="O6015">
        <v>-0.19662750000000001</v>
      </c>
      <c r="P6015">
        <v>0.93198630000000005</v>
      </c>
      <c r="Q6015">
        <v>1.111007E-2</v>
      </c>
      <c r="R6015">
        <v>-0.36232360000000002</v>
      </c>
      <c r="S6015">
        <v>2.532715</v>
      </c>
      <c r="T6015">
        <v>-0.49612010000000001</v>
      </c>
      <c r="U6015">
        <v>-1.7959590000000001</v>
      </c>
      <c r="V6015">
        <v>0.17240649999999999</v>
      </c>
      <c r="W6015">
        <v>2.1381480000000001E-2</v>
      </c>
      <c r="X6015">
        <v>0.98479380000000005</v>
      </c>
      <c r="Y6015">
        <v>0.4041611</v>
      </c>
      <c r="Z6015">
        <v>-1.638701E-3</v>
      </c>
      <c r="AA6015">
        <v>0.91468640000000001</v>
      </c>
      <c r="AB6015">
        <v>31</v>
      </c>
      <c r="AC6015">
        <v>5.6751999999999496</v>
      </c>
      <c r="AD6015">
        <v>-1.1515389999999901</v>
      </c>
      <c r="AE6015">
        <v>-4.12549999999999</v>
      </c>
      <c r="AF6015">
        <v>2.8521157361132001</v>
      </c>
      <c r="AG6015">
        <v>-1.1515389999999901</v>
      </c>
      <c r="AH6015">
        <v>6.2084162517034596</v>
      </c>
      <c r="AI6015">
        <v>99.567045835108999</v>
      </c>
      <c r="AJ6015">
        <v>65.3261837176168</v>
      </c>
      <c r="AK6015">
        <v>6.9285668500146</v>
      </c>
      <c r="AL6015">
        <v>88.774838071857502</v>
      </c>
      <c r="AM6015">
        <v>80.069939252929998</v>
      </c>
      <c r="AN6015">
        <v>0.99999999872384004</v>
      </c>
    </row>
    <row r="6016" spans="1:40" x14ac:dyDescent="0.25">
      <c r="A6016" t="str">
        <f>"20190312154954485"</f>
        <v>20190312154954485</v>
      </c>
      <c r="B6016" t="str">
        <f>"1552376994471908"</f>
        <v>1552376994471908</v>
      </c>
      <c r="C6016" t="s">
        <v>40</v>
      </c>
      <c r="D6016">
        <v>4.9445600000000001</v>
      </c>
      <c r="E6016">
        <v>0.6029738</v>
      </c>
      <c r="F6016" t="s">
        <v>43</v>
      </c>
      <c r="G6016">
        <v>-314.8716</v>
      </c>
      <c r="H6016">
        <v>-0.05</v>
      </c>
      <c r="I6016">
        <v>13.04285</v>
      </c>
      <c r="J6016">
        <v>-320.2097</v>
      </c>
      <c r="K6016">
        <v>1.100916</v>
      </c>
      <c r="L6016">
        <v>17.034420000000001</v>
      </c>
      <c r="M6016">
        <v>0.97916499999999995</v>
      </c>
      <c r="N6016">
        <v>0</v>
      </c>
      <c r="O6016">
        <v>-0.20258770000000001</v>
      </c>
      <c r="P6016">
        <v>0.92886349999999995</v>
      </c>
      <c r="Q6016">
        <v>1.1584519999999999E-2</v>
      </c>
      <c r="R6016">
        <v>-0.3702414</v>
      </c>
      <c r="S6016">
        <v>2.5130309999999998</v>
      </c>
      <c r="T6016">
        <v>-0.52258359999999904</v>
      </c>
      <c r="U6016">
        <v>-1.8317870000000001</v>
      </c>
      <c r="V6016">
        <v>0.1748305</v>
      </c>
      <c r="W6016">
        <v>2.188586E-2</v>
      </c>
      <c r="X6016">
        <v>0.98435530000000004</v>
      </c>
      <c r="Y6016">
        <v>0.4102538</v>
      </c>
      <c r="Z6016">
        <v>-1.2542639999999999E-3</v>
      </c>
      <c r="AA6016">
        <v>0.91197059999999996</v>
      </c>
      <c r="AB6016">
        <v>31</v>
      </c>
      <c r="AC6016">
        <v>5.3380999999999901</v>
      </c>
      <c r="AD6016">
        <v>-1.1509160000000001</v>
      </c>
      <c r="AE6016">
        <v>-3.9915699999999998</v>
      </c>
      <c r="AF6016">
        <v>2.7453934752940699</v>
      </c>
      <c r="AG6016">
        <v>-1.1509160000000001</v>
      </c>
      <c r="AH6016">
        <v>5.8613548052417199</v>
      </c>
      <c r="AI6016">
        <v>100.082807132581</v>
      </c>
      <c r="AJ6016">
        <v>64.902130317288197</v>
      </c>
      <c r="AK6016">
        <v>6.5739845699677097</v>
      </c>
      <c r="AL6016">
        <v>88.745932495044499</v>
      </c>
      <c r="AM6016">
        <v>79.928768402253496</v>
      </c>
      <c r="AN6016">
        <v>1.0000000256181301</v>
      </c>
    </row>
    <row r="6017" spans="1:40" x14ac:dyDescent="0.25">
      <c r="A6017" t="str">
        <f>"20190312154954500"</f>
        <v>20190312154954500</v>
      </c>
      <c r="B6017" t="str">
        <f>"1552376994491428"</f>
        <v>1552376994491428</v>
      </c>
      <c r="C6017" t="s">
        <v>40</v>
      </c>
      <c r="D6017">
        <v>4.9351079999999996</v>
      </c>
      <c r="E6017">
        <v>0.6040645</v>
      </c>
      <c r="F6017" t="s">
        <v>43</v>
      </c>
      <c r="G6017">
        <v>-314.88459999999998</v>
      </c>
      <c r="H6017">
        <v>-0.05</v>
      </c>
      <c r="I6017">
        <v>13.058960000000001</v>
      </c>
      <c r="J6017">
        <v>-320.00560000000002</v>
      </c>
      <c r="K6017">
        <v>1.100152</v>
      </c>
      <c r="L6017">
        <v>16.986629999999899</v>
      </c>
      <c r="M6017">
        <v>0.97787120000000005</v>
      </c>
      <c r="N6017">
        <v>0</v>
      </c>
      <c r="O6017">
        <v>-0.20870610000000001</v>
      </c>
      <c r="P6017">
        <v>0.92608860000000004</v>
      </c>
      <c r="Q6017">
        <v>1.126982E-2</v>
      </c>
      <c r="R6017">
        <v>-0.37713849999999999</v>
      </c>
      <c r="S6017">
        <v>2.4942630000000001</v>
      </c>
      <c r="T6017">
        <v>-0.539076</v>
      </c>
      <c r="U6017">
        <v>-1.862061</v>
      </c>
      <c r="V6017">
        <v>0.17601889999999901</v>
      </c>
      <c r="W6017">
        <v>2.191065E-2</v>
      </c>
      <c r="X6017">
        <v>0.98414290000000004</v>
      </c>
      <c r="Y6017">
        <v>0.41479460000000001</v>
      </c>
      <c r="Z6017">
        <v>-6.307773E-4</v>
      </c>
      <c r="AA6017">
        <v>0.90991489999999997</v>
      </c>
      <c r="AB6017">
        <v>31</v>
      </c>
      <c r="AC6017">
        <v>5.1210000000000298</v>
      </c>
      <c r="AD6017">
        <v>-1.1501520000000001</v>
      </c>
      <c r="AE6017">
        <v>-3.9276699999999898</v>
      </c>
      <c r="AF6017">
        <v>2.6869249433541098</v>
      </c>
      <c r="AG6017">
        <v>-1.1501520000000001</v>
      </c>
      <c r="AH6017">
        <v>5.6486171846595497</v>
      </c>
      <c r="AI6017">
        <v>100.418819368703</v>
      </c>
      <c r="AJ6017">
        <v>64.560578237681696</v>
      </c>
      <c r="AK6017">
        <v>6.3599757368368701</v>
      </c>
      <c r="AL6017">
        <v>88.744511745646307</v>
      </c>
      <c r="AM6017">
        <v>79.859582536119404</v>
      </c>
      <c r="AN6017">
        <v>0.99999998868052098</v>
      </c>
    </row>
    <row r="6018" spans="1:40" x14ac:dyDescent="0.25">
      <c r="A6018" t="str">
        <f>"20190312154954515"</f>
        <v>20190312154954515</v>
      </c>
      <c r="B6018" t="str">
        <f>"1552376994502164"</f>
        <v>1552376994502164</v>
      </c>
      <c r="C6018" t="s">
        <v>40</v>
      </c>
      <c r="D6018">
        <v>4.9353509999999998</v>
      </c>
      <c r="E6018">
        <v>0.60423640000000001</v>
      </c>
      <c r="F6018" t="s">
        <v>43</v>
      </c>
      <c r="G6018">
        <v>-314.34960000000001</v>
      </c>
      <c r="H6018">
        <v>-0.05</v>
      </c>
      <c r="I6018">
        <v>12.668430000000001</v>
      </c>
      <c r="J6018">
        <v>-319.80290000000002</v>
      </c>
      <c r="K6018">
        <v>1.09931</v>
      </c>
      <c r="L6018">
        <v>16.937839999999898</v>
      </c>
      <c r="M6018">
        <v>0.9765568</v>
      </c>
      <c r="N6018">
        <v>0</v>
      </c>
      <c r="O6018">
        <v>-0.21472289999999999</v>
      </c>
      <c r="P6018">
        <v>0.92339789999999999</v>
      </c>
      <c r="Q6018">
        <v>1.099142E-2</v>
      </c>
      <c r="R6018">
        <v>-0.38368740000000001</v>
      </c>
      <c r="S6018">
        <v>2.4757690000000001</v>
      </c>
      <c r="T6018">
        <v>-0.5034516</v>
      </c>
      <c r="U6018">
        <v>-1.890198</v>
      </c>
      <c r="V6018">
        <v>0.1769558</v>
      </c>
      <c r="W6018">
        <v>2.215425E-2</v>
      </c>
      <c r="X6018">
        <v>0.98396939999999999</v>
      </c>
      <c r="Y6018">
        <v>0.41940080000000002</v>
      </c>
      <c r="Z6018" s="1">
        <v>6.7390500000000003E-6</v>
      </c>
      <c r="AA6018">
        <v>0.90780119999999997</v>
      </c>
      <c r="AB6018">
        <v>31</v>
      </c>
      <c r="AC6018">
        <v>5.4533000000000103</v>
      </c>
      <c r="AD6018">
        <v>-1.1493100000000001</v>
      </c>
      <c r="AE6018">
        <v>-4.2694099999999899</v>
      </c>
      <c r="AF6018">
        <v>2.9183526003164402</v>
      </c>
      <c r="AG6018">
        <v>-1.1493100000000001</v>
      </c>
      <c r="AH6018">
        <v>6.0756059518489396</v>
      </c>
      <c r="AI6018">
        <v>99.676816024948707</v>
      </c>
      <c r="AJ6018">
        <v>64.343193930421606</v>
      </c>
      <c r="AK6018">
        <v>6.8374471155553396</v>
      </c>
      <c r="AL6018">
        <v>88.730551084847903</v>
      </c>
      <c r="AM6018">
        <v>79.804977045966893</v>
      </c>
      <c r="AN6018">
        <v>0.99999997304152999</v>
      </c>
    </row>
    <row r="6019" spans="1:40" x14ac:dyDescent="0.25">
      <c r="A6019" t="str">
        <f>"20190312154954530"</f>
        <v>20190312154954530</v>
      </c>
      <c r="B6019" t="str">
        <f>"1552376994521684"</f>
        <v>1552376994521684</v>
      </c>
      <c r="C6019" t="s">
        <v>40</v>
      </c>
      <c r="D6019">
        <v>4.936293</v>
      </c>
      <c r="E6019">
        <v>0.60340319999999903</v>
      </c>
      <c r="F6019" t="s">
        <v>43</v>
      </c>
      <c r="G6019">
        <v>-314.06200000000001</v>
      </c>
      <c r="H6019">
        <v>-0.05</v>
      </c>
      <c r="I6019">
        <v>12.483029999999999</v>
      </c>
      <c r="J6019">
        <v>-319.59710000000001</v>
      </c>
      <c r="K6019">
        <v>1.0983639999999999</v>
      </c>
      <c r="L6019">
        <v>16.886959999999998</v>
      </c>
      <c r="M6019">
        <v>0.97518660000000001</v>
      </c>
      <c r="N6019">
        <v>0</v>
      </c>
      <c r="O6019">
        <v>-0.22079869999999999</v>
      </c>
      <c r="P6019">
        <v>0.92049349999999996</v>
      </c>
      <c r="Q6019">
        <v>1.0974279999999999E-2</v>
      </c>
      <c r="R6019">
        <v>-0.3906036</v>
      </c>
      <c r="S6019">
        <v>2.4611510000000001</v>
      </c>
      <c r="T6019">
        <v>-0.49271890000000002</v>
      </c>
      <c r="U6019">
        <v>-1.909821</v>
      </c>
      <c r="V6019">
        <v>0.17824779999999901</v>
      </c>
      <c r="W6019">
        <v>2.2806400000000001E-2</v>
      </c>
      <c r="X6019">
        <v>0.98372130000000002</v>
      </c>
      <c r="Y6019">
        <v>0.42103699999999999</v>
      </c>
      <c r="Z6019">
        <v>8.6441259999999896E-4</v>
      </c>
      <c r="AA6019">
        <v>0.90704309999999999</v>
      </c>
      <c r="AB6019">
        <v>31</v>
      </c>
      <c r="AC6019">
        <v>5.5350999999999999</v>
      </c>
      <c r="AD6019">
        <v>-1.1483639999999999</v>
      </c>
      <c r="AE6019">
        <v>-4.4039299999999999</v>
      </c>
      <c r="AF6019">
        <v>2.99399308765146</v>
      </c>
      <c r="AG6019">
        <v>-1.1483639999999999</v>
      </c>
      <c r="AH6019">
        <v>6.2073494577834598</v>
      </c>
      <c r="AI6019">
        <v>99.460312297509603</v>
      </c>
      <c r="AJ6019">
        <v>64.250575565374703</v>
      </c>
      <c r="AK6019">
        <v>6.9866960558224704</v>
      </c>
      <c r="AL6019">
        <v>88.693176234654402</v>
      </c>
      <c r="AM6019">
        <v>79.729584008450303</v>
      </c>
      <c r="AN6019">
        <v>1.00000000307974</v>
      </c>
    </row>
    <row r="6020" spans="1:40" x14ac:dyDescent="0.25">
      <c r="A6020" t="str">
        <f>"20190312154954544"</f>
        <v>20190312154954544</v>
      </c>
      <c r="B6020" t="str">
        <f>"1552376994531445"</f>
        <v>1552376994531445</v>
      </c>
      <c r="C6020" t="s">
        <v>40</v>
      </c>
      <c r="D6020">
        <v>4.9441090000000001</v>
      </c>
      <c r="E6020">
        <v>0.60317790000000004</v>
      </c>
      <c r="F6020" t="s">
        <v>43</v>
      </c>
      <c r="G6020">
        <v>-314.04770000000002</v>
      </c>
      <c r="H6020">
        <v>-0.05</v>
      </c>
      <c r="I6020">
        <v>12.532</v>
      </c>
      <c r="J6020">
        <v>-319.41289999999998</v>
      </c>
      <c r="K6020">
        <v>1.0974389999999901</v>
      </c>
      <c r="L6020">
        <v>16.84018</v>
      </c>
      <c r="M6020">
        <v>0.97392299999999998</v>
      </c>
      <c r="N6020">
        <v>0</v>
      </c>
      <c r="O6020">
        <v>-0.2262419</v>
      </c>
      <c r="P6020">
        <v>0.91807209999999995</v>
      </c>
      <c r="Q6020">
        <v>1.0434479999999999E-2</v>
      </c>
      <c r="R6020">
        <v>-0.39627659999999998</v>
      </c>
      <c r="S6020">
        <v>2.4494630000000002</v>
      </c>
      <c r="T6020">
        <v>-0.50687749999999998</v>
      </c>
      <c r="U6020">
        <v>-1.9222410000000001</v>
      </c>
      <c r="V6020">
        <v>0.178846</v>
      </c>
      <c r="W6020">
        <v>2.2986590000000001E-2</v>
      </c>
      <c r="X6020">
        <v>0.9836085</v>
      </c>
      <c r="Y6020">
        <v>0.42084270000000001</v>
      </c>
      <c r="Z6020">
        <v>1.8329100000000001E-3</v>
      </c>
      <c r="AA6020">
        <v>0.90713180000000004</v>
      </c>
      <c r="AB6020">
        <v>31</v>
      </c>
      <c r="AC6020">
        <v>5.36519999999995</v>
      </c>
      <c r="AD6020">
        <v>-1.1474390000000001</v>
      </c>
      <c r="AE6020">
        <v>-4.3081800000000001</v>
      </c>
      <c r="AF6020">
        <v>2.90173984174027</v>
      </c>
      <c r="AG6020">
        <v>-1.1474390000000001</v>
      </c>
      <c r="AH6020">
        <v>6.0331055964543703</v>
      </c>
      <c r="AI6020">
        <v>99.725776007542194</v>
      </c>
      <c r="AJ6020">
        <v>64.313864290625602</v>
      </c>
      <c r="AK6020">
        <v>6.7922804348637502</v>
      </c>
      <c r="AL6020">
        <v>88.682849368051507</v>
      </c>
      <c r="AM6020">
        <v>79.694697313241207</v>
      </c>
      <c r="AN6020">
        <v>0.99999997815403796</v>
      </c>
    </row>
    <row r="6021" spans="1:40" x14ac:dyDescent="0.25">
      <c r="A6021" t="str">
        <f>"20190312154954557"</f>
        <v>20190312154954557</v>
      </c>
      <c r="B6021" t="str">
        <f>"1552376994551940"</f>
        <v>1552376994551940</v>
      </c>
      <c r="C6021" t="s">
        <v>40</v>
      </c>
      <c r="D6021">
        <v>4.9161890000000001</v>
      </c>
      <c r="E6021">
        <v>0.60231730000000006</v>
      </c>
      <c r="F6021" t="s">
        <v>43</v>
      </c>
      <c r="G6021">
        <v>-313.98430000000002</v>
      </c>
      <c r="H6021">
        <v>-0.05</v>
      </c>
      <c r="I6021">
        <v>12.53044</v>
      </c>
      <c r="J6021">
        <v>-319.23</v>
      </c>
      <c r="K6021">
        <v>1.0964389999999999</v>
      </c>
      <c r="L6021">
        <v>16.791929999999901</v>
      </c>
      <c r="M6021">
        <v>0.97260979999999997</v>
      </c>
      <c r="N6021">
        <v>0</v>
      </c>
      <c r="O6021">
        <v>-0.23174980000000001</v>
      </c>
      <c r="P6021">
        <v>0.91569610000000001</v>
      </c>
      <c r="Q6021">
        <v>9.979089E-3</v>
      </c>
      <c r="R6021">
        <v>-0.4017481</v>
      </c>
      <c r="S6021">
        <v>2.4380799999999998</v>
      </c>
      <c r="T6021">
        <v>-0.51533289999999998</v>
      </c>
      <c r="U6021">
        <v>-1.9355770000000001</v>
      </c>
      <c r="V6021">
        <v>0.17917339999999901</v>
      </c>
      <c r="W6021">
        <v>2.3346039999999998E-2</v>
      </c>
      <c r="X6021">
        <v>0.98354050000000004</v>
      </c>
      <c r="Y6021">
        <v>0.42079889999999998</v>
      </c>
      <c r="Z6021">
        <v>2.8211960000000002E-3</v>
      </c>
      <c r="AA6021">
        <v>0.9071496</v>
      </c>
      <c r="AB6021">
        <v>31</v>
      </c>
      <c r="AC6021">
        <v>5.2456999999999896</v>
      </c>
      <c r="AD6021">
        <v>-1.146439</v>
      </c>
      <c r="AE6021">
        <v>-4.2614899999999896</v>
      </c>
      <c r="AF6021">
        <v>2.8476122369139798</v>
      </c>
      <c r="AG6021">
        <v>-1.146439</v>
      </c>
      <c r="AH6021">
        <v>5.92025153877211</v>
      </c>
      <c r="AI6021">
        <v>99.898971287945201</v>
      </c>
      <c r="AJ6021">
        <v>64.312671542065004</v>
      </c>
      <c r="AK6021">
        <v>6.6687777077120201</v>
      </c>
      <c r="AL6021">
        <v>88.662248940247906</v>
      </c>
      <c r="AM6021">
        <v>79.675539070389604</v>
      </c>
      <c r="AN6021">
        <v>1.0000000299957399</v>
      </c>
    </row>
    <row r="6022" spans="1:40" x14ac:dyDescent="0.25">
      <c r="A6022" t="str">
        <f>"20190312154954574"</f>
        <v>20190312154954574</v>
      </c>
      <c r="B6022" t="str">
        <f>"1552376994561700"</f>
        <v>1552376994561700</v>
      </c>
      <c r="C6022" t="s">
        <v>40</v>
      </c>
      <c r="D6022">
        <v>4.9381879999999896</v>
      </c>
      <c r="E6022">
        <v>0.60195710000000002</v>
      </c>
      <c r="F6022" t="s">
        <v>43</v>
      </c>
      <c r="G6022">
        <v>-313.89479999999998</v>
      </c>
      <c r="H6022">
        <v>-0.05</v>
      </c>
      <c r="I6022">
        <v>12.522779999999999</v>
      </c>
      <c r="J6022">
        <v>-319.01060000000001</v>
      </c>
      <c r="K6022">
        <v>1.0952120000000001</v>
      </c>
      <c r="L6022">
        <v>16.73245</v>
      </c>
      <c r="M6022">
        <v>0.97092900000000004</v>
      </c>
      <c r="N6022">
        <v>0</v>
      </c>
      <c r="O6022">
        <v>-0.23859659999999999</v>
      </c>
      <c r="P6022">
        <v>0.9124698</v>
      </c>
      <c r="Q6022">
        <v>9.7662919999999993E-3</v>
      </c>
      <c r="R6022">
        <v>-0.40902830000000001</v>
      </c>
      <c r="S6022">
        <v>2.4291079999999998</v>
      </c>
      <c r="T6022">
        <v>-0.52196779999999998</v>
      </c>
      <c r="U6022">
        <v>-1.9437260000000001</v>
      </c>
      <c r="V6022">
        <v>0.18011389999999999</v>
      </c>
      <c r="W6022">
        <v>2.4195999999999999E-2</v>
      </c>
      <c r="X6022">
        <v>0.98334809999999995</v>
      </c>
      <c r="Y6022">
        <v>0.41795300000000002</v>
      </c>
      <c r="Z6022">
        <v>4.3276469999999996E-3</v>
      </c>
      <c r="AA6022">
        <v>0.9084584</v>
      </c>
      <c r="AB6022">
        <v>31</v>
      </c>
      <c r="AC6022">
        <v>5.1158000000000303</v>
      </c>
      <c r="AD6022">
        <v>-1.1452119999999999</v>
      </c>
      <c r="AE6022">
        <v>-4.2096699999999903</v>
      </c>
      <c r="AF6022">
        <v>2.7840203293183299</v>
      </c>
      <c r="AG6022">
        <v>-1.1452119999999999</v>
      </c>
      <c r="AH6022">
        <v>5.7993093975266499</v>
      </c>
      <c r="AI6022">
        <v>100.094218421284</v>
      </c>
      <c r="AJ6022">
        <v>64.356169240875801</v>
      </c>
      <c r="AK6022">
        <v>6.5340851851841304</v>
      </c>
      <c r="AL6022">
        <v>88.613535977810102</v>
      </c>
      <c r="AM6022">
        <v>79.620533082439394</v>
      </c>
      <c r="AN6022">
        <v>0.99999997458140899</v>
      </c>
    </row>
    <row r="6023" spans="1:40" x14ac:dyDescent="0.25">
      <c r="A6023" t="str">
        <f>"20190312154954588"</f>
        <v>20190312154954588</v>
      </c>
      <c r="B6023" t="str">
        <f>"1552376994581220"</f>
        <v>1552376994581220</v>
      </c>
      <c r="C6023" t="s">
        <v>40</v>
      </c>
      <c r="D6023">
        <v>5.0268949999999997</v>
      </c>
      <c r="E6023">
        <v>0.6014313</v>
      </c>
      <c r="F6023" t="s">
        <v>43</v>
      </c>
      <c r="G6023">
        <v>-313.74950000000001</v>
      </c>
      <c r="H6023">
        <v>-0.05</v>
      </c>
      <c r="I6023">
        <v>12.459429999999999</v>
      </c>
      <c r="J6023">
        <v>-318.81900000000002</v>
      </c>
      <c r="K6023">
        <v>1.0941399999999999</v>
      </c>
      <c r="L6023">
        <v>16.679079999999999</v>
      </c>
      <c r="M6023">
        <v>0.96931840000000002</v>
      </c>
      <c r="N6023">
        <v>0</v>
      </c>
      <c r="O6023">
        <v>-0.24496660000000001</v>
      </c>
      <c r="P6023">
        <v>0.90954990000000002</v>
      </c>
      <c r="Q6023">
        <v>9.3895720000000005E-3</v>
      </c>
      <c r="R6023">
        <v>-0.415489</v>
      </c>
      <c r="S6023">
        <v>2.4144290000000002</v>
      </c>
      <c r="T6023">
        <v>-0.52556619999999998</v>
      </c>
      <c r="U6023">
        <v>-1.9609989999999999</v>
      </c>
      <c r="V6023">
        <v>0.1806547</v>
      </c>
      <c r="W6023">
        <v>2.4812359999999999E-2</v>
      </c>
      <c r="X6023">
        <v>0.98323360000000004</v>
      </c>
      <c r="Y6023">
        <v>0.41864200000000001</v>
      </c>
      <c r="Z6023">
        <v>5.4215419999999997E-3</v>
      </c>
      <c r="AA6023">
        <v>0.90813520000000003</v>
      </c>
      <c r="AB6023">
        <v>31</v>
      </c>
      <c r="AC6023">
        <v>5.0694999999999997</v>
      </c>
      <c r="AD6023">
        <v>-1.1441399999999999</v>
      </c>
      <c r="AE6023">
        <v>-4.2196499999999899</v>
      </c>
      <c r="AF6023">
        <v>2.76569617066873</v>
      </c>
      <c r="AG6023">
        <v>-1.1441399999999999</v>
      </c>
      <c r="AH6023">
        <v>5.7750919147517603</v>
      </c>
      <c r="AI6023">
        <v>100.13086587588</v>
      </c>
      <c r="AJ6023">
        <v>64.410202074268099</v>
      </c>
      <c r="AK6023">
        <v>6.5045997779942502</v>
      </c>
      <c r="AL6023">
        <v>88.578210639737904</v>
      </c>
      <c r="AM6023">
        <v>79.588862859438294</v>
      </c>
      <c r="AN6023">
        <v>1.0000000430049001</v>
      </c>
    </row>
    <row r="6024" spans="1:40" x14ac:dyDescent="0.25">
      <c r="A6024" t="str">
        <f>"20190312154954600"</f>
        <v>20190312154954600</v>
      </c>
      <c r="B6024" t="str">
        <f>"1552376994591956"</f>
        <v>1552376994591956</v>
      </c>
      <c r="C6024" t="s">
        <v>40</v>
      </c>
      <c r="D6024">
        <v>4.9802419999999996</v>
      </c>
      <c r="E6024">
        <v>0.60125989999999996</v>
      </c>
      <c r="F6024" t="s">
        <v>43</v>
      </c>
      <c r="G6024">
        <v>-313.63749999999999</v>
      </c>
      <c r="H6024">
        <v>-0.05</v>
      </c>
      <c r="I6024">
        <v>12.420199999999999</v>
      </c>
      <c r="J6024">
        <v>-318.64749999999998</v>
      </c>
      <c r="K6024">
        <v>1.093215</v>
      </c>
      <c r="L6024">
        <v>16.629819999999999</v>
      </c>
      <c r="M6024">
        <v>0.96763440000000001</v>
      </c>
      <c r="N6024">
        <v>0</v>
      </c>
      <c r="O6024">
        <v>-0.2514632</v>
      </c>
      <c r="P6024">
        <v>0.90673320000000002</v>
      </c>
      <c r="Q6024">
        <v>9.447067E-3</v>
      </c>
      <c r="R6024">
        <v>-0.4215989</v>
      </c>
      <c r="S6024">
        <v>2.4019469999999998</v>
      </c>
      <c r="T6024">
        <v>-0.5303774</v>
      </c>
      <c r="U6024">
        <v>-1.974243</v>
      </c>
      <c r="V6024">
        <v>0.1806981</v>
      </c>
      <c r="W6024">
        <v>2.571758E-2</v>
      </c>
      <c r="X6024">
        <v>0.98320229999999997</v>
      </c>
      <c r="Y6024">
        <v>0.41790129999999998</v>
      </c>
      <c r="Z6024">
        <v>6.7059140000000003E-3</v>
      </c>
      <c r="AA6024">
        <v>0.90846769999999999</v>
      </c>
      <c r="AB6024">
        <v>31</v>
      </c>
      <c r="AC6024">
        <v>5.00999999999999</v>
      </c>
      <c r="AD6024">
        <v>-1.1432149999999901</v>
      </c>
      <c r="AE6024">
        <v>-4.2096200000000001</v>
      </c>
      <c r="AF6024">
        <v>2.73082799795369</v>
      </c>
      <c r="AG6024">
        <v>-1.1432149999999901</v>
      </c>
      <c r="AH6024">
        <v>5.7327719974109801</v>
      </c>
      <c r="AI6024">
        <v>100.20590277747</v>
      </c>
      <c r="AJ6024">
        <v>64.529025153619799</v>
      </c>
      <c r="AK6024">
        <v>6.4520567933746698</v>
      </c>
      <c r="AL6024">
        <v>88.526328700567404</v>
      </c>
      <c r="AM6024">
        <v>79.586092166931394</v>
      </c>
      <c r="AN6024">
        <v>0.99999997999497803</v>
      </c>
    </row>
    <row r="6025" spans="1:40" x14ac:dyDescent="0.25">
      <c r="A6025" t="str">
        <f>"20190312154954613"</f>
        <v>20190312154954613</v>
      </c>
      <c r="B6025" t="str">
        <f>"1552376994601717"</f>
        <v>1552376994601717</v>
      </c>
      <c r="C6025" t="s">
        <v>40</v>
      </c>
      <c r="D6025">
        <v>5.0049710000000003</v>
      </c>
      <c r="E6025">
        <v>0.60097060000000002</v>
      </c>
      <c r="F6025" t="s">
        <v>43</v>
      </c>
      <c r="G6025">
        <v>-313.53719999999998</v>
      </c>
      <c r="H6025">
        <v>-0.05</v>
      </c>
      <c r="I6025">
        <v>12.37556</v>
      </c>
      <c r="J6025">
        <v>-318.48509999999999</v>
      </c>
      <c r="K6025">
        <v>1.092249</v>
      </c>
      <c r="L6025">
        <v>16.582059999999998</v>
      </c>
      <c r="M6025">
        <v>0.96590430000000005</v>
      </c>
      <c r="N6025">
        <v>0</v>
      </c>
      <c r="O6025">
        <v>-0.2579613</v>
      </c>
      <c r="P6025">
        <v>0.90378809999999998</v>
      </c>
      <c r="Q6025">
        <v>9.2533689999999991E-3</v>
      </c>
      <c r="R6025">
        <v>-0.42788029999999999</v>
      </c>
      <c r="S6025">
        <v>2.389313</v>
      </c>
      <c r="T6025">
        <v>-0.53451559999999998</v>
      </c>
      <c r="U6025">
        <v>-1.9891049999999999</v>
      </c>
      <c r="V6025">
        <v>0.18092839999999999</v>
      </c>
      <c r="W6025">
        <v>2.626148E-2</v>
      </c>
      <c r="X6025">
        <v>0.98314559999999995</v>
      </c>
      <c r="Y6025">
        <v>0.41754839999999999</v>
      </c>
      <c r="Z6025">
        <v>7.9656129999999999E-3</v>
      </c>
      <c r="AA6025">
        <v>0.90861979999999998</v>
      </c>
      <c r="AB6025">
        <v>31</v>
      </c>
      <c r="AC6025">
        <v>4.9478999999999997</v>
      </c>
      <c r="AD6025">
        <v>-1.1422490000000001</v>
      </c>
      <c r="AE6025">
        <v>-4.2065000000000001</v>
      </c>
      <c r="AF6025">
        <v>2.70374473296549</v>
      </c>
      <c r="AG6025">
        <v>-1.1422490000000001</v>
      </c>
      <c r="AH6025">
        <v>5.6897217583879396</v>
      </c>
      <c r="AI6025">
        <v>100.27748936895701</v>
      </c>
      <c r="AJ6025">
        <v>64.583023720892299</v>
      </c>
      <c r="AK6025">
        <v>6.4021794763121704</v>
      </c>
      <c r="AL6025">
        <v>88.495155041786603</v>
      </c>
      <c r="AM6025">
        <v>79.572522402572801</v>
      </c>
      <c r="AN6025">
        <v>1.0000000110288501</v>
      </c>
    </row>
    <row r="6026" spans="1:40" x14ac:dyDescent="0.25">
      <c r="A6026" t="str">
        <f>"20190312154954630"</f>
        <v>20190312154954630</v>
      </c>
      <c r="B6026" t="str">
        <f>"1552376994621237"</f>
        <v>1552376994621237</v>
      </c>
      <c r="C6026" t="s">
        <v>40</v>
      </c>
      <c r="D6026">
        <v>5.2595099999999997</v>
      </c>
      <c r="E6026">
        <v>0.60025859999999998</v>
      </c>
      <c r="F6026" t="s">
        <v>43</v>
      </c>
      <c r="G6026">
        <v>-313.43979999999999</v>
      </c>
      <c r="H6026">
        <v>-0.05</v>
      </c>
      <c r="I6026">
        <v>12.32663</v>
      </c>
      <c r="J6026">
        <v>-318.24220000000003</v>
      </c>
      <c r="K6026">
        <v>1.090592</v>
      </c>
      <c r="L6026">
        <v>16.50864</v>
      </c>
      <c r="M6026">
        <v>0.96313340000000003</v>
      </c>
      <c r="N6026">
        <v>0</v>
      </c>
      <c r="O6026">
        <v>-0.26802680000000001</v>
      </c>
      <c r="P6026">
        <v>0.89896359999999997</v>
      </c>
      <c r="Q6026">
        <v>9.9327849999999995E-3</v>
      </c>
      <c r="R6026">
        <v>-0.4379111</v>
      </c>
      <c r="S6026">
        <v>2.3760379999999999</v>
      </c>
      <c r="T6026">
        <v>-0.53793849999999999</v>
      </c>
      <c r="U6026">
        <v>-2.004089</v>
      </c>
      <c r="V6026">
        <v>0.1816691</v>
      </c>
      <c r="W6026">
        <v>2.7908820000000001E-2</v>
      </c>
      <c r="X6026">
        <v>0.98296360000000005</v>
      </c>
      <c r="Y6026">
        <v>0.4140682</v>
      </c>
      <c r="Z6026">
        <v>1.018232E-2</v>
      </c>
      <c r="AA6026">
        <v>0.91018889999999997</v>
      </c>
      <c r="AB6026">
        <v>31</v>
      </c>
      <c r="AC6026">
        <v>4.8024000000000298</v>
      </c>
      <c r="AD6026">
        <v>-1.1405920000000001</v>
      </c>
      <c r="AE6026">
        <v>-4.18201</v>
      </c>
      <c r="AF6026">
        <v>2.65618339248863</v>
      </c>
      <c r="AG6026">
        <v>-1.1405920000000001</v>
      </c>
      <c r="AH6026">
        <v>5.5691202904123402</v>
      </c>
      <c r="AI6026">
        <v>100.473310817745</v>
      </c>
      <c r="AJ6026">
        <v>64.501263285467402</v>
      </c>
      <c r="AK6026">
        <v>6.2746602405292702</v>
      </c>
      <c r="AL6026">
        <v>88.400734747536106</v>
      </c>
      <c r="AM6026">
        <v>79.528879961712306</v>
      </c>
      <c r="AN6026">
        <v>1.00000000152678</v>
      </c>
    </row>
    <row r="6027" spans="1:40" x14ac:dyDescent="0.25">
      <c r="A6027" t="str">
        <f>"20190312154954652"</f>
        <v>20190312154954652</v>
      </c>
      <c r="B6027" t="str">
        <f>"1552376994641733"</f>
        <v>1552376994641733</v>
      </c>
      <c r="C6027" t="s">
        <v>40</v>
      </c>
      <c r="D6027">
        <v>5.0193260000000004</v>
      </c>
      <c r="E6027">
        <v>0.59970469999999998</v>
      </c>
      <c r="F6027" t="s">
        <v>43</v>
      </c>
      <c r="G6027">
        <v>-313.2355</v>
      </c>
      <c r="H6027">
        <v>-0.05</v>
      </c>
      <c r="I6027">
        <v>12.201449999999999</v>
      </c>
      <c r="J6027">
        <v>-317.95609999999999</v>
      </c>
      <c r="K6027">
        <v>1.0881780000000001</v>
      </c>
      <c r="L6027">
        <v>16.418329999999902</v>
      </c>
      <c r="M6027">
        <v>0.95970080000000002</v>
      </c>
      <c r="N6027">
        <v>0</v>
      </c>
      <c r="O6027">
        <v>-0.27996799999999999</v>
      </c>
      <c r="P6027">
        <v>0.89313030000000004</v>
      </c>
      <c r="Q6027">
        <v>9.5212869999999998E-3</v>
      </c>
      <c r="R6027">
        <v>-0.44969740000000002</v>
      </c>
      <c r="S6027">
        <v>2.3558349999999999</v>
      </c>
      <c r="T6027">
        <v>-0.53668680000000002</v>
      </c>
      <c r="U6027">
        <v>-2.026672</v>
      </c>
      <c r="V6027">
        <v>0.1824441</v>
      </c>
      <c r="W6027">
        <v>2.836116E-2</v>
      </c>
      <c r="X6027">
        <v>0.98280710000000004</v>
      </c>
      <c r="Y6027">
        <v>0.41183150000000002</v>
      </c>
      <c r="Z6027">
        <v>1.254744E-2</v>
      </c>
      <c r="AA6027">
        <v>0.91117360000000003</v>
      </c>
      <c r="AB6027">
        <v>31</v>
      </c>
      <c r="AC6027">
        <v>4.7205999999999904</v>
      </c>
      <c r="AD6027">
        <v>-1.1381779999999999</v>
      </c>
      <c r="AE6027">
        <v>-4.21687999999999</v>
      </c>
      <c r="AF6027">
        <v>2.6407508454320499</v>
      </c>
      <c r="AG6027">
        <v>-1.1381779999999999</v>
      </c>
      <c r="AH6027">
        <v>5.5337264091120497</v>
      </c>
      <c r="AI6027">
        <v>100.515949720747</v>
      </c>
      <c r="AJ6027">
        <v>64.489046188321296</v>
      </c>
      <c r="AK6027">
        <v>6.2362763054757497</v>
      </c>
      <c r="AL6027">
        <v>88.374807308821701</v>
      </c>
      <c r="AM6027">
        <v>79.483567356822405</v>
      </c>
      <c r="AN6027">
        <v>1.00000000041588</v>
      </c>
    </row>
    <row r="6028" spans="1:40" x14ac:dyDescent="0.25">
      <c r="A6028" t="str">
        <f>"20190312154954668"</f>
        <v>20190312154954668</v>
      </c>
      <c r="B6028" t="str">
        <f>"1552376994651492"</f>
        <v>1552376994651492</v>
      </c>
      <c r="C6028" t="s">
        <v>40</v>
      </c>
      <c r="D6028">
        <v>5.021865</v>
      </c>
      <c r="E6028">
        <v>0.59941699999999998</v>
      </c>
      <c r="F6028" t="s">
        <v>43</v>
      </c>
      <c r="G6028">
        <v>-313.0616</v>
      </c>
      <c r="H6028">
        <v>-0.05</v>
      </c>
      <c r="I6028">
        <v>12.102869999999999</v>
      </c>
      <c r="J6028">
        <v>-317.75229999999999</v>
      </c>
      <c r="K6028">
        <v>1.086217</v>
      </c>
      <c r="L6028">
        <v>16.351679999999899</v>
      </c>
      <c r="M6028">
        <v>0.95717220000000003</v>
      </c>
      <c r="N6028">
        <v>0</v>
      </c>
      <c r="O6028">
        <v>-0.28843289999999999</v>
      </c>
      <c r="P6028">
        <v>0.88895210000000002</v>
      </c>
      <c r="Q6028">
        <v>9.4958270000000001E-3</v>
      </c>
      <c r="R6028">
        <v>-0.45790189999999997</v>
      </c>
      <c r="S6028">
        <v>2.3302610000000001</v>
      </c>
      <c r="T6028">
        <v>-0.54188789999999998</v>
      </c>
      <c r="U6028">
        <v>-2.0545960000000001</v>
      </c>
      <c r="V6028">
        <v>0.18286839999999999</v>
      </c>
      <c r="W6028">
        <v>2.8777270000000001E-2</v>
      </c>
      <c r="X6028">
        <v>0.98271609999999998</v>
      </c>
      <c r="Y6028">
        <v>0.41491</v>
      </c>
      <c r="Z6028">
        <v>1.393752E-2</v>
      </c>
      <c r="AA6028">
        <v>0.90975569999999895</v>
      </c>
      <c r="AB6028">
        <v>31</v>
      </c>
      <c r="AC6028">
        <v>4.6906999999999899</v>
      </c>
      <c r="AD6028">
        <v>-1.136217</v>
      </c>
      <c r="AE6028">
        <v>-4.24880999999999</v>
      </c>
      <c r="AF6028">
        <v>2.6299778083391798</v>
      </c>
      <c r="AG6028">
        <v>-1.136217</v>
      </c>
      <c r="AH6028">
        <v>5.5385884852387299</v>
      </c>
      <c r="AI6028">
        <v>100.498637005215</v>
      </c>
      <c r="AJ6028">
        <v>64.599471243022904</v>
      </c>
      <c r="AK6028">
        <v>6.23568238064325</v>
      </c>
      <c r="AL6028">
        <v>88.350956156420295</v>
      </c>
      <c r="AM6028">
        <v>79.458703182046406</v>
      </c>
      <c r="AN6028">
        <v>0.99999995809320996</v>
      </c>
    </row>
    <row r="6029" spans="1:40" x14ac:dyDescent="0.25">
      <c r="A6029" t="str">
        <f>"20190312154954682"</f>
        <v>20190312154954682</v>
      </c>
      <c r="B6029" t="str">
        <f>"1552376994671988"</f>
        <v>1552376994671988</v>
      </c>
      <c r="C6029" t="s">
        <v>40</v>
      </c>
      <c r="D6029">
        <v>4.9889650000000003</v>
      </c>
      <c r="E6029">
        <v>0.59883339999999996</v>
      </c>
      <c r="F6029" t="s">
        <v>43</v>
      </c>
      <c r="G6029">
        <v>-312.92140000000001</v>
      </c>
      <c r="H6029">
        <v>-0.05</v>
      </c>
      <c r="I6029">
        <v>12.01834</v>
      </c>
      <c r="J6029">
        <v>-317.56009999999998</v>
      </c>
      <c r="K6029">
        <v>1.0841970000000001</v>
      </c>
      <c r="L6029">
        <v>16.286470000000001</v>
      </c>
      <c r="M6029">
        <v>0.95472000000000001</v>
      </c>
      <c r="N6029">
        <v>0</v>
      </c>
      <c r="O6029">
        <v>-0.29640260000000002</v>
      </c>
      <c r="P6029">
        <v>0.88481279999999995</v>
      </c>
      <c r="Q6029">
        <v>9.5223180000000001E-3</v>
      </c>
      <c r="R6029">
        <v>-0.46584969999999998</v>
      </c>
      <c r="S6029">
        <v>2.3121640000000001</v>
      </c>
      <c r="T6029">
        <v>-0.54382559999999902</v>
      </c>
      <c r="U6029">
        <v>-2.0740660000000002</v>
      </c>
      <c r="V6029">
        <v>0.18353849999999999</v>
      </c>
      <c r="W6029">
        <v>2.9039889999999999E-2</v>
      </c>
      <c r="X6029">
        <v>0.98258350000000005</v>
      </c>
      <c r="Y6029">
        <v>0.41519620000000002</v>
      </c>
      <c r="Z6029">
        <v>1.543896E-2</v>
      </c>
      <c r="AA6029">
        <v>0.90960090000000005</v>
      </c>
      <c r="AB6029">
        <v>31</v>
      </c>
      <c r="AC6029">
        <v>4.6386999999999698</v>
      </c>
      <c r="AD6029">
        <v>-1.1341969999999999</v>
      </c>
      <c r="AE6029">
        <v>-4.2681300000000002</v>
      </c>
      <c r="AF6029">
        <v>2.61613400388479</v>
      </c>
      <c r="AG6029">
        <v>-1.1341969999999999</v>
      </c>
      <c r="AH6029">
        <v>5.51699802176784</v>
      </c>
      <c r="AI6029">
        <v>100.523080351459</v>
      </c>
      <c r="AJ6029">
        <v>64.629916386883494</v>
      </c>
      <c r="AK6029">
        <v>6.21030008399606</v>
      </c>
      <c r="AL6029">
        <v>88.335902942023907</v>
      </c>
      <c r="AM6029">
        <v>79.419550823827194</v>
      </c>
      <c r="AN6029">
        <v>1.0000000153328501</v>
      </c>
    </row>
    <row r="6030" spans="1:40" x14ac:dyDescent="0.25">
      <c r="A6030" t="str">
        <f>"20190312154954697"</f>
        <v>20190312154954697</v>
      </c>
      <c r="B6030" t="str">
        <f>"1552376994681748"</f>
        <v>1552376994681748</v>
      </c>
      <c r="C6030" t="s">
        <v>40</v>
      </c>
      <c r="D6030">
        <v>5.0302020000000001</v>
      </c>
      <c r="E6030">
        <v>0.59849379999999996</v>
      </c>
      <c r="F6030" t="s">
        <v>43</v>
      </c>
      <c r="G6030">
        <v>-312.8116</v>
      </c>
      <c r="H6030">
        <v>-0.05</v>
      </c>
      <c r="I6030">
        <v>11.96208</v>
      </c>
      <c r="J6030">
        <v>-317.37830000000002</v>
      </c>
      <c r="K6030">
        <v>1.0821909999999999</v>
      </c>
      <c r="L6030">
        <v>16.222529999999999</v>
      </c>
      <c r="M6030">
        <v>0.95234819999999998</v>
      </c>
      <c r="N6030">
        <v>0</v>
      </c>
      <c r="O6030">
        <v>-0.30390060000000002</v>
      </c>
      <c r="P6030">
        <v>0.88071440000000001</v>
      </c>
      <c r="Q6030">
        <v>1.0093670000000001E-2</v>
      </c>
      <c r="R6030">
        <v>-0.47354030000000003</v>
      </c>
      <c r="S6030">
        <v>2.295715</v>
      </c>
      <c r="T6030">
        <v>-0.54832969999999903</v>
      </c>
      <c r="U6030">
        <v>-2.0906370000000001</v>
      </c>
      <c r="V6030">
        <v>0.18444440000000001</v>
      </c>
      <c r="W6030">
        <v>2.9728629999999999E-2</v>
      </c>
      <c r="X6030">
        <v>0.98239330000000002</v>
      </c>
      <c r="Y6030">
        <v>0.41494890000000001</v>
      </c>
      <c r="Z6030">
        <v>1.699782E-2</v>
      </c>
      <c r="AA6030">
        <v>0.90968590000000005</v>
      </c>
      <c r="AB6030">
        <v>31</v>
      </c>
      <c r="AC6030">
        <v>4.5667000000000204</v>
      </c>
      <c r="AD6030">
        <v>-1.1321909999999999</v>
      </c>
      <c r="AE6030">
        <v>-4.2604499999999899</v>
      </c>
      <c r="AF6030">
        <v>2.5855450631862702</v>
      </c>
      <c r="AG6030">
        <v>-1.1321909999999999</v>
      </c>
      <c r="AH6030">
        <v>5.4661215537423402</v>
      </c>
      <c r="AI6030">
        <v>100.60519246521299</v>
      </c>
      <c r="AJ6030">
        <v>64.685254870675195</v>
      </c>
      <c r="AK6030">
        <v>6.1518602531701303</v>
      </c>
      <c r="AL6030">
        <v>88.296424078778898</v>
      </c>
      <c r="AM6030">
        <v>79.366504616101693</v>
      </c>
      <c r="AN6030">
        <v>1.00000006200896</v>
      </c>
    </row>
    <row r="6031" spans="1:40" x14ac:dyDescent="0.25">
      <c r="A6031" t="str">
        <f>"20190312154954712"</f>
        <v>20190312154954712</v>
      </c>
      <c r="B6031" t="str">
        <f>"1552376994702245"</f>
        <v>1552376994702245</v>
      </c>
      <c r="C6031" t="s">
        <v>40</v>
      </c>
      <c r="D6031">
        <v>5.0614600000000003</v>
      </c>
      <c r="E6031">
        <v>0.59864659999999903</v>
      </c>
      <c r="F6031" t="s">
        <v>43</v>
      </c>
      <c r="G6031">
        <v>-312.66559999999998</v>
      </c>
      <c r="H6031">
        <v>-0.05</v>
      </c>
      <c r="I6031">
        <v>11.86215</v>
      </c>
      <c r="J6031">
        <v>-317.18650000000002</v>
      </c>
      <c r="K6031">
        <v>1.0800479999999999</v>
      </c>
      <c r="L6031">
        <v>16.153229999999901</v>
      </c>
      <c r="M6031">
        <v>0.94978010000000002</v>
      </c>
      <c r="N6031">
        <v>0</v>
      </c>
      <c r="O6031">
        <v>-0.31180259999999999</v>
      </c>
      <c r="P6031">
        <v>0.87558519999999895</v>
      </c>
      <c r="Q6031">
        <v>1.1603270000000001E-2</v>
      </c>
      <c r="R6031">
        <v>-0.48292459999999998</v>
      </c>
      <c r="S6031">
        <v>2.2789000000000001</v>
      </c>
      <c r="T6031">
        <v>-0.54748790000000003</v>
      </c>
      <c r="U6031">
        <v>-2.1085210000000001</v>
      </c>
      <c r="V6031">
        <v>0.186889</v>
      </c>
      <c r="W6031">
        <v>3.124569E-2</v>
      </c>
      <c r="X6031">
        <v>0.98188399999999998</v>
      </c>
      <c r="Y6031">
        <v>0.41469679999999998</v>
      </c>
      <c r="Z6031">
        <v>1.8477560000000001E-2</v>
      </c>
      <c r="AA6031">
        <v>0.90977200000000003</v>
      </c>
      <c r="AB6031">
        <v>31</v>
      </c>
      <c r="AC6031">
        <v>4.5209000000000401</v>
      </c>
      <c r="AD6031">
        <v>-1.1300479999999999</v>
      </c>
      <c r="AE6031">
        <v>-4.2910799999999902</v>
      </c>
      <c r="AF6031">
        <v>2.5820161473832002</v>
      </c>
      <c r="AG6031">
        <v>-1.1300479999999999</v>
      </c>
      <c r="AH6031">
        <v>5.4545119138713796</v>
      </c>
      <c r="AI6031">
        <v>100.606151132181</v>
      </c>
      <c r="AJ6031">
        <v>64.6684108121203</v>
      </c>
      <c r="AK6031">
        <v>6.1396674247239504</v>
      </c>
      <c r="AL6031">
        <v>88.209462389044205</v>
      </c>
      <c r="AM6031">
        <v>79.223389972393207</v>
      </c>
      <c r="AN6031">
        <v>0.99999999046028798</v>
      </c>
    </row>
    <row r="6032" spans="1:40" x14ac:dyDescent="0.25">
      <c r="A6032" t="str">
        <f>"20190312154954727"</f>
        <v>20190312154954727</v>
      </c>
      <c r="B6032" t="str">
        <f>"1552376994721764"</f>
        <v>1552376994721764</v>
      </c>
      <c r="C6032" t="s">
        <v>40</v>
      </c>
      <c r="D6032">
        <v>4.9902160000000002</v>
      </c>
      <c r="E6032">
        <v>0.63685729999999996</v>
      </c>
      <c r="F6032" t="s">
        <v>43</v>
      </c>
      <c r="G6032">
        <v>-312.52140000000003</v>
      </c>
      <c r="H6032">
        <v>-0.05</v>
      </c>
      <c r="I6032">
        <v>11.74084</v>
      </c>
      <c r="J6032">
        <v>-316.98259999999999</v>
      </c>
      <c r="K6032">
        <v>1.077763</v>
      </c>
      <c r="L6032">
        <v>16.07733</v>
      </c>
      <c r="M6032">
        <v>0.94696670000000005</v>
      </c>
      <c r="N6032">
        <v>0</v>
      </c>
      <c r="O6032">
        <v>-0.32021929999999998</v>
      </c>
      <c r="P6032">
        <v>0.87055609999999894</v>
      </c>
      <c r="Q6032">
        <v>1.238686E-2</v>
      </c>
      <c r="R6032">
        <v>-0.4919134</v>
      </c>
      <c r="S6032">
        <v>2.2564090000000001</v>
      </c>
      <c r="T6032">
        <v>-0.54657639999999996</v>
      </c>
      <c r="U6032">
        <v>-2.1341549999999998</v>
      </c>
      <c r="V6032">
        <v>0.18836739999999999</v>
      </c>
      <c r="W6032">
        <v>3.201731E-2</v>
      </c>
      <c r="X6032">
        <v>0.98157660000000002</v>
      </c>
      <c r="Y6032">
        <v>0.41669679999999998</v>
      </c>
      <c r="Z6032">
        <v>1.9826320000000001E-2</v>
      </c>
      <c r="AA6032">
        <v>0.90882929999999995</v>
      </c>
      <c r="AB6032">
        <v>30</v>
      </c>
      <c r="AC6032">
        <v>4.4611999999999599</v>
      </c>
      <c r="AD6032">
        <v>-1.1277629999999901</v>
      </c>
      <c r="AE6032">
        <v>-4.3364900000000004</v>
      </c>
      <c r="AF6032">
        <v>2.59368217397058</v>
      </c>
      <c r="AG6032">
        <v>-1.1277629999999901</v>
      </c>
      <c r="AH6032">
        <v>5.4366037816563804</v>
      </c>
      <c r="AI6032">
        <v>100.60436967683199</v>
      </c>
      <c r="AJ6032">
        <v>64.495233548483696</v>
      </c>
      <c r="AK6032">
        <v>6.1282703336636697</v>
      </c>
      <c r="AL6032">
        <v>88.1652297081462</v>
      </c>
      <c r="AM6032">
        <v>79.136840159319604</v>
      </c>
      <c r="AN6032">
        <v>1.0000000035949701</v>
      </c>
    </row>
    <row r="6033" spans="1:40" x14ac:dyDescent="0.25">
      <c r="A6033" t="str">
        <f>"20190312154954741"</f>
        <v>20190312154954741</v>
      </c>
      <c r="B6033" t="str">
        <f>"1552376994731524"</f>
        <v>1552376994731524</v>
      </c>
      <c r="C6033" t="s">
        <v>40</v>
      </c>
      <c r="D6033">
        <v>4.9772600000000002</v>
      </c>
      <c r="E6033">
        <v>0.64248190000000005</v>
      </c>
      <c r="F6033" t="s">
        <v>43</v>
      </c>
      <c r="G6033">
        <v>-313.62090000000001</v>
      </c>
      <c r="H6033">
        <v>-0.05</v>
      </c>
      <c r="I6033">
        <v>12.175800000000001</v>
      </c>
      <c r="J6033">
        <v>-316.79000000000002</v>
      </c>
      <c r="K6033">
        <v>1.0756589999999999</v>
      </c>
      <c r="L6033">
        <v>16.00281</v>
      </c>
      <c r="M6033">
        <v>0.94419280000000005</v>
      </c>
      <c r="N6033">
        <v>0</v>
      </c>
      <c r="O6033">
        <v>-0.328293</v>
      </c>
      <c r="P6033">
        <v>0.86480679999999999</v>
      </c>
      <c r="Q6033">
        <v>1.233542E-2</v>
      </c>
      <c r="R6033">
        <v>-0.50195329999999905</v>
      </c>
      <c r="S6033">
        <v>2.08725</v>
      </c>
      <c r="T6033">
        <v>-0.70022680000000004</v>
      </c>
      <c r="U6033">
        <v>-2.4224549999999998</v>
      </c>
      <c r="V6033">
        <v>0.19138050000000001</v>
      </c>
      <c r="W6033">
        <v>3.1817140000000001E-2</v>
      </c>
      <c r="X6033">
        <v>0.98100010000000004</v>
      </c>
      <c r="Y6033">
        <v>0.49727769999999999</v>
      </c>
      <c r="Z6033">
        <v>1.6645440000000001E-2</v>
      </c>
      <c r="AA6033">
        <v>0.86743169999999903</v>
      </c>
      <c r="AB6033">
        <v>30</v>
      </c>
      <c r="AC6033">
        <v>3.16910000000001</v>
      </c>
      <c r="AD6033">
        <v>-1.125659</v>
      </c>
      <c r="AE6033">
        <v>-3.82701</v>
      </c>
      <c r="AF6033">
        <v>2.44831988398666</v>
      </c>
      <c r="AG6033">
        <v>-1.125659</v>
      </c>
      <c r="AH6033">
        <v>4.0426802014697598</v>
      </c>
      <c r="AI6033">
        <v>103.396616342483</v>
      </c>
      <c r="AJ6033">
        <v>58.8001480009058</v>
      </c>
      <c r="AK6033">
        <v>4.8584608313704702</v>
      </c>
      <c r="AL6033">
        <v>88.176704464362501</v>
      </c>
      <c r="AM6033">
        <v>78.960981432714902</v>
      </c>
      <c r="AN6033">
        <v>1.0000000111890099</v>
      </c>
    </row>
    <row r="6034" spans="1:40" x14ac:dyDescent="0.25">
      <c r="A6034" t="str">
        <f>"20190312154954756"</f>
        <v>20190312154954756</v>
      </c>
      <c r="B6034" t="str">
        <f>"1552376994752020"</f>
        <v>1552376994752020</v>
      </c>
      <c r="C6034" t="s">
        <v>40</v>
      </c>
      <c r="D6034">
        <v>5.0464270000000004</v>
      </c>
      <c r="E6034">
        <v>0.64847519999999903</v>
      </c>
      <c r="F6034" t="s">
        <v>43</v>
      </c>
      <c r="G6034">
        <v>-313.59699999999998</v>
      </c>
      <c r="H6034">
        <v>-0.05</v>
      </c>
      <c r="I6034">
        <v>12.10619</v>
      </c>
      <c r="J6034">
        <v>-316.60509999999999</v>
      </c>
      <c r="K6034">
        <v>1.073726</v>
      </c>
      <c r="L6034">
        <v>15.929080000000001</v>
      </c>
      <c r="M6034">
        <v>0.94140290000000004</v>
      </c>
      <c r="N6034">
        <v>0</v>
      </c>
      <c r="O6034">
        <v>-0.33620420000000001</v>
      </c>
      <c r="P6034">
        <v>0.85998419999999898</v>
      </c>
      <c r="Q6034">
        <v>1.1961589999999999E-2</v>
      </c>
      <c r="R6034">
        <v>-0.510181</v>
      </c>
      <c r="S6034">
        <v>2.0366209999999998</v>
      </c>
      <c r="T6034">
        <v>-0.71798499999999998</v>
      </c>
      <c r="U6034">
        <v>-2.4854129999999999</v>
      </c>
      <c r="V6034">
        <v>0.1925183</v>
      </c>
      <c r="W6034">
        <v>3.1317650000000002E-2</v>
      </c>
      <c r="X6034">
        <v>0.98079349999999998</v>
      </c>
      <c r="Y6034">
        <v>0.51105749999999905</v>
      </c>
      <c r="Z6034">
        <v>1.7107899999999999E-2</v>
      </c>
      <c r="AA6034">
        <v>0.85937629999999998</v>
      </c>
      <c r="AB6034">
        <v>30</v>
      </c>
      <c r="AC6034">
        <v>3.00810000000001</v>
      </c>
      <c r="AD6034">
        <v>-1.123726</v>
      </c>
      <c r="AE6034">
        <v>-3.8228899999999899</v>
      </c>
      <c r="AF6034">
        <v>2.4573513188395499</v>
      </c>
      <c r="AG6034">
        <v>-1.123726</v>
      </c>
      <c r="AH6034">
        <v>3.9099531021559</v>
      </c>
      <c r="AI6034">
        <v>103.676210095838</v>
      </c>
      <c r="AJ6034">
        <v>57.851207876241297</v>
      </c>
      <c r="AK6034">
        <v>4.7527959022387103</v>
      </c>
      <c r="AL6034">
        <v>88.205337365743006</v>
      </c>
      <c r="AM6034">
        <v>78.894697419094101</v>
      </c>
      <c r="AN6034">
        <v>0.99999999033933096</v>
      </c>
    </row>
    <row r="6035" spans="1:40" x14ac:dyDescent="0.25">
      <c r="A6035" t="str">
        <f>"20190312154954770"</f>
        <v>20190312154954770</v>
      </c>
      <c r="B6035" t="str">
        <f>"1552376994761977"</f>
        <v>1552376994761977</v>
      </c>
      <c r="C6035" t="s">
        <v>40</v>
      </c>
      <c r="D6035">
        <v>4.964963</v>
      </c>
      <c r="E6035">
        <v>0.6494955</v>
      </c>
      <c r="F6035" t="s">
        <v>43</v>
      </c>
      <c r="G6035">
        <v>-313.38130000000001</v>
      </c>
      <c r="H6035">
        <v>-0.05</v>
      </c>
      <c r="I6035">
        <v>11.79781</v>
      </c>
      <c r="J6035">
        <v>-316.42320000000001</v>
      </c>
      <c r="K6035">
        <v>1.07192</v>
      </c>
      <c r="L6035">
        <v>15.85477</v>
      </c>
      <c r="M6035">
        <v>0.93853679999999995</v>
      </c>
      <c r="N6035">
        <v>0</v>
      </c>
      <c r="O6035">
        <v>-0.34412470000000001</v>
      </c>
      <c r="P6035">
        <v>0.85502199999999995</v>
      </c>
      <c r="Q6035">
        <v>1.150671E-2</v>
      </c>
      <c r="R6035">
        <v>-0.51846419999999904</v>
      </c>
      <c r="S6035">
        <v>1.987274</v>
      </c>
      <c r="T6035">
        <v>-0.69272290000000003</v>
      </c>
      <c r="U6035">
        <v>-2.5467219999999999</v>
      </c>
      <c r="V6035">
        <v>0.19372439999999999</v>
      </c>
      <c r="W6035">
        <v>3.0697120000000001E-2</v>
      </c>
      <c r="X6035">
        <v>0.98057559999999999</v>
      </c>
      <c r="Y6035">
        <v>0.52442900000000003</v>
      </c>
      <c r="Z6035">
        <v>1.6604870000000001E-2</v>
      </c>
      <c r="AA6035">
        <v>0.8512923</v>
      </c>
      <c r="AB6035">
        <v>30</v>
      </c>
      <c r="AC6035">
        <v>3.0418999999999898</v>
      </c>
      <c r="AD6035">
        <v>-1.12192</v>
      </c>
      <c r="AE6035">
        <v>-4.0569600000000001</v>
      </c>
      <c r="AF6035">
        <v>2.6329254937041999</v>
      </c>
      <c r="AG6035">
        <v>-1.12192</v>
      </c>
      <c r="AH6035">
        <v>4.0541165597628996</v>
      </c>
      <c r="AI6035">
        <v>103.066247356899</v>
      </c>
      <c r="AJ6035">
        <v>56.998494870686699</v>
      </c>
      <c r="AK6035">
        <v>4.9625459415446498</v>
      </c>
      <c r="AL6035">
        <v>88.240908205788301</v>
      </c>
      <c r="AM6035">
        <v>78.824449123835393</v>
      </c>
      <c r="AN6035">
        <v>0.99999998182350702</v>
      </c>
    </row>
    <row r="6036" spans="1:40" x14ac:dyDescent="0.25">
      <c r="A6036" t="str">
        <f>"20190312154954787"</f>
        <v>20190312154954787</v>
      </c>
      <c r="B6036" t="str">
        <f>"1552376994781497"</f>
        <v>1552376994781497</v>
      </c>
      <c r="C6036" t="s">
        <v>40</v>
      </c>
      <c r="D6036">
        <v>5.0059909999999999</v>
      </c>
      <c r="E6036">
        <v>0.64984909999999996</v>
      </c>
      <c r="F6036" t="s">
        <v>43</v>
      </c>
      <c r="G6036">
        <v>-313.26429999999999</v>
      </c>
      <c r="H6036">
        <v>-0.05</v>
      </c>
      <c r="I6036">
        <v>11.70247</v>
      </c>
      <c r="J6036">
        <v>-316.21460000000002</v>
      </c>
      <c r="K6036">
        <v>1.0699920000000001</v>
      </c>
      <c r="L6036">
        <v>15.76709</v>
      </c>
      <c r="M6036">
        <v>0.93508029999999998</v>
      </c>
      <c r="N6036">
        <v>0</v>
      </c>
      <c r="O6036">
        <v>-0.35341820000000002</v>
      </c>
      <c r="P6036">
        <v>0.84857959999999999</v>
      </c>
      <c r="Q6036">
        <v>1.1165990000000001E-2</v>
      </c>
      <c r="R6036">
        <v>-0.52895040000000004</v>
      </c>
      <c r="S6036">
        <v>1.9576420000000001</v>
      </c>
      <c r="T6036">
        <v>-0.69528009999999996</v>
      </c>
      <c r="U6036">
        <v>-2.5732729999999999</v>
      </c>
      <c r="V6036">
        <v>0.1960578</v>
      </c>
      <c r="W6036">
        <v>3.008514E-2</v>
      </c>
      <c r="X6036">
        <v>0.98013070000000002</v>
      </c>
      <c r="Y6036">
        <v>0.52655010000000002</v>
      </c>
      <c r="Z6036">
        <v>1.856493E-2</v>
      </c>
      <c r="AA6036">
        <v>0.84994139999999996</v>
      </c>
      <c r="AB6036">
        <v>30</v>
      </c>
      <c r="AC6036">
        <v>2.9503000000000199</v>
      </c>
      <c r="AD6036">
        <v>-1.1199920000000001</v>
      </c>
      <c r="AE6036">
        <v>-4.0646199999999997</v>
      </c>
      <c r="AF6036">
        <v>2.6283505604906998</v>
      </c>
      <c r="AG6036">
        <v>-1.1199920000000001</v>
      </c>
      <c r="AH6036">
        <v>3.9979826494668198</v>
      </c>
      <c r="AI6036">
        <v>103.174817978042</v>
      </c>
      <c r="AJ6036">
        <v>56.678312503070302</v>
      </c>
      <c r="AK6036">
        <v>4.9139061869691396</v>
      </c>
      <c r="AL6036">
        <v>88.275988283954405</v>
      </c>
      <c r="AM6036">
        <v>78.688287962382702</v>
      </c>
      <c r="AN6036">
        <v>0.99999998283607405</v>
      </c>
    </row>
    <row r="6037" spans="1:40" x14ac:dyDescent="0.25">
      <c r="A6037" t="str">
        <f>"20190312154954805"</f>
        <v>20190312154954805</v>
      </c>
      <c r="B6037" t="str">
        <f>"1552376994801993"</f>
        <v>1552376994801993</v>
      </c>
      <c r="C6037" t="s">
        <v>40</v>
      </c>
      <c r="D6037">
        <v>5.0332339999999904</v>
      </c>
      <c r="E6037">
        <v>0.65018489999999995</v>
      </c>
      <c r="F6037" t="s">
        <v>43</v>
      </c>
      <c r="G6037">
        <v>-313.04880000000003</v>
      </c>
      <c r="H6037">
        <v>-0.05</v>
      </c>
      <c r="I6037">
        <v>11.491619999999999</v>
      </c>
      <c r="J6037">
        <v>-315.99270000000001</v>
      </c>
      <c r="K6037">
        <v>1.068119</v>
      </c>
      <c r="L6037">
        <v>15.670780000000001</v>
      </c>
      <c r="M6037">
        <v>0.93118809999999996</v>
      </c>
      <c r="N6037">
        <v>0</v>
      </c>
      <c r="O6037">
        <v>-0.36356660000000002</v>
      </c>
      <c r="P6037">
        <v>0.84229030000000005</v>
      </c>
      <c r="Q6037">
        <v>1.1763930000000001E-2</v>
      </c>
      <c r="R6037">
        <v>-0.53889560000000003</v>
      </c>
      <c r="S6037">
        <v>1.924347</v>
      </c>
      <c r="T6037">
        <v>-0.68078019999999995</v>
      </c>
      <c r="U6037">
        <v>-2.5988159999999998</v>
      </c>
      <c r="V6037">
        <v>0.19694490000000001</v>
      </c>
      <c r="W6037">
        <v>3.0426870000000002E-2</v>
      </c>
      <c r="X6037">
        <v>0.97994230000000004</v>
      </c>
      <c r="Y6037">
        <v>0.52864219999999995</v>
      </c>
      <c r="Z6037">
        <v>2.0267750000000001E-2</v>
      </c>
      <c r="AA6037">
        <v>0.84860279999999999</v>
      </c>
      <c r="AB6037">
        <v>30</v>
      </c>
      <c r="AC6037">
        <v>2.9438999999999802</v>
      </c>
      <c r="AD6037">
        <v>-1.1181190000000001</v>
      </c>
      <c r="AE6037">
        <v>-4.1791600000000004</v>
      </c>
      <c r="AF6037">
        <v>2.6934223576343199</v>
      </c>
      <c r="AG6037">
        <v>-1.1181190000000001</v>
      </c>
      <c r="AH6037">
        <v>4.0676351429031898</v>
      </c>
      <c r="AI6037">
        <v>102.90874335799199</v>
      </c>
      <c r="AJ6037">
        <v>56.489096001728001</v>
      </c>
      <c r="AK6037">
        <v>5.0050344404955398</v>
      </c>
      <c r="AL6037">
        <v>88.256399658154393</v>
      </c>
      <c r="AM6037">
        <v>78.636306829775705</v>
      </c>
      <c r="AN6037">
        <v>0.99999999969164799</v>
      </c>
    </row>
    <row r="6038" spans="1:40" x14ac:dyDescent="0.25">
      <c r="A6038" t="str">
        <f>"20190312154954821"</f>
        <v>20190312154954821</v>
      </c>
      <c r="B6038" t="str">
        <f>"1552376994811753"</f>
        <v>1552376994811753</v>
      </c>
      <c r="C6038" t="s">
        <v>40</v>
      </c>
      <c r="D6038">
        <v>5.0211009999999998</v>
      </c>
      <c r="E6038">
        <v>0.65000210000000003</v>
      </c>
      <c r="F6038" t="s">
        <v>43</v>
      </c>
      <c r="G6038">
        <v>-312.79700000000003</v>
      </c>
      <c r="H6038">
        <v>-0.05</v>
      </c>
      <c r="I6038">
        <v>11.241390000000001</v>
      </c>
      <c r="J6038">
        <v>-315.7851</v>
      </c>
      <c r="K6038">
        <v>1.0665340000000001</v>
      </c>
      <c r="L6038">
        <v>15.57751</v>
      </c>
      <c r="M6038">
        <v>0.92734130000000004</v>
      </c>
      <c r="N6038">
        <v>0</v>
      </c>
      <c r="O6038">
        <v>-0.3732917</v>
      </c>
      <c r="P6038">
        <v>0.83578649999999999</v>
      </c>
      <c r="Q6038">
        <v>1.2596120000000001E-2</v>
      </c>
      <c r="R6038">
        <v>-0.54891040000000002</v>
      </c>
      <c r="S6038">
        <v>1.892639</v>
      </c>
      <c r="T6038">
        <v>-0.66218969999999999</v>
      </c>
      <c r="U6038">
        <v>-2.62323</v>
      </c>
      <c r="V6038">
        <v>0.198402</v>
      </c>
      <c r="W6038">
        <v>3.0961639999999999E-2</v>
      </c>
      <c r="X6038">
        <v>0.97963160000000005</v>
      </c>
      <c r="Y6038">
        <v>0.53058280000000002</v>
      </c>
      <c r="Z6038">
        <v>2.167844E-2</v>
      </c>
      <c r="AA6038">
        <v>0.84735579999999999</v>
      </c>
      <c r="AB6038">
        <v>30</v>
      </c>
      <c r="AC6038">
        <v>2.98809999999997</v>
      </c>
      <c r="AD6038">
        <v>-1.1165339999999999</v>
      </c>
      <c r="AE6038">
        <v>-4.3361200000000002</v>
      </c>
      <c r="AF6038">
        <v>2.7815874345798002</v>
      </c>
      <c r="AG6038">
        <v>-1.1165339999999999</v>
      </c>
      <c r="AH6038">
        <v>4.2022308292669601</v>
      </c>
      <c r="AI6038">
        <v>102.492594678025</v>
      </c>
      <c r="AJ6038">
        <v>56.498184192853003</v>
      </c>
      <c r="AK6038">
        <v>5.1616490360939897</v>
      </c>
      <c r="AL6038">
        <v>88.225745193551504</v>
      </c>
      <c r="AM6038">
        <v>78.550909214773995</v>
      </c>
      <c r="AN6038">
        <v>1.0000000242370199</v>
      </c>
    </row>
    <row r="6039" spans="1:40" x14ac:dyDescent="0.25">
      <c r="A6039" t="str">
        <f>"20190312154954838"</f>
        <v>20190312154954838</v>
      </c>
      <c r="B6039" t="str">
        <f>"1552376994831273"</f>
        <v>1552376994831273</v>
      </c>
      <c r="C6039" t="s">
        <v>40</v>
      </c>
      <c r="D6039">
        <v>5.0443670000000003</v>
      </c>
      <c r="E6039">
        <v>0.649532</v>
      </c>
      <c r="F6039" t="s">
        <v>43</v>
      </c>
      <c r="G6039">
        <v>-312.59800000000001</v>
      </c>
      <c r="H6039">
        <v>-0.05</v>
      </c>
      <c r="I6039">
        <v>11.053890000000001</v>
      </c>
      <c r="J6039">
        <v>-315.5752</v>
      </c>
      <c r="K6039">
        <v>1.0650379999999999</v>
      </c>
      <c r="L6039">
        <v>15.480650000000001</v>
      </c>
      <c r="M6039">
        <v>0.92327459999999995</v>
      </c>
      <c r="N6039">
        <v>0</v>
      </c>
      <c r="O6039">
        <v>-0.38326480000000002</v>
      </c>
      <c r="P6039">
        <v>0.82951509999999995</v>
      </c>
      <c r="Q6039">
        <v>1.263476E-2</v>
      </c>
      <c r="R6039">
        <v>-0.55834159999999999</v>
      </c>
      <c r="S6039">
        <v>1.8627929999999999</v>
      </c>
      <c r="T6039">
        <v>-0.65259529999999999</v>
      </c>
      <c r="U6039">
        <v>-2.6439819999999998</v>
      </c>
      <c r="V6039">
        <v>0.19891529999999999</v>
      </c>
      <c r="W6039">
        <v>3.0715699999999999E-2</v>
      </c>
      <c r="X6039">
        <v>0.97953520000000005</v>
      </c>
      <c r="Y6039">
        <v>0.53122230000000004</v>
      </c>
      <c r="Z6039">
        <v>2.352081E-2</v>
      </c>
      <c r="AA6039">
        <v>0.84690589999999999</v>
      </c>
      <c r="AB6039">
        <v>30</v>
      </c>
      <c r="AC6039">
        <v>2.9771999999999799</v>
      </c>
      <c r="AD6039">
        <v>-1.115038</v>
      </c>
      <c r="AE6039">
        <v>-4.4267599999999998</v>
      </c>
      <c r="AF6039">
        <v>2.8236928484231498</v>
      </c>
      <c r="AG6039">
        <v>-1.115038</v>
      </c>
      <c r="AH6039">
        <v>4.2607524140731901</v>
      </c>
      <c r="AI6039">
        <v>102.305934396099</v>
      </c>
      <c r="AJ6039">
        <v>56.466701977635203</v>
      </c>
      <c r="AK6039">
        <v>5.2316882722225104</v>
      </c>
      <c r="AL6039">
        <v>88.239843143722197</v>
      </c>
      <c r="AM6039">
        <v>78.520974017080505</v>
      </c>
      <c r="AN6039">
        <v>0.999999979419809</v>
      </c>
    </row>
    <row r="6040" spans="1:40" x14ac:dyDescent="0.25">
      <c r="A6040" t="str">
        <f>"20190312154954853"</f>
        <v>20190312154954853</v>
      </c>
      <c r="B6040" t="str">
        <f>"1552376994842009"</f>
        <v>1552376994842009</v>
      </c>
      <c r="C6040" t="s">
        <v>40</v>
      </c>
      <c r="D6040">
        <v>5.0252730000000003</v>
      </c>
      <c r="E6040">
        <v>0.64921649999999997</v>
      </c>
      <c r="F6040" t="s">
        <v>43</v>
      </c>
      <c r="G6040">
        <v>-312.37479999999999</v>
      </c>
      <c r="H6040">
        <v>-0.05</v>
      </c>
      <c r="I6040">
        <v>10.83661</v>
      </c>
      <c r="J6040">
        <v>-315.39179999999999</v>
      </c>
      <c r="K6040">
        <v>1.0638069999999999</v>
      </c>
      <c r="L6040">
        <v>15.393800000000001</v>
      </c>
      <c r="M6040">
        <v>0.91957849999999997</v>
      </c>
      <c r="N6040">
        <v>0</v>
      </c>
      <c r="O6040">
        <v>-0.39207429999999999</v>
      </c>
      <c r="P6040">
        <v>0.82391170000000002</v>
      </c>
      <c r="Q6040">
        <v>1.1903550000000001E-2</v>
      </c>
      <c r="R6040">
        <v>-0.56659320000000002</v>
      </c>
      <c r="S6040">
        <v>1.834503</v>
      </c>
      <c r="T6040">
        <v>-0.6391597</v>
      </c>
      <c r="U6040">
        <v>-2.662048</v>
      </c>
      <c r="V6040">
        <v>0.19927039999999999</v>
      </c>
      <c r="W6040">
        <v>2.9717670000000002E-2</v>
      </c>
      <c r="X6040">
        <v>0.97949390000000003</v>
      </c>
      <c r="Y6040">
        <v>0.53215319999999899</v>
      </c>
      <c r="Z6040">
        <v>2.4878770000000001E-2</v>
      </c>
      <c r="AA6040">
        <v>0.84628250000000005</v>
      </c>
      <c r="AB6040">
        <v>30</v>
      </c>
      <c r="AC6040">
        <v>3.0169999999999901</v>
      </c>
      <c r="AD6040">
        <v>-1.113807</v>
      </c>
      <c r="AE6040">
        <v>-4.5571900000000003</v>
      </c>
      <c r="AF6040">
        <v>2.88881098348108</v>
      </c>
      <c r="AG6040">
        <v>-1.113807</v>
      </c>
      <c r="AH6040">
        <v>4.38067819206724</v>
      </c>
      <c r="AI6040">
        <v>101.983600984229</v>
      </c>
      <c r="AJ6040">
        <v>56.597393638073399</v>
      </c>
      <c r="AK6040">
        <v>5.3643393212942296</v>
      </c>
      <c r="AL6040">
        <v>88.297052325166803</v>
      </c>
      <c r="AM6040">
        <v>78.500555312848505</v>
      </c>
      <c r="AN6040">
        <v>1.00000006618179</v>
      </c>
    </row>
    <row r="6041" spans="1:40" x14ac:dyDescent="0.25">
      <c r="A6041" t="str">
        <f>"20190312154954872"</f>
        <v>20190312154954872</v>
      </c>
      <c r="B6041" t="str">
        <f>"1552376994861529"</f>
        <v>1552376994861529</v>
      </c>
      <c r="C6041" t="s">
        <v>40</v>
      </c>
      <c r="D6041">
        <v>5.0173819999999996</v>
      </c>
      <c r="E6041">
        <v>0.6483641</v>
      </c>
      <c r="F6041" t="s">
        <v>43</v>
      </c>
      <c r="G6041">
        <v>-312.21850000000001</v>
      </c>
      <c r="H6041">
        <v>-0.05</v>
      </c>
      <c r="I6041">
        <v>10.69388</v>
      </c>
      <c r="J6041">
        <v>-315.1651</v>
      </c>
      <c r="K6041">
        <v>1.0623830000000001</v>
      </c>
      <c r="L6041">
        <v>15.2836</v>
      </c>
      <c r="M6041">
        <v>0.9148269</v>
      </c>
      <c r="N6041">
        <v>0</v>
      </c>
      <c r="O6041">
        <v>-0.40306799999999998</v>
      </c>
      <c r="P6041">
        <v>0.81693289999999996</v>
      </c>
      <c r="Q6041">
        <v>1.1413E-2</v>
      </c>
      <c r="R6041">
        <v>-0.57662029999999997</v>
      </c>
      <c r="S6041">
        <v>1.808441</v>
      </c>
      <c r="T6041">
        <v>-0.63474969999999997</v>
      </c>
      <c r="U6041">
        <v>-2.678436</v>
      </c>
      <c r="V6041">
        <v>0.19944609999999999</v>
      </c>
      <c r="W6041">
        <v>2.8888319999999999E-2</v>
      </c>
      <c r="X6041">
        <v>0.97948290000000005</v>
      </c>
      <c r="Y6041">
        <v>0.53030569999999999</v>
      </c>
      <c r="Z6041">
        <v>2.7329679999999999E-2</v>
      </c>
      <c r="AA6041">
        <v>0.84736590000000001</v>
      </c>
      <c r="AB6041">
        <v>30</v>
      </c>
      <c r="AC6041">
        <v>2.9465999999999801</v>
      </c>
      <c r="AD6041">
        <v>-1.1123829999999999</v>
      </c>
      <c r="AE6041">
        <v>-4.5897199999999998</v>
      </c>
      <c r="AF6041">
        <v>2.8917786633448799</v>
      </c>
      <c r="AG6041">
        <v>-1.1123829999999999</v>
      </c>
      <c r="AH6041">
        <v>4.3654413001211596</v>
      </c>
      <c r="AI6041">
        <v>101.99330405152099</v>
      </c>
      <c r="AJ6041">
        <v>56.478502239376397</v>
      </c>
      <c r="AK6041">
        <v>5.3532100202840196</v>
      </c>
      <c r="AL6041">
        <v>88.344590910339093</v>
      </c>
      <c r="AM6041">
        <v>78.490560702745796</v>
      </c>
      <c r="AN6041">
        <v>1.00000001661502</v>
      </c>
    </row>
    <row r="6042" spans="1:40" x14ac:dyDescent="0.25">
      <c r="A6042" t="str">
        <f>"20190312154954886"</f>
        <v>20190312154954886</v>
      </c>
      <c r="B6042" t="str">
        <f>"1552376994882024"</f>
        <v>1552376994882024</v>
      </c>
      <c r="C6042" t="s">
        <v>40</v>
      </c>
      <c r="D6042">
        <v>5.0953169999999997</v>
      </c>
      <c r="E6042">
        <v>0.64776529999999999</v>
      </c>
      <c r="F6042" t="s">
        <v>43</v>
      </c>
      <c r="G6042">
        <v>-312.00420000000003</v>
      </c>
      <c r="H6042">
        <v>-0.05</v>
      </c>
      <c r="I6042">
        <v>10.497680000000001</v>
      </c>
      <c r="J6042">
        <v>-314.98129999999998</v>
      </c>
      <c r="K6042">
        <v>1.0612900000000001</v>
      </c>
      <c r="L6042">
        <v>15.191990000000001</v>
      </c>
      <c r="M6042">
        <v>0.91081939999999995</v>
      </c>
      <c r="N6042">
        <v>0</v>
      </c>
      <c r="O6042">
        <v>-0.41206890000000002</v>
      </c>
      <c r="P6042">
        <v>0.81109540000000002</v>
      </c>
      <c r="Q6042">
        <v>1.077066E-2</v>
      </c>
      <c r="R6042">
        <v>-0.58481499999999997</v>
      </c>
      <c r="S6042">
        <v>1.779388</v>
      </c>
      <c r="T6042">
        <v>-0.62619709999999995</v>
      </c>
      <c r="U6042">
        <v>-2.694153</v>
      </c>
      <c r="V6042">
        <v>0.19959350000000001</v>
      </c>
      <c r="W6042">
        <v>2.7966020000000001E-2</v>
      </c>
      <c r="X6042">
        <v>0.97947960000000001</v>
      </c>
      <c r="Y6042">
        <v>0.53076800000000002</v>
      </c>
      <c r="Z6042">
        <v>2.888872E-2</v>
      </c>
      <c r="AA6042">
        <v>0.84702459999999902</v>
      </c>
      <c r="AB6042">
        <v>30</v>
      </c>
      <c r="AC6042">
        <v>2.9770999999999499</v>
      </c>
      <c r="AD6042">
        <v>-1.1112899999999999</v>
      </c>
      <c r="AE6042">
        <v>-4.69430999999999</v>
      </c>
      <c r="AF6042">
        <v>2.9326166949718</v>
      </c>
      <c r="AG6042">
        <v>-1.1112899999999999</v>
      </c>
      <c r="AH6042">
        <v>4.4687870833307004</v>
      </c>
      <c r="AI6042">
        <v>101.74489971750501</v>
      </c>
      <c r="AJ6042">
        <v>56.725334523488101</v>
      </c>
      <c r="AK6042">
        <v>5.4594197621973199</v>
      </c>
      <c r="AL6042">
        <v>88.397456106976193</v>
      </c>
      <c r="AM6042">
        <v>78.482244146922596</v>
      </c>
      <c r="AN6042">
        <v>0.99999997516652395</v>
      </c>
    </row>
    <row r="6043" spans="1:40" x14ac:dyDescent="0.25">
      <c r="A6043" t="str">
        <f>"20190312154954900"</f>
        <v>20190312154954900</v>
      </c>
      <c r="B6043" t="str">
        <f>"1552376994891784"</f>
        <v>1552376994891784</v>
      </c>
      <c r="C6043" t="s">
        <v>40</v>
      </c>
      <c r="D6043">
        <v>5.0753209999999997</v>
      </c>
      <c r="E6043">
        <v>0.64744650000000004</v>
      </c>
      <c r="F6043" t="s">
        <v>43</v>
      </c>
      <c r="G6043">
        <v>-311.8109</v>
      </c>
      <c r="H6043">
        <v>-0.05</v>
      </c>
      <c r="I6043">
        <v>10.30133</v>
      </c>
      <c r="J6043">
        <v>-314.81569999999999</v>
      </c>
      <c r="K6043">
        <v>1.0603769999999999</v>
      </c>
      <c r="L6043">
        <v>15.107089999999999</v>
      </c>
      <c r="M6043">
        <v>0.9070646</v>
      </c>
      <c r="N6043">
        <v>0</v>
      </c>
      <c r="O6043">
        <v>-0.42029139999999998</v>
      </c>
      <c r="P6043">
        <v>0.80565640000000005</v>
      </c>
      <c r="Q6043">
        <v>1.0396819999999999E-2</v>
      </c>
      <c r="R6043">
        <v>-0.59229209999999999</v>
      </c>
      <c r="S6043">
        <v>1.7549439999999901</v>
      </c>
      <c r="T6043">
        <v>-0.61513819999999997</v>
      </c>
      <c r="U6043">
        <v>-2.7071529999999999</v>
      </c>
      <c r="V6043">
        <v>0.19975129999999999</v>
      </c>
      <c r="W6043">
        <v>2.7339700000000002E-2</v>
      </c>
      <c r="X6043">
        <v>0.97946509999999998</v>
      </c>
      <c r="Y6043">
        <v>0.53054129999999999</v>
      </c>
      <c r="Z6043">
        <v>3.018844E-2</v>
      </c>
      <c r="AA6043">
        <v>0.84712140000000002</v>
      </c>
      <c r="AB6043">
        <v>30</v>
      </c>
      <c r="AC6043">
        <v>3.0047999999999799</v>
      </c>
      <c r="AD6043">
        <v>-1.1103769999999999</v>
      </c>
      <c r="AE6043">
        <v>-4.8057599999999896</v>
      </c>
      <c r="AF6043">
        <v>2.98267899804519</v>
      </c>
      <c r="AG6043">
        <v>-1.1103769999999999</v>
      </c>
      <c r="AH6043">
        <v>4.5713164685871899</v>
      </c>
      <c r="AI6043">
        <v>101.498672431496</v>
      </c>
      <c r="AJ6043">
        <v>56.876474915868698</v>
      </c>
      <c r="AK6043">
        <v>5.5701207656104996</v>
      </c>
      <c r="AL6043">
        <v>88.433355308140605</v>
      </c>
      <c r="AM6043">
        <v>78.473215678038898</v>
      </c>
      <c r="AN6043">
        <v>0.99999996158289395</v>
      </c>
    </row>
    <row r="6044" spans="1:40" x14ac:dyDescent="0.25">
      <c r="A6044" t="str">
        <f>"20190312154954920"</f>
        <v>20190312154954920</v>
      </c>
      <c r="B6044" t="str">
        <f>"1552376994911304"</f>
        <v>1552376994911304</v>
      </c>
      <c r="C6044" t="s">
        <v>40</v>
      </c>
      <c r="D6044">
        <v>5.0738810000000001</v>
      </c>
      <c r="E6044">
        <v>0.64667559999999902</v>
      </c>
      <c r="F6044" t="s">
        <v>43</v>
      </c>
      <c r="G6044">
        <v>-311.673</v>
      </c>
      <c r="H6044">
        <v>-0.05</v>
      </c>
      <c r="I6044">
        <v>10.1694</v>
      </c>
      <c r="J6044">
        <v>-314.5856</v>
      </c>
      <c r="K6044">
        <v>1.0591649999999999</v>
      </c>
      <c r="L6044">
        <v>14.98624</v>
      </c>
      <c r="M6044">
        <v>0.90165600000000001</v>
      </c>
      <c r="N6044">
        <v>0</v>
      </c>
      <c r="O6044">
        <v>-0.43180200000000002</v>
      </c>
      <c r="P6044">
        <v>0.79798210000000003</v>
      </c>
      <c r="Q6044">
        <v>1.034763E-2</v>
      </c>
      <c r="R6044">
        <v>-0.60259280000000004</v>
      </c>
      <c r="S6044">
        <v>1.7315370000000001</v>
      </c>
      <c r="T6044">
        <v>-0.61178669999999902</v>
      </c>
      <c r="U6044">
        <v>-2.72052</v>
      </c>
      <c r="V6044">
        <v>0.1998308</v>
      </c>
      <c r="W6044">
        <v>2.6938340000000002E-2</v>
      </c>
      <c r="X6044">
        <v>0.97946009999999994</v>
      </c>
      <c r="Y6044">
        <v>0.52706249999999999</v>
      </c>
      <c r="Z6044">
        <v>3.2865289999999998E-2</v>
      </c>
      <c r="AA6044">
        <v>0.84919080000000002</v>
      </c>
      <c r="AB6044">
        <v>30</v>
      </c>
      <c r="AC6044">
        <v>2.9125999999999901</v>
      </c>
      <c r="AD6044">
        <v>-1.109165</v>
      </c>
      <c r="AE6044">
        <v>-4.8168399999999902</v>
      </c>
      <c r="AF6044">
        <v>2.9709809979449902</v>
      </c>
      <c r="AG6044">
        <v>-1.109165</v>
      </c>
      <c r="AH6044">
        <v>4.5314667335942502</v>
      </c>
      <c r="AI6044">
        <v>101.568461079579</v>
      </c>
      <c r="AJ6044">
        <v>56.749812332831702</v>
      </c>
      <c r="AK6044">
        <v>5.5309281178701397</v>
      </c>
      <c r="AL6044">
        <v>88.456360161048494</v>
      </c>
      <c r="AM6044">
        <v>78.468693645093893</v>
      </c>
      <c r="AN6044">
        <v>1.0000000551413</v>
      </c>
    </row>
    <row r="6045" spans="1:40" x14ac:dyDescent="0.25">
      <c r="A6045" t="str">
        <f>"20190312154954933"</f>
        <v>20190312154954933</v>
      </c>
      <c r="B6045" t="str">
        <f>"1552376994922041"</f>
        <v>1552376994922041</v>
      </c>
      <c r="C6045" t="s">
        <v>40</v>
      </c>
      <c r="D6045">
        <v>5.0812030000000004</v>
      </c>
      <c r="E6045">
        <v>0.64621689999999998</v>
      </c>
      <c r="F6045" t="s">
        <v>43</v>
      </c>
      <c r="G6045">
        <v>-311.47340000000003</v>
      </c>
      <c r="H6045">
        <v>-0.05</v>
      </c>
      <c r="I6045">
        <v>9.9757230000000003</v>
      </c>
      <c r="J6045">
        <v>-314.4205</v>
      </c>
      <c r="K6045">
        <v>1.058333</v>
      </c>
      <c r="L6045">
        <v>14.89728</v>
      </c>
      <c r="M6045">
        <v>0.89764630000000001</v>
      </c>
      <c r="N6045">
        <v>0</v>
      </c>
      <c r="O6045">
        <v>-0.44009690000000001</v>
      </c>
      <c r="P6045">
        <v>0.79255790000000004</v>
      </c>
      <c r="Q6045">
        <v>1.03862E-2</v>
      </c>
      <c r="R6045">
        <v>-0.60970849999999999</v>
      </c>
      <c r="S6045">
        <v>1.70022599999999</v>
      </c>
      <c r="T6045">
        <v>-0.60596289999999997</v>
      </c>
      <c r="U6045">
        <v>-2.7373660000000002</v>
      </c>
      <c r="V6045">
        <v>0.19954240000000001</v>
      </c>
      <c r="W6045">
        <v>2.6724319999999999E-2</v>
      </c>
      <c r="X6045">
        <v>0.97952470000000003</v>
      </c>
      <c r="Y6045">
        <v>0.52869580000000005</v>
      </c>
      <c r="Z6045">
        <v>3.4163159999999998E-2</v>
      </c>
      <c r="AA6045">
        <v>0.84812359999999898</v>
      </c>
      <c r="AB6045">
        <v>30</v>
      </c>
      <c r="AC6045">
        <v>2.9470999999999701</v>
      </c>
      <c r="AD6045">
        <v>-1.108333</v>
      </c>
      <c r="AE6045">
        <v>-4.9215569999999902</v>
      </c>
      <c r="AF6045">
        <v>3.00932378171284</v>
      </c>
      <c r="AG6045">
        <v>-1.108333</v>
      </c>
      <c r="AH6045">
        <v>4.6395380355659501</v>
      </c>
      <c r="AI6045">
        <v>101.333092949487</v>
      </c>
      <c r="AJ6045">
        <v>57.031520051481898</v>
      </c>
      <c r="AK6045">
        <v>5.6400128409015702</v>
      </c>
      <c r="AL6045">
        <v>88.468626932426005</v>
      </c>
      <c r="AM6045">
        <v>78.485630172181104</v>
      </c>
      <c r="AN6045">
        <v>0.99999999829365604</v>
      </c>
    </row>
    <row r="6046" spans="1:40" x14ac:dyDescent="0.25">
      <c r="A6046" t="str">
        <f>"20190312154954947"</f>
        <v>20190312154954947</v>
      </c>
      <c r="B6046" t="str">
        <f>"1552376994941561"</f>
        <v>1552376994941561</v>
      </c>
      <c r="C6046" t="s">
        <v>40</v>
      </c>
      <c r="D6046">
        <v>5.0915670000000004</v>
      </c>
      <c r="E6046">
        <v>0.64541210000000004</v>
      </c>
      <c r="F6046" t="s">
        <v>43</v>
      </c>
      <c r="G6046">
        <v>-311.37349999999998</v>
      </c>
      <c r="H6046">
        <v>-0.05</v>
      </c>
      <c r="I6046">
        <v>9.9048309999999997</v>
      </c>
      <c r="J6046">
        <v>-314.25850000000003</v>
      </c>
      <c r="K6046">
        <v>1.057536</v>
      </c>
      <c r="L6046">
        <v>14.80847</v>
      </c>
      <c r="M6046">
        <v>0.89361800000000002</v>
      </c>
      <c r="N6046">
        <v>0</v>
      </c>
      <c r="O6046">
        <v>-0.4482391</v>
      </c>
      <c r="P6046">
        <v>0.78687510000000005</v>
      </c>
      <c r="Q6046">
        <v>1.0586190000000001E-2</v>
      </c>
      <c r="R6046">
        <v>-0.61702190000000001</v>
      </c>
      <c r="S6046">
        <v>1.6781009999999901</v>
      </c>
      <c r="T6046">
        <v>-0.61039089999999996</v>
      </c>
      <c r="U6046">
        <v>-2.7494809999999998</v>
      </c>
      <c r="V6046">
        <v>0.19969509999999999</v>
      </c>
      <c r="W6046">
        <v>2.6651870000000001E-2</v>
      </c>
      <c r="X6046">
        <v>0.97949560000000002</v>
      </c>
      <c r="Y6046">
        <v>0.52771449999999998</v>
      </c>
      <c r="Z6046">
        <v>3.6266479999999997E-2</v>
      </c>
      <c r="AA6046">
        <v>0.84864729999999999</v>
      </c>
      <c r="AB6046">
        <v>30</v>
      </c>
      <c r="AC6046">
        <v>2.8850000000000402</v>
      </c>
      <c r="AD6046">
        <v>-1.1075360000000001</v>
      </c>
      <c r="AE6046">
        <v>-4.9036390000000001</v>
      </c>
      <c r="AF6046">
        <v>2.9768188675223701</v>
      </c>
      <c r="AG6046">
        <v>-1.1075360000000001</v>
      </c>
      <c r="AH6046">
        <v>4.6029233076966403</v>
      </c>
      <c r="AI6046">
        <v>101.422536111478</v>
      </c>
      <c r="AJ6046">
        <v>57.108299986550897</v>
      </c>
      <c r="AK6046">
        <v>5.5924046293048404</v>
      </c>
      <c r="AL6046">
        <v>88.472779558717093</v>
      </c>
      <c r="AM6046">
        <v>78.476721202779501</v>
      </c>
      <c r="AN6046">
        <v>1.00000004277893</v>
      </c>
    </row>
    <row r="6047" spans="1:40" x14ac:dyDescent="0.25">
      <c r="A6047" t="str">
        <f>"20190312154954960"</f>
        <v>20190312154954960</v>
      </c>
      <c r="B6047" t="str">
        <f>"1552376994951320"</f>
        <v>1552376994951320</v>
      </c>
      <c r="C6047" t="s">
        <v>40</v>
      </c>
      <c r="D6047">
        <v>5.0865910000000003</v>
      </c>
      <c r="E6047">
        <v>0.64499030000000002</v>
      </c>
      <c r="F6047" t="s">
        <v>43</v>
      </c>
      <c r="G6047">
        <v>-311.29930000000002</v>
      </c>
      <c r="H6047">
        <v>-0.05</v>
      </c>
      <c r="I6047">
        <v>9.880096</v>
      </c>
      <c r="J6047">
        <v>-314.101</v>
      </c>
      <c r="K6047">
        <v>1.056794</v>
      </c>
      <c r="L6047">
        <v>14.71982</v>
      </c>
      <c r="M6047">
        <v>0.88961650000000003</v>
      </c>
      <c r="N6047">
        <v>0</v>
      </c>
      <c r="O6047">
        <v>-0.4561481</v>
      </c>
      <c r="P6047">
        <v>0.78140080000000001</v>
      </c>
      <c r="Q6047">
        <v>1.0691010000000001E-2</v>
      </c>
      <c r="R6047">
        <v>-0.6239384</v>
      </c>
      <c r="S6047">
        <v>1.656982</v>
      </c>
      <c r="T6047">
        <v>-0.62015600000000004</v>
      </c>
      <c r="U6047">
        <v>-2.7596129999999999</v>
      </c>
      <c r="V6047">
        <v>0.19963220000000001</v>
      </c>
      <c r="W6047">
        <v>2.6482180000000001E-2</v>
      </c>
      <c r="X6047">
        <v>0.97951299999999997</v>
      </c>
      <c r="Y6047">
        <v>0.5264025</v>
      </c>
      <c r="Z6047">
        <v>3.8723849999999997E-2</v>
      </c>
      <c r="AA6047">
        <v>0.84935319999999903</v>
      </c>
      <c r="AB6047">
        <v>30</v>
      </c>
      <c r="AC6047">
        <v>2.8016999999999799</v>
      </c>
      <c r="AD6047">
        <v>-1.1067940000000001</v>
      </c>
      <c r="AE6047">
        <v>-4.8397239999999897</v>
      </c>
      <c r="AF6047">
        <v>2.9141313348586499</v>
      </c>
      <c r="AG6047">
        <v>-1.1067940000000001</v>
      </c>
      <c r="AH6047">
        <v>4.5240570123430803</v>
      </c>
      <c r="AI6047">
        <v>101.622017785088</v>
      </c>
      <c r="AJ6047">
        <v>57.212748225738103</v>
      </c>
      <c r="AK6047">
        <v>5.4940191341286502</v>
      </c>
      <c r="AL6047">
        <v>88.482505476203499</v>
      </c>
      <c r="AM6047">
        <v>78.480452930431696</v>
      </c>
      <c r="AN6047">
        <v>1.00000001915169</v>
      </c>
    </row>
    <row r="6048" spans="1:40" x14ac:dyDescent="0.25">
      <c r="A6048" t="str">
        <f>"20190312154954975"</f>
        <v>20190312154954975</v>
      </c>
      <c r="B6048" t="str">
        <f>"1552376994971816"</f>
        <v>1552376994971816</v>
      </c>
      <c r="C6048" t="s">
        <v>40</v>
      </c>
      <c r="D6048">
        <v>5.1036140000000003</v>
      </c>
      <c r="E6048">
        <v>0.64427570000000001</v>
      </c>
      <c r="F6048" t="s">
        <v>43</v>
      </c>
      <c r="G6048">
        <v>-311.20030000000003</v>
      </c>
      <c r="H6048">
        <v>-0.05</v>
      </c>
      <c r="I6048">
        <v>9.8020479999999992</v>
      </c>
      <c r="J6048">
        <v>-313.92349999999999</v>
      </c>
      <c r="K6048">
        <v>1.055992</v>
      </c>
      <c r="L6048">
        <v>14.61786</v>
      </c>
      <c r="M6048">
        <v>0.88501879999999999</v>
      </c>
      <c r="N6048">
        <v>0</v>
      </c>
      <c r="O6048">
        <v>-0.46502529999999997</v>
      </c>
      <c r="P6048">
        <v>0.77495080000000005</v>
      </c>
      <c r="Q6048">
        <v>1.0346950000000001E-2</v>
      </c>
      <c r="R6048">
        <v>-0.63193730000000004</v>
      </c>
      <c r="S6048">
        <v>1.6347659999999999</v>
      </c>
      <c r="T6048">
        <v>-0.62376450000000006</v>
      </c>
      <c r="U6048">
        <v>-2.7715450000000001</v>
      </c>
      <c r="V6048">
        <v>0.19986870000000001</v>
      </c>
      <c r="W6048">
        <v>2.5810059999999999E-2</v>
      </c>
      <c r="X6048">
        <v>0.97948270000000004</v>
      </c>
      <c r="Y6048">
        <v>0.52468019999999904</v>
      </c>
      <c r="Z6048">
        <v>4.1092110000000001E-2</v>
      </c>
      <c r="AA6048">
        <v>0.85030709999999998</v>
      </c>
      <c r="AB6048">
        <v>30</v>
      </c>
      <c r="AC6048">
        <v>2.7231999999999599</v>
      </c>
      <c r="AD6048">
        <v>-1.1059920000000001</v>
      </c>
      <c r="AE6048">
        <v>-4.8158120000000002</v>
      </c>
      <c r="AF6048">
        <v>2.8813167948916298</v>
      </c>
      <c r="AG6048">
        <v>-1.1059920000000001</v>
      </c>
      <c r="AH6048">
        <v>4.4719853592469203</v>
      </c>
      <c r="AI6048">
        <v>101.74447496318599</v>
      </c>
      <c r="AJ6048">
        <v>57.206166095313101</v>
      </c>
      <c r="AK6048">
        <v>5.4335860929875199</v>
      </c>
      <c r="AL6048">
        <v>88.521028268773307</v>
      </c>
      <c r="AM6048">
        <v>78.466824194613594</v>
      </c>
      <c r="AN6048">
        <v>1.00000000801809</v>
      </c>
    </row>
    <row r="6049" spans="1:40" x14ac:dyDescent="0.25">
      <c r="A6049" t="str">
        <f>"20190312154954998"</f>
        <v>20190312154954998</v>
      </c>
      <c r="B6049" t="str">
        <f>"1552376994991336"</f>
        <v>1552376994991336</v>
      </c>
      <c r="C6049" t="s">
        <v>40</v>
      </c>
      <c r="D6049">
        <v>5.1306000000000003</v>
      </c>
      <c r="E6049">
        <v>0.64340980000000003</v>
      </c>
      <c r="F6049" t="s">
        <v>43</v>
      </c>
      <c r="G6049">
        <v>-311.10860000000002</v>
      </c>
      <c r="H6049">
        <v>-0.05</v>
      </c>
      <c r="I6049">
        <v>9.7525329999999997</v>
      </c>
      <c r="J6049">
        <v>-313.66469999999998</v>
      </c>
      <c r="K6049">
        <v>1.0548999999999999</v>
      </c>
      <c r="L6049">
        <v>14.46515</v>
      </c>
      <c r="M6049">
        <v>0.87814780000000003</v>
      </c>
      <c r="N6049">
        <v>0</v>
      </c>
      <c r="O6049">
        <v>-0.47790100000000002</v>
      </c>
      <c r="P6049">
        <v>0.7654244</v>
      </c>
      <c r="Q6049">
        <v>9.485004E-3</v>
      </c>
      <c r="R6049">
        <v>-0.64345629999999998</v>
      </c>
      <c r="S6049">
        <v>1.610168</v>
      </c>
      <c r="T6049">
        <v>-0.63266089999999997</v>
      </c>
      <c r="U6049">
        <v>-2.783112</v>
      </c>
      <c r="V6049">
        <v>0.20015530000000001</v>
      </c>
      <c r="W6049">
        <v>2.4465810000000001E-2</v>
      </c>
      <c r="X6049">
        <v>0.97945870000000002</v>
      </c>
      <c r="Y6049">
        <v>0.51961889999999999</v>
      </c>
      <c r="Z6049">
        <v>4.5119680000000002E-2</v>
      </c>
      <c r="AA6049">
        <v>0.85320599999999902</v>
      </c>
      <c r="AB6049">
        <v>30</v>
      </c>
      <c r="AC6049">
        <v>2.5560999999999501</v>
      </c>
      <c r="AD6049">
        <v>-1.1049</v>
      </c>
      <c r="AE6049">
        <v>-4.7126169999999998</v>
      </c>
      <c r="AF6049">
        <v>2.7986242550616001</v>
      </c>
      <c r="AG6049">
        <v>-1.1049</v>
      </c>
      <c r="AH6049">
        <v>4.3145907250093396</v>
      </c>
      <c r="AI6049">
        <v>102.125428813382</v>
      </c>
      <c r="AJ6049">
        <v>57.030868915995399</v>
      </c>
      <c r="AK6049">
        <v>5.2601135781802002</v>
      </c>
      <c r="AL6049">
        <v>88.598072506466707</v>
      </c>
      <c r="AM6049">
        <v>78.450454948041298</v>
      </c>
      <c r="AN6049">
        <v>1.00000003249136</v>
      </c>
    </row>
    <row r="6050" spans="1:40" x14ac:dyDescent="0.25">
      <c r="A6050" t="str">
        <f>"20190312154955011"</f>
        <v>20190312154955011</v>
      </c>
      <c r="B6050" t="str">
        <f>"1552376995002073"</f>
        <v>1552376995002073</v>
      </c>
      <c r="C6050" t="s">
        <v>40</v>
      </c>
      <c r="D6050">
        <v>5.1065339999999999</v>
      </c>
      <c r="E6050">
        <v>0.64299319999999904</v>
      </c>
      <c r="F6050" t="s">
        <v>43</v>
      </c>
      <c r="G6050">
        <v>-310.95890000000003</v>
      </c>
      <c r="H6050">
        <v>-0.05</v>
      </c>
      <c r="I6050">
        <v>9.6478579999999994</v>
      </c>
      <c r="J6050">
        <v>-313.50700000000001</v>
      </c>
      <c r="K6050">
        <v>1.0542940000000001</v>
      </c>
      <c r="L6050">
        <v>14.369630000000001</v>
      </c>
      <c r="M6050">
        <v>0.87386059999999999</v>
      </c>
      <c r="N6050">
        <v>0</v>
      </c>
      <c r="O6050">
        <v>-0.48571120000000001</v>
      </c>
      <c r="P6050">
        <v>0.7595248</v>
      </c>
      <c r="Q6050">
        <v>9.0275700000000004E-3</v>
      </c>
      <c r="R6050">
        <v>-0.65041599999999999</v>
      </c>
      <c r="S6050">
        <v>1.573029</v>
      </c>
      <c r="T6050">
        <v>-0.64234729999999995</v>
      </c>
      <c r="U6050">
        <v>-2.8005979999999999</v>
      </c>
      <c r="V6050">
        <v>0.20033200000000001</v>
      </c>
      <c r="W6050">
        <v>2.3717869999999999E-2</v>
      </c>
      <c r="X6050">
        <v>0.97944089999999995</v>
      </c>
      <c r="Y6050">
        <v>0.52288329999999905</v>
      </c>
      <c r="Z6050">
        <v>4.7259969999999998E-2</v>
      </c>
      <c r="AA6050">
        <v>0.85109310000000005</v>
      </c>
      <c r="AB6050">
        <v>30</v>
      </c>
      <c r="AC6050">
        <v>2.5480999999999701</v>
      </c>
      <c r="AD6050">
        <v>-1.1042940000000001</v>
      </c>
      <c r="AE6050">
        <v>-4.7217719999999996</v>
      </c>
      <c r="AF6050">
        <v>2.77177028959869</v>
      </c>
      <c r="AG6050">
        <v>-1.1042940000000001</v>
      </c>
      <c r="AH6050">
        <v>4.3373911835450798</v>
      </c>
      <c r="AI6050">
        <v>102.1083874932</v>
      </c>
      <c r="AJ6050">
        <v>57.4197589990697</v>
      </c>
      <c r="AK6050">
        <v>5.2645168872207604</v>
      </c>
      <c r="AL6050">
        <v>88.640938657651702</v>
      </c>
      <c r="AM6050">
        <v>78.440328736988207</v>
      </c>
      <c r="AN6050">
        <v>0.99999996208707198</v>
      </c>
    </row>
    <row r="6051" spans="1:40" x14ac:dyDescent="0.25">
      <c r="A6051" t="str">
        <f>"20190312154955027"</f>
        <v>20190312154955027</v>
      </c>
      <c r="B6051" t="str">
        <f>"1552376995021593"</f>
        <v>1552376995021593</v>
      </c>
      <c r="C6051" t="s">
        <v>40</v>
      </c>
      <c r="D6051">
        <v>5.1275539999999999</v>
      </c>
      <c r="E6051">
        <v>0.64211549999999995</v>
      </c>
      <c r="F6051" t="s">
        <v>43</v>
      </c>
      <c r="G6051">
        <v>-310.85809999999998</v>
      </c>
      <c r="H6051">
        <v>-0.05</v>
      </c>
      <c r="I6051">
        <v>9.5626219999999993</v>
      </c>
      <c r="J6051">
        <v>-313.33179999999999</v>
      </c>
      <c r="K6051">
        <v>1.053669</v>
      </c>
      <c r="L6051">
        <v>14.261509999999999</v>
      </c>
      <c r="M6051">
        <v>0.869008</v>
      </c>
      <c r="N6051">
        <v>0</v>
      </c>
      <c r="O6051">
        <v>-0.49435709999999999</v>
      </c>
      <c r="P6051">
        <v>0.75299959999999999</v>
      </c>
      <c r="Q6051">
        <v>8.6012209999999992E-3</v>
      </c>
      <c r="R6051">
        <v>-0.65796449999999995</v>
      </c>
      <c r="S6051">
        <v>1.5495000000000001</v>
      </c>
      <c r="T6051">
        <v>-0.64597769999999899</v>
      </c>
      <c r="U6051">
        <v>-2.8119510000000001</v>
      </c>
      <c r="V6051">
        <v>0.20036090000000001</v>
      </c>
      <c r="W6051">
        <v>2.2981830000000002E-2</v>
      </c>
      <c r="X6051">
        <v>0.97945260000000001</v>
      </c>
      <c r="Y6051">
        <v>0.52147279999999996</v>
      </c>
      <c r="Z6051">
        <v>4.9682169999999998E-2</v>
      </c>
      <c r="AA6051">
        <v>0.85182029999999997</v>
      </c>
      <c r="AB6051">
        <v>30</v>
      </c>
      <c r="AC6051">
        <v>2.4737</v>
      </c>
      <c r="AD6051">
        <v>-1.103669</v>
      </c>
      <c r="AE6051">
        <v>-4.6988880000000002</v>
      </c>
      <c r="AF6051">
        <v>2.7426321604206199</v>
      </c>
      <c r="AG6051">
        <v>-1.103669</v>
      </c>
      <c r="AH6051">
        <v>4.28832887039448</v>
      </c>
      <c r="AI6051">
        <v>102.233261092321</v>
      </c>
      <c r="AJ6051">
        <v>57.398753699853401</v>
      </c>
      <c r="AK6051">
        <v>5.2086352271581999</v>
      </c>
      <c r="AL6051">
        <v>88.683122230002496</v>
      </c>
      <c r="AM6051">
        <v>78.438840414712004</v>
      </c>
      <c r="AN6051">
        <v>1.00000002520285</v>
      </c>
    </row>
    <row r="6052" spans="1:40" x14ac:dyDescent="0.25">
      <c r="A6052" t="str">
        <f>"20190312154955041"</f>
        <v>20190312154955041</v>
      </c>
      <c r="B6052" t="str">
        <f>"1552376995032329"</f>
        <v>1552376995032329</v>
      </c>
      <c r="C6052" t="s">
        <v>40</v>
      </c>
      <c r="D6052">
        <v>5.0812489999999997</v>
      </c>
      <c r="E6052">
        <v>0.6416636</v>
      </c>
      <c r="F6052" t="s">
        <v>43</v>
      </c>
      <c r="G6052">
        <v>-310.74619999999999</v>
      </c>
      <c r="H6052">
        <v>-0.05</v>
      </c>
      <c r="I6052">
        <v>9.4790799999999997</v>
      </c>
      <c r="J6052">
        <v>-313.16559999999998</v>
      </c>
      <c r="K6052">
        <v>1.053145</v>
      </c>
      <c r="L6052">
        <v>14.156219999999999</v>
      </c>
      <c r="M6052">
        <v>0.86430699999999905</v>
      </c>
      <c r="N6052">
        <v>0</v>
      </c>
      <c r="O6052">
        <v>-0.50254509999999997</v>
      </c>
      <c r="P6052">
        <v>0.74678769999999906</v>
      </c>
      <c r="Q6052">
        <v>8.3870530000000002E-3</v>
      </c>
      <c r="R6052">
        <v>-0.66501009999999905</v>
      </c>
      <c r="S6052">
        <v>1.525665</v>
      </c>
      <c r="T6052">
        <v>-0.65124939999999998</v>
      </c>
      <c r="U6052">
        <v>-2.8219910000000001</v>
      </c>
      <c r="V6052">
        <v>0.2002881</v>
      </c>
      <c r="W6052">
        <v>2.2490340000000001E-2</v>
      </c>
      <c r="X6052">
        <v>0.97947879999999998</v>
      </c>
      <c r="Y6052">
        <v>0.52035909999999996</v>
      </c>
      <c r="Z6052">
        <v>5.2140680000000002E-2</v>
      </c>
      <c r="AA6052">
        <v>0.85235419999999995</v>
      </c>
      <c r="AB6052">
        <v>29</v>
      </c>
      <c r="AC6052">
        <v>2.4193999999999898</v>
      </c>
      <c r="AD6052">
        <v>-1.103145</v>
      </c>
      <c r="AE6052">
        <v>-4.6771399999999996</v>
      </c>
      <c r="AF6052">
        <v>2.7083635648228999</v>
      </c>
      <c r="AG6052">
        <v>-1.103145</v>
      </c>
      <c r="AH6052">
        <v>4.25574631937757</v>
      </c>
      <c r="AI6052">
        <v>102.335495617745</v>
      </c>
      <c r="AJ6052">
        <v>57.527261472243801</v>
      </c>
      <c r="AK6052">
        <v>5.1636749341124197</v>
      </c>
      <c r="AL6052">
        <v>88.711289689548806</v>
      </c>
      <c r="AM6052">
        <v>78.443228882176001</v>
      </c>
      <c r="AN6052">
        <v>0.99999992902218005</v>
      </c>
    </row>
    <row r="6053" spans="1:40" x14ac:dyDescent="0.25">
      <c r="A6053" t="str">
        <f>"20190312154955056"</f>
        <v>20190312154955056</v>
      </c>
      <c r="B6053" t="str">
        <f>"1552376995051848"</f>
        <v>1552376995051848</v>
      </c>
      <c r="C6053" t="s">
        <v>40</v>
      </c>
      <c r="D6053">
        <v>5.0557999999999996</v>
      </c>
      <c r="E6053">
        <v>0.62552549999999996</v>
      </c>
      <c r="F6053" t="s">
        <v>43</v>
      </c>
      <c r="G6053">
        <v>-310.62979999999999</v>
      </c>
      <c r="H6053">
        <v>-0.05</v>
      </c>
      <c r="I6053">
        <v>9.3717500000000005</v>
      </c>
      <c r="J6053">
        <v>-312.99689999999998</v>
      </c>
      <c r="K6053">
        <v>1.052675</v>
      </c>
      <c r="L6053">
        <v>14.04715</v>
      </c>
      <c r="M6053">
        <v>0.85943999999999998</v>
      </c>
      <c r="N6053">
        <v>0</v>
      </c>
      <c r="O6053">
        <v>-0.51083729999999905</v>
      </c>
      <c r="P6053">
        <v>0.74043009999999998</v>
      </c>
      <c r="Q6053">
        <v>7.9527939999999991E-3</v>
      </c>
      <c r="R6053">
        <v>-0.67208659999999998</v>
      </c>
      <c r="S6053">
        <v>1.501587</v>
      </c>
      <c r="T6053">
        <v>-0.65323450000000005</v>
      </c>
      <c r="U6053">
        <v>-2.8331599999999999</v>
      </c>
      <c r="V6053">
        <v>0.2001578</v>
      </c>
      <c r="W6053">
        <v>2.179004E-2</v>
      </c>
      <c r="X6053">
        <v>0.97952130000000004</v>
      </c>
      <c r="Y6053">
        <v>0.51931679999999902</v>
      </c>
      <c r="Z6053">
        <v>5.4370179999999997E-2</v>
      </c>
      <c r="AA6053">
        <v>0.85285049999999996</v>
      </c>
      <c r="AB6053">
        <v>29</v>
      </c>
      <c r="AC6053">
        <v>2.36709999999999</v>
      </c>
      <c r="AD6053">
        <v>-1.1026750000000001</v>
      </c>
      <c r="AE6053">
        <v>-4.6753999999999998</v>
      </c>
      <c r="AF6053">
        <v>2.6904764716576999</v>
      </c>
      <c r="AG6053">
        <v>-1.1026750000000001</v>
      </c>
      <c r="AH6053">
        <v>4.2361003542420397</v>
      </c>
      <c r="AI6053">
        <v>102.39273474397901</v>
      </c>
      <c r="AJ6053">
        <v>57.5791250947591</v>
      </c>
      <c r="AK6053">
        <v>5.1380056453237</v>
      </c>
      <c r="AL6053">
        <v>88.751423809055396</v>
      </c>
      <c r="AM6053">
        <v>78.451032861257403</v>
      </c>
      <c r="AN6053">
        <v>0.99999996394886503</v>
      </c>
    </row>
    <row r="6054" spans="1:40" x14ac:dyDescent="0.25">
      <c r="A6054" t="str">
        <f>"20190312154955076"</f>
        <v>20190312154955076</v>
      </c>
      <c r="B6054" t="str">
        <f>"1552376995072344"</f>
        <v>1552376995072344</v>
      </c>
      <c r="C6054" t="s">
        <v>40</v>
      </c>
      <c r="D6054">
        <v>5.1425269999999896</v>
      </c>
      <c r="E6054">
        <v>0.62392259999999999</v>
      </c>
      <c r="F6054" t="s">
        <v>43</v>
      </c>
      <c r="G6054">
        <v>-310.53050000000002</v>
      </c>
      <c r="H6054">
        <v>-0.05</v>
      </c>
      <c r="I6054">
        <v>9.6997990000000005</v>
      </c>
      <c r="J6054">
        <v>-312.77910000000003</v>
      </c>
      <c r="K6054">
        <v>1.052125</v>
      </c>
      <c r="L6054">
        <v>13.90314</v>
      </c>
      <c r="M6054">
        <v>0.85300900000000002</v>
      </c>
      <c r="N6054">
        <v>0</v>
      </c>
      <c r="O6054">
        <v>-0.52152120000000002</v>
      </c>
      <c r="P6054">
        <v>0.73211219999999999</v>
      </c>
      <c r="Q6054">
        <v>8.2984319999999997E-3</v>
      </c>
      <c r="R6054">
        <v>-0.68113389999999996</v>
      </c>
      <c r="S6054">
        <v>1.5612490000000001</v>
      </c>
      <c r="T6054">
        <v>-0.69801329999999995</v>
      </c>
      <c r="U6054">
        <v>-2.7519529999999999</v>
      </c>
      <c r="V6054">
        <v>0.1999688</v>
      </c>
      <c r="W6054">
        <v>2.181292E-2</v>
      </c>
      <c r="X6054">
        <v>0.97955939999999997</v>
      </c>
      <c r="Y6054">
        <v>0.48443900000000001</v>
      </c>
      <c r="Z6054">
        <v>6.5456520000000004E-2</v>
      </c>
      <c r="AA6054">
        <v>0.87237279999999995</v>
      </c>
      <c r="AB6054">
        <v>29</v>
      </c>
      <c r="AC6054">
        <v>2.2486000000000099</v>
      </c>
      <c r="AD6054">
        <v>-1.102125</v>
      </c>
      <c r="AE6054">
        <v>-4.2033409999999902</v>
      </c>
      <c r="AF6054">
        <v>2.2908164344791899</v>
      </c>
      <c r="AG6054">
        <v>-1.102125</v>
      </c>
      <c r="AH6054">
        <v>3.9024162125838</v>
      </c>
      <c r="AI6054">
        <v>103.688288820702</v>
      </c>
      <c r="AJ6054">
        <v>59.585994577274597</v>
      </c>
      <c r="AK6054">
        <v>4.6573996766803099</v>
      </c>
      <c r="AL6054">
        <v>88.750112579094306</v>
      </c>
      <c r="AM6054">
        <v>78.462082192638405</v>
      </c>
      <c r="AN6054">
        <v>0.999999971290362</v>
      </c>
    </row>
    <row r="6055" spans="1:40" x14ac:dyDescent="0.25">
      <c r="A6055" t="str">
        <f>"20190312154955097"</f>
        <v>20190312154955097</v>
      </c>
      <c r="B6055" t="str">
        <f>"1552376995091865"</f>
        <v>1552376995091865</v>
      </c>
      <c r="C6055" t="s">
        <v>40</v>
      </c>
      <c r="D6055">
        <v>4.9803449999999998</v>
      </c>
      <c r="E6055">
        <v>0.64536269999999996</v>
      </c>
      <c r="F6055" t="s">
        <v>43</v>
      </c>
      <c r="G6055">
        <v>-310.33539999999999</v>
      </c>
      <c r="H6055">
        <v>-0.05</v>
      </c>
      <c r="I6055">
        <v>9.5090179999999993</v>
      </c>
      <c r="J6055">
        <v>-312.5333</v>
      </c>
      <c r="K6055">
        <v>1.0515969999999999</v>
      </c>
      <c r="L6055">
        <v>13.73602</v>
      </c>
      <c r="M6055">
        <v>0.84554739999999995</v>
      </c>
      <c r="N6055">
        <v>0</v>
      </c>
      <c r="O6055">
        <v>-0.53354959999999996</v>
      </c>
      <c r="P6055">
        <v>0.72275219999999996</v>
      </c>
      <c r="Q6055">
        <v>8.9607200000000001E-3</v>
      </c>
      <c r="R6055">
        <v>-0.69104929999999998</v>
      </c>
      <c r="S6055">
        <v>1.5359799999999999</v>
      </c>
      <c r="T6055">
        <v>-0.69274040000000003</v>
      </c>
      <c r="U6055">
        <v>-2.7619319999999998</v>
      </c>
      <c r="V6055">
        <v>0.1994552</v>
      </c>
      <c r="W6055">
        <v>2.2148049999999999E-2</v>
      </c>
      <c r="X6055">
        <v>0.97965659999999999</v>
      </c>
      <c r="Y6055">
        <v>0.47975050000000002</v>
      </c>
      <c r="Z6055">
        <v>6.8570000000000006E-2</v>
      </c>
      <c r="AA6055">
        <v>0.87472150000000004</v>
      </c>
      <c r="AB6055">
        <v>29</v>
      </c>
      <c r="AC6055">
        <v>2.1979000000000002</v>
      </c>
      <c r="AD6055">
        <v>-1.1015969999999999</v>
      </c>
      <c r="AE6055">
        <v>-4.2270019999999997</v>
      </c>
      <c r="AF6055">
        <v>2.2799965132395599</v>
      </c>
      <c r="AG6055">
        <v>-1.1015969999999999</v>
      </c>
      <c r="AH6055">
        <v>3.90570419719218</v>
      </c>
      <c r="AI6055">
        <v>103.689630958202</v>
      </c>
      <c r="AJ6055">
        <v>59.725297784909301</v>
      </c>
      <c r="AK6055">
        <v>4.6547207571194003</v>
      </c>
      <c r="AL6055">
        <v>88.730906419053795</v>
      </c>
      <c r="AM6055">
        <v>78.492035928821494</v>
      </c>
      <c r="AN6055">
        <v>0.99999998342470098</v>
      </c>
    </row>
    <row r="6056" spans="1:40" x14ac:dyDescent="0.25">
      <c r="A6056" t="str">
        <f>"20190312154955111"</f>
        <v>20190312154955111</v>
      </c>
      <c r="B6056" t="str">
        <f>"1552376995101624"</f>
        <v>1552376995101624</v>
      </c>
      <c r="C6056" t="s">
        <v>40</v>
      </c>
      <c r="D6056">
        <v>5.0010519999999996</v>
      </c>
      <c r="E6056">
        <v>0.64890609999999904</v>
      </c>
      <c r="F6056" t="s">
        <v>43</v>
      </c>
      <c r="G6056">
        <v>-310.21379999999999</v>
      </c>
      <c r="H6056">
        <v>-0.05</v>
      </c>
      <c r="I6056">
        <v>8.8462370000000004</v>
      </c>
      <c r="J6056">
        <v>-312.38310000000001</v>
      </c>
      <c r="K6056">
        <v>1.051315</v>
      </c>
      <c r="L6056">
        <v>13.631349999999999</v>
      </c>
      <c r="M6056">
        <v>0.84087429999999996</v>
      </c>
      <c r="N6056">
        <v>0</v>
      </c>
      <c r="O6056">
        <v>-0.54089319999999996</v>
      </c>
      <c r="P6056">
        <v>0.71690859999999901</v>
      </c>
      <c r="Q6056">
        <v>9.7378859999999994E-3</v>
      </c>
      <c r="R6056">
        <v>-0.69709940000000004</v>
      </c>
      <c r="S6056">
        <v>1.3791199999999999</v>
      </c>
      <c r="T6056">
        <v>-0.65497539999999999</v>
      </c>
      <c r="U6056">
        <v>-2.9073180000000001</v>
      </c>
      <c r="V6056">
        <v>0.19917599999999999</v>
      </c>
      <c r="W6056">
        <v>2.2738230000000002E-2</v>
      </c>
      <c r="X6056">
        <v>0.97969989999999996</v>
      </c>
      <c r="Y6056">
        <v>0.52727789999999997</v>
      </c>
      <c r="Z6056">
        <v>6.0532599999999999E-2</v>
      </c>
      <c r="AA6056">
        <v>0.84753400000000001</v>
      </c>
      <c r="AB6056">
        <v>29</v>
      </c>
      <c r="AC6056">
        <v>2.1693000000000202</v>
      </c>
      <c r="AD6056">
        <v>-1.101315</v>
      </c>
      <c r="AE6056">
        <v>-4.7851129999999902</v>
      </c>
      <c r="AF6056">
        <v>2.73084473680882</v>
      </c>
      <c r="AG6056">
        <v>-1.101315</v>
      </c>
      <c r="AH6056">
        <v>4.2273955617506198</v>
      </c>
      <c r="AI6056">
        <v>102.34348728483</v>
      </c>
      <c r="AJ6056">
        <v>57.138044824891303</v>
      </c>
      <c r="AK6056">
        <v>5.1518230696803098</v>
      </c>
      <c r="AL6056">
        <v>88.697083097149601</v>
      </c>
      <c r="AM6056">
        <v>78.508210456230103</v>
      </c>
      <c r="AN6056">
        <v>1.00000000006977</v>
      </c>
    </row>
    <row r="6057" spans="1:40" x14ac:dyDescent="0.25">
      <c r="A6057" t="str">
        <f>"20190312154955126"</f>
        <v>20190312154955126</v>
      </c>
      <c r="B6057" t="str">
        <f>"1552376995122122"</f>
        <v>1552376995122122</v>
      </c>
      <c r="C6057" t="s">
        <v>40</v>
      </c>
      <c r="D6057">
        <v>4.9206510000000003</v>
      </c>
      <c r="E6057">
        <v>0.65260759999999995</v>
      </c>
      <c r="F6057" t="s">
        <v>43</v>
      </c>
      <c r="G6057">
        <v>-310.14490000000001</v>
      </c>
      <c r="H6057">
        <v>-0.05</v>
      </c>
      <c r="I6057">
        <v>8.70091199999999</v>
      </c>
      <c r="J6057">
        <v>-312.23110000000003</v>
      </c>
      <c r="K6057">
        <v>1.051056</v>
      </c>
      <c r="L6057">
        <v>13.523829999999901</v>
      </c>
      <c r="M6057">
        <v>0.83606329999999995</v>
      </c>
      <c r="N6057">
        <v>0</v>
      </c>
      <c r="O6057">
        <v>-0.54830840000000003</v>
      </c>
      <c r="P6057">
        <v>0.71081629999999996</v>
      </c>
      <c r="Q6057">
        <v>1.0879339999999999E-2</v>
      </c>
      <c r="R6057">
        <v>-0.70329350000000002</v>
      </c>
      <c r="S6057">
        <v>1.334686</v>
      </c>
      <c r="T6057">
        <v>-0.65673019999999904</v>
      </c>
      <c r="U6057">
        <v>-2.9400940000000002</v>
      </c>
      <c r="V6057">
        <v>0.19904559999999999</v>
      </c>
      <c r="W6057">
        <v>2.3694030000000001E-2</v>
      </c>
      <c r="X6057">
        <v>0.97970369999999996</v>
      </c>
      <c r="Y6057">
        <v>0.5339739</v>
      </c>
      <c r="Z6057">
        <v>6.1529609999999998E-2</v>
      </c>
      <c r="AA6057">
        <v>0.84325919999999899</v>
      </c>
      <c r="AB6057">
        <v>29</v>
      </c>
      <c r="AC6057">
        <v>2.0862000000000198</v>
      </c>
      <c r="AD6057">
        <v>-1.101056</v>
      </c>
      <c r="AE6057">
        <v>-4.8229179999999996</v>
      </c>
      <c r="AF6057">
        <v>2.7673969739447002</v>
      </c>
      <c r="AG6057">
        <v>-1.101056</v>
      </c>
      <c r="AH6057">
        <v>4.20481307721258</v>
      </c>
      <c r="AI6057">
        <v>102.33818210347199</v>
      </c>
      <c r="AJ6057">
        <v>56.649093552603503</v>
      </c>
      <c r="AK6057">
        <v>5.1527918006486697</v>
      </c>
      <c r="AL6057">
        <v>88.642304955102205</v>
      </c>
      <c r="AM6057">
        <v>78.515577494546704</v>
      </c>
      <c r="AN6057">
        <v>0.99999994886534405</v>
      </c>
    </row>
    <row r="6058" spans="1:40" x14ac:dyDescent="0.25">
      <c r="A6058" t="str">
        <f>"20190312154955142"</f>
        <v>20190312154955142</v>
      </c>
      <c r="B6058" t="str">
        <f>"1552376995131881"</f>
        <v>1552376995131881</v>
      </c>
      <c r="C6058" t="s">
        <v>40</v>
      </c>
      <c r="D6058">
        <v>4.9919949999999904</v>
      </c>
      <c r="E6058">
        <v>0.65386769999999905</v>
      </c>
      <c r="F6058" t="s">
        <v>43</v>
      </c>
      <c r="G6058">
        <v>-310.04320000000001</v>
      </c>
      <c r="H6058">
        <v>-0.05</v>
      </c>
      <c r="I6058">
        <v>8.4744869999999999</v>
      </c>
      <c r="J6058">
        <v>-312.04739999999998</v>
      </c>
      <c r="K6058">
        <v>1.0507839999999999</v>
      </c>
      <c r="L6058">
        <v>13.39044</v>
      </c>
      <c r="M6058">
        <v>0.8301153</v>
      </c>
      <c r="N6058">
        <v>0</v>
      </c>
      <c r="O6058">
        <v>-0.55728109999999997</v>
      </c>
      <c r="P6058">
        <v>0.70360449999999997</v>
      </c>
      <c r="Q6058">
        <v>1.1679109999999999E-2</v>
      </c>
      <c r="R6058">
        <v>-0.71049619999999902</v>
      </c>
      <c r="S6058">
        <v>1.288422</v>
      </c>
      <c r="T6058">
        <v>-0.64839590000000003</v>
      </c>
      <c r="U6058">
        <v>-2.9734799999999999</v>
      </c>
      <c r="V6058">
        <v>0.19849149999999999</v>
      </c>
      <c r="W6058">
        <v>2.4298009999999998E-2</v>
      </c>
      <c r="X6058">
        <v>0.97980140000000004</v>
      </c>
      <c r="Y6058">
        <v>0.53947270000000003</v>
      </c>
      <c r="Z6058">
        <v>6.2079080000000002E-2</v>
      </c>
      <c r="AA6058">
        <v>0.83971149999999894</v>
      </c>
      <c r="AB6058">
        <v>29</v>
      </c>
      <c r="AC6058">
        <v>2.00419999999996</v>
      </c>
      <c r="AD6058">
        <v>-1.100784</v>
      </c>
      <c r="AE6058">
        <v>-4.915953</v>
      </c>
      <c r="AF6058">
        <v>2.84221928318268</v>
      </c>
      <c r="AG6058">
        <v>-1.100784</v>
      </c>
      <c r="AH6058">
        <v>4.2225040380319401</v>
      </c>
      <c r="AI6058">
        <v>102.203166590972</v>
      </c>
      <c r="AJ6058">
        <v>56.055019160817999</v>
      </c>
      <c r="AK6058">
        <v>5.2076363371060701</v>
      </c>
      <c r="AL6058">
        <v>88.607689588136907</v>
      </c>
      <c r="AM6058">
        <v>78.547813511564797</v>
      </c>
      <c r="AN6058">
        <v>1.0000000261520801</v>
      </c>
    </row>
    <row r="6059" spans="1:40" x14ac:dyDescent="0.25">
      <c r="A6059" t="str">
        <f>"20190312154955166"</f>
        <v>20190312154955166</v>
      </c>
      <c r="B6059" t="str">
        <f>"1552376995162136"</f>
        <v>1552376995162136</v>
      </c>
      <c r="C6059" t="s">
        <v>40</v>
      </c>
      <c r="D6059">
        <v>4.9011459999999998</v>
      </c>
      <c r="E6059">
        <v>0.65413540000000003</v>
      </c>
      <c r="F6059" t="s">
        <v>43</v>
      </c>
      <c r="G6059">
        <v>-309.92509999999999</v>
      </c>
      <c r="H6059">
        <v>-0.05</v>
      </c>
      <c r="I6059">
        <v>8.3087619999999998</v>
      </c>
      <c r="J6059">
        <v>-311.80450000000002</v>
      </c>
      <c r="K6059">
        <v>1.0504579999999999</v>
      </c>
      <c r="L6059">
        <v>13.2099299999999</v>
      </c>
      <c r="M6059">
        <v>0.8220518</v>
      </c>
      <c r="N6059">
        <v>0</v>
      </c>
      <c r="O6059">
        <v>-0.5691195</v>
      </c>
      <c r="P6059">
        <v>0.69345459999999903</v>
      </c>
      <c r="Q6059">
        <v>1.165412E-2</v>
      </c>
      <c r="R6059">
        <v>-0.7204062</v>
      </c>
      <c r="S6059">
        <v>1.25061</v>
      </c>
      <c r="T6059">
        <v>-0.64867619999999904</v>
      </c>
      <c r="U6059">
        <v>-2.9945680000000001</v>
      </c>
      <c r="V6059">
        <v>0.1983386</v>
      </c>
      <c r="W6059">
        <v>2.4014850000000001E-2</v>
      </c>
      <c r="X6059">
        <v>0.97983929999999997</v>
      </c>
      <c r="Y6059">
        <v>0.53871329999999995</v>
      </c>
      <c r="Z6059">
        <v>6.4889299999999997E-2</v>
      </c>
      <c r="AA6059">
        <v>0.83998660000000003</v>
      </c>
      <c r="AB6059">
        <v>29</v>
      </c>
      <c r="AC6059">
        <v>1.8794000000000299</v>
      </c>
      <c r="AD6059">
        <v>-1.1004579999999999</v>
      </c>
      <c r="AE6059">
        <v>-4.9011679999999904</v>
      </c>
      <c r="AF6059">
        <v>2.8352910225427301</v>
      </c>
      <c r="AG6059">
        <v>-1.1004579999999999</v>
      </c>
      <c r="AH6059">
        <v>4.1525302448696699</v>
      </c>
      <c r="AI6059">
        <v>102.34504888399</v>
      </c>
      <c r="AJ6059">
        <v>55.675271565536299</v>
      </c>
      <c r="AK6059">
        <v>5.1471730519609302</v>
      </c>
      <c r="AL6059">
        <v>88.623918137711001</v>
      </c>
      <c r="AM6059">
        <v>78.556833375724395</v>
      </c>
      <c r="AN6059">
        <v>0.99999998354748598</v>
      </c>
    </row>
    <row r="6060" spans="1:40" x14ac:dyDescent="0.25">
      <c r="A6060" t="str">
        <f>"20190312154955179"</f>
        <v>20190312154955179</v>
      </c>
      <c r="B6060" t="str">
        <f>"1552376995171897"</f>
        <v>1552376995171897</v>
      </c>
      <c r="C6060" t="s">
        <v>40</v>
      </c>
      <c r="D6060">
        <v>4.8531370000000003</v>
      </c>
      <c r="E6060">
        <v>0.65392850000000002</v>
      </c>
      <c r="F6060" t="s">
        <v>43</v>
      </c>
      <c r="G6060">
        <v>-309.7636</v>
      </c>
      <c r="H6060">
        <v>-0.05</v>
      </c>
      <c r="I6060">
        <v>8.1096950000000003</v>
      </c>
      <c r="J6060">
        <v>-311.65230000000003</v>
      </c>
      <c r="K6060">
        <v>1.0502849999999999</v>
      </c>
      <c r="L6060">
        <v>13.09351</v>
      </c>
      <c r="M6060">
        <v>0.81686190000000003</v>
      </c>
      <c r="N6060">
        <v>0</v>
      </c>
      <c r="O6060">
        <v>-0.57654949999999905</v>
      </c>
      <c r="P6060">
        <v>0.68709189999999998</v>
      </c>
      <c r="Q6060">
        <v>1.140238E-2</v>
      </c>
      <c r="R6060">
        <v>-0.7264813</v>
      </c>
      <c r="S6060">
        <v>1.206024</v>
      </c>
      <c r="T6060">
        <v>-0.65029950000000003</v>
      </c>
      <c r="U6060">
        <v>-3.013916</v>
      </c>
      <c r="V6060">
        <v>0.19806199999999999</v>
      </c>
      <c r="W6060">
        <v>2.3619660000000001E-2</v>
      </c>
      <c r="X6060">
        <v>0.97990489999999997</v>
      </c>
      <c r="Y6060">
        <v>0.54366130000000001</v>
      </c>
      <c r="Z6060">
        <v>6.6273780000000004E-2</v>
      </c>
      <c r="AA6060">
        <v>0.83668399999999998</v>
      </c>
      <c r="AB6060">
        <v>29</v>
      </c>
      <c r="AC6060">
        <v>1.88870000000002</v>
      </c>
      <c r="AD6060">
        <v>-1.100285</v>
      </c>
      <c r="AE6060">
        <v>-4.9838149999999999</v>
      </c>
      <c r="AF6060">
        <v>2.86072556317851</v>
      </c>
      <c r="AG6060">
        <v>-1.100285</v>
      </c>
      <c r="AH6060">
        <v>4.2363938459502304</v>
      </c>
      <c r="AI6060">
        <v>102.147185586943</v>
      </c>
      <c r="AJ6060">
        <v>55.969876090091397</v>
      </c>
      <c r="AK6060">
        <v>5.2289014761279402</v>
      </c>
      <c r="AL6060">
        <v>88.646567343248705</v>
      </c>
      <c r="AM6060">
        <v>78.573116594896902</v>
      </c>
      <c r="AN6060">
        <v>1.00000002861326</v>
      </c>
    </row>
    <row r="6061" spans="1:40" x14ac:dyDescent="0.25">
      <c r="A6061" t="str">
        <f>"20190312154955194"</f>
        <v>20190312154955194</v>
      </c>
      <c r="B6061" t="str">
        <f>"1552376995181657"</f>
        <v>1552376995181657</v>
      </c>
      <c r="C6061" t="s">
        <v>40</v>
      </c>
      <c r="D6061">
        <v>4.877643</v>
      </c>
      <c r="E6061">
        <v>0.65362739999999997</v>
      </c>
      <c r="F6061" t="s">
        <v>43</v>
      </c>
      <c r="G6061">
        <v>-309.65989999999999</v>
      </c>
      <c r="H6061">
        <v>-0.05</v>
      </c>
      <c r="I6061">
        <v>7.9903719999999998</v>
      </c>
      <c r="J6061">
        <v>-311.50389999999999</v>
      </c>
      <c r="K6061">
        <v>1.0501320000000001</v>
      </c>
      <c r="L6061">
        <v>12.978149999999999</v>
      </c>
      <c r="M6061">
        <v>0.8117105</v>
      </c>
      <c r="N6061">
        <v>0</v>
      </c>
      <c r="O6061">
        <v>-0.58378459999999999</v>
      </c>
      <c r="P6061">
        <v>0.68078629999999996</v>
      </c>
      <c r="Q6061">
        <v>1.1403470000000001E-2</v>
      </c>
      <c r="R6061">
        <v>-0.73239330000000002</v>
      </c>
      <c r="S6061">
        <v>1.1803589999999999</v>
      </c>
      <c r="T6061">
        <v>-0.65186290000000002</v>
      </c>
      <c r="U6061">
        <v>-3.0233460000000001</v>
      </c>
      <c r="V6061">
        <v>0.19782</v>
      </c>
      <c r="W6061">
        <v>2.348857E-2</v>
      </c>
      <c r="X6061">
        <v>0.97995690000000002</v>
      </c>
      <c r="Y6061">
        <v>0.54333849999999995</v>
      </c>
      <c r="Z6061">
        <v>6.8204050000000002E-2</v>
      </c>
      <c r="AA6061">
        <v>0.8367386</v>
      </c>
      <c r="AB6061">
        <v>29</v>
      </c>
      <c r="AC6061">
        <v>1.8439999999999901</v>
      </c>
      <c r="AD6061">
        <v>-1.1001319999999899</v>
      </c>
      <c r="AE6061">
        <v>-4.9877779999999996</v>
      </c>
      <c r="AF6061">
        <v>2.8506069843034498</v>
      </c>
      <c r="AG6061">
        <v>-1.1001319999999899</v>
      </c>
      <c r="AH6061">
        <v>4.2283219415059703</v>
      </c>
      <c r="AI6061">
        <v>102.17408622324</v>
      </c>
      <c r="AJ6061">
        <v>56.013340372558503</v>
      </c>
      <c r="AK6061">
        <v>5.2167956675917901</v>
      </c>
      <c r="AL6061">
        <v>88.654080286697607</v>
      </c>
      <c r="AM6061">
        <v>78.587301515021295</v>
      </c>
      <c r="AN6061">
        <v>0.999999995589127</v>
      </c>
    </row>
    <row r="6062" spans="1:40" x14ac:dyDescent="0.25">
      <c r="A6062" t="str">
        <f>"20190312154955209"</f>
        <v>20190312154955209</v>
      </c>
      <c r="B6062" t="str">
        <f>"1552376995202153"</f>
        <v>1552376995202153</v>
      </c>
      <c r="C6062" t="s">
        <v>40</v>
      </c>
      <c r="D6062">
        <v>4.8495660000000003</v>
      </c>
      <c r="E6062">
        <v>0.65292059999999996</v>
      </c>
      <c r="F6062" t="s">
        <v>43</v>
      </c>
      <c r="G6062">
        <v>-309.53250000000003</v>
      </c>
      <c r="H6062">
        <v>-0.05</v>
      </c>
      <c r="I6062">
        <v>7.8067019999999996</v>
      </c>
      <c r="J6062">
        <v>-311.34289999999999</v>
      </c>
      <c r="K6062">
        <v>1.049982</v>
      </c>
      <c r="L6062">
        <v>12.85092</v>
      </c>
      <c r="M6062">
        <v>0.80601480000000003</v>
      </c>
      <c r="N6062">
        <v>0</v>
      </c>
      <c r="O6062">
        <v>-0.59162910000000002</v>
      </c>
      <c r="P6062">
        <v>0.67366009999999998</v>
      </c>
      <c r="Q6062">
        <v>1.2253440000000001E-2</v>
      </c>
      <c r="R6062">
        <v>-0.73893999999999904</v>
      </c>
      <c r="S6062">
        <v>1.1557919999999999</v>
      </c>
      <c r="T6062">
        <v>-0.64497289999999996</v>
      </c>
      <c r="U6062">
        <v>-3.03186</v>
      </c>
      <c r="V6062">
        <v>0.19781570000000001</v>
      </c>
      <c r="W6062">
        <v>2.4195520000000002E-2</v>
      </c>
      <c r="X6062">
        <v>0.97994060000000005</v>
      </c>
      <c r="Y6062">
        <v>0.54201699999999997</v>
      </c>
      <c r="Z6062">
        <v>6.9515510000000003E-2</v>
      </c>
      <c r="AA6062">
        <v>0.83748739999999999</v>
      </c>
      <c r="AB6062">
        <v>29</v>
      </c>
      <c r="AC6062">
        <v>1.81039999999995</v>
      </c>
      <c r="AD6062">
        <v>-1.099982</v>
      </c>
      <c r="AE6062">
        <v>-5.0442179999999999</v>
      </c>
      <c r="AF6062">
        <v>2.8740267028881301</v>
      </c>
      <c r="AG6062">
        <v>-1.099982</v>
      </c>
      <c r="AH6062">
        <v>4.2645621876300801</v>
      </c>
      <c r="AI6062">
        <v>102.073370198052</v>
      </c>
      <c r="AJ6062">
        <v>56.022692625152601</v>
      </c>
      <c r="AK6062">
        <v>5.2589429110233104</v>
      </c>
      <c r="AL6062">
        <v>88.613563560446906</v>
      </c>
      <c r="AM6062">
        <v>78.587358232771194</v>
      </c>
      <c r="AN6062">
        <v>1.00000002694145</v>
      </c>
    </row>
    <row r="6063" spans="1:40" x14ac:dyDescent="0.25">
      <c r="A6063" t="str">
        <f>"20190312154955223"</f>
        <v>20190312154955223</v>
      </c>
      <c r="B6063" t="str">
        <f>"1552376995211913"</f>
        <v>1552376995211913</v>
      </c>
      <c r="C6063" t="s">
        <v>40</v>
      </c>
      <c r="D6063">
        <v>4.8611589999999998</v>
      </c>
      <c r="E6063">
        <v>0.6523795</v>
      </c>
      <c r="F6063" t="s">
        <v>43</v>
      </c>
      <c r="G6063">
        <v>-309.36419999999998</v>
      </c>
      <c r="H6063">
        <v>-0.05</v>
      </c>
      <c r="I6063">
        <v>7.5355829999999999</v>
      </c>
      <c r="J6063">
        <v>-311.19639999999998</v>
      </c>
      <c r="K6063">
        <v>1.049863</v>
      </c>
      <c r="L6063">
        <v>12.73288</v>
      </c>
      <c r="M6063">
        <v>0.80072790000000005</v>
      </c>
      <c r="N6063">
        <v>0</v>
      </c>
      <c r="O6063">
        <v>-0.59876949999999995</v>
      </c>
      <c r="P6063">
        <v>0.66710209999999903</v>
      </c>
      <c r="Q6063">
        <v>1.3074580000000001E-2</v>
      </c>
      <c r="R6063">
        <v>-0.74485179999999995</v>
      </c>
      <c r="S6063">
        <v>1.1313169999999999</v>
      </c>
      <c r="T6063">
        <v>-0.62889499999999998</v>
      </c>
      <c r="U6063">
        <v>-3.0389400000000002</v>
      </c>
      <c r="V6063">
        <v>0.19777439999999999</v>
      </c>
      <c r="W6063">
        <v>2.4895779999999999E-2</v>
      </c>
      <c r="X6063">
        <v>0.97993140000000001</v>
      </c>
      <c r="Y6063">
        <v>0.54121709999999901</v>
      </c>
      <c r="Z6063">
        <v>6.9603890000000002E-2</v>
      </c>
      <c r="AA6063">
        <v>0.83799729999999995</v>
      </c>
      <c r="AB6063">
        <v>29</v>
      </c>
      <c r="AC6063">
        <v>1.8322000000000001</v>
      </c>
      <c r="AD6063">
        <v>-1.09986299999999</v>
      </c>
      <c r="AE6063">
        <v>-5.1972969999999998</v>
      </c>
      <c r="AF6063">
        <v>2.9476162612454702</v>
      </c>
      <c r="AG6063">
        <v>-1.09986299999999</v>
      </c>
      <c r="AH6063">
        <v>4.4043456777672496</v>
      </c>
      <c r="AI6063">
        <v>101.72436126970101</v>
      </c>
      <c r="AJ6063">
        <v>56.207512190240898</v>
      </c>
      <c r="AK6063">
        <v>5.4126149956924596</v>
      </c>
      <c r="AL6063">
        <v>88.573429531860896</v>
      </c>
      <c r="AM6063">
        <v>78.589574143954806</v>
      </c>
      <c r="AN6063">
        <v>1.00000003093156</v>
      </c>
    </row>
    <row r="6064" spans="1:40" x14ac:dyDescent="0.25">
      <c r="A6064" t="str">
        <f>"20190312154955244"</f>
        <v>20190312154955244</v>
      </c>
      <c r="B6064" t="str">
        <f>"1552376995231432"</f>
        <v>1552376995231432</v>
      </c>
      <c r="C6064" t="s">
        <v>40</v>
      </c>
      <c r="D6064">
        <v>4.8513199999999896</v>
      </c>
      <c r="E6064">
        <v>0.65147929999999998</v>
      </c>
      <c r="F6064" t="s">
        <v>43</v>
      </c>
      <c r="G6064">
        <v>-309.23390000000001</v>
      </c>
      <c r="H6064">
        <v>-0.05</v>
      </c>
      <c r="I6064">
        <v>7.3382869999999896</v>
      </c>
      <c r="J6064">
        <v>-310.98869999999999</v>
      </c>
      <c r="K6064">
        <v>1.0497259999999999</v>
      </c>
      <c r="L6064">
        <v>12.561579999999999</v>
      </c>
      <c r="M6064">
        <v>0.79305530000000002</v>
      </c>
      <c r="N6064">
        <v>0</v>
      </c>
      <c r="O6064">
        <v>-0.60890080000000002</v>
      </c>
      <c r="P6064">
        <v>0.65804300000000004</v>
      </c>
      <c r="Q6064">
        <v>1.4951910000000001E-2</v>
      </c>
      <c r="R6064">
        <v>-0.75283199999999995</v>
      </c>
      <c r="S6064">
        <v>1.1081540000000001</v>
      </c>
      <c r="T6064">
        <v>-0.62104269999999995</v>
      </c>
      <c r="U6064">
        <v>-3.0460820000000002</v>
      </c>
      <c r="V6064">
        <v>0.19718749999999999</v>
      </c>
      <c r="W6064">
        <v>2.6633270000000001E-2</v>
      </c>
      <c r="X6064">
        <v>0.98000399999999999</v>
      </c>
      <c r="Y6064">
        <v>0.5369408</v>
      </c>
      <c r="Z6064">
        <v>7.1529300000000004E-2</v>
      </c>
      <c r="AA6064">
        <v>0.84058199999999905</v>
      </c>
      <c r="AB6064">
        <v>29</v>
      </c>
      <c r="AC6064">
        <v>1.7547999999999799</v>
      </c>
      <c r="AD6064">
        <v>-1.099726</v>
      </c>
      <c r="AE6064">
        <v>-5.223293</v>
      </c>
      <c r="AF6064">
        <v>2.9565600109727899</v>
      </c>
      <c r="AG6064">
        <v>-1.099726</v>
      </c>
      <c r="AH6064">
        <v>4.39764484598905</v>
      </c>
      <c r="AI6064">
        <v>101.724194538229</v>
      </c>
      <c r="AJ6064">
        <v>56.086849732312999</v>
      </c>
      <c r="AK6064">
        <v>5.4120166818861097</v>
      </c>
      <c r="AL6064">
        <v>88.473845635310198</v>
      </c>
      <c r="AM6064">
        <v>78.623371329251597</v>
      </c>
      <c r="AN6064">
        <v>1.0000000406215701</v>
      </c>
    </row>
    <row r="6065" spans="1:40" x14ac:dyDescent="0.25">
      <c r="A6065" t="str">
        <f>"20190312154955266"</f>
        <v>20190312154955266</v>
      </c>
      <c r="B6065" t="str">
        <f>"1552376995251929"</f>
        <v>1552376995251929</v>
      </c>
      <c r="C6065" t="s">
        <v>40</v>
      </c>
      <c r="D6065">
        <v>4.8668670000000001</v>
      </c>
      <c r="E6065">
        <v>0.65057619999999905</v>
      </c>
      <c r="F6065" t="s">
        <v>43</v>
      </c>
      <c r="G6065">
        <v>-309.0385</v>
      </c>
      <c r="H6065">
        <v>-0.05</v>
      </c>
      <c r="I6065">
        <v>7.0301359999999997</v>
      </c>
      <c r="J6065">
        <v>-310.7647</v>
      </c>
      <c r="K6065">
        <v>1.049607</v>
      </c>
      <c r="L6065">
        <v>12.371729999999999</v>
      </c>
      <c r="M6065">
        <v>0.78454630000000003</v>
      </c>
      <c r="N6065">
        <v>0</v>
      </c>
      <c r="O6065">
        <v>-0.61983109999999997</v>
      </c>
      <c r="P6065">
        <v>0.64775590000000005</v>
      </c>
      <c r="Q6065">
        <v>1.56054E-2</v>
      </c>
      <c r="R6065">
        <v>-0.76168849999999999</v>
      </c>
      <c r="S6065">
        <v>1.0772710000000001</v>
      </c>
      <c r="T6065">
        <v>-0.60744639999999905</v>
      </c>
      <c r="U6065">
        <v>-3.0553590000000002</v>
      </c>
      <c r="V6065">
        <v>0.1969214</v>
      </c>
      <c r="W6065">
        <v>2.714188E-2</v>
      </c>
      <c r="X6065">
        <v>0.98004349999999996</v>
      </c>
      <c r="Y6065">
        <v>0.53375319999999904</v>
      </c>
      <c r="Z6065">
        <v>7.2805640000000005E-2</v>
      </c>
      <c r="AA6065">
        <v>0.84250040000000004</v>
      </c>
      <c r="AB6065">
        <v>29</v>
      </c>
      <c r="AC6065">
        <v>1.7262</v>
      </c>
      <c r="AD6065">
        <v>-1.099607</v>
      </c>
      <c r="AE6065">
        <v>-5.3415939999999997</v>
      </c>
      <c r="AF6065">
        <v>3.0059012276802499</v>
      </c>
      <c r="AG6065">
        <v>-1.099607</v>
      </c>
      <c r="AH6065">
        <v>4.4934474025710101</v>
      </c>
      <c r="AI6065">
        <v>101.49707242192299</v>
      </c>
      <c r="AJ6065">
        <v>56.219372033613404</v>
      </c>
      <c r="AK6065">
        <v>5.5168512128469498</v>
      </c>
      <c r="AL6065">
        <v>88.444693812626099</v>
      </c>
      <c r="AM6065">
        <v>78.638770273722102</v>
      </c>
      <c r="AN6065">
        <v>0.99999999066007195</v>
      </c>
    </row>
    <row r="6066" spans="1:40" x14ac:dyDescent="0.25">
      <c r="A6066" t="str">
        <f>"20190312154955289"</f>
        <v>20190312154955289</v>
      </c>
      <c r="B6066" t="str">
        <f>"1552376995282185"</f>
        <v>1552376995282185</v>
      </c>
      <c r="C6066" t="s">
        <v>40</v>
      </c>
      <c r="D6066">
        <v>4.8289710000000001</v>
      </c>
      <c r="E6066">
        <v>0.64908719999999998</v>
      </c>
      <c r="F6066" t="s">
        <v>43</v>
      </c>
      <c r="G6066">
        <v>-308.85039999999998</v>
      </c>
      <c r="H6066">
        <v>-0.05</v>
      </c>
      <c r="I6066">
        <v>6.7370150000000004</v>
      </c>
      <c r="J6066">
        <v>-310.53899999999999</v>
      </c>
      <c r="K6066">
        <v>1.049509</v>
      </c>
      <c r="L6066">
        <v>12.17465</v>
      </c>
      <c r="M6066">
        <v>0.77572259999999904</v>
      </c>
      <c r="N6066">
        <v>0</v>
      </c>
      <c r="O6066">
        <v>-0.63084379999999995</v>
      </c>
      <c r="P6066">
        <v>0.63674969999999997</v>
      </c>
      <c r="Q6066">
        <v>1.42601E-2</v>
      </c>
      <c r="R6066">
        <v>-0.77093859999999903</v>
      </c>
      <c r="S6066">
        <v>1.041382</v>
      </c>
      <c r="T6066">
        <v>-0.59818490000000002</v>
      </c>
      <c r="U6066">
        <v>-3.065277</v>
      </c>
      <c r="V6066">
        <v>0.19713939999999999</v>
      </c>
      <c r="W6066">
        <v>2.5654659999999999E-2</v>
      </c>
      <c r="X6066">
        <v>0.98003969999999896</v>
      </c>
      <c r="Y6066">
        <v>0.53160869999999905</v>
      </c>
      <c r="Z6066">
        <v>7.4432419999999999E-2</v>
      </c>
      <c r="AA6066">
        <v>0.84371319999999905</v>
      </c>
      <c r="AB6066">
        <v>29</v>
      </c>
      <c r="AC6066">
        <v>1.6886000000000001</v>
      </c>
      <c r="AD6066">
        <v>-1.0995090000000001</v>
      </c>
      <c r="AE6066">
        <v>-5.4376350000000002</v>
      </c>
      <c r="AF6066">
        <v>3.0399512621233402</v>
      </c>
      <c r="AG6066">
        <v>-1.0995090000000001</v>
      </c>
      <c r="AH6066">
        <v>4.5704396831812204</v>
      </c>
      <c r="AI6066">
        <v>101.32688265861999</v>
      </c>
      <c r="AJ6066">
        <v>56.370801710296398</v>
      </c>
      <c r="AK6066">
        <v>5.5981374237119201</v>
      </c>
      <c r="AL6066">
        <v>88.5299349102078</v>
      </c>
      <c r="AM6066">
        <v>78.626477611653996</v>
      </c>
      <c r="AN6066">
        <v>0.99999995909408101</v>
      </c>
    </row>
    <row r="6067" spans="1:40" x14ac:dyDescent="0.25">
      <c r="A6067" t="str">
        <f>"20190312154955310"</f>
        <v>20190312154955310</v>
      </c>
      <c r="B6067" t="str">
        <f>"1552376995301705"</f>
        <v>1552376995301705</v>
      </c>
      <c r="C6067" t="s">
        <v>40</v>
      </c>
      <c r="D6067">
        <v>4.8635919999999997</v>
      </c>
      <c r="E6067">
        <v>0.64814209999999906</v>
      </c>
      <c r="F6067" t="s">
        <v>43</v>
      </c>
      <c r="G6067">
        <v>-308.68009999999998</v>
      </c>
      <c r="H6067">
        <v>-0.05</v>
      </c>
      <c r="I6067">
        <v>6.4979250000000004</v>
      </c>
      <c r="J6067">
        <v>-310.3254</v>
      </c>
      <c r="K6067">
        <v>1.0494380000000001</v>
      </c>
      <c r="L6067">
        <v>11.98306</v>
      </c>
      <c r="M6067">
        <v>0.7671441</v>
      </c>
      <c r="N6067">
        <v>0</v>
      </c>
      <c r="O6067">
        <v>-0.64125209999999999</v>
      </c>
      <c r="P6067">
        <v>0.62554759999999998</v>
      </c>
      <c r="Q6067">
        <v>1.237567E-2</v>
      </c>
      <c r="R6067">
        <v>-0.78008789999999995</v>
      </c>
      <c r="S6067">
        <v>1.005798</v>
      </c>
      <c r="T6067">
        <v>-0.59494029999999998</v>
      </c>
      <c r="U6067">
        <v>-3.0716549999999998</v>
      </c>
      <c r="V6067">
        <v>0.19804079999999999</v>
      </c>
      <c r="W6067">
        <v>2.36292E-2</v>
      </c>
      <c r="X6067">
        <v>0.97990889999999997</v>
      </c>
      <c r="Y6067">
        <v>0.52962240000000005</v>
      </c>
      <c r="Z6067">
        <v>7.6662789999999995E-2</v>
      </c>
      <c r="AA6067">
        <v>0.84476200000000001</v>
      </c>
      <c r="AB6067">
        <v>29</v>
      </c>
      <c r="AC6067">
        <v>1.64530000000002</v>
      </c>
      <c r="AD6067">
        <v>-1.0994379999999999</v>
      </c>
      <c r="AE6067">
        <v>-5.4851349999999996</v>
      </c>
      <c r="AF6067">
        <v>3.0411902025172401</v>
      </c>
      <c r="AG6067">
        <v>-1.0994379999999999</v>
      </c>
      <c r="AH6067">
        <v>4.6102859867239596</v>
      </c>
      <c r="AI6067">
        <v>101.258423898695</v>
      </c>
      <c r="AJ6067">
        <v>56.589029465288803</v>
      </c>
      <c r="AK6067">
        <v>5.6313709381565502</v>
      </c>
      <c r="AL6067">
        <v>88.646020516229001</v>
      </c>
      <c r="AM6067">
        <v>78.574352938979899</v>
      </c>
      <c r="AN6067">
        <v>0.999999974928244</v>
      </c>
    </row>
    <row r="6068" spans="1:40" x14ac:dyDescent="0.25">
      <c r="A6068" t="str">
        <f>"20190312154955334"</f>
        <v>20190312154955334</v>
      </c>
      <c r="B6068" t="str">
        <f>"1552376995322201"</f>
        <v>1552376995322201</v>
      </c>
      <c r="C6068" t="s">
        <v>40</v>
      </c>
      <c r="D6068">
        <v>4.8455380000000003</v>
      </c>
      <c r="E6068">
        <v>0.64713229999999999</v>
      </c>
      <c r="F6068" t="s">
        <v>43</v>
      </c>
      <c r="G6068">
        <v>-308.56349999999998</v>
      </c>
      <c r="H6068">
        <v>-0.05</v>
      </c>
      <c r="I6068">
        <v>6.3698579999999998</v>
      </c>
      <c r="J6068">
        <v>-310.09309999999999</v>
      </c>
      <c r="K6068">
        <v>1.0493920000000001</v>
      </c>
      <c r="L6068">
        <v>11.76877</v>
      </c>
      <c r="M6068">
        <v>0.75756179999999995</v>
      </c>
      <c r="N6068">
        <v>0</v>
      </c>
      <c r="O6068">
        <v>-0.65254860000000003</v>
      </c>
      <c r="P6068">
        <v>0.61338729999999997</v>
      </c>
      <c r="Q6068">
        <v>1.0905700000000001E-2</v>
      </c>
      <c r="R6068">
        <v>-0.7897071</v>
      </c>
      <c r="S6068">
        <v>0.96676640000000003</v>
      </c>
      <c r="T6068">
        <v>-0.60327719999999996</v>
      </c>
      <c r="U6068">
        <v>-3.0800480000000001</v>
      </c>
      <c r="V6068">
        <v>0.19867309999999999</v>
      </c>
      <c r="W6068">
        <v>2.203364E-2</v>
      </c>
      <c r="X6068">
        <v>0.97981810000000003</v>
      </c>
      <c r="Y6068">
        <v>0.52756230000000004</v>
      </c>
      <c r="Z6068">
        <v>8.0565769999999995E-2</v>
      </c>
      <c r="AA6068">
        <v>0.84568739999999998</v>
      </c>
      <c r="AB6068">
        <v>29</v>
      </c>
      <c r="AC6068">
        <v>1.5296000000000101</v>
      </c>
      <c r="AD6068">
        <v>-1.0993919999999999</v>
      </c>
      <c r="AE6068">
        <v>-5.3989120000000002</v>
      </c>
      <c r="AF6068">
        <v>2.9779945945019302</v>
      </c>
      <c r="AG6068">
        <v>-1.0993919999999999</v>
      </c>
      <c r="AH6068">
        <v>4.5093831432071996</v>
      </c>
      <c r="AI6068">
        <v>101.499389777224</v>
      </c>
      <c r="AJ6068">
        <v>56.559245468023697</v>
      </c>
      <c r="AK6068">
        <v>5.5146759566440497</v>
      </c>
      <c r="AL6068">
        <v>88.737463244650002</v>
      </c>
      <c r="AM6068">
        <v>78.537803302491</v>
      </c>
      <c r="AN6068">
        <v>0.99999999552143404</v>
      </c>
    </row>
    <row r="6069" spans="1:40" x14ac:dyDescent="0.25">
      <c r="A6069" t="str">
        <f>"20190312154955355"</f>
        <v>20190312154955355</v>
      </c>
      <c r="B6069" t="str">
        <f>"1552376995351481"</f>
        <v>1552376995351481</v>
      </c>
      <c r="C6069" t="s">
        <v>40</v>
      </c>
      <c r="D6069">
        <v>4.8698839999999999</v>
      </c>
      <c r="E6069">
        <v>0.63118629999999998</v>
      </c>
      <c r="F6069" t="s">
        <v>43</v>
      </c>
      <c r="G6069">
        <v>-308.42509999999999</v>
      </c>
      <c r="H6069">
        <v>-0.05</v>
      </c>
      <c r="I6069">
        <v>6.1988979999999998</v>
      </c>
      <c r="J6069">
        <v>-309.8956</v>
      </c>
      <c r="K6069">
        <v>1.0493729999999999</v>
      </c>
      <c r="L6069">
        <v>11.58151</v>
      </c>
      <c r="M6069">
        <v>0.74920569999999997</v>
      </c>
      <c r="N6069">
        <v>0</v>
      </c>
      <c r="O6069">
        <v>-0.6621283</v>
      </c>
      <c r="P6069">
        <v>0.6033423</v>
      </c>
      <c r="Q6069">
        <v>9.6107559999999998E-3</v>
      </c>
      <c r="R6069">
        <v>-0.79742449999999998</v>
      </c>
      <c r="S6069">
        <v>0.92501829999999996</v>
      </c>
      <c r="T6069">
        <v>-0.60967360000000004</v>
      </c>
      <c r="U6069">
        <v>-3.0888059999999999</v>
      </c>
      <c r="V6069">
        <v>0.1985894</v>
      </c>
      <c r="W6069">
        <v>2.0663999999999998E-2</v>
      </c>
      <c r="X6069">
        <v>0.97986490000000004</v>
      </c>
      <c r="Y6069">
        <v>0.52797700000000003</v>
      </c>
      <c r="Z6069">
        <v>8.3678370000000002E-2</v>
      </c>
      <c r="AA6069">
        <v>0.84512619999999905</v>
      </c>
      <c r="AB6069">
        <v>29</v>
      </c>
      <c r="AC6069">
        <v>1.4705000000000099</v>
      </c>
      <c r="AD6069">
        <v>-1.0993729999999999</v>
      </c>
      <c r="AE6069">
        <v>-5.3826119999999902</v>
      </c>
      <c r="AF6069">
        <v>2.9451213015650701</v>
      </c>
      <c r="AG6069">
        <v>-1.0993729999999999</v>
      </c>
      <c r="AH6069">
        <v>4.4919600704242804</v>
      </c>
      <c r="AI6069">
        <v>101.567163846087</v>
      </c>
      <c r="AJ6069">
        <v>56.749435955875299</v>
      </c>
      <c r="AK6069">
        <v>5.4827060607283498</v>
      </c>
      <c r="AL6069">
        <v>88.815955721262398</v>
      </c>
      <c r="AM6069">
        <v>78.543037292326602</v>
      </c>
      <c r="AN6069">
        <v>0.99999998647018495</v>
      </c>
    </row>
    <row r="6070" spans="1:40" x14ac:dyDescent="0.25">
      <c r="A6070" t="str">
        <f>"20190312154955376"</f>
        <v>20190312154955376</v>
      </c>
      <c r="B6070" t="str">
        <f>"1552376995371977"</f>
        <v>1552376995371977</v>
      </c>
      <c r="C6070" t="s">
        <v>40</v>
      </c>
      <c r="D6070">
        <v>4.9082350000000003</v>
      </c>
      <c r="E6070">
        <v>0.62979640000000003</v>
      </c>
      <c r="F6070" t="s">
        <v>43</v>
      </c>
      <c r="G6070">
        <v>-308.27760000000001</v>
      </c>
      <c r="H6070">
        <v>-0.05</v>
      </c>
      <c r="I6070">
        <v>6.6326289999999997</v>
      </c>
      <c r="J6070">
        <v>-309.69159999999999</v>
      </c>
      <c r="K6070">
        <v>1.049383</v>
      </c>
      <c r="L6070">
        <v>11.38321</v>
      </c>
      <c r="M6070">
        <v>0.74038549999999903</v>
      </c>
      <c r="N6070">
        <v>0</v>
      </c>
      <c r="O6070">
        <v>-0.67197949999999995</v>
      </c>
      <c r="P6070">
        <v>0.59303549999999905</v>
      </c>
      <c r="Q6070">
        <v>8.9356009999999996E-3</v>
      </c>
      <c r="R6070">
        <v>-0.80512720000000004</v>
      </c>
      <c r="S6070">
        <v>0.98815920000000002</v>
      </c>
      <c r="T6070">
        <v>-0.67144740000000003</v>
      </c>
      <c r="U6070">
        <v>-3.0225520000000001</v>
      </c>
      <c r="V6070">
        <v>0.1982159</v>
      </c>
      <c r="W6070">
        <v>1.9933159999999998E-2</v>
      </c>
      <c r="X6070">
        <v>0.97995569999999999</v>
      </c>
      <c r="Y6070">
        <v>0.49578800000000001</v>
      </c>
      <c r="Z6070">
        <v>9.8800479999999996E-2</v>
      </c>
      <c r="AA6070">
        <v>0.86280519999999905</v>
      </c>
      <c r="AB6070">
        <v>29</v>
      </c>
      <c r="AC6070">
        <v>1.4139999999999799</v>
      </c>
      <c r="AD6070">
        <v>-1.099383</v>
      </c>
      <c r="AE6070">
        <v>-4.7505809999999897</v>
      </c>
      <c r="AF6070">
        <v>2.4470453080494301</v>
      </c>
      <c r="AG6070">
        <v>-1.099383</v>
      </c>
      <c r="AH6070">
        <v>4.0409729055333701</v>
      </c>
      <c r="AI6070">
        <v>103.10047553822299</v>
      </c>
      <c r="AJ6070">
        <v>58.802644087196398</v>
      </c>
      <c r="AK6070">
        <v>4.8503748044445603</v>
      </c>
      <c r="AL6070">
        <v>88.857838442441206</v>
      </c>
      <c r="AM6070">
        <v>78.565048600761003</v>
      </c>
      <c r="AN6070">
        <v>1.0000000239214399</v>
      </c>
    </row>
    <row r="6071" spans="1:40" x14ac:dyDescent="0.25">
      <c r="A6071" t="str">
        <f>"20190312154955400"</f>
        <v>20190312154955400</v>
      </c>
      <c r="B6071" t="str">
        <f>"1552376995391497"</f>
        <v>1552376995391497</v>
      </c>
      <c r="C6071" t="s">
        <v>40</v>
      </c>
      <c r="D6071">
        <v>4.873507</v>
      </c>
      <c r="E6071">
        <v>0.62881730000000002</v>
      </c>
      <c r="F6071" t="s">
        <v>43</v>
      </c>
      <c r="G6071">
        <v>-308.1388</v>
      </c>
      <c r="H6071">
        <v>-0.05</v>
      </c>
      <c r="I6071">
        <v>6.4801029999999997</v>
      </c>
      <c r="J6071">
        <v>-309.47820000000002</v>
      </c>
      <c r="K6071">
        <v>1.0494159999999999</v>
      </c>
      <c r="L6071">
        <v>11.17014</v>
      </c>
      <c r="M6071">
        <v>0.73095140000000003</v>
      </c>
      <c r="N6071">
        <v>0</v>
      </c>
      <c r="O6071">
        <v>-0.68223219999999996</v>
      </c>
      <c r="P6071">
        <v>0.58185390000000003</v>
      </c>
      <c r="Q6071">
        <v>7.8749489999999991E-3</v>
      </c>
      <c r="R6071">
        <v>-0.81325530000000001</v>
      </c>
      <c r="S6071">
        <v>0.95880129999999997</v>
      </c>
      <c r="T6071">
        <v>-0.67881859999999905</v>
      </c>
      <c r="U6071">
        <v>-3.0274350000000001</v>
      </c>
      <c r="V6071">
        <v>0.19807420000000001</v>
      </c>
      <c r="W6071">
        <v>1.8818049999999999E-2</v>
      </c>
      <c r="X6071">
        <v>0.98000640000000006</v>
      </c>
      <c r="Y6071">
        <v>0.49184679999999997</v>
      </c>
      <c r="Z6071">
        <v>0.10301630000000001</v>
      </c>
      <c r="AA6071">
        <v>0.86456599999999995</v>
      </c>
      <c r="AB6071">
        <v>29</v>
      </c>
      <c r="AC6071">
        <v>1.3394000000000099</v>
      </c>
      <c r="AD6071">
        <v>-1.0994159999999999</v>
      </c>
      <c r="AE6071">
        <v>-4.6900370000000002</v>
      </c>
      <c r="AF6071">
        <v>2.39315729762441</v>
      </c>
      <c r="AG6071">
        <v>-1.0994159999999999</v>
      </c>
      <c r="AH6071">
        <v>3.9772233950340601</v>
      </c>
      <c r="AI6071">
        <v>103.325264234947</v>
      </c>
      <c r="AJ6071">
        <v>58.964021904601402</v>
      </c>
      <c r="AK6071">
        <v>4.7701387114249902</v>
      </c>
      <c r="AL6071">
        <v>88.921741539214693</v>
      </c>
      <c r="AM6071">
        <v>78.573583679845299</v>
      </c>
      <c r="AN6071">
        <v>1.0000000258762001</v>
      </c>
    </row>
    <row r="6072" spans="1:40" x14ac:dyDescent="0.25">
      <c r="A6072" t="str">
        <f>"20190312154955422"</f>
        <v>20190312154955422</v>
      </c>
      <c r="B6072" t="str">
        <f>"1552376995411993"</f>
        <v>1552376995411993</v>
      </c>
      <c r="C6072" t="s">
        <v>40</v>
      </c>
      <c r="D6072">
        <v>4.9177379999999999</v>
      </c>
      <c r="E6072">
        <v>0.62746409999999997</v>
      </c>
      <c r="F6072" t="s">
        <v>43</v>
      </c>
      <c r="G6072">
        <v>-307.98930000000001</v>
      </c>
      <c r="H6072">
        <v>-0.05</v>
      </c>
      <c r="I6072">
        <v>6.283493</v>
      </c>
      <c r="J6072">
        <v>-309.2756</v>
      </c>
      <c r="K6072">
        <v>1.049474</v>
      </c>
      <c r="L6072">
        <v>10.96237</v>
      </c>
      <c r="M6072">
        <v>0.72179780000000004</v>
      </c>
      <c r="N6072">
        <v>0</v>
      </c>
      <c r="O6072">
        <v>-0.69191169999999902</v>
      </c>
      <c r="P6072">
        <v>0.57120519999999997</v>
      </c>
      <c r="Q6072">
        <v>8.0502979999999991E-3</v>
      </c>
      <c r="R6072">
        <v>-0.82076789999999999</v>
      </c>
      <c r="S6072">
        <v>0.92446899999999999</v>
      </c>
      <c r="T6072">
        <v>-0.68262199999999995</v>
      </c>
      <c r="U6072">
        <v>-3.0340880000000001</v>
      </c>
      <c r="V6072">
        <v>0.1977855</v>
      </c>
      <c r="W6072">
        <v>1.8956779999999999E-2</v>
      </c>
      <c r="X6072">
        <v>0.98006199999999999</v>
      </c>
      <c r="Y6072">
        <v>0.48984810000000001</v>
      </c>
      <c r="Z6072">
        <v>0.10641979999999999</v>
      </c>
      <c r="AA6072">
        <v>0.86528819999999995</v>
      </c>
      <c r="AB6072">
        <v>29</v>
      </c>
      <c r="AC6072">
        <v>1.28629999999998</v>
      </c>
      <c r="AD6072">
        <v>-1.0994740000000001</v>
      </c>
      <c r="AE6072">
        <v>-4.678877</v>
      </c>
      <c r="AF6072">
        <v>2.36605794366004</v>
      </c>
      <c r="AG6072">
        <v>-1.0994740000000001</v>
      </c>
      <c r="AH6072">
        <v>3.9629216917946</v>
      </c>
      <c r="AI6072">
        <v>103.39886325081901</v>
      </c>
      <c r="AJ6072">
        <v>59.160733974259003</v>
      </c>
      <c r="AK6072">
        <v>4.7446624331693998</v>
      </c>
      <c r="AL6072">
        <v>88.913791442790597</v>
      </c>
      <c r="AM6072">
        <v>78.590431255681494</v>
      </c>
      <c r="AN6072">
        <v>0.99999999368110903</v>
      </c>
    </row>
    <row r="6073" spans="1:40" x14ac:dyDescent="0.25">
      <c r="A6073" t="str">
        <f>"20190312154955445"</f>
        <v>20190312154955445</v>
      </c>
      <c r="B6073" t="str">
        <f>"1552376995431513"</f>
        <v>1552376995431513</v>
      </c>
      <c r="C6073" t="s">
        <v>40</v>
      </c>
      <c r="D6073">
        <v>4.964766</v>
      </c>
      <c r="E6073">
        <v>0.626324199999999</v>
      </c>
      <c r="F6073" t="s">
        <v>43</v>
      </c>
      <c r="G6073">
        <v>-307.83080000000001</v>
      </c>
      <c r="H6073">
        <v>-0.05</v>
      </c>
      <c r="I6073">
        <v>6.0507660000000003</v>
      </c>
      <c r="J6073">
        <v>-309.06909999999999</v>
      </c>
      <c r="K6073">
        <v>1.049542</v>
      </c>
      <c r="L6073">
        <v>10.745150000000001</v>
      </c>
      <c r="M6073">
        <v>0.71227959999999901</v>
      </c>
      <c r="N6073">
        <v>0</v>
      </c>
      <c r="O6073">
        <v>-0.70170829999999995</v>
      </c>
      <c r="P6073">
        <v>0.55981159999999996</v>
      </c>
      <c r="Q6073">
        <v>8.6707989999999999E-3</v>
      </c>
      <c r="R6073">
        <v>-0.82857499999999995</v>
      </c>
      <c r="S6073">
        <v>0.89407349999999997</v>
      </c>
      <c r="T6073">
        <v>-0.68041070000000003</v>
      </c>
      <c r="U6073">
        <v>-3.0395509999999999</v>
      </c>
      <c r="V6073">
        <v>0.19794139999999999</v>
      </c>
      <c r="W6073">
        <v>1.953556E-2</v>
      </c>
      <c r="X6073">
        <v>0.98001919999999998</v>
      </c>
      <c r="Y6073">
        <v>0.48644169999999998</v>
      </c>
      <c r="Z6073">
        <v>0.10908610000000001</v>
      </c>
      <c r="AA6073">
        <v>0.86687639999999999</v>
      </c>
      <c r="AB6073">
        <v>29</v>
      </c>
      <c r="AC6073">
        <v>1.23829999999998</v>
      </c>
      <c r="AD6073">
        <v>-1.099542</v>
      </c>
      <c r="AE6073">
        <v>-4.6943839999999897</v>
      </c>
      <c r="AF6073">
        <v>2.3543540354153398</v>
      </c>
      <c r="AG6073">
        <v>-1.099542</v>
      </c>
      <c r="AH6073">
        <v>3.9728757155357202</v>
      </c>
      <c r="AI6073">
        <v>103.392469078918</v>
      </c>
      <c r="AJ6073">
        <v>59.348720291167197</v>
      </c>
      <c r="AK6073">
        <v>4.7471798981009696</v>
      </c>
      <c r="AL6073">
        <v>88.880623692666106</v>
      </c>
      <c r="AM6073">
        <v>78.581188492525996</v>
      </c>
      <c r="AN6073">
        <v>1.00000003415355</v>
      </c>
    </row>
    <row r="6074" spans="1:40" x14ac:dyDescent="0.25">
      <c r="A6074" t="str">
        <f>"20190312154955467"</f>
        <v>20190312154955467</v>
      </c>
      <c r="B6074" t="str">
        <f>"1552376995461768"</f>
        <v>1552376995461768</v>
      </c>
      <c r="C6074" t="s">
        <v>40</v>
      </c>
      <c r="D6074">
        <v>4.9647259999999998</v>
      </c>
      <c r="E6074">
        <v>0.61735109999999904</v>
      </c>
      <c r="F6074" t="s">
        <v>43</v>
      </c>
      <c r="G6074">
        <v>-307.6266</v>
      </c>
      <c r="H6074">
        <v>-0.05</v>
      </c>
      <c r="I6074">
        <v>5.6302029999999998</v>
      </c>
      <c r="J6074">
        <v>-308.875</v>
      </c>
      <c r="K6074">
        <v>1.0496209999999999</v>
      </c>
      <c r="L6074">
        <v>10.53491</v>
      </c>
      <c r="M6074">
        <v>0.70313630000000005</v>
      </c>
      <c r="N6074">
        <v>0</v>
      </c>
      <c r="O6074">
        <v>-0.71087159999999905</v>
      </c>
      <c r="P6074">
        <v>0.54897680000000004</v>
      </c>
      <c r="Q6074">
        <v>9.8539630000000003E-3</v>
      </c>
      <c r="R6074">
        <v>-0.83577950000000001</v>
      </c>
      <c r="S6074">
        <v>0.85928340000000003</v>
      </c>
      <c r="T6074">
        <v>-0.65499759999999996</v>
      </c>
      <c r="U6074">
        <v>-3.046967</v>
      </c>
      <c r="V6074">
        <v>0.19802649999999999</v>
      </c>
      <c r="W6074">
        <v>2.0687839999999999E-2</v>
      </c>
      <c r="X6074">
        <v>0.97997829999999997</v>
      </c>
      <c r="Y6074">
        <v>0.48487130000000001</v>
      </c>
      <c r="Z6074">
        <v>0.10769189999999999</v>
      </c>
      <c r="AA6074">
        <v>0.86792990000000003</v>
      </c>
      <c r="AB6074">
        <v>29</v>
      </c>
      <c r="AC6074">
        <v>1.2484</v>
      </c>
      <c r="AD6074">
        <v>-1.099621</v>
      </c>
      <c r="AE6074">
        <v>-4.9047070000000001</v>
      </c>
      <c r="AF6074">
        <v>2.44608942493951</v>
      </c>
      <c r="AG6074">
        <v>-1.099621</v>
      </c>
      <c r="AH6074">
        <v>4.1682167393552598</v>
      </c>
      <c r="AI6074">
        <v>102.818060902456</v>
      </c>
      <c r="AJ6074">
        <v>59.593750403020699</v>
      </c>
      <c r="AK6074">
        <v>4.9564655355084799</v>
      </c>
      <c r="AL6074">
        <v>88.814589484143298</v>
      </c>
      <c r="AM6074">
        <v>78.575944067161402</v>
      </c>
      <c r="AN6074">
        <v>0.99999997494850201</v>
      </c>
    </row>
    <row r="6075" spans="1:40" x14ac:dyDescent="0.25">
      <c r="A6075" t="str">
        <f>"20190312154955491"</f>
        <v>20190312154955491</v>
      </c>
      <c r="B6075" t="str">
        <f>"1552376995481810"</f>
        <v>1552376995481810</v>
      </c>
      <c r="C6075" t="s">
        <v>40</v>
      </c>
      <c r="D6075">
        <v>4.997636</v>
      </c>
      <c r="E6075">
        <v>0.61638519999999997</v>
      </c>
      <c r="F6075" t="s">
        <v>43</v>
      </c>
      <c r="G6075">
        <v>-307.03149999999999</v>
      </c>
      <c r="H6075">
        <v>-0.05</v>
      </c>
      <c r="I6075">
        <v>4.1867979999999996</v>
      </c>
      <c r="J6075">
        <v>-308.67009999999999</v>
      </c>
      <c r="K6075">
        <v>1.049698</v>
      </c>
      <c r="L6075">
        <v>10.30716</v>
      </c>
      <c r="M6075">
        <v>0.69328769999999995</v>
      </c>
      <c r="N6075">
        <v>0</v>
      </c>
      <c r="O6075">
        <v>-0.72048179999999995</v>
      </c>
      <c r="P6075">
        <v>0.5373346</v>
      </c>
      <c r="Q6075">
        <v>1.0732159999999999E-2</v>
      </c>
      <c r="R6075">
        <v>-0.84330119999999897</v>
      </c>
      <c r="S6075">
        <v>0.8769226</v>
      </c>
      <c r="T6075">
        <v>-0.52306569999999997</v>
      </c>
      <c r="U6075">
        <v>-3.0196529999999999</v>
      </c>
      <c r="V6075">
        <v>0.19813639999999999</v>
      </c>
      <c r="W6075">
        <v>2.1536420000000001E-2</v>
      </c>
      <c r="X6075">
        <v>0.97993790000000003</v>
      </c>
      <c r="Y6075">
        <v>0.4657907</v>
      </c>
      <c r="Z6075">
        <v>9.0387670000000003E-2</v>
      </c>
      <c r="AA6075">
        <v>0.88026649999999995</v>
      </c>
      <c r="AB6075">
        <v>29</v>
      </c>
      <c r="AC6075">
        <v>1.6385999999999901</v>
      </c>
      <c r="AD6075">
        <v>-1.0996980000000001</v>
      </c>
      <c r="AE6075">
        <v>-6.1203620000000001</v>
      </c>
      <c r="AF6075">
        <v>2.9734113814074101</v>
      </c>
      <c r="AG6075">
        <v>-1.0996980000000001</v>
      </c>
      <c r="AH6075">
        <v>5.3841487570870799</v>
      </c>
      <c r="AI6075">
        <v>100.137052042851</v>
      </c>
      <c r="AJ6075">
        <v>61.090200670608901</v>
      </c>
      <c r="AK6075">
        <v>6.2481652325086197</v>
      </c>
      <c r="AL6075">
        <v>88.765958705979898</v>
      </c>
      <c r="AM6075">
        <v>78.569311995038504</v>
      </c>
      <c r="AN6075">
        <v>1.0000000691238899</v>
      </c>
    </row>
    <row r="6076" spans="1:40" x14ac:dyDescent="0.25">
      <c r="A6076" t="str">
        <f>"20190312154955512"</f>
        <v>20190312154955512</v>
      </c>
      <c r="B6076" t="str">
        <f>"1552376995502292"</f>
        <v>1552376995502292</v>
      </c>
      <c r="C6076" t="s">
        <v>40</v>
      </c>
      <c r="D6076">
        <v>4.9933180000000004</v>
      </c>
      <c r="E6076">
        <v>0.61564300000000005</v>
      </c>
      <c r="F6076" t="s">
        <v>43</v>
      </c>
      <c r="G6076">
        <v>-306.88670000000002</v>
      </c>
      <c r="H6076">
        <v>-0.05</v>
      </c>
      <c r="I6076">
        <v>3.8944399999999999</v>
      </c>
      <c r="J6076">
        <v>-308.48939999999999</v>
      </c>
      <c r="K6076">
        <v>1.0497609999999999</v>
      </c>
      <c r="L6076">
        <v>10.101039999999999</v>
      </c>
      <c r="M6076">
        <v>0.684411199999999</v>
      </c>
      <c r="N6076">
        <v>0</v>
      </c>
      <c r="O6076">
        <v>-0.72892060000000003</v>
      </c>
      <c r="P6076">
        <v>0.52724079999999995</v>
      </c>
      <c r="Q6076">
        <v>1.1310519999999999E-2</v>
      </c>
      <c r="R6076">
        <v>-0.84964089999999903</v>
      </c>
      <c r="S6076">
        <v>0.84197999999999995</v>
      </c>
      <c r="T6076">
        <v>-0.51918609999999998</v>
      </c>
      <c r="U6076">
        <v>-3.0275569999999998</v>
      </c>
      <c r="V6076">
        <v>0.1978211</v>
      </c>
      <c r="W6076">
        <v>2.2101820000000001E-2</v>
      </c>
      <c r="X6076">
        <v>0.97998890000000005</v>
      </c>
      <c r="Y6076">
        <v>0.46500930000000001</v>
      </c>
      <c r="Z6076">
        <v>9.156765E-2</v>
      </c>
      <c r="AA6076">
        <v>0.880557699999999</v>
      </c>
      <c r="AB6076">
        <v>29</v>
      </c>
      <c r="AC6076">
        <v>1.60269999999997</v>
      </c>
      <c r="AD6076">
        <v>-1.099761</v>
      </c>
      <c r="AE6076">
        <v>-6.2065999999999901</v>
      </c>
      <c r="AF6076">
        <v>2.9919535854425598</v>
      </c>
      <c r="AG6076">
        <v>-1.099761</v>
      </c>
      <c r="AH6076">
        <v>5.4610030149778996</v>
      </c>
      <c r="AI6076">
        <v>100.015970471996</v>
      </c>
      <c r="AJ6076">
        <v>61.282714001492302</v>
      </c>
      <c r="AK6076">
        <v>6.3232756103273999</v>
      </c>
      <c r="AL6076">
        <v>88.733555823236699</v>
      </c>
      <c r="AM6076">
        <v>78.587602605533604</v>
      </c>
      <c r="AN6076">
        <v>0.99999996108786504</v>
      </c>
    </row>
    <row r="6077" spans="1:40" x14ac:dyDescent="0.25">
      <c r="A6077" t="str">
        <f>"20190312154955534"</f>
        <v>20190312154955534</v>
      </c>
      <c r="B6077" t="str">
        <f>"1552376995521813"</f>
        <v>1552376995521813</v>
      </c>
      <c r="C6077" t="s">
        <v>40</v>
      </c>
      <c r="D6077">
        <v>5.0383469999999999</v>
      </c>
      <c r="E6077">
        <v>0.61444829999999995</v>
      </c>
      <c r="F6077" t="s">
        <v>43</v>
      </c>
      <c r="G6077">
        <v>-306.76440000000002</v>
      </c>
      <c r="H6077">
        <v>-0.05</v>
      </c>
      <c r="I6077">
        <v>3.6449129999999998</v>
      </c>
      <c r="J6077">
        <v>-308.29930000000002</v>
      </c>
      <c r="K6077">
        <v>1.0498209999999999</v>
      </c>
      <c r="L6077">
        <v>9.8787540000000007</v>
      </c>
      <c r="M6077">
        <v>0.67487439999999999</v>
      </c>
      <c r="N6077">
        <v>0</v>
      </c>
      <c r="O6077">
        <v>-0.73776030000000004</v>
      </c>
      <c r="P6077">
        <v>0.51699929999999905</v>
      </c>
      <c r="Q6077">
        <v>1.104116E-2</v>
      </c>
      <c r="R6077">
        <v>-0.85591469999999903</v>
      </c>
      <c r="S6077">
        <v>0.81082149999999997</v>
      </c>
      <c r="T6077">
        <v>-0.51693120000000004</v>
      </c>
      <c r="U6077">
        <v>-3.034637</v>
      </c>
      <c r="V6077">
        <v>0.19683500000000001</v>
      </c>
      <c r="W6077">
        <v>2.1838659999999999E-2</v>
      </c>
      <c r="X6077">
        <v>0.98019339999999999</v>
      </c>
      <c r="Y6077">
        <v>0.46249620000000002</v>
      </c>
      <c r="Z6077">
        <v>9.3195539999999993E-2</v>
      </c>
      <c r="AA6077">
        <v>0.88170959999999998</v>
      </c>
      <c r="AB6077">
        <v>29</v>
      </c>
      <c r="AC6077">
        <v>1.5348999999999899</v>
      </c>
      <c r="AD6077">
        <v>-1.0998209999999999</v>
      </c>
      <c r="AE6077">
        <v>-6.2338409999999902</v>
      </c>
      <c r="AF6077">
        <v>2.9873900308905901</v>
      </c>
      <c r="AG6077">
        <v>-1.0998209999999999</v>
      </c>
      <c r="AH6077">
        <v>5.4749846681615502</v>
      </c>
      <c r="AI6077">
        <v>100.000647072357</v>
      </c>
      <c r="AJ6077">
        <v>61.381195274196003</v>
      </c>
      <c r="AK6077">
        <v>6.33321107695848</v>
      </c>
      <c r="AL6077">
        <v>88.748637498821196</v>
      </c>
      <c r="AM6077">
        <v>78.645317096417898</v>
      </c>
      <c r="AN6077">
        <v>1.00000002284957</v>
      </c>
    </row>
    <row r="6078" spans="1:40" x14ac:dyDescent="0.25">
      <c r="A6078" t="str">
        <f>"20190312154955567"</f>
        <v>20190312154955567</v>
      </c>
      <c r="B6078" t="str">
        <f>"1552376995561829"</f>
        <v>1552376995561829</v>
      </c>
      <c r="C6078" t="s">
        <v>40</v>
      </c>
      <c r="D6078">
        <v>5.0282539999999996</v>
      </c>
      <c r="E6078">
        <v>0.61236040000000003</v>
      </c>
      <c r="F6078" t="s">
        <v>43</v>
      </c>
      <c r="G6078">
        <v>-306.68759999999997</v>
      </c>
      <c r="H6078">
        <v>-0.05</v>
      </c>
      <c r="I6078">
        <v>3.6167600000000002</v>
      </c>
      <c r="J6078">
        <v>-308.02760000000001</v>
      </c>
      <c r="K6078">
        <v>1.049903</v>
      </c>
      <c r="L6078">
        <v>9.5510249999999992</v>
      </c>
      <c r="M6078">
        <v>0.660861699999999</v>
      </c>
      <c r="N6078">
        <v>0</v>
      </c>
      <c r="O6078">
        <v>-0.75034000000000001</v>
      </c>
      <c r="P6078">
        <v>0.50189549999999905</v>
      </c>
      <c r="Q6078">
        <v>1.037514E-2</v>
      </c>
      <c r="R6078">
        <v>-0.86486609999999997</v>
      </c>
      <c r="S6078">
        <v>0.78225710000000004</v>
      </c>
      <c r="T6078">
        <v>-0.53381820000000002</v>
      </c>
      <c r="U6078">
        <v>-3.0393680000000001</v>
      </c>
      <c r="V6078">
        <v>0.1955625</v>
      </c>
      <c r="W6078">
        <v>2.118126E-2</v>
      </c>
      <c r="X6078">
        <v>0.98046250000000001</v>
      </c>
      <c r="Y6078">
        <v>0.45404549999999999</v>
      </c>
      <c r="Z6078">
        <v>9.9490090000000003E-2</v>
      </c>
      <c r="AA6078">
        <v>0.88540629999999998</v>
      </c>
      <c r="AB6078">
        <v>28</v>
      </c>
      <c r="AC6078">
        <v>1.3400000000000301</v>
      </c>
      <c r="AD6078">
        <v>-1.0999030000000001</v>
      </c>
      <c r="AE6078">
        <v>-5.9342649999999999</v>
      </c>
      <c r="AF6078">
        <v>2.8243209926709798</v>
      </c>
      <c r="AG6078">
        <v>-1.0999030000000001</v>
      </c>
      <c r="AH6078">
        <v>5.1699521321019803</v>
      </c>
      <c r="AI6078">
        <v>100.575674328294</v>
      </c>
      <c r="AJ6078">
        <v>61.352423736593501</v>
      </c>
      <c r="AK6078">
        <v>5.9929108726291602</v>
      </c>
      <c r="AL6078">
        <v>88.786312464065603</v>
      </c>
      <c r="AM6078">
        <v>78.719851269605002</v>
      </c>
      <c r="AN6078">
        <v>1.0000000255438399</v>
      </c>
    </row>
    <row r="6079" spans="1:40" x14ac:dyDescent="0.25">
      <c r="A6079" t="str">
        <f>"20190312154955590"</f>
        <v>20190312154955590</v>
      </c>
      <c r="B6079" t="str">
        <f>"1552376995581349"</f>
        <v>1552376995581349</v>
      </c>
      <c r="C6079" t="s">
        <v>40</v>
      </c>
      <c r="D6079">
        <v>4.9918060000000004</v>
      </c>
      <c r="E6079">
        <v>0.61132600000000004</v>
      </c>
      <c r="F6079" t="s">
        <v>43</v>
      </c>
      <c r="G6079">
        <v>-306.58620000000002</v>
      </c>
      <c r="H6079">
        <v>-0.05</v>
      </c>
      <c r="I6079">
        <v>3.6454010000000001</v>
      </c>
      <c r="J6079">
        <v>-307.84410000000003</v>
      </c>
      <c r="K6079">
        <v>1.0499620000000001</v>
      </c>
      <c r="L6079">
        <v>9.3219600000000007</v>
      </c>
      <c r="M6079">
        <v>0.65111239999999904</v>
      </c>
      <c r="N6079">
        <v>0</v>
      </c>
      <c r="O6079">
        <v>-0.75881639999999995</v>
      </c>
      <c r="P6079">
        <v>0.49150890000000003</v>
      </c>
      <c r="Q6079">
        <v>1.015973E-2</v>
      </c>
      <c r="R6079">
        <v>-0.87081330000000001</v>
      </c>
      <c r="S6079">
        <v>0.74307250000000002</v>
      </c>
      <c r="T6079">
        <v>-0.56699919999999904</v>
      </c>
      <c r="U6079">
        <v>-3.0443419999999999</v>
      </c>
      <c r="V6079">
        <v>0.1946206</v>
      </c>
      <c r="W6079">
        <v>2.0976740000000001E-2</v>
      </c>
      <c r="X6079">
        <v>0.98065429999999998</v>
      </c>
      <c r="Y6079">
        <v>0.45377919999999999</v>
      </c>
      <c r="Z6079">
        <v>0.10761179999999999</v>
      </c>
      <c r="AA6079">
        <v>0.88459270000000001</v>
      </c>
      <c r="AB6079">
        <v>28</v>
      </c>
      <c r="AC6079">
        <v>1.2579</v>
      </c>
      <c r="AD6079">
        <v>-1.0999620000000001</v>
      </c>
      <c r="AE6079">
        <v>-5.6765590000000001</v>
      </c>
      <c r="AF6079">
        <v>2.6471630316571102</v>
      </c>
      <c r="AG6079">
        <v>-1.0999620000000001</v>
      </c>
      <c r="AH6079">
        <v>4.9499804244474603</v>
      </c>
      <c r="AI6079">
        <v>101.08687919481299</v>
      </c>
      <c r="AJ6079">
        <v>61.862907221875901</v>
      </c>
      <c r="AK6079">
        <v>5.7201131737081203</v>
      </c>
      <c r="AL6079">
        <v>88.798033204764394</v>
      </c>
      <c r="AM6079">
        <v>78.774937369223807</v>
      </c>
      <c r="AN6079">
        <v>1.00000002883693</v>
      </c>
    </row>
    <row r="6080" spans="1:40" x14ac:dyDescent="0.25">
      <c r="A6080" t="str">
        <f>"20190312154955611"</f>
        <v>20190312154955611</v>
      </c>
      <c r="B6080" t="str">
        <f>"1552376995601844"</f>
        <v>1552376995601844</v>
      </c>
      <c r="C6080" t="s">
        <v>40</v>
      </c>
      <c r="D6080">
        <v>5.0470160000000002</v>
      </c>
      <c r="E6080">
        <v>0.61054770000000003</v>
      </c>
      <c r="F6080" t="s">
        <v>43</v>
      </c>
      <c r="G6080">
        <v>-306.4796</v>
      </c>
      <c r="H6080">
        <v>-0.05</v>
      </c>
      <c r="I6080">
        <v>3.4936370000000001</v>
      </c>
      <c r="J6080">
        <v>-307.67149999999998</v>
      </c>
      <c r="K6080">
        <v>1.050014</v>
      </c>
      <c r="L6080">
        <v>9.1011050000000004</v>
      </c>
      <c r="M6080">
        <v>0.64172759999999995</v>
      </c>
      <c r="N6080">
        <v>0</v>
      </c>
      <c r="O6080">
        <v>-0.76677069999999903</v>
      </c>
      <c r="P6080">
        <v>0.48124309999999998</v>
      </c>
      <c r="Q6080">
        <v>9.7913849999999997E-3</v>
      </c>
      <c r="R6080">
        <v>-0.87653289999999995</v>
      </c>
      <c r="S6080">
        <v>0.71380619999999995</v>
      </c>
      <c r="T6080">
        <v>-0.57540690000000005</v>
      </c>
      <c r="U6080">
        <v>-3.048889</v>
      </c>
      <c r="V6080">
        <v>0.1940672</v>
      </c>
      <c r="W6080">
        <v>2.061203E-2</v>
      </c>
      <c r="X6080">
        <v>0.98077170000000002</v>
      </c>
      <c r="Y6080">
        <v>0.45124500000000001</v>
      </c>
      <c r="Z6080">
        <v>0.1112585</v>
      </c>
      <c r="AA6080">
        <v>0.88543749999999999</v>
      </c>
      <c r="AB6080">
        <v>28</v>
      </c>
      <c r="AC6080">
        <v>1.19189999999997</v>
      </c>
      <c r="AD6080">
        <v>-1.100014</v>
      </c>
      <c r="AE6080">
        <v>-5.6074679999999999</v>
      </c>
      <c r="AF6080">
        <v>2.58954214599573</v>
      </c>
      <c r="AG6080">
        <v>-1.100014</v>
      </c>
      <c r="AH6080">
        <v>4.8852755180937804</v>
      </c>
      <c r="AI6080">
        <v>101.251944391335</v>
      </c>
      <c r="AJ6080">
        <v>62.0732411985163</v>
      </c>
      <c r="AK6080">
        <v>5.6375239435208302</v>
      </c>
      <c r="AL6080">
        <v>88.818934069557201</v>
      </c>
      <c r="AM6080">
        <v>78.807354588654803</v>
      </c>
      <c r="AN6080">
        <v>1.00000003070872</v>
      </c>
    </row>
    <row r="6081" spans="1:40" x14ac:dyDescent="0.25">
      <c r="A6081" t="str">
        <f>"20190312154955635"</f>
        <v>20190312154955635</v>
      </c>
      <c r="B6081" t="str">
        <f>"1552376995621365"</f>
        <v>1552376995621365</v>
      </c>
      <c r="C6081" t="s">
        <v>40</v>
      </c>
      <c r="D6081">
        <v>5.0052079999999997</v>
      </c>
      <c r="E6081">
        <v>0.61109009999999997</v>
      </c>
      <c r="F6081" t="s">
        <v>43</v>
      </c>
      <c r="G6081">
        <v>-306.36149999999998</v>
      </c>
      <c r="H6081">
        <v>-0.05</v>
      </c>
      <c r="I6081">
        <v>3.2411189999999999</v>
      </c>
      <c r="J6081">
        <v>-307.49180000000001</v>
      </c>
      <c r="K6081">
        <v>1.050071</v>
      </c>
      <c r="L6081">
        <v>8.8648070000000008</v>
      </c>
      <c r="M6081">
        <v>0.63171180000000005</v>
      </c>
      <c r="N6081">
        <v>0</v>
      </c>
      <c r="O6081">
        <v>-0.77504379999999995</v>
      </c>
      <c r="P6081">
        <v>0.47025939999999999</v>
      </c>
      <c r="Q6081">
        <v>9.1410510000000007E-3</v>
      </c>
      <c r="R6081">
        <v>-0.88248099999999996</v>
      </c>
      <c r="S6081">
        <v>0.68276979999999998</v>
      </c>
      <c r="T6081">
        <v>-0.57331160000000003</v>
      </c>
      <c r="U6081">
        <v>-3.054138</v>
      </c>
      <c r="V6081">
        <v>0.19355720000000001</v>
      </c>
      <c r="W6081">
        <v>1.996701E-2</v>
      </c>
      <c r="X6081">
        <v>0.98088580000000003</v>
      </c>
      <c r="Y6081">
        <v>0.44859329999999997</v>
      </c>
      <c r="Z6081">
        <v>0.1130192</v>
      </c>
      <c r="AA6081">
        <v>0.88656119999999905</v>
      </c>
      <c r="AB6081">
        <v>28</v>
      </c>
      <c r="AC6081">
        <v>1.1303000000000301</v>
      </c>
      <c r="AD6081">
        <v>-1.100071</v>
      </c>
      <c r="AE6081">
        <v>-5.6236879999999996</v>
      </c>
      <c r="AF6081">
        <v>2.5818897334355801</v>
      </c>
      <c r="AG6081">
        <v>-1.100071</v>
      </c>
      <c r="AH6081">
        <v>4.8932855277049798</v>
      </c>
      <c r="AI6081">
        <v>101.245569160939</v>
      </c>
      <c r="AJ6081">
        <v>62.182109747591703</v>
      </c>
      <c r="AK6081">
        <v>5.6409710206938701</v>
      </c>
      <c r="AL6081">
        <v>88.855898580522606</v>
      </c>
      <c r="AM6081">
        <v>78.837294601745</v>
      </c>
      <c r="AN6081">
        <v>1.00000001190091</v>
      </c>
    </row>
    <row r="6082" spans="1:40" x14ac:dyDescent="0.25">
      <c r="A6082" t="str">
        <f>"20190312154955657"</f>
        <v>20190312154955657</v>
      </c>
      <c r="B6082" t="str">
        <f>"1552376995651621"</f>
        <v>1552376995651621</v>
      </c>
      <c r="C6082" t="s">
        <v>40</v>
      </c>
      <c r="D6082">
        <v>4.9733330000000002</v>
      </c>
      <c r="E6082">
        <v>0.6378644</v>
      </c>
      <c r="F6082" t="s">
        <v>43</v>
      </c>
      <c r="G6082">
        <v>-306.26940000000002</v>
      </c>
      <c r="H6082">
        <v>-0.05</v>
      </c>
      <c r="I6082">
        <v>3.019028</v>
      </c>
      <c r="J6082">
        <v>-307.31670000000003</v>
      </c>
      <c r="K6082">
        <v>1.0501339999999999</v>
      </c>
      <c r="L6082">
        <v>8.6286009999999997</v>
      </c>
      <c r="M6082">
        <v>0.62172680000000002</v>
      </c>
      <c r="N6082">
        <v>0</v>
      </c>
      <c r="O6082">
        <v>-0.78307689999999996</v>
      </c>
      <c r="P6082">
        <v>0.4589975</v>
      </c>
      <c r="Q6082">
        <v>7.5543199999999998E-3</v>
      </c>
      <c r="R6082">
        <v>-0.88840560000000002</v>
      </c>
      <c r="S6082">
        <v>0.64068599999999998</v>
      </c>
      <c r="T6082">
        <v>-0.57660149999999999</v>
      </c>
      <c r="U6082">
        <v>-3.0640559999999999</v>
      </c>
      <c r="V6082">
        <v>0.1934283</v>
      </c>
      <c r="W6082">
        <v>1.8380870000000001E-2</v>
      </c>
      <c r="X6082">
        <v>0.98094219999999999</v>
      </c>
      <c r="Y6082">
        <v>0.44943430000000001</v>
      </c>
      <c r="Z6082">
        <v>0.1154414</v>
      </c>
      <c r="AA6082">
        <v>0.88582289999999997</v>
      </c>
      <c r="AB6082">
        <v>28</v>
      </c>
      <c r="AC6082">
        <v>1.0472999999999999</v>
      </c>
      <c r="AD6082">
        <v>-1.1001339999999999</v>
      </c>
      <c r="AE6082">
        <v>-5.6095729999999904</v>
      </c>
      <c r="AF6082">
        <v>2.5722332071543299</v>
      </c>
      <c r="AG6082">
        <v>-1.1001339999999999</v>
      </c>
      <c r="AH6082">
        <v>4.8637157074268096</v>
      </c>
      <c r="AI6082">
        <v>101.30724892116901</v>
      </c>
      <c r="AJ6082">
        <v>62.1273491214613</v>
      </c>
      <c r="AK6082">
        <v>5.6109187280349904</v>
      </c>
      <c r="AL6082">
        <v>88.946794394876903</v>
      </c>
      <c r="AM6082">
        <v>78.845167237141894</v>
      </c>
      <c r="AN6082">
        <v>0.99999998168184301</v>
      </c>
    </row>
    <row r="6083" spans="1:40" x14ac:dyDescent="0.25">
      <c r="A6083" t="str">
        <f>"20190312154955679"</f>
        <v>20190312154955679</v>
      </c>
      <c r="B6083" t="str">
        <f>"1552376995672119"</f>
        <v>1552376995672119</v>
      </c>
      <c r="C6083" t="s">
        <v>40</v>
      </c>
      <c r="D6083">
        <v>4.9860230000000003</v>
      </c>
      <c r="E6083">
        <v>0.63662730000000001</v>
      </c>
      <c r="F6083" t="s">
        <v>43</v>
      </c>
      <c r="G6083">
        <v>-306.5061</v>
      </c>
      <c r="H6083">
        <v>-0.05</v>
      </c>
      <c r="I6083">
        <v>2.386978</v>
      </c>
      <c r="J6083">
        <v>-307.14819999999997</v>
      </c>
      <c r="K6083">
        <v>1.0501990000000001</v>
      </c>
      <c r="L6083">
        <v>8.3952939999999998</v>
      </c>
      <c r="M6083">
        <v>0.61190129999999998</v>
      </c>
      <c r="N6083">
        <v>0</v>
      </c>
      <c r="O6083">
        <v>-0.79077900000000001</v>
      </c>
      <c r="P6083">
        <v>0.447909</v>
      </c>
      <c r="Q6083">
        <v>5.7049170000000003E-3</v>
      </c>
      <c r="R6083">
        <v>-0.89406090000000005</v>
      </c>
      <c r="S6083">
        <v>0.41152949999999999</v>
      </c>
      <c r="T6083">
        <v>-0.55855489999999997</v>
      </c>
      <c r="U6083">
        <v>-3.1689759999999998</v>
      </c>
      <c r="V6083">
        <v>0.1933453</v>
      </c>
      <c r="W6083">
        <v>1.6535310000000001E-2</v>
      </c>
      <c r="X6083">
        <v>0.98099139999999996</v>
      </c>
      <c r="Y6083">
        <v>0.50524380000000002</v>
      </c>
      <c r="Z6083">
        <v>0.1078404</v>
      </c>
      <c r="AA6083">
        <v>0.85621209999999903</v>
      </c>
      <c r="AB6083">
        <v>28</v>
      </c>
      <c r="AC6083">
        <v>0.64209999999997003</v>
      </c>
      <c r="AD6083">
        <v>-1.1001989999999999</v>
      </c>
      <c r="AE6083">
        <v>-6.0083159999999998</v>
      </c>
      <c r="AF6083">
        <v>3.0674354842126701</v>
      </c>
      <c r="AG6083">
        <v>-1.1001989999999999</v>
      </c>
      <c r="AH6083">
        <v>4.9796980099072901</v>
      </c>
      <c r="AI6083">
        <v>100.65352781807</v>
      </c>
      <c r="AJ6083">
        <v>58.367418555919699</v>
      </c>
      <c r="AK6083">
        <v>5.9512175694796001</v>
      </c>
      <c r="AL6083">
        <v>89.052553321672207</v>
      </c>
      <c r="AM6083">
        <v>78.850379014836605</v>
      </c>
      <c r="AN6083">
        <v>0.99999997419142195</v>
      </c>
    </row>
    <row r="6084" spans="1:40" x14ac:dyDescent="0.25">
      <c r="A6084" t="str">
        <f>"20190312154955702"</f>
        <v>20190312154955702</v>
      </c>
      <c r="B6084" t="str">
        <f>"1552376995691637"</f>
        <v>1552376995691637</v>
      </c>
      <c r="C6084" t="s">
        <v>40</v>
      </c>
      <c r="D6084">
        <v>4.9792670000000001</v>
      </c>
      <c r="E6084">
        <v>0.6351734</v>
      </c>
      <c r="F6084" t="s">
        <v>43</v>
      </c>
      <c r="G6084">
        <v>-306.38740000000001</v>
      </c>
      <c r="H6084">
        <v>-0.05</v>
      </c>
      <c r="I6084">
        <v>2.0498959999999999</v>
      </c>
      <c r="J6084">
        <v>-306.988</v>
      </c>
      <c r="K6084">
        <v>1.0502720000000001</v>
      </c>
      <c r="L6084">
        <v>8.1676939999999991</v>
      </c>
      <c r="M6084">
        <v>0.60236269999999903</v>
      </c>
      <c r="N6084">
        <v>0</v>
      </c>
      <c r="O6084">
        <v>-0.79806969999999899</v>
      </c>
      <c r="P6084">
        <v>0.43780360000000001</v>
      </c>
      <c r="Q6084">
        <v>4.0480739999999996E-3</v>
      </c>
      <c r="R6084">
        <v>-0.89906189999999997</v>
      </c>
      <c r="S6084">
        <v>0.37988280000000002</v>
      </c>
      <c r="T6084">
        <v>-0.54940159999999905</v>
      </c>
      <c r="U6084">
        <v>-3.1686709999999998</v>
      </c>
      <c r="V6084">
        <v>0.19258600000000001</v>
      </c>
      <c r="W6084">
        <v>1.4904250000000001E-2</v>
      </c>
      <c r="X6084">
        <v>0.98116689999999995</v>
      </c>
      <c r="Y6084">
        <v>0.50332390000000005</v>
      </c>
      <c r="Z6084">
        <v>0.10804510000000001</v>
      </c>
      <c r="AA6084">
        <v>0.85731639999999998</v>
      </c>
      <c r="AB6084">
        <v>28</v>
      </c>
      <c r="AC6084">
        <v>0.60059999999998503</v>
      </c>
      <c r="AD6084">
        <v>-1.1002719999999999</v>
      </c>
      <c r="AE6084">
        <v>-6.1177979999999996</v>
      </c>
      <c r="AF6084">
        <v>3.1066768679418599</v>
      </c>
      <c r="AG6084">
        <v>-1.1002719999999999</v>
      </c>
      <c r="AH6084">
        <v>5.0820375979367904</v>
      </c>
      <c r="AI6084">
        <v>100.465781482788</v>
      </c>
      <c r="AJ6084">
        <v>58.562331340039599</v>
      </c>
      <c r="AK6084">
        <v>6.05715657570713</v>
      </c>
      <c r="AL6084">
        <v>89.146017755017098</v>
      </c>
      <c r="AM6084">
        <v>78.8950119680961</v>
      </c>
      <c r="AN6084">
        <v>0.99999999485983604</v>
      </c>
    </row>
    <row r="6085" spans="1:40" x14ac:dyDescent="0.25">
      <c r="A6085" t="str">
        <f>"20190312154955723"</f>
        <v>20190312154955723</v>
      </c>
      <c r="B6085" t="str">
        <f>"1552376995712133"</f>
        <v>1552376995712133</v>
      </c>
      <c r="C6085" t="s">
        <v>40</v>
      </c>
      <c r="D6085">
        <v>4.9819659999999999</v>
      </c>
      <c r="E6085">
        <v>0.63357889999999994</v>
      </c>
      <c r="F6085" t="s">
        <v>43</v>
      </c>
      <c r="G6085">
        <v>-306.28359999999998</v>
      </c>
      <c r="H6085">
        <v>-0.05</v>
      </c>
      <c r="I6085">
        <v>1.869308</v>
      </c>
      <c r="J6085">
        <v>-306.82440000000003</v>
      </c>
      <c r="K6085">
        <v>1.050354</v>
      </c>
      <c r="L6085">
        <v>7.9294130000000003</v>
      </c>
      <c r="M6085">
        <v>0.59242859999999997</v>
      </c>
      <c r="N6085">
        <v>0</v>
      </c>
      <c r="O6085">
        <v>-0.80547219999999997</v>
      </c>
      <c r="P6085">
        <v>0.42733009999999999</v>
      </c>
      <c r="Q6085">
        <v>2.2699909999999998E-3</v>
      </c>
      <c r="R6085">
        <v>-0.90409309999999998</v>
      </c>
      <c r="S6085">
        <v>0.35418699999999997</v>
      </c>
      <c r="T6085">
        <v>-0.55321849999999995</v>
      </c>
      <c r="U6085">
        <v>-3.1668400000000001</v>
      </c>
      <c r="V6085">
        <v>0.19178539999999999</v>
      </c>
      <c r="W6085">
        <v>1.315729E-2</v>
      </c>
      <c r="X6085">
        <v>0.98134869999999996</v>
      </c>
      <c r="Y6085">
        <v>0.49946600000000002</v>
      </c>
      <c r="Z6085">
        <v>0.11089690000000001</v>
      </c>
      <c r="AA6085">
        <v>0.85920640000000004</v>
      </c>
      <c r="AB6085">
        <v>28</v>
      </c>
      <c r="AC6085">
        <v>0.54080000000004702</v>
      </c>
      <c r="AD6085">
        <v>-1.1003540000000001</v>
      </c>
      <c r="AE6085">
        <v>-6.0601050000000001</v>
      </c>
      <c r="AF6085">
        <v>3.0550378447177602</v>
      </c>
      <c r="AG6085">
        <v>-1.1003540000000001</v>
      </c>
      <c r="AH6085">
        <v>5.0374947805297596</v>
      </c>
      <c r="AI6085">
        <v>100.57925503371099</v>
      </c>
      <c r="AJ6085">
        <v>58.764874292181602</v>
      </c>
      <c r="AK6085">
        <v>5.9933620633029001</v>
      </c>
      <c r="AL6085">
        <v>89.246121070297406</v>
      </c>
      <c r="AM6085">
        <v>78.942034421361697</v>
      </c>
      <c r="AN6085">
        <v>1.0000000124624899</v>
      </c>
    </row>
    <row r="6086" spans="1:40" x14ac:dyDescent="0.25">
      <c r="A6086" t="str">
        <f>"20190312154955750"</f>
        <v>20190312154955750</v>
      </c>
      <c r="B6086" t="str">
        <f>"1552376995742390"</f>
        <v>1552376995742390</v>
      </c>
      <c r="C6086" t="s">
        <v>40</v>
      </c>
      <c r="D6086">
        <v>4.9695819999999999</v>
      </c>
      <c r="E6086">
        <v>0.63112539999999995</v>
      </c>
      <c r="F6086" t="s">
        <v>43</v>
      </c>
      <c r="G6086">
        <v>-306.17140000000001</v>
      </c>
      <c r="H6086">
        <v>-0.05</v>
      </c>
      <c r="I6086">
        <v>1.6514740000000001</v>
      </c>
      <c r="J6086">
        <v>-306.6422</v>
      </c>
      <c r="K6086">
        <v>1.0504610000000001</v>
      </c>
      <c r="L6086">
        <v>7.6558839999999897</v>
      </c>
      <c r="M6086">
        <v>0.58112109999999995</v>
      </c>
      <c r="N6086">
        <v>0</v>
      </c>
      <c r="O6086">
        <v>-0.81366850000000002</v>
      </c>
      <c r="P6086">
        <v>0.41547469999999997</v>
      </c>
      <c r="Q6086">
        <v>3.2155219999999997E-4</v>
      </c>
      <c r="R6086">
        <v>-0.90960479999999999</v>
      </c>
      <c r="S6086">
        <v>0.32913209999999998</v>
      </c>
      <c r="T6086">
        <v>-0.55457080000000003</v>
      </c>
      <c r="U6086">
        <v>-3.1640320000000002</v>
      </c>
      <c r="V6086">
        <v>0.19086040000000001</v>
      </c>
      <c r="W6086">
        <v>1.1248650000000001E-2</v>
      </c>
      <c r="X6086">
        <v>0.98155269999999994</v>
      </c>
      <c r="Y6086">
        <v>0.49405169999999998</v>
      </c>
      <c r="Z6086">
        <v>0.1136011</v>
      </c>
      <c r="AA6086">
        <v>0.86197889999999999</v>
      </c>
      <c r="AB6086">
        <v>28</v>
      </c>
      <c r="AC6086">
        <v>0.470799999999997</v>
      </c>
      <c r="AD6086">
        <v>-1.1004609999999999</v>
      </c>
      <c r="AE6086">
        <v>-6.0044099999999903</v>
      </c>
      <c r="AF6086">
        <v>3.0062280264394401</v>
      </c>
      <c r="AG6086">
        <v>-1.1004609999999999</v>
      </c>
      <c r="AH6086">
        <v>4.9931214606078704</v>
      </c>
      <c r="AI6086">
        <v>100.692396515447</v>
      </c>
      <c r="AJ6086">
        <v>58.948952264795601</v>
      </c>
      <c r="AK6086">
        <v>5.9312463513037397</v>
      </c>
      <c r="AL6086">
        <v>89.355486213911703</v>
      </c>
      <c r="AM6086">
        <v>78.996294316282601</v>
      </c>
      <c r="AN6086">
        <v>0.99999996364613497</v>
      </c>
    </row>
    <row r="6087" spans="1:40" x14ac:dyDescent="0.25">
      <c r="A6087" t="str">
        <f>"20190312154955770"</f>
        <v>20190312154955770</v>
      </c>
      <c r="B6087" t="str">
        <f>"1552376995761909"</f>
        <v>1552376995761909</v>
      </c>
      <c r="C6087" t="s">
        <v>40</v>
      </c>
      <c r="D6087">
        <v>4.9691369999999999</v>
      </c>
      <c r="E6087">
        <v>0.62951990000000002</v>
      </c>
      <c r="F6087" t="s">
        <v>43</v>
      </c>
      <c r="G6087">
        <v>-306.0385</v>
      </c>
      <c r="H6087">
        <v>-0.05</v>
      </c>
      <c r="I6087">
        <v>1.408005</v>
      </c>
      <c r="J6087">
        <v>-306.49619999999999</v>
      </c>
      <c r="K6087">
        <v>1.0505469999999999</v>
      </c>
      <c r="L6087">
        <v>7.4310609999999997</v>
      </c>
      <c r="M6087">
        <v>0.57188989999999995</v>
      </c>
      <c r="N6087">
        <v>0</v>
      </c>
      <c r="O6087">
        <v>-0.82018380000000002</v>
      </c>
      <c r="P6087">
        <v>0.40587190000000001</v>
      </c>
      <c r="Q6087">
        <v>-1.267256E-3</v>
      </c>
      <c r="R6087">
        <v>-0.91392929999999994</v>
      </c>
      <c r="S6087">
        <v>0.30520629999999999</v>
      </c>
      <c r="T6087">
        <v>-0.55639519999999998</v>
      </c>
      <c r="U6087">
        <v>-3.1589360000000002</v>
      </c>
      <c r="V6087">
        <v>0.19006680000000001</v>
      </c>
      <c r="W6087">
        <v>9.693297E-3</v>
      </c>
      <c r="X6087">
        <v>0.98172329999999997</v>
      </c>
      <c r="Y6087">
        <v>0.49058259999999998</v>
      </c>
      <c r="Z6087">
        <v>0.1159765</v>
      </c>
      <c r="AA6087">
        <v>0.86364229999999997</v>
      </c>
      <c r="AB6087">
        <v>28</v>
      </c>
      <c r="AC6087">
        <v>0.45769999999998801</v>
      </c>
      <c r="AD6087">
        <v>-1.1005469999999999</v>
      </c>
      <c r="AE6087">
        <v>-6.0230560000000004</v>
      </c>
      <c r="AF6087">
        <v>2.9708753789530098</v>
      </c>
      <c r="AG6087">
        <v>-1.1005469999999999</v>
      </c>
      <c r="AH6087">
        <v>5.0352437582201999</v>
      </c>
      <c r="AI6087">
        <v>100.660897642349</v>
      </c>
      <c r="AJ6087">
        <v>59.458706715704203</v>
      </c>
      <c r="AK6087">
        <v>5.94903218357185</v>
      </c>
      <c r="AL6087">
        <v>89.444606290812004</v>
      </c>
      <c r="AM6087">
        <v>79.042796178736495</v>
      </c>
      <c r="AN6087">
        <v>0.99999999311593002</v>
      </c>
    </row>
    <row r="6088" spans="1:40" x14ac:dyDescent="0.25">
      <c r="A6088" t="str">
        <f>"20190312154955796"</f>
        <v>20190312154955796</v>
      </c>
      <c r="B6088" t="str">
        <f>"1552376995792165"</f>
        <v>1552376995792165</v>
      </c>
      <c r="C6088" t="s">
        <v>40</v>
      </c>
      <c r="D6088">
        <v>4.9176510000000002</v>
      </c>
      <c r="E6088">
        <v>0.6145041</v>
      </c>
      <c r="F6088" t="s">
        <v>43</v>
      </c>
      <c r="G6088">
        <v>-305.93729999999999</v>
      </c>
      <c r="H6088">
        <v>-0.05</v>
      </c>
      <c r="I6088">
        <v>1.2087859999999999</v>
      </c>
      <c r="J6088">
        <v>-306.32600000000002</v>
      </c>
      <c r="K6088">
        <v>1.050657</v>
      </c>
      <c r="L6088">
        <v>7.1617430000000004</v>
      </c>
      <c r="M6088">
        <v>0.56090379999999995</v>
      </c>
      <c r="N6088">
        <v>0</v>
      </c>
      <c r="O6088">
        <v>-0.82773639999999904</v>
      </c>
      <c r="P6088">
        <v>0.39433750000000001</v>
      </c>
      <c r="Q6088">
        <v>-1.843358E-3</v>
      </c>
      <c r="R6088">
        <v>-0.91896420000000001</v>
      </c>
      <c r="S6088">
        <v>0.28344730000000001</v>
      </c>
      <c r="T6088">
        <v>-0.55818049999999997</v>
      </c>
      <c r="U6088">
        <v>-3.155853</v>
      </c>
      <c r="V6088">
        <v>0.18931629999999999</v>
      </c>
      <c r="W6088">
        <v>9.1506799999999996E-3</v>
      </c>
      <c r="X6088">
        <v>0.98187349999999995</v>
      </c>
      <c r="Y6088">
        <v>0.48482619999999998</v>
      </c>
      <c r="Z6088">
        <v>0.1186659</v>
      </c>
      <c r="AA6088">
        <v>0.86652289999999998</v>
      </c>
      <c r="AB6088">
        <v>28</v>
      </c>
      <c r="AC6088">
        <v>0.38869999999997101</v>
      </c>
      <c r="AD6088">
        <v>-1.100657</v>
      </c>
      <c r="AE6088">
        <v>-5.9529569999999996</v>
      </c>
      <c r="AF6088">
        <v>2.9183164795270602</v>
      </c>
      <c r="AG6088">
        <v>-1.100657</v>
      </c>
      <c r="AH6088">
        <v>4.9767107405449096</v>
      </c>
      <c r="AI6088">
        <v>100.80109347435101</v>
      </c>
      <c r="AJ6088">
        <v>59.612869041810001</v>
      </c>
      <c r="AK6088">
        <v>5.8733011757769802</v>
      </c>
      <c r="AL6088">
        <v>89.475697330265405</v>
      </c>
      <c r="AM6088">
        <v>79.086650337819293</v>
      </c>
      <c r="AN6088">
        <v>0.99999998319620098</v>
      </c>
    </row>
    <row r="6089" spans="1:40" x14ac:dyDescent="0.25">
      <c r="A6089" t="str">
        <f>"20190312154955818"</f>
        <v>20190312154955818</v>
      </c>
      <c r="B6089" t="str">
        <f>"1552376995811685"</f>
        <v>1552376995811685</v>
      </c>
      <c r="C6089" t="s">
        <v>40</v>
      </c>
      <c r="D6089">
        <v>4.9209069999999997</v>
      </c>
      <c r="E6089">
        <v>0.61352139999999999</v>
      </c>
      <c r="F6089" t="s">
        <v>43</v>
      </c>
      <c r="G6089">
        <v>-305.54360000000003</v>
      </c>
      <c r="H6089">
        <v>-0.05</v>
      </c>
      <c r="I6089">
        <v>0.24694820000000001</v>
      </c>
      <c r="J6089">
        <v>-306.17320000000001</v>
      </c>
      <c r="K6089">
        <v>1.0507500000000001</v>
      </c>
      <c r="L6089">
        <v>6.9133610000000001</v>
      </c>
      <c r="M6089">
        <v>0.55083380000000004</v>
      </c>
      <c r="N6089">
        <v>0</v>
      </c>
      <c r="O6089">
        <v>-0.83447190000000004</v>
      </c>
      <c r="P6089">
        <v>0.38346269999999999</v>
      </c>
      <c r="Q6089">
        <v>-1.830461E-3</v>
      </c>
      <c r="R6089">
        <v>-0.9235544</v>
      </c>
      <c r="S6089">
        <v>0.35214230000000002</v>
      </c>
      <c r="T6089">
        <v>-0.49541869999999999</v>
      </c>
      <c r="U6089">
        <v>-3.1124269999999998</v>
      </c>
      <c r="V6089">
        <v>0.18900700000000001</v>
      </c>
      <c r="W6089">
        <v>9.1826259999999993E-3</v>
      </c>
      <c r="X6089">
        <v>0.98193280000000005</v>
      </c>
      <c r="Y6089">
        <v>0.4539801</v>
      </c>
      <c r="Z6089">
        <v>0.1098732</v>
      </c>
      <c r="AA6089">
        <v>0.88421149999999904</v>
      </c>
      <c r="AB6089">
        <v>28</v>
      </c>
      <c r="AC6089">
        <v>0.62959999999998195</v>
      </c>
      <c r="AD6089">
        <v>-1.1007499999999999</v>
      </c>
      <c r="AE6089">
        <v>-6.6664127999999998</v>
      </c>
      <c r="AF6089">
        <v>3.06427137582354</v>
      </c>
      <c r="AG6089">
        <v>-1.1007499999999999</v>
      </c>
      <c r="AH6089">
        <v>5.75492833055507</v>
      </c>
      <c r="AI6089">
        <v>99.582854446653798</v>
      </c>
      <c r="AJ6089">
        <v>61.966467003803203</v>
      </c>
      <c r="AK6089">
        <v>6.6121562078505702</v>
      </c>
      <c r="AL6089">
        <v>89.473866888668397</v>
      </c>
      <c r="AM6089">
        <v>79.104695437678899</v>
      </c>
      <c r="AN6089">
        <v>0.99999999519254801</v>
      </c>
    </row>
    <row r="6090" spans="1:40" x14ac:dyDescent="0.25">
      <c r="A6090" t="str">
        <f>"20190312154955838"</f>
        <v>20190312154955838</v>
      </c>
      <c r="B6090" t="str">
        <f>"1552376995832181"</f>
        <v>1552376995832181</v>
      </c>
      <c r="C6090" t="s">
        <v>40</v>
      </c>
      <c r="D6090">
        <v>4.9077349999999997</v>
      </c>
      <c r="E6090">
        <v>0.61172959999999998</v>
      </c>
      <c r="F6090" t="s">
        <v>43</v>
      </c>
      <c r="G6090">
        <v>-305.45310000000001</v>
      </c>
      <c r="H6090">
        <v>-0.05</v>
      </c>
      <c r="I6090">
        <v>-3.924561E-2</v>
      </c>
      <c r="J6090">
        <v>-306.05029999999999</v>
      </c>
      <c r="K6090">
        <v>1.0508169999999999</v>
      </c>
      <c r="L6090">
        <v>6.7084659999999996</v>
      </c>
      <c r="M6090">
        <v>0.54257089999999997</v>
      </c>
      <c r="N6090">
        <v>0</v>
      </c>
      <c r="O6090">
        <v>-0.83986819999999895</v>
      </c>
      <c r="P6090">
        <v>0.3747219</v>
      </c>
      <c r="Q6090">
        <v>-1.8738190000000001E-3</v>
      </c>
      <c r="R6090">
        <v>-0.92713559999999995</v>
      </c>
      <c r="S6090">
        <v>0.32250980000000001</v>
      </c>
      <c r="T6090">
        <v>-0.49292409999999998</v>
      </c>
      <c r="U6090">
        <v>-3.1134339999999998</v>
      </c>
      <c r="V6090">
        <v>0.1885877</v>
      </c>
      <c r="W6090">
        <v>9.1573560000000002E-3</v>
      </c>
      <c r="X6090">
        <v>0.98201360000000004</v>
      </c>
      <c r="Y6090">
        <v>0.45354929999999899</v>
      </c>
      <c r="Z6090">
        <v>0.110571699999999</v>
      </c>
      <c r="AA6090">
        <v>0.88434550000000001</v>
      </c>
      <c r="AB6090">
        <v>28</v>
      </c>
      <c r="AC6090">
        <v>0.59719999999998596</v>
      </c>
      <c r="AD6090">
        <v>-1.1008169999999999</v>
      </c>
      <c r="AE6090">
        <v>-6.7477116099999996</v>
      </c>
      <c r="AF6090">
        <v>3.07862016062731</v>
      </c>
      <c r="AG6090">
        <v>-1.1008169999999999</v>
      </c>
      <c r="AH6090">
        <v>5.8377642526884896</v>
      </c>
      <c r="AI6090">
        <v>99.469501082473201</v>
      </c>
      <c r="AJ6090">
        <v>62.194499726238199</v>
      </c>
      <c r="AK6090">
        <v>6.6909783762075898</v>
      </c>
      <c r="AL6090">
        <v>89.475314787131893</v>
      </c>
      <c r="AM6090">
        <v>79.129162576797896</v>
      </c>
      <c r="AN6090">
        <v>0.99999994417257798</v>
      </c>
    </row>
    <row r="6091" spans="1:40" x14ac:dyDescent="0.25">
      <c r="A6091" t="str">
        <f>"20190312154955860"</f>
        <v>20190312154955860</v>
      </c>
      <c r="B6091" t="str">
        <f>"1552376995851701"</f>
        <v>1552376995851701</v>
      </c>
      <c r="C6091" t="s">
        <v>40</v>
      </c>
      <c r="D6091">
        <v>4.9079550000000003</v>
      </c>
      <c r="E6091">
        <v>0.61018890000000003</v>
      </c>
      <c r="F6091" t="s">
        <v>43</v>
      </c>
      <c r="G6091">
        <v>-305.36849999999998</v>
      </c>
      <c r="H6091">
        <v>-0.05</v>
      </c>
      <c r="I6091">
        <v>-0.22917180000000001</v>
      </c>
      <c r="J6091">
        <v>-305.9049</v>
      </c>
      <c r="K6091">
        <v>1.0508999999999999</v>
      </c>
      <c r="L6091">
        <v>6.4602050000000002</v>
      </c>
      <c r="M6091">
        <v>0.53260149999999995</v>
      </c>
      <c r="N6091">
        <v>0</v>
      </c>
      <c r="O6091">
        <v>-0.84622600000000003</v>
      </c>
      <c r="P6091">
        <v>0.36399150000000002</v>
      </c>
      <c r="Q6091">
        <v>-1.57014E-3</v>
      </c>
      <c r="R6091">
        <v>-0.93140100000000003</v>
      </c>
      <c r="S6091">
        <v>0.30578610000000001</v>
      </c>
      <c r="T6091">
        <v>-0.4936606</v>
      </c>
      <c r="U6091">
        <v>-3.1111759999999999</v>
      </c>
      <c r="V6091">
        <v>0.18831880000000001</v>
      </c>
      <c r="W6091">
        <v>9.4758680000000001E-3</v>
      </c>
      <c r="X6091">
        <v>0.9820622</v>
      </c>
      <c r="Y6091">
        <v>0.4476752</v>
      </c>
      <c r="Z6091">
        <v>0.1125179</v>
      </c>
      <c r="AA6091">
        <v>0.88708880000000001</v>
      </c>
      <c r="AB6091">
        <v>28</v>
      </c>
      <c r="AC6091">
        <v>0.53640000000001398</v>
      </c>
      <c r="AD6091">
        <v>-1.1009</v>
      </c>
      <c r="AE6091">
        <v>-6.6893767999999998</v>
      </c>
      <c r="AF6091">
        <v>3.02774358620545</v>
      </c>
      <c r="AG6091">
        <v>-1.1009</v>
      </c>
      <c r="AH6091">
        <v>5.7912646962596197</v>
      </c>
      <c r="AI6091">
        <v>99.5624120816654</v>
      </c>
      <c r="AJ6091">
        <v>62.398884495879699</v>
      </c>
      <c r="AK6091">
        <v>6.6270626084224702</v>
      </c>
      <c r="AL6091">
        <v>89.457064611184904</v>
      </c>
      <c r="AM6091">
        <v>79.144818795967197</v>
      </c>
      <c r="AN6091">
        <v>0.999999963588316</v>
      </c>
    </row>
    <row r="6092" spans="1:40" x14ac:dyDescent="0.25">
      <c r="A6092" t="str">
        <f>"20190312154955891"</f>
        <v>20190312154955891</v>
      </c>
      <c r="B6092" t="str">
        <f>"1552376995881957"</f>
        <v>1552376995881957</v>
      </c>
      <c r="C6092" t="s">
        <v>40</v>
      </c>
      <c r="D6092">
        <v>4.8849330000000002</v>
      </c>
      <c r="E6092">
        <v>0.60026489999999999</v>
      </c>
      <c r="F6092" t="s">
        <v>43</v>
      </c>
      <c r="G6092">
        <v>-305.27350000000001</v>
      </c>
      <c r="H6092">
        <v>-0.05</v>
      </c>
      <c r="I6092">
        <v>-0.5291595</v>
      </c>
      <c r="J6092">
        <v>-305.71249999999998</v>
      </c>
      <c r="K6092">
        <v>1.0510029999999999</v>
      </c>
      <c r="L6092">
        <v>6.1207580000000004</v>
      </c>
      <c r="M6092">
        <v>0.51903900000000003</v>
      </c>
      <c r="N6092">
        <v>0</v>
      </c>
      <c r="O6092">
        <v>-0.8546125</v>
      </c>
      <c r="P6092">
        <v>0.3494834</v>
      </c>
      <c r="Q6092" s="1">
        <v>4.273118E-5</v>
      </c>
      <c r="R6092">
        <v>-0.93694270000000002</v>
      </c>
      <c r="S6092">
        <v>0.28097529999999998</v>
      </c>
      <c r="T6092">
        <v>-0.48990919999999999</v>
      </c>
      <c r="U6092">
        <v>-3.1103209999999999</v>
      </c>
      <c r="V6092">
        <v>0.18794089999999999</v>
      </c>
      <c r="W6092">
        <v>1.110657E-2</v>
      </c>
      <c r="X6092">
        <v>0.98211749999999998</v>
      </c>
      <c r="Y6092">
        <v>0.44042609999999899</v>
      </c>
      <c r="Z6092">
        <v>0.1139257</v>
      </c>
      <c r="AA6092">
        <v>0.89053119999999997</v>
      </c>
      <c r="AB6092">
        <v>28</v>
      </c>
      <c r="AC6092">
        <v>0.43899999999996397</v>
      </c>
      <c r="AD6092">
        <v>-1.101003</v>
      </c>
      <c r="AE6092">
        <v>-6.6499174999999999</v>
      </c>
      <c r="AF6092">
        <v>2.9950110000170298</v>
      </c>
      <c r="AG6092">
        <v>-1.101003</v>
      </c>
      <c r="AH6092">
        <v>5.7545964557733997</v>
      </c>
      <c r="AI6092">
        <v>99.632221302672207</v>
      </c>
      <c r="AJ6092">
        <v>62.505031832092001</v>
      </c>
      <c r="AK6092">
        <v>6.5800971774763104</v>
      </c>
      <c r="AL6092">
        <v>89.363627305341097</v>
      </c>
      <c r="AM6092">
        <v>79.166681492580295</v>
      </c>
      <c r="AN6092">
        <v>0.99999996079811104</v>
      </c>
    </row>
    <row r="6093" spans="1:40" x14ac:dyDescent="0.25">
      <c r="A6093" t="str">
        <f>"20190312154955915"</f>
        <v>20190312154955915</v>
      </c>
      <c r="B6093" t="str">
        <f>"1552376995901478"</f>
        <v>1552376995901478</v>
      </c>
      <c r="C6093" t="s">
        <v>40</v>
      </c>
      <c r="D6093">
        <v>4.830203</v>
      </c>
      <c r="E6093">
        <v>0.5985914</v>
      </c>
      <c r="F6093" t="s">
        <v>42</v>
      </c>
      <c r="G6093">
        <v>-305.0043</v>
      </c>
      <c r="H6093" s="1">
        <v>-4.9356239999999996E-6</v>
      </c>
      <c r="I6093">
        <v>-1.0086729999999999</v>
      </c>
      <c r="J6093">
        <v>-305.56849999999997</v>
      </c>
      <c r="K6093">
        <v>1.0510729999999999</v>
      </c>
      <c r="L6093">
        <v>5.8584589999999999</v>
      </c>
      <c r="M6093">
        <v>0.50859460000000001</v>
      </c>
      <c r="N6093">
        <v>0</v>
      </c>
      <c r="O6093">
        <v>-0.86086949999999995</v>
      </c>
      <c r="P6093">
        <v>0.33854119999999999</v>
      </c>
      <c r="Q6093">
        <v>7.3021860000000002E-4</v>
      </c>
      <c r="R6093">
        <v>-0.94095139999999999</v>
      </c>
      <c r="S6093">
        <v>0.30670170000000002</v>
      </c>
      <c r="T6093">
        <v>-0.45515739999999999</v>
      </c>
      <c r="U6093">
        <v>-3.0875240000000002</v>
      </c>
      <c r="V6093">
        <v>0.18743940000000001</v>
      </c>
      <c r="W6093">
        <v>1.1811759999999999E-2</v>
      </c>
      <c r="X6093">
        <v>0.9822052</v>
      </c>
      <c r="Y6093">
        <v>0.42146060000000002</v>
      </c>
      <c r="Z6093">
        <v>0.1087542</v>
      </c>
      <c r="AA6093">
        <v>0.90030189999999999</v>
      </c>
      <c r="AB6093">
        <v>28</v>
      </c>
      <c r="AC6093">
        <v>0.56419999999997095</v>
      </c>
      <c r="AD6093">
        <v>-1.0510779356240001</v>
      </c>
      <c r="AE6093">
        <v>-6.8671319999999998</v>
      </c>
      <c r="AF6093">
        <v>2.93885021422853</v>
      </c>
      <c r="AG6093">
        <v>-1.0510779356240001</v>
      </c>
      <c r="AH6093">
        <v>6.0584034136851503</v>
      </c>
      <c r="AI6093">
        <v>98.871988487114194</v>
      </c>
      <c r="AJ6093">
        <v>64.122598737591204</v>
      </c>
      <c r="AK6093">
        <v>6.8151197591369304</v>
      </c>
      <c r="AL6093">
        <v>89.323220299898793</v>
      </c>
      <c r="AM6093">
        <v>79.1958497008591</v>
      </c>
      <c r="AN6093">
        <v>1.0000000506268401</v>
      </c>
    </row>
    <row r="6094" spans="1:40" x14ac:dyDescent="0.25">
      <c r="A6094" t="str">
        <f>"20190312154955936"</f>
        <v>20190312154955936</v>
      </c>
      <c r="B6094" t="str">
        <f>"1552376995931734"</f>
        <v>1552376995931734</v>
      </c>
      <c r="C6094" t="s">
        <v>40</v>
      </c>
      <c r="D6094">
        <v>4.7252960000000002</v>
      </c>
      <c r="E6094">
        <v>0.5979854</v>
      </c>
      <c r="F6094" t="s">
        <v>42</v>
      </c>
      <c r="G6094">
        <v>-304.89839999999998</v>
      </c>
      <c r="H6094" s="1">
        <v>-4.7504000000000003E-6</v>
      </c>
      <c r="I6094">
        <v>-1.442123</v>
      </c>
      <c r="J6094">
        <v>-305.4409</v>
      </c>
      <c r="K6094">
        <v>1.051131</v>
      </c>
      <c r="L6094">
        <v>5.6192929999999999</v>
      </c>
      <c r="M6094">
        <v>0.49908760000000002</v>
      </c>
      <c r="N6094">
        <v>0</v>
      </c>
      <c r="O6094">
        <v>-0.86641610000000002</v>
      </c>
      <c r="P6094">
        <v>0.32902740000000003</v>
      </c>
      <c r="Q6094">
        <v>1.3790899999999999E-3</v>
      </c>
      <c r="R6094">
        <v>-0.94431960000000004</v>
      </c>
      <c r="S6094">
        <v>0.2833252</v>
      </c>
      <c r="T6094">
        <v>-0.44439339999999999</v>
      </c>
      <c r="U6094">
        <v>-3.0866699999999998</v>
      </c>
      <c r="V6094">
        <v>0.18655179999999999</v>
      </c>
      <c r="W6094">
        <v>1.248644E-2</v>
      </c>
      <c r="X6094">
        <v>0.98236579999999996</v>
      </c>
      <c r="Y6094">
        <v>0.4182092</v>
      </c>
      <c r="Z6094">
        <v>0.1075478</v>
      </c>
      <c r="AA6094">
        <v>0.90196149999999997</v>
      </c>
      <c r="AB6094">
        <v>28</v>
      </c>
      <c r="AC6094">
        <v>0.54250000000001797</v>
      </c>
      <c r="AD6094">
        <v>-1.0511357504000001</v>
      </c>
      <c r="AE6094">
        <v>-7.0614160000000004</v>
      </c>
      <c r="AF6094">
        <v>2.9887561190923599</v>
      </c>
      <c r="AG6094">
        <v>-1.0511357504000001</v>
      </c>
      <c r="AH6094">
        <v>6.2519113188309099</v>
      </c>
      <c r="AI6094">
        <v>98.625344093451105</v>
      </c>
      <c r="AJ6094">
        <v>64.449645328850593</v>
      </c>
      <c r="AK6094">
        <v>7.0088475974090798</v>
      </c>
      <c r="AL6094">
        <v>89.284561113200098</v>
      </c>
      <c r="AM6094">
        <v>79.247532866121901</v>
      </c>
      <c r="AN6094">
        <v>1.0000000251383701</v>
      </c>
    </row>
    <row r="6095" spans="1:40" x14ac:dyDescent="0.25">
      <c r="A6095" t="str">
        <f>"20190312154955969"</f>
        <v>20190312154955969</v>
      </c>
      <c r="B6095" t="str">
        <f>"1552376995961989"</f>
        <v>1552376995961989</v>
      </c>
      <c r="C6095" t="s">
        <v>40</v>
      </c>
      <c r="D6095">
        <v>4.7206080000000004</v>
      </c>
      <c r="E6095">
        <v>0.59584979999999999</v>
      </c>
      <c r="F6095" t="s">
        <v>42</v>
      </c>
      <c r="G6095">
        <v>-304.78620000000001</v>
      </c>
      <c r="H6095" s="1">
        <v>-4.4084580000000003E-6</v>
      </c>
      <c r="I6095">
        <v>-2.2807249999999999</v>
      </c>
      <c r="J6095">
        <v>-305.24790000000002</v>
      </c>
      <c r="K6095">
        <v>1.051212</v>
      </c>
      <c r="L6095">
        <v>5.2454830000000001</v>
      </c>
      <c r="M6095">
        <v>0.48425590000000002</v>
      </c>
      <c r="N6095">
        <v>0</v>
      </c>
      <c r="O6095">
        <v>-0.87479259999999903</v>
      </c>
      <c r="P6095">
        <v>0.31329200000000001</v>
      </c>
      <c r="Q6095">
        <v>8.7963149999999905E-4</v>
      </c>
      <c r="R6095">
        <v>-0.94965659999999996</v>
      </c>
      <c r="S6095">
        <v>0.25592039999999999</v>
      </c>
      <c r="T6095">
        <v>-0.41091539999999999</v>
      </c>
      <c r="U6095">
        <v>-3.0883180000000001</v>
      </c>
      <c r="V6095">
        <v>0.18612629999999999</v>
      </c>
      <c r="W6095">
        <v>1.200296E-2</v>
      </c>
      <c r="X6095">
        <v>0.98245249999999995</v>
      </c>
      <c r="Y6095">
        <v>0.41069</v>
      </c>
      <c r="Z6095">
        <v>0.1014012</v>
      </c>
      <c r="AA6095">
        <v>0.90611889999999995</v>
      </c>
      <c r="AB6095">
        <v>28</v>
      </c>
      <c r="AC6095">
        <v>0.46170000000000699</v>
      </c>
      <c r="AD6095">
        <v>-1.051216408458</v>
      </c>
      <c r="AE6095">
        <v>-7.5262079999999996</v>
      </c>
      <c r="AF6095">
        <v>3.1793062371653802</v>
      </c>
      <c r="AG6095">
        <v>-1.051216408458</v>
      </c>
      <c r="AH6095">
        <v>6.6784486443697304</v>
      </c>
      <c r="AI6095">
        <v>98.088797798471703</v>
      </c>
      <c r="AJ6095">
        <v>64.543001104973399</v>
      </c>
      <c r="AK6095">
        <v>7.4709250018035904</v>
      </c>
      <c r="AL6095">
        <v>89.312264530830902</v>
      </c>
      <c r="AM6095">
        <v>79.2724127462875</v>
      </c>
      <c r="AN6095">
        <v>0.99999999267835005</v>
      </c>
    </row>
    <row r="6096" spans="1:40" x14ac:dyDescent="0.25">
      <c r="A6096" t="str">
        <f>"20190312154955997"</f>
        <v>20190312154955997</v>
      </c>
      <c r="B6096" t="str">
        <f>"1552376995981510"</f>
        <v>1552376995981510</v>
      </c>
      <c r="C6096" t="s">
        <v>40</v>
      </c>
      <c r="D6096">
        <v>4.7194349999999998</v>
      </c>
      <c r="E6096">
        <v>0.5893003</v>
      </c>
      <c r="F6096" t="s">
        <v>42</v>
      </c>
      <c r="G6096">
        <v>-304.67970000000003</v>
      </c>
      <c r="H6096" s="1">
        <v>-4.2345449999999996E-6</v>
      </c>
      <c r="I6096">
        <v>-2.6843840000000001</v>
      </c>
      <c r="J6096">
        <v>-305.10019999999997</v>
      </c>
      <c r="K6096">
        <v>1.051274</v>
      </c>
      <c r="L6096">
        <v>4.9481199999999896</v>
      </c>
      <c r="M6096">
        <v>0.47248709999999999</v>
      </c>
      <c r="N6096">
        <v>0</v>
      </c>
      <c r="O6096">
        <v>-0.88120529999999997</v>
      </c>
      <c r="P6096">
        <v>0.3004867</v>
      </c>
      <c r="Q6096">
        <v>3.4962730000000003E-4</v>
      </c>
      <c r="R6096">
        <v>-0.95378609999999997</v>
      </c>
      <c r="S6096">
        <v>0.22116089999999999</v>
      </c>
      <c r="T6096">
        <v>-0.4091533</v>
      </c>
      <c r="U6096">
        <v>-3.0864560000000001</v>
      </c>
      <c r="V6096">
        <v>0.18616289999999999</v>
      </c>
      <c r="W6096">
        <v>1.1478E-2</v>
      </c>
      <c r="X6096">
        <v>0.98245190000000004</v>
      </c>
      <c r="Y6096">
        <v>0.40857789999999999</v>
      </c>
      <c r="Z6096">
        <v>0.1023621</v>
      </c>
      <c r="AA6096">
        <v>0.90696529999999997</v>
      </c>
      <c r="AB6096">
        <v>28</v>
      </c>
      <c r="AC6096">
        <v>0.42049999999994703</v>
      </c>
      <c r="AD6096">
        <v>-1.051278234545</v>
      </c>
      <c r="AE6096">
        <v>-7.6325039999999902</v>
      </c>
      <c r="AF6096">
        <v>3.1760186877813101</v>
      </c>
      <c r="AG6096">
        <v>-1.051278234545</v>
      </c>
      <c r="AH6096">
        <v>6.7967372155539403</v>
      </c>
      <c r="AI6096">
        <v>97.976896817902499</v>
      </c>
      <c r="AJ6096">
        <v>64.953984236433399</v>
      </c>
      <c r="AK6096">
        <v>7.5754813318270502</v>
      </c>
      <c r="AL6096">
        <v>89.342344636534804</v>
      </c>
      <c r="AM6096">
        <v>79.270345834812403</v>
      </c>
      <c r="AN6096">
        <v>1.0000000528170001</v>
      </c>
    </row>
    <row r="6097" spans="1:40" x14ac:dyDescent="0.25">
      <c r="A6097" t="str">
        <f>"20190312154956015"</f>
        <v>20190312154956015</v>
      </c>
      <c r="B6097" t="str">
        <f>"1552376996002006"</f>
        <v>1552376996002006</v>
      </c>
      <c r="C6097" t="s">
        <v>40</v>
      </c>
      <c r="D6097">
        <v>4.7412769999999904</v>
      </c>
      <c r="E6097">
        <v>0.58833179999999996</v>
      </c>
      <c r="F6097" t="s">
        <v>42</v>
      </c>
      <c r="G6097">
        <v>-304.08600000000001</v>
      </c>
      <c r="H6097" s="1">
        <v>-1.3911009999999999E-6</v>
      </c>
      <c r="I6097">
        <v>-8.8197600000000005</v>
      </c>
      <c r="J6097">
        <v>-304.99599999999998</v>
      </c>
      <c r="K6097">
        <v>1.0513189999999999</v>
      </c>
      <c r="L6097">
        <v>4.7321169999999997</v>
      </c>
      <c r="M6097">
        <v>0.463949</v>
      </c>
      <c r="N6097">
        <v>0</v>
      </c>
      <c r="O6097">
        <v>-0.88573049999999998</v>
      </c>
      <c r="P6097">
        <v>0.29167120000000002</v>
      </c>
      <c r="Q6097">
        <v>6.3702859999999997E-4</v>
      </c>
      <c r="R6097">
        <v>-0.9565186</v>
      </c>
      <c r="S6097">
        <v>0.22644039999999999</v>
      </c>
      <c r="T6097">
        <v>-0.2347291</v>
      </c>
      <c r="U6097">
        <v>-3.0740970000000001</v>
      </c>
      <c r="V6097">
        <v>0.18574009999999999</v>
      </c>
      <c r="W6097">
        <v>1.177982E-2</v>
      </c>
      <c r="X6097">
        <v>0.98252830000000002</v>
      </c>
      <c r="Y6097">
        <v>0.3977639</v>
      </c>
      <c r="Z6097">
        <v>5.9966409999999998E-2</v>
      </c>
      <c r="AA6097">
        <v>0.91552599999999995</v>
      </c>
      <c r="AB6097">
        <v>28</v>
      </c>
      <c r="AC6097">
        <v>0.90999999999996795</v>
      </c>
      <c r="AD6097">
        <v>-1.0513203911010001</v>
      </c>
      <c r="AE6097">
        <v>-13.551876999999999</v>
      </c>
      <c r="AF6097">
        <v>5.44935474283022</v>
      </c>
      <c r="AG6097">
        <v>-1.0513203911010001</v>
      </c>
      <c r="AH6097">
        <v>12.352941446987501</v>
      </c>
      <c r="AI6097">
        <v>94.452460749171905</v>
      </c>
      <c r="AJ6097">
        <v>66.195890489823299</v>
      </c>
      <c r="AK6097">
        <v>13.542374388217601</v>
      </c>
      <c r="AL6097">
        <v>89.325050423268195</v>
      </c>
      <c r="AM6097">
        <v>79.294963631742604</v>
      </c>
      <c r="AN6097">
        <v>1.00000000460406</v>
      </c>
    </row>
    <row r="6098" spans="1:40" x14ac:dyDescent="0.25">
      <c r="A6098" t="str">
        <f>"20190312154956041"</f>
        <v>20190312154956041</v>
      </c>
      <c r="B6098" t="str">
        <f>"1552376996032261"</f>
        <v>1552376996032261</v>
      </c>
      <c r="C6098" t="s">
        <v>40</v>
      </c>
      <c r="D6098">
        <v>4.7414440000000004</v>
      </c>
      <c r="E6098">
        <v>0.58618179999999998</v>
      </c>
      <c r="F6098" t="s">
        <v>42</v>
      </c>
      <c r="G6098">
        <v>-304.13029999999998</v>
      </c>
      <c r="H6098" s="1">
        <v>-1.6906810000000001E-6</v>
      </c>
      <c r="I6098">
        <v>-8.2109030000000001</v>
      </c>
      <c r="J6098">
        <v>-304.86110000000002</v>
      </c>
      <c r="K6098">
        <v>1.051377</v>
      </c>
      <c r="L6098">
        <v>4.4445800000000002</v>
      </c>
      <c r="M6098">
        <v>0.45260519999999999</v>
      </c>
      <c r="N6098">
        <v>0</v>
      </c>
      <c r="O6098">
        <v>-0.89158079999999995</v>
      </c>
      <c r="P6098">
        <v>0.27928979999999998</v>
      </c>
      <c r="Q6098">
        <v>1.1487559999999999E-3</v>
      </c>
      <c r="R6098">
        <v>-0.96020609999999995</v>
      </c>
      <c r="S6098">
        <v>0.2055969</v>
      </c>
      <c r="T6098">
        <v>-0.24967929999999999</v>
      </c>
      <c r="U6098">
        <v>-3.0738530000000002</v>
      </c>
      <c r="V6098">
        <v>0.1858997</v>
      </c>
      <c r="W6098">
        <v>1.229619E-2</v>
      </c>
      <c r="X6098">
        <v>0.98249180000000003</v>
      </c>
      <c r="Y6098">
        <v>0.3922331</v>
      </c>
      <c r="Z6098">
        <v>6.4575160000000006E-2</v>
      </c>
      <c r="AA6098">
        <v>0.91759650000000004</v>
      </c>
      <c r="AB6098">
        <v>28</v>
      </c>
      <c r="AC6098">
        <v>0.73080000000004397</v>
      </c>
      <c r="AD6098">
        <v>-1.0513786906810001</v>
      </c>
      <c r="AE6098">
        <v>-12.655483</v>
      </c>
      <c r="AF6098">
        <v>5.0422746669860397</v>
      </c>
      <c r="AG6098">
        <v>-1.0513786906810001</v>
      </c>
      <c r="AH6098">
        <v>11.536142968548999</v>
      </c>
      <c r="AI6098">
        <v>94.773653373561501</v>
      </c>
      <c r="AJ6098">
        <v>66.390584621891094</v>
      </c>
      <c r="AK6098">
        <v>12.633785084421399</v>
      </c>
      <c r="AL6098">
        <v>89.295462465446306</v>
      </c>
      <c r="AM6098">
        <v>79.285589197181096</v>
      </c>
      <c r="AN6098">
        <v>1.0000000159079201</v>
      </c>
    </row>
    <row r="6099" spans="1:40" x14ac:dyDescent="0.25">
      <c r="A6099" t="str">
        <f>"20190312154956065"</f>
        <v>20190312154956065</v>
      </c>
      <c r="B6099" t="str">
        <f>"1552376996051781"</f>
        <v>1552376996051781</v>
      </c>
      <c r="C6099" t="s">
        <v>40</v>
      </c>
      <c r="D6099">
        <v>4.749841</v>
      </c>
      <c r="E6099">
        <v>0.58482389999999995</v>
      </c>
      <c r="F6099" t="s">
        <v>42</v>
      </c>
      <c r="G6099">
        <v>-304.10840000000002</v>
      </c>
      <c r="H6099" s="1">
        <v>-1.6955610000000001E-6</v>
      </c>
      <c r="I6099">
        <v>-8.1882909999999995</v>
      </c>
      <c r="J6099">
        <v>-304.7328</v>
      </c>
      <c r="K6099">
        <v>1.051436</v>
      </c>
      <c r="L6099">
        <v>4.1624759999999998</v>
      </c>
      <c r="M6099">
        <v>0.44151049999999997</v>
      </c>
      <c r="N6099">
        <v>0</v>
      </c>
      <c r="O6099">
        <v>-0.89712689999999995</v>
      </c>
      <c r="P6099">
        <v>0.26745089999999999</v>
      </c>
      <c r="Q6099">
        <v>1.066369E-3</v>
      </c>
      <c r="R6099">
        <v>-0.96357090000000001</v>
      </c>
      <c r="S6099">
        <v>0.18298339999999999</v>
      </c>
      <c r="T6099">
        <v>-0.25562010000000002</v>
      </c>
      <c r="U6099">
        <v>-3.0714109999999999</v>
      </c>
      <c r="V6099">
        <v>0.18579999999999999</v>
      </c>
      <c r="W6099">
        <v>1.222706E-2</v>
      </c>
      <c r="X6099">
        <v>0.98251149999999998</v>
      </c>
      <c r="Y6099">
        <v>0.38750630000000003</v>
      </c>
      <c r="Z6099">
        <v>6.6928230000000005E-2</v>
      </c>
      <c r="AA6099">
        <v>0.91943430000000004</v>
      </c>
      <c r="AB6099">
        <v>28</v>
      </c>
      <c r="AC6099">
        <v>0.62439999999997997</v>
      </c>
      <c r="AD6099">
        <v>-1.0514376955609901</v>
      </c>
      <c r="AE6099">
        <v>-12.350766999999999</v>
      </c>
      <c r="AF6099">
        <v>4.8582746091748898</v>
      </c>
      <c r="AG6099">
        <v>-1.0514376955609901</v>
      </c>
      <c r="AH6099">
        <v>11.2756903213188</v>
      </c>
      <c r="AI6099">
        <v>94.894719517172902</v>
      </c>
      <c r="AJ6099">
        <v>66.690591440080297</v>
      </c>
      <c r="AK6099">
        <v>12.3227247647621</v>
      </c>
      <c r="AL6099">
        <v>89.299423605279003</v>
      </c>
      <c r="AM6099">
        <v>79.291412278172501</v>
      </c>
      <c r="AN6099">
        <v>0.99999999431424602</v>
      </c>
    </row>
    <row r="6100" spans="1:40" x14ac:dyDescent="0.25">
      <c r="A6100" t="str">
        <f>"20190312154956089"</f>
        <v>20190312154956089</v>
      </c>
      <c r="B6100" t="str">
        <f>"1552376996082038"</f>
        <v>1552376996082038</v>
      </c>
      <c r="C6100" t="s">
        <v>40</v>
      </c>
      <c r="D6100">
        <v>4.7264160000000004</v>
      </c>
      <c r="E6100">
        <v>0.57508249999999905</v>
      </c>
      <c r="F6100" t="s">
        <v>42</v>
      </c>
      <c r="G6100">
        <v>-304.10379999999998</v>
      </c>
      <c r="H6100" s="1">
        <v>-1.6951239999999999E-6</v>
      </c>
      <c r="I6100">
        <v>-8.1865819999999996</v>
      </c>
      <c r="J6100">
        <v>-304.60980000000001</v>
      </c>
      <c r="K6100">
        <v>1.0515080000000001</v>
      </c>
      <c r="L6100">
        <v>3.8820800000000002</v>
      </c>
      <c r="M6100">
        <v>0.43054599999999998</v>
      </c>
      <c r="N6100">
        <v>0</v>
      </c>
      <c r="O6100">
        <v>-0.90244060000000004</v>
      </c>
      <c r="P6100">
        <v>0.25580130000000001</v>
      </c>
      <c r="Q6100">
        <v>9.9674170000000001E-4</v>
      </c>
      <c r="R6100">
        <v>-0.96672899999999995</v>
      </c>
      <c r="S6100">
        <v>0.1564026</v>
      </c>
      <c r="T6100">
        <v>-0.26141609999999998</v>
      </c>
      <c r="U6100">
        <v>-3.0703130000000001</v>
      </c>
      <c r="V6100">
        <v>0.1856826</v>
      </c>
      <c r="W6100">
        <v>1.2173659999999999E-2</v>
      </c>
      <c r="X6100">
        <v>0.98253429999999997</v>
      </c>
      <c r="Y6100">
        <v>0.38419370000000003</v>
      </c>
      <c r="Z6100">
        <v>6.9197209999999995E-2</v>
      </c>
      <c r="AA6100">
        <v>0.92065569999999997</v>
      </c>
      <c r="AB6100">
        <v>27</v>
      </c>
      <c r="AC6100">
        <v>0.50600000000002798</v>
      </c>
      <c r="AD6100">
        <v>-1.0515096951239999</v>
      </c>
      <c r="AE6100">
        <v>-12.068662</v>
      </c>
      <c r="AF6100">
        <v>4.7043779266994603</v>
      </c>
      <c r="AG6100">
        <v>-1.0515096951239999</v>
      </c>
      <c r="AH6100">
        <v>11.026831175377</v>
      </c>
      <c r="AI6100">
        <v>95.012611209796503</v>
      </c>
      <c r="AJ6100">
        <v>66.895446320782995</v>
      </c>
      <c r="AK6100">
        <v>12.034444319802301</v>
      </c>
      <c r="AL6100">
        <v>89.302483388589806</v>
      </c>
      <c r="AM6100">
        <v>79.298264905024496</v>
      </c>
      <c r="AN6100">
        <v>0.99999993830852096</v>
      </c>
    </row>
    <row r="6101" spans="1:40" x14ac:dyDescent="0.25">
      <c r="A6101" t="str">
        <f>"20190312154956115"</f>
        <v>20190312154956115</v>
      </c>
      <c r="B6101" t="str">
        <f>"1552376996101559"</f>
        <v>1552376996101559</v>
      </c>
      <c r="C6101" t="s">
        <v>40</v>
      </c>
      <c r="D6101">
        <v>4.7628170000000001</v>
      </c>
      <c r="E6101">
        <v>0.57087529999999997</v>
      </c>
      <c r="F6101" t="s">
        <v>42</v>
      </c>
      <c r="G6101">
        <v>-303.9461</v>
      </c>
      <c r="H6101" s="1">
        <v>-2.4686969999999999E-6</v>
      </c>
      <c r="I6101">
        <v>-6.4613630000000004</v>
      </c>
      <c r="J6101">
        <v>-304.4898</v>
      </c>
      <c r="K6101">
        <v>1.051588</v>
      </c>
      <c r="L6101">
        <v>3.5993040000000001</v>
      </c>
      <c r="M6101">
        <v>0.41953400000000002</v>
      </c>
      <c r="N6101">
        <v>0</v>
      </c>
      <c r="O6101">
        <v>-0.90761270000000005</v>
      </c>
      <c r="P6101">
        <v>0.24458550000000001</v>
      </c>
      <c r="Q6101">
        <v>6.7912369999999895E-4</v>
      </c>
      <c r="R6101">
        <v>-0.96962769999999998</v>
      </c>
      <c r="S6101">
        <v>0.19583130000000001</v>
      </c>
      <c r="T6101">
        <v>-0.31024040000000003</v>
      </c>
      <c r="U6101">
        <v>-3.051758</v>
      </c>
      <c r="V6101">
        <v>0.18510080000000001</v>
      </c>
      <c r="W6101">
        <v>1.188376E-2</v>
      </c>
      <c r="X6101">
        <v>0.98264770000000001</v>
      </c>
      <c r="Y6101">
        <v>0.36076350000000001</v>
      </c>
      <c r="Z6101">
        <v>8.3738129999999994E-2</v>
      </c>
      <c r="AA6101">
        <v>0.92889049999999995</v>
      </c>
      <c r="AB6101">
        <v>27</v>
      </c>
      <c r="AC6101">
        <v>0.54370000000000096</v>
      </c>
      <c r="AD6101">
        <v>-1.0515904686969999</v>
      </c>
      <c r="AE6101">
        <v>-10.060667</v>
      </c>
      <c r="AF6101">
        <v>3.68758112581187</v>
      </c>
      <c r="AG6101">
        <v>-1.0515904686969999</v>
      </c>
      <c r="AH6101">
        <v>9.2594985113368296</v>
      </c>
      <c r="AI6101">
        <v>96.022972196937801</v>
      </c>
      <c r="AJ6101">
        <v>68.2851558436153</v>
      </c>
      <c r="AK6101">
        <v>10.0220960759088</v>
      </c>
      <c r="AL6101">
        <v>89.319094690917396</v>
      </c>
      <c r="AM6101">
        <v>79.332228737662305</v>
      </c>
      <c r="AN6101">
        <v>1.00000001611383</v>
      </c>
    </row>
    <row r="6102" spans="1:40" x14ac:dyDescent="0.25">
      <c r="A6102" t="str">
        <f>"20190312154956137"</f>
        <v>20190312154956137</v>
      </c>
      <c r="B6102" t="str">
        <f>"1552376996131814"</f>
        <v>1552376996131814</v>
      </c>
      <c r="C6102" t="s">
        <v>40</v>
      </c>
      <c r="D6102">
        <v>4.7890309999999996</v>
      </c>
      <c r="E6102">
        <v>0.56440290000000004</v>
      </c>
      <c r="F6102" t="s">
        <v>42</v>
      </c>
      <c r="G6102">
        <v>-303.46769999999998</v>
      </c>
      <c r="H6102" s="1">
        <v>-4.1047130000000004E-6</v>
      </c>
      <c r="I6102">
        <v>-12.75883</v>
      </c>
      <c r="J6102">
        <v>-304.38099999999997</v>
      </c>
      <c r="K6102">
        <v>1.051666</v>
      </c>
      <c r="L6102">
        <v>3.3349000000000002</v>
      </c>
      <c r="M6102">
        <v>0.4092964</v>
      </c>
      <c r="N6102">
        <v>0</v>
      </c>
      <c r="O6102">
        <v>-0.91227539999999996</v>
      </c>
      <c r="P6102">
        <v>0.2345689</v>
      </c>
      <c r="Q6102">
        <v>1.8994840000000001E-4</v>
      </c>
      <c r="R6102">
        <v>-0.97209970000000001</v>
      </c>
      <c r="S6102">
        <v>0.19033810000000001</v>
      </c>
      <c r="T6102">
        <v>-0.1958193</v>
      </c>
      <c r="U6102">
        <v>-3.0460820000000002</v>
      </c>
      <c r="V6102">
        <v>0.184171</v>
      </c>
      <c r="W6102">
        <v>1.143079E-2</v>
      </c>
      <c r="X6102">
        <v>0.98282769999999997</v>
      </c>
      <c r="Y6102">
        <v>0.35171639999999998</v>
      </c>
      <c r="Z6102">
        <v>5.36634E-2</v>
      </c>
      <c r="AA6102">
        <v>0.93456719999999904</v>
      </c>
      <c r="AB6102">
        <v>27</v>
      </c>
      <c r="AC6102">
        <v>0.91329999999999201</v>
      </c>
      <c r="AD6102">
        <v>-1.0516701047129999</v>
      </c>
      <c r="AE6102">
        <v>-16.093729999999901</v>
      </c>
      <c r="AF6102">
        <v>5.73019620154738</v>
      </c>
      <c r="AG6102">
        <v>-1.0516701047129999</v>
      </c>
      <c r="AH6102">
        <v>14.9936365513282</v>
      </c>
      <c r="AI6102">
        <v>93.748621686950401</v>
      </c>
      <c r="AJ6102">
        <v>69.084383170899102</v>
      </c>
      <c r="AK6102">
        <v>16.085717128891002</v>
      </c>
      <c r="AL6102">
        <v>89.345049682914293</v>
      </c>
      <c r="AM6102">
        <v>79.386494309498602</v>
      </c>
      <c r="AN6102">
        <v>0.99999995404415598</v>
      </c>
    </row>
    <row r="6103" spans="1:40" x14ac:dyDescent="0.25">
      <c r="A6103" t="str">
        <f>"20190312154956171"</f>
        <v>20190312154956171</v>
      </c>
      <c r="B6103" t="str">
        <f>"1552376996162069"</f>
        <v>1552376996162069</v>
      </c>
      <c r="C6103" t="s">
        <v>40</v>
      </c>
      <c r="D6103">
        <v>4.8398450000000004</v>
      </c>
      <c r="E6103">
        <v>0.56272580000000005</v>
      </c>
      <c r="F6103" t="s">
        <v>42</v>
      </c>
      <c r="G6103">
        <v>-303.29329999999999</v>
      </c>
      <c r="H6103" s="1">
        <v>-4.1855479999999996E-6</v>
      </c>
      <c r="I6103">
        <v>-12.430400000000001</v>
      </c>
      <c r="J6103">
        <v>-304.23070000000001</v>
      </c>
      <c r="K6103">
        <v>1.0517860000000001</v>
      </c>
      <c r="L6103">
        <v>2.9553829999999999</v>
      </c>
      <c r="M6103">
        <v>0.3947271</v>
      </c>
      <c r="N6103">
        <v>0</v>
      </c>
      <c r="O6103">
        <v>-0.91867379999999998</v>
      </c>
      <c r="P6103">
        <v>0.22155710000000001</v>
      </c>
      <c r="Q6103">
        <v>9.8119469999999992E-4</v>
      </c>
      <c r="R6103">
        <v>-0.97514710000000004</v>
      </c>
      <c r="S6103">
        <v>0.20944209999999999</v>
      </c>
      <c r="T6103">
        <v>-0.2024995</v>
      </c>
      <c r="U6103">
        <v>-3.0356139999999998</v>
      </c>
      <c r="V6103">
        <v>0.1816758</v>
      </c>
      <c r="W6103">
        <v>1.2304300000000001E-2</v>
      </c>
      <c r="X6103">
        <v>0.98328150000000003</v>
      </c>
      <c r="Y6103">
        <v>0.33068930000000002</v>
      </c>
      <c r="Z6103">
        <v>5.6556149999999999E-2</v>
      </c>
      <c r="AA6103">
        <v>0.94204350000000003</v>
      </c>
      <c r="AB6103">
        <v>27</v>
      </c>
      <c r="AC6103">
        <v>0.93740000000002499</v>
      </c>
      <c r="AD6103">
        <v>-1.0517901855480001</v>
      </c>
      <c r="AE6103">
        <v>-15.385782999999901</v>
      </c>
      <c r="AF6103">
        <v>5.1884601747386503</v>
      </c>
      <c r="AG6103">
        <v>-1.0517901855480001</v>
      </c>
      <c r="AH6103">
        <v>14.438966372448601</v>
      </c>
      <c r="AI6103">
        <v>93.9216246018661</v>
      </c>
      <c r="AJ6103">
        <v>70.234740876961894</v>
      </c>
      <c r="AK6103">
        <v>15.378885898658799</v>
      </c>
      <c r="AL6103">
        <v>89.294997750432998</v>
      </c>
      <c r="AM6103">
        <v>79.531812965007205</v>
      </c>
      <c r="AN6103">
        <v>1.0000000001731899</v>
      </c>
    </row>
    <row r="6104" spans="1:40" x14ac:dyDescent="0.25">
      <c r="A6104" t="str">
        <f>"20190312154956195"</f>
        <v>20190312154956195</v>
      </c>
      <c r="B6104" t="str">
        <f>"1552376996181589"</f>
        <v>1552376996181589</v>
      </c>
      <c r="C6104" t="s">
        <v>40</v>
      </c>
      <c r="D6104">
        <v>4.8209169999999997</v>
      </c>
      <c r="E6104">
        <v>0.55773050000000002</v>
      </c>
      <c r="F6104" t="s">
        <v>42</v>
      </c>
      <c r="G6104">
        <v>-303.2373</v>
      </c>
      <c r="H6104" s="1">
        <v>-3.7827089999999998E-6</v>
      </c>
      <c r="I6104">
        <v>-13.584989999999999</v>
      </c>
      <c r="J6104">
        <v>-304.11989999999997</v>
      </c>
      <c r="K6104">
        <v>1.0518860000000001</v>
      </c>
      <c r="L6104">
        <v>2.663818</v>
      </c>
      <c r="M6104">
        <v>0.38364979999999999</v>
      </c>
      <c r="N6104">
        <v>0</v>
      </c>
      <c r="O6104">
        <v>-0.92335500000000004</v>
      </c>
      <c r="P6104">
        <v>0.21148339999999999</v>
      </c>
      <c r="Q6104">
        <v>3.454946E-4</v>
      </c>
      <c r="R6104">
        <v>-0.97738199999999997</v>
      </c>
      <c r="S6104">
        <v>0.18228150000000001</v>
      </c>
      <c r="T6104">
        <v>-0.19300909999999999</v>
      </c>
      <c r="U6104">
        <v>-3.0352480000000002</v>
      </c>
      <c r="V6104">
        <v>0.17998</v>
      </c>
      <c r="W6104">
        <v>1.172689E-2</v>
      </c>
      <c r="X6104">
        <v>0.98360040000000004</v>
      </c>
      <c r="Y6104">
        <v>0.32771879999999998</v>
      </c>
      <c r="Z6104">
        <v>5.4408159999999997E-2</v>
      </c>
      <c r="AA6104">
        <v>0.94320740000000003</v>
      </c>
      <c r="AB6104">
        <v>27</v>
      </c>
      <c r="AC6104">
        <v>0.88259999999996797</v>
      </c>
      <c r="AD6104">
        <v>-1.0518897827089999</v>
      </c>
      <c r="AE6104">
        <v>-16.248808</v>
      </c>
      <c r="AF6104">
        <v>5.3969665932409496</v>
      </c>
      <c r="AG6104">
        <v>-1.0518897827089999</v>
      </c>
      <c r="AH6104">
        <v>15.279932747676201</v>
      </c>
      <c r="AI6104">
        <v>93.713929758860701</v>
      </c>
      <c r="AJ6104">
        <v>70.546464862477805</v>
      </c>
      <c r="AK6104">
        <v>16.2391522345544</v>
      </c>
      <c r="AL6104">
        <v>89.328083317847799</v>
      </c>
      <c r="AM6104">
        <v>79.6306845823825</v>
      </c>
      <c r="AN6104">
        <v>1.00000003361461</v>
      </c>
    </row>
    <row r="6105" spans="1:40" x14ac:dyDescent="0.25">
      <c r="A6105" t="str">
        <f>"20190312154956217"</f>
        <v>20190312154956217</v>
      </c>
      <c r="B6105" t="str">
        <f>"1552376996202085"</f>
        <v>1552376996202085</v>
      </c>
      <c r="C6105" t="s">
        <v>40</v>
      </c>
      <c r="D6105">
        <v>4.8230559999999896</v>
      </c>
      <c r="E6105">
        <v>0.55599940000000003</v>
      </c>
      <c r="F6105" t="s">
        <v>42</v>
      </c>
      <c r="G6105">
        <v>-303.34589999999997</v>
      </c>
      <c r="H6105" s="1">
        <v>-8.397634E-7</v>
      </c>
      <c r="I6105">
        <v>-9.5694909999999993</v>
      </c>
      <c r="J6105">
        <v>-304.02530000000002</v>
      </c>
      <c r="K6105">
        <v>1.051971</v>
      </c>
      <c r="L6105">
        <v>2.406647</v>
      </c>
      <c r="M6105">
        <v>0.37395010000000001</v>
      </c>
      <c r="N6105">
        <v>0</v>
      </c>
      <c r="O6105">
        <v>-0.92732590000000004</v>
      </c>
      <c r="P6105">
        <v>0.20252709999999999</v>
      </c>
      <c r="Q6105">
        <v>-6.5526110000000001E-4</v>
      </c>
      <c r="R6105">
        <v>-0.97927649999999999</v>
      </c>
      <c r="S6105">
        <v>0.19158939999999999</v>
      </c>
      <c r="T6105">
        <v>-0.26037060000000001</v>
      </c>
      <c r="U6105">
        <v>-3.028076</v>
      </c>
      <c r="V6105">
        <v>0.1786519</v>
      </c>
      <c r="W6105">
        <v>1.0772800000000001E-2</v>
      </c>
      <c r="X6105">
        <v>0.98385330000000004</v>
      </c>
      <c r="Y6105">
        <v>0.31483489999999997</v>
      </c>
      <c r="Z6105">
        <v>7.4142479999999997E-2</v>
      </c>
      <c r="AA6105">
        <v>0.94624620000000004</v>
      </c>
      <c r="AB6105">
        <v>27</v>
      </c>
      <c r="AC6105">
        <v>0.67940000000004297</v>
      </c>
      <c r="AD6105">
        <v>-1.0519718397633999</v>
      </c>
      <c r="AE6105">
        <v>-11.976138000000001</v>
      </c>
      <c r="AF6105">
        <v>3.8195159262148302</v>
      </c>
      <c r="AG6105">
        <v>-1.0519718397633999</v>
      </c>
      <c r="AH6105">
        <v>11.274428961353999</v>
      </c>
      <c r="AI6105">
        <v>95.0502495450109</v>
      </c>
      <c r="AJ6105">
        <v>71.284807777357699</v>
      </c>
      <c r="AK6105">
        <v>11.950234100923799</v>
      </c>
      <c r="AL6105">
        <v>89.3827520471703</v>
      </c>
      <c r="AM6105">
        <v>79.7081489635152</v>
      </c>
      <c r="AN6105">
        <v>0.99999993525716802</v>
      </c>
    </row>
    <row r="6106" spans="1:40" x14ac:dyDescent="0.25">
      <c r="A6106" t="str">
        <f>"20190312154956246"</f>
        <v>20190312154956246</v>
      </c>
      <c r="B6106" t="str">
        <f>"1552376996242102"</f>
        <v>1552376996242102</v>
      </c>
      <c r="C6106" t="s">
        <v>40</v>
      </c>
      <c r="D6106">
        <v>4.8272940000000002</v>
      </c>
      <c r="E6106">
        <v>0.55419149999999995</v>
      </c>
      <c r="F6106" t="s">
        <v>42</v>
      </c>
      <c r="G6106">
        <v>-303.26350000000002</v>
      </c>
      <c r="H6106" s="1">
        <v>-4.7848089999999999E-6</v>
      </c>
      <c r="I6106">
        <v>-10.653919999999999</v>
      </c>
      <c r="J6106">
        <v>-303.90989999999999</v>
      </c>
      <c r="K6106">
        <v>1.0520750000000001</v>
      </c>
      <c r="L6106">
        <v>2.0819399999999999</v>
      </c>
      <c r="M6106">
        <v>0.36179869999999997</v>
      </c>
      <c r="N6106">
        <v>0</v>
      </c>
      <c r="O6106">
        <v>-0.93213460000000004</v>
      </c>
      <c r="P6106">
        <v>0.19062519999999999</v>
      </c>
      <c r="Q6106">
        <v>-1.307625E-3</v>
      </c>
      <c r="R6106">
        <v>-0.98166220000000004</v>
      </c>
      <c r="S6106">
        <v>0.17654420000000001</v>
      </c>
      <c r="T6106">
        <v>-0.24379590000000001</v>
      </c>
      <c r="U6106">
        <v>-3.0267940000000002</v>
      </c>
      <c r="V6106">
        <v>0.17772009999999999</v>
      </c>
      <c r="W6106">
        <v>1.0161999999999999E-2</v>
      </c>
      <c r="X6106">
        <v>0.98402860000000003</v>
      </c>
      <c r="Y6106">
        <v>0.3070677</v>
      </c>
      <c r="Z6106">
        <v>7.016609E-2</v>
      </c>
      <c r="AA6106">
        <v>0.94909759999999999</v>
      </c>
      <c r="AB6106">
        <v>27</v>
      </c>
      <c r="AC6106">
        <v>0.646399999999971</v>
      </c>
      <c r="AD6106">
        <v>-1.052079784809</v>
      </c>
      <c r="AE6106">
        <v>-12.735860000000001</v>
      </c>
      <c r="AF6106">
        <v>3.9786593163841801</v>
      </c>
      <c r="AG6106">
        <v>-1.052079784809</v>
      </c>
      <c r="AH6106">
        <v>12.0249277570001</v>
      </c>
      <c r="AI6106">
        <v>94.748260763300905</v>
      </c>
      <c r="AJ6106">
        <v>71.692292179864594</v>
      </c>
      <c r="AK6106">
        <v>12.709661261832499</v>
      </c>
      <c r="AL6106">
        <v>89.417750263038599</v>
      </c>
      <c r="AM6106">
        <v>79.762475467748601</v>
      </c>
      <c r="AN6106">
        <v>0.99999999290298502</v>
      </c>
    </row>
    <row r="6107" spans="1:40" x14ac:dyDescent="0.25">
      <c r="A6107" t="str">
        <f>"20190312154956270"</f>
        <v>20190312154956270</v>
      </c>
      <c r="B6107" t="str">
        <f>"1552376996261622"</f>
        <v>1552376996261622</v>
      </c>
      <c r="C6107" t="s">
        <v>40</v>
      </c>
      <c r="D6107">
        <v>4.768103</v>
      </c>
      <c r="E6107">
        <v>0.55366740000000003</v>
      </c>
      <c r="F6107" t="s">
        <v>42</v>
      </c>
      <c r="G6107">
        <v>-303.22480000000002</v>
      </c>
      <c r="H6107" s="1">
        <v>-4.5234389999999998E-6</v>
      </c>
      <c r="I6107">
        <v>-11.401770000000001</v>
      </c>
      <c r="J6107">
        <v>-303.81259999999997</v>
      </c>
      <c r="K6107">
        <v>1.052162</v>
      </c>
      <c r="L6107">
        <v>1.796173</v>
      </c>
      <c r="M6107">
        <v>0.35120659999999998</v>
      </c>
      <c r="N6107">
        <v>0</v>
      </c>
      <c r="O6107">
        <v>-0.93617720000000004</v>
      </c>
      <c r="P6107">
        <v>0.18023239999999999</v>
      </c>
      <c r="Q6107">
        <v>-8.7616289999999997E-4</v>
      </c>
      <c r="R6107">
        <v>-0.9836241</v>
      </c>
      <c r="S6107">
        <v>0.15374760000000001</v>
      </c>
      <c r="T6107">
        <v>-0.2360971</v>
      </c>
      <c r="U6107">
        <v>-3.0258790000000002</v>
      </c>
      <c r="V6107">
        <v>0.17697570000000001</v>
      </c>
      <c r="W6107">
        <v>1.0624990000000001E-2</v>
      </c>
      <c r="X6107">
        <v>0.98415790000000003</v>
      </c>
      <c r="Y6107">
        <v>0.30338310000000002</v>
      </c>
      <c r="Z6107">
        <v>6.85085E-2</v>
      </c>
      <c r="AA6107">
        <v>0.95040270000000004</v>
      </c>
      <c r="AB6107">
        <v>27</v>
      </c>
      <c r="AC6107">
        <v>0.58779999999995802</v>
      </c>
      <c r="AD6107">
        <v>-1.0521665234389901</v>
      </c>
      <c r="AE6107">
        <v>-13.197943</v>
      </c>
      <c r="AF6107">
        <v>4.0596314495581396</v>
      </c>
      <c r="AG6107">
        <v>-1.0521665234389901</v>
      </c>
      <c r="AH6107">
        <v>12.4842853784483</v>
      </c>
      <c r="AI6107">
        <v>94.582360458460698</v>
      </c>
      <c r="AJ6107">
        <v>71.986546068865707</v>
      </c>
      <c r="AK6107">
        <v>13.1698535796654</v>
      </c>
      <c r="AL6107">
        <v>89.391221479603601</v>
      </c>
      <c r="AM6107">
        <v>79.805766543806598</v>
      </c>
      <c r="AN6107">
        <v>1.0000000304676899</v>
      </c>
    </row>
    <row r="6108" spans="1:40" x14ac:dyDescent="0.25">
      <c r="A6108" t="str">
        <f>"20190312154956305"</f>
        <v>20190312154956305</v>
      </c>
      <c r="B6108" t="str">
        <f>"1552376996291877"</f>
        <v>1552376996291877</v>
      </c>
      <c r="C6108" t="s">
        <v>40</v>
      </c>
      <c r="D6108">
        <v>4.7999289999999997</v>
      </c>
      <c r="E6108">
        <v>0.54908559999999995</v>
      </c>
      <c r="F6108" t="s">
        <v>42</v>
      </c>
      <c r="G6108">
        <v>-303.24869999999999</v>
      </c>
      <c r="H6108" s="1">
        <v>-4.4058890000000004E-6</v>
      </c>
      <c r="I6108">
        <v>-11.7597</v>
      </c>
      <c r="J6108">
        <v>-303.67869999999999</v>
      </c>
      <c r="K6108">
        <v>1.0522819999999999</v>
      </c>
      <c r="L6108">
        <v>1.386414</v>
      </c>
      <c r="M6108">
        <v>0.33610869999999998</v>
      </c>
      <c r="N6108">
        <v>0</v>
      </c>
      <c r="O6108">
        <v>-0.94170359999999997</v>
      </c>
      <c r="P6108">
        <v>0.16665820000000001</v>
      </c>
      <c r="Q6108">
        <v>1.08176E-3</v>
      </c>
      <c r="R6108">
        <v>-0.98601419999999995</v>
      </c>
      <c r="S6108">
        <v>0.125885</v>
      </c>
      <c r="T6108">
        <v>-0.2349212</v>
      </c>
      <c r="U6108">
        <v>-3.026672</v>
      </c>
      <c r="V6108">
        <v>0.1747483</v>
      </c>
      <c r="W6108">
        <v>1.264616E-2</v>
      </c>
      <c r="X6108">
        <v>0.98453190000000002</v>
      </c>
      <c r="Y6108">
        <v>0.2967997</v>
      </c>
      <c r="Z6108">
        <v>6.8880010000000005E-2</v>
      </c>
      <c r="AA6108">
        <v>0.95245239999999998</v>
      </c>
      <c r="AB6108">
        <v>27</v>
      </c>
      <c r="AC6108">
        <v>0.43000000000000599</v>
      </c>
      <c r="AD6108">
        <v>-1.052286405889</v>
      </c>
      <c r="AE6108">
        <v>-13.146114000000001</v>
      </c>
      <c r="AF6108">
        <v>3.9885147045189</v>
      </c>
      <c r="AG6108">
        <v>-1.052286405889</v>
      </c>
      <c r="AH6108">
        <v>12.4460207329181</v>
      </c>
      <c r="AI6108">
        <v>94.603222624809007</v>
      </c>
      <c r="AJ6108">
        <v>72.231161080547594</v>
      </c>
      <c r="AK6108">
        <v>13.1117881432095</v>
      </c>
      <c r="AL6108">
        <v>89.275409074664694</v>
      </c>
      <c r="AM6108">
        <v>79.935175491141194</v>
      </c>
      <c r="AN6108">
        <v>0.99999997791662198</v>
      </c>
    </row>
    <row r="6109" spans="1:40" x14ac:dyDescent="0.25">
      <c r="A6109" t="str">
        <f>"20190312154956341"</f>
        <v>20190312154956341</v>
      </c>
      <c r="B6109" t="str">
        <f>"1552376996331893"</f>
        <v>1552376996331893</v>
      </c>
      <c r="C6109" t="s">
        <v>40</v>
      </c>
      <c r="D6109">
        <v>4.8418729999999996</v>
      </c>
      <c r="E6109">
        <v>0.54829519999999998</v>
      </c>
      <c r="F6109" t="s">
        <v>42</v>
      </c>
      <c r="G6109">
        <v>-302.73649999999998</v>
      </c>
      <c r="H6109" s="1">
        <v>-3.9253840000000001E-6</v>
      </c>
      <c r="I6109">
        <v>-22.904679999999999</v>
      </c>
      <c r="J6109">
        <v>-303.5505</v>
      </c>
      <c r="K6109">
        <v>1.052635</v>
      </c>
      <c r="L6109">
        <v>0.97134399999999999</v>
      </c>
      <c r="M6109">
        <v>0.32046960000000002</v>
      </c>
      <c r="N6109">
        <v>0</v>
      </c>
      <c r="O6109">
        <v>-0.94713539999999996</v>
      </c>
      <c r="P6109">
        <v>0.15150559999999999</v>
      </c>
      <c r="Q6109">
        <v>1.531084E-3</v>
      </c>
      <c r="R6109">
        <v>-0.98845550000000004</v>
      </c>
      <c r="S6109">
        <v>0.11724850000000001</v>
      </c>
      <c r="T6109">
        <v>-0.13095090000000001</v>
      </c>
      <c r="U6109">
        <v>-3.022888</v>
      </c>
      <c r="V6109">
        <v>0.1735622</v>
      </c>
      <c r="W6109">
        <v>1.350297E-2</v>
      </c>
      <c r="X6109">
        <v>0.98473040000000001</v>
      </c>
      <c r="Y6109">
        <v>0.28357789999999999</v>
      </c>
      <c r="Z6109">
        <v>3.8959960000000002E-2</v>
      </c>
      <c r="AA6109">
        <v>0.9581575</v>
      </c>
      <c r="AB6109">
        <v>27</v>
      </c>
      <c r="AC6109">
        <v>0.81400000000002104</v>
      </c>
      <c r="AD6109">
        <v>-1.0526389253839901</v>
      </c>
      <c r="AE6109">
        <v>-23.876024000000001</v>
      </c>
      <c r="AF6109">
        <v>6.86804193345003</v>
      </c>
      <c r="AG6109">
        <v>-1.0526389253839901</v>
      </c>
      <c r="AH6109">
        <v>22.833034351429401</v>
      </c>
      <c r="AI6109">
        <v>92.527832217858005</v>
      </c>
      <c r="AJ6109">
        <v>73.259023273898606</v>
      </c>
      <c r="AK6109">
        <v>23.866828578602899</v>
      </c>
      <c r="AL6109">
        <v>89.226313345396093</v>
      </c>
      <c r="AM6109">
        <v>80.004082081028898</v>
      </c>
      <c r="AN6109">
        <v>1.0000000640758999</v>
      </c>
    </row>
    <row r="6110" spans="1:40" x14ac:dyDescent="0.25">
      <c r="A6110" t="str">
        <f>"20190312154956367"</f>
        <v>20190312154956367</v>
      </c>
      <c r="B6110" t="str">
        <f>"1552376996351413"</f>
        <v>1552376996351413</v>
      </c>
      <c r="C6110" t="s">
        <v>40</v>
      </c>
      <c r="D6110">
        <v>4.8054649999999999</v>
      </c>
      <c r="E6110">
        <v>0.54806909999999998</v>
      </c>
      <c r="F6110" t="s">
        <v>42</v>
      </c>
      <c r="G6110">
        <v>-302.99650000000003</v>
      </c>
      <c r="H6110" s="1">
        <v>-4.7344620000000004E-6</v>
      </c>
      <c r="I6110">
        <v>-20.662680000000002</v>
      </c>
      <c r="J6110">
        <v>-303.46019999999999</v>
      </c>
      <c r="K6110">
        <v>1.053088</v>
      </c>
      <c r="L6110">
        <v>0.66842650000000003</v>
      </c>
      <c r="M6110">
        <v>0.3077163</v>
      </c>
      <c r="N6110">
        <v>0</v>
      </c>
      <c r="O6110">
        <v>-0.9513471</v>
      </c>
      <c r="P6110">
        <v>0.13940439999999901</v>
      </c>
      <c r="Q6110">
        <v>1.3819749999999999E-3</v>
      </c>
      <c r="R6110">
        <v>-0.99023490000000003</v>
      </c>
      <c r="S6110">
        <v>7.7423099999999995E-2</v>
      </c>
      <c r="T6110">
        <v>-0.14710889999999999</v>
      </c>
      <c r="U6110">
        <v>-3.0234070000000002</v>
      </c>
      <c r="V6110">
        <v>0.17238120000000001</v>
      </c>
      <c r="W6110">
        <v>1.3933040000000001E-2</v>
      </c>
      <c r="X6110">
        <v>0.98493180000000002</v>
      </c>
      <c r="Y6110">
        <v>0.28331519999999999</v>
      </c>
      <c r="Z6110">
        <v>4.4064449999999998E-2</v>
      </c>
      <c r="AA6110">
        <v>0.95801400000000003</v>
      </c>
      <c r="AB6110">
        <v>27</v>
      </c>
      <c r="AC6110">
        <v>0.46369999999995998</v>
      </c>
      <c r="AD6110">
        <v>-1.053092734462</v>
      </c>
      <c r="AE6110">
        <v>-21.331106500000001</v>
      </c>
      <c r="AF6110">
        <v>6.1086715456221699</v>
      </c>
      <c r="AG6110">
        <v>-1.053092734462</v>
      </c>
      <c r="AH6110">
        <v>20.388852943263</v>
      </c>
      <c r="AI6110">
        <v>92.832539519542493</v>
      </c>
      <c r="AJ6110">
        <v>73.321342573903095</v>
      </c>
      <c r="AK6110">
        <v>21.310330750639999</v>
      </c>
      <c r="AL6110">
        <v>89.201669804170706</v>
      </c>
      <c r="AM6110">
        <v>80.072730889283093</v>
      </c>
      <c r="AN6110">
        <v>1.00000002918416</v>
      </c>
    </row>
    <row r="6111" spans="1:40" x14ac:dyDescent="0.25">
      <c r="A6111" t="str">
        <f>"20190312154956387"</f>
        <v>20190312154956387</v>
      </c>
      <c r="B6111" t="str">
        <f>"1552376996381670"</f>
        <v>1552376996381670</v>
      </c>
      <c r="C6111" t="s">
        <v>40</v>
      </c>
      <c r="D6111">
        <v>4.8285980000000004</v>
      </c>
      <c r="E6111">
        <v>0.5475373</v>
      </c>
      <c r="F6111" t="s">
        <v>42</v>
      </c>
      <c r="G6111">
        <v>-303.16460000000001</v>
      </c>
      <c r="H6111" s="1">
        <v>-4.776012E-6</v>
      </c>
      <c r="I6111">
        <v>-20.628240000000002</v>
      </c>
      <c r="J6111">
        <v>-303.3904</v>
      </c>
      <c r="K6111">
        <v>1.053083</v>
      </c>
      <c r="L6111">
        <v>0.42532350000000002</v>
      </c>
      <c r="M6111">
        <v>0.29913959999999901</v>
      </c>
      <c r="N6111">
        <v>0</v>
      </c>
      <c r="O6111">
        <v>-0.95407030000000004</v>
      </c>
      <c r="P6111">
        <v>0.13232060000000001</v>
      </c>
      <c r="Q6111">
        <v>1.527732E-3</v>
      </c>
      <c r="R6111">
        <v>-0.99120589999999997</v>
      </c>
      <c r="S6111">
        <v>4.196167E-2</v>
      </c>
      <c r="T6111">
        <v>-0.14952779999999999</v>
      </c>
      <c r="U6111">
        <v>-3.023895</v>
      </c>
      <c r="V6111">
        <v>0.17058879999999901</v>
      </c>
      <c r="W6111">
        <v>1.437979E-2</v>
      </c>
      <c r="X6111">
        <v>0.98523740000000004</v>
      </c>
      <c r="Y6111">
        <v>0.28591759999999999</v>
      </c>
      <c r="Z6111">
        <v>4.4965949999999998E-2</v>
      </c>
      <c r="AA6111">
        <v>0.95719860000000001</v>
      </c>
      <c r="AB6111">
        <v>27</v>
      </c>
      <c r="AC6111">
        <v>0.22579999999999201</v>
      </c>
      <c r="AD6111">
        <v>-1.0530877760120001</v>
      </c>
      <c r="AE6111">
        <v>-21.053563499999999</v>
      </c>
      <c r="AF6111">
        <v>6.06815224510202</v>
      </c>
      <c r="AG6111">
        <v>-1.0530877760120001</v>
      </c>
      <c r="AH6111">
        <v>20.106500381377199</v>
      </c>
      <c r="AI6111">
        <v>92.870503908286906</v>
      </c>
      <c r="AJ6111">
        <v>73.206158579150596</v>
      </c>
      <c r="AK6111">
        <v>21.028619144395702</v>
      </c>
      <c r="AL6111">
        <v>89.176070347092306</v>
      </c>
      <c r="AM6111">
        <v>80.1769196471393</v>
      </c>
      <c r="AN6111">
        <v>1.0000000257023201</v>
      </c>
    </row>
    <row r="6112" spans="1:40" x14ac:dyDescent="0.25">
      <c r="A6112" t="str">
        <f>"20190312154956407"</f>
        <v>20190312154956407</v>
      </c>
      <c r="B6112" t="str">
        <f>"1552376996402166"</f>
        <v>1552376996402166</v>
      </c>
      <c r="C6112" t="s">
        <v>40</v>
      </c>
      <c r="D6112">
        <v>4.8565550000000002</v>
      </c>
      <c r="E6112">
        <v>0.54686239999999997</v>
      </c>
      <c r="F6112" t="s">
        <v>42</v>
      </c>
      <c r="G6112">
        <v>-303.21949999999998</v>
      </c>
      <c r="H6112" s="1">
        <v>-4.7409590000000004E-6</v>
      </c>
      <c r="I6112">
        <v>-20.75986</v>
      </c>
      <c r="J6112">
        <v>-303.32780000000002</v>
      </c>
      <c r="K6112">
        <v>1.0530010000000001</v>
      </c>
      <c r="L6112">
        <v>0.1980896</v>
      </c>
      <c r="M6112">
        <v>0.29318709999999998</v>
      </c>
      <c r="N6112">
        <v>0</v>
      </c>
      <c r="O6112">
        <v>-0.95592080000000001</v>
      </c>
      <c r="P6112">
        <v>0.1278521</v>
      </c>
      <c r="Q6112">
        <v>2.9108390000000001E-3</v>
      </c>
      <c r="R6112">
        <v>-0.99178929999999998</v>
      </c>
      <c r="S6112">
        <v>2.4383539999999999E-2</v>
      </c>
      <c r="T6112">
        <v>-0.15029870000000001</v>
      </c>
      <c r="U6112">
        <v>-3.02359</v>
      </c>
      <c r="V6112">
        <v>0.16893329999999901</v>
      </c>
      <c r="W6112">
        <v>1.525087E-2</v>
      </c>
      <c r="X6112">
        <v>0.98550950000000004</v>
      </c>
      <c r="Y6112">
        <v>0.2855065</v>
      </c>
      <c r="Z6112">
        <v>4.5342599999999997E-2</v>
      </c>
      <c r="AA6112">
        <v>0.95730360000000003</v>
      </c>
      <c r="AB6112">
        <v>26</v>
      </c>
      <c r="AC6112">
        <v>0.108300000000042</v>
      </c>
      <c r="AD6112">
        <v>-1.0530057409589999</v>
      </c>
      <c r="AE6112">
        <v>-20.957949599999999</v>
      </c>
      <c r="AF6112">
        <v>6.0266364749741097</v>
      </c>
      <c r="AG6112">
        <v>-1.0530057409589999</v>
      </c>
      <c r="AH6112">
        <v>20.0179359570208</v>
      </c>
      <c r="AI6112">
        <v>92.883545672071804</v>
      </c>
      <c r="AJ6112">
        <v>73.244956952692903</v>
      </c>
      <c r="AK6112">
        <v>20.931959494308401</v>
      </c>
      <c r="AL6112">
        <v>89.126155648685895</v>
      </c>
      <c r="AM6112">
        <v>80.273053201670294</v>
      </c>
      <c r="AN6112">
        <v>1.0000000117374399</v>
      </c>
    </row>
    <row r="6113" spans="1:40" x14ac:dyDescent="0.25">
      <c r="A6113" t="str">
        <f>"20190312154956427"</f>
        <v>20190312154956427</v>
      </c>
      <c r="B6113" t="str">
        <f>"1552376996421686"</f>
        <v>1552376996421686</v>
      </c>
      <c r="C6113" t="s">
        <v>40</v>
      </c>
      <c r="D6113">
        <v>4.7701120000000001</v>
      </c>
      <c r="E6113">
        <v>0.5463093</v>
      </c>
      <c r="F6113" t="s">
        <v>42</v>
      </c>
      <c r="G6113">
        <v>-303.21429999999998</v>
      </c>
      <c r="H6113" s="1">
        <v>-4.4409729999999998E-6</v>
      </c>
      <c r="I6113">
        <v>-21.638649999999998</v>
      </c>
      <c r="J6113">
        <v>-303.26799999999997</v>
      </c>
      <c r="K6113">
        <v>1.053242</v>
      </c>
      <c r="L6113">
        <v>-2.972412E-2</v>
      </c>
      <c r="M6113">
        <v>0.28749079999999999</v>
      </c>
      <c r="N6113">
        <v>0</v>
      </c>
      <c r="O6113">
        <v>-0.95766910000000005</v>
      </c>
      <c r="P6113">
        <v>0.1229456</v>
      </c>
      <c r="Q6113">
        <v>6.3135619999999896E-3</v>
      </c>
      <c r="R6113">
        <v>-0.99239370000000005</v>
      </c>
      <c r="S6113">
        <v>1.5716549999999999E-2</v>
      </c>
      <c r="T6113">
        <v>-0.14578650000000001</v>
      </c>
      <c r="U6113">
        <v>-3.0232540000000001</v>
      </c>
      <c r="V6113">
        <v>0.1679947</v>
      </c>
      <c r="W6113">
        <v>1.727764E-2</v>
      </c>
      <c r="X6113">
        <v>0.98563650000000003</v>
      </c>
      <c r="Y6113">
        <v>0.28253779999999901</v>
      </c>
      <c r="Z6113">
        <v>4.4135399999999998E-2</v>
      </c>
      <c r="AA6113">
        <v>0.95824030000000004</v>
      </c>
      <c r="AB6113">
        <v>26</v>
      </c>
      <c r="AC6113">
        <v>5.3699999999991997E-2</v>
      </c>
      <c r="AD6113">
        <v>-1.053246440973</v>
      </c>
      <c r="AE6113">
        <v>-21.608925880000001</v>
      </c>
      <c r="AF6113">
        <v>6.1470116565701103</v>
      </c>
      <c r="AG6113">
        <v>-1.053246440973</v>
      </c>
      <c r="AH6113">
        <v>20.662817674537202</v>
      </c>
      <c r="AI6113">
        <v>92.797070698292401</v>
      </c>
      <c r="AJ6113">
        <v>73.432708238201101</v>
      </c>
      <c r="AK6113">
        <v>21.583491715257701</v>
      </c>
      <c r="AL6113">
        <v>89.010014912221607</v>
      </c>
      <c r="AM6113">
        <v>80.327295417228697</v>
      </c>
      <c r="AN6113">
        <v>1.00000002310215</v>
      </c>
    </row>
    <row r="6114" spans="1:40" x14ac:dyDescent="0.25">
      <c r="A6114" t="str">
        <f>"20190312154956447"</f>
        <v>20190312154956447</v>
      </c>
      <c r="B6114" t="str">
        <f>"1552376996431446"</f>
        <v>1552376996431446</v>
      </c>
      <c r="C6114" t="s">
        <v>40</v>
      </c>
      <c r="D6114">
        <v>4.7899269999999996</v>
      </c>
      <c r="E6114">
        <v>0.54593999999999998</v>
      </c>
      <c r="F6114" t="s">
        <v>42</v>
      </c>
      <c r="G6114">
        <v>-303.22910000000002</v>
      </c>
      <c r="H6114" s="1">
        <v>-3.677042E-6</v>
      </c>
      <c r="I6114">
        <v>-23.842359999999999</v>
      </c>
      <c r="J6114">
        <v>-303.21140000000003</v>
      </c>
      <c r="K6114">
        <v>1.0541929999999999</v>
      </c>
      <c r="L6114">
        <v>-0.25329590000000002</v>
      </c>
      <c r="M6114">
        <v>0.28077809999999997</v>
      </c>
      <c r="N6114">
        <v>0</v>
      </c>
      <c r="O6114">
        <v>-0.95968419999999999</v>
      </c>
      <c r="P6114">
        <v>0.11738899999999999</v>
      </c>
      <c r="Q6114">
        <v>9.3896210000000008E-3</v>
      </c>
      <c r="R6114">
        <v>-0.99304159999999997</v>
      </c>
      <c r="S6114">
        <v>4.9438479999999998E-3</v>
      </c>
      <c r="T6114">
        <v>-0.13372020000000001</v>
      </c>
      <c r="U6114">
        <v>-3.0232540000000001</v>
      </c>
      <c r="V6114">
        <v>0.1666193</v>
      </c>
      <c r="W6114">
        <v>1.8684079999999999E-2</v>
      </c>
      <c r="X6114">
        <v>0.98584430000000001</v>
      </c>
      <c r="Y6114">
        <v>0.27922799999999998</v>
      </c>
      <c r="Z6114">
        <v>4.0642829999999998E-2</v>
      </c>
      <c r="AA6114">
        <v>0.95936429999999995</v>
      </c>
      <c r="AB6114">
        <v>26</v>
      </c>
      <c r="AC6114">
        <v>-1.7699999999990699E-2</v>
      </c>
      <c r="AD6114">
        <v>-1.0541966770419999</v>
      </c>
      <c r="AE6114">
        <v>-23.589064100000002</v>
      </c>
      <c r="AF6114">
        <v>6.6276064979252798</v>
      </c>
      <c r="AG6114">
        <v>-1.0541966770419999</v>
      </c>
      <c r="AH6114">
        <v>22.589888671859399</v>
      </c>
      <c r="AI6114">
        <v>92.563952187128507</v>
      </c>
      <c r="AJ6114">
        <v>73.648934577069795</v>
      </c>
      <c r="AK6114">
        <v>23.565643821721299</v>
      </c>
      <c r="AL6114">
        <v>88.929418814067205</v>
      </c>
      <c r="AM6114">
        <v>80.406994105756596</v>
      </c>
      <c r="AN6114">
        <v>1.0000000349102101</v>
      </c>
    </row>
    <row r="6115" spans="1:40" x14ac:dyDescent="0.25">
      <c r="A6115" t="str">
        <f>"20190312154956467"</f>
        <v>20190312154956467</v>
      </c>
      <c r="B6115" t="str">
        <f>"1552376996461702"</f>
        <v>1552376996461702</v>
      </c>
      <c r="C6115" t="s">
        <v>40</v>
      </c>
      <c r="D6115">
        <v>4.8383419999999999</v>
      </c>
      <c r="E6115">
        <v>0.54522280000000001</v>
      </c>
      <c r="F6115" t="s">
        <v>42</v>
      </c>
      <c r="G6115">
        <v>-303.2878</v>
      </c>
      <c r="H6115" s="1">
        <v>-2.7292590000000002E-6</v>
      </c>
      <c r="I6115">
        <v>-26.08811</v>
      </c>
      <c r="J6115">
        <v>-303.15140000000002</v>
      </c>
      <c r="K6115">
        <v>1.0560020000000001</v>
      </c>
      <c r="L6115">
        <v>-0.49853520000000001</v>
      </c>
      <c r="M6115">
        <v>0.27199709999999899</v>
      </c>
      <c r="N6115">
        <v>0</v>
      </c>
      <c r="O6115">
        <v>-0.96223320000000001</v>
      </c>
      <c r="P6115">
        <v>0.11019089999999999</v>
      </c>
      <c r="Q6115">
        <v>1.0278320000000001E-2</v>
      </c>
      <c r="R6115">
        <v>-0.9938574</v>
      </c>
      <c r="S6115">
        <v>-8.9416500000000006E-3</v>
      </c>
      <c r="T6115">
        <v>-0.1233646</v>
      </c>
      <c r="U6115">
        <v>-3.0232540000000001</v>
      </c>
      <c r="V6115">
        <v>0.16469909999999999</v>
      </c>
      <c r="W6115">
        <v>1.8032349999999999E-2</v>
      </c>
      <c r="X6115">
        <v>0.98617900000000003</v>
      </c>
      <c r="Y6115">
        <v>0.27485229999999999</v>
      </c>
      <c r="Z6115">
        <v>3.7680369999999998E-2</v>
      </c>
      <c r="AA6115">
        <v>0.96074780000000004</v>
      </c>
      <c r="AB6115">
        <v>27</v>
      </c>
      <c r="AC6115">
        <v>-0.13639999999998001</v>
      </c>
      <c r="AD6115">
        <v>-1.056004729259</v>
      </c>
      <c r="AE6115">
        <v>-25.589574800000001</v>
      </c>
      <c r="AF6115">
        <v>7.0799249442637597</v>
      </c>
      <c r="AG6115">
        <v>-1.056004729259</v>
      </c>
      <c r="AH6115">
        <v>24.545773532406798</v>
      </c>
      <c r="AI6115">
        <v>92.367069528564201</v>
      </c>
      <c r="AJ6115">
        <v>73.910447852543697</v>
      </c>
      <c r="AK6115">
        <v>25.568251436279901</v>
      </c>
      <c r="AL6115">
        <v>88.966766439062795</v>
      </c>
      <c r="AM6115">
        <v>80.518689025530804</v>
      </c>
      <c r="AN6115">
        <v>0.99999998961416603</v>
      </c>
    </row>
    <row r="6116" spans="1:40" x14ac:dyDescent="0.25">
      <c r="A6116" t="str">
        <f>"20190312154956491"</f>
        <v>20190312154956491</v>
      </c>
      <c r="B6116" t="str">
        <f>"1552376996482198"</f>
        <v>1552376996482198</v>
      </c>
      <c r="C6116" t="s">
        <v>40</v>
      </c>
      <c r="D6116">
        <v>4.7770390000000003</v>
      </c>
      <c r="E6116">
        <v>0.54460249999999999</v>
      </c>
      <c r="F6116" t="s">
        <v>42</v>
      </c>
      <c r="G6116">
        <v>-303.37709999999998</v>
      </c>
      <c r="H6116" s="1">
        <v>-2.1342280000000002E-6</v>
      </c>
      <c r="I6116">
        <v>-27.530519999999999</v>
      </c>
      <c r="J6116">
        <v>-303.08580000000001</v>
      </c>
      <c r="K6116">
        <v>1.058392</v>
      </c>
      <c r="L6116">
        <v>-0.77554319999999999</v>
      </c>
      <c r="M6116">
        <v>0.26117030000000002</v>
      </c>
      <c r="N6116">
        <v>0</v>
      </c>
      <c r="O6116">
        <v>-0.96524710000000002</v>
      </c>
      <c r="P6116">
        <v>0.1018796</v>
      </c>
      <c r="Q6116">
        <v>1.059414E-2</v>
      </c>
      <c r="R6116">
        <v>-0.99474039999999997</v>
      </c>
      <c r="S6116">
        <v>-2.523804E-2</v>
      </c>
      <c r="T6116">
        <v>-0.118076</v>
      </c>
      <c r="U6116">
        <v>-3.0225520000000001</v>
      </c>
      <c r="V6116">
        <v>0.16179779999999999</v>
      </c>
      <c r="W6116">
        <v>1.6944379999999998E-2</v>
      </c>
      <c r="X6116">
        <v>0.98667839999999996</v>
      </c>
      <c r="Y6116">
        <v>0.26922309999999999</v>
      </c>
      <c r="Z6116">
        <v>3.6281300000000002E-2</v>
      </c>
      <c r="AA6116">
        <v>0.96239419999999998</v>
      </c>
      <c r="AB6116">
        <v>27</v>
      </c>
      <c r="AC6116">
        <v>-0.29129999999997802</v>
      </c>
      <c r="AD6116">
        <v>-1.0583941342280001</v>
      </c>
      <c r="AE6116">
        <v>-26.754976799999898</v>
      </c>
      <c r="AF6116">
        <v>7.2577457695204401</v>
      </c>
      <c r="AG6116">
        <v>-1.0583941342280001</v>
      </c>
      <c r="AH6116">
        <v>25.709990601472398</v>
      </c>
      <c r="AI6116">
        <v>92.268776330435998</v>
      </c>
      <c r="AJ6116">
        <v>74.236007810651301</v>
      </c>
      <c r="AK6116">
        <v>26.735719338109401</v>
      </c>
      <c r="AL6116">
        <v>89.029112030762207</v>
      </c>
      <c r="AM6116">
        <v>80.687388293350494</v>
      </c>
      <c r="AN6116">
        <v>0.99999995256249097</v>
      </c>
    </row>
    <row r="6117" spans="1:40" x14ac:dyDescent="0.25">
      <c r="A6117" t="str">
        <f>"20190312154956516"</f>
        <v>20190312154956516</v>
      </c>
      <c r="B6117" t="str">
        <f>"1552376996511773"</f>
        <v>1552376996511773</v>
      </c>
      <c r="C6117" t="s">
        <v>40</v>
      </c>
      <c r="D6117">
        <v>5.064864</v>
      </c>
      <c r="E6117">
        <v>0.54472600000000004</v>
      </c>
      <c r="F6117" t="s">
        <v>42</v>
      </c>
      <c r="G6117">
        <v>-303.48660000000001</v>
      </c>
      <c r="H6117" s="1">
        <v>-2.1397609999999998E-6</v>
      </c>
      <c r="I6117">
        <v>-27.585509999999999</v>
      </c>
      <c r="J6117">
        <v>-303.01830000000001</v>
      </c>
      <c r="K6117">
        <v>1.0607629999999999</v>
      </c>
      <c r="L6117">
        <v>-1.072052</v>
      </c>
      <c r="M6117">
        <v>0.24960850000000001</v>
      </c>
      <c r="N6117">
        <v>0</v>
      </c>
      <c r="O6117">
        <v>-0.96831710000000004</v>
      </c>
      <c r="P6117">
        <v>9.400385E-2</v>
      </c>
      <c r="Q6117">
        <v>1.289915E-2</v>
      </c>
      <c r="R6117">
        <v>-0.99548820000000005</v>
      </c>
      <c r="S6117">
        <v>-4.5166020000000001E-2</v>
      </c>
      <c r="T6117">
        <v>-0.11929190000000001</v>
      </c>
      <c r="U6117">
        <v>-3.0217589999999999</v>
      </c>
      <c r="V6117">
        <v>0.15778149999999999</v>
      </c>
      <c r="W6117">
        <v>1.7734380000000001E-2</v>
      </c>
      <c r="X6117">
        <v>0.98731480000000005</v>
      </c>
      <c r="Y6117">
        <v>0.264046</v>
      </c>
      <c r="Z6117">
        <v>3.6871109999999999E-2</v>
      </c>
      <c r="AA6117">
        <v>0.96380509999999997</v>
      </c>
      <c r="AB6117">
        <v>27</v>
      </c>
      <c r="AC6117">
        <v>-0.46829999999999899</v>
      </c>
      <c r="AD6117">
        <v>-1.0607651397609901</v>
      </c>
      <c r="AE6117">
        <v>-26.513458</v>
      </c>
      <c r="AF6117">
        <v>7.0603531393155698</v>
      </c>
      <c r="AG6117">
        <v>-1.0607651397609901</v>
      </c>
      <c r="AH6117">
        <v>25.516447997022102</v>
      </c>
      <c r="AI6117">
        <v>92.294404201501195</v>
      </c>
      <c r="AJ6117">
        <v>74.533333697023593</v>
      </c>
      <c r="AK6117">
        <v>26.496470095435502</v>
      </c>
      <c r="AL6117">
        <v>88.983841616276095</v>
      </c>
      <c r="AM6117">
        <v>80.920410189936007</v>
      </c>
      <c r="AN6117">
        <v>1.00000001213763</v>
      </c>
    </row>
    <row r="6118" spans="1:40" x14ac:dyDescent="0.25">
      <c r="A6118" t="str">
        <f>"20190312154956620"</f>
        <v>20190312154956620</v>
      </c>
      <c r="B6118" t="str">
        <f>"1552376996612300"</f>
        <v>1552376996612300</v>
      </c>
      <c r="C6118" t="s">
        <v>40</v>
      </c>
      <c r="D6118">
        <v>4.4723249999999997</v>
      </c>
      <c r="E6118">
        <v>0.54842800000000003</v>
      </c>
      <c r="F6118" t="s">
        <v>42</v>
      </c>
      <c r="G6118">
        <v>-303.64670000000001</v>
      </c>
      <c r="H6118" s="1">
        <v>-1.819129E-6</v>
      </c>
      <c r="I6118">
        <v>-28.432210000000001</v>
      </c>
      <c r="J6118">
        <v>-302.77170000000001</v>
      </c>
      <c r="K6118">
        <v>1.069725</v>
      </c>
      <c r="L6118">
        <v>-2.2807010000000001</v>
      </c>
      <c r="M6118">
        <v>0.205952</v>
      </c>
      <c r="N6118">
        <v>0</v>
      </c>
      <c r="O6118">
        <v>-0.9785488</v>
      </c>
      <c r="P6118">
        <v>6.3681420000000002E-2</v>
      </c>
      <c r="Q6118">
        <v>1.8370230000000001E-2</v>
      </c>
      <c r="R6118">
        <v>-0.99780139999999995</v>
      </c>
      <c r="S6118">
        <v>-6.9396970000000002E-2</v>
      </c>
      <c r="T6118">
        <v>-0.1171513</v>
      </c>
      <c r="U6118">
        <v>-3.0216669999999999</v>
      </c>
      <c r="V6118">
        <v>0.14359340000000001</v>
      </c>
      <c r="W6118">
        <v>2.0808449999999999E-2</v>
      </c>
      <c r="X6118">
        <v>0.98941800000000002</v>
      </c>
      <c r="Y6118">
        <v>0.22835040000000001</v>
      </c>
      <c r="Z6118">
        <v>3.6978080000000003E-2</v>
      </c>
      <c r="AA6118">
        <v>0.97287650000000003</v>
      </c>
      <c r="AB6118">
        <v>26</v>
      </c>
      <c r="AC6118">
        <v>-0.875</v>
      </c>
      <c r="AD6118">
        <v>-1.0697268191289999</v>
      </c>
      <c r="AE6118">
        <v>-26.151509000000001</v>
      </c>
      <c r="AF6118">
        <v>6.2318514137522003</v>
      </c>
      <c r="AG6118">
        <v>-1.0697268191289999</v>
      </c>
      <c r="AH6118">
        <v>25.368251218409402</v>
      </c>
      <c r="AI6118">
        <v>92.344976357445603</v>
      </c>
      <c r="AJ6118">
        <v>76.198271947779304</v>
      </c>
      <c r="AK6118">
        <v>26.144377165864501</v>
      </c>
      <c r="AL6118">
        <v>88.807677602741705</v>
      </c>
      <c r="AM6118">
        <v>81.742365152151507</v>
      </c>
      <c r="AN6118">
        <v>1.0000000174194801</v>
      </c>
    </row>
    <row r="6119" spans="1:40" x14ac:dyDescent="0.25">
      <c r="A6119" t="str">
        <f>"20190312154956640"</f>
        <v>20190312154956640</v>
      </c>
      <c r="B6119" t="str">
        <f>"1552376996631822"</f>
        <v>1552376996631822</v>
      </c>
      <c r="C6119" t="s">
        <v>40</v>
      </c>
      <c r="D6119">
        <v>4.8855839999999997</v>
      </c>
      <c r="E6119">
        <v>0.54390090000000002</v>
      </c>
      <c r="F6119" t="s">
        <v>41</v>
      </c>
      <c r="G6119">
        <v>-302.81139999999999</v>
      </c>
      <c r="H6119">
        <v>0.81683059999999996</v>
      </c>
      <c r="I6119">
        <v>-3.0142380000000002</v>
      </c>
      <c r="J6119">
        <v>-302.72859999999997</v>
      </c>
      <c r="K6119">
        <v>1.072241</v>
      </c>
      <c r="L6119">
        <v>-2.5244749999999998</v>
      </c>
      <c r="M6119">
        <v>0.19937949999999999</v>
      </c>
      <c r="N6119">
        <v>0</v>
      </c>
      <c r="O6119">
        <v>-0.97990900000000003</v>
      </c>
      <c r="P6119">
        <v>5.828187E-2</v>
      </c>
      <c r="Q6119">
        <v>1.4349560000000001E-2</v>
      </c>
      <c r="R6119">
        <v>-0.99819709999999995</v>
      </c>
      <c r="S6119">
        <v>-0.1642151</v>
      </c>
      <c r="T6119">
        <v>-1.0468200000000001</v>
      </c>
      <c r="U6119">
        <v>-3.0363769999999999</v>
      </c>
      <c r="V6119">
        <v>0.1422436</v>
      </c>
      <c r="W6119">
        <v>1.6798489999999999E-2</v>
      </c>
      <c r="X6119">
        <v>0.98968909999999999</v>
      </c>
      <c r="Y6119">
        <v>0.24909580000000001</v>
      </c>
      <c r="Z6119">
        <v>0.31089699999999998</v>
      </c>
      <c r="AA6119">
        <v>0.91722099999999995</v>
      </c>
      <c r="AB6119">
        <v>26</v>
      </c>
      <c r="AC6119">
        <v>-8.2800000000020094E-2</v>
      </c>
      <c r="AD6119">
        <v>-0.25541039999999998</v>
      </c>
      <c r="AE6119">
        <v>-0.489763</v>
      </c>
      <c r="AF6119">
        <v>0.141400728072829</v>
      </c>
      <c r="AG6119">
        <v>-0.25541039999999998</v>
      </c>
      <c r="AH6119">
        <v>0.36651337260391398</v>
      </c>
      <c r="AI6119">
        <v>123.030219573503</v>
      </c>
      <c r="AJ6119">
        <v>68.903403408546396</v>
      </c>
      <c r="AK6119">
        <v>0.46857303659641197</v>
      </c>
      <c r="AL6119">
        <v>89.037472121864496</v>
      </c>
      <c r="AM6119">
        <v>81.821143222256893</v>
      </c>
      <c r="AN6119">
        <v>0.999999972833024</v>
      </c>
    </row>
    <row r="6120" spans="1:40" x14ac:dyDescent="0.25">
      <c r="A6120" t="str">
        <f>"20190312154956662"</f>
        <v>20190312154956662</v>
      </c>
      <c r="B6120" t="str">
        <f>"1552376996652316"</f>
        <v>1552376996652316</v>
      </c>
      <c r="C6120" t="s">
        <v>40</v>
      </c>
      <c r="D6120">
        <v>4.9507019999999997</v>
      </c>
      <c r="E6120">
        <v>0.53946349999999998</v>
      </c>
      <c r="F6120" t="s">
        <v>41</v>
      </c>
      <c r="G6120">
        <v>-302.76549999999997</v>
      </c>
      <c r="H6120">
        <v>0.85230849999999903</v>
      </c>
      <c r="I6120">
        <v>-3.2586550000000001</v>
      </c>
      <c r="J6120">
        <v>-302.6857</v>
      </c>
      <c r="K6120">
        <v>1.0753280000000001</v>
      </c>
      <c r="L6120">
        <v>-2.777069</v>
      </c>
      <c r="M6120">
        <v>0.19210740000000001</v>
      </c>
      <c r="N6120">
        <v>0</v>
      </c>
      <c r="O6120">
        <v>-0.98136060000000003</v>
      </c>
      <c r="P6120">
        <v>5.2201259999999999E-2</v>
      </c>
      <c r="Q6120">
        <v>1.1851739999999999E-2</v>
      </c>
      <c r="R6120">
        <v>-0.99856659999999997</v>
      </c>
      <c r="S6120">
        <v>-0.1517944</v>
      </c>
      <c r="T6120">
        <v>-0.90639829999999999</v>
      </c>
      <c r="U6120">
        <v>-3.0273129999999999</v>
      </c>
      <c r="V6120">
        <v>0.14087849999999999</v>
      </c>
      <c r="W6120">
        <v>1.4499939999999999E-2</v>
      </c>
      <c r="X6120">
        <v>0.98992069999999999</v>
      </c>
      <c r="Y6120">
        <v>0.23893039999999999</v>
      </c>
      <c r="Z6120">
        <v>0.27457419999999999</v>
      </c>
      <c r="AA6120">
        <v>0.93140820000000002</v>
      </c>
      <c r="AB6120">
        <v>26</v>
      </c>
      <c r="AC6120">
        <v>-7.9799999999977403E-2</v>
      </c>
      <c r="AD6120">
        <v>-0.22301950000000001</v>
      </c>
      <c r="AE6120">
        <v>-0.48158600000000001</v>
      </c>
      <c r="AF6120">
        <v>0.141331618774203</v>
      </c>
      <c r="AG6120">
        <v>-0.22301950000000001</v>
      </c>
      <c r="AH6120">
        <v>0.378320445173501</v>
      </c>
      <c r="AI6120">
        <v>118.90849268486301</v>
      </c>
      <c r="AJ6120">
        <v>69.515494553862197</v>
      </c>
      <c r="AK6120">
        <v>0.461344429988986</v>
      </c>
      <c r="AL6120">
        <v>89.1691855169951</v>
      </c>
      <c r="AM6120">
        <v>81.900458316266594</v>
      </c>
      <c r="AN6120">
        <v>0.99999999615537105</v>
      </c>
    </row>
    <row r="6121" spans="1:40" x14ac:dyDescent="0.25">
      <c r="A6121" t="str">
        <f>"20190312154956689"</f>
        <v>20190312154956689</v>
      </c>
      <c r="B6121" t="str">
        <f>"1552376996681597"</f>
        <v>1552376996681597</v>
      </c>
      <c r="C6121" t="s">
        <v>40</v>
      </c>
      <c r="D6121">
        <v>4.8537039999999996</v>
      </c>
      <c r="E6121">
        <v>0.5239087</v>
      </c>
      <c r="F6121" t="s">
        <v>41</v>
      </c>
      <c r="G6121">
        <v>-302.71960000000001</v>
      </c>
      <c r="H6121">
        <v>0.88797440000000005</v>
      </c>
      <c r="I6121">
        <v>-3.5050560000000002</v>
      </c>
      <c r="J6121">
        <v>-302.63389999999998</v>
      </c>
      <c r="K6121">
        <v>1.0795380000000001</v>
      </c>
      <c r="L6121">
        <v>-3.09613</v>
      </c>
      <c r="M6121">
        <v>0.1825698</v>
      </c>
      <c r="N6121">
        <v>0</v>
      </c>
      <c r="O6121">
        <v>-0.98317739999999998</v>
      </c>
      <c r="P6121">
        <v>4.4078550000000001E-2</v>
      </c>
      <c r="Q6121">
        <v>8.4950069999999902E-3</v>
      </c>
      <c r="R6121">
        <v>-0.99899230000000006</v>
      </c>
      <c r="S6121">
        <v>-0.140533399999999</v>
      </c>
      <c r="T6121">
        <v>-0.77751840000000005</v>
      </c>
      <c r="U6121">
        <v>-3.0208740000000001</v>
      </c>
      <c r="V6121">
        <v>0.13925100000000001</v>
      </c>
      <c r="W6121">
        <v>1.1813189999999999E-2</v>
      </c>
      <c r="X6121">
        <v>0.99018660000000003</v>
      </c>
      <c r="Y6121">
        <v>0.22660959999999999</v>
      </c>
      <c r="Z6121">
        <v>0.23965230000000001</v>
      </c>
      <c r="AA6121">
        <v>0.94404180000000004</v>
      </c>
      <c r="AB6121">
        <v>26</v>
      </c>
      <c r="AC6121">
        <v>-8.5700000000031196E-2</v>
      </c>
      <c r="AD6121">
        <v>-0.191563599999999</v>
      </c>
      <c r="AE6121">
        <v>-0.40892599999999901</v>
      </c>
      <c r="AF6121">
        <v>0.13131380122337</v>
      </c>
      <c r="AG6121">
        <v>-0.191563599999999</v>
      </c>
      <c r="AH6121">
        <v>0.31928678225404999</v>
      </c>
      <c r="AI6121">
        <v>119.024951509068</v>
      </c>
      <c r="AJ6121">
        <v>67.643993129170099</v>
      </c>
      <c r="AK6121">
        <v>0.39482144895995203</v>
      </c>
      <c r="AL6121">
        <v>89.323138291509807</v>
      </c>
      <c r="AM6121">
        <v>81.994930161846298</v>
      </c>
      <c r="AN6121">
        <v>0.99999994763926603</v>
      </c>
    </row>
    <row r="6122" spans="1:40" x14ac:dyDescent="0.25">
      <c r="A6122" t="str">
        <f>"20190312154956715"</f>
        <v>20190312154956715</v>
      </c>
      <c r="B6122" t="str">
        <f>"1552376996711852"</f>
        <v>1552376996711852</v>
      </c>
      <c r="C6122" t="s">
        <v>40</v>
      </c>
      <c r="D6122">
        <v>4.8963039999999998</v>
      </c>
      <c r="E6122">
        <v>0.52236090000000002</v>
      </c>
      <c r="F6122" t="s">
        <v>42</v>
      </c>
      <c r="G6122">
        <v>-302.87689999999998</v>
      </c>
      <c r="H6122" s="1">
        <v>-2.2327210000000002E-6</v>
      </c>
      <c r="I6122">
        <v>-16.990670000000001</v>
      </c>
      <c r="J6122">
        <v>-302.5865</v>
      </c>
      <c r="K6122">
        <v>1.0834079999999999</v>
      </c>
      <c r="L6122">
        <v>-3.4023129999999999</v>
      </c>
      <c r="M6122">
        <v>0.173807399999999</v>
      </c>
      <c r="N6122">
        <v>0</v>
      </c>
      <c r="O6122">
        <v>-0.98476030000000003</v>
      </c>
      <c r="P6122">
        <v>3.7642670000000003E-2</v>
      </c>
      <c r="Q6122">
        <v>6.0778519999999999E-3</v>
      </c>
      <c r="R6122">
        <v>-0.99927310000000003</v>
      </c>
      <c r="S6122">
        <v>-5.2581790000000003E-2</v>
      </c>
      <c r="T6122">
        <v>-0.2336549</v>
      </c>
      <c r="U6122">
        <v>-3.0073240000000001</v>
      </c>
      <c r="V6122">
        <v>0.136771799999999</v>
      </c>
      <c r="W6122">
        <v>1.0298369999999999E-2</v>
      </c>
      <c r="X6122">
        <v>0.99054900000000001</v>
      </c>
      <c r="Y6122">
        <v>0.19094510000000001</v>
      </c>
      <c r="Z6122">
        <v>7.4975630000000001E-2</v>
      </c>
      <c r="AA6122">
        <v>0.97873319999999997</v>
      </c>
      <c r="AB6122">
        <v>26</v>
      </c>
      <c r="AC6122">
        <v>-0.29039999999997601</v>
      </c>
      <c r="AD6122">
        <v>-1.083410232721</v>
      </c>
      <c r="AE6122">
        <v>-13.588357</v>
      </c>
      <c r="AF6122">
        <v>2.63106385625015</v>
      </c>
      <c r="AG6122">
        <v>-1.083410232721</v>
      </c>
      <c r="AH6122">
        <v>13.246883122223499</v>
      </c>
      <c r="AI6122">
        <v>94.586393270257702</v>
      </c>
      <c r="AJ6122">
        <v>78.766248198688601</v>
      </c>
      <c r="AK6122">
        <v>13.5490290132496</v>
      </c>
      <c r="AL6122">
        <v>89.409936404227693</v>
      </c>
      <c r="AM6122">
        <v>82.138493088778603</v>
      </c>
      <c r="AN6122">
        <v>0.99999995155044696</v>
      </c>
    </row>
    <row r="6123" spans="1:40" x14ac:dyDescent="0.25">
      <c r="A6123" t="str">
        <f>"20190312154956740"</f>
        <v>20190312154956740</v>
      </c>
      <c r="B6123" t="str">
        <f>"1552376996732349"</f>
        <v>1552376996732349</v>
      </c>
      <c r="C6123" t="s">
        <v>40</v>
      </c>
      <c r="D6123">
        <v>4.9937990000000001</v>
      </c>
      <c r="E6123">
        <v>0.5188661</v>
      </c>
      <c r="F6123" t="s">
        <v>42</v>
      </c>
      <c r="G6123">
        <v>-303.05840000000001</v>
      </c>
      <c r="H6123" s="1">
        <v>-2.5467570000000002E-6</v>
      </c>
      <c r="I6123">
        <v>-26.371220000000001</v>
      </c>
      <c r="J6123">
        <v>-302.54489999999998</v>
      </c>
      <c r="K6123">
        <v>1.086619</v>
      </c>
      <c r="L6123">
        <v>-3.6839900000000001</v>
      </c>
      <c r="M6123">
        <v>0.16642409999999999</v>
      </c>
      <c r="N6123">
        <v>0</v>
      </c>
      <c r="O6123">
        <v>-0.98603059999999998</v>
      </c>
      <c r="P6123">
        <v>3.2529460000000003E-2</v>
      </c>
      <c r="Q6123">
        <v>3.9177470000000001E-3</v>
      </c>
      <c r="R6123">
        <v>-0.9994634</v>
      </c>
      <c r="S6123">
        <v>-6.1737060000000003E-2</v>
      </c>
      <c r="T6123">
        <v>-0.141759</v>
      </c>
      <c r="U6123">
        <v>-3.0053709999999998</v>
      </c>
      <c r="V6123">
        <v>0.13439039999999999</v>
      </c>
      <c r="W6123">
        <v>8.9814089999999992E-3</v>
      </c>
      <c r="X6123">
        <v>0.99088779999999999</v>
      </c>
      <c r="Y6123">
        <v>0.18662090000000001</v>
      </c>
      <c r="Z6123">
        <v>4.571161E-2</v>
      </c>
      <c r="AA6123">
        <v>0.98136789999999996</v>
      </c>
      <c r="AB6123">
        <v>26</v>
      </c>
      <c r="AC6123">
        <v>-0.51350000000002105</v>
      </c>
      <c r="AD6123">
        <v>-1.086621546757</v>
      </c>
      <c r="AE6123">
        <v>-22.68723</v>
      </c>
      <c r="AF6123">
        <v>4.2723327632259798</v>
      </c>
      <c r="AG6123">
        <v>-1.086621546757</v>
      </c>
      <c r="AH6123">
        <v>22.234384729383301</v>
      </c>
      <c r="AI6123">
        <v>92.747702865480093</v>
      </c>
      <c r="AJ6123">
        <v>79.123196674804802</v>
      </c>
      <c r="AK6123">
        <v>22.667188575556601</v>
      </c>
      <c r="AL6123">
        <v>89.485396271525403</v>
      </c>
      <c r="AM6123">
        <v>82.276315713989703</v>
      </c>
      <c r="AN6123">
        <v>1.00000003875431</v>
      </c>
    </row>
    <row r="6124" spans="1:40" x14ac:dyDescent="0.25">
      <c r="A6124" t="str">
        <f>"20190312154956774"</f>
        <v>20190312154956774</v>
      </c>
      <c r="B6124" t="str">
        <f>"1552376996761628"</f>
        <v>1552376996761628</v>
      </c>
      <c r="C6124" t="s">
        <v>40</v>
      </c>
      <c r="D6124">
        <v>5.0566050000000002</v>
      </c>
      <c r="E6124">
        <v>0.51683690000000004</v>
      </c>
      <c r="F6124" t="s">
        <v>42</v>
      </c>
      <c r="G6124">
        <v>-303.16140000000001</v>
      </c>
      <c r="H6124" s="1">
        <v>-9.0569739999999996E-7</v>
      </c>
      <c r="I6124">
        <v>-40.260460000000002</v>
      </c>
      <c r="J6124">
        <v>-302.48829999999998</v>
      </c>
      <c r="K6124">
        <v>1.0906830000000001</v>
      </c>
      <c r="L6124">
        <v>-4.0877689999999998</v>
      </c>
      <c r="M6124">
        <v>0.1571158</v>
      </c>
      <c r="N6124">
        <v>0</v>
      </c>
      <c r="O6124">
        <v>-0.98754920000000002</v>
      </c>
      <c r="P6124">
        <v>2.8699700000000002E-2</v>
      </c>
      <c r="Q6124">
        <v>1.609837E-3</v>
      </c>
      <c r="R6124">
        <v>-0.99958720000000001</v>
      </c>
      <c r="S6124">
        <v>-5.0628659999999999E-2</v>
      </c>
      <c r="T6124">
        <v>-8.9231489999999997E-2</v>
      </c>
      <c r="U6124">
        <v>-3.0036010000000002</v>
      </c>
      <c r="V6124">
        <v>0.1288136</v>
      </c>
      <c r="W6124">
        <v>7.8761400000000002E-3</v>
      </c>
      <c r="X6124">
        <v>0.99163749999999995</v>
      </c>
      <c r="Y6124">
        <v>0.1737349</v>
      </c>
      <c r="Z6124">
        <v>2.8913810000000002E-2</v>
      </c>
      <c r="AA6124">
        <v>0.98436789999999996</v>
      </c>
      <c r="AB6124">
        <v>26</v>
      </c>
      <c r="AC6124">
        <v>-0.67310000000003301</v>
      </c>
      <c r="AD6124">
        <v>-1.0906839056974</v>
      </c>
      <c r="AE6124">
        <v>-36.172690999999901</v>
      </c>
      <c r="AF6124">
        <v>6.3424506674413701</v>
      </c>
      <c r="AG6124">
        <v>-1.0906839056974</v>
      </c>
      <c r="AH6124">
        <v>35.585306153875401</v>
      </c>
      <c r="AI6124">
        <v>91.728336539476999</v>
      </c>
      <c r="AJ6124">
        <v>79.894160092334204</v>
      </c>
      <c r="AK6124">
        <v>36.162553642077199</v>
      </c>
      <c r="AL6124">
        <v>89.548725732731896</v>
      </c>
      <c r="AM6124">
        <v>82.598728622073807</v>
      </c>
      <c r="AN6124">
        <v>0.99999995426625299</v>
      </c>
    </row>
    <row r="6125" spans="1:40" x14ac:dyDescent="0.25">
      <c r="A6125" t="str">
        <f>"20190312154956801"</f>
        <v>20190312154956801</v>
      </c>
      <c r="B6125" t="str">
        <f>"1552376996791885"</f>
        <v>1552376996791885</v>
      </c>
      <c r="C6125" t="s">
        <v>40</v>
      </c>
      <c r="D6125">
        <v>4.9685480000000002</v>
      </c>
      <c r="E6125">
        <v>0.51489979999999902</v>
      </c>
      <c r="F6125" t="s">
        <v>43</v>
      </c>
      <c r="G6125">
        <v>-303.9178</v>
      </c>
      <c r="H6125">
        <v>-0.05</v>
      </c>
      <c r="I6125">
        <v>-95.184460000000001</v>
      </c>
      <c r="J6125">
        <v>-302.44479999999999</v>
      </c>
      <c r="K6125">
        <v>1.0936440000000001</v>
      </c>
      <c r="L6125">
        <v>-4.4152529999999999</v>
      </c>
      <c r="M6125">
        <v>0.15035029999999999</v>
      </c>
      <c r="N6125">
        <v>0</v>
      </c>
      <c r="O6125">
        <v>-0.98859540000000001</v>
      </c>
      <c r="P6125">
        <v>2.488433E-2</v>
      </c>
      <c r="Q6125">
        <v>-1.853363E-4</v>
      </c>
      <c r="R6125">
        <v>-0.99969050000000004</v>
      </c>
      <c r="S6125">
        <v>-4.7119139999999997E-2</v>
      </c>
      <c r="T6125">
        <v>-3.759825E-2</v>
      </c>
      <c r="U6125">
        <v>-3.0026549999999999</v>
      </c>
      <c r="V6125">
        <v>0.12578919999999999</v>
      </c>
      <c r="W6125">
        <v>7.0116579999999996E-3</v>
      </c>
      <c r="X6125">
        <v>0.99203220000000003</v>
      </c>
      <c r="Y6125">
        <v>0.1658483</v>
      </c>
      <c r="Z6125">
        <v>1.221966E-2</v>
      </c>
      <c r="AA6125">
        <v>0.98607560000000005</v>
      </c>
      <c r="AB6125">
        <v>26</v>
      </c>
      <c r="AC6125">
        <v>-1.4730000000000101</v>
      </c>
      <c r="AD6125">
        <v>-1.1436440000000001</v>
      </c>
      <c r="AE6125">
        <v>-90.769206999999994</v>
      </c>
      <c r="AF6125">
        <v>15.101540109201</v>
      </c>
      <c r="AG6125">
        <v>-1.1436440000000001</v>
      </c>
      <c r="AH6125">
        <v>89.501658834517798</v>
      </c>
      <c r="AI6125">
        <v>90.721877836416098</v>
      </c>
      <c r="AJ6125">
        <v>80.422737821599299</v>
      </c>
      <c r="AK6125">
        <v>90.773957550604607</v>
      </c>
      <c r="AL6125">
        <v>89.598258291716903</v>
      </c>
      <c r="AM6125">
        <v>82.773487950324096</v>
      </c>
      <c r="AN6125">
        <v>0.99999998601069395</v>
      </c>
    </row>
    <row r="6126" spans="1:40" x14ac:dyDescent="0.25">
      <c r="A6126" t="str">
        <f>"20190312154956839"</f>
        <v>20190312154956839</v>
      </c>
      <c r="B6126" t="str">
        <f>"1552376996831901"</f>
        <v>1552376996831901</v>
      </c>
      <c r="C6126" t="s">
        <v>40</v>
      </c>
      <c r="D6126">
        <v>4.9393310000000001</v>
      </c>
      <c r="E6126">
        <v>0.51189790000000002</v>
      </c>
      <c r="F6126" t="s">
        <v>65</v>
      </c>
      <c r="G6126">
        <v>-303.06020000000001</v>
      </c>
      <c r="H6126" s="1">
        <v>-4.8673650000000003E-6</v>
      </c>
      <c r="I6126">
        <v>-48.348590000000002</v>
      </c>
      <c r="J6126">
        <v>-302.38810000000001</v>
      </c>
      <c r="K6126">
        <v>1.097175</v>
      </c>
      <c r="L6126">
        <v>-4.8596190000000004</v>
      </c>
      <c r="M6126">
        <v>0.1421201</v>
      </c>
      <c r="N6126">
        <v>0</v>
      </c>
      <c r="O6126">
        <v>-0.98980360000000001</v>
      </c>
      <c r="P6126">
        <v>2.369802E-2</v>
      </c>
      <c r="Q6126">
        <v>-2.7647610000000001E-3</v>
      </c>
      <c r="R6126">
        <v>-0.99971549999999998</v>
      </c>
      <c r="S6126">
        <v>-4.2053220000000002E-2</v>
      </c>
      <c r="T6126">
        <v>-7.4728729999999993E-2</v>
      </c>
      <c r="U6126">
        <v>-3.0019529999999999</v>
      </c>
      <c r="V6126">
        <v>0.118683399999999</v>
      </c>
      <c r="W6126">
        <v>5.6422089999999996E-3</v>
      </c>
      <c r="X6126">
        <v>0.99291609999999997</v>
      </c>
      <c r="Y6126">
        <v>0.15597320000000001</v>
      </c>
      <c r="Z6126">
        <v>2.435315E-2</v>
      </c>
      <c r="AA6126">
        <v>0.98746100000000003</v>
      </c>
      <c r="AB6126">
        <v>26</v>
      </c>
      <c r="AC6126">
        <v>-0.67210000000000003</v>
      </c>
      <c r="AD6126">
        <v>-1.097179867365</v>
      </c>
      <c r="AE6126">
        <v>-43.488970999999999</v>
      </c>
      <c r="AF6126">
        <v>6.8418606318587001</v>
      </c>
      <c r="AG6126">
        <v>-1.097179867365</v>
      </c>
      <c r="AH6126">
        <v>42.9246543257008</v>
      </c>
      <c r="AI6126">
        <v>91.445950861691202</v>
      </c>
      <c r="AJ6126">
        <v>80.943674201158203</v>
      </c>
      <c r="AK6126">
        <v>43.480349694408297</v>
      </c>
      <c r="AL6126">
        <v>89.676723516367502</v>
      </c>
      <c r="AM6126">
        <v>83.183766921487006</v>
      </c>
      <c r="AN6126">
        <v>0.99999998279858404</v>
      </c>
    </row>
    <row r="6127" spans="1:40" x14ac:dyDescent="0.25">
      <c r="A6127" t="str">
        <f>"20190312154956866"</f>
        <v>20190312154956866</v>
      </c>
      <c r="B6127" t="str">
        <f>"1552376996852397"</f>
        <v>1552376996852397</v>
      </c>
      <c r="C6127" t="s">
        <v>40</v>
      </c>
      <c r="D6127">
        <v>4.9892760000000003</v>
      </c>
      <c r="E6127">
        <v>0.51082550000000004</v>
      </c>
      <c r="F6127" t="s">
        <v>42</v>
      </c>
      <c r="G6127">
        <v>-302.59010000000001</v>
      </c>
      <c r="H6127" s="1">
        <v>-3.3883880000000001E-6</v>
      </c>
      <c r="I6127">
        <v>-34.118929999999999</v>
      </c>
      <c r="J6127">
        <v>-302.35129999999998</v>
      </c>
      <c r="K6127">
        <v>1.0992219999999999</v>
      </c>
      <c r="L6127">
        <v>-5.1573789999999997</v>
      </c>
      <c r="M6127">
        <v>0.13724420000000001</v>
      </c>
      <c r="N6127">
        <v>0</v>
      </c>
      <c r="O6127">
        <v>-0.99048599999999998</v>
      </c>
      <c r="P6127">
        <v>2.2166209999999999E-2</v>
      </c>
      <c r="Q6127">
        <v>-5.6152650000000004E-3</v>
      </c>
      <c r="R6127">
        <v>-0.99973860000000003</v>
      </c>
      <c r="S6127">
        <v>-2.0721440000000001E-2</v>
      </c>
      <c r="T6127">
        <v>-0.1125342</v>
      </c>
      <c r="U6127">
        <v>-3.0010379999999999</v>
      </c>
      <c r="V6127">
        <v>0.1152893</v>
      </c>
      <c r="W6127">
        <v>3.5064789999999998E-3</v>
      </c>
      <c r="X6127">
        <v>0.99332580000000004</v>
      </c>
      <c r="Y6127">
        <v>0.14408199999999999</v>
      </c>
      <c r="Z6127">
        <v>3.6744249999999999E-2</v>
      </c>
      <c r="AA6127">
        <v>0.98888330000000002</v>
      </c>
      <c r="AB6127">
        <v>26</v>
      </c>
      <c r="AC6127">
        <v>-0.23880000000002599</v>
      </c>
      <c r="AD6127">
        <v>-1.0992253883880001</v>
      </c>
      <c r="AE6127">
        <v>-28.961551</v>
      </c>
      <c r="AF6127">
        <v>4.2054888975834004</v>
      </c>
      <c r="AG6127">
        <v>-1.0992253883880001</v>
      </c>
      <c r="AH6127">
        <v>28.613474858470301</v>
      </c>
      <c r="AI6127">
        <v>92.176651691258499</v>
      </c>
      <c r="AJ6127">
        <v>81.638769075626001</v>
      </c>
      <c r="AK6127">
        <v>28.9417583570606</v>
      </c>
      <c r="AL6127">
        <v>89.799093146974499</v>
      </c>
      <c r="AM6127">
        <v>83.379647622262496</v>
      </c>
      <c r="AN6127">
        <v>1.0000000315175499</v>
      </c>
    </row>
    <row r="6128" spans="1:40" x14ac:dyDescent="0.25">
      <c r="A6128" t="str">
        <f>"20190312154956892"</f>
        <v>20190312154956892</v>
      </c>
      <c r="B6128" t="str">
        <f>"1552376996881677"</f>
        <v>1552376996881677</v>
      </c>
      <c r="C6128" t="s">
        <v>40</v>
      </c>
      <c r="D6128">
        <v>5.031345</v>
      </c>
      <c r="E6128">
        <v>0.50914559999999998</v>
      </c>
      <c r="F6128" t="s">
        <v>42</v>
      </c>
      <c r="G6128">
        <v>-302.4907</v>
      </c>
      <c r="H6128" s="1">
        <v>-4.6099599999999997E-6</v>
      </c>
      <c r="I6128">
        <v>-30.764880000000002</v>
      </c>
      <c r="J6128">
        <v>-302.31459999999998</v>
      </c>
      <c r="K6128">
        <v>1.100997</v>
      </c>
      <c r="L6128">
        <v>-5.4621579999999996</v>
      </c>
      <c r="M6128">
        <v>0.13293289999999999</v>
      </c>
      <c r="N6128">
        <v>0</v>
      </c>
      <c r="O6128">
        <v>-0.99106870000000002</v>
      </c>
      <c r="P6128">
        <v>2.1754909999999999E-2</v>
      </c>
      <c r="Q6128">
        <v>-8.1915740000000001E-3</v>
      </c>
      <c r="R6128">
        <v>-0.99973029999999996</v>
      </c>
      <c r="S6128">
        <v>-1.6326899999999998E-2</v>
      </c>
      <c r="T6128">
        <v>-0.1287962</v>
      </c>
      <c r="U6128">
        <v>-3.0004270000000002</v>
      </c>
      <c r="V6128">
        <v>0.1113555</v>
      </c>
      <c r="W6128">
        <v>1.574818E-3</v>
      </c>
      <c r="X6128">
        <v>0.99377939999999998</v>
      </c>
      <c r="Y6128">
        <v>0.13832610000000001</v>
      </c>
      <c r="Z6128">
        <v>4.210912E-2</v>
      </c>
      <c r="AA6128">
        <v>0.98949120000000002</v>
      </c>
      <c r="AB6128">
        <v>26</v>
      </c>
      <c r="AC6128">
        <v>-0.17610000000001899</v>
      </c>
      <c r="AD6128">
        <v>-1.10100160996</v>
      </c>
      <c r="AE6128">
        <v>-25.302721999999999</v>
      </c>
      <c r="AF6128">
        <v>3.5316025900788399</v>
      </c>
      <c r="AG6128">
        <v>-1.10100160996</v>
      </c>
      <c r="AH6128">
        <v>25.007378786077801</v>
      </c>
      <c r="AI6128">
        <v>92.496200135269405</v>
      </c>
      <c r="AJ6128">
        <v>81.9617079551291</v>
      </c>
      <c r="AK6128">
        <v>25.279505832784</v>
      </c>
      <c r="AL6128">
        <v>89.909769538853695</v>
      </c>
      <c r="AM6128">
        <v>83.606532015934107</v>
      </c>
      <c r="AN6128">
        <v>1.00000001164817</v>
      </c>
    </row>
    <row r="6129" spans="1:40" x14ac:dyDescent="0.25">
      <c r="A6129" t="str">
        <f>"20190312154956915"</f>
        <v>20190312154956915</v>
      </c>
      <c r="B6129" t="str">
        <f>"1552376996902173"</f>
        <v>1552376996902173</v>
      </c>
      <c r="C6129" t="s">
        <v>40</v>
      </c>
      <c r="D6129">
        <v>5.0679939999999997</v>
      </c>
      <c r="E6129">
        <v>0.50805219999999995</v>
      </c>
      <c r="F6129" t="s">
        <v>42</v>
      </c>
      <c r="G6129">
        <v>-302.34480000000002</v>
      </c>
      <c r="H6129" s="1">
        <v>-1.60102999999999E-6</v>
      </c>
      <c r="I6129">
        <v>-28.133140000000001</v>
      </c>
      <c r="J6129">
        <v>-302.28129999999999</v>
      </c>
      <c r="K6129">
        <v>1.102387</v>
      </c>
      <c r="L6129">
        <v>-5.7434690000000002</v>
      </c>
      <c r="M6129">
        <v>0.12940450000000001</v>
      </c>
      <c r="N6129">
        <v>0</v>
      </c>
      <c r="O6129">
        <v>-0.9915313</v>
      </c>
      <c r="P6129">
        <v>2.2786540000000001E-2</v>
      </c>
      <c r="Q6129">
        <v>-1.028167E-2</v>
      </c>
      <c r="R6129">
        <v>-0.99968769999999996</v>
      </c>
      <c r="S6129">
        <v>-3.9978030000000003E-3</v>
      </c>
      <c r="T6129">
        <v>-0.145677799999999</v>
      </c>
      <c r="U6129">
        <v>-2.999695</v>
      </c>
      <c r="V6129">
        <v>0.1067789</v>
      </c>
      <c r="W6129" s="1">
        <v>1.4515360000000001E-5</v>
      </c>
      <c r="X6129">
        <v>0.99428280000000002</v>
      </c>
      <c r="Y6129">
        <v>0.1307316</v>
      </c>
      <c r="Z6129">
        <v>4.7687239999999999E-2</v>
      </c>
      <c r="AA6129">
        <v>0.99027030000000005</v>
      </c>
      <c r="AB6129">
        <v>26</v>
      </c>
      <c r="AC6129">
        <v>-6.3500000000033197E-2</v>
      </c>
      <c r="AD6129">
        <v>-1.1023886010299999</v>
      </c>
      <c r="AE6129">
        <v>-22.389671</v>
      </c>
      <c r="AF6129">
        <v>2.9533048476954402</v>
      </c>
      <c r="AG6129">
        <v>-1.1023886010299999</v>
      </c>
      <c r="AH6129">
        <v>22.139504931791599</v>
      </c>
      <c r="AI6129">
        <v>92.825577104388501</v>
      </c>
      <c r="AJ6129">
        <v>82.401870928835507</v>
      </c>
      <c r="AK6129">
        <v>22.3628027933872</v>
      </c>
      <c r="AL6129">
        <v>89.999168331142201</v>
      </c>
      <c r="AM6129">
        <v>83.870333761803494</v>
      </c>
      <c r="AN6129">
        <v>1.0000000100358699</v>
      </c>
    </row>
    <row r="6130" spans="1:40" x14ac:dyDescent="0.25">
      <c r="A6130" t="str">
        <f>"20190312154956939"</f>
        <v>20190312154956939</v>
      </c>
      <c r="B6130" t="str">
        <f>"1552376996931453"</f>
        <v>1552376996931453</v>
      </c>
      <c r="C6130" t="s">
        <v>40</v>
      </c>
      <c r="D6130">
        <v>4.9920739999999997</v>
      </c>
      <c r="E6130">
        <v>0.5066657</v>
      </c>
      <c r="F6130" t="s">
        <v>42</v>
      </c>
      <c r="G6130">
        <v>-302.22410000000002</v>
      </c>
      <c r="H6130" s="1">
        <v>-2.0501850000000001E-6</v>
      </c>
      <c r="I6130">
        <v>-27.011310000000002</v>
      </c>
      <c r="J6130">
        <v>-302.24930000000001</v>
      </c>
      <c r="K6130">
        <v>1.103539</v>
      </c>
      <c r="L6130">
        <v>-6.017029</v>
      </c>
      <c r="M6130">
        <v>0.12638550000000001</v>
      </c>
      <c r="N6130">
        <v>0</v>
      </c>
      <c r="O6130">
        <v>-0.99191669999999998</v>
      </c>
      <c r="P6130">
        <v>2.3459899999999999E-2</v>
      </c>
      <c r="Q6130">
        <v>-1.3907549999999999E-2</v>
      </c>
      <c r="R6130">
        <v>-0.99962839999999997</v>
      </c>
      <c r="S6130">
        <v>8.0566409999999998E-3</v>
      </c>
      <c r="T6130">
        <v>-0.1554565</v>
      </c>
      <c r="U6130">
        <v>-2.9991460000000001</v>
      </c>
      <c r="V6130">
        <v>0.1030601</v>
      </c>
      <c r="W6130">
        <v>-3.1609810000000002E-3</v>
      </c>
      <c r="X6130">
        <v>0.9946701</v>
      </c>
      <c r="Y6130">
        <v>0.1237312</v>
      </c>
      <c r="Z6130">
        <v>5.0942759999999997E-2</v>
      </c>
      <c r="AA6130">
        <v>0.99100730000000004</v>
      </c>
      <c r="AB6130">
        <v>26</v>
      </c>
      <c r="AC6130">
        <v>2.5199999999983898E-2</v>
      </c>
      <c r="AD6130">
        <v>-1.103541050185</v>
      </c>
      <c r="AE6130">
        <v>-20.994281000000001</v>
      </c>
      <c r="AF6130">
        <v>2.6213020390453599</v>
      </c>
      <c r="AG6130">
        <v>-1.103541050185</v>
      </c>
      <c r="AH6130">
        <v>20.7717042349813</v>
      </c>
      <c r="AI6130">
        <v>93.017215850549405</v>
      </c>
      <c r="AJ6130">
        <v>82.807532823556301</v>
      </c>
      <c r="AK6130">
        <v>20.965512730550799</v>
      </c>
      <c r="AL6130">
        <v>90.1811111734891</v>
      </c>
      <c r="AM6130">
        <v>84.084558196768</v>
      </c>
      <c r="AN6130">
        <v>0.99999999192345101</v>
      </c>
    </row>
    <row r="6131" spans="1:40" x14ac:dyDescent="0.25">
      <c r="A6131" t="str">
        <f>"20190312154956959"</f>
        <v>20190312154956959</v>
      </c>
      <c r="B6131" t="str">
        <f>"1552376996951949"</f>
        <v>1552376996951949</v>
      </c>
      <c r="C6131" t="s">
        <v>40</v>
      </c>
      <c r="D6131">
        <v>5.0997309999999896</v>
      </c>
      <c r="E6131">
        <v>0.50573040000000002</v>
      </c>
      <c r="F6131" t="s">
        <v>42</v>
      </c>
      <c r="G6131">
        <v>-302.10989999999998</v>
      </c>
      <c r="H6131" s="1">
        <v>-2.65583E-6</v>
      </c>
      <c r="I6131">
        <v>-25.528680000000001</v>
      </c>
      <c r="J6131">
        <v>-302.22160000000002</v>
      </c>
      <c r="K6131">
        <v>1.1044229999999999</v>
      </c>
      <c r="L6131">
        <v>-6.2574459999999998</v>
      </c>
      <c r="M6131">
        <v>0.1240653</v>
      </c>
      <c r="N6131">
        <v>0</v>
      </c>
      <c r="O6131">
        <v>-0.99220629999999999</v>
      </c>
      <c r="P6131">
        <v>2.3945250000000001E-2</v>
      </c>
      <c r="Q6131">
        <v>-1.7935070000000001E-2</v>
      </c>
      <c r="R6131">
        <v>-0.99955269999999996</v>
      </c>
      <c r="S6131">
        <v>2.1423339999999999E-2</v>
      </c>
      <c r="T6131">
        <v>-0.169575799999999</v>
      </c>
      <c r="U6131">
        <v>-2.9982600000000001</v>
      </c>
      <c r="V6131">
        <v>0.1002282</v>
      </c>
      <c r="W6131">
        <v>-6.8369659999999999E-3</v>
      </c>
      <c r="X6131">
        <v>0.99494099999999996</v>
      </c>
      <c r="Y6131">
        <v>0.1169911</v>
      </c>
      <c r="Z6131">
        <v>5.5619210000000002E-2</v>
      </c>
      <c r="AA6131">
        <v>0.99157430000000002</v>
      </c>
      <c r="AB6131">
        <v>26</v>
      </c>
      <c r="AC6131">
        <v>0.111700000000041</v>
      </c>
      <c r="AD6131">
        <v>-1.1044256558300001</v>
      </c>
      <c r="AE6131">
        <v>-19.271234</v>
      </c>
      <c r="AF6131">
        <v>2.2727509513930699</v>
      </c>
      <c r="AG6131">
        <v>-1.1044256558300001</v>
      </c>
      <c r="AH6131">
        <v>19.073541712349002</v>
      </c>
      <c r="AI6131">
        <v>93.290700920755697</v>
      </c>
      <c r="AJ6131">
        <v>83.204831379407906</v>
      </c>
      <c r="AK6131">
        <v>19.240196110461799</v>
      </c>
      <c r="AL6131">
        <v>90.391732342568204</v>
      </c>
      <c r="AM6131">
        <v>84.247553789362399</v>
      </c>
      <c r="AN6131">
        <v>1.00000001483016</v>
      </c>
    </row>
    <row r="6132" spans="1:40" x14ac:dyDescent="0.25">
      <c r="A6132" t="str">
        <f>"20190312154956981"</f>
        <v>20190312154956981</v>
      </c>
      <c r="B6132" t="str">
        <f>"1552376996971469"</f>
        <v>1552376996971469</v>
      </c>
      <c r="C6132" t="s">
        <v>40</v>
      </c>
      <c r="D6132">
        <v>5.0705390000000001</v>
      </c>
      <c r="E6132">
        <v>0.50511340000000005</v>
      </c>
      <c r="F6132" t="s">
        <v>42</v>
      </c>
      <c r="G6132">
        <v>-302.0394</v>
      </c>
      <c r="H6132" s="1">
        <v>-3.19778E-6</v>
      </c>
      <c r="I6132">
        <v>-24.22166</v>
      </c>
      <c r="J6132">
        <v>-302.19420000000002</v>
      </c>
      <c r="K6132">
        <v>1.1051949999999999</v>
      </c>
      <c r="L6132">
        <v>-6.4967040000000003</v>
      </c>
      <c r="M6132">
        <v>0.1220378</v>
      </c>
      <c r="N6132">
        <v>0</v>
      </c>
      <c r="O6132">
        <v>-0.99245459999999996</v>
      </c>
      <c r="P6132">
        <v>2.41338E-2</v>
      </c>
      <c r="Q6132">
        <v>-2.055094E-2</v>
      </c>
      <c r="R6132">
        <v>-0.99949750000000004</v>
      </c>
      <c r="S6132">
        <v>3.0395510000000001E-2</v>
      </c>
      <c r="T6132">
        <v>-0.18427260000000001</v>
      </c>
      <c r="U6132">
        <v>-2.9973139999999998</v>
      </c>
      <c r="V6132">
        <v>9.7996479999999997E-2</v>
      </c>
      <c r="W6132">
        <v>-9.1388359999999991E-3</v>
      </c>
      <c r="X6132">
        <v>0.99514480000000005</v>
      </c>
      <c r="Y6132">
        <v>0.1119935</v>
      </c>
      <c r="Z6132">
        <v>6.0481350000000003E-2</v>
      </c>
      <c r="AA6132">
        <v>0.99186660000000004</v>
      </c>
      <c r="AB6132">
        <v>26</v>
      </c>
      <c r="AC6132">
        <v>0.154800000000022</v>
      </c>
      <c r="AD6132">
        <v>-1.1051981977800001</v>
      </c>
      <c r="AE6132">
        <v>-17.724955999999999</v>
      </c>
      <c r="AF6132">
        <v>2.00184171155749</v>
      </c>
      <c r="AG6132">
        <v>-1.1051981977800001</v>
      </c>
      <c r="AH6132">
        <v>17.543144072064401</v>
      </c>
      <c r="AI6132">
        <v>93.581623568742501</v>
      </c>
      <c r="AJ6132">
        <v>83.490157153558698</v>
      </c>
      <c r="AK6132">
        <v>17.691544229594999</v>
      </c>
      <c r="AL6132">
        <v>90.523624020972704</v>
      </c>
      <c r="AM6132">
        <v>84.375953862509704</v>
      </c>
      <c r="AN6132">
        <v>1.00000000069143</v>
      </c>
    </row>
    <row r="6133" spans="1:40" x14ac:dyDescent="0.25">
      <c r="A6133" t="str">
        <f>"20190312154957004"</f>
        <v>20190312154957004</v>
      </c>
      <c r="B6133" t="str">
        <f>"1552376996991966"</f>
        <v>1552376996991966</v>
      </c>
      <c r="C6133" t="s">
        <v>40</v>
      </c>
      <c r="D6133">
        <v>5.1033580000000001</v>
      </c>
      <c r="E6133">
        <v>0.50483109999999998</v>
      </c>
      <c r="F6133" t="s">
        <v>42</v>
      </c>
      <c r="G6133">
        <v>-301.98880000000003</v>
      </c>
      <c r="H6133" s="1">
        <v>-3.4098150000000001E-6</v>
      </c>
      <c r="I6133">
        <v>-23.696000000000002</v>
      </c>
      <c r="J6133">
        <v>-302.1626</v>
      </c>
      <c r="K6133">
        <v>1.1059829999999999</v>
      </c>
      <c r="L6133">
        <v>-6.7749940000000004</v>
      </c>
      <c r="M6133">
        <v>0.1199789</v>
      </c>
      <c r="N6133">
        <v>0</v>
      </c>
      <c r="O6133">
        <v>-0.99270270000000005</v>
      </c>
      <c r="P6133">
        <v>2.353336E-2</v>
      </c>
      <c r="Q6133">
        <v>-2.3383999999999999E-2</v>
      </c>
      <c r="R6133">
        <v>-0.9994497</v>
      </c>
      <c r="S6133">
        <v>3.5797120000000002E-2</v>
      </c>
      <c r="T6133">
        <v>-0.19256139999999999</v>
      </c>
      <c r="U6133">
        <v>-2.9966740000000001</v>
      </c>
      <c r="V6133">
        <v>9.6520300000000003E-2</v>
      </c>
      <c r="W6133">
        <v>-1.164809E-2</v>
      </c>
      <c r="X6133">
        <v>0.99526289999999995</v>
      </c>
      <c r="Y6133">
        <v>0.108144</v>
      </c>
      <c r="Z6133">
        <v>6.3241599999999995E-2</v>
      </c>
      <c r="AA6133">
        <v>0.99212160000000005</v>
      </c>
      <c r="AB6133">
        <v>26</v>
      </c>
      <c r="AC6133">
        <v>0.17379999999997101</v>
      </c>
      <c r="AD6133">
        <v>-1.1059864098149901</v>
      </c>
      <c r="AE6133">
        <v>-16.921005999999998</v>
      </c>
      <c r="AF6133">
        <v>1.8498658790285201</v>
      </c>
      <c r="AG6133">
        <v>-1.1059864098149901</v>
      </c>
      <c r="AH6133">
        <v>16.748069189228602</v>
      </c>
      <c r="AI6133">
        <v>93.755363987753</v>
      </c>
      <c r="AJ6133">
        <v>83.697087177666106</v>
      </c>
      <c r="AK6133">
        <v>16.886178705565001</v>
      </c>
      <c r="AL6133">
        <v>90.667401460075894</v>
      </c>
      <c r="AM6133">
        <v>84.460794530674605</v>
      </c>
      <c r="AN6133">
        <v>1.0000000432145699</v>
      </c>
    </row>
    <row r="6134" spans="1:40" x14ac:dyDescent="0.25">
      <c r="A6134" t="str">
        <f>"20190312154957025"</f>
        <v>20190312154957025</v>
      </c>
      <c r="B6134" t="str">
        <f>"1552376997012463"</f>
        <v>1552376997012463</v>
      </c>
      <c r="C6134" t="s">
        <v>40</v>
      </c>
      <c r="D6134">
        <v>5.0757560000000002</v>
      </c>
      <c r="E6134">
        <v>0.5042797</v>
      </c>
      <c r="F6134" t="s">
        <v>42</v>
      </c>
      <c r="G6134">
        <v>-301.96589999999998</v>
      </c>
      <c r="H6134" s="1">
        <v>-3.6059329999999999E-6</v>
      </c>
      <c r="I6134">
        <v>-23.224679999999999</v>
      </c>
      <c r="J6134">
        <v>-302.13650000000001</v>
      </c>
      <c r="K6134">
        <v>1.106544</v>
      </c>
      <c r="L6134">
        <v>-7.0063170000000001</v>
      </c>
      <c r="M6134">
        <v>0.1185041</v>
      </c>
      <c r="N6134">
        <v>0</v>
      </c>
      <c r="O6134">
        <v>-0.99287749999999997</v>
      </c>
      <c r="P6134">
        <v>2.296751E-2</v>
      </c>
      <c r="Q6134">
        <v>-2.631139E-2</v>
      </c>
      <c r="R6134">
        <v>-0.99939029999999995</v>
      </c>
      <c r="S6134">
        <v>3.5827640000000001E-2</v>
      </c>
      <c r="T6134">
        <v>-0.20144100000000001</v>
      </c>
      <c r="U6134">
        <v>-2.9960939999999998</v>
      </c>
      <c r="V6134">
        <v>9.5594579999999998E-2</v>
      </c>
      <c r="W6134">
        <v>-1.4339589999999999E-2</v>
      </c>
      <c r="X6134">
        <v>0.99531700000000001</v>
      </c>
      <c r="Y6134">
        <v>0.10665719999999999</v>
      </c>
      <c r="Z6134">
        <v>6.6181030000000002E-2</v>
      </c>
      <c r="AA6134">
        <v>0.9920909</v>
      </c>
      <c r="AB6134">
        <v>26</v>
      </c>
      <c r="AC6134">
        <v>0.170600000000035</v>
      </c>
      <c r="AD6134">
        <v>-1.1065476059329999</v>
      </c>
      <c r="AE6134">
        <v>-16.218363</v>
      </c>
      <c r="AF6134">
        <v>1.74456978949395</v>
      </c>
      <c r="AG6134">
        <v>-1.1065476059329999</v>
      </c>
      <c r="AH6134">
        <v>16.049578688527902</v>
      </c>
      <c r="AI6134">
        <v>93.9210260544492</v>
      </c>
      <c r="AJ6134">
        <v>83.796374392163301</v>
      </c>
      <c r="AK6134">
        <v>16.1819945443651</v>
      </c>
      <c r="AL6134">
        <v>90.821626196342393</v>
      </c>
      <c r="AM6134">
        <v>84.513891378352099</v>
      </c>
      <c r="AN6134">
        <v>0.99999993902786999</v>
      </c>
    </row>
    <row r="6135" spans="1:40" x14ac:dyDescent="0.25">
      <c r="A6135" t="str">
        <f>"20190312154957047"</f>
        <v>20190312154957047</v>
      </c>
      <c r="B6135" t="str">
        <f>"1552376997031982"</f>
        <v>1552376997031982</v>
      </c>
      <c r="C6135" t="s">
        <v>40</v>
      </c>
      <c r="D6135">
        <v>5.1108460000000004</v>
      </c>
      <c r="E6135">
        <v>0.50378449999999997</v>
      </c>
      <c r="F6135" t="s">
        <v>42</v>
      </c>
      <c r="G6135">
        <v>-301.93680000000001</v>
      </c>
      <c r="H6135" s="1">
        <v>-3.816186E-6</v>
      </c>
      <c r="I6135">
        <v>-22.7165</v>
      </c>
      <c r="J6135">
        <v>-302.1087</v>
      </c>
      <c r="K6135">
        <v>1.107048</v>
      </c>
      <c r="L6135">
        <v>-7.2536929999999904</v>
      </c>
      <c r="M6135">
        <v>0.1171252</v>
      </c>
      <c r="N6135">
        <v>0</v>
      </c>
      <c r="O6135">
        <v>-0.99303859999999999</v>
      </c>
      <c r="P6135">
        <v>2.1732209999999998E-2</v>
      </c>
      <c r="Q6135">
        <v>-2.9258039999999999E-2</v>
      </c>
      <c r="R6135">
        <v>-0.99933559999999999</v>
      </c>
      <c r="S6135">
        <v>3.8085939999999999E-2</v>
      </c>
      <c r="T6135">
        <v>-0.21098069999999999</v>
      </c>
      <c r="U6135">
        <v>-2.9953919999999998</v>
      </c>
      <c r="V6135">
        <v>9.5432370000000002E-2</v>
      </c>
      <c r="W6135">
        <v>-1.7067880000000001E-2</v>
      </c>
      <c r="X6135">
        <v>0.9952896</v>
      </c>
      <c r="Y6135">
        <v>0.1045286</v>
      </c>
      <c r="Z6135">
        <v>6.9341100000000003E-2</v>
      </c>
      <c r="AA6135">
        <v>0.99210160000000003</v>
      </c>
      <c r="AB6135">
        <v>26</v>
      </c>
      <c r="AC6135">
        <v>0.171899999999993</v>
      </c>
      <c r="AD6135">
        <v>-1.1070518161859999</v>
      </c>
      <c r="AE6135">
        <v>-15.462807</v>
      </c>
      <c r="AF6135">
        <v>1.6321440501145701</v>
      </c>
      <c r="AG6135">
        <v>-1.1070518161859999</v>
      </c>
      <c r="AH6135">
        <v>15.2980928184855</v>
      </c>
      <c r="AI6135">
        <v>94.115737404558502</v>
      </c>
      <c r="AJ6135">
        <v>83.910185066055504</v>
      </c>
      <c r="AK6135">
        <v>15.4246913034603</v>
      </c>
      <c r="AL6135">
        <v>90.977964956989993</v>
      </c>
      <c r="AM6135">
        <v>84.522993990978705</v>
      </c>
      <c r="AN6135">
        <v>1.0000000188198299</v>
      </c>
    </row>
    <row r="6136" spans="1:40" x14ac:dyDescent="0.25">
      <c r="A6136" t="str">
        <f>"20190312154957086"</f>
        <v>20190312154957086</v>
      </c>
      <c r="B6136" t="str">
        <f>"1552376997071997"</f>
        <v>1552376997071997</v>
      </c>
      <c r="C6136" t="s">
        <v>40</v>
      </c>
      <c r="D6136">
        <v>5.0734669999999999</v>
      </c>
      <c r="E6136">
        <v>0.50297780000000003</v>
      </c>
      <c r="F6136" t="s">
        <v>41</v>
      </c>
      <c r="G6136">
        <v>-302.0967</v>
      </c>
      <c r="H6136">
        <v>1.037183</v>
      </c>
      <c r="I6136">
        <v>-8.2012830000000001</v>
      </c>
      <c r="J6136">
        <v>-302.05810000000002</v>
      </c>
      <c r="K6136">
        <v>1.107726</v>
      </c>
      <c r="L6136">
        <v>-7.7077029999999898</v>
      </c>
      <c r="M6136">
        <v>0.1149597</v>
      </c>
      <c r="N6136">
        <v>0</v>
      </c>
      <c r="O6136">
        <v>-0.99328830000000001</v>
      </c>
      <c r="P6136">
        <v>2.2387730000000002E-2</v>
      </c>
      <c r="Q6136">
        <v>-3.405039E-2</v>
      </c>
      <c r="R6136">
        <v>-0.99916950000000004</v>
      </c>
      <c r="S6136">
        <v>3.8146970000000002E-2</v>
      </c>
      <c r="T6136">
        <v>-0.2207694</v>
      </c>
      <c r="U6136">
        <v>-2.9946899999999999</v>
      </c>
      <c r="V6136">
        <v>9.2591649999999998E-2</v>
      </c>
      <c r="W6136">
        <v>-2.1525559999999999E-2</v>
      </c>
      <c r="X6136">
        <v>0.99547149999999995</v>
      </c>
      <c r="Y6136">
        <v>0.1023401</v>
      </c>
      <c r="Z6136">
        <v>7.2594489999999998E-2</v>
      </c>
      <c r="AA6136">
        <v>0.99209700000000001</v>
      </c>
      <c r="AB6136">
        <v>26</v>
      </c>
      <c r="AC6136">
        <v>-3.8599999999973898E-2</v>
      </c>
      <c r="AD6136">
        <v>-7.0542999999999995E-2</v>
      </c>
      <c r="AE6136">
        <v>-0.49358000000000002</v>
      </c>
      <c r="AF6136">
        <v>9.3198330973907395E-2</v>
      </c>
      <c r="AG6136">
        <v>-7.0542999999999995E-2</v>
      </c>
      <c r="AH6136">
        <v>0.47620133139848603</v>
      </c>
      <c r="AI6136">
        <v>98.271645503581496</v>
      </c>
      <c r="AJ6136">
        <v>78.926494199585406</v>
      </c>
      <c r="AK6136">
        <v>0.49033656988951202</v>
      </c>
      <c r="AL6136">
        <v>91.2334189592858</v>
      </c>
      <c r="AM6136">
        <v>84.686044928967505</v>
      </c>
      <c r="AN6136">
        <v>1.0000000353476399</v>
      </c>
    </row>
    <row r="6137" spans="1:40" x14ac:dyDescent="0.25">
      <c r="A6137" t="str">
        <f>"20190312154957118"</f>
        <v>20190312154957118</v>
      </c>
      <c r="B6137" t="str">
        <f>"1552376997112012"</f>
        <v>1552376997112012</v>
      </c>
      <c r="C6137" t="s">
        <v>40</v>
      </c>
      <c r="D6137">
        <v>5.0519319999999999</v>
      </c>
      <c r="E6137">
        <v>0.50236369999999997</v>
      </c>
      <c r="F6137" t="s">
        <v>41</v>
      </c>
      <c r="G6137">
        <v>-302.04379999999998</v>
      </c>
      <c r="H6137">
        <v>1.03328</v>
      </c>
      <c r="I6137">
        <v>-8.6564669999999992</v>
      </c>
      <c r="J6137">
        <v>-302.01740000000001</v>
      </c>
      <c r="K6137">
        <v>1.1080909999999999</v>
      </c>
      <c r="L6137">
        <v>-8.0776369999999993</v>
      </c>
      <c r="M6137">
        <v>0.11336590000000001</v>
      </c>
      <c r="N6137">
        <v>0</v>
      </c>
      <c r="O6137">
        <v>-0.99346889999999999</v>
      </c>
      <c r="P6137">
        <v>2.386274E-2</v>
      </c>
      <c r="Q6137">
        <v>-3.4753819999999998E-2</v>
      </c>
      <c r="R6137">
        <v>-0.99911090000000002</v>
      </c>
      <c r="S6137">
        <v>4.5623780000000003E-2</v>
      </c>
      <c r="T6137">
        <v>-0.2348354</v>
      </c>
      <c r="U6137">
        <v>-2.9934690000000002</v>
      </c>
      <c r="V6137">
        <v>8.952504E-2</v>
      </c>
      <c r="W6137">
        <v>-2.2018389999999999E-2</v>
      </c>
      <c r="X6137">
        <v>0.99574119999999999</v>
      </c>
      <c r="Y6137">
        <v>9.8266210000000007E-2</v>
      </c>
      <c r="Z6137">
        <v>7.7259919999999996E-2</v>
      </c>
      <c r="AA6137">
        <v>0.99215660000000006</v>
      </c>
      <c r="AB6137">
        <v>26</v>
      </c>
      <c r="AC6137">
        <v>-2.6399999999966801E-2</v>
      </c>
      <c r="AD6137">
        <v>-7.4810999999999905E-2</v>
      </c>
      <c r="AE6137">
        <v>-0.57882999999999996</v>
      </c>
      <c r="AF6137">
        <v>9.0348783781959194E-2</v>
      </c>
      <c r="AG6137">
        <v>-7.4810999999999905E-2</v>
      </c>
      <c r="AH6137">
        <v>0.56272430669911799</v>
      </c>
      <c r="AI6137">
        <v>97.478074765083093</v>
      </c>
      <c r="AJ6137">
        <v>80.878662506942803</v>
      </c>
      <c r="AK6137">
        <v>0.574820175186886</v>
      </c>
      <c r="AL6137">
        <v>91.261662726767696</v>
      </c>
      <c r="AM6137">
        <v>84.862467756912594</v>
      </c>
      <c r="AN6137">
        <v>1.00000003983131</v>
      </c>
    </row>
    <row r="6138" spans="1:40" x14ac:dyDescent="0.25">
      <c r="A6138" t="str">
        <f>"20190312154957141"</f>
        <v>20190312154957141</v>
      </c>
      <c r="B6138" t="str">
        <f>"1552376997132510"</f>
        <v>1552376997132510</v>
      </c>
      <c r="C6138" t="s">
        <v>40</v>
      </c>
      <c r="D6138">
        <v>5.0287290000000002</v>
      </c>
      <c r="E6138">
        <v>0.5020194</v>
      </c>
      <c r="F6138" t="s">
        <v>41</v>
      </c>
      <c r="G6138">
        <v>-302.00279999999998</v>
      </c>
      <c r="H6138">
        <v>1.0448599999999999</v>
      </c>
      <c r="I6138">
        <v>-8.8892609999999994</v>
      </c>
      <c r="J6138">
        <v>-301.98910000000001</v>
      </c>
      <c r="K6138">
        <v>1.1082809999999901</v>
      </c>
      <c r="L6138">
        <v>-8.3374330000000008</v>
      </c>
      <c r="M6138">
        <v>0.11225400000000001</v>
      </c>
      <c r="N6138">
        <v>0</v>
      </c>
      <c r="O6138">
        <v>-0.99359379999999997</v>
      </c>
      <c r="P6138">
        <v>2.691996E-2</v>
      </c>
      <c r="Q6138">
        <v>-3.3593199999999997E-2</v>
      </c>
      <c r="R6138">
        <v>-0.9990734</v>
      </c>
      <c r="S6138">
        <v>5.4199219999999999E-2</v>
      </c>
      <c r="T6138">
        <v>-0.2331752</v>
      </c>
      <c r="U6138">
        <v>-2.9932560000000001</v>
      </c>
      <c r="V6138">
        <v>8.5371699999999995E-2</v>
      </c>
      <c r="W6138">
        <v>-2.0727679999999998E-2</v>
      </c>
      <c r="X6138">
        <v>0.99613359999999995</v>
      </c>
      <c r="Y6138">
        <v>9.4308400000000001E-2</v>
      </c>
      <c r="Z6138">
        <v>7.6750209999999999E-2</v>
      </c>
      <c r="AA6138">
        <v>0.99258009999999997</v>
      </c>
      <c r="AB6138">
        <v>26</v>
      </c>
      <c r="AC6138">
        <v>-1.3699999999971599E-2</v>
      </c>
      <c r="AD6138">
        <v>-6.34209999999997E-2</v>
      </c>
      <c r="AE6138">
        <v>-0.55182799999999799</v>
      </c>
      <c r="AF6138">
        <v>7.4579090735585801E-2</v>
      </c>
      <c r="AG6138">
        <v>-6.34209999999997E-2</v>
      </c>
      <c r="AH6138">
        <v>0.53967756360151797</v>
      </c>
      <c r="AI6138">
        <v>96.639926310788397</v>
      </c>
      <c r="AJ6138">
        <v>82.132017391986693</v>
      </c>
      <c r="AK6138">
        <v>0.54848531126258804</v>
      </c>
      <c r="AL6138">
        <v>91.187693572513993</v>
      </c>
      <c r="AM6138">
        <v>85.101545909922706</v>
      </c>
      <c r="AN6138">
        <v>1.0000000564640099</v>
      </c>
    </row>
    <row r="6139" spans="1:40" x14ac:dyDescent="0.25">
      <c r="A6139" t="str">
        <f>"20190312154957162"</f>
        <v>20190312154957162</v>
      </c>
      <c r="B6139" t="str">
        <f>"1552376997152029"</f>
        <v>1552376997152029</v>
      </c>
      <c r="C6139" t="s">
        <v>40</v>
      </c>
      <c r="D6139">
        <v>5.0525000000000002</v>
      </c>
      <c r="E6139">
        <v>0.50174090000000005</v>
      </c>
      <c r="F6139" t="s">
        <v>41</v>
      </c>
      <c r="G6139">
        <v>-301.97230000000002</v>
      </c>
      <c r="H6139">
        <v>1.0488580000000001</v>
      </c>
      <c r="I6139">
        <v>-9.1203140000000005</v>
      </c>
      <c r="J6139">
        <v>-301.96269999999998</v>
      </c>
      <c r="K6139">
        <v>1.1084130000000001</v>
      </c>
      <c r="L6139">
        <v>-8.5823669999999996</v>
      </c>
      <c r="M6139">
        <v>0.11117390000000001</v>
      </c>
      <c r="N6139">
        <v>0</v>
      </c>
      <c r="O6139">
        <v>-0.99371370000000003</v>
      </c>
      <c r="P6139">
        <v>3.1120829999999999E-2</v>
      </c>
      <c r="Q6139">
        <v>-3.344838E-2</v>
      </c>
      <c r="R6139">
        <v>-0.99895599999999996</v>
      </c>
      <c r="S6139">
        <v>6.5612790000000004E-2</v>
      </c>
      <c r="T6139">
        <v>-0.22708339999999999</v>
      </c>
      <c r="U6139">
        <v>-2.9933779999999999</v>
      </c>
      <c r="V6139">
        <v>8.0101399999999906E-2</v>
      </c>
      <c r="W6139">
        <v>-2.047301E-2</v>
      </c>
      <c r="X6139">
        <v>0.99657640000000003</v>
      </c>
      <c r="Y6139">
        <v>8.9439790000000005E-2</v>
      </c>
      <c r="Z6139">
        <v>7.478166E-2</v>
      </c>
      <c r="AA6139">
        <v>0.99318090000000003</v>
      </c>
      <c r="AB6139">
        <v>26</v>
      </c>
      <c r="AC6139">
        <v>-9.6000000000344698E-3</v>
      </c>
      <c r="AD6139">
        <v>-5.9554999999999803E-2</v>
      </c>
      <c r="AE6139">
        <v>-0.53794699999999995</v>
      </c>
      <c r="AF6139">
        <v>6.8511900737361506E-2</v>
      </c>
      <c r="AG6139">
        <v>-5.9554999999999803E-2</v>
      </c>
      <c r="AH6139">
        <v>0.52708626462203301</v>
      </c>
      <c r="AI6139">
        <v>96.393127894901497</v>
      </c>
      <c r="AJ6139">
        <v>82.594083469950803</v>
      </c>
      <c r="AK6139">
        <v>0.53484634141111398</v>
      </c>
      <c r="AL6139">
        <v>91.173099085241603</v>
      </c>
      <c r="AM6139">
        <v>85.404640305864902</v>
      </c>
      <c r="AN6139">
        <v>0.999999949728688</v>
      </c>
    </row>
    <row r="6140" spans="1:40" x14ac:dyDescent="0.25">
      <c r="A6140" t="str">
        <f>"20190312154957185"</f>
        <v>20190312154957185</v>
      </c>
      <c r="B6140" t="str">
        <f>"1552376997171549"</f>
        <v>1552376997171549</v>
      </c>
      <c r="C6140" t="s">
        <v>40</v>
      </c>
      <c r="D6140">
        <v>5.0657079999999999</v>
      </c>
      <c r="E6140">
        <v>0.50147520000000001</v>
      </c>
      <c r="F6140" t="s">
        <v>41</v>
      </c>
      <c r="G6140">
        <v>-301.9425</v>
      </c>
      <c r="H6140">
        <v>1.0507629999999999</v>
      </c>
      <c r="I6140">
        <v>-9.3492700000000006</v>
      </c>
      <c r="J6140">
        <v>-301.93639999999999</v>
      </c>
      <c r="K6140">
        <v>1.108492</v>
      </c>
      <c r="L6140">
        <v>-8.8300169999999998</v>
      </c>
      <c r="M6140">
        <v>0.1100255</v>
      </c>
      <c r="N6140">
        <v>0</v>
      </c>
      <c r="O6140">
        <v>-0.99384050000000002</v>
      </c>
      <c r="P6140">
        <v>3.4758369999999997E-2</v>
      </c>
      <c r="Q6140">
        <v>-3.4230940000000001E-2</v>
      </c>
      <c r="R6140">
        <v>-0.99880959999999996</v>
      </c>
      <c r="S6140">
        <v>8.0230709999999997E-2</v>
      </c>
      <c r="T6140">
        <v>-0.2248454</v>
      </c>
      <c r="U6140">
        <v>-2.9931030000000001</v>
      </c>
      <c r="V6140">
        <v>7.5315919999999995E-2</v>
      </c>
      <c r="W6140">
        <v>-2.115997E-2</v>
      </c>
      <c r="X6140">
        <v>0.99693520000000002</v>
      </c>
      <c r="Y6140">
        <v>8.3436369999999996E-2</v>
      </c>
      <c r="Z6140">
        <v>7.4085079999999998E-2</v>
      </c>
      <c r="AA6140">
        <v>0.99375539999999996</v>
      </c>
      <c r="AB6140">
        <v>26</v>
      </c>
      <c r="AC6140">
        <v>-6.1000000000035401E-3</v>
      </c>
      <c r="AD6140">
        <v>-5.77290000000001E-2</v>
      </c>
      <c r="AE6140">
        <v>-0.51925299999999897</v>
      </c>
      <c r="AF6140">
        <v>6.2427524099091899E-2</v>
      </c>
      <c r="AG6140">
        <v>-5.77290000000001E-2</v>
      </c>
      <c r="AH6140">
        <v>0.50913649716200904</v>
      </c>
      <c r="AI6140">
        <v>96.421233623918397</v>
      </c>
      <c r="AJ6140">
        <v>83.009598469937401</v>
      </c>
      <c r="AK6140">
        <v>0.51618776230025398</v>
      </c>
      <c r="AL6140">
        <v>91.212467451103393</v>
      </c>
      <c r="AM6140">
        <v>85.679656376143498</v>
      </c>
      <c r="AN6140">
        <v>1.00000001256744</v>
      </c>
    </row>
    <row r="6141" spans="1:40" x14ac:dyDescent="0.25">
      <c r="A6141" t="str">
        <f>"20190312154957220"</f>
        <v>20190312154957220</v>
      </c>
      <c r="B6141" t="str">
        <f>"1552376997211566"</f>
        <v>1552376997211566</v>
      </c>
      <c r="C6141" t="s">
        <v>40</v>
      </c>
      <c r="D6141">
        <v>5.066497</v>
      </c>
      <c r="E6141">
        <v>0.50102100000000005</v>
      </c>
      <c r="F6141" t="s">
        <v>41</v>
      </c>
      <c r="G6141">
        <v>-301.91309999999999</v>
      </c>
      <c r="H6141">
        <v>1.0518110000000001</v>
      </c>
      <c r="I6141">
        <v>-9.5772340000000007</v>
      </c>
      <c r="J6141">
        <v>-301.89479999999998</v>
      </c>
      <c r="K6141">
        <v>1.1085419999999999</v>
      </c>
      <c r="L6141">
        <v>-9.2272339999999993</v>
      </c>
      <c r="M6141">
        <v>0.1080377</v>
      </c>
      <c r="N6141">
        <v>0</v>
      </c>
      <c r="O6141">
        <v>-0.99405679999999996</v>
      </c>
      <c r="P6141">
        <v>3.9886449999999997E-2</v>
      </c>
      <c r="Q6141">
        <v>-3.703418E-2</v>
      </c>
      <c r="R6141">
        <v>-0.99851789999999996</v>
      </c>
      <c r="S6141">
        <v>9.3261720000000006E-2</v>
      </c>
      <c r="T6141">
        <v>-0.22697139999999999</v>
      </c>
      <c r="U6141">
        <v>-2.9925540000000002</v>
      </c>
      <c r="V6141">
        <v>6.8183869999999994E-2</v>
      </c>
      <c r="W6141">
        <v>-2.3836599999999999E-2</v>
      </c>
      <c r="X6141">
        <v>0.99738800000000005</v>
      </c>
      <c r="Y6141">
        <v>7.7115160000000002E-2</v>
      </c>
      <c r="Z6141">
        <v>7.4834559999999994E-2</v>
      </c>
      <c r="AA6141">
        <v>0.99420980000000003</v>
      </c>
      <c r="AB6141">
        <v>26</v>
      </c>
      <c r="AC6141">
        <v>-1.8300000000010599E-2</v>
      </c>
      <c r="AD6141">
        <v>-5.6730999999999802E-2</v>
      </c>
      <c r="AE6141">
        <v>-0.34999999999999898</v>
      </c>
      <c r="AF6141">
        <v>5.4579406445727903E-2</v>
      </c>
      <c r="AG6141">
        <v>-5.6730999999999802E-2</v>
      </c>
      <c r="AH6141">
        <v>0.33714030569339998</v>
      </c>
      <c r="AI6141">
        <v>99.431206932468797</v>
      </c>
      <c r="AJ6141">
        <v>80.804207655645101</v>
      </c>
      <c r="AK6141">
        <v>0.34620933507346002</v>
      </c>
      <c r="AL6141">
        <v>91.365865910980403</v>
      </c>
      <c r="AM6141">
        <v>86.089205820708798</v>
      </c>
      <c r="AN6141">
        <v>1.0000000230858599</v>
      </c>
    </row>
    <row r="6142" spans="1:40" x14ac:dyDescent="0.25">
      <c r="A6142" t="str">
        <f>"20190312154957244"</f>
        <v>20190312154957244</v>
      </c>
      <c r="B6142" t="str">
        <f>"1552376997232062"</f>
        <v>1552376997232062</v>
      </c>
      <c r="C6142" t="s">
        <v>40</v>
      </c>
      <c r="D6142">
        <v>5.0784060000000002</v>
      </c>
      <c r="E6142">
        <v>0.48786610000000002</v>
      </c>
      <c r="F6142" t="s">
        <v>41</v>
      </c>
      <c r="G6142">
        <v>-301.86470000000003</v>
      </c>
      <c r="H6142">
        <v>1.04637</v>
      </c>
      <c r="I6142">
        <v>-10.0267</v>
      </c>
      <c r="J6142">
        <v>-301.86509999999998</v>
      </c>
      <c r="K6142">
        <v>1.108562</v>
      </c>
      <c r="L6142">
        <v>-9.515625</v>
      </c>
      <c r="M6142">
        <v>0.10650519999999999</v>
      </c>
      <c r="N6142">
        <v>0</v>
      </c>
      <c r="O6142">
        <v>-0.99422120000000003</v>
      </c>
      <c r="P6142">
        <v>3.9966429999999997E-2</v>
      </c>
      <c r="Q6142">
        <v>-3.9032329999999997E-2</v>
      </c>
      <c r="R6142">
        <v>-0.99843870000000001</v>
      </c>
      <c r="S6142">
        <v>0.1122742</v>
      </c>
      <c r="T6142">
        <v>-0.2326175</v>
      </c>
      <c r="U6142">
        <v>-2.991333</v>
      </c>
      <c r="V6142">
        <v>6.6551540000000006E-2</v>
      </c>
      <c r="W6142">
        <v>-2.5765759999999999E-2</v>
      </c>
      <c r="X6142">
        <v>0.99745019999999995</v>
      </c>
      <c r="Y6142">
        <v>6.9257440000000003E-2</v>
      </c>
      <c r="Z6142">
        <v>7.6749559999999994E-2</v>
      </c>
      <c r="AA6142">
        <v>0.99464209999999997</v>
      </c>
      <c r="AB6142">
        <v>26</v>
      </c>
      <c r="AC6142">
        <v>3.9999999995643499E-4</v>
      </c>
      <c r="AD6142">
        <v>-6.2191999999999997E-2</v>
      </c>
      <c r="AE6142">
        <v>-0.51107499999999995</v>
      </c>
      <c r="AF6142">
        <v>5.3250799807844397E-2</v>
      </c>
      <c r="AG6142">
        <v>-6.2191999999999997E-2</v>
      </c>
      <c r="AH6142">
        <v>0.50079434273912005</v>
      </c>
      <c r="AI6142">
        <v>97.039845301139295</v>
      </c>
      <c r="AJ6142">
        <v>83.930393803202307</v>
      </c>
      <c r="AK6142">
        <v>0.50744306701706199</v>
      </c>
      <c r="AL6142">
        <v>91.476432781796603</v>
      </c>
      <c r="AM6142">
        <v>86.1827878392874</v>
      </c>
      <c r="AN6142">
        <v>0.99999994167239203</v>
      </c>
    </row>
    <row r="6143" spans="1:40" x14ac:dyDescent="0.25">
      <c r="A6143" t="str">
        <f>"20190312154957267"</f>
        <v>20190312154957267</v>
      </c>
      <c r="B6143" t="str">
        <f>"1552376997261342"</f>
        <v>1552376997261342</v>
      </c>
      <c r="C6143" t="s">
        <v>40</v>
      </c>
      <c r="D6143">
        <v>5.0543519999999997</v>
      </c>
      <c r="E6143">
        <v>0.48873630000000001</v>
      </c>
      <c r="F6143" t="s">
        <v>42</v>
      </c>
      <c r="G6143">
        <v>-300.58359999999999</v>
      </c>
      <c r="H6143" s="1">
        <v>-1.5457939999999999E-6</v>
      </c>
      <c r="I6143">
        <v>-27.16958</v>
      </c>
      <c r="J6143">
        <v>-301.84039999999999</v>
      </c>
      <c r="K6143">
        <v>1.108576</v>
      </c>
      <c r="L6143">
        <v>-9.7618410000000004</v>
      </c>
      <c r="M6143">
        <v>0.10513309999999999</v>
      </c>
      <c r="N6143">
        <v>0</v>
      </c>
      <c r="O6143">
        <v>-0.99436650000000004</v>
      </c>
      <c r="P6143">
        <v>3.9281829999999997E-2</v>
      </c>
      <c r="Q6143">
        <v>-4.1303090000000001E-2</v>
      </c>
      <c r="R6143">
        <v>-0.9983744</v>
      </c>
      <c r="S6143">
        <v>0.21694949999999999</v>
      </c>
      <c r="T6143">
        <v>-0.18767130000000001</v>
      </c>
      <c r="U6143">
        <v>-2.9886780000000002</v>
      </c>
      <c r="V6143">
        <v>6.5841810000000001E-2</v>
      </c>
      <c r="W6143">
        <v>-2.7987430000000001E-2</v>
      </c>
      <c r="X6143">
        <v>0.99743749999999998</v>
      </c>
      <c r="Y6143">
        <v>3.3008370000000002E-2</v>
      </c>
      <c r="Z6143">
        <v>6.2052429999999999E-2</v>
      </c>
      <c r="AA6143">
        <v>0.99752689999999999</v>
      </c>
      <c r="AB6143">
        <v>25</v>
      </c>
      <c r="AC6143">
        <v>1.2567999999999899</v>
      </c>
      <c r="AD6143">
        <v>-1.1085775457939999</v>
      </c>
      <c r="AE6143">
        <v>-17.407738999999999</v>
      </c>
      <c r="AF6143">
        <v>0.57813019271752697</v>
      </c>
      <c r="AG6143">
        <v>-1.1085775457939999</v>
      </c>
      <c r="AH6143">
        <v>17.373301222519</v>
      </c>
      <c r="AI6143">
        <v>93.649037227202001</v>
      </c>
      <c r="AJ6143">
        <v>88.094075448196904</v>
      </c>
      <c r="AK6143">
        <v>17.418231083067901</v>
      </c>
      <c r="AL6143">
        <v>91.603771030921806</v>
      </c>
      <c r="AM6143">
        <v>86.223329600906695</v>
      </c>
      <c r="AN6143">
        <v>1.0000000032941601</v>
      </c>
    </row>
    <row r="6144" spans="1:40" x14ac:dyDescent="0.25">
      <c r="A6144" t="str">
        <f>"20190312154957292"</f>
        <v>20190312154957292</v>
      </c>
      <c r="B6144" t="str">
        <f>"1552376997281837"</f>
        <v>1552376997281837</v>
      </c>
      <c r="C6144" t="s">
        <v>40</v>
      </c>
      <c r="D6144">
        <v>5.1021720000000004</v>
      </c>
      <c r="E6144">
        <v>0.48870019999999997</v>
      </c>
      <c r="F6144" t="s">
        <v>41</v>
      </c>
      <c r="G6144">
        <v>-301.7747</v>
      </c>
      <c r="H6144">
        <v>1.04853</v>
      </c>
      <c r="I6144">
        <v>-10.708410000000001</v>
      </c>
      <c r="J6144">
        <v>-301.81240000000003</v>
      </c>
      <c r="K6144">
        <v>1.1085750000000001</v>
      </c>
      <c r="L6144">
        <v>-10.04407</v>
      </c>
      <c r="M6144">
        <v>0.10349750000000001</v>
      </c>
      <c r="N6144">
        <v>0</v>
      </c>
      <c r="O6144">
        <v>-0.99453749999999996</v>
      </c>
      <c r="P6144">
        <v>3.7924029999999997E-2</v>
      </c>
      <c r="Q6144">
        <v>-4.4351000000000002E-2</v>
      </c>
      <c r="R6144">
        <v>-0.99829630000000003</v>
      </c>
      <c r="S6144">
        <v>0.20803830000000001</v>
      </c>
      <c r="T6144">
        <v>-0.1895163</v>
      </c>
      <c r="U6144">
        <v>-2.988861</v>
      </c>
      <c r="V6144">
        <v>6.5534309999999998E-2</v>
      </c>
      <c r="W6144">
        <v>-3.0987859999999999E-2</v>
      </c>
      <c r="X6144">
        <v>0.99736910000000001</v>
      </c>
      <c r="Y6144">
        <v>3.433083E-2</v>
      </c>
      <c r="Z6144">
        <v>6.2677609999999995E-2</v>
      </c>
      <c r="AA6144">
        <v>0.99744319999999997</v>
      </c>
      <c r="AB6144">
        <v>25</v>
      </c>
      <c r="AC6144">
        <v>3.77000000000293E-2</v>
      </c>
      <c r="AD6144">
        <v>-6.0045000000000098E-2</v>
      </c>
      <c r="AE6144">
        <v>-0.66434000000000004</v>
      </c>
      <c r="AF6144">
        <v>3.1013792366378301E-2</v>
      </c>
      <c r="AG6144">
        <v>-6.0045000000000098E-2</v>
      </c>
      <c r="AH6144">
        <v>0.65930523614043102</v>
      </c>
      <c r="AI6144">
        <v>95.198034896170896</v>
      </c>
      <c r="AJ6144">
        <v>87.306785415068703</v>
      </c>
      <c r="AK6144">
        <v>0.66275987487485499</v>
      </c>
      <c r="AL6144">
        <v>91.775757763959604</v>
      </c>
      <c r="AM6144">
        <v>86.240659977121098</v>
      </c>
      <c r="AN6144">
        <v>1.0000000574446799</v>
      </c>
    </row>
    <row r="6145" spans="1:40" x14ac:dyDescent="0.25">
      <c r="A6145" t="str">
        <f>"20190312154957317"</f>
        <v>20190312154957317</v>
      </c>
      <c r="B6145" t="str">
        <f>"1552376997311625"</f>
        <v>1552376997311625</v>
      </c>
      <c r="C6145" t="s">
        <v>40</v>
      </c>
      <c r="D6145">
        <v>5.1275769999999996</v>
      </c>
      <c r="E6145">
        <v>0.48795300000000003</v>
      </c>
      <c r="F6145" t="s">
        <v>41</v>
      </c>
      <c r="G6145">
        <v>-301.7516</v>
      </c>
      <c r="H6145">
        <v>1.0482910000000001</v>
      </c>
      <c r="I6145">
        <v>-10.93454</v>
      </c>
      <c r="J6145">
        <v>-301.78440000000001</v>
      </c>
      <c r="K6145">
        <v>1.1085750000000001</v>
      </c>
      <c r="L6145">
        <v>-10.33286</v>
      </c>
      <c r="M6145">
        <v>0.1017759</v>
      </c>
      <c r="N6145">
        <v>0</v>
      </c>
      <c r="O6145">
        <v>-0.9947144</v>
      </c>
      <c r="P6145">
        <v>3.5405440000000003E-2</v>
      </c>
      <c r="Q6145">
        <v>-4.7777449999999999E-2</v>
      </c>
      <c r="R6145">
        <v>-0.99823050000000002</v>
      </c>
      <c r="S6145">
        <v>0.20443729999999999</v>
      </c>
      <c r="T6145">
        <v>-0.20226859999999999</v>
      </c>
      <c r="U6145">
        <v>-2.9883730000000002</v>
      </c>
      <c r="V6145">
        <v>6.6296599999999997E-2</v>
      </c>
      <c r="W6145">
        <v>-3.4375580000000003E-2</v>
      </c>
      <c r="X6145">
        <v>0.99720759999999997</v>
      </c>
      <c r="Y6145">
        <v>3.3804800000000003E-2</v>
      </c>
      <c r="Z6145">
        <v>6.6908750000000003E-2</v>
      </c>
      <c r="AA6145">
        <v>0.99718620000000002</v>
      </c>
      <c r="AB6145">
        <v>25</v>
      </c>
      <c r="AC6145">
        <v>3.2800000000008801E-2</v>
      </c>
      <c r="AD6145">
        <v>-6.0283999999999997E-2</v>
      </c>
      <c r="AE6145">
        <v>-0.60167999999999999</v>
      </c>
      <c r="AF6145">
        <v>2.832899622852E-2</v>
      </c>
      <c r="AG6145">
        <v>-6.0283999999999997E-2</v>
      </c>
      <c r="AH6145">
        <v>0.59592909993603604</v>
      </c>
      <c r="AI6145">
        <v>95.769900993810097</v>
      </c>
      <c r="AJ6145">
        <v>87.278349191373295</v>
      </c>
      <c r="AK6145">
        <v>0.59964004605587296</v>
      </c>
      <c r="AL6145">
        <v>91.969963841870793</v>
      </c>
      <c r="AM6145">
        <v>86.19644512152</v>
      </c>
      <c r="AN6145">
        <v>0.99999995858482704</v>
      </c>
    </row>
    <row r="6146" spans="1:40" x14ac:dyDescent="0.25">
      <c r="A6146" t="str">
        <f>"20190312154957354"</f>
        <v>20190312154957354</v>
      </c>
      <c r="B6146" t="str">
        <f>"1552376997341881"</f>
        <v>1552376997341881</v>
      </c>
      <c r="C6146" t="s">
        <v>40</v>
      </c>
      <c r="D6146">
        <v>5.1064259999999999</v>
      </c>
      <c r="E6146">
        <v>0.48761399999999999</v>
      </c>
      <c r="F6146" t="s">
        <v>41</v>
      </c>
      <c r="G6146">
        <v>-301.72840000000002</v>
      </c>
      <c r="H6146">
        <v>1.047072</v>
      </c>
      <c r="I6146">
        <v>-11.159509999999999</v>
      </c>
      <c r="J6146">
        <v>-301.74509999999998</v>
      </c>
      <c r="K6146">
        <v>1.1085830000000001</v>
      </c>
      <c r="L6146">
        <v>-10.747339999999999</v>
      </c>
      <c r="M6146">
        <v>9.9243429999999994E-2</v>
      </c>
      <c r="N6146">
        <v>0</v>
      </c>
      <c r="O6146">
        <v>-0.9949694</v>
      </c>
      <c r="P6146">
        <v>3.15123E-2</v>
      </c>
      <c r="Q6146">
        <v>-5.0448130000000001E-2</v>
      </c>
      <c r="R6146">
        <v>-0.99822960000000005</v>
      </c>
      <c r="S6146">
        <v>0.20294190000000001</v>
      </c>
      <c r="T6146">
        <v>-0.2221543</v>
      </c>
      <c r="U6146">
        <v>-2.9874879999999999</v>
      </c>
      <c r="V6146">
        <v>6.7623550000000004E-2</v>
      </c>
      <c r="W6146">
        <v>-3.7000529999999997E-2</v>
      </c>
      <c r="X6146">
        <v>0.99702460000000004</v>
      </c>
      <c r="Y6146">
        <v>3.1768900000000003E-2</v>
      </c>
      <c r="Z6146">
        <v>7.3506070000000007E-2</v>
      </c>
      <c r="AA6146">
        <v>0.99678860000000002</v>
      </c>
      <c r="AB6146">
        <v>25</v>
      </c>
      <c r="AC6146">
        <v>1.6699999999957499E-2</v>
      </c>
      <c r="AD6146">
        <v>-6.1511000000000003E-2</v>
      </c>
      <c r="AE6146">
        <v>-0.41217000000000098</v>
      </c>
      <c r="AF6146">
        <v>2.3763066666669198E-2</v>
      </c>
      <c r="AG6146">
        <v>-6.1511000000000003E-2</v>
      </c>
      <c r="AH6146">
        <v>0.40283522258459897</v>
      </c>
      <c r="AI6146">
        <v>98.666893477831096</v>
      </c>
      <c r="AJ6146">
        <v>86.624060211334907</v>
      </c>
      <c r="AK6146">
        <v>0.40819664747911399</v>
      </c>
      <c r="AL6146">
        <v>92.120458189330904</v>
      </c>
      <c r="AM6146">
        <v>86.119835931755702</v>
      </c>
      <c r="AN6146">
        <v>1.0000000183700199</v>
      </c>
    </row>
    <row r="6147" spans="1:40" x14ac:dyDescent="0.25">
      <c r="A6147" t="str">
        <f>"20190312154957381"</f>
        <v>20190312154957381</v>
      </c>
      <c r="B6147" t="str">
        <f>"1552376997372137"</f>
        <v>1552376997372137</v>
      </c>
      <c r="C6147" t="s">
        <v>40</v>
      </c>
      <c r="D6147">
        <v>5.0932979999999999</v>
      </c>
      <c r="E6147">
        <v>0.48772510000000002</v>
      </c>
      <c r="F6147" t="s">
        <v>41</v>
      </c>
      <c r="G6147">
        <v>-301.68950000000001</v>
      </c>
      <c r="H6147">
        <v>1.04013</v>
      </c>
      <c r="I6147">
        <v>-11.60486</v>
      </c>
      <c r="J6147">
        <v>-301.71589999999998</v>
      </c>
      <c r="K6147">
        <v>1.1086069999999999</v>
      </c>
      <c r="L6147">
        <v>-11.06244</v>
      </c>
      <c r="M6147">
        <v>9.7283359999999999E-2</v>
      </c>
      <c r="N6147">
        <v>0</v>
      </c>
      <c r="O6147">
        <v>-0.99516269999999996</v>
      </c>
      <c r="P6147">
        <v>2.9347539999999998E-2</v>
      </c>
      <c r="Q6147">
        <v>-4.6757010000000002E-2</v>
      </c>
      <c r="R6147">
        <v>-0.99847560000000002</v>
      </c>
      <c r="S6147">
        <v>0.19415279999999999</v>
      </c>
      <c r="T6147">
        <v>-0.238343</v>
      </c>
      <c r="U6147">
        <v>-2.987152</v>
      </c>
      <c r="V6147">
        <v>6.7847359999999995E-2</v>
      </c>
      <c r="W6147">
        <v>-3.3275319999999997E-2</v>
      </c>
      <c r="X6147">
        <v>0.99714060000000004</v>
      </c>
      <c r="Y6147">
        <v>3.2739129999999998E-2</v>
      </c>
      <c r="Z6147">
        <v>7.8868190000000005E-2</v>
      </c>
      <c r="AA6147">
        <v>0.99634730000000005</v>
      </c>
      <c r="AB6147">
        <v>25</v>
      </c>
      <c r="AC6147">
        <v>2.6399999999966801E-2</v>
      </c>
      <c r="AD6147">
        <v>-6.8476999999999899E-2</v>
      </c>
      <c r="AE6147">
        <v>-0.54242000000000101</v>
      </c>
      <c r="AF6147">
        <v>2.6083896916908499E-2</v>
      </c>
      <c r="AG6147">
        <v>-6.8476999999999899E-2</v>
      </c>
      <c r="AH6147">
        <v>0.53392589852375905</v>
      </c>
      <c r="AI6147">
        <v>97.299783215210496</v>
      </c>
      <c r="AJ6147">
        <v>87.203151263399803</v>
      </c>
      <c r="AK6147">
        <v>0.53893073239682299</v>
      </c>
      <c r="AL6147">
        <v>91.906887515056297</v>
      </c>
      <c r="AM6147">
        <v>86.107484872049298</v>
      </c>
      <c r="AN6147">
        <v>0.99999994367421396</v>
      </c>
    </row>
    <row r="6148" spans="1:40" x14ac:dyDescent="0.25">
      <c r="A6148" t="str">
        <f>"20190312154957403"</f>
        <v>20190312154957403</v>
      </c>
      <c r="B6148" t="str">
        <f>"1552376997391657"</f>
        <v>1552376997391657</v>
      </c>
      <c r="C6148" t="s">
        <v>40</v>
      </c>
      <c r="D6148">
        <v>5.0450559999999998</v>
      </c>
      <c r="E6148">
        <v>0.48770219999999997</v>
      </c>
      <c r="F6148" t="s">
        <v>41</v>
      </c>
      <c r="G6148">
        <v>-301.66759999999999</v>
      </c>
      <c r="H6148">
        <v>1.047693</v>
      </c>
      <c r="I6148">
        <v>-11.836980000000001</v>
      </c>
      <c r="J6148">
        <v>-301.69420000000002</v>
      </c>
      <c r="K6148">
        <v>1.1086229999999999</v>
      </c>
      <c r="L6148">
        <v>-11.302860000000001</v>
      </c>
      <c r="M6148">
        <v>9.5770049999999995E-2</v>
      </c>
      <c r="N6148">
        <v>0</v>
      </c>
      <c r="O6148">
        <v>-0.99530909999999995</v>
      </c>
      <c r="P6148">
        <v>2.737179E-2</v>
      </c>
      <c r="Q6148">
        <v>-4.3737989999999997E-2</v>
      </c>
      <c r="R6148">
        <v>-0.99866860000000002</v>
      </c>
      <c r="S6148">
        <v>0.18688959999999999</v>
      </c>
      <c r="T6148">
        <v>-0.23495650000000001</v>
      </c>
      <c r="U6148">
        <v>-2.9880979999999999</v>
      </c>
      <c r="V6148">
        <v>6.8324309999999999E-2</v>
      </c>
      <c r="W6148">
        <v>-3.023499E-2</v>
      </c>
      <c r="X6148">
        <v>0.99720489999999995</v>
      </c>
      <c r="Y6148">
        <v>3.3646299999999997E-2</v>
      </c>
      <c r="Z6148">
        <v>7.7752009999999996E-2</v>
      </c>
      <c r="AA6148">
        <v>0.99640479999999998</v>
      </c>
      <c r="AB6148">
        <v>25</v>
      </c>
      <c r="AC6148">
        <v>2.6600000000030301E-2</v>
      </c>
      <c r="AD6148">
        <v>-6.0929999999999901E-2</v>
      </c>
      <c r="AE6148">
        <v>-0.53411999999999904</v>
      </c>
      <c r="AF6148">
        <v>2.43635321958286E-2</v>
      </c>
      <c r="AG6148">
        <v>-6.0929999999999901E-2</v>
      </c>
      <c r="AH6148">
        <v>0.52736641468404799</v>
      </c>
      <c r="AI6148">
        <v>96.583564870146603</v>
      </c>
      <c r="AJ6148">
        <v>87.354902227003194</v>
      </c>
      <c r="AK6148">
        <v>0.53143332783874597</v>
      </c>
      <c r="AL6148">
        <v>91.732601385211396</v>
      </c>
      <c r="AM6148">
        <v>86.0804584286048</v>
      </c>
      <c r="AN6148">
        <v>0.99999998927064204</v>
      </c>
    </row>
    <row r="6149" spans="1:40" x14ac:dyDescent="0.25">
      <c r="A6149" t="str">
        <f>"20190312154957425"</f>
        <v>20190312154957425</v>
      </c>
      <c r="B6149" t="str">
        <f>"1552376997421913"</f>
        <v>1552376997421913</v>
      </c>
      <c r="C6149" t="s">
        <v>40</v>
      </c>
      <c r="D6149">
        <v>5.0321809999999996</v>
      </c>
      <c r="E6149">
        <v>0.48787639999999999</v>
      </c>
      <c r="F6149" t="s">
        <v>42</v>
      </c>
      <c r="G6149">
        <v>-300.81380000000001</v>
      </c>
      <c r="H6149" s="1">
        <v>-2.1860369999999999E-6</v>
      </c>
      <c r="I6149">
        <v>-25.819880000000001</v>
      </c>
      <c r="J6149">
        <v>-301.67160000000001</v>
      </c>
      <c r="K6149">
        <v>1.1086290000000001</v>
      </c>
      <c r="L6149">
        <v>-11.55667</v>
      </c>
      <c r="M6149">
        <v>9.4148709999999997E-2</v>
      </c>
      <c r="N6149">
        <v>0</v>
      </c>
      <c r="O6149">
        <v>-0.9954634</v>
      </c>
      <c r="P6149">
        <v>2.522075E-2</v>
      </c>
      <c r="Q6149">
        <v>-4.3034849999999999E-2</v>
      </c>
      <c r="R6149">
        <v>-0.99875530000000001</v>
      </c>
      <c r="S6149">
        <v>0.1812744</v>
      </c>
      <c r="T6149">
        <v>-0.22826489999999999</v>
      </c>
      <c r="U6149">
        <v>-2.9890439999999998</v>
      </c>
      <c r="V6149">
        <v>6.8851419999999997E-2</v>
      </c>
      <c r="W6149">
        <v>-2.951438E-2</v>
      </c>
      <c r="X6149">
        <v>0.99719020000000003</v>
      </c>
      <c r="Y6149">
        <v>3.3892480000000003E-2</v>
      </c>
      <c r="Z6149">
        <v>7.5548459999999998E-2</v>
      </c>
      <c r="AA6149">
        <v>0.99656599999999995</v>
      </c>
      <c r="AB6149">
        <v>25</v>
      </c>
      <c r="AC6149">
        <v>0.85779999999999701</v>
      </c>
      <c r="AD6149">
        <v>-1.1086311860369999</v>
      </c>
      <c r="AE6149">
        <v>-14.2632099999999</v>
      </c>
      <c r="AF6149">
        <v>0.48607444122030402</v>
      </c>
      <c r="AG6149">
        <v>-1.1086311860369999</v>
      </c>
      <c r="AH6149">
        <v>14.1951613081104</v>
      </c>
      <c r="AI6149">
        <v>94.463086363467397</v>
      </c>
      <c r="AJ6149">
        <v>88.0388291445025</v>
      </c>
      <c r="AK6149">
        <v>14.2466815796639</v>
      </c>
      <c r="AL6149">
        <v>91.691295091781598</v>
      </c>
      <c r="AM6149">
        <v>86.050257158047799</v>
      </c>
      <c r="AN6149">
        <v>0.99999995581941903</v>
      </c>
    </row>
    <row r="6150" spans="1:40" x14ac:dyDescent="0.25">
      <c r="A6150" t="str">
        <f>"20190312154957447"</f>
        <v>20190312154957447</v>
      </c>
      <c r="B6150" t="str">
        <f>"1552376997442410"</f>
        <v>1552376997442410</v>
      </c>
      <c r="C6150" t="s">
        <v>40</v>
      </c>
      <c r="D6150">
        <v>5.3616929999999998</v>
      </c>
      <c r="E6150">
        <v>0.48758699999999999</v>
      </c>
      <c r="F6150" t="s">
        <v>41</v>
      </c>
      <c r="G6150">
        <v>-301.61700000000002</v>
      </c>
      <c r="H6150">
        <v>1.036273</v>
      </c>
      <c r="I6150">
        <v>-12.503069999999999</v>
      </c>
      <c r="J6150">
        <v>-301.6508</v>
      </c>
      <c r="K6150">
        <v>1.108622</v>
      </c>
      <c r="L6150">
        <v>-11.7948</v>
      </c>
      <c r="M6150">
        <v>9.2599029999999999E-2</v>
      </c>
      <c r="N6150">
        <v>0</v>
      </c>
      <c r="O6150">
        <v>-0.99560839999999995</v>
      </c>
      <c r="P6150">
        <v>2.3194869999999999E-2</v>
      </c>
      <c r="Q6150">
        <v>-4.3724659999999999E-2</v>
      </c>
      <c r="R6150">
        <v>-0.99877450000000001</v>
      </c>
      <c r="S6150">
        <v>0.17373659999999999</v>
      </c>
      <c r="T6150">
        <v>-0.22836600000000001</v>
      </c>
      <c r="U6150">
        <v>-2.9895019999999999</v>
      </c>
      <c r="V6150">
        <v>6.9315760000000004E-2</v>
      </c>
      <c r="W6150">
        <v>-3.0191679999999999E-2</v>
      </c>
      <c r="X6150">
        <v>0.99713779999999996</v>
      </c>
      <c r="Y6150">
        <v>3.4850099999999898E-2</v>
      </c>
      <c r="Z6150">
        <v>7.559109E-2</v>
      </c>
      <c r="AA6150">
        <v>0.99652969999999996</v>
      </c>
      <c r="AB6150">
        <v>25</v>
      </c>
      <c r="AC6150">
        <v>3.3799999999985099E-2</v>
      </c>
      <c r="AD6150">
        <v>-7.2348999999999997E-2</v>
      </c>
      <c r="AE6150">
        <v>-0.70826999999999796</v>
      </c>
      <c r="AF6150">
        <v>3.16075185108739E-2</v>
      </c>
      <c r="AG6150">
        <v>-7.2348999999999997E-2</v>
      </c>
      <c r="AH6150">
        <v>0.70105797364127997</v>
      </c>
      <c r="AI6150">
        <v>95.8861141622357</v>
      </c>
      <c r="AJ6150">
        <v>87.418541808186006</v>
      </c>
      <c r="AK6150">
        <v>0.70548968485260899</v>
      </c>
      <c r="AL6150">
        <v>91.730118749291606</v>
      </c>
      <c r="AM6150">
        <v>86.023496622947505</v>
      </c>
      <c r="AN6150">
        <v>1.00000000215722</v>
      </c>
    </row>
    <row r="6151" spans="1:40" x14ac:dyDescent="0.25">
      <c r="A6151" t="str">
        <f>"20190312154957469"</f>
        <v>20190312154957469</v>
      </c>
      <c r="B6151" t="str">
        <f>"1552376997461929"</f>
        <v>1552376997461929</v>
      </c>
      <c r="C6151" t="s">
        <v>40</v>
      </c>
      <c r="D6151">
        <v>5.0308970000000004</v>
      </c>
      <c r="E6151">
        <v>0.48736170000000001</v>
      </c>
      <c r="F6151" t="s">
        <v>41</v>
      </c>
      <c r="G6151">
        <v>-301.59789999999998</v>
      </c>
      <c r="H6151">
        <v>1.0370999999999999</v>
      </c>
      <c r="I6151">
        <v>-12.727830000000001</v>
      </c>
      <c r="J6151">
        <v>-301.62889999999999</v>
      </c>
      <c r="K6151">
        <v>1.1086119999999999</v>
      </c>
      <c r="L6151">
        <v>-12.052060000000001</v>
      </c>
      <c r="M6151">
        <v>9.0897839999999994E-2</v>
      </c>
      <c r="N6151">
        <v>0</v>
      </c>
      <c r="O6151">
        <v>-0.99576500000000001</v>
      </c>
      <c r="P6151">
        <v>2.0930009999999999E-2</v>
      </c>
      <c r="Q6151">
        <v>-4.4635080000000001E-2</v>
      </c>
      <c r="R6151">
        <v>-0.99878429999999996</v>
      </c>
      <c r="S6151">
        <v>0.16986080000000001</v>
      </c>
      <c r="T6151">
        <v>-0.2291666</v>
      </c>
      <c r="U6151">
        <v>-2.989716</v>
      </c>
      <c r="V6151">
        <v>6.9865319999999995E-2</v>
      </c>
      <c r="W6151">
        <v>-3.1091730000000001E-2</v>
      </c>
      <c r="X6151">
        <v>0.99707179999999995</v>
      </c>
      <c r="Y6151">
        <v>3.4435479999999997E-2</v>
      </c>
      <c r="Z6151">
        <v>7.5870450000000006E-2</v>
      </c>
      <c r="AA6151">
        <v>0.99652289999999999</v>
      </c>
      <c r="AB6151">
        <v>25</v>
      </c>
      <c r="AC6151">
        <v>3.1000000000005901E-2</v>
      </c>
      <c r="AD6151">
        <v>-7.15120000000002E-2</v>
      </c>
      <c r="AE6151">
        <v>-0.67576999999999998</v>
      </c>
      <c r="AF6151">
        <v>3.0222480448404698E-2</v>
      </c>
      <c r="AG6151">
        <v>-7.15120000000002E-2</v>
      </c>
      <c r="AH6151">
        <v>0.66832154573645897</v>
      </c>
      <c r="AI6151">
        <v>96.101358096401697</v>
      </c>
      <c r="AJ6151">
        <v>87.410764838774995</v>
      </c>
      <c r="AK6151">
        <v>0.67281576450319902</v>
      </c>
      <c r="AL6151">
        <v>91.781712018266902</v>
      </c>
      <c r="AM6151">
        <v>85.991807397844795</v>
      </c>
      <c r="AN6151">
        <v>1.00000001648416</v>
      </c>
    </row>
    <row r="6152" spans="1:40" x14ac:dyDescent="0.25">
      <c r="A6152" t="str">
        <f>"20190312154957494"</f>
        <v>20190312154957494</v>
      </c>
      <c r="B6152" t="str">
        <f>"1552376997482425"</f>
        <v>1552376997482425</v>
      </c>
      <c r="C6152" t="s">
        <v>40</v>
      </c>
      <c r="D6152">
        <v>5.036314</v>
      </c>
      <c r="E6152">
        <v>0.48702129999999999</v>
      </c>
      <c r="F6152" t="s">
        <v>41</v>
      </c>
      <c r="G6152">
        <v>-301.57940000000002</v>
      </c>
      <c r="H6152">
        <v>1.0398579999999999</v>
      </c>
      <c r="I6152">
        <v>-12.95332</v>
      </c>
      <c r="J6152">
        <v>-301.6069</v>
      </c>
      <c r="K6152">
        <v>1.1086020000000001</v>
      </c>
      <c r="L6152">
        <v>-12.31598</v>
      </c>
      <c r="M6152">
        <v>8.9115310000000003E-2</v>
      </c>
      <c r="N6152">
        <v>0</v>
      </c>
      <c r="O6152">
        <v>-0.99592590000000003</v>
      </c>
      <c r="P6152">
        <v>1.9202179999999999E-2</v>
      </c>
      <c r="Q6152">
        <v>-4.4659089999999999E-2</v>
      </c>
      <c r="R6152">
        <v>-0.99881799999999998</v>
      </c>
      <c r="S6152">
        <v>0.16473389999999999</v>
      </c>
      <c r="T6152">
        <v>-0.22795889999999999</v>
      </c>
      <c r="U6152">
        <v>-2.990021</v>
      </c>
      <c r="V6152">
        <v>6.9803710000000005E-2</v>
      </c>
      <c r="W6152">
        <v>-3.1104989999999999E-2</v>
      </c>
      <c r="X6152">
        <v>0.99707570000000001</v>
      </c>
      <c r="Y6152">
        <v>3.435411E-2</v>
      </c>
      <c r="Z6152">
        <v>7.548726E-2</v>
      </c>
      <c r="AA6152">
        <v>0.99655479999999996</v>
      </c>
      <c r="AB6152">
        <v>25</v>
      </c>
      <c r="AC6152">
        <v>2.7499999999974899E-2</v>
      </c>
      <c r="AD6152">
        <v>-6.8744000000000097E-2</v>
      </c>
      <c r="AE6152">
        <v>-0.63734000000000002</v>
      </c>
      <c r="AF6152">
        <v>2.90739680175988E-2</v>
      </c>
      <c r="AG6152">
        <v>-6.8744000000000097E-2</v>
      </c>
      <c r="AH6152">
        <v>0.62993957877815998</v>
      </c>
      <c r="AI6152">
        <v>96.221354370004093</v>
      </c>
      <c r="AJ6152">
        <v>87.357469807446904</v>
      </c>
      <c r="AK6152">
        <v>0.634346045990273</v>
      </c>
      <c r="AL6152">
        <v>91.782472130702004</v>
      </c>
      <c r="AM6152">
        <v>85.995346088135094</v>
      </c>
      <c r="AN6152">
        <v>1.00000001493157</v>
      </c>
    </row>
    <row r="6153" spans="1:40" x14ac:dyDescent="0.25">
      <c r="A6153" t="str">
        <f>"20190312154957546"</f>
        <v>20190312154957546</v>
      </c>
      <c r="B6153" t="str">
        <f>"1552376997541962"</f>
        <v>1552376997541962</v>
      </c>
      <c r="C6153" t="s">
        <v>40</v>
      </c>
      <c r="D6153">
        <v>5.0157999999999996</v>
      </c>
      <c r="E6153">
        <v>0.4868382</v>
      </c>
      <c r="F6153" t="s">
        <v>41</v>
      </c>
      <c r="G6153">
        <v>-301.56009999999998</v>
      </c>
      <c r="H6153">
        <v>1.0425819999999999</v>
      </c>
      <c r="I6153">
        <v>-13.17967</v>
      </c>
      <c r="J6153">
        <v>-301.55939999999998</v>
      </c>
      <c r="K6153">
        <v>1.1085320000000001</v>
      </c>
      <c r="L6153">
        <v>-12.90704</v>
      </c>
      <c r="M6153">
        <v>8.4929640000000001E-2</v>
      </c>
      <c r="N6153">
        <v>0</v>
      </c>
      <c r="O6153">
        <v>-0.99629100000000004</v>
      </c>
      <c r="P6153">
        <v>1.5628240000000002E-2</v>
      </c>
      <c r="Q6153">
        <v>-4.5258569999999998E-2</v>
      </c>
      <c r="R6153">
        <v>-0.99885330000000006</v>
      </c>
      <c r="S6153">
        <v>0.16241459999999999</v>
      </c>
      <c r="T6153">
        <v>-0.2284852</v>
      </c>
      <c r="U6153">
        <v>-2.9902039999999999</v>
      </c>
      <c r="V6153">
        <v>6.9172579999999997E-2</v>
      </c>
      <c r="W6153">
        <v>-3.1689050000000003E-2</v>
      </c>
      <c r="X6153">
        <v>0.99710129999999997</v>
      </c>
      <c r="Y6153">
        <v>3.092928E-2</v>
      </c>
      <c r="Z6153">
        <v>7.5703430000000002E-2</v>
      </c>
      <c r="AA6153">
        <v>0.99665060000000005</v>
      </c>
      <c r="AB6153">
        <v>25</v>
      </c>
      <c r="AC6153">
        <v>-6.9999999999481501E-4</v>
      </c>
      <c r="AD6153">
        <v>-6.5950000000000106E-2</v>
      </c>
      <c r="AE6153">
        <v>-0.27263000000000098</v>
      </c>
      <c r="AF6153">
        <v>2.2535358345201699E-2</v>
      </c>
      <c r="AG6153">
        <v>-6.5950000000000106E-2</v>
      </c>
      <c r="AH6153">
        <v>0.256571617955485</v>
      </c>
      <c r="AI6153">
        <v>104.36242575327</v>
      </c>
      <c r="AJ6153">
        <v>84.980442824803404</v>
      </c>
      <c r="AK6153">
        <v>0.26586883987417897</v>
      </c>
      <c r="AL6153">
        <v>91.815952796903602</v>
      </c>
      <c r="AM6153">
        <v>86.031539496358903</v>
      </c>
      <c r="AN6153">
        <v>1.0000000220877201</v>
      </c>
    </row>
    <row r="6154" spans="1:40" x14ac:dyDescent="0.25">
      <c r="A6154" t="str">
        <f>"20190312154957570"</f>
        <v>20190312154957570</v>
      </c>
      <c r="B6154" t="str">
        <f>"1552376997562459"</f>
        <v>1552376997562459</v>
      </c>
      <c r="C6154" t="s">
        <v>40</v>
      </c>
      <c r="D6154">
        <v>4.944585</v>
      </c>
      <c r="E6154">
        <v>0.50685360000000002</v>
      </c>
      <c r="F6154" t="s">
        <v>41</v>
      </c>
      <c r="G6154">
        <v>-301.51150000000001</v>
      </c>
      <c r="H6154">
        <v>1.036311</v>
      </c>
      <c r="I6154">
        <v>-13.84592</v>
      </c>
      <c r="J6154">
        <v>-301.5394</v>
      </c>
      <c r="K6154">
        <v>1.108482</v>
      </c>
      <c r="L6154">
        <v>-13.168699999999999</v>
      </c>
      <c r="M6154">
        <v>8.2958649999999995E-2</v>
      </c>
      <c r="N6154">
        <v>0</v>
      </c>
      <c r="O6154">
        <v>-0.99645720000000004</v>
      </c>
      <c r="P6154">
        <v>1.4034980000000001E-2</v>
      </c>
      <c r="Q6154">
        <v>-4.639393E-2</v>
      </c>
      <c r="R6154">
        <v>-0.99882530000000003</v>
      </c>
      <c r="S6154">
        <v>0.1532898</v>
      </c>
      <c r="T6154">
        <v>-0.22992180000000001</v>
      </c>
      <c r="U6154">
        <v>-2.990631</v>
      </c>
      <c r="V6154">
        <v>6.8779480000000004E-2</v>
      </c>
      <c r="W6154">
        <v>-3.282214E-2</v>
      </c>
      <c r="X6154">
        <v>0.99709179999999997</v>
      </c>
      <c r="Y6154">
        <v>3.1994059999999998E-2</v>
      </c>
      <c r="Z6154">
        <v>7.6189649999999998E-2</v>
      </c>
      <c r="AA6154">
        <v>0.99657989999999996</v>
      </c>
      <c r="AB6154">
        <v>25</v>
      </c>
      <c r="AC6154">
        <v>2.7899999999988202E-2</v>
      </c>
      <c r="AD6154">
        <v>-7.2170999999999902E-2</v>
      </c>
      <c r="AE6154">
        <v>-0.67722000000000104</v>
      </c>
      <c r="AF6154">
        <v>2.8064619007949598E-2</v>
      </c>
      <c r="AG6154">
        <v>-7.2170999999999902E-2</v>
      </c>
      <c r="AH6154">
        <v>0.66960804398883</v>
      </c>
      <c r="AI6154">
        <v>96.146292351259802</v>
      </c>
      <c r="AJ6154">
        <v>87.600023340392497</v>
      </c>
      <c r="AK6154">
        <v>0.67407062586616795</v>
      </c>
      <c r="AL6154">
        <v>91.880907945206104</v>
      </c>
      <c r="AM6154">
        <v>86.053982886920707</v>
      </c>
      <c r="AN6154">
        <v>0.99999998368524401</v>
      </c>
    </row>
    <row r="6155" spans="1:40" x14ac:dyDescent="0.25">
      <c r="A6155" t="str">
        <f>"20190312154957600"</f>
        <v>20190312154957600</v>
      </c>
      <c r="B6155" t="str">
        <f>"1552376997591738"</f>
        <v>1552376997591738</v>
      </c>
      <c r="C6155" t="s">
        <v>40</v>
      </c>
      <c r="D6155">
        <v>4.9217820000000003</v>
      </c>
      <c r="E6155">
        <v>0.50836970000000004</v>
      </c>
      <c r="F6155" t="s">
        <v>41</v>
      </c>
      <c r="G6155">
        <v>-301.5428</v>
      </c>
      <c r="H6155">
        <v>1.035954</v>
      </c>
      <c r="I6155">
        <v>-14.07244</v>
      </c>
      <c r="J6155">
        <v>-301.51409999999998</v>
      </c>
      <c r="K6155">
        <v>1.1084369999999999</v>
      </c>
      <c r="L6155">
        <v>-13.511049999999999</v>
      </c>
      <c r="M6155">
        <v>8.0284289999999994E-2</v>
      </c>
      <c r="N6155">
        <v>0</v>
      </c>
      <c r="O6155">
        <v>-0.99667620000000001</v>
      </c>
      <c r="P6155">
        <v>1.2144479999999999E-2</v>
      </c>
      <c r="Q6155">
        <v>-4.6525839999999999E-2</v>
      </c>
      <c r="R6155">
        <v>-0.99884360000000005</v>
      </c>
      <c r="S6155">
        <v>-1.107788E-2</v>
      </c>
      <c r="T6155">
        <v>-0.24008060000000001</v>
      </c>
      <c r="U6155">
        <v>-2.9925229999999998</v>
      </c>
      <c r="V6155">
        <v>6.7985840000000006E-2</v>
      </c>
      <c r="W6155">
        <v>-3.2950779999999999E-2</v>
      </c>
      <c r="X6155">
        <v>0.99714199999999997</v>
      </c>
      <c r="Y6155">
        <v>8.3969089999999996E-2</v>
      </c>
      <c r="Z6155">
        <v>7.9441479999999995E-2</v>
      </c>
      <c r="AA6155">
        <v>0.99329670000000003</v>
      </c>
      <c r="AB6155">
        <v>25</v>
      </c>
      <c r="AC6155">
        <v>-2.87000000000148E-2</v>
      </c>
      <c r="AD6155">
        <v>-7.2483000000000006E-2</v>
      </c>
      <c r="AE6155">
        <v>-0.56139000000000105</v>
      </c>
      <c r="AF6155">
        <v>7.2477372184895403E-2</v>
      </c>
      <c r="AG6155">
        <v>-7.2483000000000006E-2</v>
      </c>
      <c r="AH6155">
        <v>0.54815896609326697</v>
      </c>
      <c r="AI6155">
        <v>97.468261949283601</v>
      </c>
      <c r="AJ6155">
        <v>82.468062020617296</v>
      </c>
      <c r="AK6155">
        <v>0.557660297023437</v>
      </c>
      <c r="AL6155">
        <v>91.8882824358096</v>
      </c>
      <c r="AM6155">
        <v>86.099570003067697</v>
      </c>
      <c r="AN6155">
        <v>0.99999999825355601</v>
      </c>
    </row>
    <row r="6156" spans="1:40" x14ac:dyDescent="0.25">
      <c r="A6156" t="str">
        <f>"20190312154957645"</f>
        <v>20190312154957645</v>
      </c>
      <c r="B6156" t="str">
        <f>"1552376997641514"</f>
        <v>1552376997641514</v>
      </c>
      <c r="C6156" t="s">
        <v>40</v>
      </c>
      <c r="D6156">
        <v>4.9158559999999998</v>
      </c>
      <c r="E6156">
        <v>0.50857849999999905</v>
      </c>
      <c r="F6156" t="s">
        <v>41</v>
      </c>
      <c r="G6156">
        <v>-301.52210000000002</v>
      </c>
      <c r="H6156">
        <v>1.0468569999999999</v>
      </c>
      <c r="I6156">
        <v>-14.301360000000001</v>
      </c>
      <c r="J6156">
        <v>-301.4796</v>
      </c>
      <c r="K6156">
        <v>1.108374</v>
      </c>
      <c r="L6156">
        <v>-14.00314</v>
      </c>
      <c r="M6156">
        <v>7.6232999999999995E-2</v>
      </c>
      <c r="N6156">
        <v>0</v>
      </c>
      <c r="O6156">
        <v>-0.99699389999999999</v>
      </c>
      <c r="P6156">
        <v>8.6845380000000003E-3</v>
      </c>
      <c r="Q6156">
        <v>-4.5501E-2</v>
      </c>
      <c r="R6156">
        <v>-0.9989266</v>
      </c>
      <c r="S6156">
        <v>-2.8778080000000001E-2</v>
      </c>
      <c r="T6156">
        <v>-0.23291110000000001</v>
      </c>
      <c r="U6156">
        <v>-2.9929809999999999</v>
      </c>
      <c r="V6156">
        <v>6.7388820000000002E-2</v>
      </c>
      <c r="W6156">
        <v>-3.1924679999999997E-2</v>
      </c>
      <c r="X6156">
        <v>0.99721590000000004</v>
      </c>
      <c r="Y6156">
        <v>8.5794430000000005E-2</v>
      </c>
      <c r="Z6156">
        <v>7.7101290000000003E-2</v>
      </c>
      <c r="AA6156">
        <v>0.99332509999999996</v>
      </c>
      <c r="AB6156">
        <v>25</v>
      </c>
      <c r="AC6156">
        <v>-4.25000000000181E-2</v>
      </c>
      <c r="AD6156">
        <v>-6.1517000000000002E-2</v>
      </c>
      <c r="AE6156">
        <v>-0.29821999999999999</v>
      </c>
      <c r="AF6156">
        <v>6.2505898983274105E-2</v>
      </c>
      <c r="AG6156">
        <v>-6.1517000000000002E-2</v>
      </c>
      <c r="AH6156">
        <v>0.28233703524367298</v>
      </c>
      <c r="AI6156">
        <v>102.00972860860399</v>
      </c>
      <c r="AJ6156">
        <v>77.516774098656299</v>
      </c>
      <c r="AK6156">
        <v>0.29564426286822199</v>
      </c>
      <c r="AL6156">
        <v>91.829460285532903</v>
      </c>
      <c r="AM6156">
        <v>86.1340030714113</v>
      </c>
      <c r="AN6156">
        <v>0.99999999473345202</v>
      </c>
    </row>
    <row r="6157" spans="1:40" x14ac:dyDescent="0.25">
      <c r="A6157" t="str">
        <f>"20190312154957673"</f>
        <v>20190312154957673</v>
      </c>
      <c r="B6157" t="str">
        <f>"1552376997662009"</f>
        <v>1552376997662009</v>
      </c>
      <c r="C6157" t="s">
        <v>40</v>
      </c>
      <c r="D6157">
        <v>4.9255180000000003</v>
      </c>
      <c r="E6157">
        <v>0.50825089999999995</v>
      </c>
      <c r="F6157" t="s">
        <v>41</v>
      </c>
      <c r="G6157">
        <v>-301.49009999999998</v>
      </c>
      <c r="H6157">
        <v>1.0510269999999999</v>
      </c>
      <c r="I6157">
        <v>-14.74957</v>
      </c>
      <c r="J6157">
        <v>-301.459</v>
      </c>
      <c r="K6157">
        <v>1.1083459999999901</v>
      </c>
      <c r="L6157">
        <v>-14.313929999999999</v>
      </c>
      <c r="M6157">
        <v>7.355196E-2</v>
      </c>
      <c r="N6157">
        <v>0</v>
      </c>
      <c r="O6157">
        <v>-0.99719519999999995</v>
      </c>
      <c r="P6157">
        <v>5.3668780000000003E-3</v>
      </c>
      <c r="Q6157">
        <v>-4.4350609999999999E-2</v>
      </c>
      <c r="R6157">
        <v>-0.99900160000000005</v>
      </c>
      <c r="S6157">
        <v>-4.0801999999999998E-2</v>
      </c>
      <c r="T6157">
        <v>-0.229661</v>
      </c>
      <c r="U6157">
        <v>-2.9931030000000001</v>
      </c>
      <c r="V6157">
        <v>6.8023840000000002E-2</v>
      </c>
      <c r="W6157">
        <v>-3.0778030000000001E-2</v>
      </c>
      <c r="X6157">
        <v>0.99720880000000001</v>
      </c>
      <c r="Y6157">
        <v>8.7106009999999998E-2</v>
      </c>
      <c r="Z6157">
        <v>7.6045589999999996E-2</v>
      </c>
      <c r="AA6157">
        <v>0.99329230000000002</v>
      </c>
      <c r="AB6157">
        <v>25</v>
      </c>
      <c r="AC6157">
        <v>-3.1099999999980799E-2</v>
      </c>
      <c r="AD6157">
        <v>-5.7318999999999898E-2</v>
      </c>
      <c r="AE6157">
        <v>-0.43564000000000103</v>
      </c>
      <c r="AF6157">
        <v>6.1993224526494403E-2</v>
      </c>
      <c r="AG6157">
        <v>-5.7318999999999898E-2</v>
      </c>
      <c r="AH6157">
        <v>0.42485441548802899</v>
      </c>
      <c r="AI6157">
        <v>97.604065881284299</v>
      </c>
      <c r="AJ6157">
        <v>81.698195131876602</v>
      </c>
      <c r="AK6157">
        <v>0.433162673839595</v>
      </c>
      <c r="AL6157">
        <v>91.763729825173101</v>
      </c>
      <c r="AM6157">
        <v>86.097657247711297</v>
      </c>
      <c r="AN6157">
        <v>0.99999996036823202</v>
      </c>
    </row>
    <row r="6158" spans="1:40" x14ac:dyDescent="0.25">
      <c r="A6158" t="str">
        <f>"20190312154957695"</f>
        <v>20190312154957695</v>
      </c>
      <c r="B6158" t="str">
        <f>"1552376997682505"</f>
        <v>1552376997682505</v>
      </c>
      <c r="C6158" t="s">
        <v>40</v>
      </c>
      <c r="D6158">
        <v>4.8414400000000004</v>
      </c>
      <c r="E6158">
        <v>0.50817889999999999</v>
      </c>
      <c r="F6158" t="s">
        <v>41</v>
      </c>
      <c r="G6158">
        <v>-301.47320000000002</v>
      </c>
      <c r="H6158">
        <v>1.0411589999999999</v>
      </c>
      <c r="I6158">
        <v>-15.186400000000001</v>
      </c>
      <c r="J6158">
        <v>-301.44310000000002</v>
      </c>
      <c r="K6158">
        <v>1.108333</v>
      </c>
      <c r="L6158">
        <v>-14.564360000000001</v>
      </c>
      <c r="M6158">
        <v>7.1341699999999994E-2</v>
      </c>
      <c r="N6158">
        <v>0</v>
      </c>
      <c r="O6158">
        <v>-0.99735580000000001</v>
      </c>
      <c r="P6158">
        <v>2.464024E-3</v>
      </c>
      <c r="Q6158">
        <v>-4.2547769999999999E-2</v>
      </c>
      <c r="R6158">
        <v>-0.99909159999999997</v>
      </c>
      <c r="S6158">
        <v>-4.7851560000000001E-2</v>
      </c>
      <c r="T6158">
        <v>-0.2303375</v>
      </c>
      <c r="U6158">
        <v>-2.993042</v>
      </c>
      <c r="V6158">
        <v>6.8721000000000004E-2</v>
      </c>
      <c r="W6158">
        <v>-2.897887E-2</v>
      </c>
      <c r="X6158">
        <v>0.99721499999999996</v>
      </c>
      <c r="Y6158">
        <v>8.7237129999999996E-2</v>
      </c>
      <c r="Z6158">
        <v>7.6286489999999998E-2</v>
      </c>
      <c r="AA6158">
        <v>0.99326239999999999</v>
      </c>
      <c r="AB6158">
        <v>25</v>
      </c>
      <c r="AC6158">
        <v>-3.0100000000004401E-2</v>
      </c>
      <c r="AD6158">
        <v>-6.7173999999999998E-2</v>
      </c>
      <c r="AE6158">
        <v>-0.62204000000000004</v>
      </c>
      <c r="AF6158">
        <v>7.3549222245563803E-2</v>
      </c>
      <c r="AG6158">
        <v>-6.7173999999999998E-2</v>
      </c>
      <c r="AH6158">
        <v>0.61119610626188103</v>
      </c>
      <c r="AI6158">
        <v>96.227395724258002</v>
      </c>
      <c r="AJ6158">
        <v>83.138218972758295</v>
      </c>
      <c r="AK6158">
        <v>0.61925965045254805</v>
      </c>
      <c r="AL6158">
        <v>91.660599334160395</v>
      </c>
      <c r="AM6158">
        <v>86.057812974228497</v>
      </c>
      <c r="AN6158">
        <v>1.0000000534862299</v>
      </c>
    </row>
    <row r="6159" spans="1:40" x14ac:dyDescent="0.25">
      <c r="A6159" t="str">
        <f>"20190312154957736"</f>
        <v>20190312154957736</v>
      </c>
      <c r="B6159" t="str">
        <f>"1552376997732282"</f>
        <v>1552376997732282</v>
      </c>
      <c r="C6159" t="s">
        <v>40</v>
      </c>
      <c r="D6159">
        <v>4.862698</v>
      </c>
      <c r="E6159">
        <v>0.50824040000000004</v>
      </c>
      <c r="F6159" t="s">
        <v>41</v>
      </c>
      <c r="G6159">
        <v>-301.45890000000003</v>
      </c>
      <c r="H6159">
        <v>1.044864</v>
      </c>
      <c r="I6159">
        <v>-15.410220000000001</v>
      </c>
      <c r="J6159">
        <v>-301.41669999999999</v>
      </c>
      <c r="K6159">
        <v>1.1083050000000001</v>
      </c>
      <c r="L6159">
        <v>-15.001340000000001</v>
      </c>
      <c r="M6159">
        <v>6.7403130000000006E-2</v>
      </c>
      <c r="N6159">
        <v>0</v>
      </c>
      <c r="O6159">
        <v>-0.99762960000000001</v>
      </c>
      <c r="P6159" s="1">
        <v>-3.6026989999999998E-5</v>
      </c>
      <c r="Q6159">
        <v>-4.1425099999999999E-2</v>
      </c>
      <c r="R6159">
        <v>-0.99914190000000003</v>
      </c>
      <c r="S6159">
        <v>-5.5786130000000003E-2</v>
      </c>
      <c r="T6159">
        <v>-0.2245972</v>
      </c>
      <c r="U6159">
        <v>-2.9933169999999998</v>
      </c>
      <c r="V6159">
        <v>6.7284380000000005E-2</v>
      </c>
      <c r="W6159">
        <v>-2.785089E-2</v>
      </c>
      <c r="X6159">
        <v>0.99734500000000004</v>
      </c>
      <c r="Y6159">
        <v>8.5937050000000001E-2</v>
      </c>
      <c r="Z6159">
        <v>7.4422569999999993E-2</v>
      </c>
      <c r="AA6159">
        <v>0.99351699999999998</v>
      </c>
      <c r="AB6159">
        <v>25</v>
      </c>
      <c r="AC6159">
        <v>-4.2200000000036597E-2</v>
      </c>
      <c r="AD6159">
        <v>-6.3440999999999803E-2</v>
      </c>
      <c r="AE6159">
        <v>-0.40888000000000102</v>
      </c>
      <c r="AF6159">
        <v>6.8045585116253804E-2</v>
      </c>
      <c r="AG6159">
        <v>-6.3440999999999803E-2</v>
      </c>
      <c r="AH6159">
        <v>0.395680065391525</v>
      </c>
      <c r="AI6159">
        <v>98.979323600282896</v>
      </c>
      <c r="AJ6159">
        <v>80.242220114334899</v>
      </c>
      <c r="AK6159">
        <v>0.40646977290206299</v>
      </c>
      <c r="AL6159">
        <v>91.595944892404702</v>
      </c>
      <c r="AM6159">
        <v>86.140474658188197</v>
      </c>
      <c r="AN6159">
        <v>0.99999995444538703</v>
      </c>
    </row>
    <row r="6160" spans="1:40" x14ac:dyDescent="0.25">
      <c r="A6160" t="str">
        <f>"20190312154957780"</f>
        <v>20190312154957780</v>
      </c>
      <c r="B6160" t="str">
        <f>"1552376997772297"</f>
        <v>1552376997772297</v>
      </c>
      <c r="C6160" t="s">
        <v>40</v>
      </c>
      <c r="D6160">
        <v>4.8452989999999998</v>
      </c>
      <c r="E6160">
        <v>0.50826850000000001</v>
      </c>
      <c r="F6160" t="s">
        <v>41</v>
      </c>
      <c r="G6160">
        <v>-301.435</v>
      </c>
      <c r="H6160">
        <v>1.0474950000000001</v>
      </c>
      <c r="I6160">
        <v>-15.854990000000001</v>
      </c>
      <c r="J6160">
        <v>-301.38929999999999</v>
      </c>
      <c r="K6160">
        <v>1.108276</v>
      </c>
      <c r="L6160">
        <v>-15.48996</v>
      </c>
      <c r="M6160">
        <v>6.2919530000000001E-2</v>
      </c>
      <c r="N6160">
        <v>0</v>
      </c>
      <c r="O6160">
        <v>-0.99792230000000004</v>
      </c>
      <c r="P6160">
        <v>-2.6965600000000001E-4</v>
      </c>
      <c r="Q6160">
        <v>-4.3869810000000002E-2</v>
      </c>
      <c r="R6160">
        <v>-0.99903739999999996</v>
      </c>
      <c r="S6160">
        <v>-6.3659670000000002E-2</v>
      </c>
      <c r="T6160">
        <v>-0.21315129999999999</v>
      </c>
      <c r="U6160">
        <v>-2.993744</v>
      </c>
      <c r="V6160">
        <v>6.3020499999999993E-2</v>
      </c>
      <c r="W6160">
        <v>-3.0277479999999999E-2</v>
      </c>
      <c r="X6160">
        <v>0.99755289999999996</v>
      </c>
      <c r="Y6160">
        <v>8.4075109999999995E-2</v>
      </c>
      <c r="Z6160">
        <v>7.0674420000000002E-2</v>
      </c>
      <c r="AA6160">
        <v>0.99394990000000005</v>
      </c>
      <c r="AB6160">
        <v>25</v>
      </c>
      <c r="AC6160">
        <v>-4.5700000000010697E-2</v>
      </c>
      <c r="AD6160">
        <v>-6.0780999999999898E-2</v>
      </c>
      <c r="AE6160">
        <v>-0.36502999999999902</v>
      </c>
      <c r="AF6160">
        <v>6.6756855227162196E-2</v>
      </c>
      <c r="AG6160">
        <v>-6.0780999999999898E-2</v>
      </c>
      <c r="AH6160">
        <v>0.35182686726322998</v>
      </c>
      <c r="AI6160">
        <v>99.633005129458795</v>
      </c>
      <c r="AJ6160">
        <v>79.256218829347702</v>
      </c>
      <c r="AK6160">
        <v>0.363225759286258</v>
      </c>
      <c r="AL6160">
        <v>91.735036894750493</v>
      </c>
      <c r="AM6160">
        <v>86.385137617710001</v>
      </c>
      <c r="AN6160">
        <v>1.0000000487569001</v>
      </c>
    </row>
    <row r="6161" spans="1:40" x14ac:dyDescent="0.25">
      <c r="A6161" t="str">
        <f>"20190312154957809"</f>
        <v>20190312154957809</v>
      </c>
      <c r="B6161" t="str">
        <f>"1552376997801578"</f>
        <v>1552376997801578</v>
      </c>
      <c r="C6161" t="s">
        <v>40</v>
      </c>
      <c r="D6161">
        <v>4.8311539999999997</v>
      </c>
      <c r="E6161">
        <v>0.50831599999999999</v>
      </c>
      <c r="F6161" t="s">
        <v>41</v>
      </c>
      <c r="G6161">
        <v>-301.40699999999998</v>
      </c>
      <c r="H6161">
        <v>1.049769</v>
      </c>
      <c r="I6161">
        <v>-16.297799999999999</v>
      </c>
      <c r="J6161">
        <v>-301.37220000000002</v>
      </c>
      <c r="K6161">
        <v>1.1082689999999999</v>
      </c>
      <c r="L6161">
        <v>-15.82001</v>
      </c>
      <c r="M6161">
        <v>5.9870979999999997E-2</v>
      </c>
      <c r="N6161">
        <v>0</v>
      </c>
      <c r="O6161">
        <v>-0.99811000000000005</v>
      </c>
      <c r="P6161">
        <v>-2.084271E-3</v>
      </c>
      <c r="Q6161">
        <v>-4.4712450000000001E-2</v>
      </c>
      <c r="R6161">
        <v>-0.99899800000000005</v>
      </c>
      <c r="S6161">
        <v>-6.4483639999999995E-2</v>
      </c>
      <c r="T6161">
        <v>-0.21655940000000001</v>
      </c>
      <c r="U6161">
        <v>-2.9933779999999999</v>
      </c>
      <c r="V6161">
        <v>6.1780450000000001E-2</v>
      </c>
      <c r="W6161">
        <v>-3.1114550000000001E-2</v>
      </c>
      <c r="X6161">
        <v>0.99760470000000001</v>
      </c>
      <c r="Y6161">
        <v>8.1305299999999997E-2</v>
      </c>
      <c r="Z6161">
        <v>7.1835709999999997E-2</v>
      </c>
      <c r="AA6161">
        <v>0.99409709999999996</v>
      </c>
      <c r="AB6161">
        <v>25</v>
      </c>
      <c r="AC6161">
        <v>-3.4799999999961501E-2</v>
      </c>
      <c r="AD6161">
        <v>-5.8500000000000003E-2</v>
      </c>
      <c r="AE6161">
        <v>-0.47778999999999799</v>
      </c>
      <c r="AF6161">
        <v>6.2415316152060897E-2</v>
      </c>
      <c r="AG6161">
        <v>-5.8500000000000003E-2</v>
      </c>
      <c r="AH6161">
        <v>0.46787205863708098</v>
      </c>
      <c r="AI6161">
        <v>97.064997551665499</v>
      </c>
      <c r="AJ6161">
        <v>82.401461264200904</v>
      </c>
      <c r="AK6161">
        <v>0.47562820032422498</v>
      </c>
      <c r="AL6161">
        <v>91.783020101841998</v>
      </c>
      <c r="AM6161">
        <v>86.456267469744603</v>
      </c>
      <c r="AN6161">
        <v>1.0000000383429899</v>
      </c>
    </row>
    <row r="6162" spans="1:40" x14ac:dyDescent="0.25">
      <c r="A6162" t="str">
        <f>"20190312154957831"</f>
        <v>20190312154957831</v>
      </c>
      <c r="B6162" t="str">
        <f>"1552376997822073"</f>
        <v>1552376997822073</v>
      </c>
      <c r="C6162" t="s">
        <v>40</v>
      </c>
      <c r="D6162">
        <v>4.8217800000000004</v>
      </c>
      <c r="E6162">
        <v>0.50826579999999999</v>
      </c>
      <c r="F6162" t="s">
        <v>41</v>
      </c>
      <c r="G6162">
        <v>-301.39389999999997</v>
      </c>
      <c r="H6162">
        <v>1.0422800000000001</v>
      </c>
      <c r="I6162">
        <v>-16.732569999999999</v>
      </c>
      <c r="J6162">
        <v>-301.36020000000002</v>
      </c>
      <c r="K6162">
        <v>1.108274</v>
      </c>
      <c r="L6162">
        <v>-16.062470000000001</v>
      </c>
      <c r="M6162">
        <v>5.7629329999999999E-2</v>
      </c>
      <c r="N6162">
        <v>0</v>
      </c>
      <c r="O6162">
        <v>-0.99824210000000002</v>
      </c>
      <c r="P6162">
        <v>-4.5045440000000001E-3</v>
      </c>
      <c r="Q6162">
        <v>-4.471137E-2</v>
      </c>
      <c r="R6162">
        <v>-0.99899020000000005</v>
      </c>
      <c r="S6162">
        <v>-7.0373539999999998E-2</v>
      </c>
      <c r="T6162">
        <v>-0.21624760000000001</v>
      </c>
      <c r="U6162">
        <v>-2.9931950000000001</v>
      </c>
      <c r="V6162">
        <v>6.1957230000000002E-2</v>
      </c>
      <c r="W6162">
        <v>-3.111388E-2</v>
      </c>
      <c r="X6162">
        <v>0.99759370000000003</v>
      </c>
      <c r="Y6162">
        <v>8.1023629999999999E-2</v>
      </c>
      <c r="Z6162">
        <v>7.1750670000000003E-2</v>
      </c>
      <c r="AA6162">
        <v>0.99412630000000002</v>
      </c>
      <c r="AB6162">
        <v>25</v>
      </c>
      <c r="AC6162">
        <v>-3.3699999999953399E-2</v>
      </c>
      <c r="AD6162">
        <v>-6.5994000000000094E-2</v>
      </c>
      <c r="AE6162">
        <v>-0.67010000000000103</v>
      </c>
      <c r="AF6162">
        <v>7.1572658801009201E-2</v>
      </c>
      <c r="AG6162">
        <v>-6.5994000000000094E-2</v>
      </c>
      <c r="AH6162">
        <v>0.66065227764726397</v>
      </c>
      <c r="AI6162">
        <v>95.671509666311806</v>
      </c>
      <c r="AJ6162">
        <v>83.816898789231701</v>
      </c>
      <c r="AK6162">
        <v>0.66778685632794799</v>
      </c>
      <c r="AL6162">
        <v>91.782981797209999</v>
      </c>
      <c r="AM6162">
        <v>86.446114216719593</v>
      </c>
      <c r="AN6162">
        <v>0.99999998107880805</v>
      </c>
    </row>
    <row r="6163" spans="1:40" x14ac:dyDescent="0.25">
      <c r="A6163" t="str">
        <f>"20190312154957851"</f>
        <v>20190312154957851</v>
      </c>
      <c r="B6163" t="str">
        <f>"1552376997841593"</f>
        <v>1552376997841593</v>
      </c>
      <c r="C6163" t="s">
        <v>40</v>
      </c>
      <c r="D6163">
        <v>4.8188700000000004</v>
      </c>
      <c r="E6163">
        <v>0.50813169999999996</v>
      </c>
      <c r="F6163" t="s">
        <v>41</v>
      </c>
      <c r="G6163">
        <v>-301.38339999999999</v>
      </c>
      <c r="H6163">
        <v>1.0441469999999999</v>
      </c>
      <c r="I6163">
        <v>-16.95337</v>
      </c>
      <c r="J6163">
        <v>-301.34980000000002</v>
      </c>
      <c r="K6163">
        <v>1.108277</v>
      </c>
      <c r="L6163">
        <v>-16.283660000000001</v>
      </c>
      <c r="M6163">
        <v>5.558664E-2</v>
      </c>
      <c r="N6163">
        <v>0</v>
      </c>
      <c r="O6163">
        <v>-0.99835759999999996</v>
      </c>
      <c r="P6163">
        <v>-7.2717140000000003E-3</v>
      </c>
      <c r="Q6163">
        <v>-4.4960060000000003E-2</v>
      </c>
      <c r="R6163">
        <v>-0.99896240000000003</v>
      </c>
      <c r="S6163">
        <v>-7.7056879999999994E-2</v>
      </c>
      <c r="T6163">
        <v>-0.21527979999999999</v>
      </c>
      <c r="U6163">
        <v>-2.993042</v>
      </c>
      <c r="V6163">
        <v>6.2677819999999995E-2</v>
      </c>
      <c r="W6163">
        <v>-3.1365709999999998E-2</v>
      </c>
      <c r="X6163">
        <v>0.99754080000000001</v>
      </c>
      <c r="Y6163">
        <v>8.1204490000000004E-2</v>
      </c>
      <c r="Z6163">
        <v>7.1444809999999997E-2</v>
      </c>
      <c r="AA6163">
        <v>0.9941335</v>
      </c>
      <c r="AB6163">
        <v>25</v>
      </c>
      <c r="AC6163">
        <v>-3.3599999999978501E-2</v>
      </c>
      <c r="AD6163">
        <v>-6.4130000000000006E-2</v>
      </c>
      <c r="AE6163">
        <v>-0.66970999999999803</v>
      </c>
      <c r="AF6163">
        <v>7.0137035564110203E-2</v>
      </c>
      <c r="AG6163">
        <v>-6.4130000000000006E-2</v>
      </c>
      <c r="AH6163">
        <v>0.66076275293933595</v>
      </c>
      <c r="AI6163">
        <v>95.512675228500996</v>
      </c>
      <c r="AJ6163">
        <v>83.940994523289604</v>
      </c>
      <c r="AK6163">
        <v>0.66756218911026599</v>
      </c>
      <c r="AL6163">
        <v>91.797417637394702</v>
      </c>
      <c r="AM6163">
        <v>86.404698585921096</v>
      </c>
      <c r="AN6163">
        <v>0.99999998227419795</v>
      </c>
    </row>
    <row r="6164" spans="1:40" x14ac:dyDescent="0.25">
      <c r="A6164" t="str">
        <f>"20190312154957890"</f>
        <v>20190312154957890</v>
      </c>
      <c r="B6164" t="str">
        <f>"1552376997881609"</f>
        <v>1552376997881609</v>
      </c>
      <c r="C6164" t="s">
        <v>40</v>
      </c>
      <c r="D6164">
        <v>4.879899</v>
      </c>
      <c r="E6164">
        <v>0.50795829999999997</v>
      </c>
      <c r="F6164" t="s">
        <v>41</v>
      </c>
      <c r="G6164">
        <v>-301.37509999999997</v>
      </c>
      <c r="H6164">
        <v>1.0438719999999999</v>
      </c>
      <c r="I6164">
        <v>-17.172699999999999</v>
      </c>
      <c r="J6164">
        <v>-301.33109999999999</v>
      </c>
      <c r="K6164">
        <v>1.1083050000000001</v>
      </c>
      <c r="L6164">
        <v>-16.707609999999999</v>
      </c>
      <c r="M6164">
        <v>5.1678300000000003E-2</v>
      </c>
      <c r="N6164">
        <v>0</v>
      </c>
      <c r="O6164">
        <v>-0.99856750000000005</v>
      </c>
      <c r="P6164">
        <v>-1.337093E-2</v>
      </c>
      <c r="Q6164">
        <v>-4.393855E-2</v>
      </c>
      <c r="R6164">
        <v>-0.99894490000000002</v>
      </c>
      <c r="S6164">
        <v>-8.4716799999999995E-2</v>
      </c>
      <c r="T6164">
        <v>-0.2167444</v>
      </c>
      <c r="U6164">
        <v>-2.992737</v>
      </c>
      <c r="V6164">
        <v>6.4869529999999995E-2</v>
      </c>
      <c r="W6164">
        <v>-3.0353450000000001E-2</v>
      </c>
      <c r="X6164">
        <v>0.99743199999999999</v>
      </c>
      <c r="Y6164">
        <v>7.9847230000000005E-2</v>
      </c>
      <c r="Z6164">
        <v>7.1959850000000006E-2</v>
      </c>
      <c r="AA6164">
        <v>0.99420629999999999</v>
      </c>
      <c r="AB6164">
        <v>25</v>
      </c>
      <c r="AC6164">
        <v>-4.3999999999982699E-2</v>
      </c>
      <c r="AD6164">
        <v>-6.4432999999999893E-2</v>
      </c>
      <c r="AE6164">
        <v>-0.465089999999999</v>
      </c>
      <c r="AF6164">
        <v>6.6709568525161203E-2</v>
      </c>
      <c r="AG6164">
        <v>-6.4432999999999893E-2</v>
      </c>
      <c r="AH6164">
        <v>0.45356628405969301</v>
      </c>
      <c r="AI6164">
        <v>98.000324321862493</v>
      </c>
      <c r="AJ6164">
        <v>81.633045009617504</v>
      </c>
      <c r="AK6164">
        <v>0.46295156556332301</v>
      </c>
      <c r="AL6164">
        <v>91.739391756522394</v>
      </c>
      <c r="AM6164">
        <v>86.278921032832798</v>
      </c>
      <c r="AN6164">
        <v>0.99999999123666095</v>
      </c>
    </row>
    <row r="6165" spans="1:40" x14ac:dyDescent="0.25">
      <c r="A6165" t="str">
        <f>"20190312154957917"</f>
        <v>20190312154957917</v>
      </c>
      <c r="B6165" t="str">
        <f>"1552376997911865"</f>
        <v>1552376997911865</v>
      </c>
      <c r="C6165" t="s">
        <v>40</v>
      </c>
      <c r="D6165">
        <v>4.8020680000000002</v>
      </c>
      <c r="E6165">
        <v>0.50783409999999995</v>
      </c>
      <c r="F6165" t="s">
        <v>41</v>
      </c>
      <c r="G6165">
        <v>-301.36189999999999</v>
      </c>
      <c r="H6165">
        <v>1.0433030000000001</v>
      </c>
      <c r="I6165">
        <v>-17.610869999999998</v>
      </c>
      <c r="J6165">
        <v>-301.31849999999997</v>
      </c>
      <c r="K6165">
        <v>1.108317</v>
      </c>
      <c r="L6165">
        <v>-17.016200000000001</v>
      </c>
      <c r="M6165">
        <v>4.8839809999999997E-2</v>
      </c>
      <c r="N6165">
        <v>0</v>
      </c>
      <c r="O6165">
        <v>-0.9987104</v>
      </c>
      <c r="P6165">
        <v>-1.6694420000000001E-2</v>
      </c>
      <c r="Q6165">
        <v>-4.270852E-2</v>
      </c>
      <c r="R6165">
        <v>-0.99894810000000001</v>
      </c>
      <c r="S6165">
        <v>-0.101532</v>
      </c>
      <c r="T6165">
        <v>-0.2151921</v>
      </c>
      <c r="U6165">
        <v>-2.99234</v>
      </c>
      <c r="V6165">
        <v>6.5360550000000003E-2</v>
      </c>
      <c r="W6165">
        <v>-2.9125249999999998E-2</v>
      </c>
      <c r="X6165">
        <v>0.99743660000000001</v>
      </c>
      <c r="Y6165">
        <v>8.2600060000000003E-2</v>
      </c>
      <c r="Z6165">
        <v>7.1457640000000003E-2</v>
      </c>
      <c r="AA6165">
        <v>0.99401759999999995</v>
      </c>
      <c r="AB6165">
        <v>24</v>
      </c>
      <c r="AC6165">
        <v>-4.3400000000019603E-2</v>
      </c>
      <c r="AD6165">
        <v>-6.5013999999999905E-2</v>
      </c>
      <c r="AE6165">
        <v>-0.59467000000000003</v>
      </c>
      <c r="AF6165">
        <v>7.1543954624714898E-2</v>
      </c>
      <c r="AG6165">
        <v>-6.5013999999999905E-2</v>
      </c>
      <c r="AH6165">
        <v>0.58488648249072195</v>
      </c>
      <c r="AI6165">
        <v>96.296219493443004</v>
      </c>
      <c r="AJ6165">
        <v>83.026161747031097</v>
      </c>
      <c r="AK6165">
        <v>0.59282168907666799</v>
      </c>
      <c r="AL6165">
        <v>91.668989876854596</v>
      </c>
      <c r="AM6165">
        <v>86.250852166581396</v>
      </c>
      <c r="AN6165">
        <v>1.0000000263517099</v>
      </c>
    </row>
    <row r="6166" spans="1:40" x14ac:dyDescent="0.25">
      <c r="A6166" t="str">
        <f>"20190312154957944"</f>
        <v>20190312154957944</v>
      </c>
      <c r="B6166" t="str">
        <f>"1552376997932362"</f>
        <v>1552376997932362</v>
      </c>
      <c r="C6166" t="s">
        <v>40</v>
      </c>
      <c r="D6166">
        <v>4.7844069999999999</v>
      </c>
      <c r="E6166">
        <v>0.50771769999999905</v>
      </c>
      <c r="F6166" t="s">
        <v>41</v>
      </c>
      <c r="G6166">
        <v>-301.34890000000001</v>
      </c>
      <c r="H6166">
        <v>1.0504180000000001</v>
      </c>
      <c r="I6166">
        <v>-17.83549</v>
      </c>
      <c r="J6166">
        <v>-301.3075</v>
      </c>
      <c r="K6166">
        <v>1.1083320000000001</v>
      </c>
      <c r="L6166">
        <v>-17.303159999999998</v>
      </c>
      <c r="M6166">
        <v>4.6203290000000001E-2</v>
      </c>
      <c r="N6166">
        <v>0</v>
      </c>
      <c r="O6166">
        <v>-0.99883580000000005</v>
      </c>
      <c r="P6166">
        <v>-1.9036279999999999E-2</v>
      </c>
      <c r="Q6166">
        <v>-4.2063370000000003E-2</v>
      </c>
      <c r="R6166">
        <v>-0.99893370000000004</v>
      </c>
      <c r="S6166">
        <v>-0.1104126</v>
      </c>
      <c r="T6166">
        <v>-0.2113043</v>
      </c>
      <c r="U6166">
        <v>-2.9922789999999999</v>
      </c>
      <c r="V6166">
        <v>6.5070199999999995E-2</v>
      </c>
      <c r="W6166">
        <v>-2.847906E-2</v>
      </c>
      <c r="X6166">
        <v>0.99747419999999998</v>
      </c>
      <c r="Y6166">
        <v>8.2919759999999995E-2</v>
      </c>
      <c r="Z6166">
        <v>7.0183170000000003E-2</v>
      </c>
      <c r="AA6166">
        <v>0.99408180000000002</v>
      </c>
      <c r="AB6166">
        <v>24</v>
      </c>
      <c r="AC6166">
        <v>-4.1400000000009998E-2</v>
      </c>
      <c r="AD6166">
        <v>-5.7913999999999799E-2</v>
      </c>
      <c r="AE6166">
        <v>-0.53232999999999797</v>
      </c>
      <c r="AF6166">
        <v>6.5186630350194494E-2</v>
      </c>
      <c r="AG6166">
        <v>-5.7913999999999799E-2</v>
      </c>
      <c r="AH6166">
        <v>0.52368729059881702</v>
      </c>
      <c r="AI6166">
        <v>96.262691123516205</v>
      </c>
      <c r="AJ6166">
        <v>82.904532519737899</v>
      </c>
      <c r="AK6166">
        <v>0.53089707713185097</v>
      </c>
      <c r="AL6166">
        <v>91.631950620567295</v>
      </c>
      <c r="AM6166">
        <v>86.267600054771194</v>
      </c>
      <c r="AN6166">
        <v>0.99999998372608101</v>
      </c>
    </row>
    <row r="6167" spans="1:40" x14ac:dyDescent="0.25">
      <c r="A6167" t="str">
        <f>"20190312154957965"</f>
        <v>20190312154957965</v>
      </c>
      <c r="B6167" t="str">
        <f>"1552376997961642"</f>
        <v>1552376997961642</v>
      </c>
      <c r="C6167" t="s">
        <v>40</v>
      </c>
      <c r="D6167">
        <v>4.8516339999999998</v>
      </c>
      <c r="E6167">
        <v>0.5075769</v>
      </c>
      <c r="F6167" t="s">
        <v>42</v>
      </c>
      <c r="G6167">
        <v>-301.92180000000002</v>
      </c>
      <c r="H6167" s="1">
        <v>-3.6548499999999998E-6</v>
      </c>
      <c r="I6167">
        <v>-33.083309999999997</v>
      </c>
      <c r="J6167">
        <v>-301.29930000000002</v>
      </c>
      <c r="K6167">
        <v>1.108339</v>
      </c>
      <c r="L6167">
        <v>-17.53351</v>
      </c>
      <c r="M6167">
        <v>4.408786E-2</v>
      </c>
      <c r="N6167">
        <v>0</v>
      </c>
      <c r="O6167">
        <v>-0.99893180000000004</v>
      </c>
      <c r="P6167">
        <v>-2.0070790000000002E-2</v>
      </c>
      <c r="Q6167">
        <v>-4.2017730000000003E-2</v>
      </c>
      <c r="R6167">
        <v>-0.99891549999999996</v>
      </c>
      <c r="S6167">
        <v>-0.11648559999999999</v>
      </c>
      <c r="T6167">
        <v>-0.21015519999999999</v>
      </c>
      <c r="U6167">
        <v>-2.9921259999999998</v>
      </c>
      <c r="V6167">
        <v>6.3991889999999996E-2</v>
      </c>
      <c r="W6167">
        <v>-2.8429280000000001E-2</v>
      </c>
      <c r="X6167">
        <v>0.99754540000000003</v>
      </c>
      <c r="Y6167">
        <v>8.2826919999999998E-2</v>
      </c>
      <c r="Z6167">
        <v>6.9814570000000006E-2</v>
      </c>
      <c r="AA6167">
        <v>0.99411550000000004</v>
      </c>
      <c r="AB6167">
        <v>24</v>
      </c>
      <c r="AC6167">
        <v>-0.62250000000000205</v>
      </c>
      <c r="AD6167">
        <v>-1.1083426548499999</v>
      </c>
      <c r="AE6167">
        <v>-15.5497999999999</v>
      </c>
      <c r="AF6167">
        <v>1.3009190417569501</v>
      </c>
      <c r="AG6167">
        <v>-1.1083426548499999</v>
      </c>
      <c r="AH6167">
        <v>15.428970028736501</v>
      </c>
      <c r="AI6167">
        <v>94.094315715380901</v>
      </c>
      <c r="AJ6167">
        <v>85.180411624519806</v>
      </c>
      <c r="AK6167">
        <v>15.523335013502001</v>
      </c>
      <c r="AL6167">
        <v>91.629097245805895</v>
      </c>
      <c r="AM6167">
        <v>86.329542231114601</v>
      </c>
      <c r="AN6167">
        <v>1.00000000550412</v>
      </c>
    </row>
    <row r="6168" spans="1:40" x14ac:dyDescent="0.25">
      <c r="A6168" t="str">
        <f>"20190312154957987"</f>
        <v>20190312154957987</v>
      </c>
      <c r="B6168" t="str">
        <f>"1552376997972378"</f>
        <v>1552376997972378</v>
      </c>
      <c r="C6168" t="s">
        <v>40</v>
      </c>
      <c r="D6168">
        <v>4.8355790000000001</v>
      </c>
      <c r="E6168">
        <v>0.50743969999999905</v>
      </c>
      <c r="F6168" t="s">
        <v>41</v>
      </c>
      <c r="G6168">
        <v>-301.33699999999999</v>
      </c>
      <c r="H6168">
        <v>1.0418590000000001</v>
      </c>
      <c r="I6168">
        <v>-18.48376</v>
      </c>
      <c r="J6168">
        <v>-301.29160000000002</v>
      </c>
      <c r="K6168">
        <v>1.1083459999999901</v>
      </c>
      <c r="L6168">
        <v>-17.76276</v>
      </c>
      <c r="M6168">
        <v>4.1982609999999997E-2</v>
      </c>
      <c r="N6168">
        <v>0</v>
      </c>
      <c r="O6168">
        <v>-0.99902250000000004</v>
      </c>
      <c r="P6168">
        <v>-2.1818850000000001E-2</v>
      </c>
      <c r="Q6168">
        <v>-4.1945469999999999E-2</v>
      </c>
      <c r="R6168">
        <v>-0.99888200000000005</v>
      </c>
      <c r="S6168">
        <v>-0.1183777</v>
      </c>
      <c r="T6168">
        <v>-0.2092744</v>
      </c>
      <c r="U6168">
        <v>-2.9920650000000002</v>
      </c>
      <c r="V6168">
        <v>6.3636250000000005E-2</v>
      </c>
      <c r="W6168">
        <v>-2.8356349999999999E-2</v>
      </c>
      <c r="X6168">
        <v>0.99757019999999996</v>
      </c>
      <c r="Y6168">
        <v>8.1355940000000002E-2</v>
      </c>
      <c r="Z6168">
        <v>6.9537650000000006E-2</v>
      </c>
      <c r="AA6168">
        <v>0.99425640000000004</v>
      </c>
      <c r="AB6168">
        <v>24</v>
      </c>
      <c r="AC6168">
        <v>-4.5399999999972303E-2</v>
      </c>
      <c r="AD6168">
        <v>-6.6486999999999699E-2</v>
      </c>
      <c r="AE6168">
        <v>-0.72099999999999997</v>
      </c>
      <c r="AF6168">
        <v>7.4997098793503497E-2</v>
      </c>
      <c r="AG6168">
        <v>-6.6486999999999699E-2</v>
      </c>
      <c r="AH6168">
        <v>0.712423766651198</v>
      </c>
      <c r="AI6168">
        <v>95.302557962447196</v>
      </c>
      <c r="AJ6168">
        <v>83.990586518848303</v>
      </c>
      <c r="AK6168">
        <v>0.71943916301930899</v>
      </c>
      <c r="AL6168">
        <v>91.624917021729502</v>
      </c>
      <c r="AM6168">
        <v>86.349976287624003</v>
      </c>
      <c r="AN6168">
        <v>0.99999997941371199</v>
      </c>
    </row>
    <row r="6169" spans="1:40" x14ac:dyDescent="0.25">
      <c r="A6169" t="str">
        <f>"20190312154958209"</f>
        <v>20190312154958209</v>
      </c>
      <c r="B6169" t="str">
        <f>"1552376998201737"</f>
        <v>1552376998201737</v>
      </c>
      <c r="C6169" t="s">
        <v>40</v>
      </c>
      <c r="D6169">
        <v>4.8233750000000004</v>
      </c>
      <c r="E6169">
        <v>0.48639860000000001</v>
      </c>
      <c r="F6169" t="s">
        <v>41</v>
      </c>
      <c r="G6169">
        <v>-301.23579999999998</v>
      </c>
      <c r="H6169">
        <v>0.87029849999999997</v>
      </c>
      <c r="I6169">
        <v>-20.783049999999999</v>
      </c>
      <c r="J6169">
        <v>-301.24</v>
      </c>
      <c r="K6169">
        <v>1.108371</v>
      </c>
      <c r="L6169">
        <v>-20.182590000000001</v>
      </c>
      <c r="M6169">
        <v>1.9720129999999999E-2</v>
      </c>
      <c r="N6169">
        <v>0</v>
      </c>
      <c r="O6169">
        <v>-0.99970970000000003</v>
      </c>
      <c r="P6169">
        <v>-3.6604379999999999E-2</v>
      </c>
      <c r="Q6169">
        <v>-4.377996E-2</v>
      </c>
      <c r="R6169">
        <v>-0.99837050000000005</v>
      </c>
      <c r="S6169">
        <v>2.502441E-2</v>
      </c>
      <c r="T6169">
        <v>-0.84281099999999998</v>
      </c>
      <c r="U6169">
        <v>-2.9696959999999999</v>
      </c>
      <c r="V6169">
        <v>5.6180399999999998E-2</v>
      </c>
      <c r="W6169">
        <v>-3.0174309999999999E-2</v>
      </c>
      <c r="X6169">
        <v>0.99796459999999998</v>
      </c>
      <c r="Y6169">
        <v>1.1616619999999999E-2</v>
      </c>
      <c r="Z6169">
        <v>0.27292959999999999</v>
      </c>
      <c r="AA6169">
        <v>0.96196389999999998</v>
      </c>
      <c r="AB6169">
        <v>24</v>
      </c>
      <c r="AC6169">
        <v>4.20000000002573E-3</v>
      </c>
      <c r="AD6169">
        <v>-0.23807249999999899</v>
      </c>
      <c r="AE6169">
        <v>-0.600459999999998</v>
      </c>
      <c r="AF6169">
        <v>6.6048712744997901E-3</v>
      </c>
      <c r="AG6169">
        <v>-0.23807249999999899</v>
      </c>
      <c r="AH6169">
        <v>0.51886489407188197</v>
      </c>
      <c r="AI6169">
        <v>114.645474748159</v>
      </c>
      <c r="AJ6169">
        <v>89.270694906647293</v>
      </c>
      <c r="AK6169">
        <v>0.57091410727098701</v>
      </c>
      <c r="AL6169">
        <v>91.729123011862399</v>
      </c>
      <c r="AM6169">
        <v>86.777935913676203</v>
      </c>
      <c r="AN6169">
        <v>1.0000000345906399</v>
      </c>
    </row>
    <row r="6170" spans="1:40" x14ac:dyDescent="0.25">
      <c r="A6170" t="str">
        <f>"20190312154958232"</f>
        <v>20190312154958232</v>
      </c>
      <c r="B6170" t="str">
        <f>"1552376998222235"</f>
        <v>1552376998222235</v>
      </c>
      <c r="C6170" t="s">
        <v>40</v>
      </c>
      <c r="D6170">
        <v>4.7247589999999997</v>
      </c>
      <c r="E6170">
        <v>0.48689759999999999</v>
      </c>
      <c r="F6170" t="s">
        <v>41</v>
      </c>
      <c r="G6170">
        <v>-301.23649999999998</v>
      </c>
      <c r="H6170">
        <v>0.90528629999999999</v>
      </c>
      <c r="I6170">
        <v>-21.013549999999999</v>
      </c>
      <c r="J6170">
        <v>-301.23779999999999</v>
      </c>
      <c r="K6170">
        <v>1.1083689999999999</v>
      </c>
      <c r="L6170">
        <v>-20.432400000000001</v>
      </c>
      <c r="M6170">
        <v>1.741937E-2</v>
      </c>
      <c r="N6170">
        <v>0</v>
      </c>
      <c r="O6170">
        <v>-0.99975250000000004</v>
      </c>
      <c r="P6170">
        <v>-3.7240379999999997E-2</v>
      </c>
      <c r="Q6170">
        <v>-4.4425439999999997E-2</v>
      </c>
      <c r="R6170">
        <v>-0.9983185</v>
      </c>
      <c r="S6170">
        <v>1.324463E-2</v>
      </c>
      <c r="T6170">
        <v>-0.72658929999999999</v>
      </c>
      <c r="U6170">
        <v>-2.9735109999999998</v>
      </c>
      <c r="V6170">
        <v>5.4517789999999997E-2</v>
      </c>
      <c r="W6170">
        <v>-3.0814729999999999E-2</v>
      </c>
      <c r="X6170">
        <v>0.99803719999999996</v>
      </c>
      <c r="Y6170">
        <v>1.309461E-2</v>
      </c>
      <c r="Z6170">
        <v>0.23730560000000001</v>
      </c>
      <c r="AA6170">
        <v>0.97134679999999995</v>
      </c>
      <c r="AB6170">
        <v>24</v>
      </c>
      <c r="AC6170">
        <v>1.3000000000147299E-3</v>
      </c>
      <c r="AD6170">
        <v>-0.2030827</v>
      </c>
      <c r="AE6170">
        <v>-0.58114999999999695</v>
      </c>
      <c r="AF6170">
        <v>7.8641116418653196E-3</v>
      </c>
      <c r="AG6170">
        <v>-0.2030827</v>
      </c>
      <c r="AH6170">
        <v>0.51784774056160199</v>
      </c>
      <c r="AI6170">
        <v>111.411218546087</v>
      </c>
      <c r="AJ6170">
        <v>89.129964777817307</v>
      </c>
      <c r="AK6170">
        <v>0.55630091649750302</v>
      </c>
      <c r="AL6170">
        <v>91.765833517403195</v>
      </c>
      <c r="AM6170">
        <v>86.8733250033209</v>
      </c>
      <c r="AN6170">
        <v>0.99999999479764801</v>
      </c>
    </row>
    <row r="6171" spans="1:40" x14ac:dyDescent="0.25">
      <c r="A6171" t="str">
        <f>"20190312154958256"</f>
        <v>20190312154958256</v>
      </c>
      <c r="B6171" t="str">
        <f>"1552376998251514"</f>
        <v>1552376998251514</v>
      </c>
      <c r="C6171" t="s">
        <v>40</v>
      </c>
      <c r="D6171">
        <v>4.7589040000000002</v>
      </c>
      <c r="E6171">
        <v>0.49096440000000002</v>
      </c>
      <c r="F6171" t="s">
        <v>41</v>
      </c>
      <c r="G6171">
        <v>-301.2362</v>
      </c>
      <c r="H6171">
        <v>0.92759119999999995</v>
      </c>
      <c r="I6171">
        <v>-21.238150000000001</v>
      </c>
      <c r="J6171">
        <v>-301.23610000000002</v>
      </c>
      <c r="K6171">
        <v>1.108374</v>
      </c>
      <c r="L6171">
        <v>-20.683720000000001</v>
      </c>
      <c r="M6171">
        <v>1.5111100000000001E-2</v>
      </c>
      <c r="N6171">
        <v>0</v>
      </c>
      <c r="O6171">
        <v>-0.99979030000000002</v>
      </c>
      <c r="P6171">
        <v>-3.8735459999999999E-2</v>
      </c>
      <c r="Q6171">
        <v>-4.4844040000000002E-2</v>
      </c>
      <c r="R6171">
        <v>-0.99824310000000005</v>
      </c>
      <c r="S6171">
        <v>6.3781740000000003E-3</v>
      </c>
      <c r="T6171">
        <v>-0.66751780000000005</v>
      </c>
      <c r="U6171">
        <v>-2.9755859999999998</v>
      </c>
      <c r="V6171">
        <v>5.3707390000000001E-2</v>
      </c>
      <c r="W6171">
        <v>-3.123167E-2</v>
      </c>
      <c r="X6171">
        <v>0.99806819999999896</v>
      </c>
      <c r="Y6171">
        <v>1.30212E-2</v>
      </c>
      <c r="Z6171">
        <v>0.2188447</v>
      </c>
      <c r="AA6171">
        <v>0.97567280000000001</v>
      </c>
      <c r="AB6171">
        <v>24</v>
      </c>
      <c r="AC6171" s="1">
        <v>-9.9999999974897906E-5</v>
      </c>
      <c r="AD6171">
        <v>-0.18078279999999899</v>
      </c>
      <c r="AE6171">
        <v>-0.55442999999999998</v>
      </c>
      <c r="AF6171">
        <v>7.6639897583625702E-3</v>
      </c>
      <c r="AG6171">
        <v>-0.18078279999999899</v>
      </c>
      <c r="AH6171">
        <v>0.50108871015563705</v>
      </c>
      <c r="AI6171">
        <v>109.836292383005</v>
      </c>
      <c r="AJ6171">
        <v>89.123747905221506</v>
      </c>
      <c r="AK6171">
        <v>0.532757968462506</v>
      </c>
      <c r="AL6171">
        <v>91.789733885443596</v>
      </c>
      <c r="AM6171">
        <v>86.919807941732799</v>
      </c>
      <c r="AN6171">
        <v>1.00000001640142</v>
      </c>
    </row>
    <row r="6172" spans="1:40" x14ac:dyDescent="0.25">
      <c r="A6172" t="str">
        <f>"20190312154958279"</f>
        <v>20190312154958279</v>
      </c>
      <c r="B6172" t="str">
        <f>"1552376998272010"</f>
        <v>1552376998272010</v>
      </c>
      <c r="C6172" t="s">
        <v>40</v>
      </c>
      <c r="D6172">
        <v>4.7236399999999996</v>
      </c>
      <c r="E6172">
        <v>0.4911316</v>
      </c>
      <c r="F6172" t="s">
        <v>65</v>
      </c>
      <c r="G6172">
        <v>-301.52910000000003</v>
      </c>
      <c r="H6172" s="1">
        <v>-5.9065109999999998E-7</v>
      </c>
      <c r="I6172">
        <v>-40.839570000000002</v>
      </c>
      <c r="J6172">
        <v>-301.23500000000001</v>
      </c>
      <c r="K6172">
        <v>1.1083829999999999</v>
      </c>
      <c r="L6172">
        <v>-20.929500000000001</v>
      </c>
      <c r="M6172">
        <v>1.2869739999999999E-2</v>
      </c>
      <c r="N6172">
        <v>0</v>
      </c>
      <c r="O6172">
        <v>-0.99982179999999998</v>
      </c>
      <c r="P6172">
        <v>-4.062048E-2</v>
      </c>
      <c r="Q6172">
        <v>-4.5400250000000003E-2</v>
      </c>
      <c r="R6172">
        <v>-0.99814290000000006</v>
      </c>
      <c r="S6172">
        <v>-4.3548580000000003E-2</v>
      </c>
      <c r="T6172">
        <v>-0.16476080000000001</v>
      </c>
      <c r="U6172">
        <v>-2.9961850000000001</v>
      </c>
      <c r="V6172">
        <v>5.3353570000000003E-2</v>
      </c>
      <c r="W6172">
        <v>-3.1787650000000001E-2</v>
      </c>
      <c r="X6172">
        <v>0.9980696</v>
      </c>
      <c r="Y6172">
        <v>2.737964E-2</v>
      </c>
      <c r="Z6172">
        <v>5.4887249999999999E-2</v>
      </c>
      <c r="AA6172">
        <v>0.99811709999999998</v>
      </c>
      <c r="AB6172">
        <v>24</v>
      </c>
      <c r="AC6172">
        <v>-0.29410000000001402</v>
      </c>
      <c r="AD6172">
        <v>-1.1083835906510999</v>
      </c>
      <c r="AE6172">
        <v>-19.910070000000001</v>
      </c>
      <c r="AF6172">
        <v>0.54863759532309198</v>
      </c>
      <c r="AG6172">
        <v>-1.1083835906510999</v>
      </c>
      <c r="AH6172">
        <v>19.843153050593902</v>
      </c>
      <c r="AI6172">
        <v>93.195842630868498</v>
      </c>
      <c r="AJ6172">
        <v>88.416249060379002</v>
      </c>
      <c r="AK6172">
        <v>19.881655876317701</v>
      </c>
      <c r="AL6172">
        <v>91.821605062467597</v>
      </c>
      <c r="AM6172">
        <v>86.940065595122604</v>
      </c>
      <c r="AN6172">
        <v>0.99999999228421299</v>
      </c>
    </row>
    <row r="6173" spans="1:40" x14ac:dyDescent="0.25">
      <c r="A6173" t="str">
        <f>"20190312154958305"</f>
        <v>20190312154958305</v>
      </c>
      <c r="B6173" t="str">
        <f>"1552376998292506"</f>
        <v>1552376998292506</v>
      </c>
      <c r="C6173" t="s">
        <v>40</v>
      </c>
      <c r="D6173">
        <v>4.7373810000000001</v>
      </c>
      <c r="E6173">
        <v>0.49089290000000002</v>
      </c>
      <c r="F6173" t="s">
        <v>65</v>
      </c>
      <c r="G6173">
        <v>-301.57940000000002</v>
      </c>
      <c r="H6173" s="1">
        <v>-8.83301E-7</v>
      </c>
      <c r="I6173">
        <v>-41.420580000000001</v>
      </c>
      <c r="J6173">
        <v>-301.23430000000002</v>
      </c>
      <c r="K6173">
        <v>1.108403</v>
      </c>
      <c r="L6173">
        <v>-21.201229999999999</v>
      </c>
      <c r="M6173">
        <v>1.042498E-2</v>
      </c>
      <c r="N6173">
        <v>0</v>
      </c>
      <c r="O6173">
        <v>-0.99985020000000002</v>
      </c>
      <c r="P6173">
        <v>-4.3099520000000002E-2</v>
      </c>
      <c r="Q6173">
        <v>-4.653024E-2</v>
      </c>
      <c r="R6173">
        <v>-0.99798690000000001</v>
      </c>
      <c r="S6173">
        <v>-5.0354000000000003E-2</v>
      </c>
      <c r="T6173">
        <v>-0.16206509999999999</v>
      </c>
      <c r="U6173">
        <v>-2.9961549999999999</v>
      </c>
      <c r="V6173">
        <v>5.3389619999999999E-2</v>
      </c>
      <c r="W6173">
        <v>-3.2918429999999999E-2</v>
      </c>
      <c r="X6173">
        <v>0.998031</v>
      </c>
      <c r="Y6173">
        <v>2.720291E-2</v>
      </c>
      <c r="Z6173">
        <v>5.3993890000000003E-2</v>
      </c>
      <c r="AA6173">
        <v>0.99817069999999997</v>
      </c>
      <c r="AB6173">
        <v>24</v>
      </c>
      <c r="AC6173">
        <v>-0.34510000000000202</v>
      </c>
      <c r="AD6173">
        <v>-1.1084038833009999</v>
      </c>
      <c r="AE6173">
        <v>-20.219349999999999</v>
      </c>
      <c r="AF6173">
        <v>0.55422266454872704</v>
      </c>
      <c r="AG6173">
        <v>-1.1084038833009999</v>
      </c>
      <c r="AH6173">
        <v>20.154105185313401</v>
      </c>
      <c r="AI6173">
        <v>93.146705141527704</v>
      </c>
      <c r="AJ6173">
        <v>88.424806333172796</v>
      </c>
      <c r="AK6173">
        <v>20.1921687233217</v>
      </c>
      <c r="AL6173">
        <v>91.886427953725004</v>
      </c>
      <c r="AM6173">
        <v>86.937883787360704</v>
      </c>
      <c r="AN6173">
        <v>0.99999997575920396</v>
      </c>
    </row>
    <row r="6174" spans="1:40" x14ac:dyDescent="0.25">
      <c r="A6174" t="str">
        <f>"20190312154958330"</f>
        <v>20190312154958330</v>
      </c>
      <c r="B6174" t="str">
        <f>"1552376998321917"</f>
        <v>1552376998321917</v>
      </c>
      <c r="C6174" t="s">
        <v>40</v>
      </c>
      <c r="D6174">
        <v>4.7599090000000004</v>
      </c>
      <c r="E6174">
        <v>0.49061870000000002</v>
      </c>
      <c r="F6174" t="s">
        <v>65</v>
      </c>
      <c r="G6174">
        <v>-301.62169999999998</v>
      </c>
      <c r="H6174" s="1">
        <v>-1.1537709999999999E-6</v>
      </c>
      <c r="I6174">
        <v>-41.836820000000003</v>
      </c>
      <c r="J6174">
        <v>-301.23439999999999</v>
      </c>
      <c r="K6174">
        <v>1.1084400000000001</v>
      </c>
      <c r="L6174">
        <v>-21.46866</v>
      </c>
      <c r="M6174">
        <v>8.0812780000000008E-3</v>
      </c>
      <c r="N6174">
        <v>0</v>
      </c>
      <c r="O6174">
        <v>-0.99987170000000003</v>
      </c>
      <c r="P6174">
        <v>-4.5144990000000003E-2</v>
      </c>
      <c r="Q6174">
        <v>-4.7386499999999998E-2</v>
      </c>
      <c r="R6174">
        <v>-0.99785579999999996</v>
      </c>
      <c r="S6174">
        <v>-5.6243899999999999E-2</v>
      </c>
      <c r="T6174">
        <v>-0.16093160000000001</v>
      </c>
      <c r="U6174">
        <v>-2.996124</v>
      </c>
      <c r="V6174">
        <v>5.309606E-2</v>
      </c>
      <c r="W6174">
        <v>-3.3772410000000003E-2</v>
      </c>
      <c r="X6174">
        <v>0.99801810000000002</v>
      </c>
      <c r="Y6174">
        <v>2.6821919999999999E-2</v>
      </c>
      <c r="Z6174">
        <v>5.361896E-2</v>
      </c>
      <c r="AA6174">
        <v>0.99820120000000001</v>
      </c>
      <c r="AB6174">
        <v>24</v>
      </c>
      <c r="AC6174">
        <v>-0.38729999999998199</v>
      </c>
      <c r="AD6174">
        <v>-1.1084411537709999</v>
      </c>
      <c r="AE6174">
        <v>-20.36816</v>
      </c>
      <c r="AF6174">
        <v>0.55027477131089197</v>
      </c>
      <c r="AG6174">
        <v>-1.1084411537709999</v>
      </c>
      <c r="AH6174">
        <v>20.304253899771901</v>
      </c>
      <c r="AI6174">
        <v>93.123620346358805</v>
      </c>
      <c r="AJ6174">
        <v>88.447581160378405</v>
      </c>
      <c r="AK6174">
        <v>20.3419313375529</v>
      </c>
      <c r="AL6174">
        <v>91.935384686173705</v>
      </c>
      <c r="AM6174">
        <v>86.954649603994795</v>
      </c>
      <c r="AN6174">
        <v>0.99999994759616895</v>
      </c>
    </row>
    <row r="6175" spans="1:40" x14ac:dyDescent="0.25">
      <c r="A6175" t="str">
        <f>"20190312154958358"</f>
        <v>20190312154958358</v>
      </c>
      <c r="B6175" t="str">
        <f>"1552376998352174"</f>
        <v>1552376998352174</v>
      </c>
      <c r="C6175" t="s">
        <v>40</v>
      </c>
      <c r="D6175">
        <v>4.7079110000000002</v>
      </c>
      <c r="E6175">
        <v>0.49054750000000003</v>
      </c>
      <c r="F6175" t="s">
        <v>65</v>
      </c>
      <c r="G6175">
        <v>-301.64640000000003</v>
      </c>
      <c r="H6175" s="1">
        <v>-1.254093E-6</v>
      </c>
      <c r="I6175">
        <v>-41.989249999999998</v>
      </c>
      <c r="J6175">
        <v>-301.23500000000001</v>
      </c>
      <c r="K6175">
        <v>1.1085</v>
      </c>
      <c r="L6175">
        <v>-21.75854</v>
      </c>
      <c r="M6175">
        <v>5.6181340000000003E-3</v>
      </c>
      <c r="N6175">
        <v>0</v>
      </c>
      <c r="O6175">
        <v>-0.99988889999999997</v>
      </c>
      <c r="P6175">
        <v>-4.7517589999999998E-2</v>
      </c>
      <c r="Q6175">
        <v>-4.7369120000000001E-2</v>
      </c>
      <c r="R6175">
        <v>-0.99774680000000004</v>
      </c>
      <c r="S6175">
        <v>-6.0150149999999999E-2</v>
      </c>
      <c r="T6175">
        <v>-0.1618339</v>
      </c>
      <c r="U6175">
        <v>-2.9960330000000002</v>
      </c>
      <c r="V6175">
        <v>5.3015230000000003E-2</v>
      </c>
      <c r="W6175">
        <v>-3.3752110000000002E-2</v>
      </c>
      <c r="X6175">
        <v>0.9980232</v>
      </c>
      <c r="Y6175">
        <v>2.5660570000000001E-2</v>
      </c>
      <c r="Z6175">
        <v>5.392185E-2</v>
      </c>
      <c r="AA6175">
        <v>0.99821539999999997</v>
      </c>
      <c r="AB6175">
        <v>24</v>
      </c>
      <c r="AC6175">
        <v>-0.41140000000001398</v>
      </c>
      <c r="AD6175">
        <v>-1.1085012540929999</v>
      </c>
      <c r="AE6175">
        <v>-20.230709999999998</v>
      </c>
      <c r="AF6175">
        <v>0.52349216388335795</v>
      </c>
      <c r="AG6175">
        <v>-1.1085012540929999</v>
      </c>
      <c r="AH6175">
        <v>20.1675556683278</v>
      </c>
      <c r="AI6175">
        <v>93.145015668668094</v>
      </c>
      <c r="AJ6175">
        <v>88.513099036293099</v>
      </c>
      <c r="AK6175">
        <v>20.204779650149</v>
      </c>
      <c r="AL6175">
        <v>91.934220693776297</v>
      </c>
      <c r="AM6175">
        <v>86.959292450649698</v>
      </c>
      <c r="AN6175">
        <v>1.0000000636398201</v>
      </c>
    </row>
    <row r="6176" spans="1:40" x14ac:dyDescent="0.25">
      <c r="A6176" t="str">
        <f>"20190312154958382"</f>
        <v>20190312154958382</v>
      </c>
      <c r="B6176" t="str">
        <f>"1552376998371693"</f>
        <v>1552376998371693</v>
      </c>
      <c r="C6176" t="s">
        <v>40</v>
      </c>
      <c r="D6176">
        <v>4.7243539999999999</v>
      </c>
      <c r="E6176">
        <v>0.49003180000000002</v>
      </c>
      <c r="F6176" t="s">
        <v>65</v>
      </c>
      <c r="G6176">
        <v>-301.69450000000001</v>
      </c>
      <c r="H6176" s="1">
        <v>-1.5292089999999999E-6</v>
      </c>
      <c r="I6176">
        <v>-42.411540000000002</v>
      </c>
      <c r="J6176">
        <v>-301.23610000000002</v>
      </c>
      <c r="K6176">
        <v>1.1085480000000001</v>
      </c>
      <c r="L6176">
        <v>-22.027249999999999</v>
      </c>
      <c r="M6176">
        <v>3.4071599999999998E-3</v>
      </c>
      <c r="N6176">
        <v>0</v>
      </c>
      <c r="O6176">
        <v>-0.99989890000000003</v>
      </c>
      <c r="P6176">
        <v>-4.9786419999999998E-2</v>
      </c>
      <c r="Q6176">
        <v>-4.6193390000000001E-2</v>
      </c>
      <c r="R6176">
        <v>-0.99769149999999995</v>
      </c>
      <c r="S6176">
        <v>-6.6650390000000004E-2</v>
      </c>
      <c r="T6176">
        <v>-0.1608019</v>
      </c>
      <c r="U6176">
        <v>-2.9959720000000001</v>
      </c>
      <c r="V6176">
        <v>5.3086000000000001E-2</v>
      </c>
      <c r="W6176">
        <v>-3.2573640000000001E-2</v>
      </c>
      <c r="X6176">
        <v>0.99805860000000002</v>
      </c>
      <c r="Y6176">
        <v>2.561573E-2</v>
      </c>
      <c r="Z6176">
        <v>5.3579700000000001E-2</v>
      </c>
      <c r="AA6176">
        <v>0.99823499999999998</v>
      </c>
      <c r="AB6176">
        <v>24</v>
      </c>
      <c r="AC6176">
        <v>-0.45839999999998299</v>
      </c>
      <c r="AD6176">
        <v>-1.108549529209</v>
      </c>
      <c r="AE6176">
        <v>-20.38429</v>
      </c>
      <c r="AF6176">
        <v>0.52630076814132498</v>
      </c>
      <c r="AG6176">
        <v>-1.108549529209</v>
      </c>
      <c r="AH6176">
        <v>20.322536937030399</v>
      </c>
      <c r="AI6176">
        <v>93.121219606814606</v>
      </c>
      <c r="AJ6176">
        <v>88.516520146404204</v>
      </c>
      <c r="AK6176">
        <v>20.3595526010327</v>
      </c>
      <c r="AL6176">
        <v>91.866662170326805</v>
      </c>
      <c r="AM6176">
        <v>86.955348835184395</v>
      </c>
      <c r="AN6176">
        <v>1.0000000672264</v>
      </c>
    </row>
    <row r="6177" spans="1:40" x14ac:dyDescent="0.25">
      <c r="A6177" t="str">
        <f>"20190312154958413"</f>
        <v>20190312154958413</v>
      </c>
      <c r="B6177" t="str">
        <f>"1552376998401949"</f>
        <v>1552376998401949</v>
      </c>
      <c r="C6177" t="s">
        <v>40</v>
      </c>
      <c r="D6177">
        <v>4.7112740000000004</v>
      </c>
      <c r="E6177">
        <v>0.4893364</v>
      </c>
      <c r="F6177" t="s">
        <v>65</v>
      </c>
      <c r="G6177">
        <v>-301.7226</v>
      </c>
      <c r="H6177" s="1">
        <v>-1.9373699999999999E-6</v>
      </c>
      <c r="I6177">
        <v>-43.047519999999999</v>
      </c>
      <c r="J6177">
        <v>-301.23820000000001</v>
      </c>
      <c r="K6177">
        <v>1.1086119999999999</v>
      </c>
      <c r="L6177">
        <v>-22.35284</v>
      </c>
      <c r="M6177">
        <v>8.5652549999999997E-4</v>
      </c>
      <c r="N6177">
        <v>0</v>
      </c>
      <c r="O6177">
        <v>-0.99990429999999997</v>
      </c>
      <c r="P6177">
        <v>-5.2580559999999998E-2</v>
      </c>
      <c r="Q6177">
        <v>-4.6837419999999998E-2</v>
      </c>
      <c r="R6177">
        <v>-0.99751769999999995</v>
      </c>
      <c r="S6177">
        <v>-6.9335939999999999E-2</v>
      </c>
      <c r="T6177">
        <v>-0.1580088</v>
      </c>
      <c r="U6177">
        <v>-2.9961549999999999</v>
      </c>
      <c r="V6177">
        <v>5.333856E-2</v>
      </c>
      <c r="W6177">
        <v>-3.3215939999999999E-2</v>
      </c>
      <c r="X6177">
        <v>0.99802389999999996</v>
      </c>
      <c r="Y6177">
        <v>2.3959729999999999E-2</v>
      </c>
      <c r="Z6177">
        <v>5.2649399999999999E-2</v>
      </c>
      <c r="AA6177">
        <v>0.99832560000000004</v>
      </c>
      <c r="AB6177">
        <v>24</v>
      </c>
      <c r="AC6177">
        <v>-0.484399999999993</v>
      </c>
      <c r="AD6177">
        <v>-1.1086139373699999</v>
      </c>
      <c r="AE6177">
        <v>-20.694680000000002</v>
      </c>
      <c r="AF6177">
        <v>0.50069096504614796</v>
      </c>
      <c r="AG6177">
        <v>-1.1086139373699999</v>
      </c>
      <c r="AH6177">
        <v>20.635072506934002</v>
      </c>
      <c r="AI6177">
        <v>93.074341346170797</v>
      </c>
      <c r="AJ6177">
        <v>88.610043592424702</v>
      </c>
      <c r="AK6177">
        <v>20.670895812011501</v>
      </c>
      <c r="AL6177">
        <v>91.903483297115997</v>
      </c>
      <c r="AM6177">
        <v>86.940785003038897</v>
      </c>
      <c r="AN6177">
        <v>1.0000000028120799</v>
      </c>
    </row>
    <row r="6178" spans="1:40" x14ac:dyDescent="0.25">
      <c r="A6178" t="str">
        <f>"20190312154958437"</f>
        <v>20190312154958437</v>
      </c>
      <c r="B6178" t="str">
        <f>"1552376998422446"</f>
        <v>1552376998422446</v>
      </c>
      <c r="C6178" t="s">
        <v>40</v>
      </c>
      <c r="D6178">
        <v>4.7730069999999998</v>
      </c>
      <c r="E6178">
        <v>0.48882829999999999</v>
      </c>
      <c r="F6178" t="s">
        <v>65</v>
      </c>
      <c r="G6178">
        <v>-301.73680000000002</v>
      </c>
      <c r="H6178" s="1">
        <v>-1.882187E-6</v>
      </c>
      <c r="I6178">
        <v>-42.95758</v>
      </c>
      <c r="J6178">
        <v>-301.24020000000002</v>
      </c>
      <c r="K6178">
        <v>1.1086640000000001</v>
      </c>
      <c r="L6178">
        <v>-22.59958</v>
      </c>
      <c r="M6178">
        <v>-9.8733669999999992E-4</v>
      </c>
      <c r="N6178">
        <v>0</v>
      </c>
      <c r="O6178">
        <v>-0.99990449999999997</v>
      </c>
      <c r="P6178">
        <v>-5.4070689999999998E-2</v>
      </c>
      <c r="Q6178">
        <v>-4.7449669999999999E-2</v>
      </c>
      <c r="R6178">
        <v>-0.9974092</v>
      </c>
      <c r="S6178">
        <v>-7.2509770000000001E-2</v>
      </c>
      <c r="T6178">
        <v>-0.1611997</v>
      </c>
      <c r="U6178">
        <v>-2.9960629999999999</v>
      </c>
      <c r="V6178">
        <v>5.2991699999999899E-2</v>
      </c>
      <c r="W6178">
        <v>-3.3825050000000002E-2</v>
      </c>
      <c r="X6178">
        <v>0.99802190000000002</v>
      </c>
      <c r="Y6178">
        <v>2.3172519999999999E-2</v>
      </c>
      <c r="Z6178">
        <v>5.3711040000000002E-2</v>
      </c>
      <c r="AA6178">
        <v>0.99828760000000005</v>
      </c>
      <c r="AB6178">
        <v>24</v>
      </c>
      <c r="AC6178">
        <v>-0.49659999999999999</v>
      </c>
      <c r="AD6178">
        <v>-1.1086658821869999</v>
      </c>
      <c r="AE6178">
        <v>-20.358000000000001</v>
      </c>
      <c r="AF6178">
        <v>0.475089499635927</v>
      </c>
      <c r="AG6178">
        <v>-1.1086658821869999</v>
      </c>
      <c r="AH6178">
        <v>20.298316969521501</v>
      </c>
      <c r="AI6178">
        <v>93.125455313572701</v>
      </c>
      <c r="AJ6178">
        <v>88.659216214434196</v>
      </c>
      <c r="AK6178">
        <v>20.3341221070926</v>
      </c>
      <c r="AL6178">
        <v>91.938402390567902</v>
      </c>
      <c r="AM6178">
        <v>86.960635539766699</v>
      </c>
      <c r="AN6178">
        <v>0.99999998357800102</v>
      </c>
    </row>
    <row r="6179" spans="1:40" x14ac:dyDescent="0.25">
      <c r="A6179" t="str">
        <f>"20190312154958471"</f>
        <v>20190312154958471</v>
      </c>
      <c r="B6179" t="str">
        <f>"1552376998462460"</f>
        <v>1552376998462460</v>
      </c>
      <c r="C6179" t="s">
        <v>40</v>
      </c>
      <c r="D6179">
        <v>4.7657769999999999</v>
      </c>
      <c r="E6179">
        <v>0.48782740000000002</v>
      </c>
      <c r="F6179" t="s">
        <v>65</v>
      </c>
      <c r="G6179">
        <v>-301.72840000000002</v>
      </c>
      <c r="H6179" s="1">
        <v>-1.7305500000000001E-6</v>
      </c>
      <c r="I6179">
        <v>-42.720869999999998</v>
      </c>
      <c r="J6179">
        <v>-301.24380000000002</v>
      </c>
      <c r="K6179">
        <v>1.1087359999999999</v>
      </c>
      <c r="L6179">
        <v>-22.964780000000001</v>
      </c>
      <c r="M6179">
        <v>-3.5932270000000001E-3</v>
      </c>
      <c r="N6179">
        <v>0</v>
      </c>
      <c r="O6179">
        <v>-0.99989839999999997</v>
      </c>
      <c r="P6179">
        <v>-5.5450289999999999E-2</v>
      </c>
      <c r="Q6179">
        <v>-4.8201849999999997E-2</v>
      </c>
      <c r="R6179">
        <v>-0.99729749999999995</v>
      </c>
      <c r="S6179">
        <v>-7.2692870000000007E-2</v>
      </c>
      <c r="T6179">
        <v>-0.16507720000000001</v>
      </c>
      <c r="U6179">
        <v>-2.9960019999999998</v>
      </c>
      <c r="V6179">
        <v>5.1775920000000003E-2</v>
      </c>
      <c r="W6179">
        <v>-3.4570860000000002E-2</v>
      </c>
      <c r="X6179">
        <v>0.99806019999999895</v>
      </c>
      <c r="Y6179">
        <v>2.0626769999999999E-2</v>
      </c>
      <c r="Z6179">
        <v>5.5001269999999998E-2</v>
      </c>
      <c r="AA6179">
        <v>0.99827319999999997</v>
      </c>
      <c r="AB6179">
        <v>24</v>
      </c>
      <c r="AC6179">
        <v>-0.48459999999999998</v>
      </c>
      <c r="AD6179">
        <v>-1.1087377305499999</v>
      </c>
      <c r="AE6179">
        <v>-19.75609</v>
      </c>
      <c r="AF6179">
        <v>0.41230418709384697</v>
      </c>
      <c r="AG6179">
        <v>-1.1087377305499999</v>
      </c>
      <c r="AH6179">
        <v>19.6957075448518</v>
      </c>
      <c r="AI6179">
        <v>93.221267660130493</v>
      </c>
      <c r="AJ6179">
        <v>88.800762048500602</v>
      </c>
      <c r="AK6179">
        <v>19.7311983870765</v>
      </c>
      <c r="AL6179">
        <v>91.981159081780604</v>
      </c>
      <c r="AM6179">
        <v>87.030354659196405</v>
      </c>
      <c r="AN6179">
        <v>1.0000000265385101</v>
      </c>
    </row>
    <row r="6180" spans="1:40" x14ac:dyDescent="0.25">
      <c r="A6180" t="str">
        <f>"20190312154958503"</f>
        <v>20190312154958503</v>
      </c>
      <c r="B6180" t="str">
        <f>"1552376998492717"</f>
        <v>1552376998492717</v>
      </c>
      <c r="C6180" t="s">
        <v>40</v>
      </c>
      <c r="D6180">
        <v>4.8199489999999896</v>
      </c>
      <c r="E6180">
        <v>0.48717060000000001</v>
      </c>
      <c r="F6180" t="s">
        <v>65</v>
      </c>
      <c r="G6180">
        <v>-301.69380000000001</v>
      </c>
      <c r="H6180" s="1">
        <v>-1.6613089999999999E-6</v>
      </c>
      <c r="I6180">
        <v>-42.619509999999998</v>
      </c>
      <c r="J6180">
        <v>-301.24799999999999</v>
      </c>
      <c r="K6180">
        <v>1.1088020000000001</v>
      </c>
      <c r="L6180">
        <v>-23.309629999999999</v>
      </c>
      <c r="M6180">
        <v>-5.9258330000000001E-3</v>
      </c>
      <c r="N6180">
        <v>0</v>
      </c>
      <c r="O6180">
        <v>-0.99988730000000003</v>
      </c>
      <c r="P6180">
        <v>-5.7179180000000003E-2</v>
      </c>
      <c r="Q6180">
        <v>-4.7694170000000001E-2</v>
      </c>
      <c r="R6180">
        <v>-0.997224</v>
      </c>
      <c r="S6180">
        <v>-6.8603520000000001E-2</v>
      </c>
      <c r="T6180">
        <v>-0.16901540000000001</v>
      </c>
      <c r="U6180">
        <v>-2.9961549999999999</v>
      </c>
      <c r="V6180">
        <v>5.1184519999999997E-2</v>
      </c>
      <c r="W6180">
        <v>-3.4059310000000002E-2</v>
      </c>
      <c r="X6180">
        <v>0.99810829999999995</v>
      </c>
      <c r="Y6180">
        <v>1.6929619999999999E-2</v>
      </c>
      <c r="Z6180">
        <v>5.6308370000000003E-2</v>
      </c>
      <c r="AA6180">
        <v>0.99826990000000004</v>
      </c>
      <c r="AB6180">
        <v>24</v>
      </c>
      <c r="AC6180">
        <v>-0.44580000000001901</v>
      </c>
      <c r="AD6180">
        <v>-1.108803661309</v>
      </c>
      <c r="AE6180">
        <v>-19.30988</v>
      </c>
      <c r="AF6180">
        <v>0.33026577498311899</v>
      </c>
      <c r="AG6180">
        <v>-1.108803661309</v>
      </c>
      <c r="AH6180">
        <v>19.2487490062624</v>
      </c>
      <c r="AI6180">
        <v>93.296334891413693</v>
      </c>
      <c r="AJ6180">
        <v>89.017028148057904</v>
      </c>
      <c r="AK6180">
        <v>19.2834867009975</v>
      </c>
      <c r="AL6180">
        <v>91.9518321378156</v>
      </c>
      <c r="AM6180">
        <v>87.064356384278796</v>
      </c>
      <c r="AN6180">
        <v>1.0000000351070899</v>
      </c>
    </row>
    <row r="6181" spans="1:40" x14ac:dyDescent="0.25">
      <c r="A6181" t="str">
        <f>"20190312154958538"</f>
        <v>20190312154958538</v>
      </c>
      <c r="B6181" t="str">
        <f>"1552376998531759"</f>
        <v>1552376998531759</v>
      </c>
      <c r="C6181" t="s">
        <v>40</v>
      </c>
      <c r="D6181">
        <v>4.8459469999999998</v>
      </c>
      <c r="E6181">
        <v>0.48651759999999999</v>
      </c>
      <c r="F6181" t="s">
        <v>65</v>
      </c>
      <c r="G6181">
        <v>-301.6952</v>
      </c>
      <c r="H6181" s="1">
        <v>-1.81995E-6</v>
      </c>
      <c r="I6181">
        <v>-42.868789999999997</v>
      </c>
      <c r="J6181">
        <v>-301.25310000000002</v>
      </c>
      <c r="K6181">
        <v>1.10886</v>
      </c>
      <c r="L6181">
        <v>-23.674679999999999</v>
      </c>
      <c r="M6181">
        <v>-8.2580899999999992E-3</v>
      </c>
      <c r="N6181">
        <v>0</v>
      </c>
      <c r="O6181">
        <v>-0.99987119999999996</v>
      </c>
      <c r="P6181">
        <v>-5.8855329999999997E-2</v>
      </c>
      <c r="Q6181">
        <v>-4.9397200000000002E-2</v>
      </c>
      <c r="R6181">
        <v>-0.99704380000000004</v>
      </c>
      <c r="S6181">
        <v>-6.8511959999999997E-2</v>
      </c>
      <c r="T6181">
        <v>-0.16985989999999901</v>
      </c>
      <c r="U6181">
        <v>-2.9963069999999998</v>
      </c>
      <c r="V6181">
        <v>5.0536280000000003E-2</v>
      </c>
      <c r="W6181">
        <v>-3.5760060000000003E-2</v>
      </c>
      <c r="X6181">
        <v>0.99808180000000002</v>
      </c>
      <c r="Y6181">
        <v>1.4565369999999999E-2</v>
      </c>
      <c r="Z6181">
        <v>5.6585610000000001E-2</v>
      </c>
      <c r="AA6181">
        <v>0.9982915</v>
      </c>
      <c r="AB6181">
        <v>24</v>
      </c>
      <c r="AC6181">
        <v>-0.44209999999998201</v>
      </c>
      <c r="AD6181">
        <v>-1.10886181995</v>
      </c>
      <c r="AE6181">
        <v>-19.194109999999998</v>
      </c>
      <c r="AF6181">
        <v>0.28262048202767298</v>
      </c>
      <c r="AG6181">
        <v>-1.10886181995</v>
      </c>
      <c r="AH6181">
        <v>19.133283505848699</v>
      </c>
      <c r="AI6181">
        <v>93.316482940156206</v>
      </c>
      <c r="AJ6181">
        <v>89.153737345857493</v>
      </c>
      <c r="AK6181">
        <v>19.167472096961198</v>
      </c>
      <c r="AL6181">
        <v>92.0493374710274</v>
      </c>
      <c r="AM6181">
        <v>87.1013949915518</v>
      </c>
      <c r="AN6181">
        <v>0.99999998848934102</v>
      </c>
    </row>
    <row r="6182" spans="1:40" x14ac:dyDescent="0.25">
      <c r="A6182" t="str">
        <f>"20190312154958573"</f>
        <v>20190312154958573</v>
      </c>
      <c r="B6182" t="str">
        <f>"1552376998562013"</f>
        <v>1552376998562013</v>
      </c>
      <c r="C6182" t="s">
        <v>40</v>
      </c>
      <c r="D6182">
        <v>4.8381949999999998</v>
      </c>
      <c r="E6182">
        <v>0.51006419999999997</v>
      </c>
      <c r="F6182" t="s">
        <v>65</v>
      </c>
      <c r="G6182">
        <v>-301.67590000000001</v>
      </c>
      <c r="H6182" s="1">
        <v>-1.381086E-6</v>
      </c>
      <c r="I6182">
        <v>-42.182569999999998</v>
      </c>
      <c r="J6182">
        <v>-301.25889999999998</v>
      </c>
      <c r="K6182">
        <v>1.108919</v>
      </c>
      <c r="L6182">
        <v>-24.040220000000001</v>
      </c>
      <c r="M6182">
        <v>-1.045098E-2</v>
      </c>
      <c r="N6182">
        <v>0</v>
      </c>
      <c r="O6182">
        <v>-0.99985069999999998</v>
      </c>
      <c r="P6182">
        <v>-6.0838339999999998E-2</v>
      </c>
      <c r="Q6182">
        <v>-4.9912699999999997E-2</v>
      </c>
      <c r="R6182">
        <v>-0.99689899999999998</v>
      </c>
      <c r="S6182">
        <v>-6.8450929999999993E-2</v>
      </c>
      <c r="T6182">
        <v>-0.1794975</v>
      </c>
      <c r="U6182">
        <v>-2.9959720000000001</v>
      </c>
      <c r="V6182">
        <v>5.0337489999999999E-2</v>
      </c>
      <c r="W6182">
        <v>-3.6273640000000003E-2</v>
      </c>
      <c r="X6182">
        <v>0.99807330000000005</v>
      </c>
      <c r="Y6182">
        <v>1.235034E-2</v>
      </c>
      <c r="Z6182">
        <v>5.9790749999999997E-2</v>
      </c>
      <c r="AA6182">
        <v>0.99813459999999998</v>
      </c>
      <c r="AB6182">
        <v>23</v>
      </c>
      <c r="AC6182">
        <v>-0.41700000000003001</v>
      </c>
      <c r="AD6182">
        <v>-1.108920381086</v>
      </c>
      <c r="AE6182">
        <v>-18.14235</v>
      </c>
      <c r="AF6182">
        <v>0.226508130438696</v>
      </c>
      <c r="AG6182">
        <v>-1.108920381086</v>
      </c>
      <c r="AH6182">
        <v>18.078211885152101</v>
      </c>
      <c r="AI6182">
        <v>93.509859376020401</v>
      </c>
      <c r="AJ6182">
        <v>89.282159046852101</v>
      </c>
      <c r="AK6182">
        <v>18.113606910529899</v>
      </c>
      <c r="AL6182">
        <v>92.078782568545094</v>
      </c>
      <c r="AM6182">
        <v>87.112753094824001</v>
      </c>
      <c r="AN6182">
        <v>0.99999997601561896</v>
      </c>
    </row>
    <row r="6183" spans="1:40" x14ac:dyDescent="0.25">
      <c r="A6183" t="str">
        <f>"20190312154958600"</f>
        <v>20190312154958600</v>
      </c>
      <c r="B6183" t="str">
        <f>"1552376998592270"</f>
        <v>1552376998592270</v>
      </c>
      <c r="C6183" t="s">
        <v>40</v>
      </c>
      <c r="D6183">
        <v>4.8391849999999996</v>
      </c>
      <c r="E6183">
        <v>0.533663</v>
      </c>
      <c r="F6183" t="s">
        <v>41</v>
      </c>
      <c r="G6183">
        <v>-301.3306</v>
      </c>
      <c r="H6183">
        <v>0.99585590000000002</v>
      </c>
      <c r="I6183">
        <v>-24.874400000000001</v>
      </c>
      <c r="J6183">
        <v>-301.26369999999997</v>
      </c>
      <c r="K6183">
        <v>1.10897</v>
      </c>
      <c r="L6183">
        <v>-24.318940000000001</v>
      </c>
      <c r="M6183">
        <v>-1.2027349999999999E-2</v>
      </c>
      <c r="N6183">
        <v>0</v>
      </c>
      <c r="O6183">
        <v>-0.99983290000000002</v>
      </c>
      <c r="P6183">
        <v>-6.2453359999999999E-2</v>
      </c>
      <c r="Q6183">
        <v>-5.0405579999999998E-2</v>
      </c>
      <c r="R6183">
        <v>-0.9967743</v>
      </c>
      <c r="S6183">
        <v>-0.25564579999999998</v>
      </c>
      <c r="T6183">
        <v>-0.4030378</v>
      </c>
      <c r="U6183">
        <v>-2.973541</v>
      </c>
      <c r="V6183">
        <v>5.03848E-2</v>
      </c>
      <c r="W6183">
        <v>-3.6765359999999997E-2</v>
      </c>
      <c r="X6183">
        <v>0.99805299999999997</v>
      </c>
      <c r="Y6183">
        <v>7.2896030000000001E-2</v>
      </c>
      <c r="Z6183">
        <v>0.13387779999999999</v>
      </c>
      <c r="AA6183">
        <v>0.98831310000000006</v>
      </c>
      <c r="AB6183">
        <v>23</v>
      </c>
      <c r="AC6183">
        <v>-6.6900000000032295E-2</v>
      </c>
      <c r="AD6183">
        <v>-0.113114099999999</v>
      </c>
      <c r="AE6183">
        <v>-0.55546000000000295</v>
      </c>
      <c r="AF6183">
        <v>5.7849146686067499E-2</v>
      </c>
      <c r="AG6183">
        <v>-0.113114099999999</v>
      </c>
      <c r="AH6183">
        <v>0.53438091967914303</v>
      </c>
      <c r="AI6183">
        <v>101.884122949749</v>
      </c>
      <c r="AJ6183">
        <v>83.821533508060796</v>
      </c>
      <c r="AK6183">
        <v>0.549276151592478</v>
      </c>
      <c r="AL6183">
        <v>92.1069746890402</v>
      </c>
      <c r="AM6183">
        <v>87.109985415113698</v>
      </c>
      <c r="AN6183">
        <v>1.00000005528798</v>
      </c>
    </row>
    <row r="6184" spans="1:40" x14ac:dyDescent="0.25">
      <c r="A6184" t="str">
        <f>"20190312154958626"</f>
        <v>20190312154958626</v>
      </c>
      <c r="B6184" t="str">
        <f>"1552376998611789"</f>
        <v>1552376998611789</v>
      </c>
      <c r="C6184" t="s">
        <v>40</v>
      </c>
      <c r="D6184">
        <v>4.8258269999999897</v>
      </c>
      <c r="E6184">
        <v>0.53444459999999905</v>
      </c>
      <c r="F6184" t="s">
        <v>41</v>
      </c>
      <c r="G6184">
        <v>-301.3732</v>
      </c>
      <c r="H6184">
        <v>0.93171599999999999</v>
      </c>
      <c r="I6184">
        <v>-25.052240000000001</v>
      </c>
      <c r="J6184">
        <v>-301.26870000000002</v>
      </c>
      <c r="K6184">
        <v>1.1090230000000001</v>
      </c>
      <c r="L6184">
        <v>-24.58972</v>
      </c>
      <c r="M6184">
        <v>-1.3478159999999999E-2</v>
      </c>
      <c r="N6184">
        <v>0</v>
      </c>
      <c r="O6184">
        <v>-0.99981450000000005</v>
      </c>
      <c r="P6184">
        <v>-6.404079E-2</v>
      </c>
      <c r="Q6184">
        <v>-5.011173E-2</v>
      </c>
      <c r="R6184">
        <v>-0.99668849999999998</v>
      </c>
      <c r="S6184">
        <v>-0.43917850000000003</v>
      </c>
      <c r="T6184">
        <v>-0.71209929999999999</v>
      </c>
      <c r="U6184">
        <v>-2.946167</v>
      </c>
      <c r="V6184">
        <v>5.0530989999999998E-2</v>
      </c>
      <c r="W6184">
        <v>-3.6469969999999997E-2</v>
      </c>
      <c r="X6184">
        <v>0.99805639999999995</v>
      </c>
      <c r="Y6184">
        <v>0.1300471</v>
      </c>
      <c r="Z6184">
        <v>0.2326974</v>
      </c>
      <c r="AA6184">
        <v>0.96381519999999998</v>
      </c>
      <c r="AB6184">
        <v>23</v>
      </c>
      <c r="AC6184">
        <v>-0.104499999999973</v>
      </c>
      <c r="AD6184">
        <v>-0.17730699999999899</v>
      </c>
      <c r="AE6184">
        <v>-0.46252000000000099</v>
      </c>
      <c r="AF6184">
        <v>8.6203101059801002E-2</v>
      </c>
      <c r="AG6184">
        <v>-0.17730699999999899</v>
      </c>
      <c r="AH6184">
        <v>0.40698240173660599</v>
      </c>
      <c r="AI6184">
        <v>113.084035862861</v>
      </c>
      <c r="AJ6184">
        <v>78.040910638855294</v>
      </c>
      <c r="AK6184">
        <v>0.45222054597798</v>
      </c>
      <c r="AL6184">
        <v>92.090038829056098</v>
      </c>
      <c r="AM6184">
        <v>87.101624257794398</v>
      </c>
      <c r="AN6184">
        <v>1.0000000086215699</v>
      </c>
    </row>
    <row r="6185" spans="1:40" x14ac:dyDescent="0.25">
      <c r="A6185" t="str">
        <f>"20190312154958649"</f>
        <v>20190312154958649</v>
      </c>
      <c r="B6185" t="str">
        <f>"1552376998642046"</f>
        <v>1552376998642046</v>
      </c>
      <c r="C6185" t="s">
        <v>40</v>
      </c>
      <c r="D6185">
        <v>4.858771</v>
      </c>
      <c r="E6185">
        <v>0.53490719999999903</v>
      </c>
      <c r="F6185" t="s">
        <v>41</v>
      </c>
      <c r="G6185">
        <v>-301.40050000000002</v>
      </c>
      <c r="H6185">
        <v>0.89232019999999901</v>
      </c>
      <c r="I6185">
        <v>-25.45288</v>
      </c>
      <c r="J6185">
        <v>-301.27370000000002</v>
      </c>
      <c r="K6185">
        <v>1.1090789999999999</v>
      </c>
      <c r="L6185">
        <v>-24.842860000000002</v>
      </c>
      <c r="M6185">
        <v>-1.473093E-2</v>
      </c>
      <c r="N6185">
        <v>0</v>
      </c>
      <c r="O6185">
        <v>-0.99979700000000005</v>
      </c>
      <c r="P6185">
        <v>-6.6173319999999994E-2</v>
      </c>
      <c r="Q6185">
        <v>-4.9562830000000002E-2</v>
      </c>
      <c r="R6185">
        <v>-0.99657700000000005</v>
      </c>
      <c r="S6185">
        <v>-0.44888309999999998</v>
      </c>
      <c r="T6185">
        <v>-0.73902440000000003</v>
      </c>
      <c r="U6185">
        <v>-2.9439700000000002</v>
      </c>
      <c r="V6185">
        <v>5.1420790000000001E-2</v>
      </c>
      <c r="W6185">
        <v>-3.5920710000000002E-2</v>
      </c>
      <c r="X6185">
        <v>0.9980308</v>
      </c>
      <c r="Y6185">
        <v>0.1317091</v>
      </c>
      <c r="Z6185">
        <v>0.24106900000000001</v>
      </c>
      <c r="AA6185">
        <v>0.96152930000000003</v>
      </c>
      <c r="AB6185">
        <v>23</v>
      </c>
      <c r="AC6185">
        <v>-0.12680000000000199</v>
      </c>
      <c r="AD6185">
        <v>-0.2167588</v>
      </c>
      <c r="AE6185">
        <v>-0.61001999999999801</v>
      </c>
      <c r="AF6185">
        <v>0.10508119359464101</v>
      </c>
      <c r="AG6185">
        <v>-0.2167588</v>
      </c>
      <c r="AH6185">
        <v>0.54576733654123499</v>
      </c>
      <c r="AI6185">
        <v>111.30579857268999</v>
      </c>
      <c r="AJ6185">
        <v>79.101723918635599</v>
      </c>
      <c r="AK6185">
        <v>0.59656384424471198</v>
      </c>
      <c r="AL6185">
        <v>92.058548062884597</v>
      </c>
      <c r="AM6185">
        <v>87.050600584293306</v>
      </c>
      <c r="AN6185">
        <v>0.99999993639988205</v>
      </c>
    </row>
    <row r="6186" spans="1:40" x14ac:dyDescent="0.25">
      <c r="A6186" t="str">
        <f>"20190312154958684"</f>
        <v>20190312154958684</v>
      </c>
      <c r="B6186" t="str">
        <f>"1552376998673277"</f>
        <v>1552376998673277</v>
      </c>
      <c r="C6186" t="s">
        <v>40</v>
      </c>
      <c r="D6186">
        <v>4.8781030000000003</v>
      </c>
      <c r="E6186">
        <v>0.53565929999999995</v>
      </c>
      <c r="F6186" t="s">
        <v>41</v>
      </c>
      <c r="G6186">
        <v>-301.40140000000002</v>
      </c>
      <c r="H6186">
        <v>0.89559460000000002</v>
      </c>
      <c r="I6186">
        <v>-25.66263</v>
      </c>
      <c r="J6186">
        <v>-301.28100000000001</v>
      </c>
      <c r="K6186">
        <v>1.1091549999999999</v>
      </c>
      <c r="L6186">
        <v>-25.196660000000001</v>
      </c>
      <c r="M6186">
        <v>-1.6358210000000001E-2</v>
      </c>
      <c r="N6186">
        <v>0</v>
      </c>
      <c r="O6186">
        <v>-0.99977169999999904</v>
      </c>
      <c r="P6186">
        <v>-6.7684439999999998E-2</v>
      </c>
      <c r="Q6186">
        <v>-4.966363E-2</v>
      </c>
      <c r="R6186">
        <v>-0.99647019999999997</v>
      </c>
      <c r="S6186">
        <v>-0.45812989999999998</v>
      </c>
      <c r="T6186">
        <v>-0.76607729999999996</v>
      </c>
      <c r="U6186">
        <v>-2.9418030000000002</v>
      </c>
      <c r="V6186">
        <v>5.1316050000000002E-2</v>
      </c>
      <c r="W6186">
        <v>-3.6018380000000003E-2</v>
      </c>
      <c r="X6186">
        <v>0.99803269999999999</v>
      </c>
      <c r="Y6186">
        <v>0.13282869999999999</v>
      </c>
      <c r="Z6186">
        <v>0.2494364</v>
      </c>
      <c r="AA6186">
        <v>0.95923820000000004</v>
      </c>
      <c r="AB6186">
        <v>23</v>
      </c>
      <c r="AC6186">
        <v>-0.12040000000001699</v>
      </c>
      <c r="AD6186">
        <v>-0.21356039999999901</v>
      </c>
      <c r="AE6186">
        <v>-0.465969999999998</v>
      </c>
      <c r="AF6186">
        <v>9.4210232650702594E-2</v>
      </c>
      <c r="AG6186">
        <v>-0.21356039999999901</v>
      </c>
      <c r="AH6186">
        <v>0.39090589223648398</v>
      </c>
      <c r="AI6186">
        <v>117.97344162200901</v>
      </c>
      <c r="AJ6186">
        <v>76.449838795619996</v>
      </c>
      <c r="AK6186">
        <v>0.45529224567244803</v>
      </c>
      <c r="AL6186">
        <v>92.064147705625103</v>
      </c>
      <c r="AM6186">
        <v>87.056603291490305</v>
      </c>
      <c r="AN6186">
        <v>0.99999996547735703</v>
      </c>
    </row>
    <row r="6187" spans="1:40" x14ac:dyDescent="0.25">
      <c r="A6187" t="str">
        <f>"20190312154958709"</f>
        <v>20190312154958709</v>
      </c>
      <c r="B6187" t="str">
        <f>"1552376998701582"</f>
        <v>1552376998701582</v>
      </c>
      <c r="C6187" t="s">
        <v>40</v>
      </c>
      <c r="D6187">
        <v>4.8040250000000002</v>
      </c>
      <c r="E6187">
        <v>0.53573149999999903</v>
      </c>
      <c r="F6187" t="s">
        <v>41</v>
      </c>
      <c r="G6187">
        <v>-301.39060000000001</v>
      </c>
      <c r="H6187">
        <v>0.92631589999999997</v>
      </c>
      <c r="I6187">
        <v>-25.884239999999998</v>
      </c>
      <c r="J6187">
        <v>-301.2867</v>
      </c>
      <c r="K6187">
        <v>1.1092040000000001</v>
      </c>
      <c r="L6187">
        <v>-25.460719999999998</v>
      </c>
      <c r="M6187">
        <v>-1.7461629999999999E-2</v>
      </c>
      <c r="N6187">
        <v>0</v>
      </c>
      <c r="O6187">
        <v>-0.99975290000000006</v>
      </c>
      <c r="P6187">
        <v>-6.8142030000000006E-2</v>
      </c>
      <c r="Q6187">
        <v>-4.9493250000000003E-2</v>
      </c>
      <c r="R6187">
        <v>-0.99644730000000004</v>
      </c>
      <c r="S6187">
        <v>-0.4681091</v>
      </c>
      <c r="T6187">
        <v>-0.7817016</v>
      </c>
      <c r="U6187">
        <v>-2.93988</v>
      </c>
      <c r="V6187">
        <v>5.0677979999999997E-2</v>
      </c>
      <c r="W6187">
        <v>-3.5844290000000001E-2</v>
      </c>
      <c r="X6187">
        <v>0.99807159999999995</v>
      </c>
      <c r="Y6187">
        <v>0.1348113</v>
      </c>
      <c r="Z6187">
        <v>0.25424560000000002</v>
      </c>
      <c r="AA6187">
        <v>0.95769780000000004</v>
      </c>
      <c r="AB6187">
        <v>23</v>
      </c>
      <c r="AC6187">
        <v>-0.10390000000001</v>
      </c>
      <c r="AD6187">
        <v>-0.1828881</v>
      </c>
      <c r="AE6187">
        <v>-0.42351999999999601</v>
      </c>
      <c r="AF6187">
        <v>8.20553698642007E-2</v>
      </c>
      <c r="AG6187">
        <v>-0.1828881</v>
      </c>
      <c r="AH6187">
        <v>0.361657785161692</v>
      </c>
      <c r="AI6187">
        <v>116.250659700146</v>
      </c>
      <c r="AJ6187">
        <v>77.216762801281803</v>
      </c>
      <c r="AK6187">
        <v>0.41349424955278502</v>
      </c>
      <c r="AL6187">
        <v>92.054166577682395</v>
      </c>
      <c r="AM6187">
        <v>87.09325178073</v>
      </c>
      <c r="AN6187">
        <v>0.99999999475452195</v>
      </c>
    </row>
    <row r="6188" spans="1:40" x14ac:dyDescent="0.25">
      <c r="A6188" t="str">
        <f>"20190312154958736"</f>
        <v>20190312154958736</v>
      </c>
      <c r="B6188" t="str">
        <f>"1552376998722077"</f>
        <v>1552376998722077</v>
      </c>
      <c r="C6188" t="s">
        <v>40</v>
      </c>
      <c r="D6188">
        <v>4.8364050000000001</v>
      </c>
      <c r="E6188">
        <v>0.53576109999999999</v>
      </c>
      <c r="F6188" t="s">
        <v>41</v>
      </c>
      <c r="G6188">
        <v>-301.41849999999999</v>
      </c>
      <c r="H6188">
        <v>0.888243</v>
      </c>
      <c r="I6188">
        <v>-26.283349999999999</v>
      </c>
      <c r="J6188">
        <v>-301.29289999999997</v>
      </c>
      <c r="K6188">
        <v>1.109264</v>
      </c>
      <c r="L6188">
        <v>-25.74194</v>
      </c>
      <c r="M6188">
        <v>-1.8528610000000001E-2</v>
      </c>
      <c r="N6188">
        <v>0</v>
      </c>
      <c r="O6188">
        <v>-0.99973389999999995</v>
      </c>
      <c r="P6188">
        <v>-6.8645380000000006E-2</v>
      </c>
      <c r="Q6188">
        <v>-4.917585E-2</v>
      </c>
      <c r="R6188">
        <v>-0.99642869999999995</v>
      </c>
      <c r="S6188">
        <v>-0.4703369</v>
      </c>
      <c r="T6188">
        <v>-0.78947069999999997</v>
      </c>
      <c r="U6188">
        <v>-2.9393310000000001</v>
      </c>
      <c r="V6188">
        <v>5.0122470000000002E-2</v>
      </c>
      <c r="W6188">
        <v>-3.5522949999999998E-2</v>
      </c>
      <c r="X6188">
        <v>0.99811110000000003</v>
      </c>
      <c r="Y6188">
        <v>0.1343905</v>
      </c>
      <c r="Z6188">
        <v>0.25663580000000003</v>
      </c>
      <c r="AA6188">
        <v>0.95711930000000001</v>
      </c>
      <c r="AB6188">
        <v>23</v>
      </c>
      <c r="AC6188">
        <v>-0.125600000000019</v>
      </c>
      <c r="AD6188">
        <v>-0.221021</v>
      </c>
      <c r="AE6188">
        <v>-0.54140999999999895</v>
      </c>
      <c r="AF6188">
        <v>9.9768292006535406E-2</v>
      </c>
      <c r="AG6188">
        <v>-0.221021</v>
      </c>
      <c r="AH6188">
        <v>0.46941062097452302</v>
      </c>
      <c r="AI6188">
        <v>114.72892234368</v>
      </c>
      <c r="AJ6188">
        <v>78.000936086560202</v>
      </c>
      <c r="AK6188">
        <v>0.52834678537357305</v>
      </c>
      <c r="AL6188">
        <v>92.035743499732803</v>
      </c>
      <c r="AM6188">
        <v>87.125174126385303</v>
      </c>
      <c r="AN6188">
        <v>0.99999995495940497</v>
      </c>
    </row>
    <row r="6189" spans="1:40" x14ac:dyDescent="0.25">
      <c r="A6189" t="str">
        <f>"20190312154958762"</f>
        <v>20190312154958762</v>
      </c>
      <c r="B6189" t="str">
        <f>"1552376998752334"</f>
        <v>1552376998752334</v>
      </c>
      <c r="C6189" t="s">
        <v>40</v>
      </c>
      <c r="D6189">
        <v>4.81867</v>
      </c>
      <c r="E6189">
        <v>0.535753699999999</v>
      </c>
      <c r="F6189" t="s">
        <v>41</v>
      </c>
      <c r="G6189">
        <v>-301.4144</v>
      </c>
      <c r="H6189">
        <v>0.90497349999999999</v>
      </c>
      <c r="I6189">
        <v>-26.497540000000001</v>
      </c>
      <c r="J6189">
        <v>-301.29899999999998</v>
      </c>
      <c r="K6189">
        <v>1.1093139999999999</v>
      </c>
      <c r="L6189">
        <v>-26.006499999999999</v>
      </c>
      <c r="M6189">
        <v>-1.9452259999999999E-2</v>
      </c>
      <c r="N6189">
        <v>0</v>
      </c>
      <c r="O6189">
        <v>-0.99971639999999995</v>
      </c>
      <c r="P6189">
        <v>-6.8917030000000004E-2</v>
      </c>
      <c r="Q6189">
        <v>-4.9003129999999999E-2</v>
      </c>
      <c r="R6189">
        <v>-0.99641829999999998</v>
      </c>
      <c r="S6189">
        <v>-0.47204590000000002</v>
      </c>
      <c r="T6189">
        <v>-0.79460469999999905</v>
      </c>
      <c r="U6189">
        <v>-2.9390260000000001</v>
      </c>
      <c r="V6189">
        <v>4.9477149999999998E-2</v>
      </c>
      <c r="W6189">
        <v>-3.5347030000000002E-2</v>
      </c>
      <c r="X6189">
        <v>0.99814959999999997</v>
      </c>
      <c r="Y6189">
        <v>0.13396739999999999</v>
      </c>
      <c r="Z6189">
        <v>0.25820749999999998</v>
      </c>
      <c r="AA6189">
        <v>0.95675580000000005</v>
      </c>
      <c r="AB6189">
        <v>23</v>
      </c>
      <c r="AC6189">
        <v>-0.115399999999965</v>
      </c>
      <c r="AD6189">
        <v>-0.20434049999999901</v>
      </c>
      <c r="AE6189">
        <v>-0.49104000000000098</v>
      </c>
      <c r="AF6189">
        <v>9.0906931028157098E-2</v>
      </c>
      <c r="AG6189">
        <v>-0.20434049999999901</v>
      </c>
      <c r="AH6189">
        <v>0.42366547878692201</v>
      </c>
      <c r="AI6189">
        <v>115.2477075462</v>
      </c>
      <c r="AJ6189">
        <v>77.889537491229106</v>
      </c>
      <c r="AK6189">
        <v>0.47907363522214402</v>
      </c>
      <c r="AL6189">
        <v>92.025657575193094</v>
      </c>
      <c r="AM6189">
        <v>87.162235502718801</v>
      </c>
      <c r="AN6189">
        <v>1.00000001244105</v>
      </c>
    </row>
    <row r="6190" spans="1:40" x14ac:dyDescent="0.25">
      <c r="A6190" t="str">
        <f>"20190312154958807"</f>
        <v>20190312154958807</v>
      </c>
      <c r="B6190" t="str">
        <f>"1552376998801661"</f>
        <v>1552376998801661</v>
      </c>
      <c r="C6190" t="s">
        <v>40</v>
      </c>
      <c r="D6190">
        <v>4.8109169999999999</v>
      </c>
      <c r="E6190">
        <v>0.53591339999999998</v>
      </c>
      <c r="F6190" t="s">
        <v>41</v>
      </c>
      <c r="G6190">
        <v>-301.41239999999999</v>
      </c>
      <c r="H6190">
        <v>0.91774800000000001</v>
      </c>
      <c r="I6190">
        <v>-26.710319999999999</v>
      </c>
      <c r="J6190">
        <v>-301.30990000000003</v>
      </c>
      <c r="K6190">
        <v>1.1094010000000001</v>
      </c>
      <c r="L6190">
        <v>-26.467739999999999</v>
      </c>
      <c r="M6190">
        <v>-2.0877340000000001E-2</v>
      </c>
      <c r="N6190">
        <v>0</v>
      </c>
      <c r="O6190">
        <v>-0.99968760000000001</v>
      </c>
      <c r="P6190">
        <v>-7.0007470000000002E-2</v>
      </c>
      <c r="Q6190">
        <v>-4.8181559999999998E-2</v>
      </c>
      <c r="R6190">
        <v>-0.9963822</v>
      </c>
      <c r="S6190">
        <v>-0.47259519999999999</v>
      </c>
      <c r="T6190">
        <v>-0.79975799999999997</v>
      </c>
      <c r="U6190">
        <v>-2.9387819999999998</v>
      </c>
      <c r="V6190">
        <v>4.915332E-2</v>
      </c>
      <c r="W6190">
        <v>-3.4522459999999998E-2</v>
      </c>
      <c r="X6190">
        <v>0.99819449999999998</v>
      </c>
      <c r="Y6190">
        <v>0.13267479999999901</v>
      </c>
      <c r="Z6190">
        <v>0.25979679999999999</v>
      </c>
      <c r="AA6190">
        <v>0.95650570000000001</v>
      </c>
      <c r="AB6190">
        <v>23</v>
      </c>
      <c r="AC6190">
        <v>-0.102499999999963</v>
      </c>
      <c r="AD6190">
        <v>-0.19165299999999999</v>
      </c>
      <c r="AE6190">
        <v>-0.24257999999999599</v>
      </c>
      <c r="AF6190">
        <v>6.3683661898631505E-2</v>
      </c>
      <c r="AG6190">
        <v>-0.19165299999999999</v>
      </c>
      <c r="AH6190">
        <v>0.15995140239348299</v>
      </c>
      <c r="AI6190">
        <v>138.066481638065</v>
      </c>
      <c r="AJ6190">
        <v>68.2903314367083</v>
      </c>
      <c r="AK6190">
        <v>0.25762556614098098</v>
      </c>
      <c r="AL6190">
        <v>91.978384254542405</v>
      </c>
      <c r="AM6190">
        <v>87.180905334061407</v>
      </c>
      <c r="AN6190">
        <v>1.00000005447086</v>
      </c>
    </row>
    <row r="6191" spans="1:40" x14ac:dyDescent="0.25">
      <c r="A6191" t="str">
        <f>"20190312154958843"</f>
        <v>20190312154958843</v>
      </c>
      <c r="B6191" t="str">
        <f>"1552376998831898"</f>
        <v>1552376998831898</v>
      </c>
      <c r="C6191" t="s">
        <v>40</v>
      </c>
      <c r="D6191">
        <v>4.741422</v>
      </c>
      <c r="E6191">
        <v>0.53581230000000002</v>
      </c>
      <c r="F6191" t="s">
        <v>41</v>
      </c>
      <c r="G6191">
        <v>-301.44740000000002</v>
      </c>
      <c r="H6191">
        <v>0.87762369999999901</v>
      </c>
      <c r="I6191">
        <v>-27.312899999999999</v>
      </c>
      <c r="J6191">
        <v>-301.31909999999999</v>
      </c>
      <c r="K6191">
        <v>1.1094440000000001</v>
      </c>
      <c r="L6191">
        <v>-26.843779999999999</v>
      </c>
      <c r="M6191">
        <v>-2.1913479999999999E-2</v>
      </c>
      <c r="N6191">
        <v>0</v>
      </c>
      <c r="O6191">
        <v>-0.99966560000000004</v>
      </c>
      <c r="P6191">
        <v>-7.0374309999999995E-2</v>
      </c>
      <c r="Q6191">
        <v>-4.8140170000000003E-2</v>
      </c>
      <c r="R6191">
        <v>-0.99635839999999998</v>
      </c>
      <c r="S6191">
        <v>-0.47781370000000001</v>
      </c>
      <c r="T6191">
        <v>-0.80577799999999999</v>
      </c>
      <c r="U6191">
        <v>-2.9383539999999999</v>
      </c>
      <c r="V6191">
        <v>4.8489909999999997E-2</v>
      </c>
      <c r="W6191">
        <v>-3.4480719999999999E-2</v>
      </c>
      <c r="X6191">
        <v>0.99822829999999996</v>
      </c>
      <c r="Y6191">
        <v>0.13324739999999999</v>
      </c>
      <c r="Z6191">
        <v>0.2616002</v>
      </c>
      <c r="AA6191">
        <v>0.95593430000000001</v>
      </c>
      <c r="AB6191">
        <v>23</v>
      </c>
      <c r="AC6191">
        <v>-0.12830000000002401</v>
      </c>
      <c r="AD6191">
        <v>-0.23182030000000001</v>
      </c>
      <c r="AE6191">
        <v>-0.46911999999999998</v>
      </c>
      <c r="AF6191">
        <v>9.6144195166681004E-2</v>
      </c>
      <c r="AG6191">
        <v>-0.23182030000000001</v>
      </c>
      <c r="AH6191">
        <v>0.38446794283076402</v>
      </c>
      <c r="AI6191">
        <v>120.32555043239999</v>
      </c>
      <c r="AJ6191">
        <v>75.959940199326098</v>
      </c>
      <c r="AK6191">
        <v>0.45912956430713298</v>
      </c>
      <c r="AL6191">
        <v>91.975991480699193</v>
      </c>
      <c r="AM6191">
        <v>87.218987823141504</v>
      </c>
      <c r="AN6191">
        <v>0.99999996517220702</v>
      </c>
    </row>
    <row r="6192" spans="1:40" x14ac:dyDescent="0.25">
      <c r="A6192" t="str">
        <f>"20190312154958870"</f>
        <v>20190312154958870</v>
      </c>
      <c r="B6192" t="str">
        <f>"1552376998862154"</f>
        <v>1552376998862154</v>
      </c>
      <c r="C6192" t="s">
        <v>40</v>
      </c>
      <c r="D6192">
        <v>4.7190279999999998</v>
      </c>
      <c r="E6192">
        <v>0.49468830000000003</v>
      </c>
      <c r="F6192" t="s">
        <v>41</v>
      </c>
      <c r="G6192">
        <v>-301.43200000000002</v>
      </c>
      <c r="H6192">
        <v>0.91907720000000004</v>
      </c>
      <c r="I6192">
        <v>-27.536539999999999</v>
      </c>
      <c r="J6192">
        <v>-301.32600000000002</v>
      </c>
      <c r="K6192">
        <v>1.1094599999999999</v>
      </c>
      <c r="L6192">
        <v>-27.120450000000002</v>
      </c>
      <c r="M6192">
        <v>-2.2637870000000001E-2</v>
      </c>
      <c r="N6192">
        <v>0</v>
      </c>
      <c r="O6192">
        <v>-0.99964929999999996</v>
      </c>
      <c r="P6192">
        <v>-6.954552E-2</v>
      </c>
      <c r="Q6192">
        <v>-4.8518060000000002E-2</v>
      </c>
      <c r="R6192">
        <v>-0.99639820000000001</v>
      </c>
      <c r="S6192">
        <v>-0.47842410000000002</v>
      </c>
      <c r="T6192">
        <v>-0.80734849999999903</v>
      </c>
      <c r="U6192">
        <v>-2.9381710000000001</v>
      </c>
      <c r="V6192">
        <v>4.6938359999999998E-2</v>
      </c>
      <c r="W6192">
        <v>-3.4858559999999997E-2</v>
      </c>
      <c r="X6192">
        <v>0.99828930000000005</v>
      </c>
      <c r="Y6192">
        <v>0.13271140000000001</v>
      </c>
      <c r="Z6192">
        <v>0.26208930000000003</v>
      </c>
      <c r="AA6192">
        <v>0.95587500000000003</v>
      </c>
      <c r="AB6192">
        <v>23</v>
      </c>
      <c r="AC6192">
        <v>-0.106000000000051</v>
      </c>
      <c r="AD6192">
        <v>-0.19038279999999999</v>
      </c>
      <c r="AE6192">
        <v>-0.41609000000000002</v>
      </c>
      <c r="AF6192">
        <v>8.0689413459857307E-2</v>
      </c>
      <c r="AG6192">
        <v>-0.19038279999999999</v>
      </c>
      <c r="AH6192">
        <v>0.349644771526891</v>
      </c>
      <c r="AI6192">
        <v>117.948574792953</v>
      </c>
      <c r="AJ6192">
        <v>77.005047383739495</v>
      </c>
      <c r="AK6192">
        <v>0.40621159293701598</v>
      </c>
      <c r="AL6192">
        <v>91.997653216260602</v>
      </c>
      <c r="AM6192">
        <v>87.308004109493794</v>
      </c>
      <c r="AN6192">
        <v>0.99999992766962398</v>
      </c>
    </row>
    <row r="6193" spans="1:40" x14ac:dyDescent="0.25">
      <c r="A6193" t="str">
        <f>"20190312154958897"</f>
        <v>20190312154958897</v>
      </c>
      <c r="B6193" t="str">
        <f>"1552376998892410"</f>
        <v>1552376998892410</v>
      </c>
      <c r="C6193" t="s">
        <v>40</v>
      </c>
      <c r="D6193">
        <v>4.7703189999999998</v>
      </c>
      <c r="E6193">
        <v>0.47724080000000002</v>
      </c>
      <c r="F6193" t="s">
        <v>41</v>
      </c>
      <c r="G6193">
        <v>-301.37130000000002</v>
      </c>
      <c r="H6193">
        <v>0.97040990000000005</v>
      </c>
      <c r="I6193">
        <v>-27.974519999999998</v>
      </c>
      <c r="J6193">
        <v>-301.33300000000003</v>
      </c>
      <c r="K6193">
        <v>1.1094599999999999</v>
      </c>
      <c r="L6193">
        <v>-27.390630000000002</v>
      </c>
      <c r="M6193">
        <v>-2.3327259999999999E-2</v>
      </c>
      <c r="N6193">
        <v>0</v>
      </c>
      <c r="O6193">
        <v>-0.99963380000000002</v>
      </c>
      <c r="P6193">
        <v>-6.7134100000000002E-2</v>
      </c>
      <c r="Q6193">
        <v>-4.852617E-2</v>
      </c>
      <c r="R6193">
        <v>-0.99656350000000005</v>
      </c>
      <c r="S6193">
        <v>-0.15759279999999901</v>
      </c>
      <c r="T6193">
        <v>-0.48456759999999899</v>
      </c>
      <c r="U6193">
        <v>-2.9762569999999999</v>
      </c>
      <c r="V6193">
        <v>4.3836180000000002E-2</v>
      </c>
      <c r="W6193">
        <v>-3.4864869999999999E-2</v>
      </c>
      <c r="X6193">
        <v>0.99843020000000005</v>
      </c>
      <c r="Y6193">
        <v>2.8879189999999999E-2</v>
      </c>
      <c r="Z6193">
        <v>0.16048750000000001</v>
      </c>
      <c r="AA6193">
        <v>0.98661529999999997</v>
      </c>
      <c r="AB6193">
        <v>23</v>
      </c>
      <c r="AC6193">
        <v>-3.8300000000049197E-2</v>
      </c>
      <c r="AD6193">
        <v>-0.13905010000000001</v>
      </c>
      <c r="AE6193">
        <v>-0.58389000000000302</v>
      </c>
      <c r="AF6193">
        <v>2.3349216265973499E-2</v>
      </c>
      <c r="AG6193">
        <v>-0.13905010000000001</v>
      </c>
      <c r="AH6193">
        <v>0.55337561421807202</v>
      </c>
      <c r="AI6193">
        <v>104.09300101456699</v>
      </c>
      <c r="AJ6193">
        <v>87.583886176337799</v>
      </c>
      <c r="AK6193">
        <v>0.57105576489645304</v>
      </c>
      <c r="AL6193">
        <v>91.998014793885702</v>
      </c>
      <c r="AM6193">
        <v>87.486037466969094</v>
      </c>
      <c r="AN6193">
        <v>1.00000001705457</v>
      </c>
    </row>
    <row r="6194" spans="1:40" x14ac:dyDescent="0.25">
      <c r="A6194" t="str">
        <f>"20190312154958940"</f>
        <v>20190312154958940</v>
      </c>
      <c r="B6194" t="str">
        <f>"1552376998931957"</f>
        <v>1552376998931957</v>
      </c>
      <c r="C6194" t="s">
        <v>40</v>
      </c>
      <c r="D6194">
        <v>4.6122860000000001</v>
      </c>
      <c r="E6194">
        <v>0.47128189999999998</v>
      </c>
      <c r="F6194" t="s">
        <v>41</v>
      </c>
      <c r="G6194">
        <v>-301.3372</v>
      </c>
      <c r="H6194">
        <v>1.0139819999999999</v>
      </c>
      <c r="I6194">
        <v>-28.202850000000002</v>
      </c>
      <c r="J6194">
        <v>-301.34500000000003</v>
      </c>
      <c r="K6194">
        <v>1.1094619999999999</v>
      </c>
      <c r="L6194">
        <v>-27.843109999999999</v>
      </c>
      <c r="M6194">
        <v>-2.44786E-2</v>
      </c>
      <c r="N6194">
        <v>0</v>
      </c>
      <c r="O6194">
        <v>-0.99960640000000001</v>
      </c>
      <c r="P6194">
        <v>-6.7795259999999996E-2</v>
      </c>
      <c r="Q6194">
        <v>-4.8304699999999999E-2</v>
      </c>
      <c r="R6194">
        <v>-0.99652949999999996</v>
      </c>
      <c r="S6194">
        <v>-1.525879E-2</v>
      </c>
      <c r="T6194">
        <v>-0.35173070000000001</v>
      </c>
      <c r="U6194">
        <v>-2.9921880000000001</v>
      </c>
      <c r="V6194">
        <v>4.3348709999999999E-2</v>
      </c>
      <c r="W6194">
        <v>-3.4648209999999999E-2</v>
      </c>
      <c r="X6194">
        <v>0.99845899999999999</v>
      </c>
      <c r="Y6194">
        <v>-1.9417460000000001E-2</v>
      </c>
      <c r="Z6194">
        <v>0.1166818</v>
      </c>
      <c r="AA6194">
        <v>0.99297950000000001</v>
      </c>
      <c r="AB6194">
        <v>23</v>
      </c>
      <c r="AC6194">
        <v>7.8000000000315499E-3</v>
      </c>
      <c r="AD6194">
        <v>-9.5480000000000204E-2</v>
      </c>
      <c r="AE6194">
        <v>-0.359740000000002</v>
      </c>
      <c r="AF6194">
        <v>-1.5512185712994E-2</v>
      </c>
      <c r="AG6194">
        <v>-9.5480000000000204E-2</v>
      </c>
      <c r="AH6194">
        <v>0.33579726465508197</v>
      </c>
      <c r="AI6194">
        <v>105.856419491574</v>
      </c>
      <c r="AJ6194">
        <v>92.644903509589199</v>
      </c>
      <c r="AK6194">
        <v>0.349452230291108</v>
      </c>
      <c r="AL6194">
        <v>91.985593635672004</v>
      </c>
      <c r="AM6194">
        <v>87.514029747368596</v>
      </c>
      <c r="AN6194">
        <v>0.99999999189793398</v>
      </c>
    </row>
    <row r="6195" spans="1:40" x14ac:dyDescent="0.25">
      <c r="A6195" t="str">
        <f>"20190312154958985"</f>
        <v>20190312154958985</v>
      </c>
      <c r="B6195" t="str">
        <f>"1552376998971973"</f>
        <v>1552376998971973</v>
      </c>
      <c r="C6195" t="s">
        <v>40</v>
      </c>
      <c r="D6195">
        <v>4.5719709999999996</v>
      </c>
      <c r="E6195">
        <v>0.46918539999999997</v>
      </c>
      <c r="F6195" t="s">
        <v>42</v>
      </c>
      <c r="G6195">
        <v>-301.23469999999998</v>
      </c>
      <c r="H6195" s="1">
        <v>-7.4767600000000003E-7</v>
      </c>
      <c r="I6195">
        <v>-39.433839999999996</v>
      </c>
      <c r="J6195">
        <v>-301.35770000000002</v>
      </c>
      <c r="K6195">
        <v>1.1094630000000001</v>
      </c>
      <c r="L6195">
        <v>-28.299099999999999</v>
      </c>
      <c r="M6195">
        <v>-2.565779E-2</v>
      </c>
      <c r="N6195">
        <v>0</v>
      </c>
      <c r="O6195">
        <v>-0.99957680000000004</v>
      </c>
      <c r="P6195">
        <v>-6.9190790000000002E-2</v>
      </c>
      <c r="Q6195">
        <v>-4.7494630000000003E-2</v>
      </c>
      <c r="R6195">
        <v>-0.99647260000000004</v>
      </c>
      <c r="S6195">
        <v>2.8533940000000001E-2</v>
      </c>
      <c r="T6195">
        <v>-0.28701330000000003</v>
      </c>
      <c r="U6195">
        <v>-2.9984739999999999</v>
      </c>
      <c r="V6195">
        <v>4.3568019999999999E-2</v>
      </c>
      <c r="W6195">
        <v>-3.3844399999999997E-2</v>
      </c>
      <c r="X6195">
        <v>0.99847699999999995</v>
      </c>
      <c r="Y6195">
        <v>-3.5128359999999997E-2</v>
      </c>
      <c r="Z6195">
        <v>9.5205719999999994E-2</v>
      </c>
      <c r="AA6195">
        <v>0.99483759999999999</v>
      </c>
      <c r="AB6195">
        <v>23</v>
      </c>
      <c r="AC6195">
        <v>0.123000000000047</v>
      </c>
      <c r="AD6195">
        <v>-1.1094637476760001</v>
      </c>
      <c r="AE6195">
        <v>-11.134740000000001</v>
      </c>
      <c r="AF6195">
        <v>-0.40466212873938601</v>
      </c>
      <c r="AG6195">
        <v>-1.1094637476760001</v>
      </c>
      <c r="AH6195">
        <v>11.0185376017493</v>
      </c>
      <c r="AI6195">
        <v>95.745922458510705</v>
      </c>
      <c r="AJ6195">
        <v>92.103275175787601</v>
      </c>
      <c r="AK6195">
        <v>11.081643927098799</v>
      </c>
      <c r="AL6195">
        <v>91.939511729960898</v>
      </c>
      <c r="AM6195">
        <v>87.501513598333602</v>
      </c>
      <c r="AN6195">
        <v>0.99999996765353905</v>
      </c>
    </row>
    <row r="6196" spans="1:40" x14ac:dyDescent="0.25">
      <c r="A6196" t="str">
        <f>"20190312154959016"</f>
        <v>20190312154959016</v>
      </c>
      <c r="B6196" t="str">
        <f>"1552376999012320"</f>
        <v>1552376999012320</v>
      </c>
      <c r="C6196" t="s">
        <v>40</v>
      </c>
      <c r="D6196">
        <v>4.5068419999999998</v>
      </c>
      <c r="E6196">
        <v>0.46785270000000001</v>
      </c>
      <c r="F6196" t="s">
        <v>65</v>
      </c>
      <c r="G6196">
        <v>-301.18380000000002</v>
      </c>
      <c r="H6196" s="1">
        <v>-7.4838749999999998E-7</v>
      </c>
      <c r="I6196">
        <v>-41.294980000000002</v>
      </c>
      <c r="J6196">
        <v>-301.36689999999999</v>
      </c>
      <c r="K6196">
        <v>1.109461</v>
      </c>
      <c r="L6196">
        <v>-28.6174</v>
      </c>
      <c r="M6196">
        <v>-2.64911E-2</v>
      </c>
      <c r="N6196">
        <v>0</v>
      </c>
      <c r="O6196">
        <v>-0.99955510000000003</v>
      </c>
      <c r="P6196">
        <v>-7.0028560000000004E-2</v>
      </c>
      <c r="Q6196">
        <v>-4.688751E-2</v>
      </c>
      <c r="R6196">
        <v>-0.99644270000000001</v>
      </c>
      <c r="S6196">
        <v>4.0161130000000003E-2</v>
      </c>
      <c r="T6196">
        <v>-0.25621280000000002</v>
      </c>
      <c r="U6196">
        <v>-3.0011899999999998</v>
      </c>
      <c r="V6196">
        <v>4.3574399999999999E-2</v>
      </c>
      <c r="W6196">
        <v>-3.324125E-2</v>
      </c>
      <c r="X6196">
        <v>0.99849699999999997</v>
      </c>
      <c r="Y6196">
        <v>-3.9818600000000003E-2</v>
      </c>
      <c r="Z6196">
        <v>8.4978739999999997E-2</v>
      </c>
      <c r="AA6196">
        <v>0.99558679999999999</v>
      </c>
      <c r="AB6196">
        <v>23</v>
      </c>
      <c r="AC6196">
        <v>0.18309999999996701</v>
      </c>
      <c r="AD6196">
        <v>-1.1094617483875</v>
      </c>
      <c r="AE6196">
        <v>-12.677579999999899</v>
      </c>
      <c r="AF6196">
        <v>-0.514967184054959</v>
      </c>
      <c r="AG6196">
        <v>-1.1094617483875</v>
      </c>
      <c r="AH6196">
        <v>12.572014464345701</v>
      </c>
      <c r="AI6196">
        <v>95.038999604297899</v>
      </c>
      <c r="AJ6196">
        <v>92.345603494887598</v>
      </c>
      <c r="AK6196">
        <v>12.631375390807801</v>
      </c>
      <c r="AL6196">
        <v>91.904934290347597</v>
      </c>
      <c r="AM6196">
        <v>87.501198178332203</v>
      </c>
      <c r="AN6196">
        <v>0.99999998402296097</v>
      </c>
    </row>
    <row r="6197" spans="1:40" x14ac:dyDescent="0.25">
      <c r="A6197" t="str">
        <f>"20190312154959040"</f>
        <v>20190312154959040</v>
      </c>
      <c r="B6197" t="str">
        <f>"1552376999031839"</f>
        <v>1552376999031839</v>
      </c>
      <c r="C6197" t="s">
        <v>40</v>
      </c>
      <c r="D6197">
        <v>4.5096030000000003</v>
      </c>
      <c r="E6197">
        <v>0.46738350000000001</v>
      </c>
      <c r="F6197" t="s">
        <v>65</v>
      </c>
      <c r="G6197">
        <v>-301.14420000000001</v>
      </c>
      <c r="H6197" s="1">
        <v>-1.591159E-6</v>
      </c>
      <c r="I6197">
        <v>-42.629550000000002</v>
      </c>
      <c r="J6197">
        <v>-301.3741</v>
      </c>
      <c r="K6197">
        <v>1.109461</v>
      </c>
      <c r="L6197">
        <v>-28.86224</v>
      </c>
      <c r="M6197">
        <v>-2.7132110000000001E-2</v>
      </c>
      <c r="N6197">
        <v>0</v>
      </c>
      <c r="O6197">
        <v>-0.99953789999999998</v>
      </c>
      <c r="P6197">
        <v>-7.0312459999999993E-2</v>
      </c>
      <c r="Q6197">
        <v>-4.6576289999999999E-2</v>
      </c>
      <c r="R6197">
        <v>-0.99643729999999997</v>
      </c>
      <c r="S6197">
        <v>4.7729489999999999E-2</v>
      </c>
      <c r="T6197">
        <v>-0.2377629</v>
      </c>
      <c r="U6197">
        <v>-3.002869</v>
      </c>
      <c r="V6197">
        <v>4.32185E-2</v>
      </c>
      <c r="W6197">
        <v>-3.2932299999999998E-2</v>
      </c>
      <c r="X6197">
        <v>0.99852269999999999</v>
      </c>
      <c r="Y6197">
        <v>-4.2968480000000003E-2</v>
      </c>
      <c r="Z6197">
        <v>7.8846589999999994E-2</v>
      </c>
      <c r="AA6197">
        <v>0.99596030000000002</v>
      </c>
      <c r="AB6197">
        <v>23</v>
      </c>
      <c r="AC6197">
        <v>0.229899999999986</v>
      </c>
      <c r="AD6197">
        <v>-1.1094625911589999</v>
      </c>
      <c r="AE6197">
        <v>-13.767309999999901</v>
      </c>
      <c r="AF6197">
        <v>-0.59949443904101896</v>
      </c>
      <c r="AG6197">
        <v>-1.1094625911589999</v>
      </c>
      <c r="AH6197">
        <v>13.667268907303001</v>
      </c>
      <c r="AI6197">
        <v>94.636462492565798</v>
      </c>
      <c r="AJ6197">
        <v>92.511584274679393</v>
      </c>
      <c r="AK6197">
        <v>13.7253247760538</v>
      </c>
      <c r="AL6197">
        <v>91.887223071626707</v>
      </c>
      <c r="AM6197">
        <v>87.521645647341899</v>
      </c>
      <c r="AN6197">
        <v>0.99999997877041402</v>
      </c>
    </row>
    <row r="6198" spans="1:40" x14ac:dyDescent="0.25">
      <c r="A6198" t="str">
        <f>"20190312154959064"</f>
        <v>20190312154959064</v>
      </c>
      <c r="B6198" t="str">
        <f>"1552376999052335"</f>
        <v>1552376999052335</v>
      </c>
      <c r="C6198" t="s">
        <v>40</v>
      </c>
      <c r="D6198">
        <v>4.4873459999999996</v>
      </c>
      <c r="E6198">
        <v>0.46696910000000003</v>
      </c>
      <c r="F6198" t="s">
        <v>65</v>
      </c>
      <c r="G6198">
        <v>-301.13220000000001</v>
      </c>
      <c r="H6198" s="1">
        <v>-1.9602689999999999E-6</v>
      </c>
      <c r="I6198">
        <v>-43.212870000000002</v>
      </c>
      <c r="J6198">
        <v>-301.38159999999999</v>
      </c>
      <c r="K6198">
        <v>1.109464</v>
      </c>
      <c r="L6198">
        <v>-29.107030000000002</v>
      </c>
      <c r="M6198">
        <v>-2.776766E-2</v>
      </c>
      <c r="N6198">
        <v>0</v>
      </c>
      <c r="O6198">
        <v>-0.99952050000000003</v>
      </c>
      <c r="P6198">
        <v>-7.1207989999999999E-2</v>
      </c>
      <c r="Q6198">
        <v>-4.6635250000000003E-2</v>
      </c>
      <c r="R6198">
        <v>-0.99637100000000001</v>
      </c>
      <c r="S6198">
        <v>5.0628659999999999E-2</v>
      </c>
      <c r="T6198">
        <v>-0.23219999999999999</v>
      </c>
      <c r="U6198">
        <v>-3.0034480000000001</v>
      </c>
      <c r="V6198">
        <v>4.3481060000000002E-2</v>
      </c>
      <c r="W6198">
        <v>-3.2994269999999999E-2</v>
      </c>
      <c r="X6198">
        <v>0.99850930000000004</v>
      </c>
      <c r="Y6198">
        <v>-4.4564180000000002E-2</v>
      </c>
      <c r="Z6198">
        <v>7.6992820000000003E-2</v>
      </c>
      <c r="AA6198">
        <v>0.99603520000000001</v>
      </c>
      <c r="AB6198">
        <v>23</v>
      </c>
      <c r="AC6198">
        <v>0.24939999999998</v>
      </c>
      <c r="AD6198">
        <v>-1.109465960269</v>
      </c>
      <c r="AE6198">
        <v>-14.105840000000001</v>
      </c>
      <c r="AF6198">
        <v>-0.63708678374396699</v>
      </c>
      <c r="AG6198">
        <v>-1.109465960269</v>
      </c>
      <c r="AH6198">
        <v>14.006850603578</v>
      </c>
      <c r="AI6198">
        <v>94.524216876305502</v>
      </c>
      <c r="AJ6198">
        <v>92.6042430388881</v>
      </c>
      <c r="AK6198">
        <v>14.0651575930726</v>
      </c>
      <c r="AL6198">
        <v>91.890775537502407</v>
      </c>
      <c r="AM6198">
        <v>87.506574733886893</v>
      </c>
      <c r="AN6198">
        <v>1.00000002330902</v>
      </c>
    </row>
    <row r="6199" spans="1:40" x14ac:dyDescent="0.25">
      <c r="A6199" t="str">
        <f>"20190312154959096"</f>
        <v>20190312154959096</v>
      </c>
      <c r="B6199" t="str">
        <f>"1552376999092352"</f>
        <v>1552376999092352</v>
      </c>
      <c r="C6199" t="s">
        <v>40</v>
      </c>
      <c r="D6199">
        <v>4.4841620000000004</v>
      </c>
      <c r="E6199">
        <v>0.46625270000000002</v>
      </c>
      <c r="F6199" t="s">
        <v>65</v>
      </c>
      <c r="G6199">
        <v>-301.13290000000001</v>
      </c>
      <c r="H6199" s="1">
        <v>-2.2642630000000001E-6</v>
      </c>
      <c r="I6199">
        <v>-43.69097</v>
      </c>
      <c r="J6199">
        <v>-301.39150000000001</v>
      </c>
      <c r="K6199">
        <v>1.109477</v>
      </c>
      <c r="L6199">
        <v>-29.42972</v>
      </c>
      <c r="M6199">
        <v>-2.8577160000000001E-2</v>
      </c>
      <c r="N6199">
        <v>0</v>
      </c>
      <c r="O6199">
        <v>-0.99949790000000005</v>
      </c>
      <c r="P6199">
        <v>-7.2418449999999995E-2</v>
      </c>
      <c r="Q6199">
        <v>-4.6474290000000001E-2</v>
      </c>
      <c r="R6199">
        <v>-0.99629109999999999</v>
      </c>
      <c r="S6199">
        <v>5.1208499999999997E-2</v>
      </c>
      <c r="T6199">
        <v>-0.22851840000000001</v>
      </c>
      <c r="U6199">
        <v>-3.003876</v>
      </c>
      <c r="V6199">
        <v>4.3886260000000003E-2</v>
      </c>
      <c r="W6199">
        <v>-3.2836400000000002E-2</v>
      </c>
      <c r="X6199">
        <v>0.99849679999999996</v>
      </c>
      <c r="Y6199">
        <v>-4.5564670000000002E-2</v>
      </c>
      <c r="Z6199">
        <v>7.5763990000000003E-2</v>
      </c>
      <c r="AA6199">
        <v>0.99608419999999998</v>
      </c>
      <c r="AB6199">
        <v>23</v>
      </c>
      <c r="AC6199">
        <v>0.258600000000001</v>
      </c>
      <c r="AD6199">
        <v>-1.109479264263</v>
      </c>
      <c r="AE6199">
        <v>-14.26125</v>
      </c>
      <c r="AF6199">
        <v>-0.66207278776463696</v>
      </c>
      <c r="AG6199">
        <v>-1.109479264263</v>
      </c>
      <c r="AH6199">
        <v>14.1623465819334</v>
      </c>
      <c r="AI6199">
        <v>94.474539974971094</v>
      </c>
      <c r="AJ6199">
        <v>92.676560564982395</v>
      </c>
      <c r="AK6199">
        <v>14.2211583677606</v>
      </c>
      <c r="AL6199">
        <v>91.881725305818605</v>
      </c>
      <c r="AM6199">
        <v>87.483336775860806</v>
      </c>
      <c r="AN6199">
        <v>1.0000000462959899</v>
      </c>
    </row>
    <row r="6200" spans="1:40" x14ac:dyDescent="0.25">
      <c r="A6200" t="str">
        <f>"20190312154959124"</f>
        <v>20190312154959124</v>
      </c>
      <c r="B6200" t="str">
        <f>"1552376999111871"</f>
        <v>1552376999111871</v>
      </c>
      <c r="C6200" t="s">
        <v>40</v>
      </c>
      <c r="D6200">
        <v>4.4525579999999998</v>
      </c>
      <c r="E6200">
        <v>0.46594580000000002</v>
      </c>
      <c r="F6200" t="s">
        <v>65</v>
      </c>
      <c r="G6200">
        <v>-301.12419999999997</v>
      </c>
      <c r="H6200" s="1">
        <v>-2.8152090000000002E-6</v>
      </c>
      <c r="I6200">
        <v>-44.559660000000001</v>
      </c>
      <c r="J6200">
        <v>-301.4006</v>
      </c>
      <c r="K6200">
        <v>1.10949599999999</v>
      </c>
      <c r="L6200">
        <v>-29.717410000000001</v>
      </c>
      <c r="M6200">
        <v>-2.926349E-2</v>
      </c>
      <c r="N6200">
        <v>0</v>
      </c>
      <c r="O6200">
        <v>-0.99947799999999998</v>
      </c>
      <c r="P6200">
        <v>-7.2544280000000003E-2</v>
      </c>
      <c r="Q6200">
        <v>-4.638482E-2</v>
      </c>
      <c r="R6200">
        <v>-0.99628640000000002</v>
      </c>
      <c r="S6200">
        <v>5.3100590000000003E-2</v>
      </c>
      <c r="T6200">
        <v>-0.22033929999999999</v>
      </c>
      <c r="U6200">
        <v>-3.0047609999999998</v>
      </c>
      <c r="V6200">
        <v>4.3328579999999998E-2</v>
      </c>
      <c r="W6200">
        <v>-3.2747249999999999E-2</v>
      </c>
      <c r="X6200">
        <v>0.99852399999999997</v>
      </c>
      <c r="Y6200">
        <v>-4.6876220000000003E-2</v>
      </c>
      <c r="Z6200">
        <v>7.3040850000000004E-2</v>
      </c>
      <c r="AA6200">
        <v>0.99622670000000002</v>
      </c>
      <c r="AB6200">
        <v>23</v>
      </c>
      <c r="AC6200">
        <v>0.27640000000002302</v>
      </c>
      <c r="AD6200">
        <v>-1.10949881520899</v>
      </c>
      <c r="AE6200">
        <v>-14.84225</v>
      </c>
      <c r="AF6200">
        <v>-0.70671062686323205</v>
      </c>
      <c r="AG6200">
        <v>-1.10949881520899</v>
      </c>
      <c r="AH6200">
        <v>14.7454346598629</v>
      </c>
      <c r="AI6200">
        <v>94.298114161286094</v>
      </c>
      <c r="AJ6200">
        <v>92.743939146157899</v>
      </c>
      <c r="AK6200">
        <v>14.803995097248499</v>
      </c>
      <c r="AL6200">
        <v>91.876614794427496</v>
      </c>
      <c r="AM6200">
        <v>87.515344268391104</v>
      </c>
      <c r="AN6200">
        <v>0.99999996340168795</v>
      </c>
    </row>
    <row r="6201" spans="1:40" x14ac:dyDescent="0.25">
      <c r="A6201" t="str">
        <f>"20190312154959148"</f>
        <v>20190312154959148</v>
      </c>
      <c r="B6201" t="str">
        <f>"1552376999142128"</f>
        <v>1552376999142128</v>
      </c>
      <c r="C6201" t="s">
        <v>40</v>
      </c>
      <c r="D6201">
        <v>4.4242839999999903</v>
      </c>
      <c r="E6201">
        <v>0.46555069999999998</v>
      </c>
      <c r="F6201" t="s">
        <v>65</v>
      </c>
      <c r="G6201">
        <v>-301.11939999999998</v>
      </c>
      <c r="H6201" s="1">
        <v>-3.1219850000000001E-6</v>
      </c>
      <c r="I6201">
        <v>-45.043349999999997</v>
      </c>
      <c r="J6201">
        <v>-301.4083</v>
      </c>
      <c r="K6201">
        <v>1.109518</v>
      </c>
      <c r="L6201">
        <v>-29.95871</v>
      </c>
      <c r="M6201">
        <v>-2.9794959999999999E-2</v>
      </c>
      <c r="N6201">
        <v>0</v>
      </c>
      <c r="O6201">
        <v>-0.99946250000000003</v>
      </c>
      <c r="P6201">
        <v>-7.3439160000000003E-2</v>
      </c>
      <c r="Q6201">
        <v>-4.6767059999999999E-2</v>
      </c>
      <c r="R6201">
        <v>-0.99620310000000001</v>
      </c>
      <c r="S6201">
        <v>5.5145260000000001E-2</v>
      </c>
      <c r="T6201">
        <v>-0.2175474</v>
      </c>
      <c r="U6201">
        <v>-3.0050659999999998</v>
      </c>
      <c r="V6201">
        <v>4.3696459999999999E-2</v>
      </c>
      <c r="W6201">
        <v>-3.3130239999999998E-2</v>
      </c>
      <c r="X6201">
        <v>0.99849540000000003</v>
      </c>
      <c r="Y6201">
        <v>-4.8084429999999997E-2</v>
      </c>
      <c r="Z6201">
        <v>7.2108710000000006E-2</v>
      </c>
      <c r="AA6201">
        <v>0.99623700000000004</v>
      </c>
      <c r="AB6201">
        <v>23</v>
      </c>
      <c r="AC6201">
        <v>0.28890000000001198</v>
      </c>
      <c r="AD6201">
        <v>-1.1095211219850001</v>
      </c>
      <c r="AE6201">
        <v>-15.08464</v>
      </c>
      <c r="AF6201">
        <v>-0.73428889886090898</v>
      </c>
      <c r="AG6201">
        <v>-1.1095211219850001</v>
      </c>
      <c r="AH6201">
        <v>14.988275492932299</v>
      </c>
      <c r="AI6201">
        <v>94.228598655948005</v>
      </c>
      <c r="AJ6201">
        <v>92.804728564826306</v>
      </c>
      <c r="AK6201">
        <v>15.0472130163415</v>
      </c>
      <c r="AL6201">
        <v>91.898570295824996</v>
      </c>
      <c r="AM6201">
        <v>87.494203468963207</v>
      </c>
      <c r="AN6201">
        <v>1.0000000286200701</v>
      </c>
    </row>
    <row r="6202" spans="1:40" x14ac:dyDescent="0.25">
      <c r="A6202" t="str">
        <f>"20190312154959173"</f>
        <v>20190312154959173</v>
      </c>
      <c r="B6202" t="str">
        <f>"1552376999161647"</f>
        <v>1552376999161647</v>
      </c>
      <c r="C6202" t="s">
        <v>40</v>
      </c>
      <c r="D6202">
        <v>4.4480469999999999</v>
      </c>
      <c r="E6202">
        <v>0.46528910000000001</v>
      </c>
      <c r="F6202" t="s">
        <v>65</v>
      </c>
      <c r="G6202">
        <v>-301.12200000000001</v>
      </c>
      <c r="H6202" s="1">
        <v>-3.3472170000000002E-6</v>
      </c>
      <c r="I6202">
        <v>-45.408290000000001</v>
      </c>
      <c r="J6202">
        <v>-301.41640000000001</v>
      </c>
      <c r="K6202">
        <v>1.1095489999999999</v>
      </c>
      <c r="L6202">
        <v>-30.207550000000001</v>
      </c>
      <c r="M6202">
        <v>-3.0283339999999999E-2</v>
      </c>
      <c r="N6202">
        <v>0</v>
      </c>
      <c r="O6202">
        <v>-0.99944770000000005</v>
      </c>
      <c r="P6202">
        <v>-7.3575280000000007E-2</v>
      </c>
      <c r="Q6202">
        <v>-4.7513020000000003E-2</v>
      </c>
      <c r="R6202">
        <v>-0.99615750000000003</v>
      </c>
      <c r="S6202">
        <v>5.569458E-2</v>
      </c>
      <c r="T6202">
        <v>-0.2158349</v>
      </c>
      <c r="U6202">
        <v>-3.0054020000000001</v>
      </c>
      <c r="V6202">
        <v>4.3348520000000001E-2</v>
      </c>
      <c r="W6202">
        <v>-3.3875229999999999E-2</v>
      </c>
      <c r="X6202">
        <v>0.99848559999999997</v>
      </c>
      <c r="Y6202">
        <v>-4.875326E-2</v>
      </c>
      <c r="Z6202">
        <v>7.1533189999999997E-2</v>
      </c>
      <c r="AA6202">
        <v>0.99624599999999996</v>
      </c>
      <c r="AB6202">
        <v>23</v>
      </c>
      <c r="AC6202">
        <v>0.294399999999996</v>
      </c>
      <c r="AD6202">
        <v>-1.1095523472169999</v>
      </c>
      <c r="AE6202">
        <v>-15.20074</v>
      </c>
      <c r="AF6202">
        <v>-0.75063929908531402</v>
      </c>
      <c r="AG6202">
        <v>-1.1095523472169999</v>
      </c>
      <c r="AH6202">
        <v>15.1044042476406</v>
      </c>
      <c r="AI6202">
        <v>94.196176459349502</v>
      </c>
      <c r="AJ6202">
        <v>92.845071446169399</v>
      </c>
      <c r="AK6202">
        <v>15.163693265319299</v>
      </c>
      <c r="AL6202">
        <v>91.941278994191407</v>
      </c>
      <c r="AM6202">
        <v>87.5141067735874</v>
      </c>
      <c r="AN6202">
        <v>1.00000005940054</v>
      </c>
    </row>
    <row r="6203" spans="1:40" x14ac:dyDescent="0.25">
      <c r="A6203" t="str">
        <f>"20190312154959196"</f>
        <v>20190312154959196</v>
      </c>
      <c r="B6203" t="str">
        <f>"1552376999191905"</f>
        <v>1552376999191905</v>
      </c>
      <c r="C6203" t="s">
        <v>40</v>
      </c>
      <c r="D6203">
        <v>4.4307919999999896</v>
      </c>
      <c r="E6203">
        <v>0.46486359999999899</v>
      </c>
      <c r="F6203" t="s">
        <v>65</v>
      </c>
      <c r="G6203">
        <v>-301.1225</v>
      </c>
      <c r="H6203" s="1">
        <v>-3.4283790000000001E-6</v>
      </c>
      <c r="I6203">
        <v>-45.6419</v>
      </c>
      <c r="J6203">
        <v>-301.42399999999998</v>
      </c>
      <c r="K6203">
        <v>1.109594</v>
      </c>
      <c r="L6203">
        <v>-30.442350000000001</v>
      </c>
      <c r="M6203">
        <v>-3.0690680000000001E-2</v>
      </c>
      <c r="N6203">
        <v>0</v>
      </c>
      <c r="O6203">
        <v>-0.99943519999999997</v>
      </c>
      <c r="P6203">
        <v>-7.3736620000000003E-2</v>
      </c>
      <c r="Q6203">
        <v>-4.7917519999999998E-2</v>
      </c>
      <c r="R6203">
        <v>-0.99612610000000001</v>
      </c>
      <c r="S6203">
        <v>5.7220460000000001E-2</v>
      </c>
      <c r="T6203">
        <v>-0.21606040000000001</v>
      </c>
      <c r="U6203">
        <v>-3.005493</v>
      </c>
      <c r="V6203">
        <v>4.3106819999999997E-2</v>
      </c>
      <c r="W6203">
        <v>-3.4278360000000001E-2</v>
      </c>
      <c r="X6203">
        <v>0.99848219999999999</v>
      </c>
      <c r="Y6203">
        <v>-4.9665269999999997E-2</v>
      </c>
      <c r="Z6203">
        <v>7.1602109999999997E-2</v>
      </c>
      <c r="AA6203">
        <v>0.99619599999999997</v>
      </c>
      <c r="AB6203">
        <v>23</v>
      </c>
      <c r="AC6203">
        <v>0.30150000000003202</v>
      </c>
      <c r="AD6203">
        <v>-1.109597428379</v>
      </c>
      <c r="AE6203">
        <v>-15.19955</v>
      </c>
      <c r="AF6203">
        <v>-0.76381717531224103</v>
      </c>
      <c r="AG6203">
        <v>-1.109597428379</v>
      </c>
      <c r="AH6203">
        <v>15.102679585484699</v>
      </c>
      <c r="AI6203">
        <v>94.196640171090095</v>
      </c>
      <c r="AJ6203">
        <v>92.895263999519202</v>
      </c>
      <c r="AK6203">
        <v>15.162636769117199</v>
      </c>
      <c r="AL6203">
        <v>91.964390270587998</v>
      </c>
      <c r="AM6203">
        <v>87.527941813107006</v>
      </c>
      <c r="AN6203">
        <v>0.99999995380581896</v>
      </c>
    </row>
    <row r="6204" spans="1:40" x14ac:dyDescent="0.25">
      <c r="A6204" t="str">
        <f>"20190312154959230"</f>
        <v>20190312154959230</v>
      </c>
      <c r="B6204" t="str">
        <f>"1552376999221691"</f>
        <v>1552376999221691</v>
      </c>
      <c r="C6204" t="s">
        <v>40</v>
      </c>
      <c r="D6204">
        <v>4.4316300000000002</v>
      </c>
      <c r="E6204">
        <v>0.46448390000000001</v>
      </c>
      <c r="F6204" t="s">
        <v>65</v>
      </c>
      <c r="G6204">
        <v>-301.11270000000002</v>
      </c>
      <c r="H6204" s="1">
        <v>-3.560891E-6</v>
      </c>
      <c r="I6204">
        <v>-46.00638</v>
      </c>
      <c r="J6204">
        <v>-301.43509999999998</v>
      </c>
      <c r="K6204">
        <v>1.109667</v>
      </c>
      <c r="L6204">
        <v>-30.781099999999999</v>
      </c>
      <c r="M6204">
        <v>-3.116319E-2</v>
      </c>
      <c r="N6204">
        <v>0</v>
      </c>
      <c r="O6204">
        <v>-0.99942059999999999</v>
      </c>
      <c r="P6204">
        <v>-7.4661500000000006E-2</v>
      </c>
      <c r="Q6204">
        <v>-4.6854010000000001E-2</v>
      </c>
      <c r="R6204">
        <v>-0.99610779999999999</v>
      </c>
      <c r="S6204">
        <v>6.011963E-2</v>
      </c>
      <c r="T6204">
        <v>-0.2142906</v>
      </c>
      <c r="U6204">
        <v>-3.005798</v>
      </c>
      <c r="V6204">
        <v>4.3565630000000001E-2</v>
      </c>
      <c r="W6204">
        <v>-3.3211930000000001E-2</v>
      </c>
      <c r="X6204">
        <v>0.99849840000000001</v>
      </c>
      <c r="Y6204">
        <v>-5.1096830000000003E-2</v>
      </c>
      <c r="Z6204">
        <v>7.1006600000000003E-2</v>
      </c>
      <c r="AA6204">
        <v>0.9961662</v>
      </c>
      <c r="AB6204">
        <v>23</v>
      </c>
      <c r="AC6204">
        <v>0.322399999999959</v>
      </c>
      <c r="AD6204">
        <v>-1.109670560891</v>
      </c>
      <c r="AE6204">
        <v>-15.22528</v>
      </c>
      <c r="AF6204">
        <v>-0.79254799941438303</v>
      </c>
      <c r="AG6204">
        <v>-1.109670560891</v>
      </c>
      <c r="AH6204">
        <v>15.1275146448704</v>
      </c>
      <c r="AI6204">
        <v>94.189660859968001</v>
      </c>
      <c r="AJ6204">
        <v>92.999050238655499</v>
      </c>
      <c r="AK6204">
        <v>15.1888511881528</v>
      </c>
      <c r="AL6204">
        <v>91.9032533708057</v>
      </c>
      <c r="AM6204">
        <v>87.501703960748202</v>
      </c>
      <c r="AN6204">
        <v>1.00000002560709</v>
      </c>
    </row>
    <row r="6205" spans="1:40" x14ac:dyDescent="0.25">
      <c r="A6205" t="str">
        <f>"20190312154959260"</f>
        <v>20190312154959260</v>
      </c>
      <c r="B6205" t="str">
        <f>"1552376999251946"</f>
        <v>1552376999251946</v>
      </c>
      <c r="C6205" t="s">
        <v>40</v>
      </c>
      <c r="D6205">
        <v>4.4386859999999997</v>
      </c>
      <c r="E6205">
        <v>0.46408759999999999</v>
      </c>
      <c r="F6205" t="s">
        <v>65</v>
      </c>
      <c r="G6205">
        <v>-301.11369999999999</v>
      </c>
      <c r="H6205" s="1">
        <v>-3.9682210000000003E-6</v>
      </c>
      <c r="I6205">
        <v>-46.805689999999998</v>
      </c>
      <c r="J6205">
        <v>-301.44529999999997</v>
      </c>
      <c r="K6205">
        <v>1.1097349999999999</v>
      </c>
      <c r="L6205">
        <v>-31.092320000000001</v>
      </c>
      <c r="M6205">
        <v>-3.145506E-2</v>
      </c>
      <c r="N6205">
        <v>0</v>
      </c>
      <c r="O6205">
        <v>-0.99941159999999996</v>
      </c>
      <c r="P6205">
        <v>-7.5617799999999999E-2</v>
      </c>
      <c r="Q6205">
        <v>-4.5652150000000002E-2</v>
      </c>
      <c r="R6205">
        <v>-0.99609150000000002</v>
      </c>
      <c r="S6205">
        <v>6.0302729999999999E-2</v>
      </c>
      <c r="T6205">
        <v>-0.20818999999999999</v>
      </c>
      <c r="U6205">
        <v>-3.0064389999999999</v>
      </c>
      <c r="V6205">
        <v>4.4236119999999997E-2</v>
      </c>
      <c r="W6205">
        <v>-3.2006489999999999E-2</v>
      </c>
      <c r="X6205">
        <v>0.99850830000000002</v>
      </c>
      <c r="Y6205">
        <v>-5.1447739999999999E-2</v>
      </c>
      <c r="Z6205">
        <v>6.8978659999999997E-2</v>
      </c>
      <c r="AA6205">
        <v>0.99629069999999997</v>
      </c>
      <c r="AB6205">
        <v>22</v>
      </c>
      <c r="AC6205">
        <v>0.33159999999998002</v>
      </c>
      <c r="AD6205">
        <v>-1.1097389682209999</v>
      </c>
      <c r="AE6205">
        <v>-15.713369999999999</v>
      </c>
      <c r="AF6205">
        <v>-0.82165075882245997</v>
      </c>
      <c r="AG6205">
        <v>-1.1097389682209999</v>
      </c>
      <c r="AH6205">
        <v>15.617301360596</v>
      </c>
      <c r="AI6205">
        <v>94.058914419915993</v>
      </c>
      <c r="AJ6205">
        <v>93.011644296840799</v>
      </c>
      <c r="AK6205">
        <v>15.678224782632</v>
      </c>
      <c r="AL6205">
        <v>91.834149971530294</v>
      </c>
      <c r="AM6205">
        <v>87.463329290505797</v>
      </c>
      <c r="AN6205">
        <v>1.0000000374418301</v>
      </c>
    </row>
    <row r="6206" spans="1:40" x14ac:dyDescent="0.25">
      <c r="A6206" t="str">
        <f>"20190312154959286"</f>
        <v>20190312154959286</v>
      </c>
      <c r="B6206" t="str">
        <f>"1552376999272444"</f>
        <v>1552376999272444</v>
      </c>
      <c r="C6206" t="s">
        <v>40</v>
      </c>
      <c r="D6206">
        <v>4.4079379999999997</v>
      </c>
      <c r="E6206">
        <v>0.4638429</v>
      </c>
      <c r="F6206" t="s">
        <v>65</v>
      </c>
      <c r="G6206">
        <v>-301.11320000000001</v>
      </c>
      <c r="H6206" s="1">
        <v>-4.3685419999999997E-6</v>
      </c>
      <c r="I6206">
        <v>-47.5914</v>
      </c>
      <c r="J6206">
        <v>-301.45319999999998</v>
      </c>
      <c r="K6206">
        <v>1.109791</v>
      </c>
      <c r="L6206">
        <v>-31.337219999999999</v>
      </c>
      <c r="M6206">
        <v>-3.1595239999999997E-2</v>
      </c>
      <c r="N6206">
        <v>0</v>
      </c>
      <c r="O6206">
        <v>-0.9994073</v>
      </c>
      <c r="P6206">
        <v>-7.6343019999999998E-2</v>
      </c>
      <c r="Q6206">
        <v>-4.5124610000000002E-2</v>
      </c>
      <c r="R6206">
        <v>-0.99606039999999996</v>
      </c>
      <c r="S6206">
        <v>6.0516359999999998E-2</v>
      </c>
      <c r="T6206">
        <v>-0.2022601</v>
      </c>
      <c r="U6206">
        <v>-3.0071110000000001</v>
      </c>
      <c r="V6206">
        <v>4.482614E-2</v>
      </c>
      <c r="W6206">
        <v>-3.1476079999999997E-2</v>
      </c>
      <c r="X6206">
        <v>0.99849880000000002</v>
      </c>
      <c r="Y6206">
        <v>-5.1656800000000003E-2</v>
      </c>
      <c r="Z6206">
        <v>6.700718E-2</v>
      </c>
      <c r="AA6206">
        <v>0.99641440000000003</v>
      </c>
      <c r="AB6206">
        <v>22</v>
      </c>
      <c r="AC6206">
        <v>0.33999999999997499</v>
      </c>
      <c r="AD6206">
        <v>-1.1097953685419999</v>
      </c>
      <c r="AE6206">
        <v>-16.254179999999899</v>
      </c>
      <c r="AF6206">
        <v>-0.84947454286277102</v>
      </c>
      <c r="AG6206">
        <v>-1.1097953685419999</v>
      </c>
      <c r="AH6206">
        <v>16.160017951894201</v>
      </c>
      <c r="AI6206">
        <v>93.923241214600694</v>
      </c>
      <c r="AJ6206">
        <v>93.009065362844396</v>
      </c>
      <c r="AK6206">
        <v>16.220340100150601</v>
      </c>
      <c r="AL6206">
        <v>91.803744482656896</v>
      </c>
      <c r="AM6206">
        <v>87.429515913713502</v>
      </c>
      <c r="AN6206">
        <v>0.99999999002045303</v>
      </c>
    </row>
    <row r="6207" spans="1:40" x14ac:dyDescent="0.25">
      <c r="A6207" t="str">
        <f>"20190312154959311"</f>
        <v>20190312154959311</v>
      </c>
      <c r="B6207" t="str">
        <f>"1552376999302245"</f>
        <v>1552376999302245</v>
      </c>
      <c r="C6207" t="s">
        <v>40</v>
      </c>
      <c r="D6207">
        <v>4.4071389999999999</v>
      </c>
      <c r="E6207">
        <v>0.46350429999999998</v>
      </c>
      <c r="F6207" t="s">
        <v>65</v>
      </c>
      <c r="G6207">
        <v>-301.11630000000002</v>
      </c>
      <c r="H6207" s="1">
        <v>-4.6162529999999999E-6</v>
      </c>
      <c r="I6207">
        <v>-48.077199999999998</v>
      </c>
      <c r="J6207">
        <v>-301.46120000000002</v>
      </c>
      <c r="K6207">
        <v>1.109839</v>
      </c>
      <c r="L6207">
        <v>-31.58719</v>
      </c>
      <c r="M6207">
        <v>-3.1647540000000002E-2</v>
      </c>
      <c r="N6207">
        <v>0</v>
      </c>
      <c r="O6207">
        <v>-0.99940589999999996</v>
      </c>
      <c r="P6207">
        <v>-7.7350909999999995E-2</v>
      </c>
      <c r="Q6207">
        <v>-4.5023349999999997E-2</v>
      </c>
      <c r="R6207">
        <v>-0.99598739999999997</v>
      </c>
      <c r="S6207">
        <v>6.0516359999999998E-2</v>
      </c>
      <c r="T6207">
        <v>-0.19938400000000001</v>
      </c>
      <c r="U6207">
        <v>-3.0074770000000002</v>
      </c>
      <c r="V6207">
        <v>4.5787389999999997E-2</v>
      </c>
      <c r="W6207">
        <v>-3.137264E-2</v>
      </c>
      <c r="X6207">
        <v>0.99845839999999997</v>
      </c>
      <c r="Y6207">
        <v>-5.1707910000000003E-2</v>
      </c>
      <c r="Z6207">
        <v>6.6050280000000003E-2</v>
      </c>
      <c r="AA6207">
        <v>0.99647560000000002</v>
      </c>
      <c r="AB6207">
        <v>22</v>
      </c>
      <c r="AC6207">
        <v>0.34489999999999499</v>
      </c>
      <c r="AD6207">
        <v>-1.1098436162530001</v>
      </c>
      <c r="AE6207">
        <v>-16.490009999999899</v>
      </c>
      <c r="AF6207">
        <v>-0.86273772423830197</v>
      </c>
      <c r="AG6207">
        <v>-1.1098436162530001</v>
      </c>
      <c r="AH6207">
        <v>16.396590952066202</v>
      </c>
      <c r="AI6207">
        <v>93.866966344676101</v>
      </c>
      <c r="AJ6207">
        <v>93.011948568279394</v>
      </c>
      <c r="AK6207">
        <v>16.456739169189699</v>
      </c>
      <c r="AL6207">
        <v>91.797814946963101</v>
      </c>
      <c r="AM6207">
        <v>87.374364790760595</v>
      </c>
      <c r="AN6207">
        <v>0.99999995207706904</v>
      </c>
    </row>
    <row r="6208" spans="1:40" x14ac:dyDescent="0.25">
      <c r="A6208" t="str">
        <f>"20190312154959342"</f>
        <v>20190312154959342</v>
      </c>
      <c r="B6208" t="str">
        <f>"1552376999331508"</f>
        <v>1552376999331508</v>
      </c>
      <c r="C6208" t="s">
        <v>40</v>
      </c>
      <c r="D6208">
        <v>4.3851310000000003</v>
      </c>
      <c r="E6208">
        <v>0.4631653</v>
      </c>
      <c r="F6208" t="s">
        <v>65</v>
      </c>
      <c r="G6208">
        <v>-301.12610000000001</v>
      </c>
      <c r="H6208" s="1">
        <v>-4.8080829999999999E-6</v>
      </c>
      <c r="I6208">
        <v>-48.452559999999998</v>
      </c>
      <c r="J6208">
        <v>-301.47120000000001</v>
      </c>
      <c r="K6208">
        <v>1.109893</v>
      </c>
      <c r="L6208">
        <v>-31.901789999999998</v>
      </c>
      <c r="M6208">
        <v>-3.1626170000000002E-2</v>
      </c>
      <c r="N6208">
        <v>0</v>
      </c>
      <c r="O6208">
        <v>-0.99940640000000003</v>
      </c>
      <c r="P6208">
        <v>-7.7054629999999999E-2</v>
      </c>
      <c r="Q6208">
        <v>-4.369427E-2</v>
      </c>
      <c r="R6208">
        <v>-0.99606939999999999</v>
      </c>
      <c r="S6208">
        <v>5.9753420000000002E-2</v>
      </c>
      <c r="T6208">
        <v>-0.1979302</v>
      </c>
      <c r="U6208">
        <v>-3.0077820000000002</v>
      </c>
      <c r="V6208">
        <v>4.5513629999999999E-2</v>
      </c>
      <c r="W6208">
        <v>-3.0040710000000002E-2</v>
      </c>
      <c r="X6208">
        <v>0.99851190000000001</v>
      </c>
      <c r="Y6208">
        <v>-5.1432489999999997E-2</v>
      </c>
      <c r="Z6208">
        <v>6.5564860000000003E-2</v>
      </c>
      <c r="AA6208">
        <v>0.99652189999999996</v>
      </c>
      <c r="AB6208">
        <v>22</v>
      </c>
      <c r="AC6208">
        <v>0.34510000000000202</v>
      </c>
      <c r="AD6208">
        <v>-1.109897808083</v>
      </c>
      <c r="AE6208">
        <v>-16.550769999999901</v>
      </c>
      <c r="AF6208">
        <v>-0.864527504853559</v>
      </c>
      <c r="AG6208">
        <v>-1.109897808083</v>
      </c>
      <c r="AH6208">
        <v>16.457595229347</v>
      </c>
      <c r="AI6208">
        <v>93.852880625456294</v>
      </c>
      <c r="AJ6208">
        <v>93.007018319466297</v>
      </c>
      <c r="AK6208">
        <v>16.517618523384701</v>
      </c>
      <c r="AL6208">
        <v>91.721464927553498</v>
      </c>
      <c r="AM6208">
        <v>87.390181177765598</v>
      </c>
      <c r="AN6208">
        <v>0.99999997460734502</v>
      </c>
    </row>
    <row r="6209" spans="1:40" x14ac:dyDescent="0.25">
      <c r="A6209" t="str">
        <f>"20190312154959378"</f>
        <v>20190312154959378</v>
      </c>
      <c r="B6209" t="str">
        <f>"1552376999371525"</f>
        <v>1552376999371525</v>
      </c>
      <c r="C6209" t="s">
        <v>40</v>
      </c>
      <c r="D6209">
        <v>4.4666689999999996</v>
      </c>
      <c r="E6209">
        <v>0.46293010000000001</v>
      </c>
      <c r="F6209" t="s">
        <v>65</v>
      </c>
      <c r="G6209">
        <v>-301.10910000000001</v>
      </c>
      <c r="H6209" s="1">
        <v>-5.125265E-6</v>
      </c>
      <c r="I6209">
        <v>-49.076999999999998</v>
      </c>
      <c r="J6209">
        <v>-301.4821</v>
      </c>
      <c r="K6209">
        <v>1.109944</v>
      </c>
      <c r="L6209">
        <v>-32.248930000000001</v>
      </c>
      <c r="M6209">
        <v>-3.1452099999999997E-2</v>
      </c>
      <c r="N6209">
        <v>0</v>
      </c>
      <c r="O6209">
        <v>-0.99941190000000002</v>
      </c>
      <c r="P6209">
        <v>-7.5396080000000004E-2</v>
      </c>
      <c r="Q6209">
        <v>-4.3193839999999997E-2</v>
      </c>
      <c r="R6209">
        <v>-0.99621800000000005</v>
      </c>
      <c r="S6209">
        <v>6.3415529999999998E-2</v>
      </c>
      <c r="T6209">
        <v>-0.19439690000000001</v>
      </c>
      <c r="U6209">
        <v>-3.0082089999999999</v>
      </c>
      <c r="V6209">
        <v>4.4028989999999997E-2</v>
      </c>
      <c r="W6209">
        <v>-2.9537009999999999E-2</v>
      </c>
      <c r="X6209">
        <v>0.99859350000000002</v>
      </c>
      <c r="Y6209">
        <v>-5.2469950000000001E-2</v>
      </c>
      <c r="Z6209">
        <v>6.4388210000000001E-2</v>
      </c>
      <c r="AA6209">
        <v>0.99654450000000006</v>
      </c>
      <c r="AB6209">
        <v>22</v>
      </c>
      <c r="AC6209">
        <v>0.37299999999999001</v>
      </c>
      <c r="AD6209">
        <v>-1.109949125265</v>
      </c>
      <c r="AE6209">
        <v>-16.828069999999901</v>
      </c>
      <c r="AF6209">
        <v>-0.89823711502523396</v>
      </c>
      <c r="AG6209">
        <v>-1.109949125265</v>
      </c>
      <c r="AH6209">
        <v>16.735239572130698</v>
      </c>
      <c r="AI6209">
        <v>93.789093619174096</v>
      </c>
      <c r="AJ6209">
        <v>93.072310966163698</v>
      </c>
      <c r="AK6209">
        <v>16.796043001614901</v>
      </c>
      <c r="AL6209">
        <v>91.692592215556999</v>
      </c>
      <c r="AM6209">
        <v>87.475406659730993</v>
      </c>
      <c r="AN6209">
        <v>0.99999998258120504</v>
      </c>
    </row>
    <row r="6210" spans="1:40" x14ac:dyDescent="0.25">
      <c r="A6210" t="str">
        <f>"20190312154959410"</f>
        <v>20190312154959410</v>
      </c>
      <c r="B6210" t="str">
        <f>"1552376999402302"</f>
        <v>1552376999402302</v>
      </c>
      <c r="C6210" t="s">
        <v>40</v>
      </c>
      <c r="D6210">
        <v>4.4578569999999997</v>
      </c>
      <c r="E6210">
        <v>0.46272059999999998</v>
      </c>
      <c r="F6210" t="s">
        <v>65</v>
      </c>
      <c r="G6210">
        <v>-301.07780000000002</v>
      </c>
      <c r="H6210" s="1">
        <v>-5.4084520000000003E-6</v>
      </c>
      <c r="I6210">
        <v>-49.636339999999997</v>
      </c>
      <c r="J6210">
        <v>-301.49189999999999</v>
      </c>
      <c r="K6210">
        <v>1.110015</v>
      </c>
      <c r="L6210">
        <v>-32.57159</v>
      </c>
      <c r="M6210">
        <v>-3.113952E-2</v>
      </c>
      <c r="N6210">
        <v>0</v>
      </c>
      <c r="O6210">
        <v>-0.99942149999999996</v>
      </c>
      <c r="P6210">
        <v>-7.3048539999999995E-2</v>
      </c>
      <c r="Q6210">
        <v>-4.235104E-2</v>
      </c>
      <c r="R6210">
        <v>-0.9964288</v>
      </c>
      <c r="S6210">
        <v>6.9946289999999994E-2</v>
      </c>
      <c r="T6210">
        <v>-0.19204289999999999</v>
      </c>
      <c r="U6210">
        <v>-3.008362</v>
      </c>
      <c r="V6210">
        <v>4.1992750000000002E-2</v>
      </c>
      <c r="W6210">
        <v>-2.8689389999999999E-2</v>
      </c>
      <c r="X6210">
        <v>0.99870590000000004</v>
      </c>
      <c r="Y6210">
        <v>-5.431996E-2</v>
      </c>
      <c r="Z6210">
        <v>6.3604770000000005E-2</v>
      </c>
      <c r="AA6210">
        <v>0.99649569999999998</v>
      </c>
      <c r="AB6210">
        <v>22</v>
      </c>
      <c r="AC6210">
        <v>0.414099999999962</v>
      </c>
      <c r="AD6210">
        <v>-1.110020408452</v>
      </c>
      <c r="AE6210">
        <v>-17.06475</v>
      </c>
      <c r="AF6210">
        <v>-0.94135624929265604</v>
      </c>
      <c r="AG6210">
        <v>-1.110020408452</v>
      </c>
      <c r="AH6210">
        <v>16.9718081712866</v>
      </c>
      <c r="AI6210">
        <v>93.736304343799105</v>
      </c>
      <c r="AJ6210">
        <v>93.174707784998802</v>
      </c>
      <c r="AK6210">
        <v>17.034100196318398</v>
      </c>
      <c r="AL6210">
        <v>91.644006585244099</v>
      </c>
      <c r="AM6210">
        <v>87.592293250760207</v>
      </c>
      <c r="AN6210">
        <v>0.99999997342297198</v>
      </c>
    </row>
    <row r="6211" spans="1:40" x14ac:dyDescent="0.25">
      <c r="A6211" t="str">
        <f>"20190312154959446"</f>
        <v>20190312154959446</v>
      </c>
      <c r="B6211" t="str">
        <f>"1552376999442303"</f>
        <v>1552376999442303</v>
      </c>
      <c r="C6211" t="s">
        <v>40</v>
      </c>
      <c r="D6211">
        <v>4.4760140000000002</v>
      </c>
      <c r="E6211">
        <v>0.4624684</v>
      </c>
      <c r="F6211" t="s">
        <v>65</v>
      </c>
      <c r="G6211">
        <v>-301.03120000000001</v>
      </c>
      <c r="H6211" s="1">
        <v>-5.6722399999999999E-6</v>
      </c>
      <c r="I6211">
        <v>-50.159350000000003</v>
      </c>
      <c r="J6211">
        <v>-301.50240000000002</v>
      </c>
      <c r="K6211">
        <v>1.110107</v>
      </c>
      <c r="L6211">
        <v>-32.929020000000001</v>
      </c>
      <c r="M6211">
        <v>-3.0611570000000001E-2</v>
      </c>
      <c r="N6211">
        <v>0</v>
      </c>
      <c r="O6211">
        <v>-0.9994381</v>
      </c>
      <c r="P6211">
        <v>-7.1135249999999997E-2</v>
      </c>
      <c r="Q6211">
        <v>-4.2280230000000002E-2</v>
      </c>
      <c r="R6211">
        <v>-0.99657030000000002</v>
      </c>
      <c r="S6211">
        <v>7.8796389999999994E-2</v>
      </c>
      <c r="T6211">
        <v>-0.18987329999999999</v>
      </c>
      <c r="U6211">
        <v>-3.0084529999999998</v>
      </c>
      <c r="V6211">
        <v>4.0609350000000002E-2</v>
      </c>
      <c r="W6211">
        <v>-2.8613159999999999E-2</v>
      </c>
      <c r="X6211">
        <v>0.99876529999999997</v>
      </c>
      <c r="Y6211">
        <v>-5.6722450000000001E-2</v>
      </c>
      <c r="Z6211">
        <v>6.2882220000000003E-2</v>
      </c>
      <c r="AA6211">
        <v>0.99640770000000001</v>
      </c>
      <c r="AB6211">
        <v>22</v>
      </c>
      <c r="AC6211">
        <v>0.47120000000001</v>
      </c>
      <c r="AD6211">
        <v>-1.1101126722400001</v>
      </c>
      <c r="AE6211">
        <v>-17.230329999999999</v>
      </c>
      <c r="AF6211">
        <v>-0.99435134316373597</v>
      </c>
      <c r="AG6211">
        <v>-1.1101126722400001</v>
      </c>
      <c r="AH6211">
        <v>17.136747558309601</v>
      </c>
      <c r="AI6211">
        <v>93.700215873823495</v>
      </c>
      <c r="AJ6211">
        <v>93.320835836635297</v>
      </c>
      <c r="AK6211">
        <v>17.201430220070399</v>
      </c>
      <c r="AL6211">
        <v>91.639637125960405</v>
      </c>
      <c r="AM6211">
        <v>87.671661757310304</v>
      </c>
      <c r="AN6211">
        <v>0.99999997835834797</v>
      </c>
    </row>
    <row r="6212" spans="1:40" x14ac:dyDescent="0.25">
      <c r="A6212" t="str">
        <f>"20190312154959476"</f>
        <v>20190312154959476</v>
      </c>
      <c r="B6212" t="str">
        <f>"1552376999471583"</f>
        <v>1552376999471583</v>
      </c>
      <c r="C6212" t="s">
        <v>40</v>
      </c>
      <c r="D6212">
        <v>4.5290269999999904</v>
      </c>
      <c r="E6212">
        <v>0.46226660000000003</v>
      </c>
      <c r="F6212" t="s">
        <v>65</v>
      </c>
      <c r="G6212">
        <v>-300.9975</v>
      </c>
      <c r="H6212" s="1">
        <v>-5.8287319999999998E-6</v>
      </c>
      <c r="I6212">
        <v>-50.492069999999998</v>
      </c>
      <c r="J6212">
        <v>-301.51100000000002</v>
      </c>
      <c r="K6212">
        <v>1.1102000000000001</v>
      </c>
      <c r="L6212">
        <v>-33.233310000000003</v>
      </c>
      <c r="M6212">
        <v>-2.9962720000000002E-2</v>
      </c>
      <c r="N6212">
        <v>0</v>
      </c>
      <c r="O6212">
        <v>-0.99945779999999995</v>
      </c>
      <c r="P6212">
        <v>-6.8140599999999996E-2</v>
      </c>
      <c r="Q6212">
        <v>-4.0705900000000003E-2</v>
      </c>
      <c r="R6212">
        <v>-0.99684519999999999</v>
      </c>
      <c r="S6212">
        <v>8.6486820000000006E-2</v>
      </c>
      <c r="T6212">
        <v>-0.1901543</v>
      </c>
      <c r="U6212">
        <v>-3.0084230000000001</v>
      </c>
      <c r="V6212">
        <v>3.8260040000000002E-2</v>
      </c>
      <c r="W6212">
        <v>-2.70338E-2</v>
      </c>
      <c r="X6212">
        <v>0.99890210000000002</v>
      </c>
      <c r="Y6212">
        <v>-5.8619480000000002E-2</v>
      </c>
      <c r="Z6212">
        <v>6.2971739999999998E-2</v>
      </c>
      <c r="AA6212">
        <v>0.99629230000000002</v>
      </c>
      <c r="AB6212">
        <v>22</v>
      </c>
      <c r="AC6212">
        <v>0.51349999999996498</v>
      </c>
      <c r="AD6212">
        <v>-1.110205828732</v>
      </c>
      <c r="AE6212">
        <v>-17.258759999999999</v>
      </c>
      <c r="AF6212">
        <v>-1.0261943741644499</v>
      </c>
      <c r="AG6212">
        <v>-1.110205828732</v>
      </c>
      <c r="AH6212">
        <v>17.164658272991598</v>
      </c>
      <c r="AI6212">
        <v>93.694144139765498</v>
      </c>
      <c r="AJ6212">
        <v>93.421373359758505</v>
      </c>
      <c r="AK6212">
        <v>17.231109236038598</v>
      </c>
      <c r="AL6212">
        <v>91.549111323518503</v>
      </c>
      <c r="AM6212">
        <v>87.806524016696699</v>
      </c>
      <c r="AN6212">
        <v>1.00000003119382</v>
      </c>
    </row>
    <row r="6213" spans="1:40" x14ac:dyDescent="0.25">
      <c r="A6213" t="str">
        <f>"20190312154959521"</f>
        <v>20190312154959521</v>
      </c>
      <c r="B6213" t="str">
        <f>"1552376999511962"</f>
        <v>1552376999511962</v>
      </c>
      <c r="C6213" t="s">
        <v>40</v>
      </c>
      <c r="D6213">
        <v>4.5528550000000001</v>
      </c>
      <c r="E6213">
        <v>0.46204309999999998</v>
      </c>
      <c r="F6213" t="s">
        <v>65</v>
      </c>
      <c r="G6213">
        <v>-300.93079999999998</v>
      </c>
      <c r="H6213" s="1">
        <v>-6.0916570000000003E-6</v>
      </c>
      <c r="I6213">
        <v>-51.147100000000002</v>
      </c>
      <c r="J6213">
        <v>-301.52260000000001</v>
      </c>
      <c r="K6213">
        <v>1.1103540000000001</v>
      </c>
      <c r="L6213">
        <v>-33.670679999999997</v>
      </c>
      <c r="M6213">
        <v>-2.864442E-2</v>
      </c>
      <c r="N6213">
        <v>0</v>
      </c>
      <c r="O6213">
        <v>-0.99949639999999995</v>
      </c>
      <c r="P6213">
        <v>-6.32128E-2</v>
      </c>
      <c r="Q6213">
        <v>-3.6096759999999999E-2</v>
      </c>
      <c r="R6213">
        <v>-0.99734750000000005</v>
      </c>
      <c r="S6213">
        <v>9.7442630000000002E-2</v>
      </c>
      <c r="T6213">
        <v>-0.18645439999999999</v>
      </c>
      <c r="U6213">
        <v>-3.0085449999999998</v>
      </c>
      <c r="V6213">
        <v>3.4641150000000002E-2</v>
      </c>
      <c r="W6213">
        <v>-2.241456E-2</v>
      </c>
      <c r="X6213">
        <v>0.99914840000000005</v>
      </c>
      <c r="Y6213">
        <v>-6.0928589999999998E-2</v>
      </c>
      <c r="Z6213">
        <v>6.1744590000000002E-2</v>
      </c>
      <c r="AA6213">
        <v>0.99623050000000002</v>
      </c>
      <c r="AB6213">
        <v>22</v>
      </c>
      <c r="AC6213">
        <v>0.59180000000003397</v>
      </c>
      <c r="AD6213">
        <v>-1.110360091657</v>
      </c>
      <c r="AE6213">
        <v>-17.476420000000001</v>
      </c>
      <c r="AF6213">
        <v>-1.0878195722214801</v>
      </c>
      <c r="AG6213">
        <v>-1.110360091657</v>
      </c>
      <c r="AH6213">
        <v>17.382208326422901</v>
      </c>
      <c r="AI6213">
        <v>93.647920273421605</v>
      </c>
      <c r="AJ6213">
        <v>93.581034716032207</v>
      </c>
      <c r="AK6213">
        <v>17.4515734894599</v>
      </c>
      <c r="AL6213">
        <v>91.284367284026899</v>
      </c>
      <c r="AM6213">
        <v>88.014311999281603</v>
      </c>
      <c r="AN6213">
        <v>0.99999997349793701</v>
      </c>
    </row>
    <row r="6214" spans="1:40" x14ac:dyDescent="0.25">
      <c r="A6214" t="str">
        <f>"20190312154959552"</f>
        <v>20190312154959552</v>
      </c>
      <c r="B6214" t="str">
        <f>"1552376999542217"</f>
        <v>1552376999542217</v>
      </c>
      <c r="C6214" t="s">
        <v>40</v>
      </c>
      <c r="D6214">
        <v>4.573391</v>
      </c>
      <c r="E6214">
        <v>0.4619935</v>
      </c>
      <c r="F6214" t="s">
        <v>65</v>
      </c>
      <c r="G6214">
        <v>-300.81119999999999</v>
      </c>
      <c r="H6214" s="1">
        <v>-6.6236359999999997E-6</v>
      </c>
      <c r="I6214">
        <v>-52.470260000000003</v>
      </c>
      <c r="J6214">
        <v>-301.5301</v>
      </c>
      <c r="K6214">
        <v>1.110514</v>
      </c>
      <c r="L6214">
        <v>-33.981749999999998</v>
      </c>
      <c r="M6214">
        <v>-2.7301840000000001E-2</v>
      </c>
      <c r="N6214">
        <v>0</v>
      </c>
      <c r="O6214">
        <v>-0.99953420000000004</v>
      </c>
      <c r="P6214">
        <v>-5.90865E-2</v>
      </c>
      <c r="Q6214">
        <v>-3.7229110000000003E-2</v>
      </c>
      <c r="R6214">
        <v>-0.99755870000000002</v>
      </c>
      <c r="S6214">
        <v>0.11386110000000001</v>
      </c>
      <c r="T6214">
        <v>-0.17770649999999999</v>
      </c>
      <c r="U6214">
        <v>-3.008759</v>
      </c>
      <c r="V6214">
        <v>3.1862769999999999E-2</v>
      </c>
      <c r="W6214">
        <v>-2.353713E-2</v>
      </c>
      <c r="X6214">
        <v>0.99921510000000002</v>
      </c>
      <c r="Y6214">
        <v>-6.5021280000000001E-2</v>
      </c>
      <c r="Z6214">
        <v>5.8843949999999999E-2</v>
      </c>
      <c r="AA6214">
        <v>0.99614740000000002</v>
      </c>
      <c r="AB6214">
        <v>22</v>
      </c>
      <c r="AC6214">
        <v>0.71890000000001897</v>
      </c>
      <c r="AD6214">
        <v>-1.1105206236359999</v>
      </c>
      <c r="AE6214">
        <v>-18.488510000000002</v>
      </c>
      <c r="AF6214">
        <v>-1.2190577124202699</v>
      </c>
      <c r="AG6214">
        <v>-1.1105206236359999</v>
      </c>
      <c r="AH6214">
        <v>18.395718789138101</v>
      </c>
      <c r="AI6214">
        <v>93.447121071813996</v>
      </c>
      <c r="AJ6214">
        <v>93.791365078114197</v>
      </c>
      <c r="AK6214">
        <v>18.4694836833838</v>
      </c>
      <c r="AL6214">
        <v>91.348702727009496</v>
      </c>
      <c r="AM6214">
        <v>88.173582599894999</v>
      </c>
      <c r="AN6214">
        <v>1.0000000243343501</v>
      </c>
    </row>
    <row r="6215" spans="1:40" x14ac:dyDescent="0.25">
      <c r="A6215" t="str">
        <f>"20190312154959611"</f>
        <v>20190312154959611</v>
      </c>
      <c r="B6215" t="str">
        <f>"1552376999602274"</f>
        <v>1552376999602274</v>
      </c>
      <c r="C6215" t="s">
        <v>40</v>
      </c>
      <c r="D6215">
        <v>4.7205919999999999</v>
      </c>
      <c r="E6215">
        <v>0.44968269999999999</v>
      </c>
      <c r="F6215" t="s">
        <v>65</v>
      </c>
      <c r="G6215">
        <v>-300.75490000000002</v>
      </c>
      <c r="H6215" s="1">
        <v>-6.5849649999999997E-6</v>
      </c>
      <c r="I6215">
        <v>-52.383330000000001</v>
      </c>
      <c r="J6215">
        <v>-301.541</v>
      </c>
      <c r="K6215">
        <v>1.1109579999999999</v>
      </c>
      <c r="L6215">
        <v>-34.548650000000002</v>
      </c>
      <c r="M6215">
        <v>-2.3637160000000001E-2</v>
      </c>
      <c r="N6215">
        <v>0</v>
      </c>
      <c r="O6215">
        <v>-0.99962720000000005</v>
      </c>
      <c r="P6215">
        <v>-4.7836740000000003E-2</v>
      </c>
      <c r="Q6215">
        <v>-3.5876039999999998E-2</v>
      </c>
      <c r="R6215">
        <v>-0.99821070000000001</v>
      </c>
      <c r="S6215">
        <v>0.12670899999999999</v>
      </c>
      <c r="T6215">
        <v>-0.18153569999999999</v>
      </c>
      <c r="U6215">
        <v>-3.0080870000000002</v>
      </c>
      <c r="V6215">
        <v>2.4283039999999999E-2</v>
      </c>
      <c r="W6215">
        <v>-2.21628E-2</v>
      </c>
      <c r="X6215">
        <v>0.9994594</v>
      </c>
      <c r="Y6215">
        <v>-6.561591E-2</v>
      </c>
      <c r="Z6215">
        <v>6.0122889999999998E-2</v>
      </c>
      <c r="AA6215">
        <v>0.99603200000000003</v>
      </c>
      <c r="AB6215">
        <v>22</v>
      </c>
      <c r="AC6215">
        <v>0.78609999999997604</v>
      </c>
      <c r="AD6215">
        <v>-1.1109645849649901</v>
      </c>
      <c r="AE6215">
        <v>-17.834679999999999</v>
      </c>
      <c r="AF6215">
        <v>-1.20282256732824</v>
      </c>
      <c r="AG6215">
        <v>-1.1109645849649901</v>
      </c>
      <c r="AH6215">
        <v>17.742400160479999</v>
      </c>
      <c r="AI6215">
        <v>93.574791473190103</v>
      </c>
      <c r="AJ6215">
        <v>93.878357283082593</v>
      </c>
      <c r="AK6215">
        <v>17.817794136540101</v>
      </c>
      <c r="AL6215">
        <v>91.2699389131826</v>
      </c>
      <c r="AM6215">
        <v>88.608205559709006</v>
      </c>
      <c r="AN6215">
        <v>0.99999997399191998</v>
      </c>
    </row>
    <row r="6216" spans="1:40" x14ac:dyDescent="0.25">
      <c r="A6216" t="str">
        <f>"20190312154959654"</f>
        <v>20190312154959654</v>
      </c>
      <c r="B6216" t="str">
        <f>"1552376999642276"</f>
        <v>1552376999642276</v>
      </c>
      <c r="C6216" t="s">
        <v>40</v>
      </c>
      <c r="D6216">
        <v>4.6808630000000004</v>
      </c>
      <c r="E6216">
        <v>0.4477468</v>
      </c>
      <c r="F6216" t="s">
        <v>65</v>
      </c>
      <c r="G6216">
        <v>-300.24630000000002</v>
      </c>
      <c r="H6216" s="1">
        <v>-5.2974379999999899E-6</v>
      </c>
      <c r="I6216">
        <v>-49.513179999999998</v>
      </c>
      <c r="J6216">
        <v>-301.54629999999997</v>
      </c>
      <c r="K6216">
        <v>1.1113690000000001</v>
      </c>
      <c r="L6216">
        <v>-34.982120000000002</v>
      </c>
      <c r="M6216">
        <v>-1.9430889999999999E-2</v>
      </c>
      <c r="N6216">
        <v>0</v>
      </c>
      <c r="O6216">
        <v>-0.99971770000000004</v>
      </c>
      <c r="P6216">
        <v>-4.2491099999999997E-2</v>
      </c>
      <c r="Q6216">
        <v>-3.135421E-2</v>
      </c>
      <c r="R6216">
        <v>-0.99860459999999995</v>
      </c>
      <c r="S6216">
        <v>0.26040649999999999</v>
      </c>
      <c r="T6216">
        <v>-0.2234486</v>
      </c>
      <c r="U6216">
        <v>-3.009827</v>
      </c>
      <c r="V6216">
        <v>2.3139409999999999E-2</v>
      </c>
      <c r="W6216">
        <v>-1.7609039999999999E-2</v>
      </c>
      <c r="X6216">
        <v>0.99957720000000005</v>
      </c>
      <c r="Y6216">
        <v>-0.105306399999999</v>
      </c>
      <c r="Z6216">
        <v>7.367224E-2</v>
      </c>
      <c r="AA6216">
        <v>0.99170709999999995</v>
      </c>
      <c r="AB6216">
        <v>22</v>
      </c>
      <c r="AC6216">
        <v>1.2999999999999501</v>
      </c>
      <c r="AD6216">
        <v>-1.1113742974380001</v>
      </c>
      <c r="AE6216">
        <v>-14.531059999999901</v>
      </c>
      <c r="AF6216">
        <v>-1.57300396217119</v>
      </c>
      <c r="AG6216">
        <v>-1.1113742974380001</v>
      </c>
      <c r="AH6216">
        <v>14.4193757061893</v>
      </c>
      <c r="AI6216">
        <v>94.3814705052108</v>
      </c>
      <c r="AJ6216">
        <v>96.225755075193604</v>
      </c>
      <c r="AK6216">
        <v>14.547435858262199</v>
      </c>
      <c r="AL6216">
        <v>91.008975776363698</v>
      </c>
      <c r="AM6216">
        <v>88.6738855331688</v>
      </c>
      <c r="AN6216">
        <v>1.00000004467235</v>
      </c>
    </row>
    <row r="6217" spans="1:40" x14ac:dyDescent="0.25">
      <c r="A6217" t="str">
        <f>"20190312154959688"</f>
        <v>20190312154959688</v>
      </c>
      <c r="B6217" t="str">
        <f>"1552376999682293"</f>
        <v>1552376999682293</v>
      </c>
      <c r="C6217" t="s">
        <v>40</v>
      </c>
      <c r="D6217">
        <v>4.7317220000000004</v>
      </c>
      <c r="E6217">
        <v>0.44775120000000002</v>
      </c>
      <c r="F6217" t="s">
        <v>65</v>
      </c>
      <c r="G6217">
        <v>-299.88529999999997</v>
      </c>
      <c r="H6217" s="1">
        <v>-7.1177210000000004E-6</v>
      </c>
      <c r="I6217">
        <v>-52.114150000000002</v>
      </c>
      <c r="J6217">
        <v>-301.54809999999998</v>
      </c>
      <c r="K6217">
        <v>1.111659</v>
      </c>
      <c r="L6217">
        <v>-35.299959999999999</v>
      </c>
      <c r="M6217">
        <v>-1.5575200000000001E-2</v>
      </c>
      <c r="N6217">
        <v>0</v>
      </c>
      <c r="O6217">
        <v>-0.99978509999999998</v>
      </c>
      <c r="P6217">
        <v>-3.7988139999999997E-2</v>
      </c>
      <c r="Q6217">
        <v>-2.9999029999999999E-2</v>
      </c>
      <c r="R6217">
        <v>-0.99882789999999999</v>
      </c>
      <c r="S6217">
        <v>0.29187010000000002</v>
      </c>
      <c r="T6217">
        <v>-0.19529270000000001</v>
      </c>
      <c r="U6217">
        <v>-3.0104679999999999</v>
      </c>
      <c r="V6217">
        <v>2.2493450000000002E-2</v>
      </c>
      <c r="W6217">
        <v>-1.622906E-2</v>
      </c>
      <c r="X6217">
        <v>0.99961529999999998</v>
      </c>
      <c r="Y6217">
        <v>-0.1117913</v>
      </c>
      <c r="Z6217">
        <v>6.4370159999999996E-2</v>
      </c>
      <c r="AA6217">
        <v>0.99164470000000005</v>
      </c>
      <c r="AB6217">
        <v>22</v>
      </c>
      <c r="AC6217">
        <v>1.6628000000000001</v>
      </c>
      <c r="AD6217">
        <v>-1.1116661177210001</v>
      </c>
      <c r="AE6217">
        <v>-16.81419</v>
      </c>
      <c r="AF6217">
        <v>-1.91621219680453</v>
      </c>
      <c r="AG6217">
        <v>-1.1116661177210001</v>
      </c>
      <c r="AH6217">
        <v>16.713897614828799</v>
      </c>
      <c r="AI6217">
        <v>93.780530467042098</v>
      </c>
      <c r="AJ6217">
        <v>96.540281473060503</v>
      </c>
      <c r="AK6217">
        <v>16.860072485593101</v>
      </c>
      <c r="AL6217">
        <v>90.929897426442196</v>
      </c>
      <c r="AM6217">
        <v>88.710941803870895</v>
      </c>
      <c r="AN6217">
        <v>1.00000004283773</v>
      </c>
    </row>
    <row r="6218" spans="1:40" x14ac:dyDescent="0.25">
      <c r="A6218" t="str">
        <f>"20190312154959721"</f>
        <v>20190312154959721</v>
      </c>
      <c r="B6218" t="str">
        <f>"1552376999712082"</f>
        <v>1552376999712082</v>
      </c>
      <c r="C6218" t="s">
        <v>40</v>
      </c>
      <c r="D6218">
        <v>4.706251</v>
      </c>
      <c r="E6218">
        <v>0.44773350000000001</v>
      </c>
      <c r="F6218" t="s">
        <v>65</v>
      </c>
      <c r="G6218">
        <v>-299.76130000000001</v>
      </c>
      <c r="H6218" s="1">
        <v>-7.0715620000000004E-6</v>
      </c>
      <c r="I6218">
        <v>-52.911700000000003</v>
      </c>
      <c r="J6218">
        <v>-301.54770000000002</v>
      </c>
      <c r="K6218">
        <v>1.1119509999999999</v>
      </c>
      <c r="L6218">
        <v>-35.630490000000002</v>
      </c>
      <c r="M6218">
        <v>-1.0771620000000001E-2</v>
      </c>
      <c r="N6218">
        <v>0</v>
      </c>
      <c r="O6218">
        <v>-0.99984819999999996</v>
      </c>
      <c r="P6218">
        <v>-3.2502969999999999E-2</v>
      </c>
      <c r="Q6218">
        <v>-3.320758E-2</v>
      </c>
      <c r="R6218">
        <v>-0.99892000000000003</v>
      </c>
      <c r="S6218">
        <v>0.3053284</v>
      </c>
      <c r="T6218">
        <v>-0.1899574</v>
      </c>
      <c r="U6218">
        <v>-3.00943</v>
      </c>
      <c r="V6218">
        <v>2.1836120000000001E-2</v>
      </c>
      <c r="W6218">
        <v>-1.9410750000000001E-2</v>
      </c>
      <c r="X6218">
        <v>0.99957309999999999</v>
      </c>
      <c r="Y6218">
        <v>-0.1114525</v>
      </c>
      <c r="Z6218">
        <v>6.2633449999999993E-2</v>
      </c>
      <c r="AA6218">
        <v>0.99179399999999995</v>
      </c>
      <c r="AB6218">
        <v>22</v>
      </c>
      <c r="AC6218">
        <v>1.78640000000001</v>
      </c>
      <c r="AD6218">
        <v>-1.1119580715620001</v>
      </c>
      <c r="AE6218">
        <v>-17.281210000000002</v>
      </c>
      <c r="AF6218">
        <v>-1.96441321974495</v>
      </c>
      <c r="AG6218">
        <v>-1.1119580715620001</v>
      </c>
      <c r="AH6218">
        <v>17.190542050394502</v>
      </c>
      <c r="AI6218">
        <v>93.677116795967905</v>
      </c>
      <c r="AJ6218">
        <v>96.519077430170299</v>
      </c>
      <c r="AK6218">
        <v>17.338111374575998</v>
      </c>
      <c r="AL6218">
        <v>91.112223916651701</v>
      </c>
      <c r="AM6218">
        <v>88.748547201786906</v>
      </c>
      <c r="AN6218">
        <v>0.99999998779791299</v>
      </c>
    </row>
    <row r="6219" spans="1:40" x14ac:dyDescent="0.25">
      <c r="A6219" t="str">
        <f>"20190312154959757"</f>
        <v>20190312154959757</v>
      </c>
      <c r="B6219" t="str">
        <f>"1552376999752098"</f>
        <v>1552376999752098</v>
      </c>
      <c r="C6219" t="s">
        <v>40</v>
      </c>
      <c r="D6219">
        <v>4.7834560000000002</v>
      </c>
      <c r="E6219">
        <v>0.4475421</v>
      </c>
      <c r="F6219" t="s">
        <v>65</v>
      </c>
      <c r="G6219">
        <v>-299.77010000000001</v>
      </c>
      <c r="H6219" s="1">
        <v>-7.1391599999999999E-6</v>
      </c>
      <c r="I6219">
        <v>-52.283029999999997</v>
      </c>
      <c r="J6219">
        <v>-301.5446</v>
      </c>
      <c r="K6219">
        <v>1.112268</v>
      </c>
      <c r="L6219">
        <v>-35.975830000000002</v>
      </c>
      <c r="M6219">
        <v>-4.9337699999999996E-3</v>
      </c>
      <c r="N6219">
        <v>0</v>
      </c>
      <c r="O6219">
        <v>-0.9998937</v>
      </c>
      <c r="P6219">
        <v>-2.592997E-2</v>
      </c>
      <c r="Q6219">
        <v>-3.4441489999999998E-2</v>
      </c>
      <c r="R6219">
        <v>-0.99907049999999997</v>
      </c>
      <c r="S6219">
        <v>0.32098389999999999</v>
      </c>
      <c r="T6219">
        <v>-0.200791</v>
      </c>
      <c r="U6219">
        <v>-3.0070190000000001</v>
      </c>
      <c r="V6219">
        <v>2.111789E-2</v>
      </c>
      <c r="W6219">
        <v>-2.061232E-2</v>
      </c>
      <c r="X6219">
        <v>0.99956449999999997</v>
      </c>
      <c r="Y6219">
        <v>-0.1108138</v>
      </c>
      <c r="Z6219">
        <v>6.6232029999999997E-2</v>
      </c>
      <c r="AA6219">
        <v>0.99163179999999995</v>
      </c>
      <c r="AB6219">
        <v>22</v>
      </c>
      <c r="AC6219">
        <v>1.77449999999998</v>
      </c>
      <c r="AD6219">
        <v>-1.1122751391600001</v>
      </c>
      <c r="AE6219">
        <v>-16.307199999999899</v>
      </c>
      <c r="AF6219">
        <v>-1.8464522643407899</v>
      </c>
      <c r="AG6219">
        <v>-1.1122751391600001</v>
      </c>
      <c r="AH6219">
        <v>16.223652019634802</v>
      </c>
      <c r="AI6219">
        <v>93.896916904617896</v>
      </c>
      <c r="AJ6219">
        <v>96.493029278839501</v>
      </c>
      <c r="AK6219">
        <v>16.366228240003402</v>
      </c>
      <c r="AL6219">
        <v>91.181082572631894</v>
      </c>
      <c r="AM6219">
        <v>88.789686915603198</v>
      </c>
      <c r="AN6219">
        <v>1.00000001133704</v>
      </c>
    </row>
    <row r="6220" spans="1:40" x14ac:dyDescent="0.25">
      <c r="A6220" t="str">
        <f>"20190312154959790"</f>
        <v>20190312154959790</v>
      </c>
      <c r="B6220" t="str">
        <f>"1552376999782353"</f>
        <v>1552376999782353</v>
      </c>
      <c r="C6220" t="s">
        <v>40</v>
      </c>
      <c r="D6220">
        <v>4.8032059999999897</v>
      </c>
      <c r="E6220">
        <v>0.44730510000000001</v>
      </c>
      <c r="F6220" t="s">
        <v>65</v>
      </c>
      <c r="G6220">
        <v>-299.70330000000001</v>
      </c>
      <c r="H6220" s="1">
        <v>-7.1808239999999997E-6</v>
      </c>
      <c r="I6220">
        <v>-52.121250000000003</v>
      </c>
      <c r="J6220">
        <v>-301.5394</v>
      </c>
      <c r="K6220">
        <v>1.112536</v>
      </c>
      <c r="L6220">
        <v>-36.279629999999997</v>
      </c>
      <c r="M6220">
        <v>8.4857960000000001E-4</v>
      </c>
      <c r="N6220">
        <v>0</v>
      </c>
      <c r="O6220">
        <v>-0.99990520000000005</v>
      </c>
      <c r="P6220">
        <v>-1.6621190000000001E-2</v>
      </c>
      <c r="Q6220">
        <v>-3.363737E-2</v>
      </c>
      <c r="R6220">
        <v>-0.99929590000000001</v>
      </c>
      <c r="S6220">
        <v>0.34265139999999999</v>
      </c>
      <c r="T6220">
        <v>-0.20698639999999999</v>
      </c>
      <c r="U6220">
        <v>-3.0045470000000001</v>
      </c>
      <c r="V6220">
        <v>1.7595329999999999E-2</v>
      </c>
      <c r="W6220">
        <v>-1.9795340000000002E-2</v>
      </c>
      <c r="X6220">
        <v>0.99964920000000002</v>
      </c>
      <c r="Y6220">
        <v>-0.112202</v>
      </c>
      <c r="Z6220">
        <v>6.8290840000000005E-2</v>
      </c>
      <c r="AA6220">
        <v>0.99133599999999999</v>
      </c>
      <c r="AB6220">
        <v>22</v>
      </c>
      <c r="AC6220">
        <v>1.8360999999999801</v>
      </c>
      <c r="AD6220">
        <v>-1.1125431808239901</v>
      </c>
      <c r="AE6220">
        <v>-15.841620000000001</v>
      </c>
      <c r="AF6220">
        <v>-1.81382774296062</v>
      </c>
      <c r="AG6220">
        <v>-1.1125431808239901</v>
      </c>
      <c r="AH6220">
        <v>15.766441153304299</v>
      </c>
      <c r="AI6220">
        <v>94.009967374706306</v>
      </c>
      <c r="AJ6220">
        <v>96.562660420300205</v>
      </c>
      <c r="AK6220">
        <v>15.9093805677952</v>
      </c>
      <c r="AL6220">
        <v>91.134263536792801</v>
      </c>
      <c r="AM6220">
        <v>88.991612201494306</v>
      </c>
      <c r="AN6220">
        <v>0.99999998709208204</v>
      </c>
    </row>
    <row r="6221" spans="1:40" x14ac:dyDescent="0.25">
      <c r="A6221" t="str">
        <f>"20190312154959835"</f>
        <v>20190312154959835</v>
      </c>
      <c r="B6221" t="str">
        <f>"1552376999822370"</f>
        <v>1552376999822370</v>
      </c>
      <c r="C6221" t="s">
        <v>40</v>
      </c>
      <c r="D6221">
        <v>4.7540950000000004</v>
      </c>
      <c r="E6221">
        <v>0.44775320000000002</v>
      </c>
      <c r="F6221" t="s">
        <v>65</v>
      </c>
      <c r="G6221">
        <v>-299.57760000000002</v>
      </c>
      <c r="H6221" s="1">
        <v>-7.2251539999999999E-6</v>
      </c>
      <c r="I6221">
        <v>-52.119370000000004</v>
      </c>
      <c r="J6221">
        <v>-301.52769999999998</v>
      </c>
      <c r="K6221">
        <v>1.1128389999999999</v>
      </c>
      <c r="L6221">
        <v>-36.709350000000001</v>
      </c>
      <c r="M6221">
        <v>9.9744440000000007E-3</v>
      </c>
      <c r="N6221">
        <v>0</v>
      </c>
      <c r="O6221">
        <v>-0.99985550000000001</v>
      </c>
      <c r="P6221">
        <v>-3.0475279999999999E-3</v>
      </c>
      <c r="Q6221">
        <v>-3.303064E-2</v>
      </c>
      <c r="R6221">
        <v>-0.99944980000000005</v>
      </c>
      <c r="S6221">
        <v>0.37170409999999998</v>
      </c>
      <c r="T6221">
        <v>-0.21079609999999999</v>
      </c>
      <c r="U6221">
        <v>-3.0011899999999998</v>
      </c>
      <c r="V6221">
        <v>1.3153349999999999E-2</v>
      </c>
      <c r="W6221">
        <v>-1.917721E-2</v>
      </c>
      <c r="X6221">
        <v>0.9997296</v>
      </c>
      <c r="Y6221">
        <v>-0.1127095</v>
      </c>
      <c r="Z6221">
        <v>6.9572019999999998E-2</v>
      </c>
      <c r="AA6221">
        <v>0.9911894</v>
      </c>
      <c r="AB6221">
        <v>22</v>
      </c>
      <c r="AC6221">
        <v>1.95009999999996</v>
      </c>
      <c r="AD6221">
        <v>-1.1128462251539999</v>
      </c>
      <c r="AE6221">
        <v>-15.410019999999999</v>
      </c>
      <c r="AF6221">
        <v>-1.78710894659237</v>
      </c>
      <c r="AG6221">
        <v>-1.1128462251539999</v>
      </c>
      <c r="AH6221">
        <v>15.349916453127101</v>
      </c>
      <c r="AI6221">
        <v>94.118880052829297</v>
      </c>
      <c r="AJ6221">
        <v>96.640745426198094</v>
      </c>
      <c r="AK6221">
        <v>15.493615466566</v>
      </c>
      <c r="AL6221">
        <v>91.098840528453394</v>
      </c>
      <c r="AM6221">
        <v>89.246208214320603</v>
      </c>
      <c r="AN6221">
        <v>1.00000002455788</v>
      </c>
    </row>
    <row r="6222" spans="1:40" x14ac:dyDescent="0.25">
      <c r="A6222" t="str">
        <f>"20190312154959868"</f>
        <v>20190312154959868</v>
      </c>
      <c r="B6222" t="str">
        <f>"1552376999862386"</f>
        <v>1552376999862386</v>
      </c>
      <c r="C6222" t="s">
        <v>40</v>
      </c>
      <c r="D6222">
        <v>4.8044180000000001</v>
      </c>
      <c r="E6222">
        <v>0.4482371</v>
      </c>
      <c r="F6222" t="s">
        <v>65</v>
      </c>
      <c r="G6222">
        <v>-299.3818</v>
      </c>
      <c r="H6222" s="1">
        <v>-7.2581229999999996E-6</v>
      </c>
      <c r="I6222">
        <v>-52.437240000000003</v>
      </c>
      <c r="J6222">
        <v>-301.51560000000001</v>
      </c>
      <c r="K6222">
        <v>1.1129929999999999</v>
      </c>
      <c r="L6222">
        <v>-37.032229999999998</v>
      </c>
      <c r="M6222">
        <v>1.740715E-2</v>
      </c>
      <c r="N6222">
        <v>0</v>
      </c>
      <c r="O6222">
        <v>-0.99975340000000001</v>
      </c>
      <c r="P6222">
        <v>7.4992369999999997E-3</v>
      </c>
      <c r="Q6222">
        <v>-3.253292E-2</v>
      </c>
      <c r="R6222">
        <v>-0.99944259999999996</v>
      </c>
      <c r="S6222">
        <v>0.40875240000000002</v>
      </c>
      <c r="T6222">
        <v>-0.2119771</v>
      </c>
      <c r="U6222">
        <v>-2.9958800000000001</v>
      </c>
      <c r="V6222">
        <v>1.0040520000000001E-2</v>
      </c>
      <c r="W6222">
        <v>-1.8677559999999999E-2</v>
      </c>
      <c r="X6222">
        <v>0.99977519999999998</v>
      </c>
      <c r="Y6222">
        <v>-0.1175848</v>
      </c>
      <c r="Z6222">
        <v>6.9996390000000006E-2</v>
      </c>
      <c r="AA6222">
        <v>0.9905929</v>
      </c>
      <c r="AB6222">
        <v>22</v>
      </c>
      <c r="AC6222">
        <v>2.1337999999999999</v>
      </c>
      <c r="AD6222">
        <v>-1.1130002581230001</v>
      </c>
      <c r="AE6222">
        <v>-15.405010000000001</v>
      </c>
      <c r="AF6222">
        <v>-1.85578904524868</v>
      </c>
      <c r="AG6222">
        <v>-1.1130002581230001</v>
      </c>
      <c r="AH6222">
        <v>15.3611473540146</v>
      </c>
      <c r="AI6222">
        <v>94.114342683608498</v>
      </c>
      <c r="AJ6222">
        <v>96.888552263707197</v>
      </c>
      <c r="AK6222">
        <v>15.5128195563153</v>
      </c>
      <c r="AL6222">
        <v>91.070207528714207</v>
      </c>
      <c r="AM6222">
        <v>89.424610571561601</v>
      </c>
      <c r="AN6222">
        <v>1.00000005691223</v>
      </c>
    </row>
    <row r="6223" spans="1:40" x14ac:dyDescent="0.25">
      <c r="A6223" t="str">
        <f>"20190312154959891"</f>
        <v>20190312154959891</v>
      </c>
      <c r="B6223" t="str">
        <f>"1552376999882881"</f>
        <v>1552376999882881</v>
      </c>
      <c r="C6223" t="s">
        <v>40</v>
      </c>
      <c r="D6223">
        <v>4.7553799999999997</v>
      </c>
      <c r="E6223">
        <v>0.45436169999999998</v>
      </c>
      <c r="F6223" t="s">
        <v>65</v>
      </c>
      <c r="G6223">
        <v>-299.2251</v>
      </c>
      <c r="H6223" s="1">
        <v>-7.2811389999999996E-6</v>
      </c>
      <c r="I6223">
        <v>-52.721719999999998</v>
      </c>
      <c r="J6223">
        <v>-301.50540000000001</v>
      </c>
      <c r="K6223">
        <v>1.1130880000000001</v>
      </c>
      <c r="L6223">
        <v>-37.25638</v>
      </c>
      <c r="M6223">
        <v>2.2860100000000001E-2</v>
      </c>
      <c r="N6223">
        <v>0</v>
      </c>
      <c r="O6223">
        <v>-0.99964359999999997</v>
      </c>
      <c r="P6223">
        <v>1.6294469999999998E-2</v>
      </c>
      <c r="Q6223">
        <v>-3.2640780000000001E-2</v>
      </c>
      <c r="R6223">
        <v>-0.99933439999999996</v>
      </c>
      <c r="S6223">
        <v>0.43673709999999999</v>
      </c>
      <c r="T6223">
        <v>-0.21221380000000001</v>
      </c>
      <c r="U6223">
        <v>-2.9914860000000001</v>
      </c>
      <c r="V6223">
        <v>6.7016050000000002E-3</v>
      </c>
      <c r="W6223">
        <v>-1.8794580000000002E-2</v>
      </c>
      <c r="X6223">
        <v>0.99980089999999999</v>
      </c>
      <c r="Y6223">
        <v>-0.1214464</v>
      </c>
      <c r="Z6223">
        <v>7.010226E-2</v>
      </c>
      <c r="AA6223">
        <v>0.99011939999999998</v>
      </c>
      <c r="AB6223">
        <v>22</v>
      </c>
      <c r="AC6223">
        <v>2.2803000000000102</v>
      </c>
      <c r="AD6223">
        <v>-1.11309528113899</v>
      </c>
      <c r="AE6223">
        <v>-15.4653399999999</v>
      </c>
      <c r="AF6223">
        <v>-1.9164149959549699</v>
      </c>
      <c r="AG6223">
        <v>-1.11309528113899</v>
      </c>
      <c r="AH6223">
        <v>15.435174730322901</v>
      </c>
      <c r="AI6223">
        <v>94.093377215115694</v>
      </c>
      <c r="AJ6223">
        <v>97.077563860785105</v>
      </c>
      <c r="AK6223">
        <v>15.593468071510401</v>
      </c>
      <c r="AL6223">
        <v>91.076913525672694</v>
      </c>
      <c r="AM6223">
        <v>89.615955604711004</v>
      </c>
      <c r="AN6223">
        <v>0.99999999369388104</v>
      </c>
    </row>
    <row r="6224" spans="1:40" x14ac:dyDescent="0.25">
      <c r="A6224" t="str">
        <f>"20190312154959916"</f>
        <v>20190312154959916</v>
      </c>
      <c r="B6224" t="str">
        <f>"1552376999912161"</f>
        <v>1552376999912161</v>
      </c>
      <c r="C6224" t="s">
        <v>40</v>
      </c>
      <c r="D6224">
        <v>4.7915289999999997</v>
      </c>
      <c r="E6224">
        <v>0.4556693</v>
      </c>
      <c r="F6224" t="s">
        <v>65</v>
      </c>
      <c r="G6224">
        <v>-299.71660000000003</v>
      </c>
      <c r="H6224" s="1">
        <v>-5.6526410000000004E-6</v>
      </c>
      <c r="I6224">
        <v>-50.138210000000001</v>
      </c>
      <c r="J6224">
        <v>-301.49310000000003</v>
      </c>
      <c r="K6224">
        <v>1.113186</v>
      </c>
      <c r="L6224">
        <v>-37.491849999999999</v>
      </c>
      <c r="M6224">
        <v>2.880243E-2</v>
      </c>
      <c r="N6224">
        <v>0</v>
      </c>
      <c r="O6224">
        <v>-0.99948970000000004</v>
      </c>
      <c r="P6224">
        <v>2.6540520000000001E-2</v>
      </c>
      <c r="Q6224">
        <v>-3.3618740000000001E-2</v>
      </c>
      <c r="R6224">
        <v>-0.99908240000000004</v>
      </c>
      <c r="S6224">
        <v>0.41476439999999998</v>
      </c>
      <c r="T6224">
        <v>-0.25808490000000001</v>
      </c>
      <c r="U6224">
        <v>-2.9868160000000001</v>
      </c>
      <c r="V6224">
        <v>2.406409E-3</v>
      </c>
      <c r="W6224">
        <v>-1.978978E-2</v>
      </c>
      <c r="X6224">
        <v>0.9998013</v>
      </c>
      <c r="Y6224">
        <v>-0.1084547</v>
      </c>
      <c r="Z6224">
        <v>8.5373599999999994E-2</v>
      </c>
      <c r="AA6224">
        <v>0.99042870000000005</v>
      </c>
      <c r="AB6224">
        <v>22</v>
      </c>
      <c r="AC6224">
        <v>1.77649999999999</v>
      </c>
      <c r="AD6224">
        <v>-1.113191652641</v>
      </c>
      <c r="AE6224">
        <v>-12.64636</v>
      </c>
      <c r="AF6224">
        <v>-1.4008380574905801</v>
      </c>
      <c r="AG6224">
        <v>-1.113191652641</v>
      </c>
      <c r="AH6224">
        <v>12.596570928308701</v>
      </c>
      <c r="AI6224">
        <v>95.019473434035802</v>
      </c>
      <c r="AJ6224">
        <v>96.345669012422405</v>
      </c>
      <c r="AK6224">
        <v>12.7230162332182</v>
      </c>
      <c r="AL6224">
        <v>91.133944857956607</v>
      </c>
      <c r="AM6224">
        <v>89.862095785194796</v>
      </c>
      <c r="AN6224">
        <v>1.0000000328392</v>
      </c>
    </row>
    <row r="6225" spans="1:40" x14ac:dyDescent="0.25">
      <c r="A6225" t="str">
        <f>"20190312154959958"</f>
        <v>20190312154959958</v>
      </c>
      <c r="B6225" t="str">
        <f>"1552376999952178"</f>
        <v>1552376999952178</v>
      </c>
      <c r="C6225" t="s">
        <v>40</v>
      </c>
      <c r="D6225">
        <v>4.7970079999999999</v>
      </c>
      <c r="E6225">
        <v>0.42953069999999999</v>
      </c>
      <c r="F6225" t="s">
        <v>65</v>
      </c>
      <c r="G6225">
        <v>-299.69670000000002</v>
      </c>
      <c r="H6225" s="1">
        <v>-5.4863980000000001E-6</v>
      </c>
      <c r="I6225">
        <v>-49.803260000000002</v>
      </c>
      <c r="J6225">
        <v>-301.4692</v>
      </c>
      <c r="K6225">
        <v>1.113372</v>
      </c>
      <c r="L6225">
        <v>-37.879330000000003</v>
      </c>
      <c r="M6225">
        <v>3.9103850000000002E-2</v>
      </c>
      <c r="N6225">
        <v>0</v>
      </c>
      <c r="O6225">
        <v>-0.99913920000000001</v>
      </c>
      <c r="P6225">
        <v>4.173164E-2</v>
      </c>
      <c r="Q6225">
        <v>-3.5496960000000001E-2</v>
      </c>
      <c r="R6225">
        <v>-0.99849810000000006</v>
      </c>
      <c r="S6225">
        <v>0.43515009999999998</v>
      </c>
      <c r="T6225">
        <v>-0.26964149999999998</v>
      </c>
      <c r="U6225">
        <v>-2.9821170000000001</v>
      </c>
      <c r="V6225">
        <v>-2.4687820000000001E-3</v>
      </c>
      <c r="W6225">
        <v>-2.168134E-2</v>
      </c>
      <c r="X6225">
        <v>0.99976189999999998</v>
      </c>
      <c r="Y6225">
        <v>-0.1050065</v>
      </c>
      <c r="Z6225">
        <v>8.9231950000000004E-2</v>
      </c>
      <c r="AA6225">
        <v>0.99046020000000001</v>
      </c>
      <c r="AB6225">
        <v>21</v>
      </c>
      <c r="AC6225">
        <v>1.77249999999997</v>
      </c>
      <c r="AD6225">
        <v>-1.1133774863979999</v>
      </c>
      <c r="AE6225">
        <v>-11.92393</v>
      </c>
      <c r="AF6225">
        <v>-1.2937916004544701</v>
      </c>
      <c r="AG6225">
        <v>-1.1133774863979999</v>
      </c>
      <c r="AH6225">
        <v>11.8827653480325</v>
      </c>
      <c r="AI6225">
        <v>95.321537595517697</v>
      </c>
      <c r="AJ6225">
        <v>96.213868172989706</v>
      </c>
      <c r="AK6225">
        <v>12.004733168589199</v>
      </c>
      <c r="AL6225">
        <v>91.242346603045704</v>
      </c>
      <c r="AM6225">
        <v>90.141484189012004</v>
      </c>
      <c r="AN6225">
        <v>1.0000000160401801</v>
      </c>
    </row>
    <row r="6226" spans="1:40" x14ac:dyDescent="0.25">
      <c r="A6226" t="str">
        <f>"20190312154959991"</f>
        <v>20190312154959991</v>
      </c>
      <c r="B6226" t="str">
        <f>"1552376999982433"</f>
        <v>1552376999982433</v>
      </c>
      <c r="C6226" t="s">
        <v>40</v>
      </c>
      <c r="D6226">
        <v>4.7302379999999999</v>
      </c>
      <c r="E6226">
        <v>0.41366960000000003</v>
      </c>
      <c r="F6226" t="s">
        <v>65</v>
      </c>
      <c r="G6226">
        <v>-298.16759999999999</v>
      </c>
      <c r="H6226" s="1">
        <v>-7.7206810000000002E-6</v>
      </c>
      <c r="I6226">
        <v>-52.113759999999999</v>
      </c>
      <c r="J6226">
        <v>-301.44639999999998</v>
      </c>
      <c r="K6226">
        <v>1.1135440000000001</v>
      </c>
      <c r="L6226">
        <v>-38.191769999999998</v>
      </c>
      <c r="M6226">
        <v>4.7907110000000003E-2</v>
      </c>
      <c r="N6226">
        <v>0</v>
      </c>
      <c r="O6226">
        <v>-0.99875559999999997</v>
      </c>
      <c r="P6226">
        <v>5.2620609999999998E-2</v>
      </c>
      <c r="Q6226">
        <v>-3.540244E-2</v>
      </c>
      <c r="R6226">
        <v>-0.99798699999999996</v>
      </c>
      <c r="S6226">
        <v>0.6882935</v>
      </c>
      <c r="T6226">
        <v>-0.23211010000000001</v>
      </c>
      <c r="U6226">
        <v>-2.9674990000000001</v>
      </c>
      <c r="V6226">
        <v>-4.5549279999999998E-3</v>
      </c>
      <c r="W6226">
        <v>-2.1581929999999999E-2</v>
      </c>
      <c r="X6226">
        <v>0.99975670000000005</v>
      </c>
      <c r="Y6226">
        <v>-0.17835689999999901</v>
      </c>
      <c r="Z6226">
        <v>7.6215249999999998E-2</v>
      </c>
      <c r="AA6226">
        <v>0.98100969999999998</v>
      </c>
      <c r="AB6226">
        <v>21</v>
      </c>
      <c r="AC6226">
        <v>3.27879999999998</v>
      </c>
      <c r="AD6226">
        <v>-1.1135517206809999</v>
      </c>
      <c r="AE6226">
        <v>-13.921989999999999</v>
      </c>
      <c r="AF6226">
        <v>-2.59229517279572</v>
      </c>
      <c r="AG6226">
        <v>-1.1135517206809999</v>
      </c>
      <c r="AH6226">
        <v>13.9783659064717</v>
      </c>
      <c r="AI6226">
        <v>94.478661815037896</v>
      </c>
      <c r="AJ6226">
        <v>100.506174603735</v>
      </c>
      <c r="AK6226">
        <v>14.260249125199101</v>
      </c>
      <c r="AL6226">
        <v>91.236649524952895</v>
      </c>
      <c r="AM6226">
        <v>90.261039855656705</v>
      </c>
      <c r="AN6226">
        <v>0.99999999313325005</v>
      </c>
    </row>
    <row r="6227" spans="1:40" x14ac:dyDescent="0.25">
      <c r="A6227" t="str">
        <f>"20190312155000032"</f>
        <v>20190312155000032</v>
      </c>
      <c r="B6227" t="str">
        <f>"1552377000022449"</f>
        <v>1552377000022449</v>
      </c>
      <c r="C6227" t="s">
        <v>40</v>
      </c>
      <c r="D6227">
        <v>4.7094319999999996</v>
      </c>
      <c r="E6227">
        <v>0.34820830000000003</v>
      </c>
      <c r="F6227" t="s">
        <v>65</v>
      </c>
      <c r="G6227">
        <v>-297.83409999999998</v>
      </c>
      <c r="H6227" s="1">
        <v>-7.98734E-6</v>
      </c>
      <c r="I6227">
        <v>-50.783929999999998</v>
      </c>
      <c r="J6227">
        <v>-301.41390000000001</v>
      </c>
      <c r="K6227">
        <v>1.1137239999999999</v>
      </c>
      <c r="L6227">
        <v>-38.574219999999997</v>
      </c>
      <c r="M6227">
        <v>5.9316710000000002E-2</v>
      </c>
      <c r="N6227">
        <v>0</v>
      </c>
      <c r="O6227">
        <v>-0.99814250000000004</v>
      </c>
      <c r="P6227">
        <v>6.4730590000000005E-2</v>
      </c>
      <c r="Q6227">
        <v>-3.7293560000000003E-2</v>
      </c>
      <c r="R6227">
        <v>-0.99720569999999997</v>
      </c>
      <c r="S6227">
        <v>0.84689329999999996</v>
      </c>
      <c r="T6227">
        <v>-0.26106489999999999</v>
      </c>
      <c r="U6227">
        <v>-2.9521480000000002</v>
      </c>
      <c r="V6227">
        <v>-5.2430910000000001E-3</v>
      </c>
      <c r="W6227">
        <v>-2.3451909999999999E-2</v>
      </c>
      <c r="X6227">
        <v>0.99971120000000002</v>
      </c>
      <c r="Y6227">
        <v>-0.21724350000000001</v>
      </c>
      <c r="Z6227">
        <v>8.5102919999999999E-2</v>
      </c>
      <c r="AA6227">
        <v>0.9724005</v>
      </c>
      <c r="AB6227">
        <v>21</v>
      </c>
      <c r="AC6227">
        <v>3.5798000000000298</v>
      </c>
      <c r="AD6227">
        <v>-1.11373198734</v>
      </c>
      <c r="AE6227">
        <v>-12.2097099999999</v>
      </c>
      <c r="AF6227">
        <v>-2.8275215989598199</v>
      </c>
      <c r="AG6227">
        <v>-1.11373198734</v>
      </c>
      <c r="AH6227">
        <v>12.306280224206001</v>
      </c>
      <c r="AI6227">
        <v>95.040609212991498</v>
      </c>
      <c r="AJ6227">
        <v>102.939839287314</v>
      </c>
      <c r="AK6227">
        <v>12.6759540188852</v>
      </c>
      <c r="AL6227">
        <v>91.343818688516905</v>
      </c>
      <c r="AM6227">
        <v>90.300491013432804</v>
      </c>
      <c r="AN6227">
        <v>0.99999998274566104</v>
      </c>
    </row>
    <row r="6228" spans="1:40" x14ac:dyDescent="0.25">
      <c r="A6228" t="str">
        <f>"20190312155000058"</f>
        <v>20190312155000058</v>
      </c>
      <c r="B6228" t="str">
        <f>"1552377000051730"</f>
        <v>1552377000051730</v>
      </c>
      <c r="C6228" t="s">
        <v>40</v>
      </c>
      <c r="D6228">
        <v>4.7223040000000003</v>
      </c>
      <c r="E6228">
        <v>0.34639629999999999</v>
      </c>
      <c r="F6228" t="s">
        <v>65</v>
      </c>
      <c r="G6228">
        <v>-295.90230000000003</v>
      </c>
      <c r="H6228" s="1">
        <v>-6.2073020000000003E-6</v>
      </c>
      <c r="I6228">
        <v>-49.986379999999997</v>
      </c>
      <c r="J6228">
        <v>-301.38990000000001</v>
      </c>
      <c r="K6228">
        <v>1.113807</v>
      </c>
      <c r="L6228">
        <v>-38.823459999999997</v>
      </c>
      <c r="M6228">
        <v>6.7110169999999997E-2</v>
      </c>
      <c r="N6228">
        <v>0</v>
      </c>
      <c r="O6228">
        <v>-0.9976486</v>
      </c>
      <c r="P6228">
        <v>7.2844240000000005E-2</v>
      </c>
      <c r="Q6228">
        <v>-4.0053190000000002E-2</v>
      </c>
      <c r="R6228">
        <v>-0.99653890000000001</v>
      </c>
      <c r="S6228">
        <v>1.4038090000000001</v>
      </c>
      <c r="T6228">
        <v>-0.283667</v>
      </c>
      <c r="U6228">
        <v>-2.9066770000000002</v>
      </c>
      <c r="V6228">
        <v>-5.5463700000000001E-3</v>
      </c>
      <c r="W6228">
        <v>-2.619726E-2</v>
      </c>
      <c r="X6228">
        <v>0.99964140000000001</v>
      </c>
      <c r="Y6228">
        <v>-0.37177759999999999</v>
      </c>
      <c r="Z6228">
        <v>8.8480580000000003E-2</v>
      </c>
      <c r="AA6228">
        <v>0.92409560000000002</v>
      </c>
      <c r="AB6228">
        <v>21</v>
      </c>
      <c r="AC6228">
        <v>5.48759999999998</v>
      </c>
      <c r="AD6228">
        <v>-1.113813207302</v>
      </c>
      <c r="AE6228">
        <v>-11.16292</v>
      </c>
      <c r="AF6228">
        <v>-4.6884165730257497</v>
      </c>
      <c r="AG6228">
        <v>-1.113813207302</v>
      </c>
      <c r="AH6228">
        <v>11.414536872935299</v>
      </c>
      <c r="AI6228">
        <v>95.157609007182401</v>
      </c>
      <c r="AJ6228">
        <v>112.32995868186001</v>
      </c>
      <c r="AK6228">
        <v>12.390055764466201</v>
      </c>
      <c r="AL6228">
        <v>91.501164183051799</v>
      </c>
      <c r="AM6228">
        <v>90.317894328669794</v>
      </c>
      <c r="AN6228">
        <v>0.99999999362282199</v>
      </c>
    </row>
    <row r="6229" spans="1:40" x14ac:dyDescent="0.25">
      <c r="A6229" t="str">
        <f>"20190312155000090"</f>
        <v>20190312155000090</v>
      </c>
      <c r="B6229" t="str">
        <f>"1552377000081987"</f>
        <v>1552377000081987</v>
      </c>
      <c r="C6229" t="s">
        <v>40</v>
      </c>
      <c r="D6229">
        <v>4.7109779999999999</v>
      </c>
      <c r="E6229">
        <v>0.34650639999999999</v>
      </c>
      <c r="F6229" t="s">
        <v>65</v>
      </c>
      <c r="G6229">
        <v>-296.14339999999999</v>
      </c>
      <c r="H6229" s="1">
        <v>-5.929112E-6</v>
      </c>
      <c r="I6229">
        <v>-49.350810000000003</v>
      </c>
      <c r="J6229">
        <v>-301.35789999999997</v>
      </c>
      <c r="K6229">
        <v>1.1139239999999999</v>
      </c>
      <c r="L6229">
        <v>-39.12482</v>
      </c>
      <c r="M6229">
        <v>7.6885609999999993E-2</v>
      </c>
      <c r="N6229">
        <v>0</v>
      </c>
      <c r="O6229">
        <v>-0.99694260000000001</v>
      </c>
      <c r="P6229">
        <v>8.3278160000000004E-2</v>
      </c>
      <c r="Q6229">
        <v>-4.2530970000000001E-2</v>
      </c>
      <c r="R6229">
        <v>-0.99561840000000001</v>
      </c>
      <c r="S6229">
        <v>1.4416500000000001</v>
      </c>
      <c r="T6229">
        <v>-0.306056099999999</v>
      </c>
      <c r="U6229">
        <v>-2.8927309999999999</v>
      </c>
      <c r="V6229">
        <v>-6.1946930000000002E-3</v>
      </c>
      <c r="W6229">
        <v>-2.8660149999999999E-2</v>
      </c>
      <c r="X6229">
        <v>0.99956999999999996</v>
      </c>
      <c r="Y6229">
        <v>-0.37387700000000001</v>
      </c>
      <c r="Z6229">
        <v>9.5403870000000002E-2</v>
      </c>
      <c r="AA6229">
        <v>0.9225584</v>
      </c>
      <c r="AB6229">
        <v>21</v>
      </c>
      <c r="AC6229">
        <v>5.2144999999999797</v>
      </c>
      <c r="AD6229">
        <v>-1.113929929112</v>
      </c>
      <c r="AE6229">
        <v>-10.2259899999999</v>
      </c>
      <c r="AF6229">
        <v>-4.3715853999082199</v>
      </c>
      <c r="AG6229">
        <v>-1.113929929112</v>
      </c>
      <c r="AH6229">
        <v>10.4978123455329</v>
      </c>
      <c r="AI6229">
        <v>95.594651028606407</v>
      </c>
      <c r="AJ6229">
        <v>112.608223402191</v>
      </c>
      <c r="AK6229">
        <v>11.4260956952795</v>
      </c>
      <c r="AL6229">
        <v>91.642330553887206</v>
      </c>
      <c r="AM6229">
        <v>90.355077903924496</v>
      </c>
      <c r="AN6229">
        <v>0.99999998165969295</v>
      </c>
    </row>
    <row r="6230" spans="1:40" x14ac:dyDescent="0.25">
      <c r="A6230" t="str">
        <f>"20190312155000123"</f>
        <v>20190312155000123</v>
      </c>
      <c r="B6230" t="str">
        <f>"1552377000112242"</f>
        <v>1552377000112242</v>
      </c>
      <c r="C6230" t="s">
        <v>40</v>
      </c>
      <c r="D6230">
        <v>4.8759169999999896</v>
      </c>
      <c r="E6230">
        <v>0.34756009999999998</v>
      </c>
      <c r="F6230" t="s">
        <v>65</v>
      </c>
      <c r="G6230">
        <v>-296.18509999999998</v>
      </c>
      <c r="H6230" s="1">
        <v>-5.8813849999999999E-6</v>
      </c>
      <c r="I6230">
        <v>-49.241930000000004</v>
      </c>
      <c r="J6230">
        <v>-301.32130000000001</v>
      </c>
      <c r="K6230">
        <v>1.114039</v>
      </c>
      <c r="L6230">
        <v>-39.435760000000002</v>
      </c>
      <c r="M6230">
        <v>8.7372930000000001E-2</v>
      </c>
      <c r="N6230">
        <v>0</v>
      </c>
      <c r="O6230">
        <v>-0.99607780000000001</v>
      </c>
      <c r="P6230">
        <v>9.2933559999999998E-2</v>
      </c>
      <c r="Q6230">
        <v>-4.5002390000000003E-2</v>
      </c>
      <c r="R6230">
        <v>-0.99465479999999995</v>
      </c>
      <c r="S6230">
        <v>1.4707950000000001</v>
      </c>
      <c r="T6230">
        <v>-0.31672909999999999</v>
      </c>
      <c r="U6230">
        <v>-2.8766479999999999</v>
      </c>
      <c r="V6230">
        <v>-5.3487539999999998E-3</v>
      </c>
      <c r="W6230">
        <v>-3.1100059999999999E-2</v>
      </c>
      <c r="X6230">
        <v>0.99950190000000005</v>
      </c>
      <c r="Y6230">
        <v>-0.3734691</v>
      </c>
      <c r="Z6230">
        <v>9.8850320000000005E-2</v>
      </c>
      <c r="AA6230">
        <v>0.92236079999999998</v>
      </c>
      <c r="AB6230">
        <v>21</v>
      </c>
      <c r="AC6230">
        <v>5.1362000000000299</v>
      </c>
      <c r="AD6230">
        <v>-1.1140448813849999</v>
      </c>
      <c r="AE6230">
        <v>-9.8061699999999998</v>
      </c>
      <c r="AF6230">
        <v>-4.2169670170034497</v>
      </c>
      <c r="AG6230">
        <v>-1.1140448813849999</v>
      </c>
      <c r="AH6230">
        <v>10.115024674156899</v>
      </c>
      <c r="AI6230">
        <v>95.804578870961905</v>
      </c>
      <c r="AJ6230">
        <v>112.63131920009</v>
      </c>
      <c r="AK6230">
        <v>11.0153361718578</v>
      </c>
      <c r="AL6230">
        <v>91.782189667392203</v>
      </c>
      <c r="AM6230">
        <v>90.306610827311601</v>
      </c>
      <c r="AN6230">
        <v>0.99999993550248101</v>
      </c>
    </row>
    <row r="6231" spans="1:40" x14ac:dyDescent="0.25">
      <c r="A6231" t="str">
        <f>"20190312155000158"</f>
        <v>20190312155000158</v>
      </c>
      <c r="B6231" t="str">
        <f>"1552377000152258"</f>
        <v>1552377000152258</v>
      </c>
      <c r="C6231" t="s">
        <v>40</v>
      </c>
      <c r="D6231">
        <v>4.716056</v>
      </c>
      <c r="E6231">
        <v>0.34934720000000002</v>
      </c>
      <c r="F6231" t="s">
        <v>65</v>
      </c>
      <c r="G6231">
        <v>-296.29149999999998</v>
      </c>
      <c r="H6231" s="1">
        <v>-5.8084209999999899E-6</v>
      </c>
      <c r="I6231">
        <v>-49.093060000000001</v>
      </c>
      <c r="J6231">
        <v>-301.28050000000002</v>
      </c>
      <c r="K6231">
        <v>1.1141559999999999</v>
      </c>
      <c r="L6231">
        <v>-39.74747</v>
      </c>
      <c r="M6231">
        <v>9.8275489999999993E-2</v>
      </c>
      <c r="N6231">
        <v>0</v>
      </c>
      <c r="O6231">
        <v>-0.99506079999999997</v>
      </c>
      <c r="P6231">
        <v>0.1034012</v>
      </c>
      <c r="Q6231">
        <v>-4.7273900000000001E-2</v>
      </c>
      <c r="R6231">
        <v>-0.99351560000000005</v>
      </c>
      <c r="S6231">
        <v>1.49054</v>
      </c>
      <c r="T6231">
        <v>-0.33014369999999998</v>
      </c>
      <c r="U6231">
        <v>-2.8619080000000001</v>
      </c>
      <c r="V6231">
        <v>-4.9056380000000004E-3</v>
      </c>
      <c r="W6231">
        <v>-3.3344070000000003E-2</v>
      </c>
      <c r="X6231">
        <v>0.99943190000000004</v>
      </c>
      <c r="Y6231">
        <v>-0.37005640000000001</v>
      </c>
      <c r="Z6231">
        <v>0.10321660000000001</v>
      </c>
      <c r="AA6231">
        <v>0.92325760000000001</v>
      </c>
      <c r="AB6231">
        <v>21</v>
      </c>
      <c r="AC6231">
        <v>4.9890000000000301</v>
      </c>
      <c r="AD6231">
        <v>-1.1141618084210001</v>
      </c>
      <c r="AE6231">
        <v>-9.3455899999999907</v>
      </c>
      <c r="AF6231">
        <v>-4.0020464436723904</v>
      </c>
      <c r="AG6231">
        <v>-1.1141618084210001</v>
      </c>
      <c r="AH6231">
        <v>9.6835776794903605</v>
      </c>
      <c r="AI6231">
        <v>96.069661767465504</v>
      </c>
      <c r="AJ6231">
        <v>112.454417298965</v>
      </c>
      <c r="AK6231">
        <v>10.5370493472973</v>
      </c>
      <c r="AL6231">
        <v>91.910828665188603</v>
      </c>
      <c r="AM6231">
        <v>90.281229862677307</v>
      </c>
      <c r="AN6231">
        <v>1.00000000751298</v>
      </c>
    </row>
    <row r="6232" spans="1:40" x14ac:dyDescent="0.25">
      <c r="A6232" t="str">
        <f>"20190312155000192"</f>
        <v>20190312155000192</v>
      </c>
      <c r="B6232" t="str">
        <f>"1552377000182513"</f>
        <v>1552377000182513</v>
      </c>
      <c r="C6232" t="s">
        <v>40</v>
      </c>
      <c r="D6232">
        <v>4.704148</v>
      </c>
      <c r="E6232">
        <v>0.35052660000000002</v>
      </c>
      <c r="F6232" t="s">
        <v>65</v>
      </c>
      <c r="G6232">
        <v>-296.24900000000002</v>
      </c>
      <c r="H6232" s="1">
        <v>-5.876102E-6</v>
      </c>
      <c r="I6232">
        <v>-49.25432</v>
      </c>
      <c r="J6232">
        <v>-301.23680000000002</v>
      </c>
      <c r="K6232">
        <v>1.1142570000000001</v>
      </c>
      <c r="L6232">
        <v>-40.054079999999999</v>
      </c>
      <c r="M6232">
        <v>0.1093436</v>
      </c>
      <c r="N6232">
        <v>0</v>
      </c>
      <c r="O6232">
        <v>-0.99390520000000004</v>
      </c>
      <c r="P6232">
        <v>0.1142215</v>
      </c>
      <c r="Q6232">
        <v>-4.894308E-2</v>
      </c>
      <c r="R6232">
        <v>-0.99224909999999999</v>
      </c>
      <c r="S6232">
        <v>1.5067440000000001</v>
      </c>
      <c r="T6232">
        <v>-0.33364369999999999</v>
      </c>
      <c r="U6232">
        <v>-2.8468930000000001</v>
      </c>
      <c r="V6232">
        <v>-4.6561320000000003E-3</v>
      </c>
      <c r="W6232">
        <v>-3.4988599999999898E-2</v>
      </c>
      <c r="X6232">
        <v>0.99937690000000001</v>
      </c>
      <c r="Y6232">
        <v>-0.36576520000000001</v>
      </c>
      <c r="Z6232">
        <v>0.1045581</v>
      </c>
      <c r="AA6232">
        <v>0.92481539999999995</v>
      </c>
      <c r="AB6232">
        <v>21</v>
      </c>
      <c r="AC6232">
        <v>4.9877999999999902</v>
      </c>
      <c r="AD6232">
        <v>-1.1142628761019999</v>
      </c>
      <c r="AE6232">
        <v>-9.2002399999999902</v>
      </c>
      <c r="AF6232">
        <v>-3.9075044581982299</v>
      </c>
      <c r="AG6232">
        <v>-1.1142628761019999</v>
      </c>
      <c r="AH6232">
        <v>9.5818790354683401</v>
      </c>
      <c r="AI6232">
        <v>96.1458781713241</v>
      </c>
      <c r="AJ6232">
        <v>112.18570774045</v>
      </c>
      <c r="AK6232">
        <v>10.407813348549499</v>
      </c>
      <c r="AL6232">
        <v>92.005108292562099</v>
      </c>
      <c r="AM6232">
        <v>90.266941113216106</v>
      </c>
      <c r="AN6232">
        <v>1.0000000349743801</v>
      </c>
    </row>
    <row r="6233" spans="1:40" x14ac:dyDescent="0.25">
      <c r="A6233" t="str">
        <f>"20190312155000226"</f>
        <v>20190312155000226</v>
      </c>
      <c r="B6233" t="str">
        <f>"1552377000222530"</f>
        <v>1552377000222530</v>
      </c>
      <c r="C6233" t="s">
        <v>40</v>
      </c>
      <c r="D6233">
        <v>4.8124960000000003</v>
      </c>
      <c r="E6233">
        <v>0.35181370000000001</v>
      </c>
      <c r="F6233" t="s">
        <v>65</v>
      </c>
      <c r="G6233">
        <v>-296.14409999999998</v>
      </c>
      <c r="H6233" s="1">
        <v>-5.9797450000000003E-6</v>
      </c>
      <c r="I6233">
        <v>-49.484920000000002</v>
      </c>
      <c r="J6233">
        <v>-301.18689999999998</v>
      </c>
      <c r="K6233">
        <v>1.114349</v>
      </c>
      <c r="L6233">
        <v>-40.374850000000002</v>
      </c>
      <c r="M6233">
        <v>0.1212505</v>
      </c>
      <c r="N6233">
        <v>0</v>
      </c>
      <c r="O6233">
        <v>-0.99252249999999997</v>
      </c>
      <c r="P6233">
        <v>0.1254565</v>
      </c>
      <c r="Q6233">
        <v>-4.8810270000000003E-2</v>
      </c>
      <c r="R6233">
        <v>-0.99089760000000005</v>
      </c>
      <c r="S6233">
        <v>1.5287170000000001</v>
      </c>
      <c r="T6233">
        <v>-0.33448109999999998</v>
      </c>
      <c r="U6233">
        <v>-2.8309630000000001</v>
      </c>
      <c r="V6233">
        <v>-3.9923340000000002E-3</v>
      </c>
      <c r="W6233">
        <v>-3.4825199999999903E-2</v>
      </c>
      <c r="X6233">
        <v>0.99938539999999998</v>
      </c>
      <c r="Y6233">
        <v>-0.36231780000000002</v>
      </c>
      <c r="Z6233">
        <v>0.1050045</v>
      </c>
      <c r="AA6233">
        <v>0.92612090000000002</v>
      </c>
      <c r="AB6233">
        <v>21</v>
      </c>
      <c r="AC6233">
        <v>5.0427999999999997</v>
      </c>
      <c r="AD6233">
        <v>-1.1143549797450001</v>
      </c>
      <c r="AE6233">
        <v>-9.1100700000000003</v>
      </c>
      <c r="AF6233">
        <v>-3.8567055436189501</v>
      </c>
      <c r="AG6233">
        <v>-1.1143549797450001</v>
      </c>
      <c r="AH6233">
        <v>9.5450238502501996</v>
      </c>
      <c r="AI6233">
        <v>96.177932764424099</v>
      </c>
      <c r="AJ6233">
        <v>112.001370476538</v>
      </c>
      <c r="AK6233">
        <v>10.3548754204436</v>
      </c>
      <c r="AL6233">
        <v>91.995740612105905</v>
      </c>
      <c r="AM6233">
        <v>90.2288833435302</v>
      </c>
      <c r="AN6233">
        <v>0.99999995550948195</v>
      </c>
    </row>
    <row r="6234" spans="1:40" x14ac:dyDescent="0.25">
      <c r="A6234" t="str">
        <f>"20190312155000259"</f>
        <v>20190312155000259</v>
      </c>
      <c r="B6234" t="str">
        <f>"1552377000251810"</f>
        <v>1552377000251810</v>
      </c>
      <c r="C6234" t="s">
        <v>40</v>
      </c>
      <c r="D6234">
        <v>4.8181209999999997</v>
      </c>
      <c r="E6234">
        <v>0.3528984</v>
      </c>
      <c r="F6234" t="s">
        <v>65</v>
      </c>
      <c r="G6234">
        <v>-296.04860000000002</v>
      </c>
      <c r="H6234" s="1">
        <v>-6.076662E-6</v>
      </c>
      <c r="I6234">
        <v>-49.701540000000001</v>
      </c>
      <c r="J6234">
        <v>-301.13600000000002</v>
      </c>
      <c r="K6234">
        <v>1.1144270000000001</v>
      </c>
      <c r="L6234">
        <v>-40.675170000000001</v>
      </c>
      <c r="M6234">
        <v>0.13269410000000001</v>
      </c>
      <c r="N6234">
        <v>0</v>
      </c>
      <c r="O6234">
        <v>-0.99105739999999998</v>
      </c>
      <c r="P6234">
        <v>0.13530519999999999</v>
      </c>
      <c r="Q6234">
        <v>-4.7002439999999999E-2</v>
      </c>
      <c r="R6234">
        <v>-0.98968849999999997</v>
      </c>
      <c r="S6234">
        <v>1.5506899999999999</v>
      </c>
      <c r="T6234">
        <v>-0.3362967</v>
      </c>
      <c r="U6234">
        <v>-2.814667</v>
      </c>
      <c r="V6234">
        <v>-2.4046340000000001E-3</v>
      </c>
      <c r="W6234">
        <v>-3.2978859999999999E-2</v>
      </c>
      <c r="X6234">
        <v>0.99945309999999998</v>
      </c>
      <c r="Y6234">
        <v>-0.35933720000000002</v>
      </c>
      <c r="Z6234">
        <v>0.1057411</v>
      </c>
      <c r="AA6234">
        <v>0.92719770000000001</v>
      </c>
      <c r="AB6234">
        <v>21</v>
      </c>
      <c r="AC6234">
        <v>5.0873999999999402</v>
      </c>
      <c r="AD6234">
        <v>-1.1144330766619901</v>
      </c>
      <c r="AE6234">
        <v>-9.02637</v>
      </c>
      <c r="AF6234">
        <v>-3.8005720732786399</v>
      </c>
      <c r="AG6234">
        <v>-1.1144330766619901</v>
      </c>
      <c r="AH6234">
        <v>9.5116334801271805</v>
      </c>
      <c r="AI6234">
        <v>96.209430912057599</v>
      </c>
      <c r="AJ6234">
        <v>111.780212491386</v>
      </c>
      <c r="AK6234">
        <v>10.3032752378464</v>
      </c>
      <c r="AL6234">
        <v>91.889892280095907</v>
      </c>
      <c r="AM6234">
        <v>90.137850504073299</v>
      </c>
      <c r="AN6234">
        <v>0.99999994328559005</v>
      </c>
    </row>
    <row r="6235" spans="1:40" x14ac:dyDescent="0.25">
      <c r="A6235" t="str">
        <f>"20190312155000291"</f>
        <v>20190312155000291</v>
      </c>
      <c r="B6235" t="str">
        <f>"1552377000282066"</f>
        <v>1552377000282066</v>
      </c>
      <c r="C6235" t="s">
        <v>40</v>
      </c>
      <c r="D6235">
        <v>4.8200839999999996</v>
      </c>
      <c r="E6235">
        <v>0.3539756</v>
      </c>
      <c r="F6235" t="s">
        <v>65</v>
      </c>
      <c r="G6235">
        <v>-295.89069999999998</v>
      </c>
      <c r="H6235" s="1">
        <v>-6.2269410000000001E-6</v>
      </c>
      <c r="I6235">
        <v>-50.033470000000001</v>
      </c>
      <c r="J6235">
        <v>-301.0829</v>
      </c>
      <c r="K6235">
        <v>1.114492</v>
      </c>
      <c r="L6235">
        <v>-40.967379999999999</v>
      </c>
      <c r="M6235">
        <v>0.14406540000000001</v>
      </c>
      <c r="N6235">
        <v>0</v>
      </c>
      <c r="O6235">
        <v>-0.98946809999999996</v>
      </c>
      <c r="P6235">
        <v>0.1456327</v>
      </c>
      <c r="Q6235">
        <v>-4.5368850000000002E-2</v>
      </c>
      <c r="R6235">
        <v>-0.98829820000000002</v>
      </c>
      <c r="S6235">
        <v>1.569855</v>
      </c>
      <c r="T6235">
        <v>-0.33353090000000002</v>
      </c>
      <c r="U6235">
        <v>-2.8007810000000002</v>
      </c>
      <c r="V6235">
        <v>-1.368153E-3</v>
      </c>
      <c r="W6235">
        <v>-3.131403E-2</v>
      </c>
      <c r="X6235">
        <v>0.99950870000000003</v>
      </c>
      <c r="Y6235">
        <v>-0.3554485</v>
      </c>
      <c r="Z6235">
        <v>0.10499559999999999</v>
      </c>
      <c r="AA6235">
        <v>0.92878000000000005</v>
      </c>
      <c r="AB6235">
        <v>21</v>
      </c>
      <c r="AC6235">
        <v>5.1922000000000104</v>
      </c>
      <c r="AD6235">
        <v>-1.114498226941</v>
      </c>
      <c r="AE6235">
        <v>-9.0660900000000009</v>
      </c>
      <c r="AF6235">
        <v>-3.7886726091115399</v>
      </c>
      <c r="AG6235">
        <v>-1.114498226941</v>
      </c>
      <c r="AH6235">
        <v>9.6102260800246295</v>
      </c>
      <c r="AI6235">
        <v>96.157747098543993</v>
      </c>
      <c r="AJ6235">
        <v>111.51601778121</v>
      </c>
      <c r="AK6235">
        <v>10.3900236643653</v>
      </c>
      <c r="AL6235">
        <v>91.794455031093506</v>
      </c>
      <c r="AM6235">
        <v>90.078427875284305</v>
      </c>
      <c r="AN6235">
        <v>1.0000000408465799</v>
      </c>
    </row>
    <row r="6236" spans="1:40" x14ac:dyDescent="0.25">
      <c r="A6236" t="str">
        <f>"20190312155000325"</f>
        <v>20190312155000325</v>
      </c>
      <c r="B6236" t="str">
        <f>"1552377000322082"</f>
        <v>1552377000322082</v>
      </c>
      <c r="C6236" t="s">
        <v>40</v>
      </c>
      <c r="D6236">
        <v>4.8842290000000004</v>
      </c>
      <c r="E6236">
        <v>0.355238</v>
      </c>
      <c r="F6236" t="s">
        <v>65</v>
      </c>
      <c r="G6236">
        <v>-295.75040000000001</v>
      </c>
      <c r="H6236" s="1">
        <v>-6.3527589999999999E-6</v>
      </c>
      <c r="I6236">
        <v>-50.308050000000001</v>
      </c>
      <c r="J6236">
        <v>-301.02339999999998</v>
      </c>
      <c r="K6236">
        <v>1.11459</v>
      </c>
      <c r="L6236">
        <v>-41.27328</v>
      </c>
      <c r="M6236">
        <v>0.15624879999999999</v>
      </c>
      <c r="N6236">
        <v>0</v>
      </c>
      <c r="O6236">
        <v>-0.98761699999999997</v>
      </c>
      <c r="P6236">
        <v>0.15663579999999999</v>
      </c>
      <c r="Q6236">
        <v>-4.5197370000000001E-2</v>
      </c>
      <c r="R6236">
        <v>-0.98662159999999999</v>
      </c>
      <c r="S6236">
        <v>1.590454</v>
      </c>
      <c r="T6236">
        <v>-0.3324066</v>
      </c>
      <c r="U6236">
        <v>-2.7859189999999998</v>
      </c>
      <c r="V6236">
        <v>-1.8284209999999999E-4</v>
      </c>
      <c r="W6236">
        <v>-3.1107659999999999E-2</v>
      </c>
      <c r="X6236">
        <v>0.99951599999999996</v>
      </c>
      <c r="Y6236">
        <v>-0.35125430000000002</v>
      </c>
      <c r="Z6236">
        <v>0.10473979999999999</v>
      </c>
      <c r="AA6236">
        <v>0.93040310000000004</v>
      </c>
      <c r="AB6236">
        <v>21</v>
      </c>
      <c r="AC6236">
        <v>5.2729999999999597</v>
      </c>
      <c r="AD6236">
        <v>-1.1145963527589999</v>
      </c>
      <c r="AE6236">
        <v>-9.03477</v>
      </c>
      <c r="AF6236">
        <v>-3.7537951264176002</v>
      </c>
      <c r="AG6236">
        <v>-1.1145963527589999</v>
      </c>
      <c r="AH6236">
        <v>9.6383426555942897</v>
      </c>
      <c r="AI6236">
        <v>96.150336371791795</v>
      </c>
      <c r="AJ6236">
        <v>111.279162090543</v>
      </c>
      <c r="AK6236">
        <v>10.403410595922301</v>
      </c>
      <c r="AL6236">
        <v>91.7826252519598</v>
      </c>
      <c r="AM6236">
        <v>90.010481153408705</v>
      </c>
      <c r="AN6236">
        <v>0.99999997709895405</v>
      </c>
    </row>
    <row r="6237" spans="1:40" x14ac:dyDescent="0.25">
      <c r="A6237" t="str">
        <f>"20190312155000359"</f>
        <v>20190312155000359</v>
      </c>
      <c r="B6237" t="str">
        <f>"1552377000352338"</f>
        <v>1552377000352338</v>
      </c>
      <c r="C6237" t="s">
        <v>40</v>
      </c>
      <c r="D6237">
        <v>4.8513919999999997</v>
      </c>
      <c r="E6237">
        <v>0.36919849999999999</v>
      </c>
      <c r="F6237" t="s">
        <v>65</v>
      </c>
      <c r="G6237">
        <v>-295.62169999999998</v>
      </c>
      <c r="H6237" s="1">
        <v>-8.7895109999999995E-6</v>
      </c>
      <c r="I6237">
        <v>-50.556339999999999</v>
      </c>
      <c r="J6237">
        <v>-300.96019999999999</v>
      </c>
      <c r="K6237">
        <v>1.1146910000000001</v>
      </c>
      <c r="L6237">
        <v>-41.574860000000001</v>
      </c>
      <c r="M6237">
        <v>0.16858989999999999</v>
      </c>
      <c r="N6237">
        <v>0</v>
      </c>
      <c r="O6237">
        <v>-0.98558509999999999</v>
      </c>
      <c r="P6237">
        <v>0.1700943</v>
      </c>
      <c r="Q6237">
        <v>-4.520627E-2</v>
      </c>
      <c r="R6237">
        <v>-0.9843906</v>
      </c>
      <c r="S6237">
        <v>1.6116029999999999</v>
      </c>
      <c r="T6237">
        <v>-0.332539799999999</v>
      </c>
      <c r="U6237">
        <v>-2.7695919999999998</v>
      </c>
      <c r="V6237">
        <v>-1.3219309999999999E-3</v>
      </c>
      <c r="W6237">
        <v>-3.1106450000000001E-2</v>
      </c>
      <c r="X6237">
        <v>0.99951520000000005</v>
      </c>
      <c r="Y6237">
        <v>-0.34722399999999998</v>
      </c>
      <c r="Z6237">
        <v>0.1048818</v>
      </c>
      <c r="AA6237">
        <v>0.93189880000000003</v>
      </c>
      <c r="AB6237">
        <v>21</v>
      </c>
      <c r="AC6237">
        <v>5.3385000000000096</v>
      </c>
      <c r="AD6237">
        <v>-1.11469978951099</v>
      </c>
      <c r="AE6237">
        <v>-8.9814799999999995</v>
      </c>
      <c r="AF6237">
        <v>-3.7055556409294201</v>
      </c>
      <c r="AG6237">
        <v>-1.11469978951099</v>
      </c>
      <c r="AH6237">
        <v>9.6432414447698296</v>
      </c>
      <c r="AI6237">
        <v>96.158486759258906</v>
      </c>
      <c r="AJ6237">
        <v>111.019997002625</v>
      </c>
      <c r="AK6237">
        <v>10.390659449278701</v>
      </c>
      <c r="AL6237">
        <v>91.782555855222199</v>
      </c>
      <c r="AM6237">
        <v>90.075777760003504</v>
      </c>
      <c r="AN6237">
        <v>0.99999999688210495</v>
      </c>
    </row>
    <row r="6238" spans="1:40" x14ac:dyDescent="0.25">
      <c r="A6238" t="str">
        <f>"20190312155000393"</f>
        <v>20190312155000393</v>
      </c>
      <c r="B6238" t="str">
        <f>"1552377000381618"</f>
        <v>1552377000381618</v>
      </c>
      <c r="C6238" t="s">
        <v>40</v>
      </c>
      <c r="D6238">
        <v>4.8322580000000004</v>
      </c>
      <c r="E6238">
        <v>0.3696102</v>
      </c>
      <c r="F6238" t="s">
        <v>65</v>
      </c>
      <c r="G6238">
        <v>-295.69260000000003</v>
      </c>
      <c r="H6238" s="1">
        <v>-8.7099820000000004E-6</v>
      </c>
      <c r="I6238">
        <v>-51.042079999999999</v>
      </c>
      <c r="J6238">
        <v>-300.89389999999997</v>
      </c>
      <c r="K6238">
        <v>1.1147899999999999</v>
      </c>
      <c r="L6238">
        <v>-41.871519999999997</v>
      </c>
      <c r="M6238">
        <v>0.18104999999999999</v>
      </c>
      <c r="N6238">
        <v>0</v>
      </c>
      <c r="O6238">
        <v>-0.98337220000000003</v>
      </c>
      <c r="P6238">
        <v>0.18383959999999999</v>
      </c>
      <c r="Q6238">
        <v>-4.4988800000000002E-2</v>
      </c>
      <c r="R6238">
        <v>-0.98192630000000003</v>
      </c>
      <c r="S6238">
        <v>1.5393680000000001</v>
      </c>
      <c r="T6238">
        <v>-0.32575179999999998</v>
      </c>
      <c r="U6238">
        <v>-2.766632</v>
      </c>
      <c r="V6238">
        <v>-2.6378579999999999E-3</v>
      </c>
      <c r="W6238">
        <v>-3.088082E-2</v>
      </c>
      <c r="X6238">
        <v>0.99951959999999995</v>
      </c>
      <c r="Y6238">
        <v>-0.31730779999999997</v>
      </c>
      <c r="Z6238">
        <v>0.1036932</v>
      </c>
      <c r="AA6238">
        <v>0.94263649999999999</v>
      </c>
      <c r="AB6238">
        <v>21</v>
      </c>
      <c r="AC6238">
        <v>5.2012999999999403</v>
      </c>
      <c r="AD6238">
        <v>-1.114798709982</v>
      </c>
      <c r="AE6238">
        <v>-9.1705599999999894</v>
      </c>
      <c r="AF6238">
        <v>-3.4166288121228998</v>
      </c>
      <c r="AG6238">
        <v>-1.114798709982</v>
      </c>
      <c r="AH6238">
        <v>9.8506274148891997</v>
      </c>
      <c r="AI6238">
        <v>96.102967682234905</v>
      </c>
      <c r="AJ6238">
        <v>109.128784786582</v>
      </c>
      <c r="AK6238">
        <v>10.4857517170002</v>
      </c>
      <c r="AL6238">
        <v>91.769621976742698</v>
      </c>
      <c r="AM6238">
        <v>90.151210420950903</v>
      </c>
      <c r="AN6238">
        <v>1.0000000070614301</v>
      </c>
    </row>
    <row r="6239" spans="1:40" x14ac:dyDescent="0.25">
      <c r="A6239" t="str">
        <f>"20190312155000435"</f>
        <v>20190312155000435</v>
      </c>
      <c r="B6239" t="str">
        <f>"1552377000432370"</f>
        <v>1552377000432370</v>
      </c>
      <c r="C6239" t="s">
        <v>40</v>
      </c>
      <c r="D6239">
        <v>4.8856659999999996</v>
      </c>
      <c r="E6239">
        <v>0.37101590000000001</v>
      </c>
      <c r="F6239" t="s">
        <v>65</v>
      </c>
      <c r="G6239">
        <v>-295.3075</v>
      </c>
      <c r="H6239" s="1">
        <v>-8.7811169999999995E-6</v>
      </c>
      <c r="I6239">
        <v>-51.611350000000002</v>
      </c>
      <c r="J6239">
        <v>-300.80340000000001</v>
      </c>
      <c r="K6239">
        <v>1.1149169999999999</v>
      </c>
      <c r="L6239">
        <v>-42.247889999999998</v>
      </c>
      <c r="M6239">
        <v>0.1973298</v>
      </c>
      <c r="N6239">
        <v>0</v>
      </c>
      <c r="O6239">
        <v>-0.98023470000000001</v>
      </c>
      <c r="P6239">
        <v>0.20083129999999999</v>
      </c>
      <c r="Q6239">
        <v>-4.4175289999999999E-2</v>
      </c>
      <c r="R6239">
        <v>-0.97862950000000004</v>
      </c>
      <c r="S6239">
        <v>1.574951</v>
      </c>
      <c r="T6239">
        <v>-0.31429400000000002</v>
      </c>
      <c r="U6239">
        <v>-2.7459410000000002</v>
      </c>
      <c r="V6239">
        <v>-3.3833579999999999E-3</v>
      </c>
      <c r="W6239">
        <v>-3.0045829999999999E-2</v>
      </c>
      <c r="X6239">
        <v>0.99954279999999995</v>
      </c>
      <c r="Y6239">
        <v>-0.31403409999999998</v>
      </c>
      <c r="Z6239">
        <v>0.1000167</v>
      </c>
      <c r="AA6239">
        <v>0.94412879999999999</v>
      </c>
      <c r="AB6239">
        <v>21</v>
      </c>
      <c r="AC6239">
        <v>5.4958999999999998</v>
      </c>
      <c r="AD6239">
        <v>-1.1149257811169999</v>
      </c>
      <c r="AE6239">
        <v>-9.3634599999999892</v>
      </c>
      <c r="AF6239">
        <v>-3.5029979971043899</v>
      </c>
      <c r="AG6239">
        <v>-1.1149257811169999</v>
      </c>
      <c r="AH6239">
        <v>10.1568186549912</v>
      </c>
      <c r="AI6239">
        <v>95.924529196542196</v>
      </c>
      <c r="AJ6239">
        <v>109.02886658356999</v>
      </c>
      <c r="AK6239">
        <v>10.801621158673001</v>
      </c>
      <c r="AL6239">
        <v>91.721758363772395</v>
      </c>
      <c r="AM6239">
        <v>90.193940063024499</v>
      </c>
      <c r="AN6239">
        <v>1.00000000402179</v>
      </c>
    </row>
    <row r="6240" spans="1:40" x14ac:dyDescent="0.25">
      <c r="A6240" t="str">
        <f>"20190312155000460"</f>
        <v>20190312155000460</v>
      </c>
      <c r="B6240" t="str">
        <f>"1552377000451890"</f>
        <v>1552377000451890</v>
      </c>
      <c r="C6240" t="s">
        <v>40</v>
      </c>
      <c r="D6240">
        <v>4.8902219999999996</v>
      </c>
      <c r="E6240">
        <v>0.3716778</v>
      </c>
      <c r="F6240" t="s">
        <v>65</v>
      </c>
      <c r="G6240">
        <v>-295.30419999999998</v>
      </c>
      <c r="H6240" s="1">
        <v>-8.7914259999999997E-6</v>
      </c>
      <c r="I6240">
        <v>-51.530009999999997</v>
      </c>
      <c r="J6240">
        <v>-300.74639999999999</v>
      </c>
      <c r="K6240">
        <v>1.114975</v>
      </c>
      <c r="L6240">
        <v>-42.471409999999999</v>
      </c>
      <c r="M6240">
        <v>0.20722299999999999</v>
      </c>
      <c r="N6240">
        <v>0</v>
      </c>
      <c r="O6240">
        <v>-0.97819069999999997</v>
      </c>
      <c r="P6240">
        <v>0.21095359999999999</v>
      </c>
      <c r="Q6240">
        <v>-4.4373469999999998E-2</v>
      </c>
      <c r="R6240">
        <v>-0.97648860000000004</v>
      </c>
      <c r="S6240">
        <v>1.6115109999999999</v>
      </c>
      <c r="T6240">
        <v>-0.3267217</v>
      </c>
      <c r="U6240">
        <v>-2.720062</v>
      </c>
      <c r="V6240">
        <v>-3.6297500000000002E-3</v>
      </c>
      <c r="W6240">
        <v>-3.0230409999999999E-2</v>
      </c>
      <c r="X6240">
        <v>0.99953639999999999</v>
      </c>
      <c r="Y6240">
        <v>-0.31754680000000002</v>
      </c>
      <c r="Z6240">
        <v>0.1040565</v>
      </c>
      <c r="AA6240">
        <v>0.94251600000000002</v>
      </c>
      <c r="AB6240">
        <v>21</v>
      </c>
      <c r="AC6240">
        <v>5.4422000000000104</v>
      </c>
      <c r="AD6240">
        <v>-1.1149837914259999</v>
      </c>
      <c r="AE6240">
        <v>-9.0585999999999895</v>
      </c>
      <c r="AF6240">
        <v>-3.4087598297388202</v>
      </c>
      <c r="AG6240">
        <v>-1.1149837914259999</v>
      </c>
      <c r="AH6240">
        <v>9.8798109160497205</v>
      </c>
      <c r="AI6240">
        <v>96.089477898929005</v>
      </c>
      <c r="AJ6240">
        <v>109.03560072557801</v>
      </c>
      <c r="AK6240">
        <v>10.5106372865244</v>
      </c>
      <c r="AL6240">
        <v>91.732338773281498</v>
      </c>
      <c r="AM6240">
        <v>90.208064900397204</v>
      </c>
      <c r="AN6240">
        <v>1.00000003384939</v>
      </c>
    </row>
    <row r="6241" spans="1:40" x14ac:dyDescent="0.25">
      <c r="A6241" t="str">
        <f>"20190312155000494"</f>
        <v>20190312155000494</v>
      </c>
      <c r="B6241" t="str">
        <f>"1552377000482146"</f>
        <v>1552377000482146</v>
      </c>
      <c r="C6241" t="s">
        <v>40</v>
      </c>
      <c r="D6241">
        <v>4.8514429999999997</v>
      </c>
      <c r="E6241">
        <v>0.37292959999999997</v>
      </c>
      <c r="F6241" t="s">
        <v>65</v>
      </c>
      <c r="G6241">
        <v>-295.23930000000001</v>
      </c>
      <c r="H6241" s="1">
        <v>-8.8085730000000001E-6</v>
      </c>
      <c r="I6241">
        <v>-51.580089999999998</v>
      </c>
      <c r="J6241">
        <v>-300.66669999999999</v>
      </c>
      <c r="K6241">
        <v>1.115046</v>
      </c>
      <c r="L6241">
        <v>-42.766939999999998</v>
      </c>
      <c r="M6241">
        <v>0.22057450000000001</v>
      </c>
      <c r="N6241">
        <v>0</v>
      </c>
      <c r="O6241">
        <v>-0.97526650000000004</v>
      </c>
      <c r="P6241">
        <v>0.22331999999999999</v>
      </c>
      <c r="Q6241">
        <v>-4.1868269999999999E-2</v>
      </c>
      <c r="R6241">
        <v>-0.97384550000000003</v>
      </c>
      <c r="S6241">
        <v>1.634827</v>
      </c>
      <c r="T6241">
        <v>-0.33099499999999998</v>
      </c>
      <c r="U6241">
        <v>-2.7040099999999998</v>
      </c>
      <c r="V6241">
        <v>-2.6452540000000001E-3</v>
      </c>
      <c r="W6241">
        <v>-2.7689510000000001E-2</v>
      </c>
      <c r="X6241">
        <v>0.99961299999999997</v>
      </c>
      <c r="Y6241">
        <v>-0.31294050000000001</v>
      </c>
      <c r="Z6241">
        <v>0.1053299</v>
      </c>
      <c r="AA6241">
        <v>0.94391409999999998</v>
      </c>
      <c r="AB6241">
        <v>21</v>
      </c>
      <c r="AC6241">
        <v>5.4273999999999702</v>
      </c>
      <c r="AD6241">
        <v>-1.1150548085730001</v>
      </c>
      <c r="AE6241">
        <v>-8.8131500000000003</v>
      </c>
      <c r="AF6241">
        <v>-3.3111145086879201</v>
      </c>
      <c r="AG6241">
        <v>-1.1150548085730001</v>
      </c>
      <c r="AH6241">
        <v>9.6809473209192092</v>
      </c>
      <c r="AI6241">
        <v>96.2196741400722</v>
      </c>
      <c r="AJ6241">
        <v>108.881909428414</v>
      </c>
      <c r="AK6241">
        <v>10.2921119089416</v>
      </c>
      <c r="AL6241">
        <v>91.586694973567205</v>
      </c>
      <c r="AM6241">
        <v>90.151620213178802</v>
      </c>
      <c r="AN6241">
        <v>0.99999992805087901</v>
      </c>
    </row>
    <row r="6242" spans="1:40" x14ac:dyDescent="0.25">
      <c r="A6242" t="str">
        <f>"20190312155000527"</f>
        <v>20190312155000527</v>
      </c>
      <c r="B6242" t="str">
        <f>"1552377000522162"</f>
        <v>1552377000522162</v>
      </c>
      <c r="C6242" t="s">
        <v>40</v>
      </c>
      <c r="D6242">
        <v>4.8569930000000001</v>
      </c>
      <c r="E6242">
        <v>0.3735502</v>
      </c>
      <c r="F6242" t="s">
        <v>65</v>
      </c>
      <c r="G6242">
        <v>-295.0095</v>
      </c>
      <c r="H6242" s="1">
        <v>-8.8505589999999906E-6</v>
      </c>
      <c r="I6242">
        <v>-51.924079999999996</v>
      </c>
      <c r="J6242">
        <v>-300.58780000000002</v>
      </c>
      <c r="K6242">
        <v>1.115124</v>
      </c>
      <c r="L6242">
        <v>-43.045099999999998</v>
      </c>
      <c r="M6242">
        <v>0.23338600000000001</v>
      </c>
      <c r="N6242">
        <v>0</v>
      </c>
      <c r="O6242">
        <v>-0.97228000000000003</v>
      </c>
      <c r="P6242">
        <v>0.23467389999999999</v>
      </c>
      <c r="Q6242">
        <v>-4.2253979999999997E-2</v>
      </c>
      <c r="R6242">
        <v>-0.97115549999999995</v>
      </c>
      <c r="S6242">
        <v>1.6593929999999999</v>
      </c>
      <c r="T6242">
        <v>-0.32706790000000002</v>
      </c>
      <c r="U6242">
        <v>-2.6859739999999999</v>
      </c>
      <c r="V6242">
        <v>-1.1595139999999999E-3</v>
      </c>
      <c r="W6242">
        <v>-2.8035020000000001E-2</v>
      </c>
      <c r="X6242">
        <v>0.99960629999999995</v>
      </c>
      <c r="Y6242">
        <v>-0.30959589999999998</v>
      </c>
      <c r="Z6242">
        <v>0.1040399</v>
      </c>
      <c r="AA6242">
        <v>0.94515930000000004</v>
      </c>
      <c r="AB6242">
        <v>21</v>
      </c>
      <c r="AC6242">
        <v>5.5783000000000103</v>
      </c>
      <c r="AD6242">
        <v>-1.1151328505589999</v>
      </c>
      <c r="AE6242">
        <v>-8.8789799999999897</v>
      </c>
      <c r="AF6242">
        <v>-3.3142963845886002</v>
      </c>
      <c r="AG6242">
        <v>-1.1151328505589999</v>
      </c>
      <c r="AH6242">
        <v>9.8246464121166106</v>
      </c>
      <c r="AI6242">
        <v>96.138499794750203</v>
      </c>
      <c r="AJ6242">
        <v>108.641571123802</v>
      </c>
      <c r="AK6242">
        <v>10.4284111408406</v>
      </c>
      <c r="AL6242">
        <v>91.606498763040605</v>
      </c>
      <c r="AM6242">
        <v>90.066461394540397</v>
      </c>
      <c r="AN6242">
        <v>1.0000000309093999</v>
      </c>
    </row>
    <row r="6243" spans="1:40" x14ac:dyDescent="0.25">
      <c r="A6243" t="str">
        <f>"20190312155000559"</f>
        <v>20190312155000559</v>
      </c>
      <c r="B6243" t="str">
        <f>"1552377000552418"</f>
        <v>1552377000552418</v>
      </c>
      <c r="C6243" t="s">
        <v>40</v>
      </c>
      <c r="D6243">
        <v>4.7983880000000001</v>
      </c>
      <c r="E6243">
        <v>0.35015610000000003</v>
      </c>
      <c r="F6243" t="s">
        <v>65</v>
      </c>
      <c r="G6243">
        <v>-294.91199999999998</v>
      </c>
      <c r="H6243" s="1">
        <v>-8.8737770000000001E-6</v>
      </c>
      <c r="I6243">
        <v>-52.021720000000002</v>
      </c>
      <c r="J6243">
        <v>-300.50099999999998</v>
      </c>
      <c r="K6243">
        <v>1.115178</v>
      </c>
      <c r="L6243">
        <v>-43.333649999999999</v>
      </c>
      <c r="M6243">
        <v>0.2469191</v>
      </c>
      <c r="N6243">
        <v>0</v>
      </c>
      <c r="O6243">
        <v>-0.96893130000000005</v>
      </c>
      <c r="P6243">
        <v>0.24584110000000001</v>
      </c>
      <c r="Q6243">
        <v>-4.4465039999999997E-2</v>
      </c>
      <c r="R6243">
        <v>-0.96828999999999998</v>
      </c>
      <c r="S6243">
        <v>1.68640099999999</v>
      </c>
      <c r="T6243">
        <v>-0.3313335</v>
      </c>
      <c r="U6243">
        <v>-2.6671749999999999</v>
      </c>
      <c r="V6243">
        <v>1.273424E-3</v>
      </c>
      <c r="W6243">
        <v>-3.0195420000000001E-2</v>
      </c>
      <c r="X6243">
        <v>0.99954319999999997</v>
      </c>
      <c r="Y6243">
        <v>-0.30611179999999999</v>
      </c>
      <c r="Z6243">
        <v>0.1052652</v>
      </c>
      <c r="AA6243">
        <v>0.9461579</v>
      </c>
      <c r="AB6243">
        <v>21</v>
      </c>
      <c r="AC6243">
        <v>5.58899999999994</v>
      </c>
      <c r="AD6243">
        <v>-1.1151868737770001</v>
      </c>
      <c r="AE6243">
        <v>-8.6880699999999997</v>
      </c>
      <c r="AF6243">
        <v>-3.2327661061170798</v>
      </c>
      <c r="AG6243">
        <v>-1.1151868737770001</v>
      </c>
      <c r="AH6243">
        <v>9.6862909884499793</v>
      </c>
      <c r="AI6243">
        <v>96.232502684440206</v>
      </c>
      <c r="AJ6243">
        <v>108.45625369670999</v>
      </c>
      <c r="AK6243">
        <v>10.2722271963402</v>
      </c>
      <c r="AL6243">
        <v>91.7303331424677</v>
      </c>
      <c r="AM6243">
        <v>89.9270048745705</v>
      </c>
      <c r="AN6243">
        <v>0.99999999683194996</v>
      </c>
    </row>
    <row r="6244" spans="1:40" x14ac:dyDescent="0.25">
      <c r="A6244" t="str">
        <f>"20190312155000595"</f>
        <v>20190312155000595</v>
      </c>
      <c r="B6244" t="str">
        <f>"1552377000581698"</f>
        <v>1552377000581698</v>
      </c>
      <c r="C6244" t="s">
        <v>40</v>
      </c>
      <c r="D6244">
        <v>4.8365929999999997</v>
      </c>
      <c r="E6244">
        <v>0.35150150000000002</v>
      </c>
      <c r="F6244" t="s">
        <v>65</v>
      </c>
      <c r="G6244">
        <v>-294.44869999999997</v>
      </c>
      <c r="H6244" s="1">
        <v>-9.0809479999999994E-6</v>
      </c>
      <c r="I6244">
        <v>-51.625799999999998</v>
      </c>
      <c r="J6244">
        <v>-300.40660000000003</v>
      </c>
      <c r="K6244">
        <v>1.1152390000000001</v>
      </c>
      <c r="L6244">
        <v>-43.63138</v>
      </c>
      <c r="M6244">
        <v>0.26109880000000002</v>
      </c>
      <c r="N6244">
        <v>0</v>
      </c>
      <c r="O6244">
        <v>-0.96520660000000003</v>
      </c>
      <c r="P6244">
        <v>0.25648759999999998</v>
      </c>
      <c r="Q6244">
        <v>-4.3224869999999999E-2</v>
      </c>
      <c r="R6244">
        <v>-0.96558060000000001</v>
      </c>
      <c r="S6244">
        <v>1.8979189999999999</v>
      </c>
      <c r="T6244">
        <v>-0.34970800000000002</v>
      </c>
      <c r="U6244">
        <v>-2.600311</v>
      </c>
      <c r="V6244">
        <v>4.9226699999999997E-3</v>
      </c>
      <c r="W6244">
        <v>-2.88893E-2</v>
      </c>
      <c r="X6244">
        <v>0.99957050000000003</v>
      </c>
      <c r="Y6244">
        <v>-0.35455560000000003</v>
      </c>
      <c r="Z6244">
        <v>0.109455</v>
      </c>
      <c r="AA6244">
        <v>0.9286065</v>
      </c>
      <c r="AB6244">
        <v>20</v>
      </c>
      <c r="AC6244">
        <v>5.9579000000000502</v>
      </c>
      <c r="AD6244">
        <v>-1.1152480809480001</v>
      </c>
      <c r="AE6244">
        <v>-7.9944199999999901</v>
      </c>
      <c r="AF6244">
        <v>-3.61837114139737</v>
      </c>
      <c r="AG6244">
        <v>-1.1152480809480001</v>
      </c>
      <c r="AH6244">
        <v>9.1582245359023702</v>
      </c>
      <c r="AI6244">
        <v>96.461575487746799</v>
      </c>
      <c r="AJ6244">
        <v>111.55874131604</v>
      </c>
      <c r="AK6244">
        <v>9.9100688518778597</v>
      </c>
      <c r="AL6244">
        <v>91.6554652831921</v>
      </c>
      <c r="AM6244">
        <v>89.717832874470403</v>
      </c>
      <c r="AN6244">
        <v>1.0000000044023301</v>
      </c>
    </row>
    <row r="6245" spans="1:40" x14ac:dyDescent="0.25">
      <c r="A6245" t="str">
        <f>"20190312155000627"</f>
        <v>20190312155000627</v>
      </c>
      <c r="B6245" t="str">
        <f>"1552377000621714"</f>
        <v>1552377000621714</v>
      </c>
      <c r="C6245" t="s">
        <v>40</v>
      </c>
      <c r="D6245">
        <v>4.8405209999999999</v>
      </c>
      <c r="E6245">
        <v>0.35260320000000001</v>
      </c>
      <c r="F6245" t="s">
        <v>65</v>
      </c>
      <c r="G6245">
        <v>-294.35930000000002</v>
      </c>
      <c r="H6245" s="1">
        <v>-9.0950849999999993E-6</v>
      </c>
      <c r="I6245">
        <v>-51.779179999999997</v>
      </c>
      <c r="J6245">
        <v>-300.31270000000001</v>
      </c>
      <c r="K6245">
        <v>1.1152740000000001</v>
      </c>
      <c r="L6245">
        <v>-43.912990000000001</v>
      </c>
      <c r="M6245">
        <v>0.27471970000000001</v>
      </c>
      <c r="N6245">
        <v>0</v>
      </c>
      <c r="O6245">
        <v>-0.9614182</v>
      </c>
      <c r="P6245">
        <v>0.26552120000000001</v>
      </c>
      <c r="Q6245">
        <v>-4.2133280000000002E-2</v>
      </c>
      <c r="R6245">
        <v>-0.96318409999999999</v>
      </c>
      <c r="S6245">
        <v>1.916412</v>
      </c>
      <c r="T6245">
        <v>-0.3534253</v>
      </c>
      <c r="U6245">
        <v>-2.5820620000000001</v>
      </c>
      <c r="V6245">
        <v>9.6913209999999993E-3</v>
      </c>
      <c r="W6245">
        <v>-2.7717970000000001E-2</v>
      </c>
      <c r="X6245">
        <v>0.99956880000000004</v>
      </c>
      <c r="Y6245">
        <v>-0.34868500000000002</v>
      </c>
      <c r="Z6245">
        <v>0.1104971</v>
      </c>
      <c r="AA6245">
        <v>0.93070359999999996</v>
      </c>
      <c r="AB6245">
        <v>20</v>
      </c>
      <c r="AC6245">
        <v>5.9533999999999798</v>
      </c>
      <c r="AD6245">
        <v>-1.1152830950849999</v>
      </c>
      <c r="AE6245">
        <v>-7.8661899999999898</v>
      </c>
      <c r="AF6245">
        <v>-3.5181081201811</v>
      </c>
      <c r="AG6245">
        <v>-1.1152830950849999</v>
      </c>
      <c r="AH6245">
        <v>9.0830618612347607</v>
      </c>
      <c r="AI6245">
        <v>96.531836741162493</v>
      </c>
      <c r="AJ6245">
        <v>111.17269259744199</v>
      </c>
      <c r="AK6245">
        <v>9.8042314284437406</v>
      </c>
      <c r="AL6245">
        <v>91.588326128542803</v>
      </c>
      <c r="AM6245">
        <v>89.444506077858705</v>
      </c>
      <c r="AN6245">
        <v>0.99999999674854301</v>
      </c>
    </row>
    <row r="6246" spans="1:40" x14ac:dyDescent="0.25">
      <c r="A6246" t="str">
        <f>"20190312155000659"</f>
        <v>20190312155000659</v>
      </c>
      <c r="B6246" t="str">
        <f>"1552377000651971"</f>
        <v>1552377000651971</v>
      </c>
      <c r="C6246" t="s">
        <v>40</v>
      </c>
      <c r="D6246">
        <v>4.8496610000000002</v>
      </c>
      <c r="E6246">
        <v>0.35384549999999998</v>
      </c>
      <c r="F6246" t="s">
        <v>65</v>
      </c>
      <c r="G6246">
        <v>-294.18150000000003</v>
      </c>
      <c r="H6246" s="1">
        <v>-9.1262540000000002E-6</v>
      </c>
      <c r="I6246">
        <v>-52.056750000000001</v>
      </c>
      <c r="J6246">
        <v>-300.21719999999999</v>
      </c>
      <c r="K6246">
        <v>1.1153059999999999</v>
      </c>
      <c r="L6246">
        <v>-44.185760000000002</v>
      </c>
      <c r="M6246">
        <v>0.288110799999999</v>
      </c>
      <c r="N6246">
        <v>0</v>
      </c>
      <c r="O6246">
        <v>-0.95749019999999996</v>
      </c>
      <c r="P6246">
        <v>0.275557</v>
      </c>
      <c r="Q6246">
        <v>-4.2480950000000003E-2</v>
      </c>
      <c r="R6246">
        <v>-0.96034609999999998</v>
      </c>
      <c r="S6246">
        <v>1.9323429999999999</v>
      </c>
      <c r="T6246">
        <v>-0.35149730000000001</v>
      </c>
      <c r="U6246">
        <v>-2.5666199999999999</v>
      </c>
      <c r="V6246">
        <v>1.3212440000000001E-2</v>
      </c>
      <c r="W6246">
        <v>-2.8002559999999999E-2</v>
      </c>
      <c r="X6246">
        <v>0.99952050000000003</v>
      </c>
      <c r="Y6246">
        <v>-0.34202539999999998</v>
      </c>
      <c r="Z6246">
        <v>0.10971980000000001</v>
      </c>
      <c r="AA6246">
        <v>0.93326319999999996</v>
      </c>
      <c r="AB6246">
        <v>20</v>
      </c>
      <c r="AC6246">
        <v>6.0356999999999603</v>
      </c>
      <c r="AD6246">
        <v>-1.115315126254</v>
      </c>
      <c r="AE6246">
        <v>-7.8709899999999999</v>
      </c>
      <c r="AF6246">
        <v>-3.4679180085599199</v>
      </c>
      <c r="AG6246">
        <v>-1.115315126254</v>
      </c>
      <c r="AH6246">
        <v>9.1604720448902306</v>
      </c>
      <c r="AI6246">
        <v>96.496093642013705</v>
      </c>
      <c r="AJ6246">
        <v>110.73537081411099</v>
      </c>
      <c r="AK6246">
        <v>9.8582265763250092</v>
      </c>
      <c r="AL6246">
        <v>91.604638307908701</v>
      </c>
      <c r="AM6246">
        <v>89.242663896382496</v>
      </c>
      <c r="AN6246">
        <v>0.99999997092877801</v>
      </c>
    </row>
    <row r="6247" spans="1:40" x14ac:dyDescent="0.25">
      <c r="A6247" t="str">
        <f>"20190312155000693"</f>
        <v>20190312155000693</v>
      </c>
      <c r="B6247" t="str">
        <f>"1552377000682226"</f>
        <v>1552377000682226</v>
      </c>
      <c r="C6247" t="s">
        <v>40</v>
      </c>
      <c r="D6247">
        <v>4.8504940000000003</v>
      </c>
      <c r="E6247">
        <v>0.35460360000000002</v>
      </c>
      <c r="F6247" t="s">
        <v>65</v>
      </c>
      <c r="G6247">
        <v>-293.87610000000001</v>
      </c>
      <c r="H6247" s="1">
        <v>-9.1863659999999993E-6</v>
      </c>
      <c r="I6247">
        <v>-52.475340000000003</v>
      </c>
      <c r="J6247">
        <v>-300.11340000000001</v>
      </c>
      <c r="K6247">
        <v>1.11534</v>
      </c>
      <c r="L6247">
        <v>-44.468319999999999</v>
      </c>
      <c r="M6247">
        <v>0.3021624</v>
      </c>
      <c r="N6247">
        <v>0</v>
      </c>
      <c r="O6247">
        <v>-0.95314900000000002</v>
      </c>
      <c r="P6247">
        <v>0.28809289999999999</v>
      </c>
      <c r="Q6247">
        <v>-4.284636E-2</v>
      </c>
      <c r="R6247">
        <v>-0.95664380000000004</v>
      </c>
      <c r="S6247">
        <v>1.9499820000000001</v>
      </c>
      <c r="T6247">
        <v>-0.34297929999999999</v>
      </c>
      <c r="U6247">
        <v>-2.549194</v>
      </c>
      <c r="V6247">
        <v>1.4843179999999999E-2</v>
      </c>
      <c r="W6247">
        <v>-2.83302E-2</v>
      </c>
      <c r="X6247">
        <v>0.99948840000000005</v>
      </c>
      <c r="Y6247">
        <v>-0.33553880000000003</v>
      </c>
      <c r="Z6247">
        <v>0.10688599999999999</v>
      </c>
      <c r="AA6247">
        <v>0.93594290000000002</v>
      </c>
      <c r="AB6247">
        <v>20</v>
      </c>
      <c r="AC6247">
        <v>6.2373000000000003</v>
      </c>
      <c r="AD6247">
        <v>-1.1153491863659999</v>
      </c>
      <c r="AE6247">
        <v>-8.0070200000000007</v>
      </c>
      <c r="AF6247">
        <v>-3.4839456554718802</v>
      </c>
      <c r="AG6247">
        <v>-1.1153491863659999</v>
      </c>
      <c r="AH6247">
        <v>9.4039751069060902</v>
      </c>
      <c r="AI6247">
        <v>96.346181567430307</v>
      </c>
      <c r="AJ6247">
        <v>110.328451085509</v>
      </c>
      <c r="AK6247">
        <v>10.090422634811601</v>
      </c>
      <c r="AL6247">
        <v>91.623418116103295</v>
      </c>
      <c r="AM6247">
        <v>89.149175662560296</v>
      </c>
      <c r="AN6247">
        <v>0.99999999097955605</v>
      </c>
    </row>
    <row r="6248" spans="1:40" x14ac:dyDescent="0.25">
      <c r="A6248" t="str">
        <f>"20190312155000728"</f>
        <v>20190312155000728</v>
      </c>
      <c r="B6248" t="str">
        <f>"1552377000722242"</f>
        <v>1552377000722242</v>
      </c>
      <c r="C6248" t="s">
        <v>40</v>
      </c>
      <c r="D6248">
        <v>4.8893279999999999</v>
      </c>
      <c r="E6248">
        <v>0.3557129</v>
      </c>
      <c r="F6248" t="s">
        <v>65</v>
      </c>
      <c r="G6248">
        <v>-293.6277</v>
      </c>
      <c r="H6248" s="1">
        <v>-9.2427840000000002E-6</v>
      </c>
      <c r="I6248">
        <v>-52.749160000000003</v>
      </c>
      <c r="J6248">
        <v>-300.00700000000001</v>
      </c>
      <c r="K6248">
        <v>1.1153869999999999</v>
      </c>
      <c r="L6248">
        <v>-44.745240000000003</v>
      </c>
      <c r="M6248">
        <v>0.31613089999999999</v>
      </c>
      <c r="N6248">
        <v>0</v>
      </c>
      <c r="O6248">
        <v>-0.94860730000000004</v>
      </c>
      <c r="P6248">
        <v>0.30058089999999998</v>
      </c>
      <c r="Q6248">
        <v>-4.1656899999999997E-2</v>
      </c>
      <c r="R6248">
        <v>-0.95284650000000004</v>
      </c>
      <c r="S6248">
        <v>1.977722</v>
      </c>
      <c r="T6248">
        <v>-0.34010859999999998</v>
      </c>
      <c r="U6248">
        <v>-2.5251160000000001</v>
      </c>
      <c r="V6248">
        <v>1.6454590000000002E-2</v>
      </c>
      <c r="W6248">
        <v>-2.7101730000000001E-2</v>
      </c>
      <c r="X6248">
        <v>0.99949719999999997</v>
      </c>
      <c r="Y6248">
        <v>-0.33247579999999999</v>
      </c>
      <c r="Z6248">
        <v>0.105791</v>
      </c>
      <c r="AA6248">
        <v>0.93715959999999998</v>
      </c>
      <c r="AB6248">
        <v>20</v>
      </c>
      <c r="AC6248">
        <v>6.3792999999999997</v>
      </c>
      <c r="AD6248">
        <v>-1.1153962427840001</v>
      </c>
      <c r="AE6248">
        <v>-8.0039199999999902</v>
      </c>
      <c r="AF6248">
        <v>-3.4801950651182301</v>
      </c>
      <c r="AG6248">
        <v>-1.1153962427840001</v>
      </c>
      <c r="AH6248">
        <v>9.4974660898295493</v>
      </c>
      <c r="AI6248">
        <v>96.2926559344087</v>
      </c>
      <c r="AJ6248">
        <v>110.12455464200499</v>
      </c>
      <c r="AK6248">
        <v>10.176331784938601</v>
      </c>
      <c r="AL6248">
        <v>91.553004970559201</v>
      </c>
      <c r="AM6248">
        <v>89.056832373354396</v>
      </c>
      <c r="AN6248">
        <v>0.99999995505444905</v>
      </c>
    </row>
    <row r="6249" spans="1:40" x14ac:dyDescent="0.25">
      <c r="A6249" t="str">
        <f>"20190312155000759"</f>
        <v>20190312155000759</v>
      </c>
      <c r="B6249" t="str">
        <f>"1552377000752498"</f>
        <v>1552377000752498</v>
      </c>
      <c r="C6249" t="s">
        <v>40</v>
      </c>
      <c r="D6249">
        <v>4.8975379999999999</v>
      </c>
      <c r="E6249">
        <v>0.35645199999999999</v>
      </c>
      <c r="F6249" t="s">
        <v>65</v>
      </c>
      <c r="G6249">
        <v>-293.43869999999998</v>
      </c>
      <c r="H6249" s="1">
        <v>-9.2865990000000008E-6</v>
      </c>
      <c r="I6249">
        <v>-52.949390000000001</v>
      </c>
      <c r="J6249">
        <v>-299.89949999999999</v>
      </c>
      <c r="K6249">
        <v>1.115429</v>
      </c>
      <c r="L6249">
        <v>-45.011989999999997</v>
      </c>
      <c r="M6249">
        <v>0.32978639999999998</v>
      </c>
      <c r="N6249">
        <v>0</v>
      </c>
      <c r="O6249">
        <v>-0.94394650000000002</v>
      </c>
      <c r="P6249">
        <v>0.31334200000000001</v>
      </c>
      <c r="Q6249">
        <v>-4.1170669999999999E-2</v>
      </c>
      <c r="R6249">
        <v>-0.94874780000000003</v>
      </c>
      <c r="S6249">
        <v>2.0029300000000001</v>
      </c>
      <c r="T6249">
        <v>-0.34012809999999999</v>
      </c>
      <c r="U6249">
        <v>-2.50177</v>
      </c>
      <c r="V6249">
        <v>1.7465580000000001E-2</v>
      </c>
      <c r="W6249">
        <v>-2.658458E-2</v>
      </c>
      <c r="X6249">
        <v>0.99949399999999999</v>
      </c>
      <c r="Y6249">
        <v>-0.32889390000000002</v>
      </c>
      <c r="Z6249">
        <v>0.1055734</v>
      </c>
      <c r="AA6249">
        <v>0.93844720000000004</v>
      </c>
      <c r="AB6249">
        <v>20</v>
      </c>
      <c r="AC6249">
        <v>6.4607999999999999</v>
      </c>
      <c r="AD6249">
        <v>-1.115438286599</v>
      </c>
      <c r="AE6249">
        <v>-7.9373999999999896</v>
      </c>
      <c r="AF6249">
        <v>-3.4404936266119099</v>
      </c>
      <c r="AG6249">
        <v>-1.115438286599</v>
      </c>
      <c r="AH6249">
        <v>9.5111776153376493</v>
      </c>
      <c r="AI6249">
        <v>96.293322135233197</v>
      </c>
      <c r="AJ6249">
        <v>109.886659069486</v>
      </c>
      <c r="AK6249">
        <v>10.175642416892799</v>
      </c>
      <c r="AL6249">
        <v>91.523363674742001</v>
      </c>
      <c r="AM6249">
        <v>88.998891256371095</v>
      </c>
      <c r="AN6249">
        <v>1.00000002120725</v>
      </c>
    </row>
    <row r="6250" spans="1:40" x14ac:dyDescent="0.25">
      <c r="A6250" t="str">
        <f>"20190312155000783"</f>
        <v>20190312155000783</v>
      </c>
      <c r="B6250" t="str">
        <f>"1552377000772019"</f>
        <v>1552377000772019</v>
      </c>
      <c r="C6250" t="s">
        <v>40</v>
      </c>
      <c r="D6250">
        <v>4.9009029999999996</v>
      </c>
      <c r="E6250">
        <v>0.3568981</v>
      </c>
      <c r="F6250" t="s">
        <v>65</v>
      </c>
      <c r="G6250">
        <v>-293.15190000000001</v>
      </c>
      <c r="H6250" s="1">
        <v>-9.3547009999999998E-6</v>
      </c>
      <c r="I6250">
        <v>-53.238860000000003</v>
      </c>
      <c r="J6250">
        <v>-299.81869999999998</v>
      </c>
      <c r="K6250">
        <v>1.1154569999999999</v>
      </c>
      <c r="L6250">
        <v>-45.205599999999997</v>
      </c>
      <c r="M6250">
        <v>0.33979700000000002</v>
      </c>
      <c r="N6250">
        <v>0</v>
      </c>
      <c r="O6250">
        <v>-0.94038900000000003</v>
      </c>
      <c r="P6250">
        <v>0.322627</v>
      </c>
      <c r="Q6250">
        <v>-4.0670640000000001E-2</v>
      </c>
      <c r="R6250">
        <v>-0.9456523</v>
      </c>
      <c r="S6250">
        <v>2.0313110000000001</v>
      </c>
      <c r="T6250">
        <v>-0.3357928</v>
      </c>
      <c r="U6250">
        <v>-2.4766240000000002</v>
      </c>
      <c r="V6250">
        <v>1.8289099999999999E-2</v>
      </c>
      <c r="W6250">
        <v>-2.606203E-2</v>
      </c>
      <c r="X6250">
        <v>0.99949299999999996</v>
      </c>
      <c r="Y6250">
        <v>-0.3300594</v>
      </c>
      <c r="Z6250">
        <v>0.1041256</v>
      </c>
      <c r="AA6250">
        <v>0.93819969999999997</v>
      </c>
      <c r="AB6250">
        <v>20</v>
      </c>
      <c r="AC6250">
        <v>6.6667999999999603</v>
      </c>
      <c r="AD6250">
        <v>-1.115466354701</v>
      </c>
      <c r="AE6250">
        <v>-8.0332599999999896</v>
      </c>
      <c r="AF6250">
        <v>-3.5001110598504801</v>
      </c>
      <c r="AG6250">
        <v>-1.115466354701</v>
      </c>
      <c r="AH6250">
        <v>9.7099000978980001</v>
      </c>
      <c r="AI6250">
        <v>96.168148972119795</v>
      </c>
      <c r="AJ6250">
        <v>109.822625372525</v>
      </c>
      <c r="AK6250">
        <v>10.3815799631326</v>
      </c>
      <c r="AL6250">
        <v>91.493413435512494</v>
      </c>
      <c r="AM6250">
        <v>88.951697200917707</v>
      </c>
      <c r="AN6250">
        <v>0.99999998881776497</v>
      </c>
    </row>
    <row r="6251" spans="1:40" x14ac:dyDescent="0.25">
      <c r="A6251" t="str">
        <f>"20190312155000811"</f>
        <v>20190312155000811</v>
      </c>
      <c r="B6251" t="str">
        <f>"1552377000802274"</f>
        <v>1552377000802274</v>
      </c>
      <c r="C6251" t="s">
        <v>40</v>
      </c>
      <c r="D6251">
        <v>4.9579620000000002</v>
      </c>
      <c r="E6251">
        <v>0.33893879999999998</v>
      </c>
      <c r="F6251" t="s">
        <v>65</v>
      </c>
      <c r="G6251">
        <v>-292.97019999999998</v>
      </c>
      <c r="H6251" s="1">
        <v>-9.3997109999999992E-6</v>
      </c>
      <c r="I6251">
        <v>-53.406770000000002</v>
      </c>
      <c r="J6251">
        <v>-299.72590000000002</v>
      </c>
      <c r="K6251">
        <v>1.115489</v>
      </c>
      <c r="L6251">
        <v>-45.420319999999997</v>
      </c>
      <c r="M6251">
        <v>0.3510277</v>
      </c>
      <c r="N6251">
        <v>0</v>
      </c>
      <c r="O6251">
        <v>-0.9362547</v>
      </c>
      <c r="P6251">
        <v>0.33372010000000002</v>
      </c>
      <c r="Q6251">
        <v>-3.9159350000000002E-2</v>
      </c>
      <c r="R6251">
        <v>-0.9418588</v>
      </c>
      <c r="S6251">
        <v>2.0524290000000001</v>
      </c>
      <c r="T6251">
        <v>-0.33429629999999999</v>
      </c>
      <c r="U6251">
        <v>-2.4578250000000001</v>
      </c>
      <c r="V6251">
        <v>1.850686E-2</v>
      </c>
      <c r="W6251">
        <v>-2.4534630000000002E-2</v>
      </c>
      <c r="X6251">
        <v>0.99952759999999996</v>
      </c>
      <c r="Y6251">
        <v>-0.32708769999999998</v>
      </c>
      <c r="Z6251">
        <v>0.1034109</v>
      </c>
      <c r="AA6251">
        <v>0.93931880000000001</v>
      </c>
      <c r="AB6251">
        <v>20</v>
      </c>
      <c r="AC6251">
        <v>6.75570000000004</v>
      </c>
      <c r="AD6251">
        <v>-1.115498399711</v>
      </c>
      <c r="AE6251">
        <v>-7.9864499999999898</v>
      </c>
      <c r="AF6251">
        <v>-3.48235400990766</v>
      </c>
      <c r="AG6251">
        <v>-1.115498399711</v>
      </c>
      <c r="AH6251">
        <v>9.7390564096360599</v>
      </c>
      <c r="AI6251">
        <v>96.155635877252806</v>
      </c>
      <c r="AJ6251">
        <v>109.675315426235</v>
      </c>
      <c r="AK6251">
        <v>10.402900839676899</v>
      </c>
      <c r="AL6251">
        <v>91.405871906431202</v>
      </c>
      <c r="AM6251">
        <v>88.939255083302001</v>
      </c>
      <c r="AN6251">
        <v>0.99999993754902605</v>
      </c>
    </row>
    <row r="6252" spans="1:40" x14ac:dyDescent="0.25">
      <c r="A6252" t="str">
        <f>"20190312155000837"</f>
        <v>20190312155000837</v>
      </c>
      <c r="B6252" t="str">
        <f>"1552377000832531"</f>
        <v>1552377000832531</v>
      </c>
      <c r="C6252" t="s">
        <v>40</v>
      </c>
      <c r="D6252">
        <v>5.0026679999999999</v>
      </c>
      <c r="E6252">
        <v>0.3389317</v>
      </c>
      <c r="F6252" t="s">
        <v>65</v>
      </c>
      <c r="G6252">
        <v>-293.24130000000002</v>
      </c>
      <c r="H6252" s="1">
        <v>-9.4185630000000004E-6</v>
      </c>
      <c r="I6252">
        <v>-52.392110000000002</v>
      </c>
      <c r="J6252">
        <v>-299.63189999999997</v>
      </c>
      <c r="K6252">
        <v>1.115526</v>
      </c>
      <c r="L6252">
        <v>-45.630740000000003</v>
      </c>
      <c r="M6252">
        <v>0.36214770000000002</v>
      </c>
      <c r="N6252">
        <v>0</v>
      </c>
      <c r="O6252">
        <v>-0.9320098</v>
      </c>
      <c r="P6252">
        <v>0.3437886</v>
      </c>
      <c r="Q6252">
        <v>-3.9152850000000003E-2</v>
      </c>
      <c r="R6252">
        <v>-0.93823049999999997</v>
      </c>
      <c r="S6252">
        <v>2.2171940000000001</v>
      </c>
      <c r="T6252">
        <v>-0.38140560000000001</v>
      </c>
      <c r="U6252">
        <v>-2.383759</v>
      </c>
      <c r="V6252">
        <v>1.9700479999999999E-2</v>
      </c>
      <c r="W6252">
        <v>-2.449958E-2</v>
      </c>
      <c r="X6252">
        <v>0.99950570000000005</v>
      </c>
      <c r="Y6252">
        <v>-0.36473250000000002</v>
      </c>
      <c r="Z6252">
        <v>0.1165075</v>
      </c>
      <c r="AA6252">
        <v>0.92379440000000002</v>
      </c>
      <c r="AB6252">
        <v>20</v>
      </c>
      <c r="AC6252">
        <v>6.3905999999999397</v>
      </c>
      <c r="AD6252">
        <v>-1.115535418563</v>
      </c>
      <c r="AE6252">
        <v>-6.7613699999999897</v>
      </c>
      <c r="AF6252">
        <v>-3.45813214830926</v>
      </c>
      <c r="AG6252">
        <v>-1.115535418563</v>
      </c>
      <c r="AH6252">
        <v>8.4947653708050801</v>
      </c>
      <c r="AI6252">
        <v>96.934723224074105</v>
      </c>
      <c r="AJ6252">
        <v>112.150735917943</v>
      </c>
      <c r="AK6252">
        <v>9.2392713960716506</v>
      </c>
      <c r="AL6252">
        <v>91.403863009883693</v>
      </c>
      <c r="AM6252">
        <v>88.870833631630802</v>
      </c>
      <c r="AN6252">
        <v>0.99999999133244799</v>
      </c>
    </row>
    <row r="6253" spans="1:40" x14ac:dyDescent="0.25">
      <c r="A6253" t="str">
        <f>"20190312155000861"</f>
        <v>20190312155000861</v>
      </c>
      <c r="B6253" t="str">
        <f>"1552377000852050"</f>
        <v>1552377000852050</v>
      </c>
      <c r="C6253" t="s">
        <v>40</v>
      </c>
      <c r="D6253">
        <v>4.9549300000000001</v>
      </c>
      <c r="E6253">
        <v>0.3392869</v>
      </c>
      <c r="F6253" t="s">
        <v>65</v>
      </c>
      <c r="G6253">
        <v>-293.86130000000003</v>
      </c>
      <c r="H6253" s="1">
        <v>-9.2795339999999995E-6</v>
      </c>
      <c r="I6253">
        <v>-51.693309999999997</v>
      </c>
      <c r="J6253">
        <v>-299.53739999999999</v>
      </c>
      <c r="K6253">
        <v>1.1155759999999999</v>
      </c>
      <c r="L6253">
        <v>-45.83569</v>
      </c>
      <c r="M6253">
        <v>0.37306400000000001</v>
      </c>
      <c r="N6253">
        <v>0</v>
      </c>
      <c r="O6253">
        <v>-0.92769389999999996</v>
      </c>
      <c r="P6253">
        <v>0.34985749999999999</v>
      </c>
      <c r="Q6253">
        <v>-4.007923E-2</v>
      </c>
      <c r="R6253">
        <v>-0.93594560000000004</v>
      </c>
      <c r="S6253">
        <v>2.243744</v>
      </c>
      <c r="T6253">
        <v>-0.43374590000000002</v>
      </c>
      <c r="U6253">
        <v>-2.3572690000000001</v>
      </c>
      <c r="V6253">
        <v>2.4957549999999998E-2</v>
      </c>
      <c r="W6253">
        <v>-2.5344800000000001E-2</v>
      </c>
      <c r="X6253">
        <v>0.99936720000000001</v>
      </c>
      <c r="Y6253">
        <v>-0.3630311</v>
      </c>
      <c r="Z6253">
        <v>0.1319671</v>
      </c>
      <c r="AA6253">
        <v>0.92238450000000005</v>
      </c>
      <c r="AB6253">
        <v>20</v>
      </c>
      <c r="AC6253">
        <v>5.67609999999996</v>
      </c>
      <c r="AD6253">
        <v>-1.115585279534</v>
      </c>
      <c r="AE6253">
        <v>-5.8576199999999901</v>
      </c>
      <c r="AF6253">
        <v>-3.0241644077224401</v>
      </c>
      <c r="AG6253">
        <v>-1.115585279534</v>
      </c>
      <c r="AH6253">
        <v>7.4137258934223498</v>
      </c>
      <c r="AI6253">
        <v>97.931938109354903</v>
      </c>
      <c r="AJ6253">
        <v>112.19124723343801</v>
      </c>
      <c r="AK6253">
        <v>8.0841469867667097</v>
      </c>
      <c r="AL6253">
        <v>91.452305556423696</v>
      </c>
      <c r="AM6253">
        <v>88.569429615963898</v>
      </c>
      <c r="AN6253">
        <v>1.0000000193124401</v>
      </c>
    </row>
    <row r="6254" spans="1:40" x14ac:dyDescent="0.25">
      <c r="A6254" t="str">
        <f>"20190312155000890"</f>
        <v>20190312155000890</v>
      </c>
      <c r="B6254" t="str">
        <f>"1552377000882306"</f>
        <v>1552377000882306</v>
      </c>
      <c r="C6254" t="s">
        <v>40</v>
      </c>
      <c r="D6254">
        <v>4.8451440000000003</v>
      </c>
      <c r="E6254">
        <v>0.33414090000000002</v>
      </c>
      <c r="F6254" t="s">
        <v>65</v>
      </c>
      <c r="G6254">
        <v>-293.76280000000003</v>
      </c>
      <c r="H6254" s="1">
        <v>-9.2992780000000007E-6</v>
      </c>
      <c r="I6254">
        <v>-51.825159999999997</v>
      </c>
      <c r="J6254">
        <v>-299.43029999999999</v>
      </c>
      <c r="K6254">
        <v>1.115607</v>
      </c>
      <c r="L6254">
        <v>-46.06006</v>
      </c>
      <c r="M6254">
        <v>0.38515100000000002</v>
      </c>
      <c r="N6254">
        <v>0</v>
      </c>
      <c r="O6254">
        <v>-0.92274089999999998</v>
      </c>
      <c r="P6254">
        <v>0.35912460000000002</v>
      </c>
      <c r="Q6254">
        <v>-4.0742430000000003E-2</v>
      </c>
      <c r="R6254">
        <v>-0.93239989999999995</v>
      </c>
      <c r="S6254">
        <v>2.2584230000000001</v>
      </c>
      <c r="T6254">
        <v>-0.4362974</v>
      </c>
      <c r="U6254">
        <v>-2.342438</v>
      </c>
      <c r="V6254">
        <v>2.8097179999999999E-2</v>
      </c>
      <c r="W6254">
        <v>-2.5953790000000001E-2</v>
      </c>
      <c r="X6254">
        <v>0.99926820000000005</v>
      </c>
      <c r="Y6254">
        <v>-0.35673690000000002</v>
      </c>
      <c r="Z6254">
        <v>0.132223799999999</v>
      </c>
      <c r="AA6254">
        <v>0.92480030000000002</v>
      </c>
      <c r="AB6254">
        <v>20</v>
      </c>
      <c r="AC6254">
        <v>5.6674999999999596</v>
      </c>
      <c r="AD6254">
        <v>-1.1156162992780001</v>
      </c>
      <c r="AE6254">
        <v>-5.7650999999999897</v>
      </c>
      <c r="AF6254">
        <v>-2.9532734038508401</v>
      </c>
      <c r="AG6254">
        <v>-1.1156162992780001</v>
      </c>
      <c r="AH6254">
        <v>7.3631006259139404</v>
      </c>
      <c r="AI6254">
        <v>98.004711373460793</v>
      </c>
      <c r="AJ6254">
        <v>111.855276945421</v>
      </c>
      <c r="AK6254">
        <v>8.0113466004437495</v>
      </c>
      <c r="AL6254">
        <v>91.487209635329805</v>
      </c>
      <c r="AM6254">
        <v>88.389395581840802</v>
      </c>
      <c r="AN6254">
        <v>0.99999999313527799</v>
      </c>
    </row>
    <row r="6255" spans="1:40" x14ac:dyDescent="0.25">
      <c r="A6255" t="str">
        <f>"20190312155000915"</f>
        <v>20190312155000915</v>
      </c>
      <c r="B6255" t="str">
        <f>"1552377000912563"</f>
        <v>1552377000912563</v>
      </c>
      <c r="C6255" t="s">
        <v>40</v>
      </c>
      <c r="D6255">
        <v>4.8673419999999998</v>
      </c>
      <c r="E6255">
        <v>0.33204669999999997</v>
      </c>
      <c r="F6255" t="s">
        <v>65</v>
      </c>
      <c r="G6255">
        <v>-293.22930000000002</v>
      </c>
      <c r="H6255" s="1">
        <v>-9.4416329999999998E-6</v>
      </c>
      <c r="I6255">
        <v>-52.224440000000001</v>
      </c>
      <c r="J6255">
        <v>-299.3329</v>
      </c>
      <c r="K6255">
        <v>1.1156299999999999</v>
      </c>
      <c r="L6255">
        <v>-46.257420000000003</v>
      </c>
      <c r="M6255">
        <v>0.39590959999999997</v>
      </c>
      <c r="N6255">
        <v>0</v>
      </c>
      <c r="O6255">
        <v>-0.9181762</v>
      </c>
      <c r="P6255">
        <v>0.36704350000000002</v>
      </c>
      <c r="Q6255">
        <v>-4.1762170000000001E-2</v>
      </c>
      <c r="R6255">
        <v>-0.92926569999999997</v>
      </c>
      <c r="S6255">
        <v>2.31955</v>
      </c>
      <c r="T6255">
        <v>-0.41730709999999999</v>
      </c>
      <c r="U6255">
        <v>-2.305847</v>
      </c>
      <c r="V6255">
        <v>3.1271939999999998E-2</v>
      </c>
      <c r="W6255">
        <v>-2.691845E-2</v>
      </c>
      <c r="X6255">
        <v>0.99914840000000005</v>
      </c>
      <c r="Y6255">
        <v>-0.36606339999999998</v>
      </c>
      <c r="Z6255">
        <v>0.12585099999999999</v>
      </c>
      <c r="AA6255">
        <v>0.92204070000000005</v>
      </c>
      <c r="AB6255">
        <v>20</v>
      </c>
      <c r="AC6255">
        <v>6.1035999999999699</v>
      </c>
      <c r="AD6255">
        <v>-1.115639441633</v>
      </c>
      <c r="AE6255">
        <v>-5.96701999999999</v>
      </c>
      <c r="AF6255">
        <v>-3.1876623509895201</v>
      </c>
      <c r="AG6255">
        <v>-1.115639441633</v>
      </c>
      <c r="AH6255">
        <v>7.7634484039843903</v>
      </c>
      <c r="AI6255">
        <v>97.572192447433196</v>
      </c>
      <c r="AJ6255">
        <v>112.32299280509</v>
      </c>
      <c r="AK6255">
        <v>8.4662254723678991</v>
      </c>
      <c r="AL6255">
        <v>91.542499849481402</v>
      </c>
      <c r="AM6255">
        <v>88.207307887911995</v>
      </c>
      <c r="AN6255">
        <v>1.00000003120216</v>
      </c>
    </row>
    <row r="6256" spans="1:40" x14ac:dyDescent="0.25">
      <c r="A6256" t="str">
        <f>"20190312155000936"</f>
        <v>20190312155000936</v>
      </c>
      <c r="B6256" t="str">
        <f>"1552377000932082"</f>
        <v>1552377000932082</v>
      </c>
      <c r="C6256" t="s">
        <v>40</v>
      </c>
      <c r="D6256">
        <v>4.8828430000000003</v>
      </c>
      <c r="E6256">
        <v>0.33182509999999998</v>
      </c>
      <c r="F6256" t="s">
        <v>65</v>
      </c>
      <c r="G6256">
        <v>-292.68639999999999</v>
      </c>
      <c r="H6256" s="1">
        <v>-9.579127E-6</v>
      </c>
      <c r="I6256">
        <v>-52.696289999999998</v>
      </c>
      <c r="J6256">
        <v>-299.24579999999997</v>
      </c>
      <c r="K6256">
        <v>1.1156410000000001</v>
      </c>
      <c r="L6256">
        <v>-46.428989999999999</v>
      </c>
      <c r="M6256">
        <v>0.40534579999999998</v>
      </c>
      <c r="N6256">
        <v>0</v>
      </c>
      <c r="O6256">
        <v>-0.91404940000000001</v>
      </c>
      <c r="P6256">
        <v>0.37454419999999999</v>
      </c>
      <c r="Q6256">
        <v>-4.4410270000000002E-2</v>
      </c>
      <c r="R6256">
        <v>-0.92614529999999995</v>
      </c>
      <c r="S6256">
        <v>2.3542480000000001</v>
      </c>
      <c r="T6256">
        <v>-0.39516839999999998</v>
      </c>
      <c r="U6256">
        <v>-2.2807010000000001</v>
      </c>
      <c r="V6256">
        <v>3.3472889999999998E-2</v>
      </c>
      <c r="W6256">
        <v>-2.9525920000000001E-2</v>
      </c>
      <c r="X6256">
        <v>0.99900339999999999</v>
      </c>
      <c r="Y6256">
        <v>-0.36904720000000002</v>
      </c>
      <c r="Z6256">
        <v>0.1188091</v>
      </c>
      <c r="AA6256">
        <v>0.92178550000000004</v>
      </c>
      <c r="AB6256">
        <v>20</v>
      </c>
      <c r="AC6256">
        <v>6.5593999999999797</v>
      </c>
      <c r="AD6256">
        <v>-1.1156505791269999</v>
      </c>
      <c r="AE6256">
        <v>-6.2672999999999996</v>
      </c>
      <c r="AF6256">
        <v>-3.4040731076327799</v>
      </c>
      <c r="AG6256">
        <v>-1.1156505791269999</v>
      </c>
      <c r="AH6256">
        <v>8.2633566347974092</v>
      </c>
      <c r="AI6256">
        <v>97.115673356005601</v>
      </c>
      <c r="AJ6256">
        <v>112.389113196843</v>
      </c>
      <c r="AK6256">
        <v>9.0064117611102805</v>
      </c>
      <c r="AL6256">
        <v>91.691956492245694</v>
      </c>
      <c r="AM6256">
        <v>88.080949372802195</v>
      </c>
      <c r="AN6256">
        <v>1.0000000037641701</v>
      </c>
    </row>
    <row r="6257" spans="1:40" x14ac:dyDescent="0.25">
      <c r="A6257" t="str">
        <f>"20190312155000957"</f>
        <v>20190312155000957</v>
      </c>
      <c r="B6257" t="str">
        <f>"1552377000952578"</f>
        <v>1552377000952578</v>
      </c>
      <c r="C6257" t="s">
        <v>40</v>
      </c>
      <c r="D6257">
        <v>5.008578</v>
      </c>
      <c r="E6257">
        <v>0.33170470000000002</v>
      </c>
      <c r="F6257" t="s">
        <v>65</v>
      </c>
      <c r="G6257">
        <v>-292.45920000000001</v>
      </c>
      <c r="H6257" s="1">
        <v>-9.637261E-6</v>
      </c>
      <c r="I6257">
        <v>-52.888820000000003</v>
      </c>
      <c r="J6257">
        <v>-299.16449999999998</v>
      </c>
      <c r="K6257">
        <v>1.115639</v>
      </c>
      <c r="L6257">
        <v>-46.58502</v>
      </c>
      <c r="M6257">
        <v>0.41400350000000002</v>
      </c>
      <c r="N6257">
        <v>0</v>
      </c>
      <c r="O6257">
        <v>-0.91016079999999999</v>
      </c>
      <c r="P6257">
        <v>0.3825943</v>
      </c>
      <c r="Q6257">
        <v>-4.7594560000000001E-2</v>
      </c>
      <c r="R6257">
        <v>-0.92268989999999995</v>
      </c>
      <c r="S6257">
        <v>2.3745419999999999</v>
      </c>
      <c r="T6257">
        <v>-0.39035330000000001</v>
      </c>
      <c r="U6257">
        <v>-2.2602229999999999</v>
      </c>
      <c r="V6257">
        <v>3.4236419999999997E-2</v>
      </c>
      <c r="W6257">
        <v>-3.2690320000000002E-2</v>
      </c>
      <c r="X6257">
        <v>0.99887899999999996</v>
      </c>
      <c r="Y6257">
        <v>-0.36849110000000002</v>
      </c>
      <c r="Z6257">
        <v>0.11708730000000001</v>
      </c>
      <c r="AA6257">
        <v>0.92222820000000005</v>
      </c>
      <c r="AB6257">
        <v>20</v>
      </c>
      <c r="AC6257">
        <v>6.7052999999999603</v>
      </c>
      <c r="AD6257">
        <v>-1.1156486372609999</v>
      </c>
      <c r="AE6257">
        <v>-6.3037999999999901</v>
      </c>
      <c r="AF6257">
        <v>-3.4428761078275101</v>
      </c>
      <c r="AG6257">
        <v>-1.1156486372609999</v>
      </c>
      <c r="AH6257">
        <v>8.3910678350754999</v>
      </c>
      <c r="AI6257">
        <v>97.012463188971196</v>
      </c>
      <c r="AJ6257">
        <v>112.308465316949</v>
      </c>
      <c r="AK6257">
        <v>9.1382759418016395</v>
      </c>
      <c r="AL6257">
        <v>91.873351086443293</v>
      </c>
      <c r="AM6257">
        <v>88.036964665248803</v>
      </c>
      <c r="AN6257">
        <v>1.00000002305855</v>
      </c>
    </row>
    <row r="6258" spans="1:40" x14ac:dyDescent="0.25">
      <c r="A6258" t="str">
        <f>"20190312155000996"</f>
        <v>20190312155000996</v>
      </c>
      <c r="B6258" t="str">
        <f>"1552377000991619"</f>
        <v>1552377000991619</v>
      </c>
      <c r="C6258" t="s">
        <v>40</v>
      </c>
      <c r="D6258">
        <v>4.9706449999999904</v>
      </c>
      <c r="E6258">
        <v>0.33318629999999999</v>
      </c>
      <c r="F6258" t="s">
        <v>65</v>
      </c>
      <c r="G6258">
        <v>-292.26580000000001</v>
      </c>
      <c r="H6258" s="1">
        <v>-9.6933480000000005E-6</v>
      </c>
      <c r="I6258">
        <v>-53.031190000000002</v>
      </c>
      <c r="J6258">
        <v>-299.00720000000001</v>
      </c>
      <c r="K6258">
        <v>1.1156459999999999</v>
      </c>
      <c r="L6258">
        <v>-46.876339999999999</v>
      </c>
      <c r="M6258">
        <v>0.4303631</v>
      </c>
      <c r="N6258">
        <v>0</v>
      </c>
      <c r="O6258">
        <v>-0.90254000000000001</v>
      </c>
      <c r="P6258">
        <v>0.40083370000000001</v>
      </c>
      <c r="Q6258">
        <v>-5.2458480000000002E-2</v>
      </c>
      <c r="R6258">
        <v>-0.91464789999999996</v>
      </c>
      <c r="S6258">
        <v>2.3952939999999998</v>
      </c>
      <c r="T6258">
        <v>-0.38736710000000002</v>
      </c>
      <c r="U6258">
        <v>-2.2381899999999999</v>
      </c>
      <c r="V6258">
        <v>3.2395840000000002E-2</v>
      </c>
      <c r="W6258">
        <v>-3.7561949999999997E-2</v>
      </c>
      <c r="X6258">
        <v>0.99876900000000002</v>
      </c>
      <c r="Y6258">
        <v>-0.36035810000000001</v>
      </c>
      <c r="Z6258">
        <v>0.115452</v>
      </c>
      <c r="AA6258">
        <v>0.92564190000000002</v>
      </c>
      <c r="AB6258">
        <v>20</v>
      </c>
      <c r="AC6258">
        <v>6.7413999999999898</v>
      </c>
      <c r="AD6258">
        <v>-1.115655693348</v>
      </c>
      <c r="AE6258">
        <v>-6.1548499999999997</v>
      </c>
      <c r="AF6258">
        <v>-3.3853548099916799</v>
      </c>
      <c r="AG6258">
        <v>-1.115655693348</v>
      </c>
      <c r="AH6258">
        <v>8.33266677656807</v>
      </c>
      <c r="AI6258">
        <v>97.071019409194506</v>
      </c>
      <c r="AJ6258">
        <v>112.11068144664701</v>
      </c>
      <c r="AK6258">
        <v>9.0630375937074703</v>
      </c>
      <c r="AL6258">
        <v>92.152647704229395</v>
      </c>
      <c r="AM6258">
        <v>88.142218691905796</v>
      </c>
      <c r="AN6258">
        <v>0.99999995294905297</v>
      </c>
    </row>
    <row r="6259" spans="1:40" x14ac:dyDescent="0.25">
      <c r="A6259" t="str">
        <f>"20190312155001026"</f>
        <v>20190312155001026</v>
      </c>
      <c r="B6259" t="str">
        <f>"1552377001021874"</f>
        <v>1552377001021874</v>
      </c>
      <c r="C6259" t="s">
        <v>40</v>
      </c>
      <c r="D6259">
        <v>4.8392419999999996</v>
      </c>
      <c r="E6259">
        <v>0.33440300000000001</v>
      </c>
      <c r="F6259" t="s">
        <v>65</v>
      </c>
      <c r="G6259">
        <v>-292.23790000000002</v>
      </c>
      <c r="H6259" s="1">
        <v>-9.7076339999999997E-6</v>
      </c>
      <c r="I6259">
        <v>-52.989910000000002</v>
      </c>
      <c r="J6259">
        <v>-298.87759999999997</v>
      </c>
      <c r="K6259">
        <v>1.1156619999999999</v>
      </c>
      <c r="L6259">
        <v>-47.10754</v>
      </c>
      <c r="M6259">
        <v>0.44349149999999998</v>
      </c>
      <c r="N6259">
        <v>0</v>
      </c>
      <c r="O6259">
        <v>-0.89616169999999995</v>
      </c>
      <c r="P6259">
        <v>0.41535450000000002</v>
      </c>
      <c r="Q6259">
        <v>-5.3833190000000003E-2</v>
      </c>
      <c r="R6259">
        <v>-0.90806549999999997</v>
      </c>
      <c r="S6259">
        <v>2.428131</v>
      </c>
      <c r="T6259">
        <v>-0.40017900000000001</v>
      </c>
      <c r="U6259">
        <v>-2.1929020000000001</v>
      </c>
      <c r="V6259">
        <v>3.1049219999999999E-2</v>
      </c>
      <c r="W6259">
        <v>-3.8941860000000002E-2</v>
      </c>
      <c r="X6259">
        <v>0.99875899999999995</v>
      </c>
      <c r="Y6259">
        <v>-0.36210059999999999</v>
      </c>
      <c r="Z6259">
        <v>0.1190367</v>
      </c>
      <c r="AA6259">
        <v>0.92450710000000003</v>
      </c>
      <c r="AB6259">
        <v>20</v>
      </c>
      <c r="AC6259">
        <v>6.63969999999994</v>
      </c>
      <c r="AD6259">
        <v>-1.1156717076339999</v>
      </c>
      <c r="AE6259">
        <v>-5.8823699999999901</v>
      </c>
      <c r="AF6259">
        <v>-3.2897745588290199</v>
      </c>
      <c r="AG6259">
        <v>-1.1156717076339999</v>
      </c>
      <c r="AH6259">
        <v>8.0891085289275804</v>
      </c>
      <c r="AI6259">
        <v>97.280727456718694</v>
      </c>
      <c r="AJ6259">
        <v>112.131175140754</v>
      </c>
      <c r="AK6259">
        <v>8.8034661809938601</v>
      </c>
      <c r="AL6259">
        <v>92.231768464810699</v>
      </c>
      <c r="AM6259">
        <v>88.219373749720006</v>
      </c>
      <c r="AN6259">
        <v>1.0000000313019299</v>
      </c>
    </row>
    <row r="6260" spans="1:40" x14ac:dyDescent="0.25">
      <c r="A6260" t="str">
        <f>"20190312155001052"</f>
        <v>20190312155001052</v>
      </c>
      <c r="B6260" t="str">
        <f>"1552377001043346"</f>
        <v>1552377001043346</v>
      </c>
      <c r="C6260" t="s">
        <v>40</v>
      </c>
      <c r="D6260">
        <v>4.7697989999999999</v>
      </c>
      <c r="E6260">
        <v>0.33529389999999998</v>
      </c>
      <c r="F6260" t="s">
        <v>65</v>
      </c>
      <c r="G6260">
        <v>-292.04109999999997</v>
      </c>
      <c r="H6260" s="1">
        <v>-9.7663309999999998E-6</v>
      </c>
      <c r="I6260">
        <v>-53.11835</v>
      </c>
      <c r="J6260">
        <v>-298.76859999999999</v>
      </c>
      <c r="K6260">
        <v>1.115653</v>
      </c>
      <c r="L6260">
        <v>-47.295169999999999</v>
      </c>
      <c r="M6260">
        <v>0.45423970000000002</v>
      </c>
      <c r="N6260">
        <v>0</v>
      </c>
      <c r="O6260">
        <v>-0.89076169999999999</v>
      </c>
      <c r="P6260">
        <v>0.42759059999999999</v>
      </c>
      <c r="Q6260">
        <v>-5.4672569999999997E-2</v>
      </c>
      <c r="R6260">
        <v>-0.90231779999999995</v>
      </c>
      <c r="S6260">
        <v>2.4539179999999998</v>
      </c>
      <c r="T6260">
        <v>-0.40046749999999998</v>
      </c>
      <c r="U6260">
        <v>-2.157562</v>
      </c>
      <c r="V6260">
        <v>2.955383E-2</v>
      </c>
      <c r="W6260">
        <v>-3.979444E-2</v>
      </c>
      <c r="X6260">
        <v>0.99877070000000001</v>
      </c>
      <c r="Y6260">
        <v>-0.36320859999999999</v>
      </c>
      <c r="Z6260">
        <v>0.1189021</v>
      </c>
      <c r="AA6260">
        <v>0.92408970000000001</v>
      </c>
      <c r="AB6260">
        <v>20</v>
      </c>
      <c r="AC6260">
        <v>6.7275000000000196</v>
      </c>
      <c r="AD6260">
        <v>-1.1156627663309999</v>
      </c>
      <c r="AE6260">
        <v>-5.8231799999999998</v>
      </c>
      <c r="AF6260">
        <v>-3.2960107167724901</v>
      </c>
      <c r="AG6260">
        <v>-1.1156627663309999</v>
      </c>
      <c r="AH6260">
        <v>8.1162238421676598</v>
      </c>
      <c r="AI6260">
        <v>97.258084031674002</v>
      </c>
      <c r="AJ6260">
        <v>112.102145086074</v>
      </c>
      <c r="AK6260">
        <v>8.8307122877731299</v>
      </c>
      <c r="AL6260">
        <v>92.280655741781501</v>
      </c>
      <c r="AM6260">
        <v>88.305100682868499</v>
      </c>
      <c r="AN6260">
        <v>0.99999996875053498</v>
      </c>
    </row>
    <row r="6261" spans="1:40" x14ac:dyDescent="0.25">
      <c r="A6261" t="str">
        <f>"20190312155001076"</f>
        <v>20190312155001076</v>
      </c>
      <c r="B6261" t="str">
        <f>"1552377001072626"</f>
        <v>1552377001072626</v>
      </c>
      <c r="C6261" t="s">
        <v>40</v>
      </c>
      <c r="D6261">
        <v>4.8237489999999896</v>
      </c>
      <c r="E6261">
        <v>0.33685110000000001</v>
      </c>
      <c r="F6261" t="s">
        <v>65</v>
      </c>
      <c r="G6261">
        <v>-291.82729999999998</v>
      </c>
      <c r="H6261" s="1">
        <v>-9.830163E-6</v>
      </c>
      <c r="I6261">
        <v>-53.257809999999999</v>
      </c>
      <c r="J6261">
        <v>-298.66070000000002</v>
      </c>
      <c r="K6261">
        <v>1.115645</v>
      </c>
      <c r="L6261">
        <v>-47.476100000000002</v>
      </c>
      <c r="M6261">
        <v>0.46464630000000001</v>
      </c>
      <c r="N6261">
        <v>0</v>
      </c>
      <c r="O6261">
        <v>-0.88537790000000005</v>
      </c>
      <c r="P6261">
        <v>0.43997059999999999</v>
      </c>
      <c r="Q6261">
        <v>-5.4499430000000001E-2</v>
      </c>
      <c r="R6261">
        <v>-0.89635679999999995</v>
      </c>
      <c r="S6261">
        <v>2.476318</v>
      </c>
      <c r="T6261">
        <v>-0.39801140000000002</v>
      </c>
      <c r="U6261">
        <v>-2.127167</v>
      </c>
      <c r="V6261">
        <v>2.7511540000000001E-2</v>
      </c>
      <c r="W6261">
        <v>-3.9644890000000002E-2</v>
      </c>
      <c r="X6261">
        <v>0.99883500000000003</v>
      </c>
      <c r="Y6261">
        <v>-0.36303790000000002</v>
      </c>
      <c r="Z6261">
        <v>0.1178749</v>
      </c>
      <c r="AA6261">
        <v>0.92428840000000001</v>
      </c>
      <c r="AB6261">
        <v>20</v>
      </c>
      <c r="AC6261">
        <v>6.8334000000000401</v>
      </c>
      <c r="AD6261">
        <v>-1.1156548301629901</v>
      </c>
      <c r="AE6261">
        <v>-5.7817099999999897</v>
      </c>
      <c r="AF6261">
        <v>-3.3125844491431198</v>
      </c>
      <c r="AG6261">
        <v>-1.1156548301629901</v>
      </c>
      <c r="AH6261">
        <v>8.1680944775557602</v>
      </c>
      <c r="AI6261">
        <v>97.213795797071796</v>
      </c>
      <c r="AJ6261">
        <v>112.07509717852</v>
      </c>
      <c r="AK6261">
        <v>8.8845747690617003</v>
      </c>
      <c r="AL6261">
        <v>92.272080365702806</v>
      </c>
      <c r="AM6261">
        <v>88.4222652472927</v>
      </c>
      <c r="AN6261">
        <v>0.99999997968064103</v>
      </c>
    </row>
    <row r="6262" spans="1:40" x14ac:dyDescent="0.25">
      <c r="A6262" t="str">
        <f>"20190312155001099"</f>
        <v>20190312155001099</v>
      </c>
      <c r="B6262" t="str">
        <f>"1552377001092146"</f>
        <v>1552377001092146</v>
      </c>
      <c r="C6262" t="s">
        <v>40</v>
      </c>
      <c r="D6262">
        <v>4.853091</v>
      </c>
      <c r="E6262">
        <v>0.33777390000000002</v>
      </c>
      <c r="F6262" t="s">
        <v>65</v>
      </c>
      <c r="G6262">
        <v>-291.55950000000001</v>
      </c>
      <c r="H6262" s="1">
        <v>-9.9081510000000004E-6</v>
      </c>
      <c r="I6262">
        <v>-53.451740000000001</v>
      </c>
      <c r="J6262">
        <v>-298.55309999999997</v>
      </c>
      <c r="K6262">
        <v>1.115634</v>
      </c>
      <c r="L6262">
        <v>-47.651919999999997</v>
      </c>
      <c r="M6262">
        <v>0.4747807</v>
      </c>
      <c r="N6262">
        <v>0</v>
      </c>
      <c r="O6262">
        <v>-0.87998469999999995</v>
      </c>
      <c r="P6262">
        <v>0.45191120000000001</v>
      </c>
      <c r="Q6262">
        <v>-5.3471009999999999E-2</v>
      </c>
      <c r="R6262">
        <v>-0.89045919999999901</v>
      </c>
      <c r="S6262">
        <v>2.4941409999999999</v>
      </c>
      <c r="T6262">
        <v>-0.39185019999999998</v>
      </c>
      <c r="U6262">
        <v>-2.0988159999999998</v>
      </c>
      <c r="V6262">
        <v>2.5644150000000001E-2</v>
      </c>
      <c r="W6262">
        <v>-3.8640050000000002E-2</v>
      </c>
      <c r="X6262">
        <v>0.99892409999999998</v>
      </c>
      <c r="Y6262">
        <v>-0.3619329</v>
      </c>
      <c r="Z6262">
        <v>0.1157934</v>
      </c>
      <c r="AA6262">
        <v>0.92498460000000005</v>
      </c>
      <c r="AB6262">
        <v>20</v>
      </c>
      <c r="AC6262">
        <v>6.9935999999999501</v>
      </c>
      <c r="AD6262">
        <v>-1.1156439081509999</v>
      </c>
      <c r="AE6262">
        <v>-5.7998199999999898</v>
      </c>
      <c r="AF6262">
        <v>-3.35045779321911</v>
      </c>
      <c r="AG6262">
        <v>-1.1156439081509999</v>
      </c>
      <c r="AH6262">
        <v>8.2999188477057899</v>
      </c>
      <c r="AI6262">
        <v>97.104922512563405</v>
      </c>
      <c r="AJ6262">
        <v>111.982627180869</v>
      </c>
      <c r="AK6262">
        <v>9.0199158328910691</v>
      </c>
      <c r="AL6262">
        <v>92.214463033365902</v>
      </c>
      <c r="AM6262">
        <v>88.529438907610796</v>
      </c>
      <c r="AN6262">
        <v>1.00000001672701</v>
      </c>
    </row>
    <row r="6263" spans="1:40" x14ac:dyDescent="0.25">
      <c r="A6263" t="str">
        <f>"20190312155001125"</f>
        <v>20190312155001125</v>
      </c>
      <c r="B6263" t="str">
        <f>"1552377001111666"</f>
        <v>1552377001111666</v>
      </c>
      <c r="C6263" t="s">
        <v>40</v>
      </c>
      <c r="D6263">
        <v>4.8920830000000004</v>
      </c>
      <c r="E6263">
        <v>0.33886129999999998</v>
      </c>
      <c r="F6263" t="s">
        <v>65</v>
      </c>
      <c r="G6263">
        <v>-291.30410000000001</v>
      </c>
      <c r="H6263" s="1">
        <v>-9.9847189999999998E-6</v>
      </c>
      <c r="I6263">
        <v>-53.614640000000001</v>
      </c>
      <c r="J6263">
        <v>-298.44060000000002</v>
      </c>
      <c r="K6263">
        <v>1.1156090000000001</v>
      </c>
      <c r="L6263">
        <v>-47.831209999999999</v>
      </c>
      <c r="M6263">
        <v>0.48512929999999999</v>
      </c>
      <c r="N6263">
        <v>0</v>
      </c>
      <c r="O6263">
        <v>-0.8743223</v>
      </c>
      <c r="P6263">
        <v>0.46421190000000001</v>
      </c>
      <c r="Q6263">
        <v>-5.1736919999999999E-2</v>
      </c>
      <c r="R6263">
        <v>-0.88421179999999999</v>
      </c>
      <c r="S6263">
        <v>2.515533</v>
      </c>
      <c r="T6263">
        <v>-0.38715100000000002</v>
      </c>
      <c r="U6263">
        <v>-2.0691830000000002</v>
      </c>
      <c r="V6263">
        <v>2.360576E-2</v>
      </c>
      <c r="W6263">
        <v>-3.6933460000000001E-2</v>
      </c>
      <c r="X6263">
        <v>0.99903889999999995</v>
      </c>
      <c r="Y6263">
        <v>-0.3614523</v>
      </c>
      <c r="Z6263">
        <v>0.1140574</v>
      </c>
      <c r="AA6263">
        <v>0.92538810000000005</v>
      </c>
      <c r="AB6263">
        <v>20</v>
      </c>
      <c r="AC6263">
        <v>7.1365000000000096</v>
      </c>
      <c r="AD6263">
        <v>-1.1156189847189999</v>
      </c>
      <c r="AE6263">
        <v>-5.7834300000000001</v>
      </c>
      <c r="AF6263">
        <v>-3.3843302321031401</v>
      </c>
      <c r="AG6263">
        <v>-1.1156189847189999</v>
      </c>
      <c r="AH6263">
        <v>8.3957610757996797</v>
      </c>
      <c r="AI6263">
        <v>97.025859739968297</v>
      </c>
      <c r="AJ6263">
        <v>111.954357443013</v>
      </c>
      <c r="AK6263">
        <v>9.1206962936447908</v>
      </c>
      <c r="AL6263">
        <v>92.116612733742301</v>
      </c>
      <c r="AM6263">
        <v>88.646440293530503</v>
      </c>
      <c r="AN6263">
        <v>1.00000001804297</v>
      </c>
    </row>
    <row r="6264" spans="1:40" x14ac:dyDescent="0.25">
      <c r="A6264" t="str">
        <f>"20190312155001152"</f>
        <v>20190312155001152</v>
      </c>
      <c r="B6264" t="str">
        <f>"1552377001141922"</f>
        <v>1552377001141922</v>
      </c>
      <c r="C6264" t="s">
        <v>40</v>
      </c>
      <c r="D6264">
        <v>5.017423</v>
      </c>
      <c r="E6264">
        <v>0.34064109999999997</v>
      </c>
      <c r="F6264" t="s">
        <v>65</v>
      </c>
      <c r="G6264">
        <v>-290.99669999999998</v>
      </c>
      <c r="H6264" s="1">
        <v>-1.007641E-5</v>
      </c>
      <c r="I6264">
        <v>-53.815719999999999</v>
      </c>
      <c r="J6264">
        <v>-298.31299999999999</v>
      </c>
      <c r="K6264">
        <v>1.1155839999999999</v>
      </c>
      <c r="L6264">
        <v>-48.028379999999999</v>
      </c>
      <c r="M6264">
        <v>0.49652099999999999</v>
      </c>
      <c r="N6264">
        <v>0</v>
      </c>
      <c r="O6264">
        <v>-0.86790400000000001</v>
      </c>
      <c r="P6264">
        <v>0.4766128</v>
      </c>
      <c r="Q6264">
        <v>-4.9265240000000002E-2</v>
      </c>
      <c r="R6264">
        <v>-0.87773219999999996</v>
      </c>
      <c r="S6264">
        <v>2.5362849999999999</v>
      </c>
      <c r="T6264">
        <v>-0.38011780000000001</v>
      </c>
      <c r="U6264">
        <v>-2.0390630000000001</v>
      </c>
      <c r="V6264">
        <v>2.2640230000000001E-2</v>
      </c>
      <c r="W6264">
        <v>-3.4476979999999997E-2</v>
      </c>
      <c r="X6264">
        <v>0.99914899999999995</v>
      </c>
      <c r="Y6264">
        <v>-0.35986190000000001</v>
      </c>
      <c r="Z6264">
        <v>0.11156339999999999</v>
      </c>
      <c r="AA6264">
        <v>0.92631149999999995</v>
      </c>
      <c r="AB6264">
        <v>20</v>
      </c>
      <c r="AC6264">
        <v>7.3163000000000098</v>
      </c>
      <c r="AD6264">
        <v>-1.1155940764100001</v>
      </c>
      <c r="AE6264">
        <v>-5.7873400000000004</v>
      </c>
      <c r="AF6264">
        <v>-3.4276534307387201</v>
      </c>
      <c r="AG6264">
        <v>-1.1155940764100001</v>
      </c>
      <c r="AH6264">
        <v>8.53440323639966</v>
      </c>
      <c r="AI6264">
        <v>96.916175296513103</v>
      </c>
      <c r="AJ6264">
        <v>111.881765156787</v>
      </c>
      <c r="AK6264">
        <v>9.2644156203208503</v>
      </c>
      <c r="AL6264">
        <v>91.975777031393093</v>
      </c>
      <c r="AM6264">
        <v>88.701927661398102</v>
      </c>
      <c r="AN6264">
        <v>0.99999998318268601</v>
      </c>
    </row>
    <row r="6265" spans="1:40" x14ac:dyDescent="0.25">
      <c r="A6265" t="str">
        <f>"20190312155001183"</f>
        <v>20190312155001183</v>
      </c>
      <c r="B6265" t="str">
        <f>"1552377001172178"</f>
        <v>1552377001172178</v>
      </c>
      <c r="C6265" t="s">
        <v>40</v>
      </c>
      <c r="D6265">
        <v>4.9158799999999996</v>
      </c>
      <c r="E6265">
        <v>0.3659694</v>
      </c>
      <c r="F6265" t="s">
        <v>65</v>
      </c>
      <c r="G6265">
        <v>-290.59640000000002</v>
      </c>
      <c r="H6265" s="1">
        <v>-1.019277E-5</v>
      </c>
      <c r="I6265">
        <v>-54.107990000000001</v>
      </c>
      <c r="J6265">
        <v>-298.16419999999999</v>
      </c>
      <c r="K6265">
        <v>1.115551</v>
      </c>
      <c r="L6265">
        <v>-48.251860000000001</v>
      </c>
      <c r="M6265">
        <v>0.50941899999999996</v>
      </c>
      <c r="N6265">
        <v>0</v>
      </c>
      <c r="O6265">
        <v>-0.86039659999999996</v>
      </c>
      <c r="P6265">
        <v>0.48983480000000001</v>
      </c>
      <c r="Q6265">
        <v>-4.6893700000000003E-2</v>
      </c>
      <c r="R6265">
        <v>-0.87055309999999897</v>
      </c>
      <c r="S6265">
        <v>2.5526119999999999</v>
      </c>
      <c r="T6265">
        <v>-0.36903360000000002</v>
      </c>
      <c r="U6265">
        <v>-2.0111080000000001</v>
      </c>
      <c r="V6265">
        <v>2.246981E-2</v>
      </c>
      <c r="W6265">
        <v>-3.2112420000000003E-2</v>
      </c>
      <c r="X6265">
        <v>0.9992316</v>
      </c>
      <c r="Y6265">
        <v>-0.35541640000000002</v>
      </c>
      <c r="Z6265">
        <v>0.1077835</v>
      </c>
      <c r="AA6265">
        <v>0.92847290000000005</v>
      </c>
      <c r="AB6265">
        <v>20</v>
      </c>
      <c r="AC6265">
        <v>7.5677999999999699</v>
      </c>
      <c r="AD6265">
        <v>-1.11556119277</v>
      </c>
      <c r="AE6265">
        <v>-5.8561300000000003</v>
      </c>
      <c r="AF6265">
        <v>-3.4811435401258199</v>
      </c>
      <c r="AG6265">
        <v>-1.11556119277</v>
      </c>
      <c r="AH6265">
        <v>8.7754417924393202</v>
      </c>
      <c r="AI6265">
        <v>96.739113912094197</v>
      </c>
      <c r="AJ6265">
        <v>111.637808928911</v>
      </c>
      <c r="AK6265">
        <v>9.5063776368427995</v>
      </c>
      <c r="AL6265">
        <v>91.840222604575999</v>
      </c>
      <c r="AM6265">
        <v>88.7118018069919</v>
      </c>
      <c r="AN6265">
        <v>0.99999994515912405</v>
      </c>
    </row>
    <row r="6266" spans="1:40" x14ac:dyDescent="0.25">
      <c r="A6266" t="str">
        <f>"20190312155001208"</f>
        <v>20190312155001208</v>
      </c>
      <c r="B6266" t="str">
        <f>"1552377001202435"</f>
        <v>1552377001202435</v>
      </c>
      <c r="C6266" t="s">
        <v>40</v>
      </c>
      <c r="D6266">
        <v>4.9102930000000002</v>
      </c>
      <c r="E6266">
        <v>0.36840220000000001</v>
      </c>
      <c r="F6266" t="s">
        <v>65</v>
      </c>
      <c r="G6266">
        <v>-290.245</v>
      </c>
      <c r="H6266" s="1">
        <v>-1.022362E-5</v>
      </c>
      <c r="I6266">
        <v>-55.078169999999901</v>
      </c>
      <c r="J6266">
        <v>-298.04969999999997</v>
      </c>
      <c r="K6266">
        <v>1.115532</v>
      </c>
      <c r="L6266">
        <v>-48.419130000000003</v>
      </c>
      <c r="M6266">
        <v>0.51907409999999998</v>
      </c>
      <c r="N6266">
        <v>0</v>
      </c>
      <c r="O6266">
        <v>-0.85460659999999899</v>
      </c>
      <c r="P6266">
        <v>0.49919920000000001</v>
      </c>
      <c r="Q6266">
        <v>-4.428907E-2</v>
      </c>
      <c r="R6266">
        <v>-0.86535509999999904</v>
      </c>
      <c r="S6266">
        <v>2.4060670000000002</v>
      </c>
      <c r="T6266">
        <v>-0.3389356</v>
      </c>
      <c r="U6266">
        <v>-2.0740050000000001</v>
      </c>
      <c r="V6266">
        <v>2.297225E-2</v>
      </c>
      <c r="W6266">
        <v>-2.950521E-2</v>
      </c>
      <c r="X6266">
        <v>0.99930059999999998</v>
      </c>
      <c r="Y6266">
        <v>-0.3041315</v>
      </c>
      <c r="Z6266">
        <v>9.9360950000000003E-2</v>
      </c>
      <c r="AA6266">
        <v>0.94743409999999995</v>
      </c>
      <c r="AB6266">
        <v>20</v>
      </c>
      <c r="AC6266">
        <v>7.8046999999999596</v>
      </c>
      <c r="AD6266">
        <v>-1.1155422236200001</v>
      </c>
      <c r="AE6266">
        <v>-6.6590399999999903</v>
      </c>
      <c r="AF6266">
        <v>-3.17619790189412</v>
      </c>
      <c r="AG6266">
        <v>-1.1155422236200001</v>
      </c>
      <c r="AH6266">
        <v>9.6292526533612701</v>
      </c>
      <c r="AI6266">
        <v>96.278360868040807</v>
      </c>
      <c r="AJ6266">
        <v>108.25507975277699</v>
      </c>
      <c r="AK6266">
        <v>10.200743807533801</v>
      </c>
      <c r="AL6266">
        <v>91.690769410474502</v>
      </c>
      <c r="AM6266">
        <v>88.6830977708901</v>
      </c>
      <c r="AN6266">
        <v>0.99999998542378299</v>
      </c>
    </row>
    <row r="6267" spans="1:40" x14ac:dyDescent="0.25">
      <c r="A6267" t="str">
        <f>"20190312155001231"</f>
        <v>20190312155001231</v>
      </c>
      <c r="B6267" t="str">
        <f>"1552377001222461"</f>
        <v>1552377001222461</v>
      </c>
      <c r="C6267" t="s">
        <v>40</v>
      </c>
      <c r="D6267">
        <v>4.9186909999999999</v>
      </c>
      <c r="E6267">
        <v>0.37004619999999999</v>
      </c>
      <c r="F6267" t="s">
        <v>65</v>
      </c>
      <c r="G6267">
        <v>-289.76690000000002</v>
      </c>
      <c r="H6267" s="1">
        <v>-2.0737990000000001E-6</v>
      </c>
      <c r="I6267">
        <v>-55.492519999999899</v>
      </c>
      <c r="J6267">
        <v>-297.93130000000002</v>
      </c>
      <c r="K6267">
        <v>1.11551</v>
      </c>
      <c r="L6267">
        <v>-48.587589999999999</v>
      </c>
      <c r="M6267">
        <v>0.52880309999999997</v>
      </c>
      <c r="N6267">
        <v>0</v>
      </c>
      <c r="O6267">
        <v>-0.84862109999999902</v>
      </c>
      <c r="P6267">
        <v>0.5086638</v>
      </c>
      <c r="Q6267">
        <v>-4.3091190000000001E-2</v>
      </c>
      <c r="R6267">
        <v>-0.85988629999999999</v>
      </c>
      <c r="S6267">
        <v>2.4112550000000001</v>
      </c>
      <c r="T6267">
        <v>-0.32474950000000002</v>
      </c>
      <c r="U6267">
        <v>-2.0591740000000001</v>
      </c>
      <c r="V6267">
        <v>2.3437329999999999E-2</v>
      </c>
      <c r="W6267">
        <v>-2.8306649999999999E-2</v>
      </c>
      <c r="X6267">
        <v>0.99932449999999995</v>
      </c>
      <c r="Y6267">
        <v>-0.2979887</v>
      </c>
      <c r="Z6267">
        <v>9.4776959999999993E-2</v>
      </c>
      <c r="AA6267">
        <v>0.94985260000000005</v>
      </c>
      <c r="AB6267">
        <v>20</v>
      </c>
      <c r="AC6267">
        <v>8.1644000000000005</v>
      </c>
      <c r="AD6267">
        <v>-1.1155120737989901</v>
      </c>
      <c r="AE6267">
        <v>-6.9049299999999798</v>
      </c>
      <c r="AF6267">
        <v>-3.2421907735712101</v>
      </c>
      <c r="AG6267">
        <v>-1.1155120737989901</v>
      </c>
      <c r="AH6267">
        <v>10.0685151698722</v>
      </c>
      <c r="AI6267">
        <v>96.020120231697007</v>
      </c>
      <c r="AJ6267">
        <v>107.849223097635</v>
      </c>
      <c r="AK6267">
        <v>10.6363135495795</v>
      </c>
      <c r="AL6267">
        <v>91.622068219203499</v>
      </c>
      <c r="AM6267">
        <v>88.656478491922002</v>
      </c>
      <c r="AN6267">
        <v>1.000000015586</v>
      </c>
    </row>
    <row r="6268" spans="1:40" x14ac:dyDescent="0.25">
      <c r="A6268" t="str">
        <f>"20190312155001268"</f>
        <v>20190312155001268</v>
      </c>
      <c r="B6268" t="str">
        <f>"1552377001262477"</f>
        <v>1552377001262477</v>
      </c>
      <c r="C6268" t="s">
        <v>40</v>
      </c>
      <c r="D6268">
        <v>4.9718679999999997</v>
      </c>
      <c r="E6268">
        <v>0.37147940000000002</v>
      </c>
      <c r="F6268" t="s">
        <v>65</v>
      </c>
      <c r="G6268">
        <v>-289.66309999999999</v>
      </c>
      <c r="H6268" s="1">
        <v>-2.1227649999999999E-6</v>
      </c>
      <c r="I6268">
        <v>-55.548450000000003</v>
      </c>
      <c r="J6268">
        <v>-297.75099999999998</v>
      </c>
      <c r="K6268">
        <v>1.1154729999999999</v>
      </c>
      <c r="L6268">
        <v>-48.836979999999997</v>
      </c>
      <c r="M6268">
        <v>0.54320679999999999</v>
      </c>
      <c r="N6268">
        <v>0</v>
      </c>
      <c r="O6268">
        <v>-0.83947430000000001</v>
      </c>
      <c r="P6268">
        <v>0.52207650000000005</v>
      </c>
      <c r="Q6268">
        <v>-4.37455E-2</v>
      </c>
      <c r="R6268">
        <v>-0.85177630000000004</v>
      </c>
      <c r="S6268">
        <v>2.422485</v>
      </c>
      <c r="T6268">
        <v>-0.3268335</v>
      </c>
      <c r="U6268">
        <v>-2.0394589999999999</v>
      </c>
      <c r="V6268">
        <v>2.4816789999999998E-2</v>
      </c>
      <c r="W6268">
        <v>-2.895267E-2</v>
      </c>
      <c r="X6268">
        <v>0.99927259999999996</v>
      </c>
      <c r="Y6268">
        <v>-0.28836840000000002</v>
      </c>
      <c r="Z6268">
        <v>9.4506690000000004E-2</v>
      </c>
      <c r="AA6268">
        <v>0.95284429999999998</v>
      </c>
      <c r="AB6268">
        <v>19</v>
      </c>
      <c r="AC6268">
        <v>8.0878999999999905</v>
      </c>
      <c r="AD6268">
        <v>-1.1154751227649999</v>
      </c>
      <c r="AE6268">
        <v>-6.7114700000000003</v>
      </c>
      <c r="AF6268">
        <v>-3.1091729087472699</v>
      </c>
      <c r="AG6268">
        <v>-1.1154751227649999</v>
      </c>
      <c r="AH6268">
        <v>9.9168471442394992</v>
      </c>
      <c r="AI6268">
        <v>96.126176130901499</v>
      </c>
      <c r="AJ6268">
        <v>107.40747758155899</v>
      </c>
      <c r="AK6268">
        <v>10.4525163577105</v>
      </c>
      <c r="AL6268">
        <v>91.659097760210003</v>
      </c>
      <c r="AM6268">
        <v>88.577360063395304</v>
      </c>
      <c r="AN6268">
        <v>0.99999992963839301</v>
      </c>
    </row>
    <row r="6269" spans="1:40" x14ac:dyDescent="0.25">
      <c r="A6269" t="str">
        <f>"20190312155001317"</f>
        <v>20190312155001317</v>
      </c>
      <c r="B6269" t="str">
        <f>"1552377001312253"</f>
        <v>1552377001312253</v>
      </c>
      <c r="C6269" t="s">
        <v>40</v>
      </c>
      <c r="D6269">
        <v>4.9951369999999997</v>
      </c>
      <c r="E6269">
        <v>0.3602069</v>
      </c>
      <c r="F6269" t="s">
        <v>65</v>
      </c>
      <c r="G6269">
        <v>-289.46609999999998</v>
      </c>
      <c r="H6269" s="1">
        <v>-2.2191699999999999E-6</v>
      </c>
      <c r="I6269">
        <v>-55.63946</v>
      </c>
      <c r="J6269">
        <v>-297.50189999999998</v>
      </c>
      <c r="K6269">
        <v>1.1154360000000001</v>
      </c>
      <c r="L6269">
        <v>-49.167079999999999</v>
      </c>
      <c r="M6269">
        <v>0.56231999999999904</v>
      </c>
      <c r="N6269">
        <v>0</v>
      </c>
      <c r="O6269">
        <v>-0.82679319999999901</v>
      </c>
      <c r="P6269">
        <v>0.54115179999999996</v>
      </c>
      <c r="Q6269">
        <v>-4.2509209999999999E-2</v>
      </c>
      <c r="R6269">
        <v>-0.83984950000000003</v>
      </c>
      <c r="S6269">
        <v>2.4443359999999998</v>
      </c>
      <c r="T6269">
        <v>-0.32910220000000001</v>
      </c>
      <c r="U6269">
        <v>-2.006958</v>
      </c>
      <c r="V6269">
        <v>2.522023E-2</v>
      </c>
      <c r="W6269">
        <v>-2.7723250000000001E-2</v>
      </c>
      <c r="X6269">
        <v>0.9992974</v>
      </c>
      <c r="Y6269">
        <v>-0.27813149999999998</v>
      </c>
      <c r="Z6269">
        <v>9.3940850000000006E-2</v>
      </c>
      <c r="AA6269">
        <v>0.95593830000000002</v>
      </c>
      <c r="AB6269">
        <v>19</v>
      </c>
      <c r="AC6269">
        <v>8.0357999999999894</v>
      </c>
      <c r="AD6269">
        <v>-1.1154382191700001</v>
      </c>
      <c r="AE6269">
        <v>-6.4723800000000002</v>
      </c>
      <c r="AF6269">
        <v>-2.97000176965506</v>
      </c>
      <c r="AG6269">
        <v>-1.1154382191700001</v>
      </c>
      <c r="AH6269">
        <v>9.7570190127206899</v>
      </c>
      <c r="AI6269">
        <v>96.241462924363901</v>
      </c>
      <c r="AJ6269">
        <v>106.930061826363</v>
      </c>
      <c r="AK6269">
        <v>10.2598505323972</v>
      </c>
      <c r="AL6269">
        <v>91.588628815231402</v>
      </c>
      <c r="AM6269">
        <v>88.554278183873095</v>
      </c>
      <c r="AN6269">
        <v>0.99999996611928699</v>
      </c>
    </row>
    <row r="6270" spans="1:40" x14ac:dyDescent="0.25">
      <c r="A6270" t="str">
        <f>"20190312155001338"</f>
        <v>20190312155001338</v>
      </c>
      <c r="B6270" t="str">
        <f>"1552377001331773"</f>
        <v>1552377001331773</v>
      </c>
      <c r="C6270" t="s">
        <v>40</v>
      </c>
      <c r="D6270">
        <v>4.9083670000000001</v>
      </c>
      <c r="E6270">
        <v>0.35925790000000002</v>
      </c>
      <c r="F6270" t="s">
        <v>65</v>
      </c>
      <c r="G6270">
        <v>-288.80650000000003</v>
      </c>
      <c r="H6270" s="1">
        <v>-2.6143239999999999E-6</v>
      </c>
      <c r="I6270">
        <v>-55.618209999999998</v>
      </c>
      <c r="J6270">
        <v>-297.38440000000003</v>
      </c>
      <c r="K6270">
        <v>1.1154219999999999</v>
      </c>
      <c r="L6270">
        <v>-49.317500000000003</v>
      </c>
      <c r="M6270">
        <v>0.57104519999999903</v>
      </c>
      <c r="N6270">
        <v>0</v>
      </c>
      <c r="O6270">
        <v>-0.8207913</v>
      </c>
      <c r="P6270">
        <v>0.55038790000000004</v>
      </c>
      <c r="Q6270">
        <v>-4.2575090000000003E-2</v>
      </c>
      <c r="R6270">
        <v>-0.83382299999999998</v>
      </c>
      <c r="S6270">
        <v>2.5647579999999999</v>
      </c>
      <c r="T6270">
        <v>-0.32900580000000001</v>
      </c>
      <c r="U6270">
        <v>-1.9028020000000001</v>
      </c>
      <c r="V6270">
        <v>2.4773119999999999E-2</v>
      </c>
      <c r="W6270">
        <v>-2.7800849999999998E-2</v>
      </c>
      <c r="X6270">
        <v>0.99930640000000004</v>
      </c>
      <c r="Y6270">
        <v>-0.31475999999999998</v>
      </c>
      <c r="Z6270">
        <v>9.3682260000000003E-2</v>
      </c>
      <c r="AA6270">
        <v>0.94453679999999995</v>
      </c>
      <c r="AB6270">
        <v>19</v>
      </c>
      <c r="AC6270">
        <v>8.5778999999999996</v>
      </c>
      <c r="AD6270">
        <v>-1.1154246143240001</v>
      </c>
      <c r="AE6270">
        <v>-6.3007099999999898</v>
      </c>
      <c r="AF6270">
        <v>-3.4056305405334402</v>
      </c>
      <c r="AG6270">
        <v>-1.1154246143240001</v>
      </c>
      <c r="AH6270">
        <v>9.9615789033139208</v>
      </c>
      <c r="AI6270">
        <v>96.048034323474496</v>
      </c>
      <c r="AJ6270">
        <v>108.874356844837</v>
      </c>
      <c r="AK6270">
        <v>10.5865738412294</v>
      </c>
      <c r="AL6270">
        <v>91.5930767272135</v>
      </c>
      <c r="AM6270">
        <v>88.579910465056599</v>
      </c>
      <c r="AN6270">
        <v>0.99999993790810604</v>
      </c>
    </row>
    <row r="6271" spans="1:40" x14ac:dyDescent="0.25">
      <c r="A6271" t="str">
        <f>"20190312155001362"</f>
        <v>20190312155001362</v>
      </c>
      <c r="B6271" t="str">
        <f>"1552377001352269"</f>
        <v>1552377001352269</v>
      </c>
      <c r="C6271" t="s">
        <v>40</v>
      </c>
      <c r="D6271">
        <v>4.880878</v>
      </c>
      <c r="E6271">
        <v>0.35929889999999998</v>
      </c>
      <c r="F6271" t="s">
        <v>65</v>
      </c>
      <c r="G6271">
        <v>-288.64699999999999</v>
      </c>
      <c r="H6271" s="1">
        <v>-2.7082519999999999E-6</v>
      </c>
      <c r="I6271">
        <v>-55.6203</v>
      </c>
      <c r="J6271">
        <v>-297.26350000000002</v>
      </c>
      <c r="K6271">
        <v>1.1154029999999999</v>
      </c>
      <c r="L6271">
        <v>-49.468989999999998</v>
      </c>
      <c r="M6271">
        <v>0.57984409999999997</v>
      </c>
      <c r="N6271">
        <v>0</v>
      </c>
      <c r="O6271">
        <v>-0.81459930000000003</v>
      </c>
      <c r="P6271">
        <v>0.55881359999999902</v>
      </c>
      <c r="Q6271">
        <v>-4.3270790000000003E-2</v>
      </c>
      <c r="R6271">
        <v>-0.82816409999999996</v>
      </c>
      <c r="S6271">
        <v>2.5921940000000001</v>
      </c>
      <c r="T6271">
        <v>-0.33092240000000001</v>
      </c>
      <c r="U6271">
        <v>-1.869904</v>
      </c>
      <c r="V6271">
        <v>2.538108E-2</v>
      </c>
      <c r="W6271">
        <v>-2.8494970000000001E-2</v>
      </c>
      <c r="X6271">
        <v>0.99927160000000004</v>
      </c>
      <c r="Y6271">
        <v>-0.31716670000000002</v>
      </c>
      <c r="Z6271">
        <v>9.3733060000000007E-2</v>
      </c>
      <c r="AA6271">
        <v>0.94372639999999997</v>
      </c>
      <c r="AB6271">
        <v>19</v>
      </c>
      <c r="AC6271">
        <v>8.6165000000000305</v>
      </c>
      <c r="AD6271">
        <v>-1.1154057082519999</v>
      </c>
      <c r="AE6271">
        <v>-6.1513099999999898</v>
      </c>
      <c r="AF6271">
        <v>-3.4146515238287001</v>
      </c>
      <c r="AG6271">
        <v>-1.1154057082519999</v>
      </c>
      <c r="AH6271">
        <v>9.8982527399195703</v>
      </c>
      <c r="AI6271">
        <v>96.080588734811002</v>
      </c>
      <c r="AJ6271">
        <v>109.033163539914</v>
      </c>
      <c r="AK6271">
        <v>10.5299279307368</v>
      </c>
      <c r="AL6271">
        <v>91.632862627252706</v>
      </c>
      <c r="AM6271">
        <v>88.545024037456102</v>
      </c>
      <c r="AN6271">
        <v>0.99999994655191204</v>
      </c>
    </row>
    <row r="6272" spans="1:40" x14ac:dyDescent="0.25">
      <c r="A6272" t="str">
        <f>"20190312155001400"</f>
        <v>20190312155001400</v>
      </c>
      <c r="B6272" t="str">
        <f>"1552377001392286"</f>
        <v>1552377001392286</v>
      </c>
      <c r="C6272" t="s">
        <v>40</v>
      </c>
      <c r="D6272">
        <v>4.863639</v>
      </c>
      <c r="E6272">
        <v>0.36080570000000001</v>
      </c>
      <c r="F6272" t="s">
        <v>65</v>
      </c>
      <c r="G6272">
        <v>-288.37700000000001</v>
      </c>
      <c r="H6272" s="1">
        <v>-2.840885E-6</v>
      </c>
      <c r="I6272">
        <v>-55.742530000000002</v>
      </c>
      <c r="J6272">
        <v>-297.0598</v>
      </c>
      <c r="K6272">
        <v>1.1153839999999999</v>
      </c>
      <c r="L6272">
        <v>-49.716639999999998</v>
      </c>
      <c r="M6272">
        <v>0.59425709999999998</v>
      </c>
      <c r="N6272">
        <v>0</v>
      </c>
      <c r="O6272">
        <v>-0.80414540000000001</v>
      </c>
      <c r="P6272">
        <v>0.57321290000000003</v>
      </c>
      <c r="Q6272">
        <v>-4.138791E-2</v>
      </c>
      <c r="R6272">
        <v>-0.81836059999999999</v>
      </c>
      <c r="S6272">
        <v>2.6112060000000001</v>
      </c>
      <c r="T6272">
        <v>-0.3277506</v>
      </c>
      <c r="U6272">
        <v>-1.8434140000000001</v>
      </c>
      <c r="V6272">
        <v>2.57276E-2</v>
      </c>
      <c r="W6272">
        <v>-2.661635E-2</v>
      </c>
      <c r="X6272">
        <v>0.99931460000000005</v>
      </c>
      <c r="Y6272">
        <v>-0.31004779999999998</v>
      </c>
      <c r="Z6272">
        <v>9.1781650000000006E-2</v>
      </c>
      <c r="AA6272">
        <v>0.94628040000000002</v>
      </c>
      <c r="AB6272">
        <v>19</v>
      </c>
      <c r="AC6272">
        <v>8.6827999999999808</v>
      </c>
      <c r="AD6272">
        <v>-1.1153868408849901</v>
      </c>
      <c r="AE6272">
        <v>-6.0258899999999898</v>
      </c>
      <c r="AF6272">
        <v>-3.3641919326532301</v>
      </c>
      <c r="AG6272">
        <v>-1.1153868408849901</v>
      </c>
      <c r="AH6272">
        <v>9.8963307608688194</v>
      </c>
      <c r="AI6272">
        <v>96.090975205723097</v>
      </c>
      <c r="AJ6272">
        <v>108.775124225829</v>
      </c>
      <c r="AK6272">
        <v>10.5118617615086</v>
      </c>
      <c r="AL6272">
        <v>91.525184631251804</v>
      </c>
      <c r="AM6272">
        <v>88.525231850185307</v>
      </c>
      <c r="AN6272">
        <v>1.0000000046311199</v>
      </c>
    </row>
    <row r="6273" spans="1:40" x14ac:dyDescent="0.25">
      <c r="A6273" t="str">
        <f>"20190312155001425"</f>
        <v>20190312155001425</v>
      </c>
      <c r="B6273" t="str">
        <f>"1552377001421605"</f>
        <v>1552377001421605</v>
      </c>
      <c r="C6273" t="s">
        <v>40</v>
      </c>
      <c r="D6273">
        <v>4.832357</v>
      </c>
      <c r="E6273">
        <v>0.36257129999999999</v>
      </c>
      <c r="F6273" t="s">
        <v>65</v>
      </c>
      <c r="G6273">
        <v>-288.02089999999998</v>
      </c>
      <c r="H6273" s="1">
        <v>-3.0141589999999998E-6</v>
      </c>
      <c r="I6273">
        <v>-55.911140000000003</v>
      </c>
      <c r="J6273">
        <v>-296.92020000000002</v>
      </c>
      <c r="K6273">
        <v>1.1153729999999999</v>
      </c>
      <c r="L6273">
        <v>-49.881590000000003</v>
      </c>
      <c r="M6273">
        <v>0.60386739999999905</v>
      </c>
      <c r="N6273">
        <v>0</v>
      </c>
      <c r="O6273">
        <v>-0.7969541</v>
      </c>
      <c r="P6273">
        <v>0.58357130000000002</v>
      </c>
      <c r="Q6273">
        <v>-3.954216E-2</v>
      </c>
      <c r="R6273">
        <v>-0.81109869999999995</v>
      </c>
      <c r="S6273">
        <v>2.6335449999999998</v>
      </c>
      <c r="T6273">
        <v>-0.32497559999999998</v>
      </c>
      <c r="U6273">
        <v>-1.80481</v>
      </c>
      <c r="V6273">
        <v>2.5048440000000002E-2</v>
      </c>
      <c r="W6273">
        <v>-2.4784899999999999E-2</v>
      </c>
      <c r="X6273">
        <v>0.99937889999999996</v>
      </c>
      <c r="Y6273">
        <v>-0.31189299999999998</v>
      </c>
      <c r="Z6273">
        <v>9.0605389999999994E-2</v>
      </c>
      <c r="AA6273">
        <v>0.94578720000000005</v>
      </c>
      <c r="AB6273">
        <v>19</v>
      </c>
      <c r="AC6273">
        <v>8.8993000000000393</v>
      </c>
      <c r="AD6273">
        <v>-1.1153760141589999</v>
      </c>
      <c r="AE6273">
        <v>-6.0295500000000004</v>
      </c>
      <c r="AF6273">
        <v>-3.4148793133275901</v>
      </c>
      <c r="AG6273">
        <v>-1.1153760141589999</v>
      </c>
      <c r="AH6273">
        <v>10.0718964418928</v>
      </c>
      <c r="AI6273">
        <v>95.987137458278696</v>
      </c>
      <c r="AJ6273">
        <v>108.729242739094</v>
      </c>
      <c r="AK6273">
        <v>10.6933887198477</v>
      </c>
      <c r="AL6273">
        <v>91.420215665354505</v>
      </c>
      <c r="AM6273">
        <v>88.564238766796393</v>
      </c>
      <c r="AN6273">
        <v>0.99999995068982495</v>
      </c>
    </row>
    <row r="6274" spans="1:40" x14ac:dyDescent="0.25">
      <c r="A6274" t="str">
        <f>"20190312155001446"</f>
        <v>20190312155001446</v>
      </c>
      <c r="B6274" t="str">
        <f>"1552377001442101"</f>
        <v>1552377001442101</v>
      </c>
      <c r="C6274" t="s">
        <v>40</v>
      </c>
      <c r="D6274">
        <v>4.8484109999999996</v>
      </c>
      <c r="E6274">
        <v>0.36390020000000001</v>
      </c>
      <c r="F6274" t="s">
        <v>65</v>
      </c>
      <c r="G6274">
        <v>-287.7903</v>
      </c>
      <c r="H6274" s="1">
        <v>-3.1252460000000002E-6</v>
      </c>
      <c r="I6274">
        <v>-56.025419999999997</v>
      </c>
      <c r="J6274">
        <v>-296.80840000000001</v>
      </c>
      <c r="K6274">
        <v>1.115367</v>
      </c>
      <c r="L6274">
        <v>-50.010649999999998</v>
      </c>
      <c r="M6274">
        <v>0.61140289999999997</v>
      </c>
      <c r="N6274">
        <v>0</v>
      </c>
      <c r="O6274">
        <v>-0.79118789999999894</v>
      </c>
      <c r="P6274">
        <v>0.59176859999999998</v>
      </c>
      <c r="Q6274">
        <v>-3.9102949999999997E-2</v>
      </c>
      <c r="R6274">
        <v>-0.80515930000000002</v>
      </c>
      <c r="S6274">
        <v>2.6449889999999998</v>
      </c>
      <c r="T6274">
        <v>-0.32313190000000003</v>
      </c>
      <c r="U6274">
        <v>-1.7799069999999999</v>
      </c>
      <c r="V6274">
        <v>2.4401780000000001E-2</v>
      </c>
      <c r="W6274">
        <v>-2.4358999999999999E-2</v>
      </c>
      <c r="X6274">
        <v>0.9994054</v>
      </c>
      <c r="Y6274">
        <v>-0.31095529999999999</v>
      </c>
      <c r="Z6274">
        <v>8.9732649999999997E-2</v>
      </c>
      <c r="AA6274">
        <v>0.94617910000000005</v>
      </c>
      <c r="AB6274">
        <v>19</v>
      </c>
      <c r="AC6274">
        <v>9.0181000000000004</v>
      </c>
      <c r="AD6274">
        <v>-1.115370125246</v>
      </c>
      <c r="AE6274">
        <v>-6.0147699999999897</v>
      </c>
      <c r="AF6274">
        <v>-3.4216970965569802</v>
      </c>
      <c r="AG6274">
        <v>-1.115370125246</v>
      </c>
      <c r="AH6274">
        <v>10.165944952057099</v>
      </c>
      <c r="AI6274">
        <v>95.936519789379005</v>
      </c>
      <c r="AJ6274">
        <v>108.60242314211899</v>
      </c>
      <c r="AK6274">
        <v>10.784178146948999</v>
      </c>
      <c r="AL6274">
        <v>91.395805979496998</v>
      </c>
      <c r="AM6274">
        <v>88.601327075296396</v>
      </c>
      <c r="AN6274">
        <v>0.99999998064866402</v>
      </c>
    </row>
    <row r="6275" spans="1:40" x14ac:dyDescent="0.25">
      <c r="A6275" t="str">
        <f>"20190312155001469"</f>
        <v>20190312155001469</v>
      </c>
      <c r="B6275" t="str">
        <f>"1552377001461621"</f>
        <v>1552377001461621</v>
      </c>
      <c r="C6275" t="s">
        <v>40</v>
      </c>
      <c r="D6275">
        <v>4.8278349999999897</v>
      </c>
      <c r="E6275">
        <v>0.36519639999999998</v>
      </c>
      <c r="F6275" t="s">
        <v>65</v>
      </c>
      <c r="G6275">
        <v>-287.62479999999999</v>
      </c>
      <c r="H6275" s="1">
        <v>-3.2070080000000002E-6</v>
      </c>
      <c r="I6275">
        <v>-56.098489999999998</v>
      </c>
      <c r="J6275">
        <v>-296.67989999999998</v>
      </c>
      <c r="K6275">
        <v>1.1153500000000001</v>
      </c>
      <c r="L6275">
        <v>-50.155880000000003</v>
      </c>
      <c r="M6275">
        <v>0.61989530000000004</v>
      </c>
      <c r="N6275">
        <v>0</v>
      </c>
      <c r="O6275">
        <v>-0.78455189999999997</v>
      </c>
      <c r="P6275">
        <v>0.60137109999999905</v>
      </c>
      <c r="Q6275">
        <v>-3.9006890000000002E-2</v>
      </c>
      <c r="R6275">
        <v>-0.79801679999999997</v>
      </c>
      <c r="S6275">
        <v>2.654236</v>
      </c>
      <c r="T6275">
        <v>-0.32236160000000003</v>
      </c>
      <c r="U6275">
        <v>-1.7594909999999999</v>
      </c>
      <c r="V6275">
        <v>2.3203129999999999E-2</v>
      </c>
      <c r="W6275">
        <v>-2.4284190000000001E-2</v>
      </c>
      <c r="X6275">
        <v>0.99943579999999999</v>
      </c>
      <c r="Y6275">
        <v>-0.30732659999999901</v>
      </c>
      <c r="Z6275">
        <v>8.8969450000000005E-2</v>
      </c>
      <c r="AA6275">
        <v>0.9474359</v>
      </c>
      <c r="AB6275">
        <v>19</v>
      </c>
      <c r="AC6275">
        <v>9.0550999999999799</v>
      </c>
      <c r="AD6275">
        <v>-1.1153532070079999</v>
      </c>
      <c r="AE6275">
        <v>-5.9426100000000002</v>
      </c>
      <c r="AF6275">
        <v>-3.38486101127052</v>
      </c>
      <c r="AG6275">
        <v>-1.1153532070079999</v>
      </c>
      <c r="AH6275">
        <v>10.168734645499599</v>
      </c>
      <c r="AI6275">
        <v>95.941405757743894</v>
      </c>
      <c r="AJ6275">
        <v>108.411024299536</v>
      </c>
      <c r="AK6275">
        <v>10.775178009322399</v>
      </c>
      <c r="AL6275">
        <v>91.391518369184993</v>
      </c>
      <c r="AM6275">
        <v>88.670046996133607</v>
      </c>
      <c r="AN6275">
        <v>1.0000000127236901</v>
      </c>
    </row>
    <row r="6276" spans="1:40" x14ac:dyDescent="0.25">
      <c r="A6276" t="str">
        <f>"20190312155001488"</f>
        <v>20190312155001488</v>
      </c>
      <c r="B6276" t="str">
        <f>"1552377001481660"</f>
        <v>1552377001481660</v>
      </c>
      <c r="C6276" t="s">
        <v>40</v>
      </c>
      <c r="D6276">
        <v>4.8011410000000003</v>
      </c>
      <c r="E6276">
        <v>0.3663477</v>
      </c>
      <c r="F6276" t="s">
        <v>65</v>
      </c>
      <c r="G6276">
        <v>-287.4228</v>
      </c>
      <c r="H6276" s="1">
        <v>-3.3095499999999999E-6</v>
      </c>
      <c r="I6276">
        <v>-56.174909999999997</v>
      </c>
      <c r="J6276">
        <v>-296.56720000000001</v>
      </c>
      <c r="K6276">
        <v>1.115335</v>
      </c>
      <c r="L6276">
        <v>-50.280790000000003</v>
      </c>
      <c r="M6276">
        <v>0.62720379999999998</v>
      </c>
      <c r="N6276">
        <v>0</v>
      </c>
      <c r="O6276">
        <v>-0.77872159999999901</v>
      </c>
      <c r="P6276">
        <v>0.60948780000000002</v>
      </c>
      <c r="Q6276">
        <v>-3.9239209999999997E-2</v>
      </c>
      <c r="R6276">
        <v>-0.79182399999999997</v>
      </c>
      <c r="S6276">
        <v>2.6668090000000002</v>
      </c>
      <c r="T6276">
        <v>-0.32131459999999901</v>
      </c>
      <c r="U6276">
        <v>-1.73397799999999</v>
      </c>
      <c r="V6276">
        <v>2.233883E-2</v>
      </c>
      <c r="W6276">
        <v>-2.453292E-2</v>
      </c>
      <c r="X6276">
        <v>0.99944940000000004</v>
      </c>
      <c r="Y6276">
        <v>-0.30687880000000001</v>
      </c>
      <c r="Z6276">
        <v>8.8295360000000003E-2</v>
      </c>
      <c r="AA6276">
        <v>0.94764409999999999</v>
      </c>
      <c r="AB6276">
        <v>19</v>
      </c>
      <c r="AC6276">
        <v>9.1444000000000099</v>
      </c>
      <c r="AD6276">
        <v>-1.11533830955</v>
      </c>
      <c r="AE6276">
        <v>-5.8941199999999903</v>
      </c>
      <c r="AF6276">
        <v>-3.3888663790695599</v>
      </c>
      <c r="AG6276">
        <v>-1.11533830955</v>
      </c>
      <c r="AH6276">
        <v>10.2189533680304</v>
      </c>
      <c r="AI6276">
        <v>95.914522279593299</v>
      </c>
      <c r="AJ6276">
        <v>108.346841609149</v>
      </c>
      <c r="AK6276">
        <v>10.8238349404413</v>
      </c>
      <c r="AL6276">
        <v>91.4057738199065</v>
      </c>
      <c r="AM6276">
        <v>88.719587400766102</v>
      </c>
      <c r="AN6276">
        <v>0.999999995324927</v>
      </c>
    </row>
    <row r="6277" spans="1:40" x14ac:dyDescent="0.25">
      <c r="A6277" t="str">
        <f>"20190312155001512"</f>
        <v>20190312155001512</v>
      </c>
      <c r="B6277" t="str">
        <f>"1552377001502651"</f>
        <v>1552377001502651</v>
      </c>
      <c r="C6277" t="s">
        <v>40</v>
      </c>
      <c r="D6277">
        <v>4.7868219999999999</v>
      </c>
      <c r="E6277">
        <v>0.37991019999999998</v>
      </c>
      <c r="F6277" t="s">
        <v>65</v>
      </c>
      <c r="G6277">
        <v>-287.34429999999998</v>
      </c>
      <c r="H6277" s="1">
        <v>-3.3547849999999998E-6</v>
      </c>
      <c r="I6277">
        <v>-56.180370000000003</v>
      </c>
      <c r="J6277">
        <v>-296.43200000000002</v>
      </c>
      <c r="K6277">
        <v>1.115313</v>
      </c>
      <c r="L6277">
        <v>-50.427370000000003</v>
      </c>
      <c r="M6277">
        <v>0.63579619999999903</v>
      </c>
      <c r="N6277">
        <v>0</v>
      </c>
      <c r="O6277">
        <v>-0.77172240000000003</v>
      </c>
      <c r="P6277">
        <v>0.61887429999999999</v>
      </c>
      <c r="Q6277">
        <v>-3.8285369999999999E-2</v>
      </c>
      <c r="R6277">
        <v>-0.78455659999999905</v>
      </c>
      <c r="S6277">
        <v>2.6768190000000001</v>
      </c>
      <c r="T6277">
        <v>-0.32371290000000003</v>
      </c>
      <c r="U6277">
        <v>-1.71228</v>
      </c>
      <c r="V6277">
        <v>2.1530669999999998E-2</v>
      </c>
      <c r="W6277">
        <v>-2.359495E-2</v>
      </c>
      <c r="X6277">
        <v>0.99948970000000004</v>
      </c>
      <c r="Y6277">
        <v>-0.30335329999999999</v>
      </c>
      <c r="Z6277">
        <v>8.8349090000000005E-2</v>
      </c>
      <c r="AA6277">
        <v>0.94877350000000005</v>
      </c>
      <c r="AB6277">
        <v>19</v>
      </c>
      <c r="AC6277">
        <v>9.0877000000000301</v>
      </c>
      <c r="AD6277">
        <v>-1.115316354785</v>
      </c>
      <c r="AE6277">
        <v>-5.7529999999999903</v>
      </c>
      <c r="AF6277">
        <v>-3.3200940543878801</v>
      </c>
      <c r="AG6277">
        <v>-1.115316354785</v>
      </c>
      <c r="AH6277">
        <v>10.109993793550901</v>
      </c>
      <c r="AI6277">
        <v>95.983393763769001</v>
      </c>
      <c r="AJ6277">
        <v>108.180037419079</v>
      </c>
      <c r="AK6277">
        <v>10.6994826794042</v>
      </c>
      <c r="AL6277">
        <v>91.352016554672204</v>
      </c>
      <c r="AM6277">
        <v>88.765944504413397</v>
      </c>
      <c r="AN6277">
        <v>0.99999997591112</v>
      </c>
    </row>
    <row r="6278" spans="1:40" x14ac:dyDescent="0.25">
      <c r="A6278" t="str">
        <f>"20190312155001530"</f>
        <v>20190312155001530</v>
      </c>
      <c r="B6278" t="str">
        <f>"1552377001522170"</f>
        <v>1552377001522170</v>
      </c>
      <c r="C6278" t="s">
        <v>40</v>
      </c>
      <c r="D6278">
        <v>4.7722989999999896</v>
      </c>
      <c r="E6278">
        <v>0.38177280000000002</v>
      </c>
      <c r="F6278" t="s">
        <v>65</v>
      </c>
      <c r="G6278">
        <v>-287.0419</v>
      </c>
      <c r="H6278" s="1">
        <v>-3.4150910000000001E-6</v>
      </c>
      <c r="I6278">
        <v>-56.714370000000002</v>
      </c>
      <c r="J6278">
        <v>-296.32799999999997</v>
      </c>
      <c r="K6278">
        <v>1.115305</v>
      </c>
      <c r="L6278">
        <v>-50.538209999999999</v>
      </c>
      <c r="M6278">
        <v>0.64229559999999997</v>
      </c>
      <c r="N6278">
        <v>0</v>
      </c>
      <c r="O6278">
        <v>-0.76632159999999905</v>
      </c>
      <c r="P6278">
        <v>0.62507709999999905</v>
      </c>
      <c r="Q6278">
        <v>-3.785065E-2</v>
      </c>
      <c r="R6278">
        <v>-0.77964519999999904</v>
      </c>
      <c r="S6278">
        <v>2.6116329999999999</v>
      </c>
      <c r="T6278">
        <v>-0.31019619999999998</v>
      </c>
      <c r="U6278">
        <v>-1.7485660000000001</v>
      </c>
      <c r="V6278">
        <v>2.205787E-2</v>
      </c>
      <c r="W6278">
        <v>-2.315803E-2</v>
      </c>
      <c r="X6278">
        <v>0.9994885</v>
      </c>
      <c r="Y6278">
        <v>-0.27568599999999999</v>
      </c>
      <c r="Z6278">
        <v>8.4247989999999995E-2</v>
      </c>
      <c r="AA6278">
        <v>0.95754870000000003</v>
      </c>
      <c r="AB6278">
        <v>19</v>
      </c>
      <c r="AC6278">
        <v>9.2860999999999692</v>
      </c>
      <c r="AD6278">
        <v>-1.115308415091</v>
      </c>
      <c r="AE6278">
        <v>-6.1761599999999897</v>
      </c>
      <c r="AF6278">
        <v>-3.1183582425079601</v>
      </c>
      <c r="AG6278">
        <v>-1.115308415091</v>
      </c>
      <c r="AH6278">
        <v>10.5925186788263</v>
      </c>
      <c r="AI6278">
        <v>95.767660753957401</v>
      </c>
      <c r="AJ6278">
        <v>106.40403428672499</v>
      </c>
      <c r="AK6278">
        <v>11.098176559718</v>
      </c>
      <c r="AL6278">
        <v>91.326975937068198</v>
      </c>
      <c r="AM6278">
        <v>88.735735593462294</v>
      </c>
      <c r="AN6278">
        <v>1.0000000528073301</v>
      </c>
    </row>
    <row r="6279" spans="1:40" x14ac:dyDescent="0.25">
      <c r="A6279" t="str">
        <f>"20190312155001553"</f>
        <v>20190312155001553</v>
      </c>
      <c r="B6279" t="str">
        <f>"1552377001541691"</f>
        <v>1552377001541691</v>
      </c>
      <c r="C6279" t="s">
        <v>40</v>
      </c>
      <c r="D6279">
        <v>4.7996949999999998</v>
      </c>
      <c r="E6279">
        <v>0.38356430000000002</v>
      </c>
      <c r="F6279" t="s">
        <v>65</v>
      </c>
      <c r="G6279">
        <v>-286.94380000000001</v>
      </c>
      <c r="H6279" s="1">
        <v>-3.4595769999999999E-6</v>
      </c>
      <c r="I6279">
        <v>-56.775359999999999</v>
      </c>
      <c r="J6279">
        <v>-296.19560000000001</v>
      </c>
      <c r="K6279">
        <v>1.115286</v>
      </c>
      <c r="L6279">
        <v>-50.676389999999998</v>
      </c>
      <c r="M6279">
        <v>0.65041319999999903</v>
      </c>
      <c r="N6279">
        <v>0</v>
      </c>
      <c r="O6279">
        <v>-0.7594438</v>
      </c>
      <c r="P6279">
        <v>0.632467</v>
      </c>
      <c r="Q6279">
        <v>-3.8320470000000002E-2</v>
      </c>
      <c r="R6279">
        <v>-0.77363909999999902</v>
      </c>
      <c r="S6279">
        <v>2.6137999999999999</v>
      </c>
      <c r="T6279">
        <v>-0.3106488</v>
      </c>
      <c r="U6279">
        <v>-1.73724399999999</v>
      </c>
      <c r="V6279">
        <v>2.3172439999999999E-2</v>
      </c>
      <c r="W6279">
        <v>-2.362013E-2</v>
      </c>
      <c r="X6279">
        <v>0.99945240000000002</v>
      </c>
      <c r="Y6279">
        <v>-0.26871499999999998</v>
      </c>
      <c r="Z6279">
        <v>8.368855E-2</v>
      </c>
      <c r="AA6279">
        <v>0.95957729999999997</v>
      </c>
      <c r="AB6279">
        <v>19</v>
      </c>
      <c r="AC6279">
        <v>9.2517999999999994</v>
      </c>
      <c r="AD6279">
        <v>-1.115289459577</v>
      </c>
      <c r="AE6279">
        <v>-6.0989699999999898</v>
      </c>
      <c r="AF6279">
        <v>-3.02900622980335</v>
      </c>
      <c r="AG6279">
        <v>-1.115289459577</v>
      </c>
      <c r="AH6279">
        <v>10.5436196209724</v>
      </c>
      <c r="AI6279">
        <v>95.805111256150497</v>
      </c>
      <c r="AJ6279">
        <v>106.02847652333099</v>
      </c>
      <c r="AK6279">
        <v>11.0266343020246</v>
      </c>
      <c r="AL6279">
        <v>91.353459650708999</v>
      </c>
      <c r="AM6279">
        <v>88.671827501926501</v>
      </c>
      <c r="AN6279">
        <v>0.99999998619126496</v>
      </c>
    </row>
    <row r="6280" spans="1:40" x14ac:dyDescent="0.25">
      <c r="A6280" t="str">
        <f>"20190312155001575"</f>
        <v>20190312155001575</v>
      </c>
      <c r="B6280" t="str">
        <f>"1552377001571946"</f>
        <v>1552377001571946</v>
      </c>
      <c r="C6280" t="s">
        <v>40</v>
      </c>
      <c r="D6280">
        <v>4.7459769999999999</v>
      </c>
      <c r="E6280">
        <v>0.36763940000000001</v>
      </c>
      <c r="F6280" t="s">
        <v>65</v>
      </c>
      <c r="G6280">
        <v>-286.7079</v>
      </c>
      <c r="H6280" s="1">
        <v>-3.568984E-6</v>
      </c>
      <c r="I6280">
        <v>-56.911110000000001</v>
      </c>
      <c r="J6280">
        <v>-296.0686</v>
      </c>
      <c r="K6280">
        <v>1.115264</v>
      </c>
      <c r="L6280">
        <v>-50.8063</v>
      </c>
      <c r="M6280">
        <v>0.65805319999999901</v>
      </c>
      <c r="N6280">
        <v>0</v>
      </c>
      <c r="O6280">
        <v>-0.75283350000000004</v>
      </c>
      <c r="P6280">
        <v>0.63904300000000003</v>
      </c>
      <c r="Q6280">
        <v>-3.9515639999999998E-2</v>
      </c>
      <c r="R6280">
        <v>-0.76815549999999999</v>
      </c>
      <c r="S6280">
        <v>2.6192630000000001</v>
      </c>
      <c r="T6280">
        <v>-0.30789850000000002</v>
      </c>
      <c r="U6280">
        <v>-1.721222</v>
      </c>
      <c r="V6280">
        <v>2.471916E-2</v>
      </c>
      <c r="W6280">
        <v>-2.480222E-2</v>
      </c>
      <c r="X6280">
        <v>0.99938669999999996</v>
      </c>
      <c r="Y6280">
        <v>-0.26408799999999999</v>
      </c>
      <c r="Z6280">
        <v>8.2364690000000004E-2</v>
      </c>
      <c r="AA6280">
        <v>0.96097529999999998</v>
      </c>
      <c r="AB6280">
        <v>19</v>
      </c>
      <c r="AC6280">
        <v>9.3606999999999996</v>
      </c>
      <c r="AD6280">
        <v>-1.1152675689839999</v>
      </c>
      <c r="AE6280">
        <v>-6.1048099999999996</v>
      </c>
      <c r="AF6280">
        <v>-3.0001938796850798</v>
      </c>
      <c r="AG6280">
        <v>-1.1152675689839999</v>
      </c>
      <c r="AH6280">
        <v>10.6507876659735</v>
      </c>
      <c r="AI6280">
        <v>95.755394409901299</v>
      </c>
      <c r="AJ6280">
        <v>105.731865242439</v>
      </c>
      <c r="AK6280">
        <v>11.121342678462</v>
      </c>
      <c r="AL6280">
        <v>91.421208289572903</v>
      </c>
      <c r="AM6280">
        <v>88.583116203478198</v>
      </c>
      <c r="AN6280">
        <v>0.99999998156246095</v>
      </c>
    </row>
    <row r="6281" spans="1:40" x14ac:dyDescent="0.25">
      <c r="A6281" t="str">
        <f>"20190312155001598"</f>
        <v>20190312155001598</v>
      </c>
      <c r="B6281" t="str">
        <f>"1552377001592443"</f>
        <v>1552377001592443</v>
      </c>
      <c r="C6281" t="s">
        <v>40</v>
      </c>
      <c r="D6281">
        <v>4.6894489999999998</v>
      </c>
      <c r="E6281">
        <v>0.36411320000000003</v>
      </c>
      <c r="F6281" t="s">
        <v>65</v>
      </c>
      <c r="G6281">
        <v>-286.66419999999999</v>
      </c>
      <c r="H6281" s="1">
        <v>-3.6882539999999999E-6</v>
      </c>
      <c r="I6281">
        <v>-56.371650000000002</v>
      </c>
      <c r="J6281">
        <v>-295.93380000000002</v>
      </c>
      <c r="K6281">
        <v>1.115243</v>
      </c>
      <c r="L6281">
        <v>-50.94135</v>
      </c>
      <c r="M6281">
        <v>0.66600409999999999</v>
      </c>
      <c r="N6281">
        <v>0</v>
      </c>
      <c r="O6281">
        <v>-0.74580939999999996</v>
      </c>
      <c r="P6281">
        <v>0.64604410000000001</v>
      </c>
      <c r="Q6281">
        <v>-4.0801009999999999E-2</v>
      </c>
      <c r="R6281">
        <v>-0.76220889999999997</v>
      </c>
      <c r="S6281">
        <v>2.731506</v>
      </c>
      <c r="T6281">
        <v>-0.32392969999999999</v>
      </c>
      <c r="U6281">
        <v>-1.616455</v>
      </c>
      <c r="V6281">
        <v>2.61493E-2</v>
      </c>
      <c r="W6281">
        <v>-2.6076479999999999E-2</v>
      </c>
      <c r="X6281">
        <v>0.99931789999999998</v>
      </c>
      <c r="Y6281">
        <v>-0.29849369999999997</v>
      </c>
      <c r="Z6281">
        <v>8.6183510000000005E-2</v>
      </c>
      <c r="AA6281">
        <v>0.95051249999999998</v>
      </c>
      <c r="AB6281">
        <v>19</v>
      </c>
      <c r="AC6281">
        <v>9.26960000000002</v>
      </c>
      <c r="AD6281">
        <v>-1.115246688254</v>
      </c>
      <c r="AE6281">
        <v>-5.4302999999999999</v>
      </c>
      <c r="AF6281">
        <v>-3.26194094165559</v>
      </c>
      <c r="AG6281">
        <v>-1.115246688254</v>
      </c>
      <c r="AH6281">
        <v>10.1156054866763</v>
      </c>
      <c r="AI6281">
        <v>95.990097292405196</v>
      </c>
      <c r="AJ6281">
        <v>107.872757604341</v>
      </c>
      <c r="AK6281">
        <v>10.686884870933399</v>
      </c>
      <c r="AL6281">
        <v>91.494241598919501</v>
      </c>
      <c r="AM6281">
        <v>88.501074874695902</v>
      </c>
      <c r="AN6281">
        <v>1.00000001698004</v>
      </c>
    </row>
    <row r="6282" spans="1:40" x14ac:dyDescent="0.25">
      <c r="A6282" t="str">
        <f>"20190312155001620"</f>
        <v>20190312155001620</v>
      </c>
      <c r="B6282" t="str">
        <f>"1552377001611963"</f>
        <v>1552377001611963</v>
      </c>
      <c r="C6282" t="s">
        <v>40</v>
      </c>
      <c r="D6282">
        <v>4.7091209999999997</v>
      </c>
      <c r="E6282">
        <v>0.36444720000000003</v>
      </c>
      <c r="F6282" t="s">
        <v>65</v>
      </c>
      <c r="G6282">
        <v>-286.32749999999999</v>
      </c>
      <c r="H6282" s="1">
        <v>-3.8522570000000002E-6</v>
      </c>
      <c r="I6282">
        <v>-56.402290000000001</v>
      </c>
      <c r="J6282">
        <v>-295.80360000000002</v>
      </c>
      <c r="K6282">
        <v>1.115229</v>
      </c>
      <c r="L6282">
        <v>-51.06906</v>
      </c>
      <c r="M6282">
        <v>0.67353409999999903</v>
      </c>
      <c r="N6282">
        <v>0</v>
      </c>
      <c r="O6282">
        <v>-0.73901589999999995</v>
      </c>
      <c r="P6282">
        <v>0.65296500000000002</v>
      </c>
      <c r="Q6282">
        <v>-4.0359739999999998E-2</v>
      </c>
      <c r="R6282">
        <v>-0.75631190000000004</v>
      </c>
      <c r="S6282">
        <v>2.767334</v>
      </c>
      <c r="T6282">
        <v>-0.32127240000000001</v>
      </c>
      <c r="U6282">
        <v>-1.573151</v>
      </c>
      <c r="V6282">
        <v>2.7184549999999998E-2</v>
      </c>
      <c r="W6282">
        <v>-2.562797E-2</v>
      </c>
      <c r="X6282">
        <v>0.99930189999999997</v>
      </c>
      <c r="Y6282">
        <v>-0.30548930000000002</v>
      </c>
      <c r="Z6282">
        <v>8.4924949999999999E-2</v>
      </c>
      <c r="AA6282">
        <v>0.94840080000000004</v>
      </c>
      <c r="AB6282">
        <v>19</v>
      </c>
      <c r="AC6282">
        <v>9.4761000000000202</v>
      </c>
      <c r="AD6282">
        <v>-1.1152328522570001</v>
      </c>
      <c r="AE6282">
        <v>-5.3332300000000004</v>
      </c>
      <c r="AF6282">
        <v>-3.37572128775368</v>
      </c>
      <c r="AG6282">
        <v>-1.1152328522570001</v>
      </c>
      <c r="AH6282">
        <v>10.2174133462181</v>
      </c>
      <c r="AI6282">
        <v>95.917018933380902</v>
      </c>
      <c r="AJ6282">
        <v>108.282988430624</v>
      </c>
      <c r="AK6282">
        <v>10.818261136376</v>
      </c>
      <c r="AL6282">
        <v>91.468535243609793</v>
      </c>
      <c r="AM6282">
        <v>88.4417362376672</v>
      </c>
      <c r="AN6282">
        <v>1.0000000399743101</v>
      </c>
    </row>
    <row r="6283" spans="1:40" x14ac:dyDescent="0.25">
      <c r="A6283" t="str">
        <f>"20190312155001643"</f>
        <v>20190312155001643</v>
      </c>
      <c r="B6283" t="str">
        <f>"1552377001632458"</f>
        <v>1552377001632458</v>
      </c>
      <c r="C6283" t="s">
        <v>40</v>
      </c>
      <c r="D6283">
        <v>4.7206900000000003</v>
      </c>
      <c r="E6283">
        <v>0.3651819</v>
      </c>
      <c r="F6283" t="s">
        <v>65</v>
      </c>
      <c r="G6283">
        <v>-286.1841</v>
      </c>
      <c r="H6283" s="1">
        <v>-3.9192919999999997E-6</v>
      </c>
      <c r="I6283">
        <v>-56.430990000000001</v>
      </c>
      <c r="J6283">
        <v>-295.66750000000002</v>
      </c>
      <c r="K6283">
        <v>1.1152230000000001</v>
      </c>
      <c r="L6283">
        <v>-51.200040000000001</v>
      </c>
      <c r="M6283">
        <v>0.6812646</v>
      </c>
      <c r="N6283">
        <v>0</v>
      </c>
      <c r="O6283">
        <v>-0.73189589999999904</v>
      </c>
      <c r="P6283">
        <v>0.66021619999999903</v>
      </c>
      <c r="Q6283">
        <v>-3.9163950000000003E-2</v>
      </c>
      <c r="R6283">
        <v>-0.75005409999999995</v>
      </c>
      <c r="S6283">
        <v>2.7798159999999998</v>
      </c>
      <c r="T6283">
        <v>-0.32227549999999999</v>
      </c>
      <c r="U6283">
        <v>-1.549469</v>
      </c>
      <c r="V6283">
        <v>2.8093529999999999E-2</v>
      </c>
      <c r="W6283">
        <v>-2.4426380000000001E-2</v>
      </c>
      <c r="X6283">
        <v>0.99930680000000005</v>
      </c>
      <c r="Y6283">
        <v>-0.3034674</v>
      </c>
      <c r="Z6283">
        <v>8.4538940000000007E-2</v>
      </c>
      <c r="AA6283">
        <v>0.94908419999999905</v>
      </c>
      <c r="AB6283">
        <v>19</v>
      </c>
      <c r="AC6283">
        <v>9.4834000000000103</v>
      </c>
      <c r="AD6283">
        <v>-1.1152269192919999</v>
      </c>
      <c r="AE6283">
        <v>-5.23095</v>
      </c>
      <c r="AF6283">
        <v>-3.3421129150111</v>
      </c>
      <c r="AG6283">
        <v>-1.1152269192919999</v>
      </c>
      <c r="AH6283">
        <v>10.1823152156059</v>
      </c>
      <c r="AI6283">
        <v>95.941025085225704</v>
      </c>
      <c r="AJ6283">
        <v>108.171243345614</v>
      </c>
      <c r="AK6283">
        <v>10.7746458395697</v>
      </c>
      <c r="AL6283">
        <v>91.399667708653396</v>
      </c>
      <c r="AM6283">
        <v>88.389666870905998</v>
      </c>
      <c r="AN6283">
        <v>0.99999998749700203</v>
      </c>
    </row>
    <row r="6284" spans="1:40" x14ac:dyDescent="0.25">
      <c r="A6284" t="str">
        <f>"20190312155001666"</f>
        <v>20190312155001666</v>
      </c>
      <c r="B6284" t="str">
        <f>"1552377001661739"</f>
        <v>1552377001661739</v>
      </c>
      <c r="C6284" t="s">
        <v>40</v>
      </c>
      <c r="D6284">
        <v>4.6831209999999999</v>
      </c>
      <c r="E6284">
        <v>0.36705470000000001</v>
      </c>
      <c r="F6284" t="s">
        <v>65</v>
      </c>
      <c r="G6284">
        <v>-285.79640000000001</v>
      </c>
      <c r="H6284" s="1">
        <v>-4.0840100000000001E-6</v>
      </c>
      <c r="I6284">
        <v>-56.601599999999998</v>
      </c>
      <c r="J6284">
        <v>-295.53289999999998</v>
      </c>
      <c r="K6284">
        <v>1.115208</v>
      </c>
      <c r="L6284">
        <v>-51.326720000000002</v>
      </c>
      <c r="M6284">
        <v>0.68874950000000001</v>
      </c>
      <c r="N6284">
        <v>0</v>
      </c>
      <c r="O6284">
        <v>-0.72485669999999902</v>
      </c>
      <c r="P6284">
        <v>0.66731940000000001</v>
      </c>
      <c r="Q6284">
        <v>-3.8082070000000003E-2</v>
      </c>
      <c r="R6284">
        <v>-0.7437975</v>
      </c>
      <c r="S6284">
        <v>2.7904659999999999</v>
      </c>
      <c r="T6284">
        <v>-0.31526549999999998</v>
      </c>
      <c r="U6284">
        <v>-1.5269779999999999</v>
      </c>
      <c r="V6284">
        <v>2.8882250000000002E-2</v>
      </c>
      <c r="W6284">
        <v>-2.3340360000000001E-2</v>
      </c>
      <c r="X6284">
        <v>0.99931029999999998</v>
      </c>
      <c r="Y6284">
        <v>-0.30129980000000001</v>
      </c>
      <c r="Z6284">
        <v>8.209524E-2</v>
      </c>
      <c r="AA6284">
        <v>0.94998879999999997</v>
      </c>
      <c r="AB6284">
        <v>19</v>
      </c>
      <c r="AC6284">
        <v>9.7364999999999693</v>
      </c>
      <c r="AD6284">
        <v>-1.1152120840099999</v>
      </c>
      <c r="AE6284">
        <v>-5.2748799999999898</v>
      </c>
      <c r="AF6284">
        <v>-3.39046320896691</v>
      </c>
      <c r="AG6284">
        <v>-1.1152120840099999</v>
      </c>
      <c r="AH6284">
        <v>10.4248976672058</v>
      </c>
      <c r="AI6284">
        <v>95.808764984213397</v>
      </c>
      <c r="AJ6284">
        <v>108.015949359383</v>
      </c>
      <c r="AK6284">
        <v>11.018957760849901</v>
      </c>
      <c r="AL6284">
        <v>91.337425549447602</v>
      </c>
      <c r="AM6284">
        <v>88.344487714633203</v>
      </c>
      <c r="AN6284">
        <v>1.00000001622804</v>
      </c>
    </row>
    <row r="6285" spans="1:40" x14ac:dyDescent="0.25">
      <c r="A6285" t="str">
        <f>"20190312155001687"</f>
        <v>20190312155001687</v>
      </c>
      <c r="B6285" t="str">
        <f>"1552377001682235"</f>
        <v>1552377001682235</v>
      </c>
      <c r="C6285" t="s">
        <v>40</v>
      </c>
      <c r="D6285">
        <v>4.6762389999999998</v>
      </c>
      <c r="E6285">
        <v>0.36831550000000002</v>
      </c>
      <c r="F6285" t="s">
        <v>65</v>
      </c>
      <c r="G6285">
        <v>-285.47919999999999</v>
      </c>
      <c r="H6285" s="1">
        <v>-4.2150019999999999E-6</v>
      </c>
      <c r="I6285">
        <v>-56.762439999999998</v>
      </c>
      <c r="J6285">
        <v>-295.4006</v>
      </c>
      <c r="K6285">
        <v>1.1151869999999999</v>
      </c>
      <c r="L6285">
        <v>-51.448700000000002</v>
      </c>
      <c r="M6285">
        <v>0.69596650000000004</v>
      </c>
      <c r="N6285">
        <v>0</v>
      </c>
      <c r="O6285">
        <v>-0.71793030000000002</v>
      </c>
      <c r="P6285">
        <v>0.67484359999999999</v>
      </c>
      <c r="Q6285">
        <v>-3.8373730000000002E-2</v>
      </c>
      <c r="R6285">
        <v>-0.73696269999999997</v>
      </c>
      <c r="S6285">
        <v>2.794098</v>
      </c>
      <c r="T6285">
        <v>-0.30993680000000001</v>
      </c>
      <c r="U6285">
        <v>-1.5106809999999999</v>
      </c>
      <c r="V6285">
        <v>2.8716450000000001E-2</v>
      </c>
      <c r="W6285">
        <v>-2.364084E-2</v>
      </c>
      <c r="X6285">
        <v>0.99930799999999997</v>
      </c>
      <c r="Y6285">
        <v>-0.29672179999999998</v>
      </c>
      <c r="Z6285">
        <v>8.0102859999999998E-2</v>
      </c>
      <c r="AA6285">
        <v>0.95159850000000001</v>
      </c>
      <c r="AB6285">
        <v>19</v>
      </c>
      <c r="AC6285">
        <v>9.9214000000000002</v>
      </c>
      <c r="AD6285">
        <v>-1.115191215002</v>
      </c>
      <c r="AE6285">
        <v>-5.3137400000000001</v>
      </c>
      <c r="AF6285">
        <v>-3.3917424029268299</v>
      </c>
      <c r="AG6285">
        <v>-1.115191215002</v>
      </c>
      <c r="AH6285">
        <v>10.6167296418209</v>
      </c>
      <c r="AI6285">
        <v>95.713932301067601</v>
      </c>
      <c r="AJ6285">
        <v>107.717198635598</v>
      </c>
      <c r="AK6285">
        <v>11.2010051451353</v>
      </c>
      <c r="AL6285">
        <v>91.354646557229898</v>
      </c>
      <c r="AM6285">
        <v>88.353982236110099</v>
      </c>
      <c r="AN6285">
        <v>1.0000000013402499</v>
      </c>
    </row>
    <row r="6286" spans="1:40" x14ac:dyDescent="0.25">
      <c r="A6286" t="str">
        <f>"20190312155001709"</f>
        <v>20190312155001709</v>
      </c>
      <c r="B6286" t="str">
        <f>"1552377001701755"</f>
        <v>1552377001701755</v>
      </c>
      <c r="C6286" t="s">
        <v>40</v>
      </c>
      <c r="D6286">
        <v>4.6804399999999999</v>
      </c>
      <c r="E6286">
        <v>0.36941249999999998</v>
      </c>
      <c r="F6286" t="s">
        <v>65</v>
      </c>
      <c r="G6286">
        <v>-285.34469999999999</v>
      </c>
      <c r="H6286" s="1">
        <v>-4.277195E-6</v>
      </c>
      <c r="I6286">
        <v>-56.793289999999999</v>
      </c>
      <c r="J6286">
        <v>-295.2647</v>
      </c>
      <c r="K6286">
        <v>1.1151599999999999</v>
      </c>
      <c r="L6286">
        <v>-51.571350000000002</v>
      </c>
      <c r="M6286">
        <v>0.70323150000000001</v>
      </c>
      <c r="N6286">
        <v>0</v>
      </c>
      <c r="O6286">
        <v>-0.71081589999999995</v>
      </c>
      <c r="P6286">
        <v>0.68250569999999999</v>
      </c>
      <c r="Q6286">
        <v>-3.8862269999999997E-2</v>
      </c>
      <c r="R6286">
        <v>-0.72984689999999997</v>
      </c>
      <c r="S6286">
        <v>2.8016969999999999</v>
      </c>
      <c r="T6286">
        <v>-0.31070769999999998</v>
      </c>
      <c r="U6286">
        <v>-1.4890749999999999</v>
      </c>
      <c r="V6286">
        <v>2.8425949999999998E-2</v>
      </c>
      <c r="W6286">
        <v>-2.414055E-2</v>
      </c>
      <c r="X6286">
        <v>0.99930439999999998</v>
      </c>
      <c r="Y6286">
        <v>-0.2938075</v>
      </c>
      <c r="Z6286">
        <v>7.9696920000000004E-2</v>
      </c>
      <c r="AA6286">
        <v>0.95253639999999995</v>
      </c>
      <c r="AB6286">
        <v>19</v>
      </c>
      <c r="AC6286">
        <v>9.9200000000000106</v>
      </c>
      <c r="AD6286">
        <v>-1.1151642771950001</v>
      </c>
      <c r="AE6286">
        <v>-5.2219399999999903</v>
      </c>
      <c r="AF6286">
        <v>-3.3462969028302298</v>
      </c>
      <c r="AG6286">
        <v>-1.1151642771950001</v>
      </c>
      <c r="AH6286">
        <v>10.584262262896599</v>
      </c>
      <c r="AI6286">
        <v>95.736653944238299</v>
      </c>
      <c r="AJ6286">
        <v>107.54475538464</v>
      </c>
      <c r="AK6286">
        <v>11.1565183626793</v>
      </c>
      <c r="AL6286">
        <v>91.383285949136393</v>
      </c>
      <c r="AM6286">
        <v>88.370618714996198</v>
      </c>
      <c r="AN6286">
        <v>1.00000004232353</v>
      </c>
    </row>
    <row r="6287" spans="1:40" x14ac:dyDescent="0.25">
      <c r="A6287" t="str">
        <f>"20190312155001732"</f>
        <v>20190312155001732</v>
      </c>
      <c r="B6287" t="str">
        <f>"1552377001722251"</f>
        <v>1552377001722251</v>
      </c>
      <c r="C6287" t="s">
        <v>40</v>
      </c>
      <c r="D6287">
        <v>4.6881399999999998</v>
      </c>
      <c r="E6287">
        <v>0.37001790000000001</v>
      </c>
      <c r="F6287" t="s">
        <v>65</v>
      </c>
      <c r="G6287">
        <v>-285.21640000000002</v>
      </c>
      <c r="H6287" s="1">
        <v>-4.3384279999999998E-6</v>
      </c>
      <c r="I6287">
        <v>-56.812100000000001</v>
      </c>
      <c r="J6287">
        <v>-295.12619999999998</v>
      </c>
      <c r="K6287">
        <v>1.115132</v>
      </c>
      <c r="L6287">
        <v>-51.694000000000003</v>
      </c>
      <c r="M6287">
        <v>0.7104954</v>
      </c>
      <c r="N6287">
        <v>0</v>
      </c>
      <c r="O6287">
        <v>-0.70355519999999905</v>
      </c>
      <c r="P6287">
        <v>0.69091499999999995</v>
      </c>
      <c r="Q6287">
        <v>-3.8981549999999997E-2</v>
      </c>
      <c r="R6287">
        <v>-0.72188409999999903</v>
      </c>
      <c r="S6287">
        <v>2.8103639999999999</v>
      </c>
      <c r="T6287">
        <v>-0.31189470000000002</v>
      </c>
      <c r="U6287">
        <v>-1.465759</v>
      </c>
      <c r="V6287">
        <v>2.7109279999999999E-2</v>
      </c>
      <c r="W6287">
        <v>-2.4283900000000001E-2</v>
      </c>
      <c r="X6287">
        <v>0.99933749999999999</v>
      </c>
      <c r="Y6287">
        <v>-0.2914021</v>
      </c>
      <c r="Z6287">
        <v>7.9386520000000002E-2</v>
      </c>
      <c r="AA6287">
        <v>0.95330090000000001</v>
      </c>
      <c r="AB6287">
        <v>19</v>
      </c>
      <c r="AC6287">
        <v>9.9097999999999598</v>
      </c>
      <c r="AD6287">
        <v>-1.115136338428</v>
      </c>
      <c r="AE6287">
        <v>-5.1181000000000001</v>
      </c>
      <c r="AF6287">
        <v>-3.3030310085512702</v>
      </c>
      <c r="AG6287">
        <v>-1.115136338428</v>
      </c>
      <c r="AH6287">
        <v>10.5374955666851</v>
      </c>
      <c r="AI6287">
        <v>95.766231616600095</v>
      </c>
      <c r="AJ6287">
        <v>107.403862103189</v>
      </c>
      <c r="AK6287">
        <v>11.099205183914799</v>
      </c>
      <c r="AL6287">
        <v>91.391501724624703</v>
      </c>
      <c r="AM6287">
        <v>88.446104051406195</v>
      </c>
      <c r="AN6287">
        <v>1.0000000298837799</v>
      </c>
    </row>
    <row r="6288" spans="1:40" x14ac:dyDescent="0.25">
      <c r="A6288" t="str">
        <f>"20190312155001754"</f>
        <v>20190312155001754</v>
      </c>
      <c r="B6288" t="str">
        <f>"1552377001752507"</f>
        <v>1552377001752507</v>
      </c>
      <c r="C6288" t="s">
        <v>40</v>
      </c>
      <c r="D6288">
        <v>4.6836500000000001</v>
      </c>
      <c r="E6288">
        <v>0.38133020000000001</v>
      </c>
      <c r="F6288" t="s">
        <v>65</v>
      </c>
      <c r="G6288">
        <v>-285.0335</v>
      </c>
      <c r="H6288" s="1">
        <v>-4.42747E-6</v>
      </c>
      <c r="I6288">
        <v>-56.82893</v>
      </c>
      <c r="J6288">
        <v>-294.98559999999998</v>
      </c>
      <c r="K6288">
        <v>1.11511</v>
      </c>
      <c r="L6288">
        <v>-51.815860000000001</v>
      </c>
      <c r="M6288">
        <v>0.71771079999999998</v>
      </c>
      <c r="N6288">
        <v>0</v>
      </c>
      <c r="O6288">
        <v>-0.69619310000000001</v>
      </c>
      <c r="P6288">
        <v>0.69961430000000002</v>
      </c>
      <c r="Q6288">
        <v>-3.892835E-2</v>
      </c>
      <c r="R6288">
        <v>-0.71345959999999997</v>
      </c>
      <c r="S6288">
        <v>2.823547</v>
      </c>
      <c r="T6288">
        <v>-0.31197209999999997</v>
      </c>
      <c r="U6288">
        <v>-1.4365540000000001</v>
      </c>
      <c r="V6288">
        <v>2.5299539999999999E-2</v>
      </c>
      <c r="W6288">
        <v>-2.426097E-2</v>
      </c>
      <c r="X6288">
        <v>0.99938550000000004</v>
      </c>
      <c r="Y6288">
        <v>-0.29119669999999998</v>
      </c>
      <c r="Z6288">
        <v>7.8824480000000002E-2</v>
      </c>
      <c r="AA6288">
        <v>0.95341030000000004</v>
      </c>
      <c r="AB6288">
        <v>19</v>
      </c>
      <c r="AC6288">
        <v>9.9520999999999695</v>
      </c>
      <c r="AD6288">
        <v>-1.11511442747</v>
      </c>
      <c r="AE6288">
        <v>-5.0130699999999999</v>
      </c>
      <c r="AF6288">
        <v>-3.2979670266306802</v>
      </c>
      <c r="AG6288">
        <v>-1.11511442747</v>
      </c>
      <c r="AH6288">
        <v>10.528460574970101</v>
      </c>
      <c r="AI6288">
        <v>95.771380616768894</v>
      </c>
      <c r="AJ6288">
        <v>107.392801991643</v>
      </c>
      <c r="AK6288">
        <v>11.089118484974099</v>
      </c>
      <c r="AL6288">
        <v>91.390187559696002</v>
      </c>
      <c r="AM6288">
        <v>88.549861556776705</v>
      </c>
      <c r="AN6288">
        <v>1.0000000194998999</v>
      </c>
    </row>
    <row r="6289" spans="1:40" x14ac:dyDescent="0.25">
      <c r="A6289" t="str">
        <f>"20190312155001776"</f>
        <v>20190312155001776</v>
      </c>
      <c r="B6289" t="str">
        <f>"1552377001772027"</f>
        <v>1552377001772027</v>
      </c>
      <c r="C6289" t="s">
        <v>40</v>
      </c>
      <c r="D6289">
        <v>4.6645560000000001</v>
      </c>
      <c r="E6289">
        <v>0.38261050000000002</v>
      </c>
      <c r="F6289" t="s">
        <v>65</v>
      </c>
      <c r="G6289">
        <v>-284.24610000000001</v>
      </c>
      <c r="H6289" s="1">
        <v>-4.6790530000000004E-6</v>
      </c>
      <c r="I6289">
        <v>-57.491930000000004</v>
      </c>
      <c r="J6289">
        <v>-294.84829999999999</v>
      </c>
      <c r="K6289">
        <v>1.1150869999999999</v>
      </c>
      <c r="L6289">
        <v>-51.93253</v>
      </c>
      <c r="M6289">
        <v>0.72462159999999998</v>
      </c>
      <c r="N6289">
        <v>0</v>
      </c>
      <c r="O6289">
        <v>-0.68899759999999999</v>
      </c>
      <c r="P6289">
        <v>0.70809109999999997</v>
      </c>
      <c r="Q6289">
        <v>-3.8305230000000003E-2</v>
      </c>
      <c r="R6289">
        <v>-0.70508139999999997</v>
      </c>
      <c r="S6289">
        <v>2.7758479999999999</v>
      </c>
      <c r="T6289">
        <v>-0.28822520000000001</v>
      </c>
      <c r="U6289">
        <v>-1.4671019999999999</v>
      </c>
      <c r="V6289">
        <v>2.3343470000000002E-2</v>
      </c>
      <c r="W6289">
        <v>-2.3669409999999998E-2</v>
      </c>
      <c r="X6289">
        <v>0.99944730000000004</v>
      </c>
      <c r="Y6289">
        <v>-0.26731840000000001</v>
      </c>
      <c r="Z6289">
        <v>7.2105450000000001E-2</v>
      </c>
      <c r="AA6289">
        <v>0.9609067</v>
      </c>
      <c r="AB6289">
        <v>19</v>
      </c>
      <c r="AC6289">
        <v>10.6021999999999</v>
      </c>
      <c r="AD6289">
        <v>-1.1150916790530001</v>
      </c>
      <c r="AE6289">
        <v>-5.5594000000000001</v>
      </c>
      <c r="AF6289">
        <v>-3.24858068743031</v>
      </c>
      <c r="AG6289">
        <v>-1.1150916790530001</v>
      </c>
      <c r="AH6289">
        <v>11.415140492592499</v>
      </c>
      <c r="AI6289">
        <v>95.367453702459898</v>
      </c>
      <c r="AJ6289">
        <v>105.885571642225</v>
      </c>
      <c r="AK6289">
        <v>11.9206601495498</v>
      </c>
      <c r="AL6289">
        <v>91.356283914210707</v>
      </c>
      <c r="AM6289">
        <v>88.662021317398796</v>
      </c>
      <c r="AN6289">
        <v>1.0000000320193301</v>
      </c>
    </row>
    <row r="6290" spans="1:40" x14ac:dyDescent="0.25">
      <c r="A6290" t="str">
        <f>"20190312155001800"</f>
        <v>20190312155001800</v>
      </c>
      <c r="B6290" t="str">
        <f>"1552377001791546"</f>
        <v>1552377001791546</v>
      </c>
      <c r="C6290" t="s">
        <v>40</v>
      </c>
      <c r="D6290">
        <v>4.6632730000000002</v>
      </c>
      <c r="E6290">
        <v>0.38956020000000002</v>
      </c>
      <c r="F6290" t="s">
        <v>65</v>
      </c>
      <c r="G6290">
        <v>-283.95490000000001</v>
      </c>
      <c r="H6290" s="1">
        <v>-4.8010019999999999E-6</v>
      </c>
      <c r="I6290">
        <v>-57.568959999999997</v>
      </c>
      <c r="J6290">
        <v>-294.70319999999998</v>
      </c>
      <c r="K6290">
        <v>1.115062</v>
      </c>
      <c r="L6290">
        <v>-52.053339999999999</v>
      </c>
      <c r="M6290">
        <v>0.73177619999999999</v>
      </c>
      <c r="N6290">
        <v>0</v>
      </c>
      <c r="O6290">
        <v>-0.6813941</v>
      </c>
      <c r="P6290">
        <v>0.71727719999999995</v>
      </c>
      <c r="Q6290">
        <v>-3.8466069999999998E-2</v>
      </c>
      <c r="R6290">
        <v>-0.69572559999999894</v>
      </c>
      <c r="S6290">
        <v>2.7859500000000001</v>
      </c>
      <c r="T6290">
        <v>-0.28518059999999901</v>
      </c>
      <c r="U6290">
        <v>-1.4414979999999999</v>
      </c>
      <c r="V6290">
        <v>2.0666899999999998E-2</v>
      </c>
      <c r="W6290">
        <v>-2.3871090000000001E-2</v>
      </c>
      <c r="X6290">
        <v>0.99950139999999998</v>
      </c>
      <c r="Y6290">
        <v>-0.26573439999999998</v>
      </c>
      <c r="Z6290">
        <v>7.0758829999999995E-2</v>
      </c>
      <c r="AA6290">
        <v>0.96144600000000002</v>
      </c>
      <c r="AB6290">
        <v>19</v>
      </c>
      <c r="AC6290">
        <v>10.748299999999899</v>
      </c>
      <c r="AD6290">
        <v>-1.115066801002</v>
      </c>
      <c r="AE6290">
        <v>-5.5156199999999904</v>
      </c>
      <c r="AF6290">
        <v>-3.2601923669900001</v>
      </c>
      <c r="AG6290">
        <v>-1.115066801002</v>
      </c>
      <c r="AH6290">
        <v>11.526657603267401</v>
      </c>
      <c r="AI6290">
        <v>95.318129615989605</v>
      </c>
      <c r="AJ6290">
        <v>105.792990768268</v>
      </c>
      <c r="AK6290">
        <v>12.030630230517399</v>
      </c>
      <c r="AL6290">
        <v>91.367842637575393</v>
      </c>
      <c r="AM6290">
        <v>88.8154519519735</v>
      </c>
      <c r="AN6290">
        <v>0.99999999914767901</v>
      </c>
    </row>
    <row r="6291" spans="1:40" x14ac:dyDescent="0.25">
      <c r="A6291" t="str">
        <f>"20190312155001821"</f>
        <v>20190312155001821</v>
      </c>
      <c r="B6291" t="str">
        <f>"1552377001812043"</f>
        <v>1552377001812043</v>
      </c>
      <c r="C6291" t="s">
        <v>40</v>
      </c>
      <c r="D6291">
        <v>4.693797</v>
      </c>
      <c r="E6291">
        <v>0.39138230000000002</v>
      </c>
      <c r="F6291" t="s">
        <v>65</v>
      </c>
      <c r="G6291">
        <v>-284.33069999999998</v>
      </c>
      <c r="H6291" s="1">
        <v>-4.6438140000000003E-6</v>
      </c>
      <c r="I6291">
        <v>-57.46846</v>
      </c>
      <c r="J6291">
        <v>-294.56360000000001</v>
      </c>
      <c r="K6291">
        <v>1.11503</v>
      </c>
      <c r="L6291">
        <v>-52.16724</v>
      </c>
      <c r="M6291">
        <v>0.73852419999999996</v>
      </c>
      <c r="N6291">
        <v>0</v>
      </c>
      <c r="O6291">
        <v>-0.67407439999999996</v>
      </c>
      <c r="P6291">
        <v>0.72564249999999997</v>
      </c>
      <c r="Q6291">
        <v>-3.8906049999999998E-2</v>
      </c>
      <c r="R6291">
        <v>-0.68697109999999995</v>
      </c>
      <c r="S6291">
        <v>2.76593</v>
      </c>
      <c r="T6291">
        <v>-0.29734490000000002</v>
      </c>
      <c r="U6291">
        <v>-1.444</v>
      </c>
      <c r="V6291">
        <v>1.8511920000000001E-2</v>
      </c>
      <c r="W6291">
        <v>-2.434484E-2</v>
      </c>
      <c r="X6291">
        <v>0.99953219999999998</v>
      </c>
      <c r="Y6291">
        <v>-0.25234820000000002</v>
      </c>
      <c r="Z6291">
        <v>7.3046410000000006E-2</v>
      </c>
      <c r="AA6291">
        <v>0.9648755</v>
      </c>
      <c r="AB6291">
        <v>19</v>
      </c>
      <c r="AC6291">
        <v>10.232900000000001</v>
      </c>
      <c r="AD6291">
        <v>-1.115034643814</v>
      </c>
      <c r="AE6291">
        <v>-5.3012199999999998</v>
      </c>
      <c r="AF6291">
        <v>-2.9552985146857802</v>
      </c>
      <c r="AG6291">
        <v>-1.115034643814</v>
      </c>
      <c r="AH6291">
        <v>11.028565977089</v>
      </c>
      <c r="AI6291">
        <v>95.5777461264517</v>
      </c>
      <c r="AJ6291">
        <v>105.000984789196</v>
      </c>
      <c r="AK6291">
        <v>11.471981480058901</v>
      </c>
      <c r="AL6291">
        <v>91.394994416654797</v>
      </c>
      <c r="AM6291">
        <v>88.9389700109963</v>
      </c>
      <c r="AN6291">
        <v>0.99999999062677503</v>
      </c>
    </row>
    <row r="6292" spans="1:40" x14ac:dyDescent="0.25">
      <c r="A6292" t="str">
        <f>"20190312155001844"</f>
        <v>20190312155001844</v>
      </c>
      <c r="B6292" t="str">
        <f>"1552377001831562"</f>
        <v>1552377001831562</v>
      </c>
      <c r="C6292" t="s">
        <v>40</v>
      </c>
      <c r="D6292">
        <v>4.6507519999999998</v>
      </c>
      <c r="E6292">
        <v>0.39201659999999999</v>
      </c>
      <c r="F6292" t="s">
        <v>65</v>
      </c>
      <c r="G6292">
        <v>-283.86399999999998</v>
      </c>
      <c r="H6292" s="1">
        <v>-4.828477E-6</v>
      </c>
      <c r="I6292">
        <v>-57.652360000000002</v>
      </c>
      <c r="J6292">
        <v>-294.41930000000002</v>
      </c>
      <c r="K6292">
        <v>1.1150150000000001</v>
      </c>
      <c r="L6292">
        <v>-52.282620000000001</v>
      </c>
      <c r="M6292">
        <v>0.7453651</v>
      </c>
      <c r="N6292">
        <v>0</v>
      </c>
      <c r="O6292">
        <v>-0.6665025</v>
      </c>
      <c r="P6292">
        <v>0.73346789999999995</v>
      </c>
      <c r="Q6292">
        <v>-3.8396489999999998E-2</v>
      </c>
      <c r="R6292">
        <v>-0.6786392</v>
      </c>
      <c r="S6292">
        <v>2.77298</v>
      </c>
      <c r="T6292">
        <v>-0.28898170000000001</v>
      </c>
      <c r="U6292">
        <v>-1.42157</v>
      </c>
      <c r="V6292">
        <v>1.7272470000000002E-2</v>
      </c>
      <c r="W6292">
        <v>-2.385725E-2</v>
      </c>
      <c r="X6292">
        <v>0.99956610000000001</v>
      </c>
      <c r="Y6292">
        <v>-0.24985979999999999</v>
      </c>
      <c r="Z6292">
        <v>7.03878E-2</v>
      </c>
      <c r="AA6292">
        <v>0.96572029999999998</v>
      </c>
      <c r="AB6292">
        <v>19</v>
      </c>
      <c r="AC6292">
        <v>10.5552999999999</v>
      </c>
      <c r="AD6292">
        <v>-1.1150198284770001</v>
      </c>
      <c r="AE6292">
        <v>-5.3697399999999904</v>
      </c>
      <c r="AF6292">
        <v>-3.00637755963167</v>
      </c>
      <c r="AG6292">
        <v>-1.1150198284770001</v>
      </c>
      <c r="AH6292">
        <v>11.3470832651896</v>
      </c>
      <c r="AI6292">
        <v>95.426103035016197</v>
      </c>
      <c r="AJ6292">
        <v>104.839398518359</v>
      </c>
      <c r="AK6292">
        <v>11.7914322232755</v>
      </c>
      <c r="AL6292">
        <v>91.367049508800605</v>
      </c>
      <c r="AM6292">
        <v>89.010029302540701</v>
      </c>
      <c r="AN6292">
        <v>0.99999994743333498</v>
      </c>
    </row>
    <row r="6293" spans="1:40" x14ac:dyDescent="0.25">
      <c r="A6293" t="str">
        <f>"20190312155001867"</f>
        <v>20190312155001867</v>
      </c>
      <c r="B6293" t="str">
        <f>"1552377001861818"</f>
        <v>1552377001861818</v>
      </c>
      <c r="C6293" t="s">
        <v>40</v>
      </c>
      <c r="D6293">
        <v>4.6752539999999998</v>
      </c>
      <c r="E6293">
        <v>0.36651499999999998</v>
      </c>
      <c r="F6293" t="s">
        <v>65</v>
      </c>
      <c r="G6293">
        <v>-283.64839999999998</v>
      </c>
      <c r="H6293" s="1">
        <v>-4.9258289999999997E-6</v>
      </c>
      <c r="I6293">
        <v>-57.669840000000001</v>
      </c>
      <c r="J6293">
        <v>-294.27409999999998</v>
      </c>
      <c r="K6293">
        <v>1.1150059999999999</v>
      </c>
      <c r="L6293">
        <v>-52.396090000000001</v>
      </c>
      <c r="M6293">
        <v>0.75210519999999903</v>
      </c>
      <c r="N6293">
        <v>0</v>
      </c>
      <c r="O6293">
        <v>-0.65888749999999996</v>
      </c>
      <c r="P6293">
        <v>0.74087400000000003</v>
      </c>
      <c r="Q6293">
        <v>-3.8019329999999997E-2</v>
      </c>
      <c r="R6293">
        <v>-0.67056769999999999</v>
      </c>
      <c r="S6293">
        <v>2.785828</v>
      </c>
      <c r="T6293">
        <v>-0.28839340000000002</v>
      </c>
      <c r="U6293">
        <v>-1.3933719999999901</v>
      </c>
      <c r="V6293">
        <v>1.647587E-2</v>
      </c>
      <c r="W6293">
        <v>-2.349623E-2</v>
      </c>
      <c r="X6293">
        <v>0.99958809999999998</v>
      </c>
      <c r="Y6293">
        <v>-0.2496514</v>
      </c>
      <c r="Z6293">
        <v>6.964381E-2</v>
      </c>
      <c r="AA6293">
        <v>0.96582809999999997</v>
      </c>
      <c r="AB6293">
        <v>19</v>
      </c>
      <c r="AC6293">
        <v>10.625699999999901</v>
      </c>
      <c r="AD6293">
        <v>-1.115010925829</v>
      </c>
      <c r="AE6293">
        <v>-5.2737499999999997</v>
      </c>
      <c r="AF6293">
        <v>-3.0084574064224001</v>
      </c>
      <c r="AG6293">
        <v>-1.115010925829</v>
      </c>
      <c r="AH6293">
        <v>11.367198133651399</v>
      </c>
      <c r="AI6293">
        <v>95.416896313833703</v>
      </c>
      <c r="AJ6293">
        <v>104.824092690227</v>
      </c>
      <c r="AK6293">
        <v>11.811319094015801</v>
      </c>
      <c r="AL6293">
        <v>91.346358783694399</v>
      </c>
      <c r="AM6293">
        <v>89.055698701386405</v>
      </c>
      <c r="AN6293">
        <v>0.99999994838903805</v>
      </c>
    </row>
    <row r="6294" spans="1:40" x14ac:dyDescent="0.25">
      <c r="A6294" t="str">
        <f>"20190312155001889"</f>
        <v>20190312155001889</v>
      </c>
      <c r="B6294" t="str">
        <f>"1552377001882315"</f>
        <v>1552377001882315</v>
      </c>
      <c r="C6294" t="s">
        <v>40</v>
      </c>
      <c r="D6294">
        <v>4.6750939999999996</v>
      </c>
      <c r="E6294">
        <v>0.36363590000000001</v>
      </c>
      <c r="F6294" t="s">
        <v>65</v>
      </c>
      <c r="G6294">
        <v>-282.78289999999998</v>
      </c>
      <c r="H6294" s="1">
        <v>-5.4237280000000002E-6</v>
      </c>
      <c r="I6294">
        <v>-57.137590000000003</v>
      </c>
      <c r="J6294">
        <v>-294.13459999999998</v>
      </c>
      <c r="K6294">
        <v>1.114997</v>
      </c>
      <c r="L6294">
        <v>-52.502929999999999</v>
      </c>
      <c r="M6294">
        <v>0.75846329999999995</v>
      </c>
      <c r="N6294">
        <v>0</v>
      </c>
      <c r="O6294">
        <v>-0.65155839999999998</v>
      </c>
      <c r="P6294">
        <v>0.74710719999999997</v>
      </c>
      <c r="Q6294">
        <v>-3.7093790000000001E-2</v>
      </c>
      <c r="R6294">
        <v>-0.66366780000000003</v>
      </c>
      <c r="S6294">
        <v>2.9375610000000001</v>
      </c>
      <c r="T6294">
        <v>-0.28503669999999998</v>
      </c>
      <c r="U6294">
        <v>-1.212097</v>
      </c>
      <c r="V6294">
        <v>1.6862820000000001E-2</v>
      </c>
      <c r="W6294">
        <v>-2.2571560000000001E-2</v>
      </c>
      <c r="X6294">
        <v>0.99960300000000002</v>
      </c>
      <c r="Y6294">
        <v>-0.30975580000000003</v>
      </c>
      <c r="Z6294">
        <v>6.9072140000000004E-2</v>
      </c>
      <c r="AA6294">
        <v>0.94830389999999998</v>
      </c>
      <c r="AB6294">
        <v>19</v>
      </c>
      <c r="AC6294">
        <v>11.3516999999999</v>
      </c>
      <c r="AD6294">
        <v>-1.1150024237279901</v>
      </c>
      <c r="AE6294">
        <v>-4.6346599999999896</v>
      </c>
      <c r="AF6294">
        <v>-3.8496397963419402</v>
      </c>
      <c r="AG6294">
        <v>-1.1150024237279901</v>
      </c>
      <c r="AH6294">
        <v>11.535401360155101</v>
      </c>
      <c r="AI6294">
        <v>95.238699454135698</v>
      </c>
      <c r="AJ6294">
        <v>108.455089480144</v>
      </c>
      <c r="AK6294">
        <v>12.211815651506001</v>
      </c>
      <c r="AL6294">
        <v>91.293364971807193</v>
      </c>
      <c r="AM6294">
        <v>89.033539533792606</v>
      </c>
      <c r="AN6294">
        <v>0.99999999381409199</v>
      </c>
    </row>
    <row r="6295" spans="1:40" x14ac:dyDescent="0.25">
      <c r="A6295" t="str">
        <f>"20190312155001910"</f>
        <v>20190312155001910</v>
      </c>
      <c r="B6295" t="str">
        <f>"1552377001901834"</f>
        <v>1552377001901834</v>
      </c>
      <c r="C6295" t="s">
        <v>40</v>
      </c>
      <c r="D6295">
        <v>4.6605449999999999</v>
      </c>
      <c r="E6295">
        <v>0.36341909999999999</v>
      </c>
      <c r="F6295" t="s">
        <v>65</v>
      </c>
      <c r="G6295">
        <v>-282.64460000000003</v>
      </c>
      <c r="H6295" s="1">
        <v>-5.5077039999999999E-6</v>
      </c>
      <c r="I6295">
        <v>-57.027700000000003</v>
      </c>
      <c r="J6295">
        <v>-293.99340000000001</v>
      </c>
      <c r="K6295">
        <v>1.1149830000000001</v>
      </c>
      <c r="L6295">
        <v>-52.60895</v>
      </c>
      <c r="M6295">
        <v>0.76478199999999996</v>
      </c>
      <c r="N6295">
        <v>0</v>
      </c>
      <c r="O6295">
        <v>-0.64413009999999904</v>
      </c>
      <c r="P6295">
        <v>0.75258999999999998</v>
      </c>
      <c r="Q6295">
        <v>-3.68133E-2</v>
      </c>
      <c r="R6295">
        <v>-0.65745969999999998</v>
      </c>
      <c r="S6295">
        <v>2.964264</v>
      </c>
      <c r="T6295">
        <v>-0.2876551</v>
      </c>
      <c r="U6295">
        <v>-1.1673279999999999</v>
      </c>
      <c r="V6295">
        <v>1.8322450000000001E-2</v>
      </c>
      <c r="W6295">
        <v>-2.2279199999999999E-2</v>
      </c>
      <c r="X6295">
        <v>0.99958389999999997</v>
      </c>
      <c r="Y6295">
        <v>-0.31579679999999999</v>
      </c>
      <c r="Z6295">
        <v>6.9176669999999996E-2</v>
      </c>
      <c r="AA6295">
        <v>0.94630179999999997</v>
      </c>
      <c r="AB6295">
        <v>19</v>
      </c>
      <c r="AC6295">
        <v>11.348799999999899</v>
      </c>
      <c r="AD6295">
        <v>-1.114988507704</v>
      </c>
      <c r="AE6295">
        <v>-4.4187500000000002</v>
      </c>
      <c r="AF6295">
        <v>-3.8984498187279901</v>
      </c>
      <c r="AG6295">
        <v>-1.114988507704</v>
      </c>
      <c r="AH6295">
        <v>11.4309762669474</v>
      </c>
      <c r="AI6295">
        <v>95.274581343249693</v>
      </c>
      <c r="AJ6295">
        <v>108.831562576224</v>
      </c>
      <c r="AK6295">
        <v>12.128822233711199</v>
      </c>
      <c r="AL6295">
        <v>91.276609725353893</v>
      </c>
      <c r="AM6295">
        <v>88.949881541272603</v>
      </c>
      <c r="AN6295">
        <v>1.0000000240329201</v>
      </c>
    </row>
    <row r="6296" spans="1:40" x14ac:dyDescent="0.25">
      <c r="A6296" t="str">
        <f>"20190312155001934"</f>
        <v>20190312155001934</v>
      </c>
      <c r="B6296" t="str">
        <f>"1552377001922331"</f>
        <v>1552377001922331</v>
      </c>
      <c r="C6296" t="s">
        <v>40</v>
      </c>
      <c r="D6296">
        <v>4.7000060000000001</v>
      </c>
      <c r="E6296">
        <v>0.3642513</v>
      </c>
      <c r="F6296" t="s">
        <v>65</v>
      </c>
      <c r="G6296">
        <v>-282.73860000000002</v>
      </c>
      <c r="H6296" s="1">
        <v>-5.4821329999999998E-6</v>
      </c>
      <c r="I6296">
        <v>-56.92539</v>
      </c>
      <c r="J6296">
        <v>-293.84140000000002</v>
      </c>
      <c r="K6296">
        <v>1.1149690000000001</v>
      </c>
      <c r="L6296">
        <v>-52.720610000000001</v>
      </c>
      <c r="M6296">
        <v>0.77145339999999996</v>
      </c>
      <c r="N6296">
        <v>0</v>
      </c>
      <c r="O6296">
        <v>-0.63612480000000005</v>
      </c>
      <c r="P6296">
        <v>0.75850699999999904</v>
      </c>
      <c r="Q6296">
        <v>-3.7458199999999997E-2</v>
      </c>
      <c r="R6296">
        <v>-0.65058749999999999</v>
      </c>
      <c r="S6296">
        <v>2.9750369999999999</v>
      </c>
      <c r="T6296">
        <v>-0.29473139999999998</v>
      </c>
      <c r="U6296">
        <v>-1.1409910000000001</v>
      </c>
      <c r="V6296">
        <v>1.967501E-2</v>
      </c>
      <c r="W6296">
        <v>-2.2914230000000001E-2</v>
      </c>
      <c r="X6296">
        <v>0.99954379999999998</v>
      </c>
      <c r="Y6296">
        <v>-0.31423259999999997</v>
      </c>
      <c r="Z6296">
        <v>7.016066E-2</v>
      </c>
      <c r="AA6296">
        <v>0.94674990000000003</v>
      </c>
      <c r="AB6296">
        <v>19</v>
      </c>
      <c r="AC6296">
        <v>11.1028</v>
      </c>
      <c r="AD6296">
        <v>-1.1149744821330001</v>
      </c>
      <c r="AE6296">
        <v>-4.2047800000000004</v>
      </c>
      <c r="AF6296">
        <v>-3.7859744512578399</v>
      </c>
      <c r="AG6296">
        <v>-1.1149744821330001</v>
      </c>
      <c r="AH6296">
        <v>11.1429311559922</v>
      </c>
      <c r="AI6296">
        <v>95.412159788972403</v>
      </c>
      <c r="AJ6296">
        <v>108.76594668251499</v>
      </c>
      <c r="AK6296">
        <v>11.8212387417126</v>
      </c>
      <c r="AL6296">
        <v>91.313003603968596</v>
      </c>
      <c r="AM6296">
        <v>88.872336084713396</v>
      </c>
      <c r="AN6296">
        <v>0.99999998803671597</v>
      </c>
    </row>
    <row r="6297" spans="1:40" x14ac:dyDescent="0.25">
      <c r="A6297" t="str">
        <f>"20190312155001956"</f>
        <v>20190312155001956</v>
      </c>
      <c r="B6297" t="str">
        <f>"1552377001951611"</f>
        <v>1552377001951611</v>
      </c>
      <c r="C6297" t="s">
        <v>40</v>
      </c>
      <c r="D6297">
        <v>4.6732709999999997</v>
      </c>
      <c r="E6297">
        <v>0.36598409999999998</v>
      </c>
      <c r="F6297" t="s">
        <v>65</v>
      </c>
      <c r="G6297">
        <v>-282.6977</v>
      </c>
      <c r="H6297" s="1">
        <v>-5.5051479999999997E-6</v>
      </c>
      <c r="I6297">
        <v>-56.90314</v>
      </c>
      <c r="J6297">
        <v>-293.69400000000002</v>
      </c>
      <c r="K6297">
        <v>1.1149579999999999</v>
      </c>
      <c r="L6297">
        <v>-52.826689999999999</v>
      </c>
      <c r="M6297">
        <v>0.77780090000000002</v>
      </c>
      <c r="N6297">
        <v>0</v>
      </c>
      <c r="O6297">
        <v>-0.62834789999999996</v>
      </c>
      <c r="P6297">
        <v>0.76465830000000001</v>
      </c>
      <c r="Q6297">
        <v>-3.7872999999999997E-2</v>
      </c>
      <c r="R6297">
        <v>-0.64332219999999996</v>
      </c>
      <c r="S6297">
        <v>2.980804</v>
      </c>
      <c r="T6297">
        <v>-0.2982417</v>
      </c>
      <c r="U6297">
        <v>-1.1187739999999999</v>
      </c>
      <c r="V6297">
        <v>2.0191870000000001E-2</v>
      </c>
      <c r="W6297">
        <v>-2.33288E-2</v>
      </c>
      <c r="X6297">
        <v>0.99952390000000002</v>
      </c>
      <c r="Y6297">
        <v>-0.31143789999999999</v>
      </c>
      <c r="Z6297">
        <v>7.0307560000000005E-2</v>
      </c>
      <c r="AA6297">
        <v>0.947662</v>
      </c>
      <c r="AB6297">
        <v>19</v>
      </c>
      <c r="AC6297">
        <v>10.9963</v>
      </c>
      <c r="AD6297">
        <v>-1.11496350514799</v>
      </c>
      <c r="AE6297">
        <v>-4.0764500000000004</v>
      </c>
      <c r="AF6297">
        <v>-3.70572339232791</v>
      </c>
      <c r="AG6297">
        <v>-1.11496350514799</v>
      </c>
      <c r="AH6297">
        <v>11.015929039344201</v>
      </c>
      <c r="AI6297">
        <v>95.479688235917607</v>
      </c>
      <c r="AJ6297">
        <v>108.592775249509</v>
      </c>
      <c r="AK6297">
        <v>11.675882068525899</v>
      </c>
      <c r="AL6297">
        <v>91.336763070804096</v>
      </c>
      <c r="AM6297">
        <v>88.842697416461206</v>
      </c>
      <c r="AN6297">
        <v>0.99999998559737302</v>
      </c>
    </row>
    <row r="6298" spans="1:40" x14ac:dyDescent="0.25">
      <c r="A6298" t="str">
        <f>"20190312155001978"</f>
        <v>20190312155001978</v>
      </c>
      <c r="B6298" t="str">
        <f>"1552377001972107"</f>
        <v>1552377001972107</v>
      </c>
      <c r="C6298" t="s">
        <v>40</v>
      </c>
      <c r="D6298">
        <v>4.6703409999999996</v>
      </c>
      <c r="E6298">
        <v>0.36732550000000003</v>
      </c>
      <c r="F6298" t="s">
        <v>65</v>
      </c>
      <c r="G6298">
        <v>-282.41860000000003</v>
      </c>
      <c r="H6298" s="1">
        <v>-5.6197879999999996E-6</v>
      </c>
      <c r="I6298">
        <v>-56.989400000000003</v>
      </c>
      <c r="J6298">
        <v>-293.54770000000002</v>
      </c>
      <c r="K6298">
        <v>1.1149439999999999</v>
      </c>
      <c r="L6298">
        <v>-52.929780000000001</v>
      </c>
      <c r="M6298">
        <v>0.78398310000000004</v>
      </c>
      <c r="N6298">
        <v>0</v>
      </c>
      <c r="O6298">
        <v>-0.62061739999999999</v>
      </c>
      <c r="P6298">
        <v>0.77115599999999995</v>
      </c>
      <c r="Q6298">
        <v>-3.731566E-2</v>
      </c>
      <c r="R6298">
        <v>-0.63555200000000001</v>
      </c>
      <c r="S6298">
        <v>2.982361</v>
      </c>
      <c r="T6298">
        <v>-0.29491009999999901</v>
      </c>
      <c r="U6298">
        <v>-1.1010439999999999</v>
      </c>
      <c r="V6298">
        <v>1.994839E-2</v>
      </c>
      <c r="W6298">
        <v>-2.2779689999999998E-2</v>
      </c>
      <c r="X6298">
        <v>0.99954149999999997</v>
      </c>
      <c r="Y6298">
        <v>-0.30725599999999997</v>
      </c>
      <c r="Z6298">
        <v>6.8842879999999995E-2</v>
      </c>
      <c r="AA6298">
        <v>0.94913349999999996</v>
      </c>
      <c r="AB6298">
        <v>18</v>
      </c>
      <c r="AC6298">
        <v>11.1290999999999</v>
      </c>
      <c r="AD6298">
        <v>-1.114949619788</v>
      </c>
      <c r="AE6298">
        <v>-4.05961999999999</v>
      </c>
      <c r="AF6298">
        <v>-3.6919174600420899</v>
      </c>
      <c r="AG6298">
        <v>-1.114949619788</v>
      </c>
      <c r="AH6298">
        <v>11.146907652421501</v>
      </c>
      <c r="AI6298">
        <v>95.424018575228899</v>
      </c>
      <c r="AJ6298">
        <v>108.325156151119</v>
      </c>
      <c r="AK6298">
        <v>11.795207391056801</v>
      </c>
      <c r="AL6298">
        <v>91.3052929604452</v>
      </c>
      <c r="AM6298">
        <v>88.856668939475</v>
      </c>
      <c r="AN6298">
        <v>1.0000000313811599</v>
      </c>
    </row>
    <row r="6299" spans="1:40" x14ac:dyDescent="0.25">
      <c r="A6299" t="str">
        <f>"20190312155002000"</f>
        <v>20190312155002000</v>
      </c>
      <c r="B6299" t="str">
        <f>"1552377001991627"</f>
        <v>1552377001991627</v>
      </c>
      <c r="C6299" t="s">
        <v>40</v>
      </c>
      <c r="D6299">
        <v>4.6927390000000004</v>
      </c>
      <c r="E6299">
        <v>0.36856040000000001</v>
      </c>
      <c r="F6299" t="s">
        <v>65</v>
      </c>
      <c r="G6299">
        <v>-282.21570000000003</v>
      </c>
      <c r="H6299" s="1">
        <v>-5.7081959999999997E-6</v>
      </c>
      <c r="I6299">
        <v>-57.023919999999997</v>
      </c>
      <c r="J6299">
        <v>-293.40379999999999</v>
      </c>
      <c r="K6299">
        <v>1.1149340000000001</v>
      </c>
      <c r="L6299">
        <v>-53.029049999999998</v>
      </c>
      <c r="M6299">
        <v>0.78994949999999997</v>
      </c>
      <c r="N6299">
        <v>0</v>
      </c>
      <c r="O6299">
        <v>-0.61300519999999903</v>
      </c>
      <c r="P6299">
        <v>0.77772220000000003</v>
      </c>
      <c r="Q6299">
        <v>-3.6353620000000003E-2</v>
      </c>
      <c r="R6299">
        <v>-0.62755629999999996</v>
      </c>
      <c r="S6299">
        <v>2.9867249999999999</v>
      </c>
      <c r="T6299">
        <v>-0.2938616</v>
      </c>
      <c r="U6299">
        <v>-1.0790709999999999</v>
      </c>
      <c r="V6299">
        <v>1.9256639999999998E-2</v>
      </c>
      <c r="W6299">
        <v>-2.183071E-2</v>
      </c>
      <c r="X6299">
        <v>0.99957620000000003</v>
      </c>
      <c r="Y6299">
        <v>-0.30472159999999998</v>
      </c>
      <c r="Z6299">
        <v>6.7959169999999999E-2</v>
      </c>
      <c r="AA6299">
        <v>0.95001380000000002</v>
      </c>
      <c r="AB6299">
        <v>18</v>
      </c>
      <c r="AC6299">
        <v>11.188099999999899</v>
      </c>
      <c r="AD6299">
        <v>-1.114939708196</v>
      </c>
      <c r="AE6299">
        <v>-3.9948699999999899</v>
      </c>
      <c r="AF6299">
        <v>-3.6706653199074402</v>
      </c>
      <c r="AG6299">
        <v>-1.114939708196</v>
      </c>
      <c r="AH6299">
        <v>11.189507078773101</v>
      </c>
      <c r="AI6299">
        <v>95.408492906855003</v>
      </c>
      <c r="AJ6299">
        <v>108.161834347373</v>
      </c>
      <c r="AK6299">
        <v>11.828860600649399</v>
      </c>
      <c r="AL6299">
        <v>91.250906933665803</v>
      </c>
      <c r="AM6299">
        <v>88.8963445340503</v>
      </c>
      <c r="AN6299">
        <v>0.999999988844816</v>
      </c>
    </row>
    <row r="6300" spans="1:40" x14ac:dyDescent="0.25">
      <c r="A6300" t="str">
        <f>"20190312155002022"</f>
        <v>20190312155002022</v>
      </c>
      <c r="B6300" t="str">
        <f>"1552377002012123"</f>
        <v>1552377002012123</v>
      </c>
      <c r="C6300" t="s">
        <v>40</v>
      </c>
      <c r="D6300">
        <v>4.6594610000000003</v>
      </c>
      <c r="E6300">
        <v>0.37864520000000002</v>
      </c>
      <c r="F6300" t="s">
        <v>65</v>
      </c>
      <c r="G6300">
        <v>-281.87400000000002</v>
      </c>
      <c r="H6300" s="1">
        <v>-5.8540619999999998E-6</v>
      </c>
      <c r="I6300">
        <v>-57.098500000000001</v>
      </c>
      <c r="J6300">
        <v>-293.25119999999998</v>
      </c>
      <c r="K6300">
        <v>1.114919</v>
      </c>
      <c r="L6300">
        <v>-53.132170000000002</v>
      </c>
      <c r="M6300">
        <v>0.79615530000000001</v>
      </c>
      <c r="N6300">
        <v>0</v>
      </c>
      <c r="O6300">
        <v>-0.60492369999999995</v>
      </c>
      <c r="P6300">
        <v>0.784354</v>
      </c>
      <c r="Q6300">
        <v>-3.6253140000000003E-2</v>
      </c>
      <c r="R6300">
        <v>-0.61925359999999996</v>
      </c>
      <c r="S6300">
        <v>2.9918209999999998</v>
      </c>
      <c r="T6300">
        <v>-0.28931269999999998</v>
      </c>
      <c r="U6300">
        <v>-1.0559689999999999</v>
      </c>
      <c r="V6300">
        <v>1.8812289999999999E-2</v>
      </c>
      <c r="W6300">
        <v>-2.1741110000000001E-2</v>
      </c>
      <c r="X6300">
        <v>0.99958659999999999</v>
      </c>
      <c r="Y6300">
        <v>-0.30218159999999999</v>
      </c>
      <c r="Z6300">
        <v>6.6230220000000006E-2</v>
      </c>
      <c r="AA6300">
        <v>0.95094679999999998</v>
      </c>
      <c r="AB6300">
        <v>18</v>
      </c>
      <c r="AC6300">
        <v>11.377199999999901</v>
      </c>
      <c r="AD6300">
        <v>-1.114924854062</v>
      </c>
      <c r="AE6300">
        <v>-3.9663300000000001</v>
      </c>
      <c r="AF6300">
        <v>-3.6932791630900899</v>
      </c>
      <c r="AG6300">
        <v>-1.114924854062</v>
      </c>
      <c r="AH6300">
        <v>11.3612322608612</v>
      </c>
      <c r="AI6300">
        <v>95.331787589083703</v>
      </c>
      <c r="AJ6300">
        <v>108.00816943669</v>
      </c>
      <c r="AK6300">
        <v>11.9983735102702</v>
      </c>
      <c r="AL6300">
        <v>91.245772030896305</v>
      </c>
      <c r="AM6300">
        <v>88.921816690131195</v>
      </c>
      <c r="AN6300">
        <v>0.99999997450931699</v>
      </c>
    </row>
    <row r="6301" spans="1:40" x14ac:dyDescent="0.25">
      <c r="A6301" t="str">
        <f>"20190312155002046"</f>
        <v>20190312155002046</v>
      </c>
      <c r="B6301" t="str">
        <f>"1552377002042379"</f>
        <v>1552377002042379</v>
      </c>
      <c r="C6301" t="s">
        <v>40</v>
      </c>
      <c r="D6301">
        <v>4.7648549999999998</v>
      </c>
      <c r="E6301">
        <v>0.38136500000000001</v>
      </c>
      <c r="F6301" t="s">
        <v>65</v>
      </c>
      <c r="G6301">
        <v>-280.6046</v>
      </c>
      <c r="H6301" s="1">
        <v>-6.236463E-6</v>
      </c>
      <c r="I6301">
        <v>-57.795400000000001</v>
      </c>
      <c r="J6301">
        <v>-293.09809999999999</v>
      </c>
      <c r="K6301">
        <v>1.1149039999999999</v>
      </c>
      <c r="L6301">
        <v>-53.233400000000003</v>
      </c>
      <c r="M6301">
        <v>0.80225829999999998</v>
      </c>
      <c r="N6301">
        <v>0</v>
      </c>
      <c r="O6301">
        <v>-0.59680610000000001</v>
      </c>
      <c r="P6301">
        <v>0.79110190000000002</v>
      </c>
      <c r="Q6301">
        <v>-3.6799320000000003E-2</v>
      </c>
      <c r="R6301">
        <v>-0.61057649999999997</v>
      </c>
      <c r="S6301">
        <v>2.9530639999999999</v>
      </c>
      <c r="T6301">
        <v>-0.26034309999999999</v>
      </c>
      <c r="U6301">
        <v>-1.0888979999999999</v>
      </c>
      <c r="V6301">
        <v>1.797603E-2</v>
      </c>
      <c r="W6301">
        <v>-2.2303179999999999E-2</v>
      </c>
      <c r="X6301">
        <v>0.99958959999999997</v>
      </c>
      <c r="Y6301">
        <v>-0.27980280000000002</v>
      </c>
      <c r="Z6301">
        <v>5.8720010000000003E-2</v>
      </c>
      <c r="AA6301">
        <v>0.95826009999999995</v>
      </c>
      <c r="AB6301">
        <v>18</v>
      </c>
      <c r="AC6301">
        <v>12.4934999999999</v>
      </c>
      <c r="AD6301">
        <v>-1.1149102364629999</v>
      </c>
      <c r="AE6301">
        <v>-4.5619999999999896</v>
      </c>
      <c r="AF6301">
        <v>-3.7701899950260098</v>
      </c>
      <c r="AG6301">
        <v>-1.1149102364629999</v>
      </c>
      <c r="AH6301">
        <v>12.657999993450799</v>
      </c>
      <c r="AI6301">
        <v>94.825162834569099</v>
      </c>
      <c r="AJ6301">
        <v>106.586182382823</v>
      </c>
      <c r="AK6301">
        <v>13.2545207860625</v>
      </c>
      <c r="AL6301">
        <v>91.277984089990994</v>
      </c>
      <c r="AM6301">
        <v>88.969737537072305</v>
      </c>
      <c r="AN6301">
        <v>0.99999996896041599</v>
      </c>
    </row>
    <row r="6302" spans="1:40" x14ac:dyDescent="0.25">
      <c r="A6302" t="str">
        <f>"20190312155002068"</f>
        <v>20190312155002068</v>
      </c>
      <c r="B6302" t="str">
        <f>"1552377002061899"</f>
        <v>1552377002061899</v>
      </c>
      <c r="C6302" t="s">
        <v>40</v>
      </c>
      <c r="D6302">
        <v>4.6762389999999998</v>
      </c>
      <c r="E6302">
        <v>0.38239640000000003</v>
      </c>
      <c r="F6302" t="s">
        <v>65</v>
      </c>
      <c r="G6302">
        <v>-280.37909999999999</v>
      </c>
      <c r="H6302" s="1">
        <v>-6.3047419999999999E-6</v>
      </c>
      <c r="I6302">
        <v>-57.859499999999997</v>
      </c>
      <c r="J6302">
        <v>-292.94470000000001</v>
      </c>
      <c r="K6302">
        <v>1.114878</v>
      </c>
      <c r="L6302">
        <v>-53.332340000000002</v>
      </c>
      <c r="M6302">
        <v>0.8082433</v>
      </c>
      <c r="N6302">
        <v>0</v>
      </c>
      <c r="O6302">
        <v>-0.58867530000000001</v>
      </c>
      <c r="P6302">
        <v>0.79750719999999997</v>
      </c>
      <c r="Q6302">
        <v>-3.6585920000000001E-2</v>
      </c>
      <c r="R6302">
        <v>-0.60219889999999998</v>
      </c>
      <c r="S6302">
        <v>2.9515989999999999</v>
      </c>
      <c r="T6302">
        <v>-0.25872979999999901</v>
      </c>
      <c r="U6302">
        <v>-1.073547</v>
      </c>
      <c r="V6302">
        <v>1.7517560000000001E-2</v>
      </c>
      <c r="W6302">
        <v>-2.2100720000000001E-2</v>
      </c>
      <c r="X6302">
        <v>0.99960230000000005</v>
      </c>
      <c r="Y6302">
        <v>-0.27440769999999998</v>
      </c>
      <c r="Z6302">
        <v>5.7692920000000002E-2</v>
      </c>
      <c r="AA6302">
        <v>0.95988119999999999</v>
      </c>
      <c r="AB6302">
        <v>18</v>
      </c>
      <c r="AC6302">
        <v>12.5656</v>
      </c>
      <c r="AD6302">
        <v>-1.1148843047419901</v>
      </c>
      <c r="AE6302">
        <v>-4.5271599999999896</v>
      </c>
      <c r="AF6302">
        <v>-3.7125254267052301</v>
      </c>
      <c r="AG6302">
        <v>-1.1148843047419901</v>
      </c>
      <c r="AH6302">
        <v>12.7336736482382</v>
      </c>
      <c r="AI6302">
        <v>94.804671411159802</v>
      </c>
      <c r="AJ6302">
        <v>106.254138934686</v>
      </c>
      <c r="AK6302">
        <v>13.3106069221779</v>
      </c>
      <c r="AL6302">
        <v>91.266381045619497</v>
      </c>
      <c r="AM6302">
        <v>88.996021189994394</v>
      </c>
      <c r="AN6302">
        <v>1.0000000324490801</v>
      </c>
    </row>
    <row r="6303" spans="1:40" x14ac:dyDescent="0.25">
      <c r="A6303" t="str">
        <f>"20190312155002089"</f>
        <v>20190312155002089</v>
      </c>
      <c r="B6303" t="str">
        <f>"1552377002082395"</f>
        <v>1552377002082395</v>
      </c>
      <c r="C6303" t="s">
        <v>40</v>
      </c>
      <c r="D6303">
        <v>4.6336040000000001</v>
      </c>
      <c r="E6303">
        <v>0.38314680000000001</v>
      </c>
      <c r="F6303" t="s">
        <v>65</v>
      </c>
      <c r="G6303">
        <v>-280.56110000000001</v>
      </c>
      <c r="H6303" s="1">
        <v>-6.2592070000000001E-6</v>
      </c>
      <c r="I6303">
        <v>-57.72278</v>
      </c>
      <c r="J6303">
        <v>-292.8032</v>
      </c>
      <c r="K6303">
        <v>1.1148610000000001</v>
      </c>
      <c r="L6303">
        <v>-53.421779999999998</v>
      </c>
      <c r="M6303">
        <v>0.81365849999999995</v>
      </c>
      <c r="N6303">
        <v>0</v>
      </c>
      <c r="O6303">
        <v>-0.58116780000000001</v>
      </c>
      <c r="P6303">
        <v>0.80342659999999999</v>
      </c>
      <c r="Q6303">
        <v>-3.6176260000000002E-2</v>
      </c>
      <c r="R6303">
        <v>-0.5943041</v>
      </c>
      <c r="S6303">
        <v>2.957703</v>
      </c>
      <c r="T6303">
        <v>-0.2662795</v>
      </c>
      <c r="U6303">
        <v>-1.0486150000000001</v>
      </c>
      <c r="V6303">
        <v>1.6896209999999998E-2</v>
      </c>
      <c r="W6303">
        <v>-2.1703440000000001E-2</v>
      </c>
      <c r="X6303">
        <v>0.99962169999999895</v>
      </c>
      <c r="Y6303">
        <v>-0.27318419999999999</v>
      </c>
      <c r="Z6303">
        <v>5.8804210000000003E-2</v>
      </c>
      <c r="AA6303">
        <v>0.96016279999999998</v>
      </c>
      <c r="AB6303">
        <v>18</v>
      </c>
      <c r="AC6303">
        <v>12.242099999999899</v>
      </c>
      <c r="AD6303">
        <v>-1.1148672592069999</v>
      </c>
      <c r="AE6303">
        <v>-4.3010000000000002</v>
      </c>
      <c r="AF6303">
        <v>-3.58904246981542</v>
      </c>
      <c r="AG6303">
        <v>-1.1148672592069999</v>
      </c>
      <c r="AH6303">
        <v>12.3704400834061</v>
      </c>
      <c r="AI6303">
        <v>94.946861863673206</v>
      </c>
      <c r="AJ6303">
        <v>106.179057981429</v>
      </c>
      <c r="AK6303">
        <v>12.9287254867961</v>
      </c>
      <c r="AL6303">
        <v>91.243613117720997</v>
      </c>
      <c r="AM6303">
        <v>89.031644325475995</v>
      </c>
      <c r="AN6303">
        <v>1.00000003216554</v>
      </c>
    </row>
    <row r="6304" spans="1:40" x14ac:dyDescent="0.25">
      <c r="A6304" t="str">
        <f>"20190312155002111"</f>
        <v>20190312155002111</v>
      </c>
      <c r="B6304" t="str">
        <f>"1552377002101915"</f>
        <v>1552377002101915</v>
      </c>
      <c r="C6304" t="s">
        <v>40</v>
      </c>
      <c r="D6304">
        <v>4.6827569999999996</v>
      </c>
      <c r="E6304">
        <v>0.39379049999999999</v>
      </c>
      <c r="F6304" t="s">
        <v>65</v>
      </c>
      <c r="G6304">
        <v>-280.40629999999999</v>
      </c>
      <c r="H6304" s="1">
        <v>-6.312988E-6</v>
      </c>
      <c r="I6304">
        <v>-57.70523</v>
      </c>
      <c r="J6304">
        <v>-292.65190000000001</v>
      </c>
      <c r="K6304">
        <v>1.114846</v>
      </c>
      <c r="L6304">
        <v>-53.515439999999998</v>
      </c>
      <c r="M6304">
        <v>0.81934010000000002</v>
      </c>
      <c r="N6304">
        <v>0</v>
      </c>
      <c r="O6304">
        <v>-0.57313009999999998</v>
      </c>
      <c r="P6304">
        <v>0.80984009999999995</v>
      </c>
      <c r="Q6304">
        <v>-3.5411730000000002E-2</v>
      </c>
      <c r="R6304">
        <v>-0.58558089999999996</v>
      </c>
      <c r="S6304">
        <v>2.9643549999999999</v>
      </c>
      <c r="T6304">
        <v>-0.26658749999999998</v>
      </c>
      <c r="U6304">
        <v>-1.0242610000000001</v>
      </c>
      <c r="V6304">
        <v>1.5897499999999998E-2</v>
      </c>
      <c r="W6304">
        <v>-2.095607E-2</v>
      </c>
      <c r="X6304">
        <v>0.99965400000000004</v>
      </c>
      <c r="Y6304">
        <v>-0.27144689999999999</v>
      </c>
      <c r="Z6304">
        <v>5.8227199999999903E-2</v>
      </c>
      <c r="AA6304">
        <v>0.96069040000000006</v>
      </c>
      <c r="AB6304">
        <v>18</v>
      </c>
      <c r="AC6304">
        <v>12.2456</v>
      </c>
      <c r="AD6304">
        <v>-1.1148523129879999</v>
      </c>
      <c r="AE6304">
        <v>-4.1897900000000003</v>
      </c>
      <c r="AF6304">
        <v>-3.5594138172977599</v>
      </c>
      <c r="AG6304">
        <v>-1.1148523129879999</v>
      </c>
      <c r="AH6304">
        <v>12.344279513536399</v>
      </c>
      <c r="AI6304">
        <v>94.959578172587499</v>
      </c>
      <c r="AJ6304">
        <v>106.08466281053001</v>
      </c>
      <c r="AK6304">
        <v>12.895485997466601</v>
      </c>
      <c r="AL6304">
        <v>91.200782261490502</v>
      </c>
      <c r="AM6304">
        <v>89.088901880726397</v>
      </c>
      <c r="AN6304">
        <v>1.0000000035460399</v>
      </c>
    </row>
    <row r="6305" spans="1:40" x14ac:dyDescent="0.25">
      <c r="A6305" t="str">
        <f>"20190312155002135"</f>
        <v>20190312155002135</v>
      </c>
      <c r="B6305" t="str">
        <f>"1552377002122411"</f>
        <v>1552377002122411</v>
      </c>
      <c r="C6305" t="s">
        <v>40</v>
      </c>
      <c r="D6305">
        <v>4.6927199999999996</v>
      </c>
      <c r="E6305">
        <v>0.39547149999999998</v>
      </c>
      <c r="F6305" t="s">
        <v>65</v>
      </c>
      <c r="G6305">
        <v>-280.55180000000001</v>
      </c>
      <c r="H6305" s="1">
        <v>-6.242005E-6</v>
      </c>
      <c r="I6305">
        <v>-57.90325</v>
      </c>
      <c r="J6305">
        <v>-292.49540000000002</v>
      </c>
      <c r="K6305">
        <v>1.1148290000000001</v>
      </c>
      <c r="L6305">
        <v>-53.610169999999997</v>
      </c>
      <c r="M6305">
        <v>0.82509059999999901</v>
      </c>
      <c r="N6305">
        <v>0</v>
      </c>
      <c r="O6305">
        <v>-0.56482049999999995</v>
      </c>
      <c r="P6305">
        <v>0.81630389999999997</v>
      </c>
      <c r="Q6305">
        <v>-3.500027E-2</v>
      </c>
      <c r="R6305">
        <v>-0.57656130000000005</v>
      </c>
      <c r="S6305">
        <v>2.9255369999999998</v>
      </c>
      <c r="T6305">
        <v>-0.26954830000000002</v>
      </c>
      <c r="U6305">
        <v>-1.060883</v>
      </c>
      <c r="V6305">
        <v>1.489564E-2</v>
      </c>
      <c r="W6305">
        <v>-2.0562560000000001E-2</v>
      </c>
      <c r="X6305">
        <v>0.99967760000000006</v>
      </c>
      <c r="Y6305">
        <v>-0.24703510000000001</v>
      </c>
      <c r="Z6305">
        <v>5.7763050000000003E-2</v>
      </c>
      <c r="AA6305">
        <v>0.96728340000000002</v>
      </c>
      <c r="AB6305">
        <v>18</v>
      </c>
      <c r="AC6305">
        <v>11.9436</v>
      </c>
      <c r="AD6305">
        <v>-1.1148352420050001</v>
      </c>
      <c r="AE6305">
        <v>-4.2930799999999998</v>
      </c>
      <c r="AF6305">
        <v>-3.1796028015901099</v>
      </c>
      <c r="AG6305">
        <v>-1.1148352420050001</v>
      </c>
      <c r="AH6305">
        <v>12.1865911280389</v>
      </c>
      <c r="AI6305">
        <v>95.058479181651194</v>
      </c>
      <c r="AJ6305">
        <v>104.623040058493</v>
      </c>
      <c r="AK6305">
        <v>12.6438022332957</v>
      </c>
      <c r="AL6305">
        <v>91.178230941934402</v>
      </c>
      <c r="AM6305">
        <v>89.146330625883493</v>
      </c>
      <c r="AN6305">
        <v>1.00000000145326</v>
      </c>
    </row>
    <row r="6306" spans="1:40" x14ac:dyDescent="0.25">
      <c r="A6306" t="str">
        <f>"20190312155002156"</f>
        <v>20190312155002156</v>
      </c>
      <c r="B6306" t="str">
        <f>"1552377002152668"</f>
        <v>1552377002152668</v>
      </c>
      <c r="C6306" t="s">
        <v>40</v>
      </c>
      <c r="D6306">
        <v>4.688771</v>
      </c>
      <c r="E6306">
        <v>0.39683790000000002</v>
      </c>
      <c r="F6306" t="s">
        <v>65</v>
      </c>
      <c r="G6306">
        <v>-280.19349999999997</v>
      </c>
      <c r="H6306" s="1">
        <v>-6.3537849999999998E-6</v>
      </c>
      <c r="I6306">
        <v>-57.976010000000002</v>
      </c>
      <c r="J6306">
        <v>-292.3458</v>
      </c>
      <c r="K6306">
        <v>1.114811</v>
      </c>
      <c r="L6306">
        <v>-53.698700000000002</v>
      </c>
      <c r="M6306">
        <v>0.83046949999999997</v>
      </c>
      <c r="N6306">
        <v>0</v>
      </c>
      <c r="O6306">
        <v>-0.55688149999999903</v>
      </c>
      <c r="P6306">
        <v>0.82241209999999898</v>
      </c>
      <c r="Q6306">
        <v>-3.5164330000000001E-2</v>
      </c>
      <c r="R6306">
        <v>-0.56780469999999905</v>
      </c>
      <c r="S6306">
        <v>2.9293819999999999</v>
      </c>
      <c r="T6306">
        <v>-0.26546930000000002</v>
      </c>
      <c r="U6306">
        <v>-1.039612</v>
      </c>
      <c r="V6306">
        <v>1.3804540000000001E-2</v>
      </c>
      <c r="W6306">
        <v>-2.074606E-2</v>
      </c>
      <c r="X6306">
        <v>0.99968950000000001</v>
      </c>
      <c r="Y6306">
        <v>-0.24448310000000001</v>
      </c>
      <c r="Z6306">
        <v>5.6244830000000003E-2</v>
      </c>
      <c r="AA6306">
        <v>0.96802089999999996</v>
      </c>
      <c r="AB6306">
        <v>18</v>
      </c>
      <c r="AC6306">
        <v>12.1523</v>
      </c>
      <c r="AD6306">
        <v>-1.1148173537849999</v>
      </c>
      <c r="AE6306">
        <v>-4.2773099999999902</v>
      </c>
      <c r="AF6306">
        <v>-3.1916434565576099</v>
      </c>
      <c r="AG6306">
        <v>-1.1148173537849999</v>
      </c>
      <c r="AH6306">
        <v>12.382616659874399</v>
      </c>
      <c r="AI6306">
        <v>94.982528841054005</v>
      </c>
      <c r="AJ6306">
        <v>104.453501733857</v>
      </c>
      <c r="AK6306">
        <v>12.835832697238001</v>
      </c>
      <c r="AL6306">
        <v>91.188746926403596</v>
      </c>
      <c r="AM6306">
        <v>89.208862739256901</v>
      </c>
      <c r="AN6306">
        <v>1.0000000303701899</v>
      </c>
    </row>
    <row r="6307" spans="1:40" x14ac:dyDescent="0.25">
      <c r="A6307" t="str">
        <f>"20190312155002179"</f>
        <v>20190312155002179</v>
      </c>
      <c r="B6307" t="str">
        <f>"1552377002172186"</f>
        <v>1552377002172186</v>
      </c>
      <c r="C6307" t="s">
        <v>40</v>
      </c>
      <c r="D6307">
        <v>4.6866159999999999</v>
      </c>
      <c r="E6307">
        <v>0.39793099999999998</v>
      </c>
      <c r="F6307" t="s">
        <v>65</v>
      </c>
      <c r="G6307">
        <v>-279.96480000000003</v>
      </c>
      <c r="H6307" s="1">
        <v>-6.4285959999999996E-6</v>
      </c>
      <c r="I6307">
        <v>-57.991549999999997</v>
      </c>
      <c r="J6307">
        <v>-292.18900000000002</v>
      </c>
      <c r="K6307">
        <v>1.1147860000000001</v>
      </c>
      <c r="L6307">
        <v>-53.789520000000003</v>
      </c>
      <c r="M6307">
        <v>0.83598479999999997</v>
      </c>
      <c r="N6307">
        <v>0</v>
      </c>
      <c r="O6307">
        <v>-0.54856759999999904</v>
      </c>
      <c r="P6307">
        <v>0.8285401</v>
      </c>
      <c r="Q6307">
        <v>-3.5137559999999998E-2</v>
      </c>
      <c r="R6307">
        <v>-0.5588265</v>
      </c>
      <c r="S6307">
        <v>2.934113</v>
      </c>
      <c r="T6307">
        <v>-0.26419340000000002</v>
      </c>
      <c r="U6307">
        <v>-1.017334</v>
      </c>
      <c r="V6307">
        <v>1.290465E-2</v>
      </c>
      <c r="W6307">
        <v>-2.0737619999999998E-2</v>
      </c>
      <c r="X6307">
        <v>0.99970170000000003</v>
      </c>
      <c r="Y6307">
        <v>-0.24190239999999999</v>
      </c>
      <c r="Z6307">
        <v>5.5285140000000003E-2</v>
      </c>
      <c r="AA6307">
        <v>0.96872429999999998</v>
      </c>
      <c r="AB6307">
        <v>18</v>
      </c>
      <c r="AC6307">
        <v>12.2241999999999</v>
      </c>
      <c r="AD6307">
        <v>-1.114792428596</v>
      </c>
      <c r="AE6307">
        <v>-4.2020299999999997</v>
      </c>
      <c r="AF6307">
        <v>-3.1697153883931399</v>
      </c>
      <c r="AG6307">
        <v>-1.114792428596</v>
      </c>
      <c r="AH6307">
        <v>12.433139565365501</v>
      </c>
      <c r="AI6307">
        <v>94.965612620326397</v>
      </c>
      <c r="AJ6307">
        <v>104.302370623532</v>
      </c>
      <c r="AK6307">
        <v>12.879162133234001</v>
      </c>
      <c r="AL6307">
        <v>91.188263241753205</v>
      </c>
      <c r="AM6307">
        <v>89.260438471186006</v>
      </c>
      <c r="AN6307">
        <v>1.0000000339288799</v>
      </c>
    </row>
    <row r="6308" spans="1:40" x14ac:dyDescent="0.25">
      <c r="A6308" t="str">
        <f>"20190312155002201"</f>
        <v>20190312155002201</v>
      </c>
      <c r="B6308" t="str">
        <f>"1552377002192682"</f>
        <v>1552377002192682</v>
      </c>
      <c r="C6308" t="s">
        <v>40</v>
      </c>
      <c r="D6308">
        <v>4.605499</v>
      </c>
      <c r="E6308">
        <v>0.39816479999999999</v>
      </c>
      <c r="F6308" t="s">
        <v>42</v>
      </c>
      <c r="G6308">
        <v>-279.72559999999999</v>
      </c>
      <c r="H6308" s="1">
        <v>-3.8538609999999996E-6</v>
      </c>
      <c r="I6308">
        <v>-57.998649999999998</v>
      </c>
      <c r="J6308">
        <v>-292.03699999999998</v>
      </c>
      <c r="K6308">
        <v>1.1147549999999999</v>
      </c>
      <c r="L6308">
        <v>-53.8756699999999</v>
      </c>
      <c r="M6308">
        <v>0.84120830000000002</v>
      </c>
      <c r="N6308">
        <v>0</v>
      </c>
      <c r="O6308">
        <v>-0.54052359999999999</v>
      </c>
      <c r="P6308">
        <v>0.834001199999999</v>
      </c>
      <c r="Q6308">
        <v>-3.4404490000000003E-2</v>
      </c>
      <c r="R6308">
        <v>-0.55068909999999904</v>
      </c>
      <c r="S6308">
        <v>2.939972</v>
      </c>
      <c r="T6308">
        <v>-0.26296700000000001</v>
      </c>
      <c r="U6308">
        <v>-0.99288940000000003</v>
      </c>
      <c r="V6308">
        <v>1.268127E-2</v>
      </c>
      <c r="W6308">
        <v>-2.0015870000000002E-2</v>
      </c>
      <c r="X6308">
        <v>0.99971929999999998</v>
      </c>
      <c r="Y6308">
        <v>-0.24045730000000001</v>
      </c>
      <c r="Z6308">
        <v>5.4392429999999999E-2</v>
      </c>
      <c r="AA6308">
        <v>0.96913459999999996</v>
      </c>
      <c r="AB6308">
        <v>18</v>
      </c>
      <c r="AC6308">
        <v>12.311400000000001</v>
      </c>
      <c r="AD6308">
        <v>-1.114758853861</v>
      </c>
      <c r="AE6308">
        <v>-4.1229800000000001</v>
      </c>
      <c r="AF6308">
        <v>-3.1633205856598301</v>
      </c>
      <c r="AG6308">
        <v>-1.114758853861</v>
      </c>
      <c r="AH6308">
        <v>12.4941897595443</v>
      </c>
      <c r="AI6308">
        <v>94.943384351351099</v>
      </c>
      <c r="AJ6308">
        <v>104.20777701462301</v>
      </c>
      <c r="AK6308">
        <v>12.936539806974</v>
      </c>
      <c r="AL6308">
        <v>91.146901390793801</v>
      </c>
      <c r="AM6308">
        <v>89.273251718404794</v>
      </c>
      <c r="AN6308">
        <v>1.0000000642265701</v>
      </c>
    </row>
    <row r="6309" spans="1:40" x14ac:dyDescent="0.25">
      <c r="A6309" t="str">
        <f>"20190312155002224"</f>
        <v>20190312155002224</v>
      </c>
      <c r="B6309" t="str">
        <f>"1552377002212203"</f>
        <v>1552377002212203</v>
      </c>
      <c r="C6309" t="s">
        <v>40</v>
      </c>
      <c r="D6309">
        <v>4.6507430000000003</v>
      </c>
      <c r="E6309">
        <v>0.39828370000000002</v>
      </c>
      <c r="F6309" t="s">
        <v>42</v>
      </c>
      <c r="G6309">
        <v>-279.43860000000001</v>
      </c>
      <c r="H6309" s="1">
        <v>-3.7300860000000001E-6</v>
      </c>
      <c r="I6309">
        <v>-58.0015</v>
      </c>
      <c r="J6309">
        <v>-291.87729999999999</v>
      </c>
      <c r="K6309">
        <v>1.114714</v>
      </c>
      <c r="L6309">
        <v>-53.964170000000003</v>
      </c>
      <c r="M6309">
        <v>0.84655740000000002</v>
      </c>
      <c r="N6309">
        <v>0</v>
      </c>
      <c r="O6309">
        <v>-0.53210709999999894</v>
      </c>
      <c r="P6309">
        <v>0.83945740000000002</v>
      </c>
      <c r="Q6309">
        <v>-3.3851739999999998E-2</v>
      </c>
      <c r="R6309">
        <v>-0.54237060000000004</v>
      </c>
      <c r="S6309">
        <v>2.9487000000000001</v>
      </c>
      <c r="T6309">
        <v>-0.26091399999999998</v>
      </c>
      <c r="U6309">
        <v>-0.96566770000000002</v>
      </c>
      <c r="V6309">
        <v>1.269229E-2</v>
      </c>
      <c r="W6309">
        <v>-1.9473850000000001E-2</v>
      </c>
      <c r="X6309">
        <v>0.9997298</v>
      </c>
      <c r="Y6309">
        <v>-0.23977499999999999</v>
      </c>
      <c r="Z6309">
        <v>5.3298850000000002E-2</v>
      </c>
      <c r="AA6309">
        <v>0.96936429999999996</v>
      </c>
      <c r="AB6309">
        <v>18</v>
      </c>
      <c r="AC6309">
        <v>12.4386999999999</v>
      </c>
      <c r="AD6309">
        <v>-1.1147177300860001</v>
      </c>
      <c r="AE6309">
        <v>-4.0373299999999999</v>
      </c>
      <c r="AF6309">
        <v>-3.1781219046296201</v>
      </c>
      <c r="AG6309">
        <v>-1.1147177300860001</v>
      </c>
      <c r="AH6309">
        <v>12.5881875673438</v>
      </c>
      <c r="AI6309">
        <v>94.9073015090068</v>
      </c>
      <c r="AJ6309">
        <v>104.169285490902</v>
      </c>
      <c r="AK6309">
        <v>13.030944735094399</v>
      </c>
      <c r="AL6309">
        <v>91.115839951347894</v>
      </c>
      <c r="AM6309">
        <v>89.272627882057606</v>
      </c>
      <c r="AN6309">
        <v>0.999999999033653</v>
      </c>
    </row>
    <row r="6310" spans="1:40" x14ac:dyDescent="0.25">
      <c r="A6310" t="str">
        <f>"20190312155002247"</f>
        <v>20190312155002247</v>
      </c>
      <c r="B6310" t="str">
        <f>"1552377002242459"</f>
        <v>1552377002242459</v>
      </c>
      <c r="C6310" t="s">
        <v>40</v>
      </c>
      <c r="D6310">
        <v>4.5572710000000001</v>
      </c>
      <c r="E6310">
        <v>0.39944550000000001</v>
      </c>
      <c r="F6310" t="s">
        <v>42</v>
      </c>
      <c r="G6310">
        <v>-279.42759999999998</v>
      </c>
      <c r="H6310" s="1">
        <v>-3.7458120000000001E-6</v>
      </c>
      <c r="I6310">
        <v>-57.908969999999997</v>
      </c>
      <c r="J6310">
        <v>-291.7199</v>
      </c>
      <c r="K6310">
        <v>1.1146659999999999</v>
      </c>
      <c r="L6310">
        <v>-54.049320000000002</v>
      </c>
      <c r="M6310">
        <v>0.85168729999999904</v>
      </c>
      <c r="N6310">
        <v>0</v>
      </c>
      <c r="O6310">
        <v>-0.52385709999999996</v>
      </c>
      <c r="P6310">
        <v>0.84491399999999905</v>
      </c>
      <c r="Q6310">
        <v>-3.3237179999999998E-2</v>
      </c>
      <c r="R6310">
        <v>-0.53386869999999997</v>
      </c>
      <c r="S6310">
        <v>2.9575809999999998</v>
      </c>
      <c r="T6310">
        <v>-0.26481440000000001</v>
      </c>
      <c r="U6310">
        <v>-0.93713380000000002</v>
      </c>
      <c r="V6310">
        <v>1.2291379999999999E-2</v>
      </c>
      <c r="W6310">
        <v>-1.8876150000000001E-2</v>
      </c>
      <c r="X6310">
        <v>0.99974629999999998</v>
      </c>
      <c r="Y6310">
        <v>-0.23963490000000001</v>
      </c>
      <c r="Z6310">
        <v>5.3443299999999999E-2</v>
      </c>
      <c r="AA6310">
        <v>0.969391</v>
      </c>
      <c r="AB6310">
        <v>18</v>
      </c>
      <c r="AC6310">
        <v>12.292299999999999</v>
      </c>
      <c r="AD6310">
        <v>-1.1146697458119901</v>
      </c>
      <c r="AE6310">
        <v>-3.8596499999999998</v>
      </c>
      <c r="AF6310">
        <v>-3.12909172586025</v>
      </c>
      <c r="AG6310">
        <v>-1.1146697458119901</v>
      </c>
      <c r="AH6310">
        <v>12.3995552039749</v>
      </c>
      <c r="AI6310">
        <v>94.981502643701802</v>
      </c>
      <c r="AJ6310">
        <v>104.16317590777901</v>
      </c>
      <c r="AK6310">
        <v>12.836770346450001</v>
      </c>
      <c r="AL6310">
        <v>91.081587937055801</v>
      </c>
      <c r="AM6310">
        <v>89.295612578577405</v>
      </c>
      <c r="AN6310">
        <v>1.0000000257124</v>
      </c>
    </row>
    <row r="6311" spans="1:40" x14ac:dyDescent="0.25">
      <c r="A6311" t="str">
        <f>"20190312155002270"</f>
        <v>20190312155002270</v>
      </c>
      <c r="B6311" t="str">
        <f>"1552377002261978"</f>
        <v>1552377002261978</v>
      </c>
      <c r="C6311" t="s">
        <v>40</v>
      </c>
      <c r="D6311">
        <v>4.5521289999999999</v>
      </c>
      <c r="E6311">
        <v>0.40017209999999998</v>
      </c>
      <c r="F6311" t="s">
        <v>42</v>
      </c>
      <c r="G6311">
        <v>-278.90910000000002</v>
      </c>
      <c r="H6311" s="1">
        <v>-3.5014449999999998E-6</v>
      </c>
      <c r="I6311">
        <v>-58.008200000000002</v>
      </c>
      <c r="J6311">
        <v>-291.56079999999997</v>
      </c>
      <c r="K6311">
        <v>1.1146119999999999</v>
      </c>
      <c r="L6311">
        <v>-54.133479999999999</v>
      </c>
      <c r="M6311">
        <v>0.8567283</v>
      </c>
      <c r="N6311">
        <v>0</v>
      </c>
      <c r="O6311">
        <v>-0.51557219999999904</v>
      </c>
      <c r="P6311">
        <v>0.85017169999999898</v>
      </c>
      <c r="Q6311">
        <v>-3.2763920000000002E-2</v>
      </c>
      <c r="R6311">
        <v>-0.52548530000000004</v>
      </c>
      <c r="S6311">
        <v>2.9621279999999999</v>
      </c>
      <c r="T6311">
        <v>-0.25773439999999997</v>
      </c>
      <c r="U6311">
        <v>-0.91537480000000004</v>
      </c>
      <c r="V6311">
        <v>1.208184E-2</v>
      </c>
      <c r="W6311">
        <v>-1.8419689999999999E-2</v>
      </c>
      <c r="X6311">
        <v>0.99975729999999996</v>
      </c>
      <c r="Y6311">
        <v>-0.2372985</v>
      </c>
      <c r="Z6311">
        <v>5.1333740000000003E-2</v>
      </c>
      <c r="AA6311">
        <v>0.97007949999999998</v>
      </c>
      <c r="AB6311">
        <v>18</v>
      </c>
      <c r="AC6311">
        <v>12.6516999999999</v>
      </c>
      <c r="AD6311">
        <v>-1.1146155014450001</v>
      </c>
      <c r="AE6311">
        <v>-3.8747199999999902</v>
      </c>
      <c r="AF6311">
        <v>-3.1810332414773801</v>
      </c>
      <c r="AG6311">
        <v>-1.1146155014450001</v>
      </c>
      <c r="AH6311">
        <v>12.747606038096601</v>
      </c>
      <c r="AI6311">
        <v>94.849120299634293</v>
      </c>
      <c r="AJ6311">
        <v>104.011416595085</v>
      </c>
      <c r="AK6311">
        <v>13.185704376405599</v>
      </c>
      <c r="AL6311">
        <v>91.055430229609996</v>
      </c>
      <c r="AM6311">
        <v>89.307627215988703</v>
      </c>
      <c r="AN6311">
        <v>0.99999995737038405</v>
      </c>
    </row>
    <row r="6312" spans="1:40" x14ac:dyDescent="0.25">
      <c r="A6312" t="str">
        <f>"20190312155002291"</f>
        <v>20190312155002291</v>
      </c>
      <c r="B6312" t="str">
        <f>"1552377002282475"</f>
        <v>1552377002282475</v>
      </c>
      <c r="C6312" t="s">
        <v>40</v>
      </c>
      <c r="D6312">
        <v>4.5888819999999999</v>
      </c>
      <c r="E6312">
        <v>0.40077410000000002</v>
      </c>
      <c r="F6312" t="s">
        <v>42</v>
      </c>
      <c r="G6312">
        <v>-278.55939999999998</v>
      </c>
      <c r="H6312" s="1">
        <v>-3.3448289999999999E-6</v>
      </c>
      <c r="I6312">
        <v>-58.038029999999999</v>
      </c>
      <c r="J6312">
        <v>-291.41140000000001</v>
      </c>
      <c r="K6312">
        <v>1.114557</v>
      </c>
      <c r="L6312">
        <v>-54.210850000000001</v>
      </c>
      <c r="M6312">
        <v>0.86133939999999998</v>
      </c>
      <c r="N6312">
        <v>0</v>
      </c>
      <c r="O6312">
        <v>-0.50783129999999999</v>
      </c>
      <c r="P6312">
        <v>0.85480730000000005</v>
      </c>
      <c r="Q6312">
        <v>-3.2488759999999998E-2</v>
      </c>
      <c r="R6312">
        <v>-0.5179279</v>
      </c>
      <c r="S6312">
        <v>2.9679570000000002</v>
      </c>
      <c r="T6312">
        <v>-0.25444299999999997</v>
      </c>
      <c r="U6312">
        <v>-0.89132690000000003</v>
      </c>
      <c r="V6312">
        <v>1.221704E-2</v>
      </c>
      <c r="W6312">
        <v>-1.8157320000000001E-2</v>
      </c>
      <c r="X6312">
        <v>0.99976050000000005</v>
      </c>
      <c r="Y6312">
        <v>-0.23636289999999999</v>
      </c>
      <c r="Z6312">
        <v>5.0081340000000002E-2</v>
      </c>
      <c r="AA6312">
        <v>0.97037329999999999</v>
      </c>
      <c r="AB6312">
        <v>18</v>
      </c>
      <c r="AC6312">
        <v>12.852</v>
      </c>
      <c r="AD6312">
        <v>-1.114560344829</v>
      </c>
      <c r="AE6312">
        <v>-3.8271799999999998</v>
      </c>
      <c r="AF6312">
        <v>-3.2083092171488499</v>
      </c>
      <c r="AG6312">
        <v>-1.114560344829</v>
      </c>
      <c r="AH6312">
        <v>12.9255167476905</v>
      </c>
      <c r="AI6312">
        <v>94.783929593204206</v>
      </c>
      <c r="AJ6312">
        <v>103.939954879252</v>
      </c>
      <c r="AK6312">
        <v>13.3642985595928</v>
      </c>
      <c r="AL6312">
        <v>91.040394975396893</v>
      </c>
      <c r="AM6312">
        <v>89.299882330902506</v>
      </c>
      <c r="AN6312">
        <v>1.00000000084809</v>
      </c>
    </row>
    <row r="6313" spans="1:40" x14ac:dyDescent="0.25">
      <c r="A6313" t="str">
        <f>"20190312155002313"</f>
        <v>20190312155002313</v>
      </c>
      <c r="B6313" t="str">
        <f>"1552377002301995"</f>
        <v>1552377002301995</v>
      </c>
      <c r="C6313" t="s">
        <v>40</v>
      </c>
      <c r="D6313">
        <v>4.4466559999999999</v>
      </c>
      <c r="E6313">
        <v>0.40144619999999998</v>
      </c>
      <c r="F6313" t="s">
        <v>42</v>
      </c>
      <c r="G6313">
        <v>-278.26749999999998</v>
      </c>
      <c r="H6313" s="1">
        <v>-3.2163379999999998E-6</v>
      </c>
      <c r="I6313">
        <v>-58.052770000000002</v>
      </c>
      <c r="J6313">
        <v>-291.2543</v>
      </c>
      <c r="K6313">
        <v>1.114506</v>
      </c>
      <c r="L6313">
        <v>-54.290439999999997</v>
      </c>
      <c r="M6313">
        <v>0.8660544</v>
      </c>
      <c r="N6313">
        <v>0</v>
      </c>
      <c r="O6313">
        <v>-0.49974849999999998</v>
      </c>
      <c r="P6313">
        <v>0.85953630000000003</v>
      </c>
      <c r="Q6313">
        <v>-3.2501179999999998E-2</v>
      </c>
      <c r="R6313">
        <v>-0.51004039999999995</v>
      </c>
      <c r="S6313">
        <v>2.9733890000000001</v>
      </c>
      <c r="T6313">
        <v>-0.25213279999999999</v>
      </c>
      <c r="U6313">
        <v>-0.8691101</v>
      </c>
      <c r="V6313">
        <v>1.237181E-2</v>
      </c>
      <c r="W6313">
        <v>-1.8183589999999999E-2</v>
      </c>
      <c r="X6313">
        <v>0.99975809999999998</v>
      </c>
      <c r="Y6313">
        <v>-0.23449610000000001</v>
      </c>
      <c r="Z6313">
        <v>4.8967240000000002E-2</v>
      </c>
      <c r="AA6313">
        <v>0.97088300000000005</v>
      </c>
      <c r="AB6313">
        <v>18</v>
      </c>
      <c r="AC6313">
        <v>12.986800000000001</v>
      </c>
      <c r="AD6313">
        <v>-1.1145092163379999</v>
      </c>
      <c r="AE6313">
        <v>-3.7623299999999902</v>
      </c>
      <c r="AF6313">
        <v>-3.2102641680665198</v>
      </c>
      <c r="AG6313">
        <v>-1.1145092163379999</v>
      </c>
      <c r="AH6313">
        <v>13.0402122477189</v>
      </c>
      <c r="AI6313">
        <v>94.744064982246798</v>
      </c>
      <c r="AJ6313">
        <v>103.830166253942</v>
      </c>
      <c r="AK6313">
        <v>13.475721215861901</v>
      </c>
      <c r="AL6313">
        <v>91.041900404147199</v>
      </c>
      <c r="AM6313">
        <v>89.291012178139397</v>
      </c>
      <c r="AN6313">
        <v>0.99999998157178605</v>
      </c>
    </row>
    <row r="6314" spans="1:40" x14ac:dyDescent="0.25">
      <c r="A6314" t="str">
        <f>"20190312155002337"</f>
        <v>20190312155002337</v>
      </c>
      <c r="B6314" t="str">
        <f>"1552377002332251"</f>
        <v>1552377002332251</v>
      </c>
      <c r="C6314" t="s">
        <v>40</v>
      </c>
      <c r="D6314">
        <v>4.575361</v>
      </c>
      <c r="E6314">
        <v>0.40234199999999998</v>
      </c>
      <c r="F6314" t="s">
        <v>42</v>
      </c>
      <c r="G6314">
        <v>-277.73849999999999</v>
      </c>
      <c r="H6314" s="1">
        <v>-2.9718990000000001E-6</v>
      </c>
      <c r="I6314">
        <v>-58.131950000000003</v>
      </c>
      <c r="J6314">
        <v>-291.0874</v>
      </c>
      <c r="K6314">
        <v>1.114447</v>
      </c>
      <c r="L6314">
        <v>-54.373139999999999</v>
      </c>
      <c r="M6314">
        <v>0.87091369999999901</v>
      </c>
      <c r="N6314">
        <v>0</v>
      </c>
      <c r="O6314">
        <v>-0.49123129999999998</v>
      </c>
      <c r="P6314">
        <v>0.86435200000000001</v>
      </c>
      <c r="Q6314">
        <v>-3.2216210000000002E-2</v>
      </c>
      <c r="R6314">
        <v>-0.50185409999999997</v>
      </c>
      <c r="S6314">
        <v>2.9786069999999998</v>
      </c>
      <c r="T6314">
        <v>-0.24561450000000001</v>
      </c>
      <c r="U6314">
        <v>-0.84658809999999995</v>
      </c>
      <c r="V6314">
        <v>1.267046E-2</v>
      </c>
      <c r="W6314">
        <v>-1.7912649999999999E-2</v>
      </c>
      <c r="X6314">
        <v>0.99975930000000002</v>
      </c>
      <c r="Y6314">
        <v>-0.2323443</v>
      </c>
      <c r="Z6314">
        <v>4.7019270000000002E-2</v>
      </c>
      <c r="AA6314">
        <v>0.97149640000000004</v>
      </c>
      <c r="AB6314">
        <v>18</v>
      </c>
      <c r="AC6314">
        <v>13.3489</v>
      </c>
      <c r="AD6314">
        <v>-1.114449971899</v>
      </c>
      <c r="AE6314">
        <v>-3.75881</v>
      </c>
      <c r="AF6314">
        <v>-3.26305611633388</v>
      </c>
      <c r="AG6314">
        <v>-1.114449971899</v>
      </c>
      <c r="AH6314">
        <v>13.3870873525631</v>
      </c>
      <c r="AI6314">
        <v>94.624026058612202</v>
      </c>
      <c r="AJ6314">
        <v>103.698529451049</v>
      </c>
      <c r="AK6314">
        <v>13.8240240792385</v>
      </c>
      <c r="AL6314">
        <v>91.0263741058954</v>
      </c>
      <c r="AM6314">
        <v>89.273900209136201</v>
      </c>
      <c r="AN6314">
        <v>1.00000003076156</v>
      </c>
    </row>
    <row r="6315" spans="1:40" x14ac:dyDescent="0.25">
      <c r="A6315" t="str">
        <f>"20190312155002358"</f>
        <v>20190312155002358</v>
      </c>
      <c r="B6315" t="str">
        <f>"1552377002351771"</f>
        <v>1552377002351771</v>
      </c>
      <c r="C6315" t="s">
        <v>40</v>
      </c>
      <c r="D6315">
        <v>4.6538659999999998</v>
      </c>
      <c r="E6315">
        <v>0.40246579999999998</v>
      </c>
      <c r="F6315" t="s">
        <v>42</v>
      </c>
      <c r="G6315">
        <v>-277.0052</v>
      </c>
      <c r="H6315" s="1">
        <v>-2.627483E-6</v>
      </c>
      <c r="I6315">
        <v>-58.267060000000001</v>
      </c>
      <c r="J6315">
        <v>-290.93329999999997</v>
      </c>
      <c r="K6315">
        <v>1.1143809999999901</v>
      </c>
      <c r="L6315">
        <v>-54.447780000000002</v>
      </c>
      <c r="M6315">
        <v>0.8752607</v>
      </c>
      <c r="N6315">
        <v>0</v>
      </c>
      <c r="O6315">
        <v>-0.48344429999999999</v>
      </c>
      <c r="P6315">
        <v>0.86865119999999896</v>
      </c>
      <c r="Q6315">
        <v>-3.1711719999999999E-2</v>
      </c>
      <c r="R6315">
        <v>-0.49440840000000003</v>
      </c>
      <c r="S6315">
        <v>2.983063</v>
      </c>
      <c r="T6315">
        <v>-0.2360767</v>
      </c>
      <c r="U6315">
        <v>-0.82485959999999903</v>
      </c>
      <c r="V6315">
        <v>1.297942E-2</v>
      </c>
      <c r="W6315">
        <v>-1.7422420000000001E-2</v>
      </c>
      <c r="X6315">
        <v>0.99976399999999999</v>
      </c>
      <c r="Y6315">
        <v>-0.23079659999999999</v>
      </c>
      <c r="Z6315">
        <v>4.4615160000000001E-2</v>
      </c>
      <c r="AA6315">
        <v>0.97197860000000003</v>
      </c>
      <c r="AB6315">
        <v>18</v>
      </c>
      <c r="AC6315">
        <v>13.928099999999899</v>
      </c>
      <c r="AD6315">
        <v>-1.1143836274829999</v>
      </c>
      <c r="AE6315">
        <v>-3.8192799999999898</v>
      </c>
      <c r="AF6315">
        <v>-3.3708648332289699</v>
      </c>
      <c r="AG6315">
        <v>-1.1143836274829999</v>
      </c>
      <c r="AH6315">
        <v>13.955444977687</v>
      </c>
      <c r="AI6315">
        <v>94.438439756992693</v>
      </c>
      <c r="AJ6315">
        <v>103.579392579676</v>
      </c>
      <c r="AK6315">
        <v>14.399966149902999</v>
      </c>
      <c r="AL6315">
        <v>90.998281611607098</v>
      </c>
      <c r="AM6315">
        <v>89.256200252873995</v>
      </c>
      <c r="AN6315">
        <v>1.00000003087909</v>
      </c>
    </row>
    <row r="6316" spans="1:40" x14ac:dyDescent="0.25">
      <c r="A6316" t="str">
        <f>"20190312155002381"</f>
        <v>20190312155002381</v>
      </c>
      <c r="B6316" t="str">
        <f>"1552377002372267"</f>
        <v>1552377002372267</v>
      </c>
      <c r="C6316" t="s">
        <v>40</v>
      </c>
      <c r="D6316">
        <v>4.4937990000000001</v>
      </c>
      <c r="E6316">
        <v>0.40250809999999998</v>
      </c>
      <c r="F6316" t="s">
        <v>42</v>
      </c>
      <c r="G6316">
        <v>-276.57369999999997</v>
      </c>
      <c r="H6316" s="1">
        <v>-2.4369910000000001E-6</v>
      </c>
      <c r="I6316">
        <v>-58.291310000000003</v>
      </c>
      <c r="J6316">
        <v>-290.77780000000001</v>
      </c>
      <c r="K6316">
        <v>1.114312</v>
      </c>
      <c r="L6316">
        <v>-54.521610000000003</v>
      </c>
      <c r="M6316">
        <v>0.87951360000000001</v>
      </c>
      <c r="N6316">
        <v>0</v>
      </c>
      <c r="O6316">
        <v>-0.47566370000000002</v>
      </c>
      <c r="P6316">
        <v>0.87271089999999996</v>
      </c>
      <c r="Q6316">
        <v>-3.1166550000000001E-2</v>
      </c>
      <c r="R6316">
        <v>-0.4872417</v>
      </c>
      <c r="S6316">
        <v>2.989716</v>
      </c>
      <c r="T6316">
        <v>-0.23201759999999999</v>
      </c>
      <c r="U6316">
        <v>-0.8002319</v>
      </c>
      <c r="V6316">
        <v>1.35977999999999E-2</v>
      </c>
      <c r="W6316">
        <v>-1.6890849999999999E-2</v>
      </c>
      <c r="X6316">
        <v>0.99976489999999996</v>
      </c>
      <c r="Y6316">
        <v>-0.23026869999999999</v>
      </c>
      <c r="Z6316">
        <v>4.328833E-2</v>
      </c>
      <c r="AA6316">
        <v>0.97216380000000002</v>
      </c>
      <c r="AB6316">
        <v>18</v>
      </c>
      <c r="AC6316">
        <v>14.2041</v>
      </c>
      <c r="AD6316">
        <v>-1.1143144369910001</v>
      </c>
      <c r="AE6316">
        <v>-3.7696999999999998</v>
      </c>
      <c r="AF6316">
        <v>-3.4215441907535999</v>
      </c>
      <c r="AG6316">
        <v>-1.1143144369910001</v>
      </c>
      <c r="AH6316">
        <v>14.205561981432</v>
      </c>
      <c r="AI6316">
        <v>94.361005196596693</v>
      </c>
      <c r="AJ6316">
        <v>103.542286453568</v>
      </c>
      <c r="AK6316">
        <v>14.654236674834801</v>
      </c>
      <c r="AL6316">
        <v>90.967820413879494</v>
      </c>
      <c r="AM6316">
        <v>89.220768287576306</v>
      </c>
      <c r="AN6316">
        <v>1.0000000281252801</v>
      </c>
    </row>
    <row r="6317" spans="1:40" x14ac:dyDescent="0.25">
      <c r="A6317" t="str">
        <f>"20190312155002403"</f>
        <v>20190312155002403</v>
      </c>
      <c r="B6317" t="str">
        <f>"1552377002391787"</f>
        <v>1552377002391787</v>
      </c>
      <c r="C6317" t="s">
        <v>40</v>
      </c>
      <c r="D6317">
        <v>4.4366099999999999</v>
      </c>
      <c r="E6317">
        <v>0.40262170000000003</v>
      </c>
      <c r="F6317" t="s">
        <v>42</v>
      </c>
      <c r="G6317">
        <v>-276.10140000000001</v>
      </c>
      <c r="H6317" s="1">
        <v>-2.2273389999999999E-6</v>
      </c>
      <c r="I6317">
        <v>-58.323090000000001</v>
      </c>
      <c r="J6317">
        <v>-290.61720000000003</v>
      </c>
      <c r="K6317">
        <v>1.1142399999999999</v>
      </c>
      <c r="L6317">
        <v>-54.596249999999998</v>
      </c>
      <c r="M6317">
        <v>0.88376259999999995</v>
      </c>
      <c r="N6317">
        <v>0</v>
      </c>
      <c r="O6317">
        <v>-0.4677229</v>
      </c>
      <c r="P6317">
        <v>0.87673140000000005</v>
      </c>
      <c r="Q6317">
        <v>-3.0112980000000001E-2</v>
      </c>
      <c r="R6317">
        <v>-0.4800373</v>
      </c>
      <c r="S6317">
        <v>2.9961549999999999</v>
      </c>
      <c r="T6317">
        <v>-0.22748460000000001</v>
      </c>
      <c r="U6317">
        <v>-0.77606200000000003</v>
      </c>
      <c r="V6317">
        <v>1.433659E-2</v>
      </c>
      <c r="W6317">
        <v>-1.5852519999999998E-2</v>
      </c>
      <c r="X6317">
        <v>0.99977150000000004</v>
      </c>
      <c r="Y6317">
        <v>-0.22945550000000001</v>
      </c>
      <c r="Z6317">
        <v>4.1870709999999998E-2</v>
      </c>
      <c r="AA6317">
        <v>0.97241809999999995</v>
      </c>
      <c r="AB6317">
        <v>18</v>
      </c>
      <c r="AC6317">
        <v>14.5158</v>
      </c>
      <c r="AD6317">
        <v>-1.11424222733899</v>
      </c>
      <c r="AE6317">
        <v>-3.7268400000000002</v>
      </c>
      <c r="AF6317">
        <v>-3.4768586206432901</v>
      </c>
      <c r="AG6317">
        <v>-1.11424222733899</v>
      </c>
      <c r="AH6317">
        <v>14.492984748471001</v>
      </c>
      <c r="AI6317">
        <v>94.275495443461907</v>
      </c>
      <c r="AJ6317">
        <v>103.490284151938</v>
      </c>
      <c r="AK6317">
        <v>14.9457916661695</v>
      </c>
      <c r="AL6317">
        <v>90.908320586074296</v>
      </c>
      <c r="AM6317">
        <v>89.178442471318704</v>
      </c>
      <c r="AN6317">
        <v>0.99999994620771204</v>
      </c>
    </row>
    <row r="6318" spans="1:40" x14ac:dyDescent="0.25">
      <c r="A6318" t="str">
        <f>"20190312155002424"</f>
        <v>20190312155002424</v>
      </c>
      <c r="B6318" t="str">
        <f>"1552377002422044"</f>
        <v>1552377002422044</v>
      </c>
      <c r="C6318" t="s">
        <v>40</v>
      </c>
      <c r="D6318">
        <v>4.4847479999999997</v>
      </c>
      <c r="E6318">
        <v>0.4030319</v>
      </c>
      <c r="F6318" t="s">
        <v>42</v>
      </c>
      <c r="G6318">
        <v>-275.44709999999998</v>
      </c>
      <c r="H6318" s="1">
        <v>-1.930109E-6</v>
      </c>
      <c r="I6318">
        <v>-58.397950000000002</v>
      </c>
      <c r="J6318">
        <v>-290.45929999999998</v>
      </c>
      <c r="K6318">
        <v>1.11415</v>
      </c>
      <c r="L6318">
        <v>-54.668059999999997</v>
      </c>
      <c r="M6318">
        <v>0.88779529999999995</v>
      </c>
      <c r="N6318">
        <v>0</v>
      </c>
      <c r="O6318">
        <v>-0.46002290000000001</v>
      </c>
      <c r="P6318">
        <v>0.88088979999999995</v>
      </c>
      <c r="Q6318">
        <v>-2.8154780000000001E-2</v>
      </c>
      <c r="R6318">
        <v>-0.4724836</v>
      </c>
      <c r="S6318">
        <v>3.0022579999999999</v>
      </c>
      <c r="T6318">
        <v>-0.22051580000000001</v>
      </c>
      <c r="U6318">
        <v>-0.75238039999999995</v>
      </c>
      <c r="V6318">
        <v>1.438116E-2</v>
      </c>
      <c r="W6318">
        <v>-1.391745E-2</v>
      </c>
      <c r="X6318">
        <v>0.99979969999999996</v>
      </c>
      <c r="Y6318">
        <v>-0.22880539999999999</v>
      </c>
      <c r="Z6318">
        <v>4.0055350000000003E-2</v>
      </c>
      <c r="AA6318">
        <v>0.9726477</v>
      </c>
      <c r="AB6318">
        <v>18</v>
      </c>
      <c r="AC6318">
        <v>15.0122</v>
      </c>
      <c r="AD6318">
        <v>-1.1141519301089999</v>
      </c>
      <c r="AE6318">
        <v>-3.7298900000000001</v>
      </c>
      <c r="AF6318">
        <v>-3.57638002121258</v>
      </c>
      <c r="AG6318">
        <v>-1.1141519301089999</v>
      </c>
      <c r="AH6318">
        <v>14.9674397232489</v>
      </c>
      <c r="AI6318">
        <v>94.141003228735499</v>
      </c>
      <c r="AJ6318">
        <v>103.43851086460501</v>
      </c>
      <c r="AK6318">
        <v>15.429066091263699</v>
      </c>
      <c r="AL6318">
        <v>90.797436909931093</v>
      </c>
      <c r="AM6318">
        <v>89.175911982928099</v>
      </c>
      <c r="AN6318">
        <v>0.99999997664876805</v>
      </c>
    </row>
    <row r="6319" spans="1:40" x14ac:dyDescent="0.25">
      <c r="A6319" t="str">
        <f>"20190312155002449"</f>
        <v>20190312155002449</v>
      </c>
      <c r="B6319" t="str">
        <f>"1552377002442539"</f>
        <v>1552377002442539</v>
      </c>
      <c r="C6319" t="s">
        <v>40</v>
      </c>
      <c r="D6319">
        <v>4.4792040000000002</v>
      </c>
      <c r="E6319">
        <v>0.4033774</v>
      </c>
      <c r="F6319" t="s">
        <v>42</v>
      </c>
      <c r="G6319">
        <v>-274.66109999999998</v>
      </c>
      <c r="H6319" s="1">
        <v>-1.570155E-6</v>
      </c>
      <c r="I6319">
        <v>-58.500970000000002</v>
      </c>
      <c r="J6319">
        <v>-290.28750000000002</v>
      </c>
      <c r="K6319">
        <v>1.11405</v>
      </c>
      <c r="L6319">
        <v>-54.744419999999998</v>
      </c>
      <c r="M6319">
        <v>0.89200630000000003</v>
      </c>
      <c r="N6319">
        <v>0</v>
      </c>
      <c r="O6319">
        <v>-0.45180399999999998</v>
      </c>
      <c r="P6319">
        <v>0.88516790000000001</v>
      </c>
      <c r="Q6319">
        <v>-2.6478439999999999E-2</v>
      </c>
      <c r="R6319">
        <v>-0.46451819999999999</v>
      </c>
      <c r="S6319">
        <v>3.0075069999999999</v>
      </c>
      <c r="T6319">
        <v>-0.2121025</v>
      </c>
      <c r="U6319">
        <v>-0.72967530000000003</v>
      </c>
      <c r="V6319">
        <v>1.4552890000000001E-2</v>
      </c>
      <c r="W6319">
        <v>-1.2267719999999999E-2</v>
      </c>
      <c r="X6319">
        <v>0.99981889999999995</v>
      </c>
      <c r="Y6319">
        <v>-0.22728219999999999</v>
      </c>
      <c r="Z6319">
        <v>3.7958150000000003E-2</v>
      </c>
      <c r="AA6319">
        <v>0.97308890000000003</v>
      </c>
      <c r="AB6319">
        <v>18</v>
      </c>
      <c r="AC6319">
        <v>15.6264</v>
      </c>
      <c r="AD6319">
        <v>-1.114051570155</v>
      </c>
      <c r="AE6319">
        <v>-3.7565499999999901</v>
      </c>
      <c r="AF6319">
        <v>-3.6918316231438899</v>
      </c>
      <c r="AG6319">
        <v>-1.114051570155</v>
      </c>
      <c r="AH6319">
        <v>15.5628396824986</v>
      </c>
      <c r="AI6319">
        <v>93.984281468270794</v>
      </c>
      <c r="AJ6319">
        <v>103.345082830978</v>
      </c>
      <c r="AK6319">
        <v>16.0334871633642</v>
      </c>
      <c r="AL6319">
        <v>90.7029061709774</v>
      </c>
      <c r="AM6319">
        <v>89.166088679695306</v>
      </c>
      <c r="AN6319">
        <v>1.0000000581792701</v>
      </c>
    </row>
    <row r="6320" spans="1:40" x14ac:dyDescent="0.25">
      <c r="A6320" t="str">
        <f>"20190312155002464"</f>
        <v>20190312155002464</v>
      </c>
      <c r="B6320" t="str">
        <f>"1552377002452300"</f>
        <v>1552377002452300</v>
      </c>
      <c r="C6320" t="s">
        <v>40</v>
      </c>
      <c r="D6320">
        <v>4.5275740000000004</v>
      </c>
      <c r="E6320">
        <v>0.40362749999999997</v>
      </c>
      <c r="F6320" t="s">
        <v>42</v>
      </c>
      <c r="G6320">
        <v>-274.1327</v>
      </c>
      <c r="H6320" s="1">
        <v>-1.338033E-6</v>
      </c>
      <c r="I6320">
        <v>-58.525410000000001</v>
      </c>
      <c r="J6320">
        <v>-290.18259999999998</v>
      </c>
      <c r="K6320">
        <v>1.113977</v>
      </c>
      <c r="L6320">
        <v>-54.790309999999998</v>
      </c>
      <c r="M6320">
        <v>0.89449840000000003</v>
      </c>
      <c r="N6320">
        <v>0</v>
      </c>
      <c r="O6320">
        <v>-0.44685019999999998</v>
      </c>
      <c r="P6320">
        <v>0.88769529999999996</v>
      </c>
      <c r="Q6320">
        <v>-2.586575E-2</v>
      </c>
      <c r="R6320">
        <v>-0.4597041</v>
      </c>
      <c r="S6320">
        <v>3.0129389999999998</v>
      </c>
      <c r="T6320">
        <v>-0.20777480000000001</v>
      </c>
      <c r="U6320">
        <v>-0.70516969999999901</v>
      </c>
      <c r="V6320">
        <v>1.4652180000000001E-2</v>
      </c>
      <c r="W6320">
        <v>-1.167235E-2</v>
      </c>
      <c r="X6320">
        <v>0.9998245</v>
      </c>
      <c r="Y6320">
        <v>-0.22983909999999999</v>
      </c>
      <c r="Z6320">
        <v>3.6957440000000001E-2</v>
      </c>
      <c r="AA6320">
        <v>0.97252669999999997</v>
      </c>
      <c r="AB6320">
        <v>18</v>
      </c>
      <c r="AC6320">
        <v>16.049899999999901</v>
      </c>
      <c r="AD6320">
        <v>-1.1139783380329999</v>
      </c>
      <c r="AE6320">
        <v>-3.7351000000000001</v>
      </c>
      <c r="AF6320">
        <v>-3.8138098341353901</v>
      </c>
      <c r="AG6320">
        <v>-1.1139783380329999</v>
      </c>
      <c r="AH6320">
        <v>15.954313865141099</v>
      </c>
      <c r="AI6320">
        <v>93.884974077729595</v>
      </c>
      <c r="AJ6320">
        <v>103.444021632504</v>
      </c>
      <c r="AK6320">
        <v>16.441600411638401</v>
      </c>
      <c r="AL6320">
        <v>90.668791592095999</v>
      </c>
      <c r="AM6320">
        <v>89.160404666685494</v>
      </c>
      <c r="AN6320">
        <v>0.99999998046676197</v>
      </c>
    </row>
    <row r="6321" spans="1:40" x14ac:dyDescent="0.25">
      <c r="A6321" t="str">
        <f>"20190312155002482"</f>
        <v>20190312155002482</v>
      </c>
      <c r="B6321" t="str">
        <f>"1552377002471819"</f>
        <v>1552377002471819</v>
      </c>
      <c r="C6321" t="s">
        <v>40</v>
      </c>
      <c r="D6321">
        <v>4.6254869999999997</v>
      </c>
      <c r="E6321">
        <v>0.40404649999999998</v>
      </c>
      <c r="F6321" t="s">
        <v>42</v>
      </c>
      <c r="G6321">
        <v>-273.72120000000001</v>
      </c>
      <c r="H6321" s="1">
        <v>-1.1539310000000001E-6</v>
      </c>
      <c r="I6321">
        <v>-58.559780000000003</v>
      </c>
      <c r="J6321">
        <v>-290.05520000000001</v>
      </c>
      <c r="K6321">
        <v>1.1139059999999901</v>
      </c>
      <c r="L6321">
        <v>-54.845120000000001</v>
      </c>
      <c r="M6321">
        <v>0.89743949999999995</v>
      </c>
      <c r="N6321">
        <v>0</v>
      </c>
      <c r="O6321">
        <v>-0.44091459999999999</v>
      </c>
      <c r="P6321">
        <v>0.89052129999999996</v>
      </c>
      <c r="Q6321">
        <v>-2.569482E-2</v>
      </c>
      <c r="R6321">
        <v>-0.45421600000000001</v>
      </c>
      <c r="S6321">
        <v>3.01593</v>
      </c>
      <c r="T6321">
        <v>-0.20409459999999999</v>
      </c>
      <c r="U6321">
        <v>-0.69061280000000003</v>
      </c>
      <c r="V6321">
        <v>1.509833E-2</v>
      </c>
      <c r="W6321">
        <v>-1.151987E-2</v>
      </c>
      <c r="X6321">
        <v>0.99981960000000003</v>
      </c>
      <c r="Y6321">
        <v>-0.228127</v>
      </c>
      <c r="Z6321">
        <v>3.5887679999999998E-2</v>
      </c>
      <c r="AA6321">
        <v>0.9729698</v>
      </c>
      <c r="AB6321">
        <v>18</v>
      </c>
      <c r="AC6321">
        <v>16.334</v>
      </c>
      <c r="AD6321">
        <v>-1.1139071539309999</v>
      </c>
      <c r="AE6321">
        <v>-3.7146599999999999</v>
      </c>
      <c r="AF6321">
        <v>-3.8515654815693798</v>
      </c>
      <c r="AG6321">
        <v>-1.1139071539309999</v>
      </c>
      <c r="AH6321">
        <v>16.226474772417902</v>
      </c>
      <c r="AI6321">
        <v>93.8212087508698</v>
      </c>
      <c r="AJ6321">
        <v>103.35279032274499</v>
      </c>
      <c r="AK6321">
        <v>16.7144796313349</v>
      </c>
      <c r="AL6321">
        <v>90.660054564272301</v>
      </c>
      <c r="AM6321">
        <v>89.134839086708794</v>
      </c>
      <c r="AN6321">
        <v>0.99999994975888096</v>
      </c>
    </row>
    <row r="6322" spans="1:40" x14ac:dyDescent="0.25">
      <c r="A6322" t="str">
        <f>"20190312155002497"</f>
        <v>20190312155002497</v>
      </c>
      <c r="B6322" t="str">
        <f>"1552377002492316"</f>
        <v>1552377002492316</v>
      </c>
      <c r="C6322" t="s">
        <v>40</v>
      </c>
      <c r="D6322">
        <v>4.4873320000000003</v>
      </c>
      <c r="E6322">
        <v>0.4043638</v>
      </c>
      <c r="F6322" t="s">
        <v>42</v>
      </c>
      <c r="G6322">
        <v>-273.399</v>
      </c>
      <c r="H6322" s="1">
        <v>-1.0134610000000001E-6</v>
      </c>
      <c r="I6322">
        <v>-58.569890000000001</v>
      </c>
      <c r="J6322">
        <v>-289.94639999999998</v>
      </c>
      <c r="K6322">
        <v>1.113837</v>
      </c>
      <c r="L6322">
        <v>-54.891199999999998</v>
      </c>
      <c r="M6322">
        <v>0.89987490000000003</v>
      </c>
      <c r="N6322">
        <v>0</v>
      </c>
      <c r="O6322">
        <v>-0.435923</v>
      </c>
      <c r="P6322">
        <v>0.89288199999999995</v>
      </c>
      <c r="Q6322">
        <v>-2.5580970000000001E-2</v>
      </c>
      <c r="R6322">
        <v>-0.44956380000000001</v>
      </c>
      <c r="S6322">
        <v>3.0186459999999999</v>
      </c>
      <c r="T6322">
        <v>-0.20187649999999999</v>
      </c>
      <c r="U6322">
        <v>-0.6750488</v>
      </c>
      <c r="V6322">
        <v>1.543141E-2</v>
      </c>
      <c r="W6322">
        <v>-1.14226E-2</v>
      </c>
      <c r="X6322">
        <v>0.99981569999999997</v>
      </c>
      <c r="Y6322">
        <v>-0.22772239999999999</v>
      </c>
      <c r="Z6322">
        <v>3.5188299999999999E-2</v>
      </c>
      <c r="AA6322">
        <v>0.97309009999999996</v>
      </c>
      <c r="AB6322">
        <v>18</v>
      </c>
      <c r="AC6322">
        <v>16.5473999999999</v>
      </c>
      <c r="AD6322">
        <v>-1.113838013461</v>
      </c>
      <c r="AE6322">
        <v>-3.67869</v>
      </c>
      <c r="AF6322">
        <v>-3.8866339892015298</v>
      </c>
      <c r="AG6322">
        <v>-1.113838013461</v>
      </c>
      <c r="AH6322">
        <v>16.4249197943223</v>
      </c>
      <c r="AI6322">
        <v>93.7755607047105</v>
      </c>
      <c r="AJ6322">
        <v>103.313040705776</v>
      </c>
      <c r="AK6322">
        <v>16.915216496875502</v>
      </c>
      <c r="AL6322">
        <v>90.654480991421494</v>
      </c>
      <c r="AM6322">
        <v>89.115752564887401</v>
      </c>
      <c r="AN6322">
        <v>1.00000001908591</v>
      </c>
    </row>
    <row r="6323" spans="1:40" x14ac:dyDescent="0.25">
      <c r="A6323" t="str">
        <f>"20190312155002511"</f>
        <v>20190312155002511</v>
      </c>
      <c r="B6323" t="str">
        <f>"1552377002502075"</f>
        <v>1552377002502075</v>
      </c>
      <c r="C6323" t="s">
        <v>40</v>
      </c>
      <c r="D6323">
        <v>4.5056279999999997</v>
      </c>
      <c r="E6323">
        <v>0.4189137</v>
      </c>
      <c r="F6323" t="s">
        <v>42</v>
      </c>
      <c r="G6323">
        <v>-273.2353</v>
      </c>
      <c r="H6323" s="1">
        <v>-9.4747210000000005E-7</v>
      </c>
      <c r="I6323">
        <v>-58.550699999999999</v>
      </c>
      <c r="J6323">
        <v>-289.84469999999999</v>
      </c>
      <c r="K6323">
        <v>1.113775</v>
      </c>
      <c r="L6323">
        <v>-54.933869999999999</v>
      </c>
      <c r="M6323">
        <v>0.90209720000000004</v>
      </c>
      <c r="N6323">
        <v>0</v>
      </c>
      <c r="O6323">
        <v>-0.43130580000000002</v>
      </c>
      <c r="P6323">
        <v>0.8949956</v>
      </c>
      <c r="Q6323">
        <v>-2.5223300000000001E-2</v>
      </c>
      <c r="R6323">
        <v>-0.44536150000000002</v>
      </c>
      <c r="S6323">
        <v>3.0210270000000001</v>
      </c>
      <c r="T6323">
        <v>-0.2013587</v>
      </c>
      <c r="U6323">
        <v>-0.66156009999999998</v>
      </c>
      <c r="V6323">
        <v>1.5845620000000001E-2</v>
      </c>
      <c r="W6323">
        <v>-1.1079759999999999E-2</v>
      </c>
      <c r="X6323">
        <v>0.99981310000000001</v>
      </c>
      <c r="Y6323">
        <v>-0.22705539999999999</v>
      </c>
      <c r="Z6323">
        <v>3.4801070000000003E-2</v>
      </c>
      <c r="AA6323">
        <v>0.97325989999999996</v>
      </c>
      <c r="AB6323">
        <v>18</v>
      </c>
      <c r="AC6323">
        <v>16.609399999999901</v>
      </c>
      <c r="AD6323">
        <v>-1.1137759474721001</v>
      </c>
      <c r="AE6323">
        <v>-3.6168300000000002</v>
      </c>
      <c r="AF6323">
        <v>-3.8847033065819501</v>
      </c>
      <c r="AG6323">
        <v>-1.1137759474721001</v>
      </c>
      <c r="AH6323">
        <v>16.474149439231901</v>
      </c>
      <c r="AI6323">
        <v>93.764793813999503</v>
      </c>
      <c r="AJ6323">
        <v>103.26830696438201</v>
      </c>
      <c r="AK6323">
        <v>16.962576938292202</v>
      </c>
      <c r="AL6323">
        <v>90.634836450043395</v>
      </c>
      <c r="AM6323">
        <v>89.092019150782207</v>
      </c>
      <c r="AN6323">
        <v>1.0000000398432201</v>
      </c>
    </row>
    <row r="6324" spans="1:40" x14ac:dyDescent="0.25">
      <c r="A6324" t="str">
        <f>"20190312155002526"</f>
        <v>20190312155002526</v>
      </c>
      <c r="B6324" t="str">
        <f>"1552377002512812"</f>
        <v>1552377002512812</v>
      </c>
      <c r="C6324" t="s">
        <v>40</v>
      </c>
      <c r="D6324">
        <v>4.4307509999999999</v>
      </c>
      <c r="E6324">
        <v>0.4159059</v>
      </c>
      <c r="F6324" t="s">
        <v>42</v>
      </c>
      <c r="G6324">
        <v>-268.6234</v>
      </c>
      <c r="H6324" s="1">
        <v>-2.7176270000000001E-6</v>
      </c>
      <c r="I6324">
        <v>-60.31053</v>
      </c>
      <c r="J6324">
        <v>-289.7353</v>
      </c>
      <c r="K6324">
        <v>1.1137090000000001</v>
      </c>
      <c r="L6324">
        <v>-54.979190000000003</v>
      </c>
      <c r="M6324">
        <v>0.90442279999999997</v>
      </c>
      <c r="N6324">
        <v>0</v>
      </c>
      <c r="O6324">
        <v>-0.4264078</v>
      </c>
      <c r="P6324">
        <v>0.89707109999999901</v>
      </c>
      <c r="Q6324">
        <v>-2.4511229999999998E-2</v>
      </c>
      <c r="R6324">
        <v>-0.44120609999999999</v>
      </c>
      <c r="S6324">
        <v>2.9728089999999998</v>
      </c>
      <c r="T6324">
        <v>-0.15602460000000001</v>
      </c>
      <c r="U6324">
        <v>-0.75320430000000005</v>
      </c>
      <c r="V6324">
        <v>1.6613760000000002E-2</v>
      </c>
      <c r="W6324">
        <v>-1.03812E-2</v>
      </c>
      <c r="X6324">
        <v>0.99980809999999998</v>
      </c>
      <c r="Y6324">
        <v>-0.19048599999999999</v>
      </c>
      <c r="Z6324">
        <v>2.6100680000000001E-2</v>
      </c>
      <c r="AA6324">
        <v>0.98134290000000002</v>
      </c>
      <c r="AB6324">
        <v>18</v>
      </c>
      <c r="AC6324">
        <v>21.111899999999899</v>
      </c>
      <c r="AD6324">
        <v>-1.1137117176269999</v>
      </c>
      <c r="AE6324">
        <v>-5.33134</v>
      </c>
      <c r="AF6324">
        <v>-4.1699938468933997</v>
      </c>
      <c r="AG6324">
        <v>-1.1137117176269999</v>
      </c>
      <c r="AH6324">
        <v>21.313743268505402</v>
      </c>
      <c r="AI6324">
        <v>92.935611400413194</v>
      </c>
      <c r="AJ6324">
        <v>101.069978988914</v>
      </c>
      <c r="AK6324">
        <v>21.746375665587799</v>
      </c>
      <c r="AL6324">
        <v>90.594809623423401</v>
      </c>
      <c r="AM6324">
        <v>89.0480065817774</v>
      </c>
      <c r="AN6324">
        <v>1.0000000115801899</v>
      </c>
    </row>
    <row r="6325" spans="1:40" x14ac:dyDescent="0.25">
      <c r="A6325" t="str">
        <f>"20190312155002540"</f>
        <v>20190312155002540</v>
      </c>
      <c r="B6325" t="str">
        <f>"1552377002532331"</f>
        <v>1552377002532331</v>
      </c>
      <c r="C6325" t="s">
        <v>40</v>
      </c>
      <c r="D6325">
        <v>4.4422079999999999</v>
      </c>
      <c r="E6325">
        <v>0.41458519999999999</v>
      </c>
      <c r="F6325" t="s">
        <v>71</v>
      </c>
      <c r="G6325">
        <v>-262.60750000000002</v>
      </c>
      <c r="H6325" s="1">
        <v>-4.2405199999999999E-7</v>
      </c>
      <c r="I6325">
        <v>-61.511760000000002</v>
      </c>
      <c r="J6325">
        <v>-289.63260000000002</v>
      </c>
      <c r="K6325">
        <v>1.113639</v>
      </c>
      <c r="L6325">
        <v>-55.021030000000003</v>
      </c>
      <c r="M6325">
        <v>0.90653079999999997</v>
      </c>
      <c r="N6325">
        <v>0</v>
      </c>
      <c r="O6325">
        <v>-0.42190859999999902</v>
      </c>
      <c r="P6325">
        <v>0.89919450000000001</v>
      </c>
      <c r="Q6325">
        <v>-2.4311340000000001E-2</v>
      </c>
      <c r="R6325">
        <v>-0.43687340000000002</v>
      </c>
      <c r="S6325">
        <v>2.9871219999999998</v>
      </c>
      <c r="T6325">
        <v>-0.1226341</v>
      </c>
      <c r="U6325">
        <v>-0.71932980000000002</v>
      </c>
      <c r="V6325">
        <v>1.6752949999999999E-2</v>
      </c>
      <c r="W6325">
        <v>-1.020065E-2</v>
      </c>
      <c r="X6325">
        <v>0.99980760000000002</v>
      </c>
      <c r="Y6325">
        <v>-0.19750239999999999</v>
      </c>
      <c r="Z6325">
        <v>2.0441310000000001E-2</v>
      </c>
      <c r="AA6325">
        <v>0.98008919999999999</v>
      </c>
      <c r="AB6325">
        <v>18</v>
      </c>
      <c r="AC6325">
        <v>27.025099999999998</v>
      </c>
      <c r="AD6325">
        <v>-1.113639424052</v>
      </c>
      <c r="AE6325">
        <v>-6.4907299999999903</v>
      </c>
      <c r="AF6325">
        <v>-5.5097679550786998</v>
      </c>
      <c r="AG6325">
        <v>-1.113639424052</v>
      </c>
      <c r="AH6325">
        <v>27.196574011442401</v>
      </c>
      <c r="AI6325">
        <v>92.298188862895103</v>
      </c>
      <c r="AJ6325">
        <v>101.45257805702801</v>
      </c>
      <c r="AK6325">
        <v>27.771412885294101</v>
      </c>
      <c r="AL6325">
        <v>90.584464343633201</v>
      </c>
      <c r="AM6325">
        <v>89.0400317919336</v>
      </c>
      <c r="AN6325">
        <v>0.99999997580594202</v>
      </c>
    </row>
    <row r="6326" spans="1:40" x14ac:dyDescent="0.25">
      <c r="A6326" t="str">
        <f>"20190312155002555"</f>
        <v>20190312155002555</v>
      </c>
      <c r="B6326" t="str">
        <f>"1552377002542091"</f>
        <v>1552377002542091</v>
      </c>
      <c r="C6326" t="s">
        <v>40</v>
      </c>
      <c r="D6326">
        <v>4.45275</v>
      </c>
      <c r="E6326">
        <v>0.41487800000000002</v>
      </c>
      <c r="F6326" t="s">
        <v>72</v>
      </c>
      <c r="G6326">
        <v>-254.0341</v>
      </c>
      <c r="H6326" s="1">
        <v>-1.5153049999999901E-6</v>
      </c>
      <c r="I6326">
        <v>-63.300190000000001</v>
      </c>
      <c r="J6326">
        <v>-289.52359999999999</v>
      </c>
      <c r="K6326">
        <v>1.1135630000000001</v>
      </c>
      <c r="L6326">
        <v>-55.064970000000002</v>
      </c>
      <c r="M6326">
        <v>0.90871230000000003</v>
      </c>
      <c r="N6326">
        <v>0</v>
      </c>
      <c r="O6326">
        <v>-0.41719030000000001</v>
      </c>
      <c r="P6326">
        <v>0.90130860000000002</v>
      </c>
      <c r="Q6326">
        <v>-2.406637E-2</v>
      </c>
      <c r="R6326">
        <v>-0.43250939999999999</v>
      </c>
      <c r="S6326">
        <v>2.9953310000000002</v>
      </c>
      <c r="T6326">
        <v>-9.3703869999999995E-2</v>
      </c>
      <c r="U6326">
        <v>-0.69662480000000004</v>
      </c>
      <c r="V6326">
        <v>1.709724E-2</v>
      </c>
      <c r="W6326">
        <v>-9.9749030000000002E-3</v>
      </c>
      <c r="X6326">
        <v>0.99980409999999997</v>
      </c>
      <c r="Y6326">
        <v>-0.2002487</v>
      </c>
      <c r="Z6326">
        <v>1.5510019999999999E-2</v>
      </c>
      <c r="AA6326">
        <v>0.9796224</v>
      </c>
      <c r="AB6326">
        <v>18</v>
      </c>
      <c r="AC6326">
        <v>35.4894999999999</v>
      </c>
      <c r="AD6326">
        <v>-1.11356451530499</v>
      </c>
      <c r="AE6326">
        <v>-8.23522</v>
      </c>
      <c r="AF6326">
        <v>-7.3163054755841097</v>
      </c>
      <c r="AG6326">
        <v>-1.11356451530499</v>
      </c>
      <c r="AH6326">
        <v>35.655554295404698</v>
      </c>
      <c r="AI6326">
        <v>91.7523454724234</v>
      </c>
      <c r="AJ6326">
        <v>101.595792401395</v>
      </c>
      <c r="AK6326">
        <v>36.415476158555997</v>
      </c>
      <c r="AL6326">
        <v>90.571529305900697</v>
      </c>
      <c r="AM6326">
        <v>89.020303855623396</v>
      </c>
      <c r="AN6326">
        <v>1.0000000263411399</v>
      </c>
    </row>
    <row r="6327" spans="1:40" x14ac:dyDescent="0.25">
      <c r="A6327" t="str">
        <f>"20190312155002570"</f>
        <v>20190312155002570</v>
      </c>
      <c r="B6327" t="str">
        <f>"1552377002562588"</f>
        <v>1552377002562588</v>
      </c>
      <c r="C6327" t="s">
        <v>40</v>
      </c>
      <c r="D6327">
        <v>4.4375299999999998</v>
      </c>
      <c r="E6327">
        <v>0.41537849999999998</v>
      </c>
      <c r="F6327" t="s">
        <v>72</v>
      </c>
      <c r="G6327">
        <v>-252.57239999999999</v>
      </c>
      <c r="H6327" s="1">
        <v>-9.3273270000000002E-7</v>
      </c>
      <c r="I6327">
        <v>-63.500309999999999</v>
      </c>
      <c r="J6327">
        <v>-289.41480000000001</v>
      </c>
      <c r="K6327">
        <v>1.1134869999999999</v>
      </c>
      <c r="L6327">
        <v>-55.108310000000003</v>
      </c>
      <c r="M6327">
        <v>0.91082859999999999</v>
      </c>
      <c r="N6327">
        <v>0</v>
      </c>
      <c r="O6327">
        <v>-0.41254999999999997</v>
      </c>
      <c r="P6327">
        <v>0.90330109999999997</v>
      </c>
      <c r="Q6327">
        <v>-2.445661E-2</v>
      </c>
      <c r="R6327">
        <v>-0.42830970000000002</v>
      </c>
      <c r="S6327">
        <v>2.9977109999999998</v>
      </c>
      <c r="T6327">
        <v>-9.0339180000000005E-2</v>
      </c>
      <c r="U6327">
        <v>-0.6843262</v>
      </c>
      <c r="V6327">
        <v>1.7549229999999999E-2</v>
      </c>
      <c r="W6327">
        <v>-1.0384050000000001E-2</v>
      </c>
      <c r="X6327">
        <v>0.99979209999999996</v>
      </c>
      <c r="Y6327">
        <v>-0.19926089999999999</v>
      </c>
      <c r="Z6327">
        <v>1.481187E-2</v>
      </c>
      <c r="AA6327">
        <v>0.9798346</v>
      </c>
      <c r="AB6327">
        <v>18</v>
      </c>
      <c r="AC6327">
        <v>36.842399999999998</v>
      </c>
      <c r="AD6327">
        <v>-1.1134879327326901</v>
      </c>
      <c r="AE6327">
        <v>-8.3919999999999995</v>
      </c>
      <c r="AF6327">
        <v>-7.5498345163810798</v>
      </c>
      <c r="AG6327">
        <v>-1.1134879327326901</v>
      </c>
      <c r="AH6327">
        <v>36.990696344145597</v>
      </c>
      <c r="AI6327">
        <v>91.689380020198001</v>
      </c>
      <c r="AJ6327">
        <v>101.53568059751299</v>
      </c>
      <c r="AK6327">
        <v>37.769716342936299</v>
      </c>
      <c r="AL6327">
        <v>90.594972918046395</v>
      </c>
      <c r="AM6327">
        <v>88.994397369142007</v>
      </c>
      <c r="AN6327">
        <v>1.0000000235952</v>
      </c>
    </row>
    <row r="6328" spans="1:40" x14ac:dyDescent="0.25">
      <c r="A6328" t="str">
        <f>"20190312155002583"</f>
        <v>20190312155002583</v>
      </c>
      <c r="B6328" t="str">
        <f>"1552377002572348"</f>
        <v>1552377002572348</v>
      </c>
      <c r="C6328" t="s">
        <v>40</v>
      </c>
      <c r="D6328">
        <v>4.4522510000000004</v>
      </c>
      <c r="E6328">
        <v>0.4157788</v>
      </c>
      <c r="F6328" t="s">
        <v>72</v>
      </c>
      <c r="G6328">
        <v>-250.3349</v>
      </c>
      <c r="H6328" s="1">
        <v>-6.0356680000000006E-8</v>
      </c>
      <c r="I6328">
        <v>-63.893680000000003</v>
      </c>
      <c r="J6328">
        <v>-289.3229</v>
      </c>
      <c r="K6328">
        <v>1.113416</v>
      </c>
      <c r="L6328">
        <v>-55.144530000000003</v>
      </c>
      <c r="M6328">
        <v>0.91256709999999996</v>
      </c>
      <c r="N6328">
        <v>0</v>
      </c>
      <c r="O6328">
        <v>-0.4086901</v>
      </c>
      <c r="P6328">
        <v>0.90501089999999995</v>
      </c>
      <c r="Q6328">
        <v>-2.445628E-2</v>
      </c>
      <c r="R6328">
        <v>-0.42468430000000001</v>
      </c>
      <c r="S6328">
        <v>2.9991460000000001</v>
      </c>
      <c r="T6328">
        <v>-8.5453509999999996E-2</v>
      </c>
      <c r="U6328">
        <v>-0.67422490000000002</v>
      </c>
      <c r="V6328">
        <v>1.7771990000000001E-2</v>
      </c>
      <c r="W6328">
        <v>-1.040135E-2</v>
      </c>
      <c r="X6328">
        <v>0.99978800000000001</v>
      </c>
      <c r="Y6328">
        <v>-0.19838069999999999</v>
      </c>
      <c r="Z6328">
        <v>1.390104E-2</v>
      </c>
      <c r="AA6328">
        <v>0.98002639999999996</v>
      </c>
      <c r="AB6328">
        <v>18</v>
      </c>
      <c r="AC6328">
        <v>38.988</v>
      </c>
      <c r="AD6328">
        <v>-1.1134160603566801</v>
      </c>
      <c r="AE6328">
        <v>-8.7491500000000002</v>
      </c>
      <c r="AF6328">
        <v>-7.9444247099621697</v>
      </c>
      <c r="AG6328">
        <v>-1.1134160603566801</v>
      </c>
      <c r="AH6328">
        <v>39.128268295635202</v>
      </c>
      <c r="AI6328">
        <v>91.597368035042294</v>
      </c>
      <c r="AJ6328">
        <v>101.477062543272</v>
      </c>
      <c r="AK6328">
        <v>39.942145149089399</v>
      </c>
      <c r="AL6328">
        <v>90.595964179762603</v>
      </c>
      <c r="AM6328">
        <v>88.981631314076793</v>
      </c>
      <c r="AN6328">
        <v>1.0000000383271901</v>
      </c>
    </row>
    <row r="6329" spans="1:40" x14ac:dyDescent="0.25">
      <c r="A6329" t="str">
        <f>"20190312155002595"</f>
        <v>20190312155002595</v>
      </c>
      <c r="B6329" t="str">
        <f>"1552377002591867"</f>
        <v>1552377002591867</v>
      </c>
      <c r="C6329" t="s">
        <v>40</v>
      </c>
      <c r="D6329">
        <v>4.429799</v>
      </c>
      <c r="E6329">
        <v>0.41651700000000003</v>
      </c>
      <c r="F6329" t="s">
        <v>73</v>
      </c>
      <c r="G6329">
        <v>-249.23920000000001</v>
      </c>
      <c r="H6329" s="1">
        <v>-3.6650839999999998E-6</v>
      </c>
      <c r="I6329">
        <v>-64.03049</v>
      </c>
      <c r="J6329">
        <v>-289.22930000000002</v>
      </c>
      <c r="K6329">
        <v>1.1133390000000001</v>
      </c>
      <c r="L6329">
        <v>-55.180970000000002</v>
      </c>
      <c r="M6329">
        <v>0.91428169999999997</v>
      </c>
      <c r="N6329">
        <v>0</v>
      </c>
      <c r="O6329">
        <v>-0.40484110000000001</v>
      </c>
      <c r="P6329">
        <v>0.90667149999999996</v>
      </c>
      <c r="Q6329">
        <v>-2.4495369999999999E-2</v>
      </c>
      <c r="R6329">
        <v>-0.42112620000000001</v>
      </c>
      <c r="S6329">
        <v>3.0004580000000001</v>
      </c>
      <c r="T6329">
        <v>-8.334482E-2</v>
      </c>
      <c r="U6329">
        <v>-0.66516109999999995</v>
      </c>
      <c r="V6329">
        <v>1.8056610000000001E-2</v>
      </c>
      <c r="W6329">
        <v>-1.045833E-2</v>
      </c>
      <c r="X6329">
        <v>0.99978230000000001</v>
      </c>
      <c r="Y6329">
        <v>-0.19717460000000001</v>
      </c>
      <c r="Z6329">
        <v>1.3446100000000001E-2</v>
      </c>
      <c r="AA6329">
        <v>0.98027620000000004</v>
      </c>
      <c r="AB6329">
        <v>18</v>
      </c>
      <c r="AC6329">
        <v>39.990099999999998</v>
      </c>
      <c r="AD6329">
        <v>-1.1133426650839999</v>
      </c>
      <c r="AE6329">
        <v>-8.8495200000000001</v>
      </c>
      <c r="AF6329">
        <v>-8.0934818032667994</v>
      </c>
      <c r="AG6329">
        <v>-1.1133426650839999</v>
      </c>
      <c r="AH6329">
        <v>40.119089418262497</v>
      </c>
      <c r="AI6329">
        <v>91.5582281730874</v>
      </c>
      <c r="AJ6329">
        <v>101.40556392157301</v>
      </c>
      <c r="AK6329">
        <v>40.942463474249401</v>
      </c>
      <c r="AL6329">
        <v>90.5992290741641</v>
      </c>
      <c r="AM6329">
        <v>88.9653196689423</v>
      </c>
      <c r="AN6329">
        <v>1.0000000326121801</v>
      </c>
    </row>
    <row r="6330" spans="1:40" x14ac:dyDescent="0.25">
      <c r="A6330" t="str">
        <f>"20190312155002608"</f>
        <v>20190312155002608</v>
      </c>
      <c r="B6330" t="str">
        <f>"1552377002602603"</f>
        <v>1552377002602603</v>
      </c>
      <c r="C6330" t="s">
        <v>40</v>
      </c>
      <c r="D6330">
        <v>4.5243229999999999</v>
      </c>
      <c r="E6330">
        <v>0.41602050000000002</v>
      </c>
      <c r="F6330" t="s">
        <v>73</v>
      </c>
      <c r="G6330">
        <v>-246.5155</v>
      </c>
      <c r="H6330" s="1">
        <v>-2.8322019999999998E-6</v>
      </c>
      <c r="I6330">
        <v>-64.560339999999997</v>
      </c>
      <c r="J6330">
        <v>-289.14080000000001</v>
      </c>
      <c r="K6330">
        <v>1.1132660000000001</v>
      </c>
      <c r="L6330">
        <v>-55.215150000000001</v>
      </c>
      <c r="M6330">
        <v>0.91586619999999996</v>
      </c>
      <c r="N6330">
        <v>0</v>
      </c>
      <c r="O6330">
        <v>-0.40124349999999998</v>
      </c>
      <c r="P6330">
        <v>0.9083405</v>
      </c>
      <c r="Q6330">
        <v>-2.450078E-2</v>
      </c>
      <c r="R6330">
        <v>-0.41751300000000002</v>
      </c>
      <c r="S6330">
        <v>3.0006409999999999</v>
      </c>
      <c r="T6330">
        <v>-7.8212260000000006E-2</v>
      </c>
      <c r="U6330">
        <v>-0.65890499999999996</v>
      </c>
      <c r="V6330">
        <v>1.800529E-2</v>
      </c>
      <c r="W6330">
        <v>-1.048314E-2</v>
      </c>
      <c r="X6330">
        <v>0.99978290000000003</v>
      </c>
      <c r="Y6330">
        <v>-0.19530829999999999</v>
      </c>
      <c r="Z6330">
        <v>1.251319E-2</v>
      </c>
      <c r="AA6330">
        <v>0.98066200000000003</v>
      </c>
      <c r="AB6330">
        <v>18</v>
      </c>
      <c r="AC6330">
        <v>42.625300000000003</v>
      </c>
      <c r="AD6330">
        <v>-1.1132688322019999</v>
      </c>
      <c r="AE6330">
        <v>-9.3451899999999899</v>
      </c>
      <c r="AF6330">
        <v>-8.5394466617557008</v>
      </c>
      <c r="AG6330">
        <v>-1.1132688322019999</v>
      </c>
      <c r="AH6330">
        <v>42.765059449921502</v>
      </c>
      <c r="AI6330">
        <v>91.4623424617658</v>
      </c>
      <c r="AJ6330">
        <v>101.29245600073</v>
      </c>
      <c r="AK6330">
        <v>43.623523774874499</v>
      </c>
      <c r="AL6330">
        <v>90.6006506998025</v>
      </c>
      <c r="AM6330">
        <v>88.968260391371103</v>
      </c>
      <c r="AN6330">
        <v>0.99999996691232595</v>
      </c>
    </row>
    <row r="6331" spans="1:40" x14ac:dyDescent="0.25">
      <c r="A6331" t="str">
        <f>"20190312155002626"</f>
        <v>20190312155002626</v>
      </c>
      <c r="B6331" t="str">
        <f>"1552377002622716"</f>
        <v>1552377002622716</v>
      </c>
      <c r="C6331" t="s">
        <v>40</v>
      </c>
      <c r="D6331">
        <v>4.486917</v>
      </c>
      <c r="E6331">
        <v>0.4145317</v>
      </c>
      <c r="F6331" t="s">
        <v>73</v>
      </c>
      <c r="G6331">
        <v>-249.465</v>
      </c>
      <c r="H6331" s="1">
        <v>-3.6845430000000002E-6</v>
      </c>
      <c r="I6331">
        <v>-63.706879999999998</v>
      </c>
      <c r="J6331">
        <v>-289.01150000000001</v>
      </c>
      <c r="K6331">
        <v>1.1131549999999999</v>
      </c>
      <c r="L6331">
        <v>-55.264560000000003</v>
      </c>
      <c r="M6331">
        <v>0.91810009999999997</v>
      </c>
      <c r="N6331">
        <v>0</v>
      </c>
      <c r="O6331">
        <v>-0.39610649999999997</v>
      </c>
      <c r="P6331">
        <v>0.91066159999999996</v>
      </c>
      <c r="Q6331">
        <v>-2.3876250000000002E-2</v>
      </c>
      <c r="R6331">
        <v>-0.41246280000000002</v>
      </c>
      <c r="S6331">
        <v>3.0048520000000001</v>
      </c>
      <c r="T6331">
        <v>-8.4313630000000001E-2</v>
      </c>
      <c r="U6331">
        <v>-0.64312740000000002</v>
      </c>
      <c r="V6331">
        <v>1.8040670000000002E-2</v>
      </c>
      <c r="W6331">
        <v>-9.8869579999999995E-3</v>
      </c>
      <c r="X6331">
        <v>0.99978829999999996</v>
      </c>
      <c r="Y6331">
        <v>-0.19499250000000001</v>
      </c>
      <c r="Z6331">
        <v>1.33466E-2</v>
      </c>
      <c r="AA6331">
        <v>0.98071390000000003</v>
      </c>
      <c r="AB6331">
        <v>18</v>
      </c>
      <c r="AC6331">
        <v>39.546500000000002</v>
      </c>
      <c r="AD6331">
        <v>-1.1131586845429999</v>
      </c>
      <c r="AE6331">
        <v>-8.4423200000000094</v>
      </c>
      <c r="AF6331">
        <v>-7.9084971794839802</v>
      </c>
      <c r="AG6331">
        <v>-1.1131586845429999</v>
      </c>
      <c r="AH6331">
        <v>39.625480075159601</v>
      </c>
      <c r="AI6331">
        <v>91.578024079344502</v>
      </c>
      <c r="AJ6331">
        <v>101.286852923767</v>
      </c>
      <c r="AK6331">
        <v>40.422297325631497</v>
      </c>
      <c r="AL6331">
        <v>90.566490234070301</v>
      </c>
      <c r="AM6331">
        <v>88.966239067498904</v>
      </c>
      <c r="AN6331">
        <v>0.99999993126471398</v>
      </c>
    </row>
    <row r="6332" spans="1:40" x14ac:dyDescent="0.25">
      <c r="A6332" t="str">
        <f>"20190312155002637"</f>
        <v>20190312155002637</v>
      </c>
      <c r="B6332" t="str">
        <f>"1552377002632475"</f>
        <v>1552377002632475</v>
      </c>
      <c r="C6332" t="s">
        <v>40</v>
      </c>
      <c r="D6332">
        <v>4.5101079999999998</v>
      </c>
      <c r="E6332">
        <v>0.41402270000000002</v>
      </c>
      <c r="F6332" t="s">
        <v>72</v>
      </c>
      <c r="G6332">
        <v>-250.84010000000001</v>
      </c>
      <c r="H6332" s="1">
        <v>-9.1897850000000005E-8</v>
      </c>
      <c r="I6332">
        <v>-63.060879999999997</v>
      </c>
      <c r="J6332">
        <v>-288.928</v>
      </c>
      <c r="K6332">
        <v>1.1130799999999901</v>
      </c>
      <c r="L6332">
        <v>-55.295960000000001</v>
      </c>
      <c r="M6332">
        <v>0.91948180000000002</v>
      </c>
      <c r="N6332">
        <v>0</v>
      </c>
      <c r="O6332">
        <v>-0.39288899999999999</v>
      </c>
      <c r="P6332">
        <v>0.91221949999999996</v>
      </c>
      <c r="Q6332">
        <v>-2.327077E-2</v>
      </c>
      <c r="R6332">
        <v>-0.40904079999999998</v>
      </c>
      <c r="S6332">
        <v>3.0132750000000001</v>
      </c>
      <c r="T6332">
        <v>-8.7873339999999994E-2</v>
      </c>
      <c r="U6332">
        <v>-0.615448</v>
      </c>
      <c r="V6332">
        <v>1.7776159999999999E-2</v>
      </c>
      <c r="W6332">
        <v>-9.3024630000000004E-3</v>
      </c>
      <c r="X6332">
        <v>0.99979870000000004</v>
      </c>
      <c r="Y6332">
        <v>-0.20072880000000001</v>
      </c>
      <c r="Z6332">
        <v>1.3887790000000001E-2</v>
      </c>
      <c r="AA6332">
        <v>0.97954839999999999</v>
      </c>
      <c r="AB6332">
        <v>18</v>
      </c>
      <c r="AC6332">
        <v>38.087899999999898</v>
      </c>
      <c r="AD6332">
        <v>-1.1130800918978401</v>
      </c>
      <c r="AE6332">
        <v>-7.76492</v>
      </c>
      <c r="AF6332">
        <v>-7.8189522152522501</v>
      </c>
      <c r="AG6332">
        <v>-1.1130800918978401</v>
      </c>
      <c r="AH6332">
        <v>38.044332626937504</v>
      </c>
      <c r="AI6332">
        <v>91.641558980740697</v>
      </c>
      <c r="AJ6332">
        <v>101.613832521609</v>
      </c>
      <c r="AK6332">
        <v>38.855452719849197</v>
      </c>
      <c r="AL6332">
        <v>90.532999564897693</v>
      </c>
      <c r="AM6332">
        <v>88.981403314516797</v>
      </c>
      <c r="AN6332">
        <v>0.99999998410195001</v>
      </c>
    </row>
    <row r="6333" spans="1:40" x14ac:dyDescent="0.25">
      <c r="A6333" t="str">
        <f>"20190312155002650"</f>
        <v>20190312155002650</v>
      </c>
      <c r="B6333" t="str">
        <f>"1552377002642236"</f>
        <v>1552377002642236</v>
      </c>
      <c r="C6333" t="s">
        <v>40</v>
      </c>
      <c r="D6333">
        <v>4.4673860000000003</v>
      </c>
      <c r="E6333">
        <v>0.41351270000000001</v>
      </c>
      <c r="F6333" t="s">
        <v>72</v>
      </c>
      <c r="G6333">
        <v>-251.97839999999999</v>
      </c>
      <c r="H6333" s="1">
        <v>-4.8783570000000003E-7</v>
      </c>
      <c r="I6333">
        <v>-62.645530000000001</v>
      </c>
      <c r="J6333">
        <v>-288.84210000000002</v>
      </c>
      <c r="K6333">
        <v>1.1130070000000001</v>
      </c>
      <c r="L6333">
        <v>-55.328159999999997</v>
      </c>
      <c r="M6333">
        <v>0.92087830000000004</v>
      </c>
      <c r="N6333">
        <v>0</v>
      </c>
      <c r="O6333">
        <v>-0.38960489999999998</v>
      </c>
      <c r="P6333">
        <v>0.91377079999999999</v>
      </c>
      <c r="Q6333">
        <v>-2.2878639999999999E-2</v>
      </c>
      <c r="R6333">
        <v>-0.40558539999999998</v>
      </c>
      <c r="S6333">
        <v>3.0172729999999999</v>
      </c>
      <c r="T6333">
        <v>-9.089303E-2</v>
      </c>
      <c r="U6333">
        <v>-0.60015869999999905</v>
      </c>
      <c r="V6333">
        <v>1.7552249999999998E-2</v>
      </c>
      <c r="W6333">
        <v>-8.9312190000000007E-3</v>
      </c>
      <c r="X6333">
        <v>0.99980599999999997</v>
      </c>
      <c r="Y6333">
        <v>-0.20224159999999999</v>
      </c>
      <c r="Z6333">
        <v>1.428901E-2</v>
      </c>
      <c r="AA6333">
        <v>0.97923139999999997</v>
      </c>
      <c r="AB6333">
        <v>18</v>
      </c>
      <c r="AC6333">
        <v>36.863700000000001</v>
      </c>
      <c r="AD6333">
        <v>-1.1130074878356999</v>
      </c>
      <c r="AE6333">
        <v>-7.3173700000000101</v>
      </c>
      <c r="AF6333">
        <v>-7.6179186188452297</v>
      </c>
      <c r="AG6333">
        <v>-1.1130074878356999</v>
      </c>
      <c r="AH6333">
        <v>36.769134903355202</v>
      </c>
      <c r="AI6333">
        <v>91.697789024777705</v>
      </c>
      <c r="AJ6333">
        <v>101.705075386822</v>
      </c>
      <c r="AK6333">
        <v>37.566484414867197</v>
      </c>
      <c r="AL6333">
        <v>90.511727987123507</v>
      </c>
      <c r="AM6333">
        <v>88.994238333344697</v>
      </c>
      <c r="AN6333">
        <v>0.99999994289444205</v>
      </c>
    </row>
    <row r="6334" spans="1:40" x14ac:dyDescent="0.25">
      <c r="A6334" t="str">
        <f>"20190312155002663"</f>
        <v>20190312155002663</v>
      </c>
      <c r="B6334" t="str">
        <f>"1552377002651995"</f>
        <v>1552377002651995</v>
      </c>
      <c r="C6334" t="s">
        <v>40</v>
      </c>
      <c r="D6334">
        <v>4.4017910000000002</v>
      </c>
      <c r="E6334">
        <v>0.41296559999999999</v>
      </c>
      <c r="F6334" t="s">
        <v>72</v>
      </c>
      <c r="G6334">
        <v>-252.7</v>
      </c>
      <c r="H6334" s="1">
        <v>-7.2623170000000004E-7</v>
      </c>
      <c r="I6334">
        <v>-62.325400000000002</v>
      </c>
      <c r="J6334">
        <v>-288.73489999999998</v>
      </c>
      <c r="K6334">
        <v>1.112919</v>
      </c>
      <c r="L6334">
        <v>-55.367980000000003</v>
      </c>
      <c r="M6334">
        <v>0.92256890000000003</v>
      </c>
      <c r="N6334">
        <v>0</v>
      </c>
      <c r="O6334">
        <v>-0.38558530000000002</v>
      </c>
      <c r="P6334">
        <v>0.91565750000000001</v>
      </c>
      <c r="Q6334">
        <v>-2.2736030000000001E-2</v>
      </c>
      <c r="R6334">
        <v>-0.40131630000000001</v>
      </c>
      <c r="S6334">
        <v>3.021118</v>
      </c>
      <c r="T6334">
        <v>-9.3036289999999994E-2</v>
      </c>
      <c r="U6334">
        <v>-0.58489990000000003</v>
      </c>
      <c r="V6334">
        <v>1.7242090000000002E-2</v>
      </c>
      <c r="W6334">
        <v>-8.8146500000000003E-3</v>
      </c>
      <c r="X6334">
        <v>0.99981249999999999</v>
      </c>
      <c r="Y6334">
        <v>-0.20296169999999999</v>
      </c>
      <c r="Z6334">
        <v>1.45159E-2</v>
      </c>
      <c r="AA6334">
        <v>0.97907909999999998</v>
      </c>
      <c r="AB6334">
        <v>18</v>
      </c>
      <c r="AC6334">
        <v>36.034899999999901</v>
      </c>
      <c r="AD6334">
        <v>-1.1129197262316901</v>
      </c>
      <c r="AE6334">
        <v>-6.9574199999999902</v>
      </c>
      <c r="AF6334">
        <v>-7.4696720584803398</v>
      </c>
      <c r="AG6334">
        <v>-1.1129197262316901</v>
      </c>
      <c r="AH6334">
        <v>35.897770717792199</v>
      </c>
      <c r="AI6334">
        <v>91.738527187474503</v>
      </c>
      <c r="AJ6334">
        <v>101.75447487935401</v>
      </c>
      <c r="AK6334">
        <v>36.683573074135701</v>
      </c>
      <c r="AL6334">
        <v>90.505048777469398</v>
      </c>
      <c r="AM6334">
        <v>89.012013682217898</v>
      </c>
      <c r="AN6334">
        <v>1.00000001143922</v>
      </c>
    </row>
    <row r="6335" spans="1:40" x14ac:dyDescent="0.25">
      <c r="A6335" t="str">
        <f>"20190312155002678"</f>
        <v>20190312155002678</v>
      </c>
      <c r="B6335" t="str">
        <f>"1552377002672491"</f>
        <v>1552377002672491</v>
      </c>
      <c r="C6335" t="s">
        <v>40</v>
      </c>
      <c r="D6335">
        <v>4.3521729999999996</v>
      </c>
      <c r="E6335">
        <v>0.41216750000000002</v>
      </c>
      <c r="F6335" t="s">
        <v>72</v>
      </c>
      <c r="G6335">
        <v>-254.0359</v>
      </c>
      <c r="H6335" s="1">
        <v>-1.197239E-6</v>
      </c>
      <c r="I6335">
        <v>-61.866300000000003</v>
      </c>
      <c r="J6335">
        <v>-288.63679999999999</v>
      </c>
      <c r="K6335">
        <v>1.1128389999999999</v>
      </c>
      <c r="L6335">
        <v>-55.403930000000003</v>
      </c>
      <c r="M6335">
        <v>0.9240507</v>
      </c>
      <c r="N6335">
        <v>0</v>
      </c>
      <c r="O6335">
        <v>-0.38202190000000003</v>
      </c>
      <c r="P6335">
        <v>0.91737550000000001</v>
      </c>
      <c r="Q6335">
        <v>-2.2601119999999999E-2</v>
      </c>
      <c r="R6335">
        <v>-0.39738129999999999</v>
      </c>
      <c r="S6335">
        <v>3.0255740000000002</v>
      </c>
      <c r="T6335">
        <v>-9.7040890000000005E-2</v>
      </c>
      <c r="U6335">
        <v>-0.56661989999999995</v>
      </c>
      <c r="V6335">
        <v>1.6804610000000001E-2</v>
      </c>
      <c r="W6335">
        <v>-8.7044419999999997E-3</v>
      </c>
      <c r="X6335">
        <v>0.99982090000000001</v>
      </c>
      <c r="Y6335">
        <v>-0.20513799999999999</v>
      </c>
      <c r="Z6335">
        <v>1.506088E-2</v>
      </c>
      <c r="AA6335">
        <v>0.97861719999999996</v>
      </c>
      <c r="AB6335">
        <v>18</v>
      </c>
      <c r="AC6335">
        <v>34.600900000000003</v>
      </c>
      <c r="AD6335">
        <v>-1.1128401972390001</v>
      </c>
      <c r="AE6335">
        <v>-6.4623699999999999</v>
      </c>
      <c r="AF6335">
        <v>-7.2401941679407198</v>
      </c>
      <c r="AG6335">
        <v>-1.1128401972390001</v>
      </c>
      <c r="AH6335">
        <v>34.410623028541899</v>
      </c>
      <c r="AI6335">
        <v>91.812639551409504</v>
      </c>
      <c r="AJ6335">
        <v>101.88204508982</v>
      </c>
      <c r="AK6335">
        <v>35.181668552052699</v>
      </c>
      <c r="AL6335">
        <v>90.498734089128604</v>
      </c>
      <c r="AM6335">
        <v>89.037084962732493</v>
      </c>
      <c r="AN6335">
        <v>0.99999999715229604</v>
      </c>
    </row>
    <row r="6336" spans="1:40" x14ac:dyDescent="0.25">
      <c r="A6336" t="str">
        <f>"20190312155002693"</f>
        <v>20190312155002693</v>
      </c>
      <c r="B6336" t="str">
        <f>"1552377002682253"</f>
        <v>1552377002682253</v>
      </c>
      <c r="C6336" t="s">
        <v>40</v>
      </c>
      <c r="D6336">
        <v>4.3733019999999998</v>
      </c>
      <c r="E6336">
        <v>0.41197539999999999</v>
      </c>
      <c r="F6336" t="s">
        <v>72</v>
      </c>
      <c r="G6336">
        <v>-255.51050000000001</v>
      </c>
      <c r="H6336" s="1">
        <v>-1.72399499999999E-6</v>
      </c>
      <c r="I6336">
        <v>-61.390230000000003</v>
      </c>
      <c r="J6336">
        <v>-288.51929999999999</v>
      </c>
      <c r="K6336">
        <v>1.1127320000000001</v>
      </c>
      <c r="L6336">
        <v>-55.4467199999999</v>
      </c>
      <c r="M6336">
        <v>0.92576590000000003</v>
      </c>
      <c r="N6336">
        <v>0</v>
      </c>
      <c r="O6336">
        <v>-0.37784659999999998</v>
      </c>
      <c r="P6336">
        <v>0.9192477</v>
      </c>
      <c r="Q6336">
        <v>-2.2434579999999999E-2</v>
      </c>
      <c r="R6336">
        <v>-0.39304020000000001</v>
      </c>
      <c r="S6336">
        <v>3.0304570000000002</v>
      </c>
      <c r="T6336">
        <v>-0.1018047</v>
      </c>
      <c r="U6336">
        <v>-0.54763790000000001</v>
      </c>
      <c r="V6336">
        <v>1.6587029999999999E-2</v>
      </c>
      <c r="W6336">
        <v>-8.5654919999999992E-3</v>
      </c>
      <c r="X6336">
        <v>0.99982570000000004</v>
      </c>
      <c r="Y6336">
        <v>-0.2069076</v>
      </c>
      <c r="Z6336">
        <v>1.5688649999999998E-2</v>
      </c>
      <c r="AA6336">
        <v>0.97823470000000001</v>
      </c>
      <c r="AB6336">
        <v>18</v>
      </c>
      <c r="AC6336">
        <v>33.008799999999901</v>
      </c>
      <c r="AD6336">
        <v>-1.1127337239949999</v>
      </c>
      <c r="AE6336">
        <v>-5.9435100000000096</v>
      </c>
      <c r="AF6336">
        <v>-6.9629601915532797</v>
      </c>
      <c r="AG6336">
        <v>-1.1127337239949999</v>
      </c>
      <c r="AH6336">
        <v>32.771193200947501</v>
      </c>
      <c r="AI6336">
        <v>91.902277519779602</v>
      </c>
      <c r="AJ6336">
        <v>101.995363042291</v>
      </c>
      <c r="AK6336">
        <v>33.521218575456103</v>
      </c>
      <c r="AL6336">
        <v>90.490772560083002</v>
      </c>
      <c r="AM6336">
        <v>89.049554697725497</v>
      </c>
      <c r="AN6336">
        <v>0.99999996379895595</v>
      </c>
    </row>
    <row r="6337" spans="1:40" x14ac:dyDescent="0.25">
      <c r="A6337" t="str">
        <f>"20190312155002709"</f>
        <v>20190312155002709</v>
      </c>
      <c r="B6337" t="str">
        <f>"1552377002701772"</f>
        <v>1552377002701772</v>
      </c>
      <c r="C6337" t="s">
        <v>40</v>
      </c>
      <c r="D6337">
        <v>4.4596150000000003</v>
      </c>
      <c r="E6337">
        <v>0.41187000000000001</v>
      </c>
      <c r="F6337" t="s">
        <v>72</v>
      </c>
      <c r="G6337">
        <v>-256.24759999999998</v>
      </c>
      <c r="H6337" s="1">
        <v>-1.9766179999999999E-6</v>
      </c>
      <c r="I6337">
        <v>-61.10436</v>
      </c>
      <c r="J6337">
        <v>-288.40660000000003</v>
      </c>
      <c r="K6337">
        <v>1.11263</v>
      </c>
      <c r="L6337">
        <v>-55.487299999999998</v>
      </c>
      <c r="M6337">
        <v>0.92734059999999996</v>
      </c>
      <c r="N6337">
        <v>0</v>
      </c>
      <c r="O6337">
        <v>-0.37396629999999997</v>
      </c>
      <c r="P6337">
        <v>0.92084730000000004</v>
      </c>
      <c r="Q6337">
        <v>-2.278697E-2</v>
      </c>
      <c r="R6337">
        <v>-0.38925769999999998</v>
      </c>
      <c r="S6337">
        <v>3.0335999999999999</v>
      </c>
      <c r="T6337">
        <v>-0.1045991</v>
      </c>
      <c r="U6337">
        <v>-0.53182980000000002</v>
      </c>
      <c r="V6337">
        <v>1.6667209999999998E-2</v>
      </c>
      <c r="W6337">
        <v>-8.94292E-3</v>
      </c>
      <c r="X6337">
        <v>0.99982110000000002</v>
      </c>
      <c r="Y6337">
        <v>-0.2079134</v>
      </c>
      <c r="Z6337">
        <v>1.6007529999999999E-2</v>
      </c>
      <c r="AA6337">
        <v>0.97801629999999995</v>
      </c>
      <c r="AB6337">
        <v>18</v>
      </c>
      <c r="AC6337">
        <v>32.158999999999999</v>
      </c>
      <c r="AD6337">
        <v>-1.112631976618</v>
      </c>
      <c r="AE6337">
        <v>-5.6170600000000004</v>
      </c>
      <c r="AF6337">
        <v>-6.8101869575596998</v>
      </c>
      <c r="AG6337">
        <v>-1.112631976618</v>
      </c>
      <c r="AH6337">
        <v>31.8889072414438</v>
      </c>
      <c r="AI6337">
        <v>91.954256978879997</v>
      </c>
      <c r="AJ6337">
        <v>102.05498241322</v>
      </c>
      <c r="AK6337">
        <v>32.626967394560602</v>
      </c>
      <c r="AL6337">
        <v>90.512398401640297</v>
      </c>
      <c r="AM6337">
        <v>89.044956798474999</v>
      </c>
      <c r="AN6337">
        <v>1.00000000185626</v>
      </c>
    </row>
    <row r="6338" spans="1:40" x14ac:dyDescent="0.25">
      <c r="A6338" t="str">
        <f>"20190312155002722"</f>
        <v>20190312155002722</v>
      </c>
      <c r="B6338" t="str">
        <f>"1552377002712508"</f>
        <v>1552377002712508</v>
      </c>
      <c r="C6338" t="s">
        <v>40</v>
      </c>
      <c r="D6338">
        <v>4.3896040000000003</v>
      </c>
      <c r="E6338">
        <v>0.41192279999999998</v>
      </c>
      <c r="F6338" t="s">
        <v>72</v>
      </c>
      <c r="G6338">
        <v>-257.64690000000002</v>
      </c>
      <c r="H6338" s="1">
        <v>-2.495864E-6</v>
      </c>
      <c r="I6338">
        <v>-60.739879999999999</v>
      </c>
      <c r="J6338">
        <v>-288.3116</v>
      </c>
      <c r="K6338">
        <v>1.1125389999999999</v>
      </c>
      <c r="L6338">
        <v>-55.521329999999999</v>
      </c>
      <c r="M6338">
        <v>0.92861649999999996</v>
      </c>
      <c r="N6338">
        <v>0</v>
      </c>
      <c r="O6338">
        <v>-0.37078729999999999</v>
      </c>
      <c r="P6338">
        <v>0.92211489999999996</v>
      </c>
      <c r="Q6338">
        <v>-2.3126480000000001E-2</v>
      </c>
      <c r="R6338">
        <v>-0.38622469999999998</v>
      </c>
      <c r="S6338">
        <v>3.0360109999999998</v>
      </c>
      <c r="T6338">
        <v>-0.1098176</v>
      </c>
      <c r="U6338">
        <v>-0.51843260000000002</v>
      </c>
      <c r="V6338">
        <v>1.6805239999999999E-2</v>
      </c>
      <c r="W6338">
        <v>-9.3037229999999999E-3</v>
      </c>
      <c r="X6338">
        <v>0.99981549999999997</v>
      </c>
      <c r="Y6338">
        <v>-0.20885339999999999</v>
      </c>
      <c r="Z6338">
        <v>1.6712680000000001E-2</v>
      </c>
      <c r="AA6338">
        <v>0.97780409999999995</v>
      </c>
      <c r="AB6338">
        <v>18</v>
      </c>
      <c r="AC6338">
        <v>30.6646999999999</v>
      </c>
      <c r="AD6338">
        <v>-1.1125414958640001</v>
      </c>
      <c r="AE6338">
        <v>-5.2185499999999996</v>
      </c>
      <c r="AF6338">
        <v>-6.5163275774737004</v>
      </c>
      <c r="AG6338">
        <v>-1.1125414958640001</v>
      </c>
      <c r="AH6338">
        <v>30.374723208950201</v>
      </c>
      <c r="AI6338">
        <v>92.051021467365402</v>
      </c>
      <c r="AJ6338">
        <v>102.108207364862</v>
      </c>
      <c r="AK6338">
        <v>31.0857537096546</v>
      </c>
      <c r="AL6338">
        <v>90.533071749726503</v>
      </c>
      <c r="AM6338">
        <v>89.037043670205406</v>
      </c>
      <c r="AN6338">
        <v>1.0000000046966799</v>
      </c>
    </row>
    <row r="6339" spans="1:40" x14ac:dyDescent="0.25">
      <c r="A6339" t="str">
        <f>"20190312155002734"</f>
        <v>20190312155002734</v>
      </c>
      <c r="B6339" t="str">
        <f>"1552377002722268"</f>
        <v>1552377002722268</v>
      </c>
      <c r="C6339" t="s">
        <v>40</v>
      </c>
      <c r="D6339">
        <v>4.4763250000000001</v>
      </c>
      <c r="E6339">
        <v>0.41192279999999998</v>
      </c>
      <c r="F6339" t="s">
        <v>72</v>
      </c>
      <c r="G6339">
        <v>-258.34190000000001</v>
      </c>
      <c r="H6339" s="1">
        <v>-2.7497539999999999E-6</v>
      </c>
      <c r="I6339">
        <v>-60.540819999999997</v>
      </c>
      <c r="J6339">
        <v>-288.2253</v>
      </c>
      <c r="K6339">
        <v>1.1124510000000001</v>
      </c>
      <c r="L6339">
        <v>-55.551850000000002</v>
      </c>
      <c r="M6339">
        <v>0.929728</v>
      </c>
      <c r="N6339">
        <v>0</v>
      </c>
      <c r="O6339">
        <v>-0.36799209999999999</v>
      </c>
      <c r="P6339">
        <v>0.92308990000000002</v>
      </c>
      <c r="Q6339">
        <v>-2.3559440000000001E-2</v>
      </c>
      <c r="R6339">
        <v>-0.38386229999999999</v>
      </c>
      <c r="S6339">
        <v>3.037445</v>
      </c>
      <c r="T6339">
        <v>-0.1127568</v>
      </c>
      <c r="U6339">
        <v>-0.50872799999999996</v>
      </c>
      <c r="V6339">
        <v>1.725782E-2</v>
      </c>
      <c r="W6339">
        <v>-9.7542559999999993E-3</v>
      </c>
      <c r="X6339">
        <v>0.99980349999999996</v>
      </c>
      <c r="Y6339">
        <v>-0.20900779999999999</v>
      </c>
      <c r="Z6339">
        <v>1.7065509999999999E-2</v>
      </c>
      <c r="AA6339">
        <v>0.97776510000000005</v>
      </c>
      <c r="AB6339">
        <v>18</v>
      </c>
      <c r="AC6339">
        <v>29.883399999999899</v>
      </c>
      <c r="AD6339">
        <v>-1.1124537497539999</v>
      </c>
      <c r="AE6339">
        <v>-4.9889699999999904</v>
      </c>
      <c r="AF6339">
        <v>-6.3505047593479498</v>
      </c>
      <c r="AG6339">
        <v>-1.1124537497539999</v>
      </c>
      <c r="AH6339">
        <v>29.5822310920014</v>
      </c>
      <c r="AI6339">
        <v>92.105691306451106</v>
      </c>
      <c r="AJ6339">
        <v>102.11596819806201</v>
      </c>
      <c r="AK6339">
        <v>30.276638856128301</v>
      </c>
      <c r="AL6339">
        <v>90.558886559316704</v>
      </c>
      <c r="AM6339">
        <v>89.011103618870607</v>
      </c>
      <c r="AN6339">
        <v>1.0000000082367499</v>
      </c>
    </row>
    <row r="6340" spans="1:40" x14ac:dyDescent="0.25">
      <c r="A6340" t="str">
        <f>"20190312155002746"</f>
        <v>20190312155002746</v>
      </c>
      <c r="B6340" t="str">
        <f>"1552377002742764"</f>
        <v>1552377002742764</v>
      </c>
      <c r="C6340" t="s">
        <v>40</v>
      </c>
      <c r="D6340">
        <v>4.3348380000000004</v>
      </c>
      <c r="E6340">
        <v>0.41202040000000001</v>
      </c>
      <c r="F6340" t="s">
        <v>72</v>
      </c>
      <c r="G6340">
        <v>-258.53590000000003</v>
      </c>
      <c r="H6340" s="1">
        <v>-2.8119670000000001E-6</v>
      </c>
      <c r="I6340">
        <v>-60.446269999999998</v>
      </c>
      <c r="J6340">
        <v>-288.13249999999999</v>
      </c>
      <c r="K6340">
        <v>1.112365</v>
      </c>
      <c r="L6340">
        <v>-55.584560000000003</v>
      </c>
      <c r="M6340">
        <v>0.93089409999999895</v>
      </c>
      <c r="N6340">
        <v>0</v>
      </c>
      <c r="O6340">
        <v>-0.36503219999999997</v>
      </c>
      <c r="P6340">
        <v>0.924207</v>
      </c>
      <c r="Q6340">
        <v>-2.3944259999999998E-2</v>
      </c>
      <c r="R6340">
        <v>-0.38114100000000001</v>
      </c>
      <c r="S6340">
        <v>3.0387270000000002</v>
      </c>
      <c r="T6340">
        <v>-0.1138604</v>
      </c>
      <c r="U6340">
        <v>-0.500946</v>
      </c>
      <c r="V6340">
        <v>1.749676E-2</v>
      </c>
      <c r="W6340">
        <v>-1.01592E-2</v>
      </c>
      <c r="X6340">
        <v>0.99979530000000005</v>
      </c>
      <c r="Y6340">
        <v>-0.20839550000000001</v>
      </c>
      <c r="Z6340">
        <v>1.7116739999999998E-2</v>
      </c>
      <c r="AA6340">
        <v>0.97789479999999995</v>
      </c>
      <c r="AB6340">
        <v>18</v>
      </c>
      <c r="AC6340">
        <v>29.596599999999899</v>
      </c>
      <c r="AD6340">
        <v>-1.112367811967</v>
      </c>
      <c r="AE6340">
        <v>-4.8617100000000004</v>
      </c>
      <c r="AF6340">
        <v>-6.2699399362863604</v>
      </c>
      <c r="AG6340">
        <v>-1.112367811967</v>
      </c>
      <c r="AH6340">
        <v>29.2884479117896</v>
      </c>
      <c r="AI6340">
        <v>92.126889556884905</v>
      </c>
      <c r="AJ6340">
        <v>102.083242474408</v>
      </c>
      <c r="AK6340">
        <v>29.9726990782504</v>
      </c>
      <c r="AL6340">
        <v>90.582089299898797</v>
      </c>
      <c r="AM6340">
        <v>88.997406588749399</v>
      </c>
      <c r="AN6340">
        <v>0.99999999392861305</v>
      </c>
    </row>
    <row r="6341" spans="1:40" x14ac:dyDescent="0.25">
      <c r="A6341" t="str">
        <f>"20190312155002759"</f>
        <v>20190312155002759</v>
      </c>
      <c r="B6341" t="str">
        <f>"1552377002752524"</f>
        <v>1552377002752524</v>
      </c>
      <c r="C6341" t="s">
        <v>40</v>
      </c>
      <c r="D6341">
        <v>4.2959100000000001</v>
      </c>
      <c r="E6341">
        <v>0.41196369999999999</v>
      </c>
      <c r="F6341" t="s">
        <v>72</v>
      </c>
      <c r="G6341">
        <v>-258.69080000000002</v>
      </c>
      <c r="H6341" s="1">
        <v>-2.8705439999999998E-6</v>
      </c>
      <c r="I6341">
        <v>-60.356200000000001</v>
      </c>
      <c r="J6341">
        <v>-288.0367</v>
      </c>
      <c r="K6341">
        <v>1.1122719999999999</v>
      </c>
      <c r="L6341">
        <v>-55.618070000000003</v>
      </c>
      <c r="M6341">
        <v>0.93204120000000001</v>
      </c>
      <c r="N6341">
        <v>0</v>
      </c>
      <c r="O6341">
        <v>-0.36209459999999999</v>
      </c>
      <c r="P6341">
        <v>0.925149</v>
      </c>
      <c r="Q6341">
        <v>-2.3786350000000001E-2</v>
      </c>
      <c r="R6341">
        <v>-0.378859</v>
      </c>
      <c r="S6341">
        <v>3.0398860000000001</v>
      </c>
      <c r="T6341">
        <v>-0.11485289999999999</v>
      </c>
      <c r="U6341">
        <v>-0.4926758</v>
      </c>
      <c r="V6341">
        <v>1.8177990000000002E-2</v>
      </c>
      <c r="W6341">
        <v>-1.0019689999999999E-2</v>
      </c>
      <c r="X6341">
        <v>0.99978460000000002</v>
      </c>
      <c r="Y6341">
        <v>-0.2079577</v>
      </c>
      <c r="Z6341">
        <v>1.7154019999999999E-2</v>
      </c>
      <c r="AA6341">
        <v>0.97798739999999995</v>
      </c>
      <c r="AB6341">
        <v>18</v>
      </c>
      <c r="AC6341">
        <v>29.345899999999901</v>
      </c>
      <c r="AD6341">
        <v>-1.112274870544</v>
      </c>
      <c r="AE6341">
        <v>-4.73813</v>
      </c>
      <c r="AF6341">
        <v>-6.2017563723805598</v>
      </c>
      <c r="AG6341">
        <v>-1.112274870544</v>
      </c>
      <c r="AH6341">
        <v>29.029309611090099</v>
      </c>
      <c r="AI6341">
        <v>92.1458709649322</v>
      </c>
      <c r="AJ6341">
        <v>102.05925662305199</v>
      </c>
      <c r="AK6341">
        <v>29.705214255859701</v>
      </c>
      <c r="AL6341">
        <v>90.574095532341403</v>
      </c>
      <c r="AM6341">
        <v>88.958368272125497</v>
      </c>
      <c r="AN6341">
        <v>1.0000000399526401</v>
      </c>
    </row>
    <row r="6342" spans="1:40" x14ac:dyDescent="0.25">
      <c r="A6342" t="str">
        <f>"20190312155002772"</f>
        <v>20190312155002772</v>
      </c>
      <c r="B6342" t="str">
        <f>"1552377002762283"</f>
        <v>1552377002762283</v>
      </c>
      <c r="C6342" t="s">
        <v>40</v>
      </c>
      <c r="D6342">
        <v>4.2486420000000003</v>
      </c>
      <c r="E6342">
        <v>0.4116668</v>
      </c>
      <c r="F6342" t="s">
        <v>72</v>
      </c>
      <c r="G6342">
        <v>-258.56869999999998</v>
      </c>
      <c r="H6342" s="1">
        <v>-2.8270720000000001E-6</v>
      </c>
      <c r="I6342">
        <v>-60.31588</v>
      </c>
      <c r="J6342">
        <v>-287.95049999999998</v>
      </c>
      <c r="K6342">
        <v>1.112188</v>
      </c>
      <c r="L6342">
        <v>-55.648069999999997</v>
      </c>
      <c r="M6342">
        <v>0.93303849999999999</v>
      </c>
      <c r="N6342">
        <v>0</v>
      </c>
      <c r="O6342">
        <v>-0.35951729999999998</v>
      </c>
      <c r="P6342">
        <v>0.92599019999999999</v>
      </c>
      <c r="Q6342">
        <v>-2.3916610000000001E-2</v>
      </c>
      <c r="R6342">
        <v>-0.3767894</v>
      </c>
      <c r="S6342">
        <v>3.041229</v>
      </c>
      <c r="T6342">
        <v>-0.1147914</v>
      </c>
      <c r="U6342">
        <v>-0.48483280000000001</v>
      </c>
      <c r="V6342">
        <v>1.8705590000000001E-2</v>
      </c>
      <c r="W6342">
        <v>-1.016685E-2</v>
      </c>
      <c r="X6342">
        <v>0.99977329999999998</v>
      </c>
      <c r="Y6342">
        <v>-0.20778350000000001</v>
      </c>
      <c r="Z6342">
        <v>1.7049129999999999E-2</v>
      </c>
      <c r="AA6342">
        <v>0.97802630000000002</v>
      </c>
      <c r="AB6342">
        <v>18</v>
      </c>
      <c r="AC6342">
        <v>29.381799999999998</v>
      </c>
      <c r="AD6342">
        <v>-1.112190827072</v>
      </c>
      <c r="AE6342">
        <v>-4.6678100000000002</v>
      </c>
      <c r="AF6342">
        <v>-6.1999329413889699</v>
      </c>
      <c r="AG6342">
        <v>-1.112190827072</v>
      </c>
      <c r="AH6342">
        <v>29.0546156871393</v>
      </c>
      <c r="AI6342">
        <v>92.143950678894996</v>
      </c>
      <c r="AJ6342">
        <v>102.045621123385</v>
      </c>
      <c r="AK6342">
        <v>29.729561544713398</v>
      </c>
      <c r="AL6342">
        <v>90.582527656378005</v>
      </c>
      <c r="AM6342">
        <v>88.928130678968898</v>
      </c>
      <c r="AN6342">
        <v>0.99999995766452898</v>
      </c>
    </row>
    <row r="6343" spans="1:40" x14ac:dyDescent="0.25">
      <c r="A6343" t="str">
        <f>"20190312155002986"</f>
        <v>20190312155002986</v>
      </c>
      <c r="B6343" t="str">
        <f>"1552377002983636"</f>
        <v>1552377002983636</v>
      </c>
      <c r="C6343" t="s">
        <v>40</v>
      </c>
      <c r="D6343">
        <v>4.5184249999999997</v>
      </c>
      <c r="E6343">
        <v>0.41098200000000001</v>
      </c>
      <c r="F6343" t="s">
        <v>72</v>
      </c>
      <c r="G6343">
        <v>-258.66219999999998</v>
      </c>
      <c r="H6343" s="1">
        <v>-2.8865389999999998E-6</v>
      </c>
      <c r="I6343">
        <v>-60.228490000000001</v>
      </c>
      <c r="J6343">
        <v>-286.38049999999998</v>
      </c>
      <c r="K6343">
        <v>1.1107229999999999</v>
      </c>
      <c r="L6343">
        <v>-56.172089999999997</v>
      </c>
      <c r="M6343">
        <v>0.94561620000000002</v>
      </c>
      <c r="N6343">
        <v>0</v>
      </c>
      <c r="O6343">
        <v>-0.32505859999999998</v>
      </c>
      <c r="P6343">
        <v>0.93752999999999997</v>
      </c>
      <c r="Q6343">
        <v>-1.061731E-2</v>
      </c>
      <c r="R6343">
        <v>-0.34774280000000002</v>
      </c>
      <c r="S6343">
        <v>3.0431520000000001</v>
      </c>
      <c r="T6343">
        <v>-0.1155605</v>
      </c>
      <c r="U6343">
        <v>-0.4759216</v>
      </c>
      <c r="V6343">
        <v>2.407726E-2</v>
      </c>
      <c r="W6343">
        <v>1.567665E-3</v>
      </c>
      <c r="X6343">
        <v>0.99970890000000001</v>
      </c>
      <c r="Y6343">
        <v>-0.17471700000000001</v>
      </c>
      <c r="Z6343">
        <v>1.531424E-2</v>
      </c>
      <c r="AA6343">
        <v>0.98449960000000003</v>
      </c>
      <c r="AB6343">
        <v>18</v>
      </c>
      <c r="AC6343">
        <v>27.718299999999999</v>
      </c>
      <c r="AD6343">
        <v>-1.110725886539</v>
      </c>
      <c r="AE6343">
        <v>-4.0563999999999902</v>
      </c>
      <c r="AF6343">
        <v>-5.16653209427243</v>
      </c>
      <c r="AG6343">
        <v>-1.110725886539</v>
      </c>
      <c r="AH6343">
        <v>27.4882495683106</v>
      </c>
      <c r="AI6343">
        <v>92.274131493405505</v>
      </c>
      <c r="AJ6343">
        <v>100.644793400605</v>
      </c>
      <c r="AK6343">
        <v>27.991617141671199</v>
      </c>
      <c r="AL6343">
        <v>89.910179377568596</v>
      </c>
      <c r="AM6343">
        <v>88.620339640038097</v>
      </c>
      <c r="AN6343">
        <v>1.0000000283809301</v>
      </c>
    </row>
    <row r="6344" spans="1:40" x14ac:dyDescent="0.25">
      <c r="A6344" t="str">
        <f>"20190312155003006"</f>
        <v>20190312155003006</v>
      </c>
      <c r="B6344" t="str">
        <f>"1552377003002179"</f>
        <v>1552377003002179</v>
      </c>
      <c r="C6344" t="s">
        <v>40</v>
      </c>
      <c r="D6344">
        <v>4.2607689999999998</v>
      </c>
      <c r="E6344">
        <v>0.41174470000000002</v>
      </c>
      <c r="F6344" t="s">
        <v>73</v>
      </c>
      <c r="G6344">
        <v>-246.39269999999999</v>
      </c>
      <c r="H6344" s="1">
        <v>-1.9184970000000001E-6</v>
      </c>
      <c r="I6344">
        <v>-61.093670000000003</v>
      </c>
      <c r="J6344">
        <v>-286.2321</v>
      </c>
      <c r="K6344">
        <v>1.1106</v>
      </c>
      <c r="L6344">
        <v>-56.220149999999997</v>
      </c>
      <c r="M6344">
        <v>0.94637570000000004</v>
      </c>
      <c r="N6344">
        <v>0</v>
      </c>
      <c r="O6344">
        <v>-0.32285370000000002</v>
      </c>
      <c r="P6344">
        <v>0.93934989999999996</v>
      </c>
      <c r="Q6344">
        <v>-1.047901E-2</v>
      </c>
      <c r="R6344">
        <v>-0.34280080000000002</v>
      </c>
      <c r="S6344">
        <v>3.0592350000000001</v>
      </c>
      <c r="T6344">
        <v>-8.4975120000000001E-2</v>
      </c>
      <c r="U6344">
        <v>-0.37652590000000002</v>
      </c>
      <c r="V6344">
        <v>2.1144280000000001E-2</v>
      </c>
      <c r="W6344">
        <v>1.3592879999999999E-3</v>
      </c>
      <c r="X6344">
        <v>0.99977550000000004</v>
      </c>
      <c r="Y6344">
        <v>-0.20464869999999999</v>
      </c>
      <c r="Z6344">
        <v>1.1597339999999999E-2</v>
      </c>
      <c r="AA6344">
        <v>0.97876680000000005</v>
      </c>
      <c r="AB6344">
        <v>18</v>
      </c>
      <c r="AC6344">
        <v>39.839399999999998</v>
      </c>
      <c r="AD6344">
        <v>-1.110601918497</v>
      </c>
      <c r="AE6344">
        <v>-4.8735199999999903</v>
      </c>
      <c r="AF6344">
        <v>-8.2443758145749193</v>
      </c>
      <c r="AG6344">
        <v>-1.110601918497</v>
      </c>
      <c r="AH6344">
        <v>39.249142844839</v>
      </c>
      <c r="AI6344">
        <v>91.586223123785402</v>
      </c>
      <c r="AJ6344">
        <v>101.862653408876</v>
      </c>
      <c r="AK6344">
        <v>40.121046636994599</v>
      </c>
      <c r="AL6344">
        <v>89.922118509642303</v>
      </c>
      <c r="AM6344">
        <v>88.788430573215095</v>
      </c>
      <c r="AN6344">
        <v>0.999999989320417</v>
      </c>
    </row>
    <row r="6345" spans="1:40" x14ac:dyDescent="0.25">
      <c r="A6345" t="str">
        <f>"20190312155003016"</f>
        <v>20190312155003016</v>
      </c>
      <c r="B6345" t="str">
        <f>"1552377003011940"</f>
        <v>1552377003011940</v>
      </c>
      <c r="C6345" t="s">
        <v>40</v>
      </c>
      <c r="D6345">
        <v>4.2982139999999998</v>
      </c>
      <c r="E6345">
        <v>0.41216649999999999</v>
      </c>
      <c r="F6345" t="s">
        <v>73</v>
      </c>
      <c r="G6345">
        <v>-244.4812</v>
      </c>
      <c r="H6345" s="1">
        <v>-1.1308959999999999E-6</v>
      </c>
      <c r="I6345">
        <v>-61.21546</v>
      </c>
      <c r="J6345">
        <v>-286.14580000000001</v>
      </c>
      <c r="K6345">
        <v>1.110541</v>
      </c>
      <c r="L6345">
        <v>-56.248019999999997</v>
      </c>
      <c r="M6345">
        <v>0.9467894</v>
      </c>
      <c r="N6345">
        <v>0</v>
      </c>
      <c r="O6345">
        <v>-0.32164510000000002</v>
      </c>
      <c r="P6345">
        <v>0.94014450000000005</v>
      </c>
      <c r="Q6345">
        <v>-1.0324710000000001E-2</v>
      </c>
      <c r="R6345">
        <v>-0.34061979999999997</v>
      </c>
      <c r="S6345">
        <v>3.0592350000000001</v>
      </c>
      <c r="T6345">
        <v>-8.1377740000000004E-2</v>
      </c>
      <c r="U6345">
        <v>-0.36602780000000001</v>
      </c>
      <c r="V6345">
        <v>2.0100900000000001E-2</v>
      </c>
      <c r="W6345">
        <v>1.3044510000000001E-3</v>
      </c>
      <c r="X6345">
        <v>0.99979709999999999</v>
      </c>
      <c r="Y6345">
        <v>-0.20672360000000001</v>
      </c>
      <c r="Z6345">
        <v>1.11071E-2</v>
      </c>
      <c r="AA6345">
        <v>0.97833630000000005</v>
      </c>
      <c r="AB6345">
        <v>18</v>
      </c>
      <c r="AC6345">
        <v>41.6646</v>
      </c>
      <c r="AD6345">
        <v>-1.110542130896</v>
      </c>
      <c r="AE6345">
        <v>-4.9674399999999999</v>
      </c>
      <c r="AF6345">
        <v>-8.6925897387325008</v>
      </c>
      <c r="AG6345">
        <v>-1.110542130896</v>
      </c>
      <c r="AH6345">
        <v>41.0193761368255</v>
      </c>
      <c r="AI6345">
        <v>91.517148699566206</v>
      </c>
      <c r="AJ6345">
        <v>101.964783705964</v>
      </c>
      <c r="AK6345">
        <v>41.945007317257399</v>
      </c>
      <c r="AL6345">
        <v>89.925260441508996</v>
      </c>
      <c r="AM6345">
        <v>88.848224708608498</v>
      </c>
      <c r="AN6345">
        <v>0.999999994470815</v>
      </c>
    </row>
    <row r="6346" spans="1:40" x14ac:dyDescent="0.25">
      <c r="A6346" t="str">
        <f>"20190312155003029"</f>
        <v>20190312155003029</v>
      </c>
      <c r="B6346" t="str">
        <f>"1552377003022675"</f>
        <v>1552377003022675</v>
      </c>
      <c r="C6346" t="s">
        <v>40</v>
      </c>
      <c r="D6346">
        <v>4.2882899999999999</v>
      </c>
      <c r="E6346">
        <v>0.41259269999999998</v>
      </c>
      <c r="F6346" t="s">
        <v>73</v>
      </c>
      <c r="G6346">
        <v>-243.76159999999999</v>
      </c>
      <c r="H6346" s="1">
        <v>-8.350149E-7</v>
      </c>
      <c r="I6346">
        <v>-61.263730000000002</v>
      </c>
      <c r="J6346">
        <v>-286.05329999999998</v>
      </c>
      <c r="K6346">
        <v>1.110479</v>
      </c>
      <c r="L6346">
        <v>-56.277769999999997</v>
      </c>
      <c r="M6346">
        <v>0.94722220000000001</v>
      </c>
      <c r="N6346">
        <v>0</v>
      </c>
      <c r="O6346">
        <v>-0.32037660000000001</v>
      </c>
      <c r="P6346">
        <v>0.94087229999999999</v>
      </c>
      <c r="Q6346">
        <v>-9.9203810000000007E-3</v>
      </c>
      <c r="R6346">
        <v>-0.338616799999999</v>
      </c>
      <c r="S6346">
        <v>3.0589599999999999</v>
      </c>
      <c r="T6346">
        <v>-8.0150250000000006E-2</v>
      </c>
      <c r="U6346">
        <v>-0.36199949999999997</v>
      </c>
      <c r="V6346">
        <v>1.9309989999999999E-2</v>
      </c>
      <c r="W6346">
        <v>1.4856489999999999E-3</v>
      </c>
      <c r="X6346">
        <v>0.99981240000000005</v>
      </c>
      <c r="Y6346">
        <v>-0.206678</v>
      </c>
      <c r="Z6346">
        <v>1.0909840000000001E-2</v>
      </c>
      <c r="AA6346">
        <v>0.9783482</v>
      </c>
      <c r="AB6346">
        <v>18</v>
      </c>
      <c r="AC6346">
        <v>42.291699999999899</v>
      </c>
      <c r="AD6346">
        <v>-1.1104798350149001</v>
      </c>
      <c r="AE6346">
        <v>-4.9859600000000004</v>
      </c>
      <c r="AF6346">
        <v>-8.8210297393743797</v>
      </c>
      <c r="AG6346">
        <v>-1.1104798350149001</v>
      </c>
      <c r="AH6346">
        <v>41.631398040927898</v>
      </c>
      <c r="AI6346">
        <v>91.494780664869893</v>
      </c>
      <c r="AJ6346">
        <v>101.963129197306</v>
      </c>
      <c r="AK6346">
        <v>42.5701425176036</v>
      </c>
      <c r="AL6346">
        <v>89.914878547661999</v>
      </c>
      <c r="AM6346">
        <v>88.893549035381596</v>
      </c>
      <c r="AN6346">
        <v>0.99999995903025396</v>
      </c>
    </row>
    <row r="6347" spans="1:40" x14ac:dyDescent="0.25">
      <c r="A6347" t="str">
        <f>"20190312155003041"</f>
        <v>20190312155003041</v>
      </c>
      <c r="B6347" t="str">
        <f>"1552377003032435"</f>
        <v>1552377003032435</v>
      </c>
      <c r="C6347" t="s">
        <v>40</v>
      </c>
      <c r="D6347">
        <v>4.4585330000000001</v>
      </c>
      <c r="E6347">
        <v>0.4130878</v>
      </c>
      <c r="F6347" t="s">
        <v>73</v>
      </c>
      <c r="G6347">
        <v>-242.62360000000001</v>
      </c>
      <c r="H6347" s="1">
        <v>-3.7502970000000001E-7</v>
      </c>
      <c r="I6347">
        <v>-61.369630000000001</v>
      </c>
      <c r="J6347">
        <v>-285.96660000000003</v>
      </c>
      <c r="K6347">
        <v>1.110433</v>
      </c>
      <c r="L6347">
        <v>-56.305660000000003</v>
      </c>
      <c r="M6347">
        <v>0.94761280000000003</v>
      </c>
      <c r="N6347">
        <v>0</v>
      </c>
      <c r="O6347">
        <v>-0.31922640000000002</v>
      </c>
      <c r="P6347">
        <v>0.94147060000000005</v>
      </c>
      <c r="Q6347">
        <v>-9.8583869999999997E-3</v>
      </c>
      <c r="R6347">
        <v>-0.33695140000000001</v>
      </c>
      <c r="S6347">
        <v>3.0586549999999999</v>
      </c>
      <c r="T6347">
        <v>-7.8208570000000005E-2</v>
      </c>
      <c r="U6347">
        <v>-0.35861209999999999</v>
      </c>
      <c r="V6347">
        <v>1.87557E-2</v>
      </c>
      <c r="W6347">
        <v>1.338784E-3</v>
      </c>
      <c r="X6347">
        <v>0.99982320000000002</v>
      </c>
      <c r="Y6347">
        <v>-0.2065553</v>
      </c>
      <c r="Z6347">
        <v>1.061833E-2</v>
      </c>
      <c r="AA6347">
        <v>0.97837730000000001</v>
      </c>
      <c r="AB6347">
        <v>18</v>
      </c>
      <c r="AC6347">
        <v>43.343000000000004</v>
      </c>
      <c r="AD6347">
        <v>-1.1104333750297</v>
      </c>
      <c r="AE6347">
        <v>-5.0639700000000101</v>
      </c>
      <c r="AF6347">
        <v>-9.0322609981390602</v>
      </c>
      <c r="AG6347">
        <v>-1.1104333750297</v>
      </c>
      <c r="AH6347">
        <v>42.663965721955499</v>
      </c>
      <c r="AI6347">
        <v>91.458610624713501</v>
      </c>
      <c r="AJ6347">
        <v>101.95342084515499</v>
      </c>
      <c r="AK6347">
        <v>43.623717999994902</v>
      </c>
      <c r="AL6347">
        <v>89.923293304201707</v>
      </c>
      <c r="AM6347">
        <v>88.925313570482999</v>
      </c>
      <c r="AN6347">
        <v>0.999999999941664</v>
      </c>
    </row>
    <row r="6348" spans="1:40" x14ac:dyDescent="0.25">
      <c r="A6348" t="str">
        <f>"20190312155003051"</f>
        <v>20190312155003051</v>
      </c>
      <c r="B6348" t="str">
        <f>"1552377003042195"</f>
        <v>1552377003042195</v>
      </c>
      <c r="C6348" t="s">
        <v>40</v>
      </c>
      <c r="D6348">
        <v>4.3306040000000001</v>
      </c>
      <c r="E6348">
        <v>0.41350320000000002</v>
      </c>
      <c r="F6348" t="s">
        <v>73</v>
      </c>
      <c r="G6348">
        <v>-241.7921</v>
      </c>
      <c r="H6348" s="1">
        <v>-4.2331410000000002E-8</v>
      </c>
      <c r="I6348">
        <v>-61.459910000000001</v>
      </c>
      <c r="J6348">
        <v>-285.89049999999997</v>
      </c>
      <c r="K6348">
        <v>1.110393</v>
      </c>
      <c r="L6348">
        <v>-56.33005</v>
      </c>
      <c r="M6348">
        <v>0.94794160000000005</v>
      </c>
      <c r="N6348">
        <v>0</v>
      </c>
      <c r="O6348">
        <v>-0.31825530000000002</v>
      </c>
      <c r="P6348">
        <v>0.94193349999999998</v>
      </c>
      <c r="Q6348">
        <v>-9.1858389999999995E-3</v>
      </c>
      <c r="R6348">
        <v>-0.33567390000000003</v>
      </c>
      <c r="S6348">
        <v>3.058014</v>
      </c>
      <c r="T6348">
        <v>-7.6870679999999997E-2</v>
      </c>
      <c r="U6348">
        <v>-0.3568115</v>
      </c>
      <c r="V6348">
        <v>1.84216E-2</v>
      </c>
      <c r="W6348">
        <v>1.822773E-3</v>
      </c>
      <c r="X6348">
        <v>0.99982859999999996</v>
      </c>
      <c r="Y6348">
        <v>-0.2061026</v>
      </c>
      <c r="Z6348">
        <v>1.041067E-2</v>
      </c>
      <c r="AA6348">
        <v>0.97847499999999998</v>
      </c>
      <c r="AB6348">
        <v>18</v>
      </c>
      <c r="AC6348">
        <v>44.098399999999899</v>
      </c>
      <c r="AD6348">
        <v>-1.1103930423314099</v>
      </c>
      <c r="AE6348">
        <v>-5.1298599999999999</v>
      </c>
      <c r="AF6348">
        <v>-9.16655924562059</v>
      </c>
      <c r="AG6348">
        <v>-1.1103930423314099</v>
      </c>
      <c r="AH6348">
        <v>43.410769451058698</v>
      </c>
      <c r="AI6348">
        <v>91.433635418209207</v>
      </c>
      <c r="AJ6348">
        <v>101.92334579193</v>
      </c>
      <c r="AK6348">
        <v>44.381907185754201</v>
      </c>
      <c r="AL6348">
        <v>89.895562737412803</v>
      </c>
      <c r="AM6348">
        <v>88.9444585591894</v>
      </c>
      <c r="AN6348">
        <v>0.99999995361296301</v>
      </c>
    </row>
    <row r="6349" spans="1:40" x14ac:dyDescent="0.25">
      <c r="A6349" t="str">
        <f>"20190312155003062"</f>
        <v>20190312155003062</v>
      </c>
      <c r="B6349" t="str">
        <f>"1552377003051955"</f>
        <v>1552377003051955</v>
      </c>
      <c r="C6349" t="s">
        <v>40</v>
      </c>
      <c r="D6349">
        <v>4.4062590000000004</v>
      </c>
      <c r="E6349">
        <v>0.41399279999999999</v>
      </c>
      <c r="F6349" t="s">
        <v>73</v>
      </c>
      <c r="G6349">
        <v>-240.6328</v>
      </c>
      <c r="H6349" s="1">
        <v>4.1880909999999999E-7</v>
      </c>
      <c r="I6349">
        <v>-61.595930000000003</v>
      </c>
      <c r="J6349">
        <v>-285.80630000000002</v>
      </c>
      <c r="K6349">
        <v>1.1103499999999999</v>
      </c>
      <c r="L6349">
        <v>-56.356960000000001</v>
      </c>
      <c r="M6349">
        <v>0.9482952</v>
      </c>
      <c r="N6349">
        <v>0</v>
      </c>
      <c r="O6349">
        <v>-0.31720720000000002</v>
      </c>
      <c r="P6349">
        <v>0.94231240000000005</v>
      </c>
      <c r="Q6349">
        <v>-8.6166279999999994E-3</v>
      </c>
      <c r="R6349">
        <v>-0.33462439999999999</v>
      </c>
      <c r="S6349">
        <v>3.057404</v>
      </c>
      <c r="T6349">
        <v>-7.5013159999999995E-2</v>
      </c>
      <c r="U6349">
        <v>-0.35574339999999999</v>
      </c>
      <c r="V6349">
        <v>1.8411190000000001E-2</v>
      </c>
      <c r="W6349">
        <v>2.1799229999999998E-3</v>
      </c>
      <c r="X6349">
        <v>0.9998281</v>
      </c>
      <c r="Y6349">
        <v>-0.205343</v>
      </c>
      <c r="Z6349">
        <v>1.0127860000000001E-2</v>
      </c>
      <c r="AA6349">
        <v>0.97863770000000005</v>
      </c>
      <c r="AB6349">
        <v>18</v>
      </c>
      <c r="AC6349">
        <v>45.173499999999997</v>
      </c>
      <c r="AD6349">
        <v>-1.1103495811909001</v>
      </c>
      <c r="AE6349">
        <v>-5.2389700000000001</v>
      </c>
      <c r="AF6349">
        <v>-9.3562337947916294</v>
      </c>
      <c r="AG6349">
        <v>-1.1103495811909001</v>
      </c>
      <c r="AH6349">
        <v>44.475715270912701</v>
      </c>
      <c r="AI6349">
        <v>91.3994902938677</v>
      </c>
      <c r="AJ6349">
        <v>101.879930607717</v>
      </c>
      <c r="AK6349">
        <v>45.462745582229701</v>
      </c>
      <c r="AL6349">
        <v>89.875099510611804</v>
      </c>
      <c r="AM6349">
        <v>88.945054380729701</v>
      </c>
      <c r="AN6349">
        <v>0.99999997676555497</v>
      </c>
    </row>
    <row r="6350" spans="1:40" x14ac:dyDescent="0.25">
      <c r="A6350" t="str">
        <f>"20190312155003074"</f>
        <v>20190312155003074</v>
      </c>
      <c r="B6350" t="str">
        <f>"1552377003062691"</f>
        <v>1552377003062691</v>
      </c>
      <c r="C6350" t="s">
        <v>40</v>
      </c>
      <c r="D6350">
        <v>4.4445129999999997</v>
      </c>
      <c r="E6350">
        <v>0.41447070000000003</v>
      </c>
      <c r="F6350" t="s">
        <v>74</v>
      </c>
      <c r="G6350">
        <v>-239.41159999999999</v>
      </c>
      <c r="H6350" s="1">
        <v>-3.3208060000000002E-6</v>
      </c>
      <c r="I6350">
        <v>-61.758870000000002</v>
      </c>
      <c r="J6350">
        <v>-285.71510000000001</v>
      </c>
      <c r="K6350">
        <v>1.110298</v>
      </c>
      <c r="L6350">
        <v>-56.386110000000002</v>
      </c>
      <c r="M6350">
        <v>0.94865750000000004</v>
      </c>
      <c r="N6350">
        <v>0</v>
      </c>
      <c r="O6350">
        <v>-0.31613079999999999</v>
      </c>
      <c r="P6350">
        <v>0.94256050000000002</v>
      </c>
      <c r="Q6350">
        <v>-7.9123600000000002E-3</v>
      </c>
      <c r="R6350">
        <v>-0.33394309999999899</v>
      </c>
      <c r="S6350">
        <v>3.05661</v>
      </c>
      <c r="T6350">
        <v>-7.3153019999999999E-2</v>
      </c>
      <c r="U6350">
        <v>-0.35589599999999999</v>
      </c>
      <c r="V6350">
        <v>1.8821190000000002E-2</v>
      </c>
      <c r="W6350">
        <v>2.639593E-3</v>
      </c>
      <c r="X6350">
        <v>0.99981940000000002</v>
      </c>
      <c r="Y6350">
        <v>-0.2041618</v>
      </c>
      <c r="Z6350">
        <v>9.8407919999999992E-3</v>
      </c>
      <c r="AA6350">
        <v>0.97888770000000003</v>
      </c>
      <c r="AB6350">
        <v>18</v>
      </c>
      <c r="AC6350">
        <v>46.3035</v>
      </c>
      <c r="AD6350">
        <v>-1.110301320806</v>
      </c>
      <c r="AE6350">
        <v>-5.3727600000000004</v>
      </c>
      <c r="AF6350">
        <v>-9.5361692131035696</v>
      </c>
      <c r="AG6350">
        <v>-1.110301320806</v>
      </c>
      <c r="AH6350">
        <v>45.601301490022202</v>
      </c>
      <c r="AI6350">
        <v>91.365242097059394</v>
      </c>
      <c r="AJ6350">
        <v>101.811510066106</v>
      </c>
      <c r="AK6350">
        <v>46.600965546518701</v>
      </c>
      <c r="AL6350">
        <v>89.848762288661405</v>
      </c>
      <c r="AM6350">
        <v>88.921557833341495</v>
      </c>
      <c r="AN6350">
        <v>1.00000001863029</v>
      </c>
    </row>
    <row r="6351" spans="1:40" x14ac:dyDescent="0.25">
      <c r="A6351" t="str">
        <f>"20190312155003088"</f>
        <v>20190312155003088</v>
      </c>
      <c r="B6351" t="str">
        <f>"1552377003082211"</f>
        <v>1552377003082211</v>
      </c>
      <c r="C6351" t="s">
        <v>40</v>
      </c>
      <c r="D6351">
        <v>4.413252</v>
      </c>
      <c r="E6351">
        <v>0.41525479999999998</v>
      </c>
      <c r="F6351" t="s">
        <v>74</v>
      </c>
      <c r="G6351">
        <v>-238.2585</v>
      </c>
      <c r="H6351" s="1">
        <v>-2.9425830000000002E-6</v>
      </c>
      <c r="I6351">
        <v>-61.93421</v>
      </c>
      <c r="J6351">
        <v>-285.6148</v>
      </c>
      <c r="K6351">
        <v>1.110241</v>
      </c>
      <c r="L6351">
        <v>-56.418030000000002</v>
      </c>
      <c r="M6351">
        <v>0.94904250000000001</v>
      </c>
      <c r="N6351">
        <v>0</v>
      </c>
      <c r="O6351">
        <v>-0.31498159999999997</v>
      </c>
      <c r="P6351">
        <v>0.94274069999999999</v>
      </c>
      <c r="Q6351">
        <v>-7.4466339999999997E-3</v>
      </c>
      <c r="R6351">
        <v>-0.3334434</v>
      </c>
      <c r="S6351">
        <v>3.0556640000000002</v>
      </c>
      <c r="T6351">
        <v>-7.149076E-2</v>
      </c>
      <c r="U6351">
        <v>-0.35723880000000002</v>
      </c>
      <c r="V6351">
        <v>1.9501899999999999E-2</v>
      </c>
      <c r="W6351">
        <v>2.8284199999999999E-3</v>
      </c>
      <c r="X6351">
        <v>0.99980579999999997</v>
      </c>
      <c r="Y6351">
        <v>-0.20252290000000001</v>
      </c>
      <c r="Z6351">
        <v>9.5752370000000003E-3</v>
      </c>
      <c r="AA6351">
        <v>0.97923070000000001</v>
      </c>
      <c r="AB6351">
        <v>18</v>
      </c>
      <c r="AC6351">
        <v>47.356299999999997</v>
      </c>
      <c r="AD6351">
        <v>-1.110243942583</v>
      </c>
      <c r="AE6351">
        <v>-5.5161799999999896</v>
      </c>
      <c r="AF6351">
        <v>-9.6765343811145108</v>
      </c>
      <c r="AG6351">
        <v>-1.110243942583</v>
      </c>
      <c r="AH6351">
        <v>46.657783857712801</v>
      </c>
      <c r="AI6351">
        <v>91.334730783264604</v>
      </c>
      <c r="AJ6351">
        <v>101.71668637051</v>
      </c>
      <c r="AK6351">
        <v>47.6635789020714</v>
      </c>
      <c r="AL6351">
        <v>89.837943252137293</v>
      </c>
      <c r="AM6351">
        <v>88.882548106129505</v>
      </c>
      <c r="AN6351">
        <v>0.99999998088847297</v>
      </c>
    </row>
    <row r="6352" spans="1:40" x14ac:dyDescent="0.25">
      <c r="A6352" t="str">
        <f>"20190312155003100"</f>
        <v>20190312155003100</v>
      </c>
      <c r="B6352" t="str">
        <f>"1552377003091972"</f>
        <v>1552377003091972</v>
      </c>
      <c r="C6352" t="s">
        <v>40</v>
      </c>
      <c r="D6352">
        <v>4.4094810000000004</v>
      </c>
      <c r="E6352">
        <v>0.41525479999999998</v>
      </c>
      <c r="F6352" t="s">
        <v>74</v>
      </c>
      <c r="G6352">
        <v>-238.16759999999999</v>
      </c>
      <c r="H6352" s="1">
        <v>-2.9299850000000001E-6</v>
      </c>
      <c r="I6352">
        <v>-62.033369999999998</v>
      </c>
      <c r="J6352">
        <v>-285.51519999999999</v>
      </c>
      <c r="K6352">
        <v>1.1101730000000001</v>
      </c>
      <c r="L6352">
        <v>-56.449710000000003</v>
      </c>
      <c r="M6352">
        <v>0.94940159999999996</v>
      </c>
      <c r="N6352">
        <v>0</v>
      </c>
      <c r="O6352">
        <v>-0.31390770000000001</v>
      </c>
      <c r="P6352">
        <v>0.94293020000000005</v>
      </c>
      <c r="Q6352">
        <v>-6.7582199999999997E-3</v>
      </c>
      <c r="R6352">
        <v>-0.33292310000000003</v>
      </c>
      <c r="S6352">
        <v>3.0538020000000001</v>
      </c>
      <c r="T6352">
        <v>-7.1457740000000006E-2</v>
      </c>
      <c r="U6352">
        <v>-0.36141970000000001</v>
      </c>
      <c r="V6352">
        <v>2.0080009999999999E-2</v>
      </c>
      <c r="W6352">
        <v>3.2256229999999999E-3</v>
      </c>
      <c r="X6352">
        <v>0.99979320000000005</v>
      </c>
      <c r="Y6352">
        <v>-0.20002310000000001</v>
      </c>
      <c r="Z6352">
        <v>9.5224790000000004E-3</v>
      </c>
      <c r="AA6352">
        <v>0.97974490000000003</v>
      </c>
      <c r="AB6352">
        <v>18</v>
      </c>
      <c r="AC6352">
        <v>47.3476</v>
      </c>
      <c r="AD6352">
        <v>-1.11017592998499</v>
      </c>
      <c r="AE6352">
        <v>-5.5836600000000001</v>
      </c>
      <c r="AF6352">
        <v>-9.5569295763658602</v>
      </c>
      <c r="AG6352">
        <v>-1.11017592998499</v>
      </c>
      <c r="AH6352">
        <v>46.681630263903003</v>
      </c>
      <c r="AI6352">
        <v>91.334670967417907</v>
      </c>
      <c r="AJ6352">
        <v>101.570043185554</v>
      </c>
      <c r="AK6352">
        <v>47.662794689557202</v>
      </c>
      <c r="AL6352">
        <v>89.815185100319397</v>
      </c>
      <c r="AM6352">
        <v>88.849416890163198</v>
      </c>
      <c r="AN6352">
        <v>1.0000000271057801</v>
      </c>
    </row>
    <row r="6353" spans="1:40" x14ac:dyDescent="0.25">
      <c r="A6353" t="str">
        <f>"20190312155003116"</f>
        <v>20190312155003116</v>
      </c>
      <c r="B6353" t="str">
        <f>"1552377003112468"</f>
        <v>1552377003112468</v>
      </c>
      <c r="C6353" t="s">
        <v>40</v>
      </c>
      <c r="D6353">
        <v>4.4997530000000001</v>
      </c>
      <c r="E6353">
        <v>0.43217549999999999</v>
      </c>
      <c r="F6353" t="s">
        <v>74</v>
      </c>
      <c r="G6353">
        <v>-236.41650000000001</v>
      </c>
      <c r="H6353" s="1">
        <v>-2.2318599999999999E-6</v>
      </c>
      <c r="I6353">
        <v>-62.232999999999997</v>
      </c>
      <c r="J6353">
        <v>-285.39789999999999</v>
      </c>
      <c r="K6353">
        <v>1.110088</v>
      </c>
      <c r="L6353">
        <v>-56.486879999999999</v>
      </c>
      <c r="M6353">
        <v>0.94980279999999995</v>
      </c>
      <c r="N6353">
        <v>0</v>
      </c>
      <c r="O6353">
        <v>-0.31270199999999998</v>
      </c>
      <c r="P6353">
        <v>0.9430115</v>
      </c>
      <c r="Q6353">
        <v>-6.3362619999999996E-3</v>
      </c>
      <c r="R6353">
        <v>-0.3327</v>
      </c>
      <c r="S6353">
        <v>3.0540769999999999</v>
      </c>
      <c r="T6353">
        <v>-6.9056030000000004E-2</v>
      </c>
      <c r="U6353">
        <v>-0.35974119999999998</v>
      </c>
      <c r="V6353">
        <v>2.1113429999999999E-2</v>
      </c>
      <c r="W6353">
        <v>3.300009E-3</v>
      </c>
      <c r="X6353">
        <v>0.99977169999999904</v>
      </c>
      <c r="Y6353">
        <v>-0.1993287</v>
      </c>
      <c r="Z6353">
        <v>9.1684590000000003E-3</v>
      </c>
      <c r="AA6353">
        <v>0.97988980000000003</v>
      </c>
      <c r="AB6353">
        <v>18</v>
      </c>
      <c r="AC6353">
        <v>48.981399999999901</v>
      </c>
      <c r="AD6353">
        <v>-1.1100902318600001</v>
      </c>
      <c r="AE6353">
        <v>-5.7461199999999897</v>
      </c>
      <c r="AF6353">
        <v>-9.8543620848986002</v>
      </c>
      <c r="AG6353">
        <v>-1.1100902318600001</v>
      </c>
      <c r="AH6353">
        <v>48.297248990827697</v>
      </c>
      <c r="AI6353">
        <v>91.290114505127704</v>
      </c>
      <c r="AJ6353">
        <v>101.532093062591</v>
      </c>
      <c r="AK6353">
        <v>49.304817335684</v>
      </c>
      <c r="AL6353">
        <v>89.810923080027393</v>
      </c>
      <c r="AM6353">
        <v>88.790193158715994</v>
      </c>
      <c r="AN6353">
        <v>1.0000000595533201</v>
      </c>
    </row>
    <row r="6354" spans="1:40" x14ac:dyDescent="0.25">
      <c r="A6354" t="str">
        <f>"20190312155003130"</f>
        <v>20190312155003130</v>
      </c>
      <c r="B6354" t="str">
        <f>"1552377003122228"</f>
        <v>1552377003122228</v>
      </c>
      <c r="C6354" t="s">
        <v>40</v>
      </c>
      <c r="D6354">
        <v>4.4956529999999999</v>
      </c>
      <c r="E6354">
        <v>0.43279869999999998</v>
      </c>
      <c r="F6354" t="s">
        <v>73</v>
      </c>
      <c r="G6354">
        <v>-244.5592</v>
      </c>
      <c r="H6354" s="1">
        <v>-1.6607179999999999E-6</v>
      </c>
      <c r="I6354">
        <v>-63.080950000000001</v>
      </c>
      <c r="J6354">
        <v>-285.2919</v>
      </c>
      <c r="K6354">
        <v>1.110004</v>
      </c>
      <c r="L6354">
        <v>-56.520479999999999</v>
      </c>
      <c r="M6354">
        <v>0.95014940000000003</v>
      </c>
      <c r="N6354">
        <v>0</v>
      </c>
      <c r="O6354">
        <v>-0.31165720000000002</v>
      </c>
      <c r="P6354">
        <v>0.94266159999999999</v>
      </c>
      <c r="Q6354">
        <v>-6.682281E-3</v>
      </c>
      <c r="R6354">
        <v>-0.33368379999999997</v>
      </c>
      <c r="S6354">
        <v>3.009277</v>
      </c>
      <c r="T6354">
        <v>-8.1799029999999995E-2</v>
      </c>
      <c r="U6354">
        <v>-0.48590090000000002</v>
      </c>
      <c r="V6354">
        <v>2.3259209999999999E-2</v>
      </c>
      <c r="W6354">
        <v>2.6376849999999999E-3</v>
      </c>
      <c r="X6354">
        <v>0.999726</v>
      </c>
      <c r="Y6354">
        <v>-0.1560588</v>
      </c>
      <c r="Z6354">
        <v>1.036349E-2</v>
      </c>
      <c r="AA6354">
        <v>0.98769340000000005</v>
      </c>
      <c r="AB6354">
        <v>18</v>
      </c>
      <c r="AC6354">
        <v>40.732700000000001</v>
      </c>
      <c r="AD6354">
        <v>-1.110005660718</v>
      </c>
      <c r="AE6354">
        <v>-6.5604699999999898</v>
      </c>
      <c r="AF6354">
        <v>-6.4568164545865399</v>
      </c>
      <c r="AG6354">
        <v>-1.110005660718</v>
      </c>
      <c r="AH6354">
        <v>40.719044500340502</v>
      </c>
      <c r="AI6354">
        <v>91.542243026060802</v>
      </c>
      <c r="AJ6354">
        <v>99.010367972556395</v>
      </c>
      <c r="AK6354">
        <v>41.242734830703903</v>
      </c>
      <c r="AL6354">
        <v>89.8488716083329</v>
      </c>
      <c r="AM6354">
        <v>88.667220622304797</v>
      </c>
      <c r="AN6354">
        <v>1.00000001165399</v>
      </c>
    </row>
    <row r="6355" spans="1:40" x14ac:dyDescent="0.25">
      <c r="A6355" t="str">
        <f>"20190312155003142"</f>
        <v>20190312155003142</v>
      </c>
      <c r="B6355" t="str">
        <f>"1552377003131987"</f>
        <v>1552377003131987</v>
      </c>
      <c r="C6355" t="s">
        <v>40</v>
      </c>
      <c r="D6355">
        <v>4.469767</v>
      </c>
      <c r="E6355">
        <v>0.43315239999999999</v>
      </c>
      <c r="F6355" t="s">
        <v>73</v>
      </c>
      <c r="G6355">
        <v>-246.5172</v>
      </c>
      <c r="H6355" s="1">
        <v>-2.448847E-6</v>
      </c>
      <c r="I6355">
        <v>-62.886119999999998</v>
      </c>
      <c r="J6355">
        <v>-285.1909</v>
      </c>
      <c r="K6355">
        <v>1.1099289999999999</v>
      </c>
      <c r="L6355">
        <v>-56.552399999999999</v>
      </c>
      <c r="M6355">
        <v>0.95046249999999999</v>
      </c>
      <c r="N6355">
        <v>0</v>
      </c>
      <c r="O6355">
        <v>-0.31070930000000002</v>
      </c>
      <c r="P6355">
        <v>0.94273750000000001</v>
      </c>
      <c r="Q6355">
        <v>-7.0208989999999997E-3</v>
      </c>
      <c r="R6355">
        <v>-0.33346219999999999</v>
      </c>
      <c r="S6355">
        <v>3.0071110000000001</v>
      </c>
      <c r="T6355">
        <v>-8.6084839999999996E-2</v>
      </c>
      <c r="U6355">
        <v>-0.49368289999999998</v>
      </c>
      <c r="V6355">
        <v>2.4024E-2</v>
      </c>
      <c r="W6355">
        <v>1.991573E-3</v>
      </c>
      <c r="X6355">
        <v>0.99970939999999997</v>
      </c>
      <c r="Y6355">
        <v>-0.152453799999999</v>
      </c>
      <c r="Z6355">
        <v>1.083405E-2</v>
      </c>
      <c r="AA6355">
        <v>0.9882512</v>
      </c>
      <c r="AB6355">
        <v>18</v>
      </c>
      <c r="AC6355">
        <v>38.673699999999997</v>
      </c>
      <c r="AD6355">
        <v>-1.109931448847</v>
      </c>
      <c r="AE6355">
        <v>-6.3337199999999996</v>
      </c>
      <c r="AF6355">
        <v>-5.9917506805834497</v>
      </c>
      <c r="AG6355">
        <v>-1.109931448847</v>
      </c>
      <c r="AH6355">
        <v>38.696370248265602</v>
      </c>
      <c r="AI6355">
        <v>91.623631665584597</v>
      </c>
      <c r="AJ6355">
        <v>98.801787334772698</v>
      </c>
      <c r="AK6355">
        <v>39.173231860931097</v>
      </c>
      <c r="AL6355">
        <v>89.885891197268094</v>
      </c>
      <c r="AM6355">
        <v>88.623391024415398</v>
      </c>
      <c r="AN6355">
        <v>1.0000000016936801</v>
      </c>
    </row>
    <row r="6356" spans="1:40" x14ac:dyDescent="0.25">
      <c r="A6356" t="str">
        <f>"20190312155003154"</f>
        <v>20190312155003154</v>
      </c>
      <c r="B6356" t="str">
        <f>"1552377003141748"</f>
        <v>1552377003141748</v>
      </c>
      <c r="C6356" t="s">
        <v>40</v>
      </c>
      <c r="D6356">
        <v>4.4956610000000001</v>
      </c>
      <c r="E6356">
        <v>0.43366369999999999</v>
      </c>
      <c r="F6356" t="s">
        <v>73</v>
      </c>
      <c r="G6356">
        <v>-247.9836</v>
      </c>
      <c r="H6356" s="1">
        <v>-2.9992180000000001E-6</v>
      </c>
      <c r="I6356">
        <v>-62.685499999999998</v>
      </c>
      <c r="J6356">
        <v>-285.09980000000002</v>
      </c>
      <c r="K6356">
        <v>1.1098570000000001</v>
      </c>
      <c r="L6356">
        <v>-56.581180000000003</v>
      </c>
      <c r="M6356">
        <v>0.95072939999999995</v>
      </c>
      <c r="N6356">
        <v>0</v>
      </c>
      <c r="O6356">
        <v>-0.30990020000000001</v>
      </c>
      <c r="P6356">
        <v>0.94267210000000001</v>
      </c>
      <c r="Q6356">
        <v>-7.9219659999999904E-3</v>
      </c>
      <c r="R6356">
        <v>-0.33362619999999998</v>
      </c>
      <c r="S6356">
        <v>3.006256</v>
      </c>
      <c r="T6356">
        <v>-8.9679720000000004E-2</v>
      </c>
      <c r="U6356">
        <v>-0.4955444</v>
      </c>
      <c r="V6356">
        <v>2.5053800000000001E-2</v>
      </c>
      <c r="W6356">
        <v>8.0997139999999996E-4</v>
      </c>
      <c r="X6356">
        <v>0.99968579999999996</v>
      </c>
      <c r="Y6356">
        <v>-0.15095649999999999</v>
      </c>
      <c r="Z6356">
        <v>1.124373E-2</v>
      </c>
      <c r="AA6356">
        <v>0.98847649999999998</v>
      </c>
      <c r="AB6356">
        <v>18</v>
      </c>
      <c r="AC6356">
        <v>37.116199999999999</v>
      </c>
      <c r="AD6356">
        <v>-1.1098599992179901</v>
      </c>
      <c r="AE6356">
        <v>-6.1043199999999898</v>
      </c>
      <c r="AF6356">
        <v>-5.6940191694570297</v>
      </c>
      <c r="AG6356">
        <v>-1.1098599992179901</v>
      </c>
      <c r="AH6356">
        <v>37.148254411460599</v>
      </c>
      <c r="AI6356">
        <v>91.691544857600405</v>
      </c>
      <c r="AJ6356">
        <v>98.714373006485403</v>
      </c>
      <c r="AK6356">
        <v>37.598489987479702</v>
      </c>
      <c r="AL6356">
        <v>89.953592053285405</v>
      </c>
      <c r="AM6356">
        <v>88.564372346884298</v>
      </c>
      <c r="AN6356">
        <v>1.0000000238348701</v>
      </c>
    </row>
    <row r="6357" spans="1:40" x14ac:dyDescent="0.25">
      <c r="A6357" t="str">
        <f>"20190312155003177"</f>
        <v>20190312155003177</v>
      </c>
      <c r="B6357" t="str">
        <f>"1552377003172003"</f>
        <v>1552377003172003</v>
      </c>
      <c r="C6357" t="s">
        <v>40</v>
      </c>
      <c r="D6357">
        <v>4.5462009999999999</v>
      </c>
      <c r="E6357">
        <v>0.43453570000000002</v>
      </c>
      <c r="F6357" t="s">
        <v>72</v>
      </c>
      <c r="G6357">
        <v>-250.47219999999999</v>
      </c>
      <c r="H6357" s="1">
        <v>2.261165E-7</v>
      </c>
      <c r="I6357">
        <v>-62.340479999999999</v>
      </c>
      <c r="J6357">
        <v>-284.91489999999999</v>
      </c>
      <c r="K6357">
        <v>1.10972</v>
      </c>
      <c r="L6357">
        <v>-56.639400000000002</v>
      </c>
      <c r="M6357">
        <v>0.95123930000000001</v>
      </c>
      <c r="N6357">
        <v>0</v>
      </c>
      <c r="O6357">
        <v>-0.30834739999999999</v>
      </c>
      <c r="P6357">
        <v>0.94273960000000001</v>
      </c>
      <c r="Q6357">
        <v>-1.00731E-2</v>
      </c>
      <c r="R6357">
        <v>-0.33337820000000001</v>
      </c>
      <c r="S6357">
        <v>3.0047609999999998</v>
      </c>
      <c r="T6357">
        <v>-9.6306439999999993E-2</v>
      </c>
      <c r="U6357">
        <v>-0.49975589999999998</v>
      </c>
      <c r="V6357">
        <v>2.6434369999999999E-2</v>
      </c>
      <c r="W6357">
        <v>-1.922389E-3</v>
      </c>
      <c r="X6357">
        <v>0.99964869999999995</v>
      </c>
      <c r="Y6357">
        <v>-0.14788519999999999</v>
      </c>
      <c r="Z6357">
        <v>1.1982380000000001E-2</v>
      </c>
      <c r="AA6357">
        <v>0.98893200000000003</v>
      </c>
      <c r="AB6357">
        <v>18</v>
      </c>
      <c r="AC6357">
        <v>34.442700000000002</v>
      </c>
      <c r="AD6357">
        <v>-1.1097197738834901</v>
      </c>
      <c r="AE6357">
        <v>-5.7010800000000001</v>
      </c>
      <c r="AF6357">
        <v>-5.1921501671356802</v>
      </c>
      <c r="AG6357">
        <v>-1.1097197738834901</v>
      </c>
      <c r="AH6357">
        <v>34.487450543354598</v>
      </c>
      <c r="AI6357">
        <v>91.822474600503</v>
      </c>
      <c r="AJ6357">
        <v>98.561687128702701</v>
      </c>
      <c r="AK6357">
        <v>34.893755119146498</v>
      </c>
      <c r="AL6357">
        <v>90.110144844404303</v>
      </c>
      <c r="AM6357">
        <v>88.485242914206097</v>
      </c>
      <c r="AN6357">
        <v>0.99999999745422696</v>
      </c>
    </row>
    <row r="6358" spans="1:40" x14ac:dyDescent="0.25">
      <c r="A6358" t="str">
        <f>"20190312155003188"</f>
        <v>20190312155003188</v>
      </c>
      <c r="B6358" t="str">
        <f>"1552377003182739"</f>
        <v>1552377003182739</v>
      </c>
      <c r="C6358" t="s">
        <v>40</v>
      </c>
      <c r="D6358">
        <v>4.5473119999999998</v>
      </c>
      <c r="E6358">
        <v>0.43504769999999998</v>
      </c>
      <c r="F6358" t="s">
        <v>72</v>
      </c>
      <c r="G6358">
        <v>-253.928</v>
      </c>
      <c r="H6358" s="1">
        <v>-1.148434E-6</v>
      </c>
      <c r="I6358">
        <v>-61.855020000000003</v>
      </c>
      <c r="J6358">
        <v>-284.8279</v>
      </c>
      <c r="K6358">
        <v>1.109658</v>
      </c>
      <c r="L6358">
        <v>-56.666780000000003</v>
      </c>
      <c r="M6358">
        <v>0.95146459999999999</v>
      </c>
      <c r="N6358">
        <v>0</v>
      </c>
      <c r="O6358">
        <v>-0.3076586</v>
      </c>
      <c r="P6358">
        <v>0.94287790000000005</v>
      </c>
      <c r="Q6358">
        <v>-1.100131E-2</v>
      </c>
      <c r="R6358">
        <v>-0.33295629999999998</v>
      </c>
      <c r="S6358">
        <v>3.002319</v>
      </c>
      <c r="T6358">
        <v>-0.1075208</v>
      </c>
      <c r="U6358">
        <v>-0.50534060000000003</v>
      </c>
      <c r="V6358">
        <v>2.6716500000000001E-2</v>
      </c>
      <c r="W6358">
        <v>-3.1294209999999999E-3</v>
      </c>
      <c r="X6358">
        <v>0.99963809999999997</v>
      </c>
      <c r="Y6358">
        <v>-0.14519550000000001</v>
      </c>
      <c r="Z6358">
        <v>1.331364E-2</v>
      </c>
      <c r="AA6358">
        <v>0.98931340000000001</v>
      </c>
      <c r="AB6358">
        <v>18</v>
      </c>
      <c r="AC6358">
        <v>30.899899999999999</v>
      </c>
      <c r="AD6358">
        <v>-1.1096591484339999</v>
      </c>
      <c r="AE6358">
        <v>-5.1882399999999897</v>
      </c>
      <c r="AF6358">
        <v>-4.5646081142530299</v>
      </c>
      <c r="AG6358">
        <v>-1.1096591484339999</v>
      </c>
      <c r="AH6358">
        <v>30.9584874596964</v>
      </c>
      <c r="AI6358">
        <v>92.030862382734597</v>
      </c>
      <c r="AJ6358">
        <v>98.387423146233502</v>
      </c>
      <c r="AK6358">
        <v>31.312855769708801</v>
      </c>
      <c r="AL6358">
        <v>90.179302917638694</v>
      </c>
      <c r="AM6358">
        <v>88.469067569928001</v>
      </c>
      <c r="AN6358">
        <v>0.99999994780982604</v>
      </c>
    </row>
    <row r="6359" spans="1:40" x14ac:dyDescent="0.25">
      <c r="A6359" t="str">
        <f>"20190312155003200"</f>
        <v>20190312155003200</v>
      </c>
      <c r="B6359" t="str">
        <f>"1552377003192499"</f>
        <v>1552377003192499</v>
      </c>
      <c r="C6359" t="s">
        <v>40</v>
      </c>
      <c r="D6359">
        <v>4.6105869999999998</v>
      </c>
      <c r="E6359">
        <v>0.43528850000000002</v>
      </c>
      <c r="F6359" t="s">
        <v>72</v>
      </c>
      <c r="G6359">
        <v>-255.1696</v>
      </c>
      <c r="H6359" s="1">
        <v>-1.643094E-6</v>
      </c>
      <c r="I6359">
        <v>-61.68421</v>
      </c>
      <c r="J6359">
        <v>-284.7321</v>
      </c>
      <c r="K6359">
        <v>1.10959599999999</v>
      </c>
      <c r="L6359">
        <v>-56.696840000000002</v>
      </c>
      <c r="M6359">
        <v>0.95169939999999997</v>
      </c>
      <c r="N6359">
        <v>0</v>
      </c>
      <c r="O6359">
        <v>-0.30693890000000001</v>
      </c>
      <c r="P6359">
        <v>0.94291469999999999</v>
      </c>
      <c r="Q6359">
        <v>-1.1793649999999999E-2</v>
      </c>
      <c r="R6359">
        <v>-0.3328256</v>
      </c>
      <c r="S6359">
        <v>3.00116</v>
      </c>
      <c r="T6359">
        <v>-0.112288</v>
      </c>
      <c r="U6359">
        <v>-0.50772090000000003</v>
      </c>
      <c r="V6359">
        <v>2.7338500000000002E-2</v>
      </c>
      <c r="W6359">
        <v>-4.2305069999999997E-3</v>
      </c>
      <c r="X6359">
        <v>0.99961730000000004</v>
      </c>
      <c r="Y6359">
        <v>-0.14359729999999901</v>
      </c>
      <c r="Z6359">
        <v>1.385249E-2</v>
      </c>
      <c r="AA6359">
        <v>0.98953930000000001</v>
      </c>
      <c r="AB6359">
        <v>19</v>
      </c>
      <c r="AC6359">
        <v>29.5625</v>
      </c>
      <c r="AD6359">
        <v>-1.10959764309399</v>
      </c>
      <c r="AE6359">
        <v>-4.9873699999999896</v>
      </c>
      <c r="AF6359">
        <v>-4.3216072350449002</v>
      </c>
      <c r="AG6359">
        <v>-1.10959764309399</v>
      </c>
      <c r="AH6359">
        <v>29.625691775056801</v>
      </c>
      <c r="AI6359">
        <v>92.1225049237664</v>
      </c>
      <c r="AJ6359">
        <v>98.299405771033804</v>
      </c>
      <c r="AK6359">
        <v>29.9597915409006</v>
      </c>
      <c r="AL6359">
        <v>90.242390914811295</v>
      </c>
      <c r="AM6359">
        <v>88.433410155821605</v>
      </c>
      <c r="AN6359">
        <v>1.0000000186155</v>
      </c>
    </row>
    <row r="6360" spans="1:40" x14ac:dyDescent="0.25">
      <c r="A6360" t="str">
        <f>"20190312155003213"</f>
        <v>20190312155003213</v>
      </c>
      <c r="B6360" t="str">
        <f>"1552377003202260"</f>
        <v>1552377003202260</v>
      </c>
      <c r="C6360" t="s">
        <v>40</v>
      </c>
      <c r="D6360">
        <v>4.5720150000000004</v>
      </c>
      <c r="E6360">
        <v>0.43526039999999999</v>
      </c>
      <c r="F6360" t="s">
        <v>72</v>
      </c>
      <c r="G6360">
        <v>-256.26150000000001</v>
      </c>
      <c r="H6360" s="1">
        <v>-2.0766600000000001E-6</v>
      </c>
      <c r="I6360">
        <v>-61.527520000000003</v>
      </c>
      <c r="J6360">
        <v>-284.63240000000002</v>
      </c>
      <c r="K6360">
        <v>1.1095349999999999</v>
      </c>
      <c r="L6360">
        <v>-56.728090000000002</v>
      </c>
      <c r="M6360">
        <v>0.95193249999999996</v>
      </c>
      <c r="N6360">
        <v>0</v>
      </c>
      <c r="O6360">
        <v>-0.30622290000000002</v>
      </c>
      <c r="P6360">
        <v>0.94302640000000004</v>
      </c>
      <c r="Q6360">
        <v>-1.226435E-2</v>
      </c>
      <c r="R6360">
        <v>-0.3324916</v>
      </c>
      <c r="S6360">
        <v>3.0004580000000001</v>
      </c>
      <c r="T6360">
        <v>-0.1169381</v>
      </c>
      <c r="U6360">
        <v>-0.50909420000000005</v>
      </c>
      <c r="V6360">
        <v>2.7739860000000002E-2</v>
      </c>
      <c r="W6360">
        <v>-5.0221839999999998E-3</v>
      </c>
      <c r="X6360">
        <v>0.99960260000000001</v>
      </c>
      <c r="Y6360">
        <v>-0.1423499</v>
      </c>
      <c r="Z6360">
        <v>1.4377859999999999E-2</v>
      </c>
      <c r="AA6360">
        <v>0.98971189999999998</v>
      </c>
      <c r="AB6360">
        <v>19</v>
      </c>
      <c r="AC6360">
        <v>28.370899999999999</v>
      </c>
      <c r="AD6360">
        <v>-1.1095370766599999</v>
      </c>
      <c r="AE6360">
        <v>-4.7994299999999903</v>
      </c>
      <c r="AF6360">
        <v>-4.1130773218489702</v>
      </c>
      <c r="AG6360">
        <v>-1.1095370766599999</v>
      </c>
      <c r="AH6360">
        <v>28.435337621176799</v>
      </c>
      <c r="AI6360">
        <v>92.211535358437203</v>
      </c>
      <c r="AJ6360">
        <v>98.230559627073205</v>
      </c>
      <c r="AK6360">
        <v>28.752685147830999</v>
      </c>
      <c r="AL6360">
        <v>90.287751145249302</v>
      </c>
      <c r="AM6360">
        <v>88.410399201239599</v>
      </c>
      <c r="AN6360">
        <v>1.00000004004585</v>
      </c>
    </row>
    <row r="6361" spans="1:40" x14ac:dyDescent="0.25">
      <c r="A6361" t="str">
        <f>"20190312155003224"</f>
        <v>20190312155003224</v>
      </c>
      <c r="B6361" t="str">
        <f>"1552377003212020"</f>
        <v>1552377003212020</v>
      </c>
      <c r="C6361" t="s">
        <v>40</v>
      </c>
      <c r="D6361">
        <v>4.5935040000000003</v>
      </c>
      <c r="E6361">
        <v>0.43543989999999999</v>
      </c>
      <c r="F6361" t="s">
        <v>72</v>
      </c>
      <c r="G6361">
        <v>-256.32589999999999</v>
      </c>
      <c r="H6361" s="1">
        <v>-2.1024520000000001E-6</v>
      </c>
      <c r="I6361">
        <v>-61.519109999999998</v>
      </c>
      <c r="J6361">
        <v>-284.53930000000003</v>
      </c>
      <c r="K6361">
        <v>1.10948</v>
      </c>
      <c r="L6361">
        <v>-56.757260000000002</v>
      </c>
      <c r="M6361">
        <v>0.9521442</v>
      </c>
      <c r="N6361">
        <v>0</v>
      </c>
      <c r="O6361">
        <v>-0.30557069999999997</v>
      </c>
      <c r="P6361">
        <v>0.94309829999999994</v>
      </c>
      <c r="Q6361">
        <v>-1.295318E-2</v>
      </c>
      <c r="R6361">
        <v>-0.33226209999999901</v>
      </c>
      <c r="S6361">
        <v>3.0006409999999999</v>
      </c>
      <c r="T6361">
        <v>-0.117616899999999</v>
      </c>
      <c r="U6361">
        <v>-0.50787349999999998</v>
      </c>
      <c r="V6361">
        <v>2.8185490000000001E-2</v>
      </c>
      <c r="W6361">
        <v>-6.0109469999999896E-3</v>
      </c>
      <c r="X6361">
        <v>0.99958460000000005</v>
      </c>
      <c r="Y6361">
        <v>-0.14206939999999901</v>
      </c>
      <c r="Z6361">
        <v>1.443148E-2</v>
      </c>
      <c r="AA6361">
        <v>0.98975150000000001</v>
      </c>
      <c r="AB6361">
        <v>19</v>
      </c>
      <c r="AC6361">
        <v>28.2134</v>
      </c>
      <c r="AD6361">
        <v>-1.1094821024519901</v>
      </c>
      <c r="AE6361">
        <v>-4.7618499999999999</v>
      </c>
      <c r="AF6361">
        <v>-4.0811821151102503</v>
      </c>
      <c r="AG6361">
        <v>-1.1094821024519901</v>
      </c>
      <c r="AH6361">
        <v>28.276469862766</v>
      </c>
      <c r="AI6361">
        <v>92.223937210797601</v>
      </c>
      <c r="AJ6361">
        <v>98.212863823811006</v>
      </c>
      <c r="AK6361">
        <v>28.5910081300445</v>
      </c>
      <c r="AL6361">
        <v>90.344403980731599</v>
      </c>
      <c r="AM6361">
        <v>88.384847236306996</v>
      </c>
      <c r="AN6361">
        <v>0.99999996294376703</v>
      </c>
    </row>
    <row r="6362" spans="1:40" x14ac:dyDescent="0.25">
      <c r="A6362" t="str">
        <f>"20190312155003241"</f>
        <v>20190312155003241</v>
      </c>
      <c r="B6362" t="str">
        <f>"1552377003232515"</f>
        <v>1552377003232515</v>
      </c>
      <c r="C6362" t="s">
        <v>40</v>
      </c>
      <c r="D6362">
        <v>4.6051960000000003</v>
      </c>
      <c r="E6362">
        <v>0.43579889999999999</v>
      </c>
      <c r="F6362" t="s">
        <v>72</v>
      </c>
      <c r="G6362">
        <v>-257.32760000000002</v>
      </c>
      <c r="H6362" s="1">
        <v>-2.4990760000000001E-6</v>
      </c>
      <c r="I6362">
        <v>-61.37039</v>
      </c>
      <c r="J6362">
        <v>-284.40969999999999</v>
      </c>
      <c r="K6362">
        <v>1.109405</v>
      </c>
      <c r="L6362">
        <v>-56.797789999999999</v>
      </c>
      <c r="M6362">
        <v>0.9524205</v>
      </c>
      <c r="N6362">
        <v>0</v>
      </c>
      <c r="O6362">
        <v>-0.30471759999999998</v>
      </c>
      <c r="P6362">
        <v>0.94279060000000003</v>
      </c>
      <c r="Q6362">
        <v>-1.4604290000000001E-2</v>
      </c>
      <c r="R6362">
        <v>-0.333065</v>
      </c>
      <c r="S6362">
        <v>3.0001530000000001</v>
      </c>
      <c r="T6362">
        <v>-0.12232270000000001</v>
      </c>
      <c r="U6362">
        <v>-0.508606</v>
      </c>
      <c r="V6362">
        <v>2.9942739999999999E-2</v>
      </c>
      <c r="W6362">
        <v>-8.0777999999999996E-3</v>
      </c>
      <c r="X6362">
        <v>0.99951900000000005</v>
      </c>
      <c r="Y6362">
        <v>-0.1408953</v>
      </c>
      <c r="Z6362">
        <v>1.495383E-2</v>
      </c>
      <c r="AA6362">
        <v>0.9899116</v>
      </c>
      <c r="AB6362">
        <v>19</v>
      </c>
      <c r="AC6362">
        <v>27.082099999999901</v>
      </c>
      <c r="AD6362">
        <v>-1.1094074990759999</v>
      </c>
      <c r="AE6362">
        <v>-4.5726000000000004</v>
      </c>
      <c r="AF6362">
        <v>-3.8910884696456098</v>
      </c>
      <c r="AG6362">
        <v>-1.1094074990759999</v>
      </c>
      <c r="AH6362">
        <v>27.1431885195753</v>
      </c>
      <c r="AI6362">
        <v>92.316854902548698</v>
      </c>
      <c r="AJ6362">
        <v>98.158006778986206</v>
      </c>
      <c r="AK6362">
        <v>27.443105463609999</v>
      </c>
      <c r="AL6362">
        <v>90.4628288696276</v>
      </c>
      <c r="AM6362">
        <v>88.284094953005194</v>
      </c>
      <c r="AN6362">
        <v>1.0000000249462699</v>
      </c>
    </row>
    <row r="6363" spans="1:40" x14ac:dyDescent="0.25">
      <c r="A6363" t="str">
        <f>"20190312155003252"</f>
        <v>20190312155003252</v>
      </c>
      <c r="B6363" t="str">
        <f>"1552377003242276"</f>
        <v>1552377003242276</v>
      </c>
      <c r="C6363" t="s">
        <v>40</v>
      </c>
      <c r="D6363">
        <v>4.6207539999999998</v>
      </c>
      <c r="E6363">
        <v>0.4357219</v>
      </c>
      <c r="F6363" t="s">
        <v>72</v>
      </c>
      <c r="G6363">
        <v>-258.51979999999998</v>
      </c>
      <c r="H6363" s="1">
        <v>-2.980452E-6</v>
      </c>
      <c r="I6363">
        <v>-61.235129999999998</v>
      </c>
      <c r="J6363">
        <v>-284.3184</v>
      </c>
      <c r="K6363">
        <v>1.109353</v>
      </c>
      <c r="L6363">
        <v>-56.82629</v>
      </c>
      <c r="M6363">
        <v>0.95260820000000002</v>
      </c>
      <c r="N6363">
        <v>0</v>
      </c>
      <c r="O6363">
        <v>-0.30413659999999998</v>
      </c>
      <c r="P6363">
        <v>0.94260560000000004</v>
      </c>
      <c r="Q6363">
        <v>-1.538137E-2</v>
      </c>
      <c r="R6363">
        <v>-0.33355400000000002</v>
      </c>
      <c r="S6363">
        <v>2.9984739999999999</v>
      </c>
      <c r="T6363">
        <v>-0.1284875</v>
      </c>
      <c r="U6363">
        <v>-0.51391600000000004</v>
      </c>
      <c r="V6363">
        <v>3.1075869999999998E-2</v>
      </c>
      <c r="W6363">
        <v>-9.147512E-3</v>
      </c>
      <c r="X6363">
        <v>0.99947520000000001</v>
      </c>
      <c r="Y6363">
        <v>-0.1384618</v>
      </c>
      <c r="Z6363">
        <v>1.563705E-2</v>
      </c>
      <c r="AA6363">
        <v>0.99024429999999997</v>
      </c>
      <c r="AB6363">
        <v>19</v>
      </c>
      <c r="AC6363">
        <v>25.7986</v>
      </c>
      <c r="AD6363">
        <v>-1.1093559804519999</v>
      </c>
      <c r="AE6363">
        <v>-4.4088399999999996</v>
      </c>
      <c r="AF6363">
        <v>-3.6399321843381802</v>
      </c>
      <c r="AG6363">
        <v>-1.1093559804519999</v>
      </c>
      <c r="AH6363">
        <v>25.870867816437102</v>
      </c>
      <c r="AI6363">
        <v>92.431449327514102</v>
      </c>
      <c r="AJ6363">
        <v>98.008727848320703</v>
      </c>
      <c r="AK6363">
        <v>26.149217551840898</v>
      </c>
      <c r="AL6363">
        <v>90.524121124026195</v>
      </c>
      <c r="AM6363">
        <v>88.219122623261299</v>
      </c>
      <c r="AN6363">
        <v>1.00000003104354</v>
      </c>
    </row>
    <row r="6364" spans="1:40" x14ac:dyDescent="0.25">
      <c r="A6364" t="str">
        <f>"20190312155003262"</f>
        <v>20190312155003262</v>
      </c>
      <c r="B6364" t="str">
        <f>"1552377003252036"</f>
        <v>1552377003252036</v>
      </c>
      <c r="C6364" t="s">
        <v>40</v>
      </c>
      <c r="D6364">
        <v>4.6410679999999997</v>
      </c>
      <c r="E6364">
        <v>0.43563970000000002</v>
      </c>
      <c r="F6364" t="s">
        <v>72</v>
      </c>
      <c r="G6364">
        <v>-258.67160000000001</v>
      </c>
      <c r="H6364" s="1">
        <v>-3.0447470000000001E-6</v>
      </c>
      <c r="I6364">
        <v>-61.231369999999998</v>
      </c>
      <c r="J6364">
        <v>-284.22800000000001</v>
      </c>
      <c r="K6364">
        <v>1.109308</v>
      </c>
      <c r="L6364">
        <v>-56.854489999999998</v>
      </c>
      <c r="M6364">
        <v>0.95278960000000001</v>
      </c>
      <c r="N6364">
        <v>0</v>
      </c>
      <c r="O6364">
        <v>-0.30357410000000001</v>
      </c>
      <c r="P6364">
        <v>0.94250979999999995</v>
      </c>
      <c r="Q6364">
        <v>-1.5756799999999901E-2</v>
      </c>
      <c r="R6364">
        <v>-0.33380729999999997</v>
      </c>
      <c r="S6364">
        <v>2.998291</v>
      </c>
      <c r="T6364">
        <v>-0.12969140000000001</v>
      </c>
      <c r="U6364">
        <v>-0.51498409999999994</v>
      </c>
      <c r="V6364">
        <v>3.1937550000000002E-2</v>
      </c>
      <c r="W6364">
        <v>-9.8127240000000001E-3</v>
      </c>
      <c r="X6364">
        <v>0.99944169999999999</v>
      </c>
      <c r="Y6364">
        <v>-0.1375178</v>
      </c>
      <c r="Z6364">
        <v>1.5740520000000001E-2</v>
      </c>
      <c r="AA6364">
        <v>0.99037419999999998</v>
      </c>
      <c r="AB6364">
        <v>19</v>
      </c>
      <c r="AC6364">
        <v>25.5564</v>
      </c>
      <c r="AD6364">
        <v>-1.109311044747</v>
      </c>
      <c r="AE6364">
        <v>-4.3768799999999901</v>
      </c>
      <c r="AF6364">
        <v>-3.5815220062446498</v>
      </c>
      <c r="AG6364">
        <v>-1.109311044747</v>
      </c>
      <c r="AH6364">
        <v>25.632107962054601</v>
      </c>
      <c r="AI6364">
        <v>92.454297467295007</v>
      </c>
      <c r="AJ6364">
        <v>97.954322378835997</v>
      </c>
      <c r="AK6364">
        <v>25.904880417667201</v>
      </c>
      <c r="AL6364">
        <v>90.562236691544996</v>
      </c>
      <c r="AM6364">
        <v>88.169713808032597</v>
      </c>
      <c r="AN6364">
        <v>1.0000000041755901</v>
      </c>
    </row>
    <row r="6365" spans="1:40" x14ac:dyDescent="0.25">
      <c r="A6365" t="str">
        <f>"20190312155003275"</f>
        <v>20190312155003275</v>
      </c>
      <c r="B6365" t="str">
        <f>"1552377003272532"</f>
        <v>1552377003272532</v>
      </c>
      <c r="C6365" t="s">
        <v>40</v>
      </c>
      <c r="D6365">
        <v>4.650239</v>
      </c>
      <c r="E6365">
        <v>0.43584970000000001</v>
      </c>
      <c r="F6365" t="s">
        <v>72</v>
      </c>
      <c r="G6365">
        <v>-258.59390000000002</v>
      </c>
      <c r="H6365" s="1">
        <v>-3.0173159999999999E-6</v>
      </c>
      <c r="I6365">
        <v>-61.257950000000001</v>
      </c>
      <c r="J6365">
        <v>-284.12529999999998</v>
      </c>
      <c r="K6365">
        <v>1.1092660000000001</v>
      </c>
      <c r="L6365">
        <v>-56.88644</v>
      </c>
      <c r="M6365">
        <v>0.95298870000000002</v>
      </c>
      <c r="N6365">
        <v>0</v>
      </c>
      <c r="O6365">
        <v>-0.30295429999999901</v>
      </c>
      <c r="P6365">
        <v>0.94251499999999999</v>
      </c>
      <c r="Q6365">
        <v>-1.5928049999999999E-2</v>
      </c>
      <c r="R6365">
        <v>-0.33378400000000003</v>
      </c>
      <c r="S6365">
        <v>2.9984440000000001</v>
      </c>
      <c r="T6365">
        <v>-0.12975699999999901</v>
      </c>
      <c r="U6365">
        <v>-0.51507570000000003</v>
      </c>
      <c r="V6365">
        <v>3.2564990000000002E-2</v>
      </c>
      <c r="W6365">
        <v>-1.0308309999999999E-2</v>
      </c>
      <c r="X6365">
        <v>0.99941650000000004</v>
      </c>
      <c r="Y6365">
        <v>-0.136852799999999</v>
      </c>
      <c r="Z6365">
        <v>1.5708059999999999E-2</v>
      </c>
      <c r="AA6365">
        <v>0.99046679999999998</v>
      </c>
      <c r="AB6365">
        <v>19</v>
      </c>
      <c r="AC6365">
        <v>25.531399999999898</v>
      </c>
      <c r="AD6365">
        <v>-1.109269017316</v>
      </c>
      <c r="AE6365">
        <v>-4.3715099999999998</v>
      </c>
      <c r="AF6365">
        <v>-3.56237048218971</v>
      </c>
      <c r="AG6365">
        <v>-1.109269017316</v>
      </c>
      <c r="AH6365">
        <v>25.6089398430362</v>
      </c>
      <c r="AI6365">
        <v>92.456630686712501</v>
      </c>
      <c r="AJ6365">
        <v>97.919395656642706</v>
      </c>
      <c r="AK6365">
        <v>25.879311449290999</v>
      </c>
      <c r="AL6365">
        <v>90.590633093748394</v>
      </c>
      <c r="AM6365">
        <v>88.133734457090995</v>
      </c>
      <c r="AN6365">
        <v>1.0000000401505</v>
      </c>
    </row>
    <row r="6366" spans="1:40" x14ac:dyDescent="0.25">
      <c r="A6366" t="str">
        <f>"20190312155003287"</f>
        <v>20190312155003287</v>
      </c>
      <c r="B6366" t="str">
        <f>"1552377003282292"</f>
        <v>1552377003282292</v>
      </c>
      <c r="C6366" t="s">
        <v>40</v>
      </c>
      <c r="D6366">
        <v>4.6528390000000002</v>
      </c>
      <c r="E6366">
        <v>0.435923</v>
      </c>
      <c r="F6366" t="s">
        <v>72</v>
      </c>
      <c r="G6366">
        <v>-258.55959999999999</v>
      </c>
      <c r="H6366" s="1">
        <v>-3.0100699999999998E-6</v>
      </c>
      <c r="I6366">
        <v>-61.291539999999998</v>
      </c>
      <c r="J6366">
        <v>-284.02440000000001</v>
      </c>
      <c r="K6366">
        <v>1.1092340000000001</v>
      </c>
      <c r="L6366">
        <v>-56.917789999999997</v>
      </c>
      <c r="M6366">
        <v>0.95318170000000002</v>
      </c>
      <c r="N6366">
        <v>0</v>
      </c>
      <c r="O6366">
        <v>-0.30235309999999999</v>
      </c>
      <c r="P6366">
        <v>0.94261379999999995</v>
      </c>
      <c r="Q6366">
        <v>-1.5878199999999999E-2</v>
      </c>
      <c r="R6366">
        <v>-0.33350839999999998</v>
      </c>
      <c r="S6366">
        <v>2.997833</v>
      </c>
      <c r="T6366">
        <v>-0.13007270000000001</v>
      </c>
      <c r="U6366">
        <v>-0.51654049999999996</v>
      </c>
      <c r="V6366">
        <v>3.2903630000000003E-2</v>
      </c>
      <c r="W6366">
        <v>-1.057404E-2</v>
      </c>
      <c r="X6366">
        <v>0.99940260000000003</v>
      </c>
      <c r="Y6366">
        <v>-0.13572300000000001</v>
      </c>
      <c r="Z6366">
        <v>1.5699560000000001E-2</v>
      </c>
      <c r="AA6366">
        <v>0.99062240000000001</v>
      </c>
      <c r="AB6366">
        <v>19</v>
      </c>
      <c r="AC6366">
        <v>25.4648</v>
      </c>
      <c r="AD6366">
        <v>-1.10923701007</v>
      </c>
      <c r="AE6366">
        <v>-4.3737500000000002</v>
      </c>
      <c r="AF6366">
        <v>-3.5239360042535899</v>
      </c>
      <c r="AG6366">
        <v>-1.10923701007</v>
      </c>
      <c r="AH6366">
        <v>25.5482597478995</v>
      </c>
      <c r="AI6366">
        <v>92.462779776419694</v>
      </c>
      <c r="AJ6366">
        <v>97.853397169238505</v>
      </c>
      <c r="AK6366">
        <v>25.813990544910499</v>
      </c>
      <c r="AL6366">
        <v>90.605859150108003</v>
      </c>
      <c r="AM6366">
        <v>88.114315083788796</v>
      </c>
      <c r="AN6366">
        <v>1.0000000080379201</v>
      </c>
    </row>
    <row r="6367" spans="1:40" x14ac:dyDescent="0.25">
      <c r="A6367" t="str">
        <f>"20190312155003299"</f>
        <v>20190312155003299</v>
      </c>
      <c r="B6367" t="str">
        <f>"1552377003292052"</f>
        <v>1552377003292052</v>
      </c>
      <c r="C6367" t="s">
        <v>40</v>
      </c>
      <c r="D6367">
        <v>4.656358</v>
      </c>
      <c r="E6367">
        <v>0.43596780000000002</v>
      </c>
      <c r="F6367" t="s">
        <v>72</v>
      </c>
      <c r="G6367">
        <v>-258.31880000000001</v>
      </c>
      <c r="H6367" s="1">
        <v>-2.9184580000000002E-6</v>
      </c>
      <c r="I6367">
        <v>-61.344099999999997</v>
      </c>
      <c r="J6367">
        <v>-283.92219999999998</v>
      </c>
      <c r="K6367">
        <v>1.109202</v>
      </c>
      <c r="L6367">
        <v>-56.949489999999997</v>
      </c>
      <c r="M6367">
        <v>0.95337249999999996</v>
      </c>
      <c r="N6367">
        <v>0</v>
      </c>
      <c r="O6367">
        <v>-0.30175550000000001</v>
      </c>
      <c r="P6367">
        <v>0.94286009999999998</v>
      </c>
      <c r="Q6367">
        <v>-1.5816159999999999E-2</v>
      </c>
      <c r="R6367">
        <v>-0.3328139</v>
      </c>
      <c r="S6367">
        <v>2.997833</v>
      </c>
      <c r="T6367">
        <v>-0.12936120000000001</v>
      </c>
      <c r="U6367">
        <v>-0.51620480000000002</v>
      </c>
      <c r="V6367">
        <v>3.2794459999999998E-2</v>
      </c>
      <c r="W6367">
        <v>-1.0822500000000001E-2</v>
      </c>
      <c r="X6367">
        <v>0.9994035</v>
      </c>
      <c r="Y6367">
        <v>-0.13521449999999999</v>
      </c>
      <c r="Z6367">
        <v>1.5578740000000001E-2</v>
      </c>
      <c r="AA6367">
        <v>0.99069390000000002</v>
      </c>
      <c r="AB6367">
        <v>20</v>
      </c>
      <c r="AC6367">
        <v>25.603399999999901</v>
      </c>
      <c r="AD6367">
        <v>-1.109204918458</v>
      </c>
      <c r="AE6367">
        <v>-4.3946099999999904</v>
      </c>
      <c r="AF6367">
        <v>-3.5298743248965501</v>
      </c>
      <c r="AG6367">
        <v>-1.109204918458</v>
      </c>
      <c r="AH6367">
        <v>25.689155642749601</v>
      </c>
      <c r="AI6367">
        <v>92.449391663349104</v>
      </c>
      <c r="AJ6367">
        <v>97.823856694225697</v>
      </c>
      <c r="AK6367">
        <v>25.954249477457601</v>
      </c>
      <c r="AL6367">
        <v>90.620095691857799</v>
      </c>
      <c r="AM6367">
        <v>88.120568739964995</v>
      </c>
      <c r="AN6367">
        <v>0.999999979462595</v>
      </c>
    </row>
    <row r="6368" spans="1:40" x14ac:dyDescent="0.25">
      <c r="A6368" t="str">
        <f>"20190312155003311"</f>
        <v>20190312155003311</v>
      </c>
      <c r="B6368" t="str">
        <f>"1552377003301812"</f>
        <v>1552377003301812</v>
      </c>
      <c r="C6368" t="s">
        <v>40</v>
      </c>
      <c r="D6368">
        <v>4.6640769999999998</v>
      </c>
      <c r="E6368">
        <v>0.43585740000000001</v>
      </c>
      <c r="F6368" t="s">
        <v>72</v>
      </c>
      <c r="G6368">
        <v>-258.11200000000002</v>
      </c>
      <c r="H6368" s="1">
        <v>-2.8370370000000001E-6</v>
      </c>
      <c r="I6368">
        <v>-61.376860000000001</v>
      </c>
      <c r="J6368">
        <v>-283.82310000000001</v>
      </c>
      <c r="K6368">
        <v>1.1091770000000001</v>
      </c>
      <c r="L6368">
        <v>-56.98019</v>
      </c>
      <c r="M6368">
        <v>0.95355579999999995</v>
      </c>
      <c r="N6368">
        <v>0</v>
      </c>
      <c r="O6368">
        <v>-0.3011799</v>
      </c>
      <c r="P6368">
        <v>0.94317450000000003</v>
      </c>
      <c r="Q6368">
        <v>-1.5301769999999999E-2</v>
      </c>
      <c r="R6368">
        <v>-0.3319452</v>
      </c>
      <c r="S6368">
        <v>2.9981080000000002</v>
      </c>
      <c r="T6368">
        <v>-0.12884519999999999</v>
      </c>
      <c r="U6368">
        <v>-0.51428220000000002</v>
      </c>
      <c r="V6368">
        <v>3.2475160000000003E-2</v>
      </c>
      <c r="W6368">
        <v>-1.060174E-2</v>
      </c>
      <c r="X6368">
        <v>0.99941630000000004</v>
      </c>
      <c r="Y6368">
        <v>-0.1352517</v>
      </c>
      <c r="Z6368">
        <v>1.549385E-2</v>
      </c>
      <c r="AA6368">
        <v>0.99069010000000002</v>
      </c>
      <c r="AB6368">
        <v>20</v>
      </c>
      <c r="AC6368">
        <v>25.711099999999899</v>
      </c>
      <c r="AD6368">
        <v>-1.1091798370370001</v>
      </c>
      <c r="AE6368">
        <v>-4.3966699999999896</v>
      </c>
      <c r="AF6368">
        <v>-3.5448256846402599</v>
      </c>
      <c r="AG6368">
        <v>-1.1091798370370001</v>
      </c>
      <c r="AH6368">
        <v>25.794799457351299</v>
      </c>
      <c r="AI6368">
        <v>92.439311571743204</v>
      </c>
      <c r="AJ6368">
        <v>97.824805323854306</v>
      </c>
      <c r="AK6368">
        <v>26.060847033247899</v>
      </c>
      <c r="AL6368">
        <v>90.607446345051798</v>
      </c>
      <c r="AM6368">
        <v>88.138878522857098</v>
      </c>
      <c r="AN6368">
        <v>0.99999998680687097</v>
      </c>
    </row>
    <row r="6369" spans="1:40" x14ac:dyDescent="0.25">
      <c r="A6369" t="str">
        <f>"20190312155003323"</f>
        <v>20190312155003323</v>
      </c>
      <c r="B6369" t="str">
        <f>"1552377003312548"</f>
        <v>1552377003312548</v>
      </c>
      <c r="C6369" t="s">
        <v>40</v>
      </c>
      <c r="D6369">
        <v>4.6785769999999998</v>
      </c>
      <c r="E6369">
        <v>0.43610179999999998</v>
      </c>
      <c r="F6369" t="s">
        <v>72</v>
      </c>
      <c r="G6369">
        <v>-257.62259999999998</v>
      </c>
      <c r="H6369" s="1">
        <v>-2.6414350000000001E-6</v>
      </c>
      <c r="I6369">
        <v>-61.441470000000002</v>
      </c>
      <c r="J6369">
        <v>-283.7183</v>
      </c>
      <c r="K6369">
        <v>1.109159</v>
      </c>
      <c r="L6369">
        <v>-57.012599999999999</v>
      </c>
      <c r="M6369">
        <v>0.95374829999999999</v>
      </c>
      <c r="N6369">
        <v>0</v>
      </c>
      <c r="O6369">
        <v>-0.30057489999999998</v>
      </c>
      <c r="P6369">
        <v>0.94345400000000001</v>
      </c>
      <c r="Q6369">
        <v>-1.478262E-2</v>
      </c>
      <c r="R6369">
        <v>-0.33117380000000002</v>
      </c>
      <c r="S6369">
        <v>2.998993</v>
      </c>
      <c r="T6369">
        <v>-0.12695989999999999</v>
      </c>
      <c r="U6369">
        <v>-0.51065059999999995</v>
      </c>
      <c r="V6369">
        <v>3.2290060000000002E-2</v>
      </c>
      <c r="W6369">
        <v>-1.0385719999999999E-2</v>
      </c>
      <c r="X6369">
        <v>0.9994246</v>
      </c>
      <c r="Y6369">
        <v>-0.1358481</v>
      </c>
      <c r="Z6369">
        <v>1.5253360000000001E-2</v>
      </c>
      <c r="AA6369">
        <v>0.9906123</v>
      </c>
      <c r="AB6369">
        <v>20</v>
      </c>
      <c r="AC6369">
        <v>26.095700000000001</v>
      </c>
      <c r="AD6369">
        <v>-1.1091616414350001</v>
      </c>
      <c r="AE6369">
        <v>-4.4288699999999901</v>
      </c>
      <c r="AF6369">
        <v>-3.6133743997329102</v>
      </c>
      <c r="AG6369">
        <v>-1.1091616414350001</v>
      </c>
      <c r="AH6369">
        <v>26.174223197718799</v>
      </c>
      <c r="AI6369">
        <v>92.403750065431794</v>
      </c>
      <c r="AJ6369">
        <v>97.8600513226001</v>
      </c>
      <c r="AK6369">
        <v>26.4457307349121</v>
      </c>
      <c r="AL6369">
        <v>90.595068608628907</v>
      </c>
      <c r="AM6369">
        <v>88.149494394071198</v>
      </c>
      <c r="AN6369">
        <v>1.00000002111994</v>
      </c>
    </row>
    <row r="6370" spans="1:40" x14ac:dyDescent="0.25">
      <c r="A6370" t="str">
        <f>"20190312155003341"</f>
        <v>20190312155003341</v>
      </c>
      <c r="B6370" t="str">
        <f>"1552377003332068"</f>
        <v>1552377003332068</v>
      </c>
      <c r="C6370" t="s">
        <v>40</v>
      </c>
      <c r="D6370">
        <v>4.8030939999999998</v>
      </c>
      <c r="E6370">
        <v>0.4539397</v>
      </c>
      <c r="F6370" t="s">
        <v>72</v>
      </c>
      <c r="G6370">
        <v>-257.10199999999998</v>
      </c>
      <c r="H6370" s="1">
        <v>-2.4399819999999999E-6</v>
      </c>
      <c r="I6370">
        <v>-61.539790000000004</v>
      </c>
      <c r="J6370">
        <v>-283.56689999999998</v>
      </c>
      <c r="K6370">
        <v>1.109143</v>
      </c>
      <c r="L6370">
        <v>-57.0593</v>
      </c>
      <c r="M6370">
        <v>0.95402399999999998</v>
      </c>
      <c r="N6370">
        <v>0</v>
      </c>
      <c r="O6370">
        <v>-0.29970479999999999</v>
      </c>
      <c r="P6370">
        <v>0.94396639999999998</v>
      </c>
      <c r="Q6370">
        <v>-1.313803E-2</v>
      </c>
      <c r="R6370">
        <v>-0.32978039999999997</v>
      </c>
      <c r="S6370">
        <v>2.9988100000000002</v>
      </c>
      <c r="T6370">
        <v>-0.1249672</v>
      </c>
      <c r="U6370">
        <v>-0.51007079999999905</v>
      </c>
      <c r="V6370">
        <v>3.1718200000000002E-2</v>
      </c>
      <c r="W6370">
        <v>-9.1590460000000005E-3</v>
      </c>
      <c r="X6370">
        <v>0.99945490000000003</v>
      </c>
      <c r="Y6370">
        <v>-0.13513269999999999</v>
      </c>
      <c r="Z6370">
        <v>1.496634E-2</v>
      </c>
      <c r="AA6370">
        <v>0.99071450000000005</v>
      </c>
      <c r="AB6370">
        <v>20</v>
      </c>
      <c r="AC6370">
        <v>26.464899999999901</v>
      </c>
      <c r="AD6370">
        <v>-1.109145439982</v>
      </c>
      <c r="AE6370">
        <v>-4.4804899999999996</v>
      </c>
      <c r="AF6370">
        <v>-3.6509563876451301</v>
      </c>
      <c r="AG6370">
        <v>-1.109145439982</v>
      </c>
      <c r="AH6370">
        <v>26.5458493994057</v>
      </c>
      <c r="AI6370">
        <v>92.370268531490396</v>
      </c>
      <c r="AJ6370">
        <v>97.830987428595407</v>
      </c>
      <c r="AK6370">
        <v>26.818683906699199</v>
      </c>
      <c r="AL6370">
        <v>90.524782009771101</v>
      </c>
      <c r="AM6370">
        <v>88.182299908886407</v>
      </c>
      <c r="AN6370">
        <v>1.0000000147344399</v>
      </c>
    </row>
    <row r="6371" spans="1:40" x14ac:dyDescent="0.25">
      <c r="A6371" t="str">
        <f>"20190312155003353"</f>
        <v>20190312155003353</v>
      </c>
      <c r="B6371" t="str">
        <f>"1552377003341829"</f>
        <v>1552377003341829</v>
      </c>
      <c r="C6371" t="s">
        <v>40</v>
      </c>
      <c r="D6371">
        <v>4.8228879999999998</v>
      </c>
      <c r="E6371">
        <v>0.4555517</v>
      </c>
      <c r="F6371" t="s">
        <v>72</v>
      </c>
      <c r="G6371">
        <v>-258.73270000000002</v>
      </c>
      <c r="H6371" s="1">
        <v>-3.2694629999999998E-6</v>
      </c>
      <c r="I6371">
        <v>-62.437980000000003</v>
      </c>
      <c r="J6371">
        <v>-283.46109999999999</v>
      </c>
      <c r="K6371">
        <v>1.109138</v>
      </c>
      <c r="L6371">
        <v>-57.091799999999999</v>
      </c>
      <c r="M6371">
        <v>0.95421610000000001</v>
      </c>
      <c r="N6371">
        <v>0</v>
      </c>
      <c r="O6371">
        <v>-0.29909629999999998</v>
      </c>
      <c r="P6371">
        <v>0.94422050000000002</v>
      </c>
      <c r="Q6371">
        <v>-1.182952E-2</v>
      </c>
      <c r="R6371">
        <v>-0.32910209999999901</v>
      </c>
      <c r="S6371">
        <v>2.9527890000000001</v>
      </c>
      <c r="T6371">
        <v>-0.13187750000000001</v>
      </c>
      <c r="U6371">
        <v>-0.63952640000000005</v>
      </c>
      <c r="V6371">
        <v>3.1631670000000001E-2</v>
      </c>
      <c r="W6371">
        <v>-8.1288829999999999E-3</v>
      </c>
      <c r="X6371">
        <v>0.99946650000000004</v>
      </c>
      <c r="Y6371">
        <v>-8.9976730000000005E-2</v>
      </c>
      <c r="Z6371">
        <v>1.492568E-2</v>
      </c>
      <c r="AA6371">
        <v>0.99583200000000005</v>
      </c>
      <c r="AB6371">
        <v>20</v>
      </c>
      <c r="AC6371">
        <v>24.728399999999901</v>
      </c>
      <c r="AD6371">
        <v>-1.1091412694630001</v>
      </c>
      <c r="AE6371">
        <v>-5.3461800000000004</v>
      </c>
      <c r="AF6371">
        <v>-2.2903748838091902</v>
      </c>
      <c r="AG6371">
        <v>-1.1091412694630001</v>
      </c>
      <c r="AH6371">
        <v>25.147092800636401</v>
      </c>
      <c r="AI6371">
        <v>92.515062319258107</v>
      </c>
      <c r="AJ6371">
        <v>95.204090407034101</v>
      </c>
      <c r="AK6371">
        <v>25.275527448261698</v>
      </c>
      <c r="AL6371">
        <v>90.465755834832606</v>
      </c>
      <c r="AM6371">
        <v>88.187276464365894</v>
      </c>
      <c r="AN6371">
        <v>0.99999996295403204</v>
      </c>
    </row>
    <row r="6372" spans="1:40" x14ac:dyDescent="0.25">
      <c r="A6372" t="str">
        <f>"20190312155003366"</f>
        <v>20190312155003366</v>
      </c>
      <c r="B6372" t="str">
        <f>"1552377003352563"</f>
        <v>1552377003352563</v>
      </c>
      <c r="C6372" t="s">
        <v>40</v>
      </c>
      <c r="D6372">
        <v>4.7785270000000004</v>
      </c>
      <c r="E6372">
        <v>0.456486</v>
      </c>
      <c r="F6372" t="s">
        <v>42</v>
      </c>
      <c r="G6372">
        <v>-260.02760000000001</v>
      </c>
      <c r="H6372" s="1">
        <v>4.8640380000000003E-7</v>
      </c>
      <c r="I6372">
        <v>-62.249569999999999</v>
      </c>
      <c r="J6372">
        <v>-283.35359999999997</v>
      </c>
      <c r="K6372">
        <v>1.109135</v>
      </c>
      <c r="L6372">
        <v>-57.124789999999997</v>
      </c>
      <c r="M6372">
        <v>0.9544106</v>
      </c>
      <c r="N6372">
        <v>0</v>
      </c>
      <c r="O6372">
        <v>-0.29847780000000002</v>
      </c>
      <c r="P6372">
        <v>0.9444129</v>
      </c>
      <c r="Q6372">
        <v>-1.02682E-2</v>
      </c>
      <c r="R6372">
        <v>-0.32860209999999901</v>
      </c>
      <c r="S6372">
        <v>2.9492189999999998</v>
      </c>
      <c r="T6372">
        <v>-0.139590299999999</v>
      </c>
      <c r="U6372">
        <v>-0.64913940000000003</v>
      </c>
      <c r="V6372">
        <v>3.1743849999999997E-2</v>
      </c>
      <c r="W6372">
        <v>-6.8429569999999898E-3</v>
      </c>
      <c r="X6372">
        <v>0.99947260000000004</v>
      </c>
      <c r="Y6372">
        <v>-8.5943969999999995E-2</v>
      </c>
      <c r="Z6372">
        <v>1.568752E-2</v>
      </c>
      <c r="AA6372">
        <v>0.99617650000000002</v>
      </c>
      <c r="AB6372">
        <v>20</v>
      </c>
      <c r="AC6372">
        <v>23.325999999999901</v>
      </c>
      <c r="AD6372">
        <v>-1.1091345135961901</v>
      </c>
      <c r="AE6372">
        <v>-5.1247799999999897</v>
      </c>
      <c r="AF6372">
        <v>-2.06670310495391</v>
      </c>
      <c r="AG6372">
        <v>-1.1091345135961901</v>
      </c>
      <c r="AH6372">
        <v>23.741144930368002</v>
      </c>
      <c r="AI6372">
        <v>92.664726091883196</v>
      </c>
      <c r="AJ6372">
        <v>94.975143678837696</v>
      </c>
      <c r="AK6372">
        <v>23.856726592263598</v>
      </c>
      <c r="AL6372">
        <v>90.392075620083901</v>
      </c>
      <c r="AM6372">
        <v>88.180863145888097</v>
      </c>
      <c r="AN6372">
        <v>0.99999998811204305</v>
      </c>
    </row>
    <row r="6373" spans="1:40" x14ac:dyDescent="0.25">
      <c r="A6373" t="str">
        <f>"20190312155003377"</f>
        <v>20190312155003377</v>
      </c>
      <c r="B6373" t="str">
        <f>"1552377003372084"</f>
        <v>1552377003372084</v>
      </c>
      <c r="C6373" t="s">
        <v>40</v>
      </c>
      <c r="D6373">
        <v>4.6994129999999998</v>
      </c>
      <c r="E6373">
        <v>0.45811679999999999</v>
      </c>
      <c r="F6373" t="s">
        <v>42</v>
      </c>
      <c r="G6373">
        <v>-260.0849</v>
      </c>
      <c r="H6373" s="1">
        <v>4.5092439999999999E-7</v>
      </c>
      <c r="I6373">
        <v>-62.290640000000003</v>
      </c>
      <c r="J6373">
        <v>-283.25040000000001</v>
      </c>
      <c r="K6373">
        <v>1.1091340000000001</v>
      </c>
      <c r="L6373">
        <v>-57.156399999999998</v>
      </c>
      <c r="M6373">
        <v>0.95459799999999995</v>
      </c>
      <c r="N6373">
        <v>0</v>
      </c>
      <c r="O6373">
        <v>-0.297880599999999</v>
      </c>
      <c r="P6373">
        <v>0.94458750000000002</v>
      </c>
      <c r="Q6373">
        <v>-8.6265030000000006E-3</v>
      </c>
      <c r="R6373">
        <v>-0.32814670000000001</v>
      </c>
      <c r="S6373">
        <v>2.9474179999999999</v>
      </c>
      <c r="T6373">
        <v>-0.14049220000000001</v>
      </c>
      <c r="U6373">
        <v>-0.65435790000000005</v>
      </c>
      <c r="V6373">
        <v>3.1881180000000002E-2</v>
      </c>
      <c r="W6373">
        <v>-5.4470069999999898E-3</v>
      </c>
      <c r="X6373">
        <v>0.9994769</v>
      </c>
      <c r="Y6373">
        <v>-8.3508659999999998E-2</v>
      </c>
      <c r="Z6373">
        <v>1.5710299999999899E-2</v>
      </c>
      <c r="AA6373">
        <v>0.99638320000000002</v>
      </c>
      <c r="AB6373">
        <v>20</v>
      </c>
      <c r="AC6373">
        <v>23.165500000000002</v>
      </c>
      <c r="AD6373">
        <v>-1.1091335490756</v>
      </c>
      <c r="AE6373">
        <v>-5.1342400000000001</v>
      </c>
      <c r="AF6373">
        <v>-1.9950683107807301</v>
      </c>
      <c r="AG6373">
        <v>-1.1091335490756</v>
      </c>
      <c r="AH6373">
        <v>23.591697673546999</v>
      </c>
      <c r="AI6373">
        <v>92.682146403116406</v>
      </c>
      <c r="AJ6373">
        <v>94.833804897500002</v>
      </c>
      <c r="AK6373">
        <v>23.701870683859699</v>
      </c>
      <c r="AL6373">
        <v>90.312092031480603</v>
      </c>
      <c r="AM6373">
        <v>88.173006387066593</v>
      </c>
      <c r="AN6373">
        <v>1.00000007657852</v>
      </c>
    </row>
    <row r="6374" spans="1:40" x14ac:dyDescent="0.25">
      <c r="A6374" t="str">
        <f>"20190312155003389"</f>
        <v>20190312155003389</v>
      </c>
      <c r="B6374" t="str">
        <f>"1552377003381844"</f>
        <v>1552377003381844</v>
      </c>
      <c r="C6374" t="s">
        <v>40</v>
      </c>
      <c r="D6374">
        <v>4.7164349999999997</v>
      </c>
      <c r="E6374">
        <v>0.45875700000000003</v>
      </c>
      <c r="F6374" t="s">
        <v>72</v>
      </c>
      <c r="G6374">
        <v>-258.11849999999998</v>
      </c>
      <c r="H6374" s="1">
        <v>-3.113824E-6</v>
      </c>
      <c r="I6374">
        <v>-62.837319999999998</v>
      </c>
      <c r="J6374">
        <v>-283.1497</v>
      </c>
      <c r="K6374">
        <v>1.109135</v>
      </c>
      <c r="L6374">
        <v>-57.187190000000001</v>
      </c>
      <c r="M6374">
        <v>0.95478070000000004</v>
      </c>
      <c r="N6374">
        <v>0</v>
      </c>
      <c r="O6374">
        <v>-0.29729670000000002</v>
      </c>
      <c r="P6374">
        <v>0.94469570000000003</v>
      </c>
      <c r="Q6374">
        <v>-7.0423439999999999E-3</v>
      </c>
      <c r="R6374">
        <v>-0.32787270000000002</v>
      </c>
      <c r="S6374">
        <v>2.943695</v>
      </c>
      <c r="T6374">
        <v>-0.129913</v>
      </c>
      <c r="U6374">
        <v>-0.66540529999999998</v>
      </c>
      <c r="V6374">
        <v>3.2197360000000001E-2</v>
      </c>
      <c r="W6374">
        <v>-4.0943569999999999E-3</v>
      </c>
      <c r="X6374">
        <v>0.99947319999999995</v>
      </c>
      <c r="Y6374">
        <v>-7.9132830000000001E-2</v>
      </c>
      <c r="Z6374">
        <v>1.441924E-2</v>
      </c>
      <c r="AA6374">
        <v>0.99675979999999997</v>
      </c>
      <c r="AB6374">
        <v>20</v>
      </c>
      <c r="AC6374">
        <v>25.031199999999998</v>
      </c>
      <c r="AD6374">
        <v>-1.109138113824</v>
      </c>
      <c r="AE6374">
        <v>-5.6501299999999901</v>
      </c>
      <c r="AF6374">
        <v>-2.0432495506094099</v>
      </c>
      <c r="AG6374">
        <v>-1.109138113824</v>
      </c>
      <c r="AH6374">
        <v>25.531482068729101</v>
      </c>
      <c r="AI6374">
        <v>92.479560397584294</v>
      </c>
      <c r="AJ6374">
        <v>94.575551244575905</v>
      </c>
      <c r="AK6374">
        <v>25.637114359994602</v>
      </c>
      <c r="AL6374">
        <v>90.234590018306804</v>
      </c>
      <c r="AM6374">
        <v>88.154892906788604</v>
      </c>
      <c r="AN6374">
        <v>1.0000000556342199</v>
      </c>
    </row>
    <row r="6375" spans="1:40" x14ac:dyDescent="0.25">
      <c r="A6375" t="str">
        <f>"20190312155003400"</f>
        <v>20190312155003400</v>
      </c>
      <c r="B6375" t="str">
        <f>"1552377003392580"</f>
        <v>1552377003392580</v>
      </c>
      <c r="C6375" t="s">
        <v>40</v>
      </c>
      <c r="D6375">
        <v>4.7055480000000003</v>
      </c>
      <c r="E6375">
        <v>0.45916580000000001</v>
      </c>
      <c r="F6375" t="s">
        <v>72</v>
      </c>
      <c r="G6375">
        <v>-257.04309999999998</v>
      </c>
      <c r="H6375" s="1">
        <v>-2.7675650000000001E-6</v>
      </c>
      <c r="I6375">
        <v>-63.12659</v>
      </c>
      <c r="J6375">
        <v>-283.05220000000003</v>
      </c>
      <c r="K6375">
        <v>1.1091340000000001</v>
      </c>
      <c r="L6375">
        <v>-57.216889999999999</v>
      </c>
      <c r="M6375">
        <v>0.95495799999999997</v>
      </c>
      <c r="N6375">
        <v>0</v>
      </c>
      <c r="O6375">
        <v>-0.29672880000000001</v>
      </c>
      <c r="P6375">
        <v>0.94472330000000004</v>
      </c>
      <c r="Q6375">
        <v>-5.6100610000000004E-3</v>
      </c>
      <c r="R6375">
        <v>-0.32782119999999998</v>
      </c>
      <c r="S6375">
        <v>2.9423520000000001</v>
      </c>
      <c r="T6375">
        <v>-0.12500600000000001</v>
      </c>
      <c r="U6375">
        <v>-0.66940310000000003</v>
      </c>
      <c r="V6375">
        <v>3.2732940000000002E-2</v>
      </c>
      <c r="W6375">
        <v>-2.8725000000000001E-3</v>
      </c>
      <c r="X6375">
        <v>0.99946000000000002</v>
      </c>
      <c r="Y6375">
        <v>-7.718063E-2</v>
      </c>
      <c r="Z6375">
        <v>1.3815050000000001E-2</v>
      </c>
      <c r="AA6375">
        <v>0.99692139999999996</v>
      </c>
      <c r="AB6375">
        <v>21</v>
      </c>
      <c r="AC6375">
        <v>26.0091</v>
      </c>
      <c r="AD6375">
        <v>-1.1091367675649999</v>
      </c>
      <c r="AE6375">
        <v>-5.9097</v>
      </c>
      <c r="AF6375">
        <v>-2.07056072912789</v>
      </c>
      <c r="AG6375">
        <v>-1.1091367675649999</v>
      </c>
      <c r="AH6375">
        <v>26.5453689677333</v>
      </c>
      <c r="AI6375">
        <v>92.385342834852196</v>
      </c>
      <c r="AJ6375">
        <v>94.460087557742398</v>
      </c>
      <c r="AK6375">
        <v>26.6490904110304</v>
      </c>
      <c r="AL6375">
        <v>90.164582353956604</v>
      </c>
      <c r="AM6375">
        <v>88.124197863969599</v>
      </c>
      <c r="AN6375">
        <v>0.99999999410864604</v>
      </c>
    </row>
    <row r="6376" spans="1:40" x14ac:dyDescent="0.25">
      <c r="A6376" t="str">
        <f>"20190312155003411"</f>
        <v>20190312155003411</v>
      </c>
      <c r="B6376" t="str">
        <f>"1552377003402340"</f>
        <v>1552377003402340</v>
      </c>
      <c r="C6376" t="s">
        <v>40</v>
      </c>
      <c r="D6376">
        <v>4.6726349999999996</v>
      </c>
      <c r="E6376">
        <v>0.45960820000000002</v>
      </c>
      <c r="F6376" t="s">
        <v>72</v>
      </c>
      <c r="G6376">
        <v>-255.44329999999999</v>
      </c>
      <c r="H6376" s="1">
        <v>-2.170623E-6</v>
      </c>
      <c r="I6376">
        <v>-63.52863</v>
      </c>
      <c r="J6376">
        <v>-282.95650000000001</v>
      </c>
      <c r="K6376">
        <v>1.1091340000000001</v>
      </c>
      <c r="L6376">
        <v>-57.245939999999997</v>
      </c>
      <c r="M6376">
        <v>0.95513239999999999</v>
      </c>
      <c r="N6376">
        <v>0</v>
      </c>
      <c r="O6376">
        <v>-0.29616910000000002</v>
      </c>
      <c r="P6376">
        <v>0.94476789999999999</v>
      </c>
      <c r="Q6376">
        <v>-4.6396340000000001E-3</v>
      </c>
      <c r="R6376">
        <v>-0.32770820000000001</v>
      </c>
      <c r="S6376">
        <v>2.9414669999999998</v>
      </c>
      <c r="T6376">
        <v>-0.11816790000000001</v>
      </c>
      <c r="U6376">
        <v>-0.67245480000000002</v>
      </c>
      <c r="V6376">
        <v>3.3196719999999999E-2</v>
      </c>
      <c r="W6376">
        <v>-2.0969949999999999E-3</v>
      </c>
      <c r="X6376">
        <v>0.99944659999999996</v>
      </c>
      <c r="Y6376">
        <v>-7.5582419999999997E-2</v>
      </c>
      <c r="Z6376">
        <v>1.3009110000000001E-2</v>
      </c>
      <c r="AA6376">
        <v>0.99705469999999896</v>
      </c>
      <c r="AB6376">
        <v>21</v>
      </c>
      <c r="AC6376">
        <v>27.513200000000001</v>
      </c>
      <c r="AD6376">
        <v>-1.1091361706230001</v>
      </c>
      <c r="AE6376">
        <v>-6.2826899999999997</v>
      </c>
      <c r="AF6376">
        <v>-2.1444530149581902</v>
      </c>
      <c r="AG6376">
        <v>-1.1091361706230001</v>
      </c>
      <c r="AH6376">
        <v>28.096174325101899</v>
      </c>
      <c r="AI6376">
        <v>92.254108583304401</v>
      </c>
      <c r="AJ6376">
        <v>94.364663452404699</v>
      </c>
      <c r="AK6376">
        <v>28.1997140674309</v>
      </c>
      <c r="AL6376">
        <v>90.120149055671106</v>
      </c>
      <c r="AM6376">
        <v>88.097614275197003</v>
      </c>
      <c r="AN6376">
        <v>0.99999996292917304</v>
      </c>
    </row>
    <row r="6377" spans="1:40" x14ac:dyDescent="0.25">
      <c r="A6377" t="str">
        <f>"20190312155003421"</f>
        <v>20190312155003421</v>
      </c>
      <c r="B6377" t="str">
        <f>"1552377003412100"</f>
        <v>1552377003412100</v>
      </c>
      <c r="C6377" t="s">
        <v>40</v>
      </c>
      <c r="D6377">
        <v>4.6774449999999996</v>
      </c>
      <c r="E6377">
        <v>0.45996340000000002</v>
      </c>
      <c r="F6377" t="s">
        <v>72</v>
      </c>
      <c r="G6377">
        <v>-255.119</v>
      </c>
      <c r="H6377" s="1">
        <v>-2.0564360000000001E-6</v>
      </c>
      <c r="I6377">
        <v>-63.640569999999997</v>
      </c>
      <c r="J6377">
        <v>-282.85919999999999</v>
      </c>
      <c r="K6377">
        <v>1.109132</v>
      </c>
      <c r="L6377">
        <v>-57.275509999999997</v>
      </c>
      <c r="M6377">
        <v>0.95531010000000005</v>
      </c>
      <c r="N6377">
        <v>0</v>
      </c>
      <c r="O6377">
        <v>-0.29559669999999999</v>
      </c>
      <c r="P6377">
        <v>0.94485039999999998</v>
      </c>
      <c r="Q6377">
        <v>-4.2641629999999996E-3</v>
      </c>
      <c r="R6377">
        <v>-0.32747540000000003</v>
      </c>
      <c r="S6377">
        <v>2.9405209999999999</v>
      </c>
      <c r="T6377">
        <v>-0.1171601</v>
      </c>
      <c r="U6377">
        <v>-0.67547609999999902</v>
      </c>
      <c r="V6377">
        <v>3.3548679999999997E-2</v>
      </c>
      <c r="W6377">
        <v>-1.9106360000000001E-3</v>
      </c>
      <c r="X6377">
        <v>0.99943519999999997</v>
      </c>
      <c r="Y6377">
        <v>-7.3947940000000004E-2</v>
      </c>
      <c r="Z6377">
        <v>1.284692E-2</v>
      </c>
      <c r="AA6377">
        <v>0.99717929999999999</v>
      </c>
      <c r="AB6377">
        <v>21</v>
      </c>
      <c r="AC6377">
        <v>27.740199999999898</v>
      </c>
      <c r="AD6377">
        <v>-1.1091340564359999</v>
      </c>
      <c r="AE6377">
        <v>-6.3650599999999997</v>
      </c>
      <c r="AF6377">
        <v>-2.1160973172297002</v>
      </c>
      <c r="AG6377">
        <v>-1.1091340564359999</v>
      </c>
      <c r="AH6377">
        <v>28.339019984503398</v>
      </c>
      <c r="AI6377">
        <v>92.235085188530903</v>
      </c>
      <c r="AJ6377">
        <v>94.270396650153202</v>
      </c>
      <c r="AK6377">
        <v>28.4395516823528</v>
      </c>
      <c r="AL6377">
        <v>90.109471451969597</v>
      </c>
      <c r="AM6377">
        <v>88.077437845711799</v>
      </c>
      <c r="AN6377">
        <v>0.99999994172935103</v>
      </c>
    </row>
    <row r="6378" spans="1:40" x14ac:dyDescent="0.25">
      <c r="A6378" t="str">
        <f>"20190312155003432"</f>
        <v>20190312155003432</v>
      </c>
      <c r="B6378" t="str">
        <f>"1552377003421860"</f>
        <v>1552377003421860</v>
      </c>
      <c r="C6378" t="s">
        <v>40</v>
      </c>
      <c r="D6378">
        <v>4.6589869999999998</v>
      </c>
      <c r="E6378">
        <v>0.4601751</v>
      </c>
      <c r="F6378" t="s">
        <v>72</v>
      </c>
      <c r="G6378">
        <v>-254.89009999999999</v>
      </c>
      <c r="H6378" s="1">
        <v>-1.976038E-6</v>
      </c>
      <c r="I6378">
        <v>-63.720799999999997</v>
      </c>
      <c r="J6378">
        <v>-282.76729999999998</v>
      </c>
      <c r="K6378">
        <v>1.1091299999999999</v>
      </c>
      <c r="L6378">
        <v>-57.303310000000003</v>
      </c>
      <c r="M6378">
        <v>0.95547899999999997</v>
      </c>
      <c r="N6378">
        <v>0</v>
      </c>
      <c r="O6378">
        <v>-0.29505209999999998</v>
      </c>
      <c r="P6378">
        <v>0.94499120000000003</v>
      </c>
      <c r="Q6378">
        <v>-4.2770859999999898E-3</v>
      </c>
      <c r="R6378">
        <v>-0.32706800000000003</v>
      </c>
      <c r="S6378">
        <v>2.939819</v>
      </c>
      <c r="T6378">
        <v>-0.11658019999999999</v>
      </c>
      <c r="U6378">
        <v>-0.6774597</v>
      </c>
      <c r="V6378">
        <v>3.368844E-2</v>
      </c>
      <c r="W6378">
        <v>-2.0893130000000002E-3</v>
      </c>
      <c r="X6378">
        <v>0.99943020000000005</v>
      </c>
      <c r="Y6378">
        <v>-7.2692099999999996E-2</v>
      </c>
      <c r="Z6378">
        <v>1.2740329999999999E-2</v>
      </c>
      <c r="AA6378">
        <v>0.99727299999999997</v>
      </c>
      <c r="AB6378">
        <v>21</v>
      </c>
      <c r="AC6378">
        <v>27.877199999999899</v>
      </c>
      <c r="AD6378">
        <v>-1.1091319760379901</v>
      </c>
      <c r="AE6378">
        <v>-6.4174899999999999</v>
      </c>
      <c r="AF6378">
        <v>-2.0903114680168899</v>
      </c>
      <c r="AG6378">
        <v>-1.1091319760379901</v>
      </c>
      <c r="AH6378">
        <v>28.4868082634849</v>
      </c>
      <c r="AI6378">
        <v>92.223708556785198</v>
      </c>
      <c r="AJ6378">
        <v>94.196741208313895</v>
      </c>
      <c r="AK6378">
        <v>28.584922963236099</v>
      </c>
      <c r="AL6378">
        <v>90.119708904021394</v>
      </c>
      <c r="AM6378">
        <v>88.069425066699793</v>
      </c>
      <c r="AN6378">
        <v>1.0000000004452401</v>
      </c>
    </row>
    <row r="6379" spans="1:40" x14ac:dyDescent="0.25">
      <c r="A6379" t="str">
        <f>"20190312155003443"</f>
        <v>20190312155003443</v>
      </c>
      <c r="B6379" t="str">
        <f>"1552377003432596"</f>
        <v>1552377003432596</v>
      </c>
      <c r="C6379" t="s">
        <v>40</v>
      </c>
      <c r="D6379">
        <v>4.6729890000000003</v>
      </c>
      <c r="E6379">
        <v>0.46032459999999997</v>
      </c>
      <c r="F6379" t="s">
        <v>72</v>
      </c>
      <c r="G6379">
        <v>-254.9948</v>
      </c>
      <c r="H6379" s="1">
        <v>-2.0179269999999999E-6</v>
      </c>
      <c r="I6379">
        <v>-63.7072</v>
      </c>
      <c r="J6379">
        <v>-282.66669999999999</v>
      </c>
      <c r="K6379">
        <v>1.1091279999999999</v>
      </c>
      <c r="L6379">
        <v>-57.333739999999999</v>
      </c>
      <c r="M6379">
        <v>0.9556637</v>
      </c>
      <c r="N6379">
        <v>0</v>
      </c>
      <c r="O6379">
        <v>-0.29445389999999999</v>
      </c>
      <c r="P6379">
        <v>0.9450307</v>
      </c>
      <c r="Q6379">
        <v>-4.8110840000000002E-3</v>
      </c>
      <c r="R6379">
        <v>-0.32694640000000003</v>
      </c>
      <c r="S6379">
        <v>2.9394840000000002</v>
      </c>
      <c r="T6379">
        <v>-0.11739189999999999</v>
      </c>
      <c r="U6379">
        <v>-0.67779540000000005</v>
      </c>
      <c r="V6379">
        <v>3.4187309999999999E-2</v>
      </c>
      <c r="W6379">
        <v>-2.7978740000000001E-3</v>
      </c>
      <c r="X6379">
        <v>0.99941150000000001</v>
      </c>
      <c r="Y6379">
        <v>-7.1931819999999994E-2</v>
      </c>
      <c r="Z6379">
        <v>1.279283E-2</v>
      </c>
      <c r="AA6379">
        <v>0.99732750000000003</v>
      </c>
      <c r="AB6379">
        <v>21</v>
      </c>
      <c r="AC6379">
        <v>27.671899999999901</v>
      </c>
      <c r="AD6379">
        <v>-1.1091300179269901</v>
      </c>
      <c r="AE6379">
        <v>-6.3734599999999997</v>
      </c>
      <c r="AF6379">
        <v>-2.0540847150859198</v>
      </c>
      <c r="AG6379">
        <v>-1.1091300179269901</v>
      </c>
      <c r="AH6379">
        <v>28.278632533297301</v>
      </c>
      <c r="AI6379">
        <v>92.240178427231996</v>
      </c>
      <c r="AJ6379">
        <v>94.154516744694604</v>
      </c>
      <c r="AK6379">
        <v>28.374821433212201</v>
      </c>
      <c r="AL6379">
        <v>90.160306585239596</v>
      </c>
      <c r="AM6379">
        <v>88.040821936686001</v>
      </c>
      <c r="AN6379">
        <v>0.99999997329810197</v>
      </c>
    </row>
    <row r="6380" spans="1:40" x14ac:dyDescent="0.25">
      <c r="A6380" t="str">
        <f>"20190312155003454"</f>
        <v>20190312155003454</v>
      </c>
      <c r="B6380" t="str">
        <f>"1552377003442356"</f>
        <v>1552377003442356</v>
      </c>
      <c r="C6380" t="s">
        <v>40</v>
      </c>
      <c r="D6380">
        <v>4.6589739999999997</v>
      </c>
      <c r="E6380">
        <v>0.46052100000000001</v>
      </c>
      <c r="F6380" t="s">
        <v>72</v>
      </c>
      <c r="G6380">
        <v>-255.44499999999999</v>
      </c>
      <c r="H6380" s="1">
        <v>-2.1915710000000002E-6</v>
      </c>
      <c r="I6380">
        <v>-63.61936</v>
      </c>
      <c r="J6380">
        <v>-282.57299999999998</v>
      </c>
      <c r="K6380">
        <v>1.109118</v>
      </c>
      <c r="L6380">
        <v>-57.3619699999999</v>
      </c>
      <c r="M6380">
        <v>0.9558371</v>
      </c>
      <c r="N6380">
        <v>0</v>
      </c>
      <c r="O6380">
        <v>-0.29389130000000002</v>
      </c>
      <c r="P6380">
        <v>0.9452467</v>
      </c>
      <c r="Q6380">
        <v>-5.0669540000000002E-3</v>
      </c>
      <c r="R6380">
        <v>-0.32631769999999999</v>
      </c>
      <c r="S6380">
        <v>2.9390869999999998</v>
      </c>
      <c r="T6380">
        <v>-0.1197512</v>
      </c>
      <c r="U6380">
        <v>-0.67864990000000003</v>
      </c>
      <c r="V6380">
        <v>3.4111799999999998E-2</v>
      </c>
      <c r="W6380">
        <v>-3.2023279999999999E-3</v>
      </c>
      <c r="X6380">
        <v>0.99941290000000005</v>
      </c>
      <c r="Y6380">
        <v>-7.1030079999999995E-2</v>
      </c>
      <c r="Z6380">
        <v>1.301132E-2</v>
      </c>
      <c r="AA6380">
        <v>0.99738930000000003</v>
      </c>
      <c r="AB6380">
        <v>21</v>
      </c>
      <c r="AC6380">
        <v>27.127999999999901</v>
      </c>
      <c r="AD6380">
        <v>-1.1091201915710001</v>
      </c>
      <c r="AE6380">
        <v>-6.25739</v>
      </c>
      <c r="AF6380">
        <v>-1.9884850456735199</v>
      </c>
      <c r="AG6380">
        <v>-1.1091201915710001</v>
      </c>
      <c r="AH6380">
        <v>27.7249849491295</v>
      </c>
      <c r="AI6380">
        <v>92.284996032780995</v>
      </c>
      <c r="AJ6380">
        <v>94.102330304339901</v>
      </c>
      <c r="AK6380">
        <v>27.818321495116798</v>
      </c>
      <c r="AL6380">
        <v>90.183480191283394</v>
      </c>
      <c r="AM6380">
        <v>88.045148576419805</v>
      </c>
      <c r="AN6380">
        <v>1.0000000072451301</v>
      </c>
    </row>
    <row r="6381" spans="1:40" x14ac:dyDescent="0.25">
      <c r="A6381" t="str">
        <f>"20190312155003464"</f>
        <v>20190312155003464</v>
      </c>
      <c r="B6381" t="str">
        <f>"1552377003453091"</f>
        <v>1552377003453091</v>
      </c>
      <c r="C6381" t="s">
        <v>40</v>
      </c>
      <c r="D6381">
        <v>4.6330549999999997</v>
      </c>
      <c r="E6381">
        <v>0.4605996</v>
      </c>
      <c r="F6381" t="s">
        <v>72</v>
      </c>
      <c r="G6381">
        <v>-255.6942</v>
      </c>
      <c r="H6381" s="1">
        <v>-2.2861110000000001E-6</v>
      </c>
      <c r="I6381">
        <v>-63.563789999999997</v>
      </c>
      <c r="J6381">
        <v>-282.46969999999999</v>
      </c>
      <c r="K6381">
        <v>1.109116</v>
      </c>
      <c r="L6381">
        <v>-57.393039999999999</v>
      </c>
      <c r="M6381">
        <v>0.95602819999999999</v>
      </c>
      <c r="N6381">
        <v>0</v>
      </c>
      <c r="O6381">
        <v>-0.29327049999999999</v>
      </c>
      <c r="P6381">
        <v>0.94538869999999997</v>
      </c>
      <c r="Q6381">
        <v>-5.8568040000000002E-3</v>
      </c>
      <c r="R6381">
        <v>-0.32589279999999998</v>
      </c>
      <c r="S6381">
        <v>2.9390260000000001</v>
      </c>
      <c r="T6381">
        <v>-0.12127549999999999</v>
      </c>
      <c r="U6381">
        <v>-0.67813109999999999</v>
      </c>
      <c r="V6381">
        <v>3.4314980000000002E-2</v>
      </c>
      <c r="W6381">
        <v>-4.1520480000000002E-3</v>
      </c>
      <c r="X6381">
        <v>0.99940249999999997</v>
      </c>
      <c r="Y6381">
        <v>-7.0538489999999995E-2</v>
      </c>
      <c r="Z6381">
        <v>1.3143409999999999E-2</v>
      </c>
      <c r="AA6381">
        <v>0.99742249999999999</v>
      </c>
      <c r="AB6381">
        <v>21</v>
      </c>
      <c r="AC6381">
        <v>26.775499999999901</v>
      </c>
      <c r="AD6381">
        <v>-1.1091182861110001</v>
      </c>
      <c r="AE6381">
        <v>-6.17075</v>
      </c>
      <c r="AF6381">
        <v>-1.94987872316767</v>
      </c>
      <c r="AG6381">
        <v>-1.1091182861110001</v>
      </c>
      <c r="AH6381">
        <v>27.363282732098401</v>
      </c>
      <c r="AI6381">
        <v>92.315239814360694</v>
      </c>
      <c r="AJ6381">
        <v>94.075947252669906</v>
      </c>
      <c r="AK6381">
        <v>27.455079899435798</v>
      </c>
      <c r="AL6381">
        <v>90.237895496669296</v>
      </c>
      <c r="AM6381">
        <v>88.033493568618795</v>
      </c>
      <c r="AN6381">
        <v>1.00000005718062</v>
      </c>
    </row>
    <row r="6382" spans="1:40" x14ac:dyDescent="0.25">
      <c r="A6382" t="str">
        <f>"20190312155003476"</f>
        <v>20190312155003476</v>
      </c>
      <c r="B6382" t="str">
        <f>"1552377003472611"</f>
        <v>1552377003472611</v>
      </c>
      <c r="C6382" t="s">
        <v>40</v>
      </c>
      <c r="D6382">
        <v>4.6093159999999997</v>
      </c>
      <c r="E6382">
        <v>0.46086389999999999</v>
      </c>
      <c r="F6382" t="s">
        <v>72</v>
      </c>
      <c r="G6382">
        <v>-256.27330000000001</v>
      </c>
      <c r="H6382" s="1">
        <v>-2.5050990000000001E-6</v>
      </c>
      <c r="I6382">
        <v>-63.431510000000003</v>
      </c>
      <c r="J6382">
        <v>-282.36959999999999</v>
      </c>
      <c r="K6382">
        <v>1.1091169999999999</v>
      </c>
      <c r="L6382">
        <v>-57.423070000000003</v>
      </c>
      <c r="M6382">
        <v>0.95621469999999997</v>
      </c>
      <c r="N6382">
        <v>0</v>
      </c>
      <c r="O6382">
        <v>-0.29266239999999999</v>
      </c>
      <c r="P6382">
        <v>0.94555820000000002</v>
      </c>
      <c r="Q6382">
        <v>-6.3461589999999997E-3</v>
      </c>
      <c r="R6382">
        <v>-0.3253915</v>
      </c>
      <c r="S6382">
        <v>2.9389949999999998</v>
      </c>
      <c r="T6382">
        <v>-0.1244326</v>
      </c>
      <c r="U6382">
        <v>-0.6774597</v>
      </c>
      <c r="V6382">
        <v>3.4422910000000001E-2</v>
      </c>
      <c r="W6382">
        <v>-4.7791049999999996E-3</v>
      </c>
      <c r="X6382">
        <v>0.9993959</v>
      </c>
      <c r="Y6382">
        <v>-7.0103890000000002E-2</v>
      </c>
      <c r="Z6382">
        <v>1.345264E-2</v>
      </c>
      <c r="AA6382">
        <v>0.99744900000000003</v>
      </c>
      <c r="AB6382">
        <v>21</v>
      </c>
      <c r="AC6382">
        <v>26.0962999999999</v>
      </c>
      <c r="AD6382">
        <v>-1.1091195050989999</v>
      </c>
      <c r="AE6382">
        <v>-6.0084400000000002</v>
      </c>
      <c r="AF6382">
        <v>-1.8888091201656101</v>
      </c>
      <c r="AG6382">
        <v>-1.1091195050989999</v>
      </c>
      <c r="AH6382">
        <v>26.666395500985299</v>
      </c>
      <c r="AI6382">
        <v>92.375751159387804</v>
      </c>
      <c r="AJ6382">
        <v>94.051554364901705</v>
      </c>
      <c r="AK6382">
        <v>26.756202925377501</v>
      </c>
      <c r="AL6382">
        <v>90.273823596712106</v>
      </c>
      <c r="AM6382">
        <v>88.027300229801298</v>
      </c>
      <c r="AN6382">
        <v>0.99999997075713898</v>
      </c>
    </row>
    <row r="6383" spans="1:40" x14ac:dyDescent="0.25">
      <c r="A6383" t="str">
        <f>"20190312155003490"</f>
        <v>20190312155003490</v>
      </c>
      <c r="B6383" t="str">
        <f>"1552377003482371"</f>
        <v>1552377003482371</v>
      </c>
      <c r="C6383" t="s">
        <v>40</v>
      </c>
      <c r="D6383">
        <v>4.6150659999999997</v>
      </c>
      <c r="E6383">
        <v>0.4609742</v>
      </c>
      <c r="F6383" t="s">
        <v>72</v>
      </c>
      <c r="G6383">
        <v>-256.74979999999999</v>
      </c>
      <c r="H6383" s="1">
        <v>-2.687604E-6</v>
      </c>
      <c r="I6383">
        <v>-63.332799999999999</v>
      </c>
      <c r="J6383">
        <v>-282.24079999999998</v>
      </c>
      <c r="K6383">
        <v>1.1091150000000001</v>
      </c>
      <c r="L6383">
        <v>-57.46161</v>
      </c>
      <c r="M6383">
        <v>0.9564549</v>
      </c>
      <c r="N6383">
        <v>0</v>
      </c>
      <c r="O6383">
        <v>-0.2918772</v>
      </c>
      <c r="P6383">
        <v>0.94590890000000005</v>
      </c>
      <c r="Q6383">
        <v>-6.6512280000000003E-3</v>
      </c>
      <c r="R6383">
        <v>-0.32436479999999901</v>
      </c>
      <c r="S6383">
        <v>2.9386290000000002</v>
      </c>
      <c r="T6383">
        <v>-0.12721789999999999</v>
      </c>
      <c r="U6383">
        <v>-0.67785640000000003</v>
      </c>
      <c r="V6383">
        <v>3.4160059999999999E-2</v>
      </c>
      <c r="W6383">
        <v>-5.254758E-3</v>
      </c>
      <c r="X6383">
        <v>0.99940260000000003</v>
      </c>
      <c r="Y6383">
        <v>-6.9117670000000006E-2</v>
      </c>
      <c r="Z6383">
        <v>1.3701990000000001E-2</v>
      </c>
      <c r="AA6383">
        <v>0.99751440000000002</v>
      </c>
      <c r="AB6383">
        <v>21</v>
      </c>
      <c r="AC6383">
        <v>25.4909999999999</v>
      </c>
      <c r="AD6383">
        <v>-1.1091176876039901</v>
      </c>
      <c r="AE6383">
        <v>-5.8711899999999897</v>
      </c>
      <c r="AF6383">
        <v>-1.8214403128681</v>
      </c>
      <c r="AG6383">
        <v>-1.1091176876039901</v>
      </c>
      <c r="AH6383">
        <v>26.047852939610799</v>
      </c>
      <c r="AI6383">
        <v>92.432249596306207</v>
      </c>
      <c r="AJ6383">
        <v>93.999993430637701</v>
      </c>
      <c r="AK6383">
        <v>26.1350039147096</v>
      </c>
      <c r="AL6383">
        <v>90.301076829450395</v>
      </c>
      <c r="AM6383">
        <v>88.042364921951105</v>
      </c>
      <c r="AN6383">
        <v>1.0000000395338</v>
      </c>
    </row>
    <row r="6384" spans="1:40" x14ac:dyDescent="0.25">
      <c r="A6384" t="str">
        <f>"20190312155003503"</f>
        <v>20190312155003503</v>
      </c>
      <c r="B6384" t="str">
        <f>"1552377003492132"</f>
        <v>1552377003492132</v>
      </c>
      <c r="C6384" t="s">
        <v>40</v>
      </c>
      <c r="D6384">
        <v>4.6159189999999999</v>
      </c>
      <c r="E6384">
        <v>0.46110329999999999</v>
      </c>
      <c r="F6384" t="s">
        <v>72</v>
      </c>
      <c r="G6384">
        <v>-256.93599999999998</v>
      </c>
      <c r="H6384" s="1">
        <v>-2.7549559999999999E-6</v>
      </c>
      <c r="I6384">
        <v>-63.276499999999999</v>
      </c>
      <c r="J6384">
        <v>-282.10789999999997</v>
      </c>
      <c r="K6384">
        <v>1.1091150000000001</v>
      </c>
      <c r="L6384">
        <v>-57.501280000000001</v>
      </c>
      <c r="M6384">
        <v>0.95670379999999999</v>
      </c>
      <c r="N6384">
        <v>0</v>
      </c>
      <c r="O6384">
        <v>-0.29106130000000002</v>
      </c>
      <c r="P6384">
        <v>0.94626840000000001</v>
      </c>
      <c r="Q6384">
        <v>-7.086429E-3</v>
      </c>
      <c r="R6384">
        <v>-0.32330520000000001</v>
      </c>
      <c r="S6384">
        <v>2.9390869999999998</v>
      </c>
      <c r="T6384">
        <v>-0.12882099999999999</v>
      </c>
      <c r="U6384">
        <v>-0.67538450000000005</v>
      </c>
      <c r="V6384">
        <v>3.3895540000000002E-2</v>
      </c>
      <c r="W6384">
        <v>-5.8519790000000002E-3</v>
      </c>
      <c r="X6384">
        <v>0.99940819999999997</v>
      </c>
      <c r="Y6384">
        <v>-6.909034E-2</v>
      </c>
      <c r="Z6384">
        <v>1.383996E-2</v>
      </c>
      <c r="AA6384">
        <v>0.99751440000000002</v>
      </c>
      <c r="AB6384">
        <v>22</v>
      </c>
      <c r="AC6384">
        <v>25.171899999999901</v>
      </c>
      <c r="AD6384">
        <v>-1.1091177549560001</v>
      </c>
      <c r="AE6384">
        <v>-5.7752199999999903</v>
      </c>
      <c r="AF6384">
        <v>-1.7980757752493299</v>
      </c>
      <c r="AG6384">
        <v>-1.1091177549560001</v>
      </c>
      <c r="AH6384">
        <v>25.715581745803998</v>
      </c>
      <c r="AI6384">
        <v>92.463639247242995</v>
      </c>
      <c r="AJ6384">
        <v>93.999705390725893</v>
      </c>
      <c r="AK6384">
        <v>25.802216246148799</v>
      </c>
      <c r="AL6384">
        <v>90.335295628429506</v>
      </c>
      <c r="AM6384">
        <v>88.057523177037794</v>
      </c>
      <c r="AN6384">
        <v>0.99999995175867196</v>
      </c>
    </row>
    <row r="6385" spans="1:40" x14ac:dyDescent="0.25">
      <c r="A6385" t="str">
        <f>"20190312155003515"</f>
        <v>20190312155003515</v>
      </c>
      <c r="B6385" t="str">
        <f>"1552377003502867"</f>
        <v>1552377003502867</v>
      </c>
      <c r="C6385" t="s">
        <v>40</v>
      </c>
      <c r="D6385">
        <v>4.6191620000000002</v>
      </c>
      <c r="E6385">
        <v>0.46116459999999998</v>
      </c>
      <c r="F6385" t="s">
        <v>72</v>
      </c>
      <c r="G6385">
        <v>-257.10840000000002</v>
      </c>
      <c r="H6385" s="1">
        <v>-2.817678E-6</v>
      </c>
      <c r="I6385">
        <v>-63.225940000000001</v>
      </c>
      <c r="J6385">
        <v>-282.00110000000001</v>
      </c>
      <c r="K6385">
        <v>1.1091139999999999</v>
      </c>
      <c r="L6385">
        <v>-57.532960000000003</v>
      </c>
      <c r="M6385">
        <v>0.95690459999999999</v>
      </c>
      <c r="N6385">
        <v>0</v>
      </c>
      <c r="O6385">
        <v>-0.2904002</v>
      </c>
      <c r="P6385">
        <v>0.94654459999999996</v>
      </c>
      <c r="Q6385">
        <v>-7.5633389999999997E-3</v>
      </c>
      <c r="R6385">
        <v>-0.32248450000000001</v>
      </c>
      <c r="S6385">
        <v>2.9393919999999998</v>
      </c>
      <c r="T6385">
        <v>-0.130408199999999</v>
      </c>
      <c r="U6385">
        <v>-0.67309569999999996</v>
      </c>
      <c r="V6385">
        <v>3.3721880000000003E-2</v>
      </c>
      <c r="W6385">
        <v>-6.4448800000000001E-3</v>
      </c>
      <c r="X6385">
        <v>0.99941049999999998</v>
      </c>
      <c r="Y6385">
        <v>-6.9154229999999997E-2</v>
      </c>
      <c r="Z6385">
        <v>1.398435E-2</v>
      </c>
      <c r="AA6385">
        <v>0.99750799999999995</v>
      </c>
      <c r="AB6385">
        <v>22</v>
      </c>
      <c r="AC6385">
        <v>24.892699999999898</v>
      </c>
      <c r="AD6385">
        <v>-1.109116817678</v>
      </c>
      <c r="AE6385">
        <v>-5.6929800000000004</v>
      </c>
      <c r="AF6385">
        <v>-1.7778534585849299</v>
      </c>
      <c r="AG6385">
        <v>-1.109116817678</v>
      </c>
      <c r="AH6385">
        <v>25.425232272820502</v>
      </c>
      <c r="AI6385">
        <v>92.4917354563499</v>
      </c>
      <c r="AJ6385">
        <v>93.999883439331299</v>
      </c>
      <c r="AK6385">
        <v>25.511435458678701</v>
      </c>
      <c r="AL6385">
        <v>90.369266970759696</v>
      </c>
      <c r="AM6385">
        <v>88.067472117732393</v>
      </c>
      <c r="AN6385">
        <v>1.0000000245895899</v>
      </c>
    </row>
    <row r="6386" spans="1:40" x14ac:dyDescent="0.25">
      <c r="A6386" t="str">
        <f>"20190312155003532"</f>
        <v>20190312155003532</v>
      </c>
      <c r="B6386" t="str">
        <f>"1552377003522390"</f>
        <v>1552377003522390</v>
      </c>
      <c r="C6386" t="s">
        <v>40</v>
      </c>
      <c r="D6386">
        <v>4.5822989999999999</v>
      </c>
      <c r="E6386">
        <v>0.46128940000000002</v>
      </c>
      <c r="F6386" t="s">
        <v>72</v>
      </c>
      <c r="G6386">
        <v>-257.35449999999997</v>
      </c>
      <c r="H6386" s="1">
        <v>-2.896687E-6</v>
      </c>
      <c r="I6386">
        <v>-63.15784</v>
      </c>
      <c r="J6386">
        <v>-281.85210000000001</v>
      </c>
      <c r="K6386">
        <v>1.109116</v>
      </c>
      <c r="L6386">
        <v>-57.577179999999998</v>
      </c>
      <c r="M6386">
        <v>0.95718579999999998</v>
      </c>
      <c r="N6386">
        <v>0</v>
      </c>
      <c r="O6386">
        <v>-0.28947339999999999</v>
      </c>
      <c r="P6386">
        <v>0.94715360000000004</v>
      </c>
      <c r="Q6386">
        <v>-8.5464019999999998E-3</v>
      </c>
      <c r="R6386">
        <v>-0.32066709999999998</v>
      </c>
      <c r="S6386">
        <v>2.939819</v>
      </c>
      <c r="T6386">
        <v>-0.1322942</v>
      </c>
      <c r="U6386">
        <v>-0.670929</v>
      </c>
      <c r="V6386">
        <v>3.2776329999999999E-2</v>
      </c>
      <c r="W6386">
        <v>-7.581735E-3</v>
      </c>
      <c r="X6386">
        <v>0.99943389999999999</v>
      </c>
      <c r="Y6386">
        <v>-6.8909819999999997E-2</v>
      </c>
      <c r="Z6386">
        <v>1.4141340000000001E-2</v>
      </c>
      <c r="AA6386">
        <v>0.99752269999999998</v>
      </c>
      <c r="AB6386">
        <v>22</v>
      </c>
      <c r="AC6386">
        <v>24.497599999999998</v>
      </c>
      <c r="AD6386">
        <v>-1.109118896687</v>
      </c>
      <c r="AE6386">
        <v>-5.5806599999999902</v>
      </c>
      <c r="AF6386">
        <v>-1.74627259286556</v>
      </c>
      <c r="AG6386">
        <v>-1.109118896687</v>
      </c>
      <c r="AH6386">
        <v>25.015466958410698</v>
      </c>
      <c r="AI6386">
        <v>92.532523886845297</v>
      </c>
      <c r="AJ6386">
        <v>93.993209406715906</v>
      </c>
      <c r="AK6386">
        <v>25.100860539888199</v>
      </c>
      <c r="AL6386">
        <v>90.434405602434893</v>
      </c>
      <c r="AM6386">
        <v>88.121664109651505</v>
      </c>
      <c r="AN6386">
        <v>0.99999994549154303</v>
      </c>
    </row>
    <row r="6387" spans="1:40" x14ac:dyDescent="0.25">
      <c r="A6387" t="str">
        <f>"20190312155003541"</f>
        <v>20190312155003541</v>
      </c>
      <c r="B6387" t="str">
        <f>"1552377003532149"</f>
        <v>1552377003532149</v>
      </c>
      <c r="C6387" t="s">
        <v>40</v>
      </c>
      <c r="D6387">
        <v>4.5953280000000003</v>
      </c>
      <c r="E6387">
        <v>0.46132830000000002</v>
      </c>
      <c r="F6387" t="s">
        <v>72</v>
      </c>
      <c r="G6387">
        <v>-256.90559999999999</v>
      </c>
      <c r="H6387" s="1">
        <v>-2.7314479999999999E-6</v>
      </c>
      <c r="I6387">
        <v>-63.229550000000003</v>
      </c>
      <c r="J6387">
        <v>-281.74869999999999</v>
      </c>
      <c r="K6387">
        <v>1.109118</v>
      </c>
      <c r="L6387">
        <v>-57.607729999999997</v>
      </c>
      <c r="M6387">
        <v>0.95738100000000004</v>
      </c>
      <c r="N6387">
        <v>0</v>
      </c>
      <c r="O6387">
        <v>-0.28882740000000001</v>
      </c>
      <c r="P6387">
        <v>0.94751660000000004</v>
      </c>
      <c r="Q6387">
        <v>-8.9207009999999996E-3</v>
      </c>
      <c r="R6387">
        <v>-0.3195828</v>
      </c>
      <c r="S6387">
        <v>2.9406430000000001</v>
      </c>
      <c r="T6387">
        <v>-0.13074079999999999</v>
      </c>
      <c r="U6387">
        <v>-0.6662903</v>
      </c>
      <c r="V6387">
        <v>3.2309060000000001E-2</v>
      </c>
      <c r="W6387">
        <v>-8.0543000000000003E-3</v>
      </c>
      <c r="X6387">
        <v>0.99944549999999999</v>
      </c>
      <c r="Y6387">
        <v>-6.9800940000000006E-2</v>
      </c>
      <c r="Z6387">
        <v>1.396736E-2</v>
      </c>
      <c r="AA6387">
        <v>0.99746319999999999</v>
      </c>
      <c r="AB6387">
        <v>22</v>
      </c>
      <c r="AC6387">
        <v>24.8431</v>
      </c>
      <c r="AD6387">
        <v>-1.1091207314480001</v>
      </c>
      <c r="AE6387">
        <v>-5.6218199999999996</v>
      </c>
      <c r="AF6387">
        <v>-1.7897511292441599</v>
      </c>
      <c r="AG6387">
        <v>-1.1091207314480001</v>
      </c>
      <c r="AH6387">
        <v>25.359967483532699</v>
      </c>
      <c r="AI6387">
        <v>92.498035509782397</v>
      </c>
      <c r="AJ6387">
        <v>94.036891811981803</v>
      </c>
      <c r="AK6387">
        <v>25.4472259522997</v>
      </c>
      <c r="AL6387">
        <v>90.461482373958702</v>
      </c>
      <c r="AM6387">
        <v>88.148444976826198</v>
      </c>
      <c r="AN6387">
        <v>1.00000002728841</v>
      </c>
    </row>
    <row r="6388" spans="1:40" x14ac:dyDescent="0.25">
      <c r="A6388" t="str">
        <f>"20190312155003553"</f>
        <v>20190312155003553</v>
      </c>
      <c r="B6388" t="str">
        <f>"1552377003541908"</f>
        <v>1552377003541908</v>
      </c>
      <c r="C6388" t="s">
        <v>40</v>
      </c>
      <c r="D6388">
        <v>4.5517760000000003</v>
      </c>
      <c r="E6388">
        <v>0.46140520000000002</v>
      </c>
      <c r="F6388" t="s">
        <v>72</v>
      </c>
      <c r="G6388">
        <v>-256.73719999999997</v>
      </c>
      <c r="H6388" s="1">
        <v>-2.6632210000000001E-6</v>
      </c>
      <c r="I6388">
        <v>-63.247430000000001</v>
      </c>
      <c r="J6388">
        <v>-281.6456</v>
      </c>
      <c r="K6388">
        <v>1.109121</v>
      </c>
      <c r="L6388">
        <v>-57.638120000000001</v>
      </c>
      <c r="M6388">
        <v>0.9575766</v>
      </c>
      <c r="N6388">
        <v>0</v>
      </c>
      <c r="O6388">
        <v>-0.28817870000000001</v>
      </c>
      <c r="P6388">
        <v>0.94784559999999995</v>
      </c>
      <c r="Q6388">
        <v>-9.3473099999999993E-3</v>
      </c>
      <c r="R6388">
        <v>-0.31859409999999999</v>
      </c>
      <c r="S6388">
        <v>2.9412539999999998</v>
      </c>
      <c r="T6388">
        <v>-0.1304284</v>
      </c>
      <c r="U6388">
        <v>-0.66320800000000002</v>
      </c>
      <c r="V6388">
        <v>3.1945719999999997E-2</v>
      </c>
      <c r="W6388">
        <v>-8.570065E-3</v>
      </c>
      <c r="X6388">
        <v>0.99945289999999998</v>
      </c>
      <c r="Y6388">
        <v>-7.0165980000000003E-2</v>
      </c>
      <c r="Z6388">
        <v>1.391425E-2</v>
      </c>
      <c r="AA6388">
        <v>0.9974383</v>
      </c>
      <c r="AB6388">
        <v>22</v>
      </c>
      <c r="AC6388">
        <v>24.9084</v>
      </c>
      <c r="AD6388">
        <v>-1.109123663221</v>
      </c>
      <c r="AE6388">
        <v>-5.6093099999999998</v>
      </c>
      <c r="AF6388">
        <v>-1.80332345151374</v>
      </c>
      <c r="AG6388">
        <v>-1.109123663221</v>
      </c>
      <c r="AH6388">
        <v>25.4202165565836</v>
      </c>
      <c r="AI6388">
        <v>92.492064658250598</v>
      </c>
      <c r="AJ6388">
        <v>94.057794633809905</v>
      </c>
      <c r="AK6388">
        <v>25.508224958916699</v>
      </c>
      <c r="AL6388">
        <v>90.4910345472763</v>
      </c>
      <c r="AM6388">
        <v>88.169266419639797</v>
      </c>
      <c r="AN6388">
        <v>1.00000003717941</v>
      </c>
    </row>
    <row r="6389" spans="1:40" x14ac:dyDescent="0.25">
      <c r="A6389" t="str">
        <f>"20190312155003564"</f>
        <v>20190312155003564</v>
      </c>
      <c r="B6389" t="str">
        <f>"1552377003552643"</f>
        <v>1552377003552643</v>
      </c>
      <c r="C6389" t="s">
        <v>40</v>
      </c>
      <c r="D6389">
        <v>4.6225420000000002</v>
      </c>
      <c r="E6389">
        <v>0.4613546</v>
      </c>
      <c r="F6389" t="s">
        <v>72</v>
      </c>
      <c r="G6389">
        <v>-256.5462</v>
      </c>
      <c r="H6389" s="1">
        <v>-2.5874180000000001E-6</v>
      </c>
      <c r="I6389">
        <v>-63.27516</v>
      </c>
      <c r="J6389">
        <v>-281.5367</v>
      </c>
      <c r="K6389">
        <v>1.109124</v>
      </c>
      <c r="L6389">
        <v>-57.670140000000004</v>
      </c>
      <c r="M6389">
        <v>0.95778260000000004</v>
      </c>
      <c r="N6389">
        <v>0</v>
      </c>
      <c r="O6389">
        <v>-0.28749259999999999</v>
      </c>
      <c r="P6389">
        <v>0.94822779999999995</v>
      </c>
      <c r="Q6389">
        <v>-9.4506829999999997E-3</v>
      </c>
      <c r="R6389">
        <v>-0.31745069999999997</v>
      </c>
      <c r="S6389">
        <v>2.9417110000000002</v>
      </c>
      <c r="T6389">
        <v>-0.1299921</v>
      </c>
      <c r="U6389">
        <v>-0.66067500000000001</v>
      </c>
      <c r="V6389">
        <v>3.1457279999999997E-2</v>
      </c>
      <c r="W6389">
        <v>-8.7644369999999999E-3</v>
      </c>
      <c r="X6389">
        <v>0.99946670000000004</v>
      </c>
      <c r="Y6389">
        <v>-7.0304770000000003E-2</v>
      </c>
      <c r="Z6389">
        <v>1.3841880000000001E-2</v>
      </c>
      <c r="AA6389">
        <v>0.99742949999999997</v>
      </c>
      <c r="AB6389">
        <v>22</v>
      </c>
      <c r="AC6389">
        <v>24.990500000000001</v>
      </c>
      <c r="AD6389">
        <v>-1.1091265874179901</v>
      </c>
      <c r="AE6389">
        <v>-5.6050199999999899</v>
      </c>
      <c r="AF6389">
        <v>-1.8127939024789399</v>
      </c>
      <c r="AG6389">
        <v>-1.1091265874179901</v>
      </c>
      <c r="AH6389">
        <v>25.4990528856761</v>
      </c>
      <c r="AI6389">
        <v>92.484349401153693</v>
      </c>
      <c r="AJ6389">
        <v>94.066464148296504</v>
      </c>
      <c r="AK6389">
        <v>25.587459459397099</v>
      </c>
      <c r="AL6389">
        <v>90.502171664007605</v>
      </c>
      <c r="AM6389">
        <v>88.197264020897606</v>
      </c>
      <c r="AN6389">
        <v>1.0000000301148999</v>
      </c>
    </row>
    <row r="6390" spans="1:40" x14ac:dyDescent="0.25">
      <c r="A6390" t="str">
        <f>"20190312155003576"</f>
        <v>20190312155003576</v>
      </c>
      <c r="B6390" t="str">
        <f>"1552377003572164"</f>
        <v>1552377003572164</v>
      </c>
      <c r="C6390" t="s">
        <v>40</v>
      </c>
      <c r="D6390">
        <v>4.5492610000000004</v>
      </c>
      <c r="E6390">
        <v>0.46133200000000002</v>
      </c>
      <c r="F6390" t="s">
        <v>72</v>
      </c>
      <c r="G6390">
        <v>-256.46420000000001</v>
      </c>
      <c r="H6390" s="1">
        <v>-2.5501220000000001E-6</v>
      </c>
      <c r="I6390">
        <v>-63.265520000000002</v>
      </c>
      <c r="J6390">
        <v>-281.4264</v>
      </c>
      <c r="K6390">
        <v>1.109127</v>
      </c>
      <c r="L6390">
        <v>-57.702449999999999</v>
      </c>
      <c r="M6390">
        <v>0.95799239999999997</v>
      </c>
      <c r="N6390">
        <v>0</v>
      </c>
      <c r="O6390">
        <v>-0.28679310000000002</v>
      </c>
      <c r="P6390">
        <v>0.94866450000000002</v>
      </c>
      <c r="Q6390">
        <v>-9.4574489999999997E-3</v>
      </c>
      <c r="R6390">
        <v>-0.31614300000000001</v>
      </c>
      <c r="S6390">
        <v>2.9426570000000001</v>
      </c>
      <c r="T6390">
        <v>-0.1301737</v>
      </c>
      <c r="U6390">
        <v>-0.65670779999999995</v>
      </c>
      <c r="V6390">
        <v>3.0809759999999999E-2</v>
      </c>
      <c r="W6390">
        <v>-8.8531249999999999E-3</v>
      </c>
      <c r="X6390">
        <v>0.99948599999999999</v>
      </c>
      <c r="Y6390">
        <v>-7.0924589999999996E-2</v>
      </c>
      <c r="Z6390">
        <v>1.3843919999999999E-2</v>
      </c>
      <c r="AA6390">
        <v>0.99738559999999998</v>
      </c>
      <c r="AB6390">
        <v>22</v>
      </c>
      <c r="AC6390">
        <v>24.962199999999999</v>
      </c>
      <c r="AD6390">
        <v>-1.109129550122</v>
      </c>
      <c r="AE6390">
        <v>-5.56306999999999</v>
      </c>
      <c r="AF6390">
        <v>-1.82617348989216</v>
      </c>
      <c r="AG6390">
        <v>-1.109129550122</v>
      </c>
      <c r="AH6390">
        <v>25.461163644774</v>
      </c>
      <c r="AI6390">
        <v>92.487936957223297</v>
      </c>
      <c r="AJ6390">
        <v>94.102450571464104</v>
      </c>
      <c r="AK6390">
        <v>25.550654240549299</v>
      </c>
      <c r="AL6390">
        <v>90.5072533539755</v>
      </c>
      <c r="AM6390">
        <v>88.234382068137407</v>
      </c>
      <c r="AN6390">
        <v>0.99999994166475903</v>
      </c>
    </row>
    <row r="6391" spans="1:40" x14ac:dyDescent="0.25">
      <c r="A6391" t="str">
        <f>"20190312155003587"</f>
        <v>20190312155003587</v>
      </c>
      <c r="B6391" t="str">
        <f>"1552377003581924"</f>
        <v>1552377003581924</v>
      </c>
      <c r="C6391" t="s">
        <v>40</v>
      </c>
      <c r="D6391">
        <v>4.6093169999999999</v>
      </c>
      <c r="E6391">
        <v>0.46135540000000003</v>
      </c>
      <c r="F6391" t="s">
        <v>72</v>
      </c>
      <c r="G6391">
        <v>-256.45639999999997</v>
      </c>
      <c r="H6391" s="1">
        <v>-2.5403219999999998E-6</v>
      </c>
      <c r="I6391">
        <v>-63.236620000000002</v>
      </c>
      <c r="J6391">
        <v>-281.3143</v>
      </c>
      <c r="K6391">
        <v>1.1091219999999999</v>
      </c>
      <c r="L6391">
        <v>-57.735230000000001</v>
      </c>
      <c r="M6391">
        <v>0.95820530000000004</v>
      </c>
      <c r="N6391">
        <v>0</v>
      </c>
      <c r="O6391">
        <v>-0.28608169999999999</v>
      </c>
      <c r="P6391">
        <v>0.94905689999999998</v>
      </c>
      <c r="Q6391">
        <v>-9.7195100000000006E-3</v>
      </c>
      <c r="R6391">
        <v>-0.314955599999999</v>
      </c>
      <c r="S6391">
        <v>2.9436339999999999</v>
      </c>
      <c r="T6391">
        <v>-0.1307517</v>
      </c>
      <c r="U6391">
        <v>-0.65240480000000001</v>
      </c>
      <c r="V6391">
        <v>3.0302800000000001E-2</v>
      </c>
      <c r="W6391">
        <v>-9.195333E-3</v>
      </c>
      <c r="X6391">
        <v>0.99949849999999996</v>
      </c>
      <c r="Y6391">
        <v>-7.1640739999999994E-2</v>
      </c>
      <c r="Z6391">
        <v>1.388967E-2</v>
      </c>
      <c r="AA6391">
        <v>0.99733380000000005</v>
      </c>
      <c r="AB6391">
        <v>22</v>
      </c>
      <c r="AC6391">
        <v>24.857900000000001</v>
      </c>
      <c r="AD6391">
        <v>-1.109124540322</v>
      </c>
      <c r="AE6391">
        <v>-5.50138999999999</v>
      </c>
      <c r="AF6391">
        <v>-1.8364437926533801</v>
      </c>
      <c r="AG6391">
        <v>-1.109124540322</v>
      </c>
      <c r="AH6391">
        <v>25.344716024684701</v>
      </c>
      <c r="AI6391">
        <v>92.4992106406186</v>
      </c>
      <c r="AJ6391">
        <v>94.144331767439695</v>
      </c>
      <c r="AK6391">
        <v>25.4353555788283</v>
      </c>
      <c r="AL6391">
        <v>90.526861179799099</v>
      </c>
      <c r="AM6391">
        <v>88.263438241477999</v>
      </c>
      <c r="AN6391">
        <v>1.00000003266953</v>
      </c>
    </row>
    <row r="6392" spans="1:40" x14ac:dyDescent="0.25">
      <c r="A6392" t="str">
        <f>"20190312155003597"</f>
        <v>20190312155003597</v>
      </c>
      <c r="B6392" t="str">
        <f>"1552377003592660"</f>
        <v>1552377003592660</v>
      </c>
      <c r="C6392" t="s">
        <v>40</v>
      </c>
      <c r="D6392">
        <v>4.6144730000000003</v>
      </c>
      <c r="E6392">
        <v>0.4614143</v>
      </c>
      <c r="F6392" t="s">
        <v>72</v>
      </c>
      <c r="G6392">
        <v>-256.56869999999998</v>
      </c>
      <c r="H6392" s="1">
        <v>-2.5777599999999999E-6</v>
      </c>
      <c r="I6392">
        <v>-63.188290000000002</v>
      </c>
      <c r="J6392">
        <v>-281.20920000000001</v>
      </c>
      <c r="K6392">
        <v>1.1091230000000001</v>
      </c>
      <c r="L6392">
        <v>-57.7658699999999</v>
      </c>
      <c r="M6392">
        <v>0.95840499999999995</v>
      </c>
      <c r="N6392">
        <v>0</v>
      </c>
      <c r="O6392">
        <v>-0.28541159999999999</v>
      </c>
      <c r="P6392">
        <v>0.94944470000000003</v>
      </c>
      <c r="Q6392">
        <v>-9.5653060000000008E-3</v>
      </c>
      <c r="R6392">
        <v>-0.3137894</v>
      </c>
      <c r="S6392">
        <v>2.944366</v>
      </c>
      <c r="T6392">
        <v>-0.13196959999999999</v>
      </c>
      <c r="U6392">
        <v>-0.64883419999999903</v>
      </c>
      <c r="V6392">
        <v>2.9773290000000001E-2</v>
      </c>
      <c r="W6392">
        <v>-9.1087159999999993E-3</v>
      </c>
      <c r="X6392">
        <v>0.99951520000000005</v>
      </c>
      <c r="Y6392">
        <v>-7.2142910000000005E-2</v>
      </c>
      <c r="Z6392">
        <v>1.4000739999999999E-2</v>
      </c>
      <c r="AA6392">
        <v>0.99729599999999996</v>
      </c>
      <c r="AB6392">
        <v>23</v>
      </c>
      <c r="AC6392">
        <v>24.640499999999999</v>
      </c>
      <c r="AD6392">
        <v>-1.10912557775999</v>
      </c>
      <c r="AE6392">
        <v>-5.4224200000000096</v>
      </c>
      <c r="AF6392">
        <v>-1.8322692592863401</v>
      </c>
      <c r="AG6392">
        <v>-1.10912557775999</v>
      </c>
      <c r="AH6392">
        <v>25.1146662882153</v>
      </c>
      <c r="AI6392">
        <v>92.521985649451494</v>
      </c>
      <c r="AJ6392">
        <v>94.172686551820306</v>
      </c>
      <c r="AK6392">
        <v>25.205829344700899</v>
      </c>
      <c r="AL6392">
        <v>90.521898186913205</v>
      </c>
      <c r="AM6392">
        <v>88.2937932519622</v>
      </c>
      <c r="AN6392">
        <v>1.0000000262678099</v>
      </c>
    </row>
    <row r="6393" spans="1:40" x14ac:dyDescent="0.25">
      <c r="A6393" t="str">
        <f>"20190312155003609"</f>
        <v>20190312155003609</v>
      </c>
      <c r="B6393" t="str">
        <f>"1552377003602420"</f>
        <v>1552377003602420</v>
      </c>
      <c r="C6393" t="s">
        <v>40</v>
      </c>
      <c r="D6393">
        <v>4.5418839999999996</v>
      </c>
      <c r="E6393">
        <v>0.46148820000000002</v>
      </c>
      <c r="F6393" t="s">
        <v>72</v>
      </c>
      <c r="G6393">
        <v>-256.61219999999997</v>
      </c>
      <c r="H6393" s="1">
        <v>-2.589654E-6</v>
      </c>
      <c r="I6393">
        <v>-63.157940000000004</v>
      </c>
      <c r="J6393">
        <v>-281.10329999999999</v>
      </c>
      <c r="K6393">
        <v>1.1091219999999999</v>
      </c>
      <c r="L6393">
        <v>-57.796689999999998</v>
      </c>
      <c r="M6393">
        <v>0.95860610000000002</v>
      </c>
      <c r="N6393">
        <v>0</v>
      </c>
      <c r="O6393">
        <v>-0.28473589999999999</v>
      </c>
      <c r="P6393">
        <v>0.949762</v>
      </c>
      <c r="Q6393">
        <v>-9.2927610000000001E-3</v>
      </c>
      <c r="R6393">
        <v>-0.31283569999999999</v>
      </c>
      <c r="S6393">
        <v>2.9450379999999998</v>
      </c>
      <c r="T6393">
        <v>-0.132797</v>
      </c>
      <c r="U6393">
        <v>-0.64559940000000005</v>
      </c>
      <c r="V6393">
        <v>2.9473320000000001E-2</v>
      </c>
      <c r="W6393">
        <v>-8.9006789999999999E-3</v>
      </c>
      <c r="X6393">
        <v>0.99952600000000003</v>
      </c>
      <c r="Y6393">
        <v>-7.2528599999999999E-2</v>
      </c>
      <c r="Z6393">
        <v>1.4067349999999999E-2</v>
      </c>
      <c r="AA6393">
        <v>0.99726709999999996</v>
      </c>
      <c r="AB6393">
        <v>23</v>
      </c>
      <c r="AC6393">
        <v>24.491099999999999</v>
      </c>
      <c r="AD6393">
        <v>-1.1091245896539901</v>
      </c>
      <c r="AE6393">
        <v>-5.3612499999999903</v>
      </c>
      <c r="AF6393">
        <v>-1.8305856109026799</v>
      </c>
      <c r="AG6393">
        <v>-1.1091245896539901</v>
      </c>
      <c r="AH6393">
        <v>24.955016053975399</v>
      </c>
      <c r="AI6393">
        <v>92.5380231715842</v>
      </c>
      <c r="AJ6393">
        <v>94.195441323766602</v>
      </c>
      <c r="AK6393">
        <v>25.0466370454875</v>
      </c>
      <c r="AL6393">
        <v>90.509978043784798</v>
      </c>
      <c r="AM6393">
        <v>88.310991751688505</v>
      </c>
      <c r="AN6393">
        <v>1.00000006167723</v>
      </c>
    </row>
    <row r="6394" spans="1:40" x14ac:dyDescent="0.25">
      <c r="A6394" t="str">
        <f>"20190312155003619"</f>
        <v>20190312155003619</v>
      </c>
      <c r="B6394" t="str">
        <f>"1552377003612180"</f>
        <v>1552377003612180</v>
      </c>
      <c r="C6394" t="s">
        <v>40</v>
      </c>
      <c r="D6394">
        <v>4.5814919999999999</v>
      </c>
      <c r="E6394">
        <v>0.46157939999999997</v>
      </c>
      <c r="F6394" t="s">
        <v>72</v>
      </c>
      <c r="G6394">
        <v>-256.38279999999997</v>
      </c>
      <c r="H6394" s="1">
        <v>-2.49944E-6</v>
      </c>
      <c r="I6394">
        <v>-63.194749999999999</v>
      </c>
      <c r="J6394">
        <v>-280.99360000000001</v>
      </c>
      <c r="K6394">
        <v>1.109124</v>
      </c>
      <c r="L6394">
        <v>-57.828490000000002</v>
      </c>
      <c r="M6394">
        <v>0.9588139</v>
      </c>
      <c r="N6394">
        <v>0</v>
      </c>
      <c r="O6394">
        <v>-0.28403509999999998</v>
      </c>
      <c r="P6394">
        <v>0.95009060000000001</v>
      </c>
      <c r="Q6394">
        <v>-9.1688259999999997E-3</v>
      </c>
      <c r="R6394">
        <v>-0.311839799999999</v>
      </c>
      <c r="S6394">
        <v>2.9454959999999999</v>
      </c>
      <c r="T6394">
        <v>-0.1321542</v>
      </c>
      <c r="U6394">
        <v>-0.64318850000000005</v>
      </c>
      <c r="V6394">
        <v>2.9155690000000001E-2</v>
      </c>
      <c r="W6394">
        <v>-8.8378409999999904E-3</v>
      </c>
      <c r="X6394">
        <v>0.99953579999999997</v>
      </c>
      <c r="Y6394">
        <v>-7.2614799999999993E-2</v>
      </c>
      <c r="Z6394">
        <v>1.39711E-2</v>
      </c>
      <c r="AA6394">
        <v>0.99726219999999999</v>
      </c>
      <c r="AB6394">
        <v>23</v>
      </c>
      <c r="AC6394">
        <v>24.610800000000001</v>
      </c>
      <c r="AD6394">
        <v>-1.1091264994399901</v>
      </c>
      <c r="AE6394">
        <v>-5.3662599999999898</v>
      </c>
      <c r="AF6394">
        <v>-1.84151595268757</v>
      </c>
      <c r="AG6394">
        <v>-1.1091264994399901</v>
      </c>
      <c r="AH6394">
        <v>25.0727711988885</v>
      </c>
      <c r="AI6394">
        <v>92.526106238652204</v>
      </c>
      <c r="AJ6394">
        <v>94.200651714565296</v>
      </c>
      <c r="AK6394">
        <v>25.164761039747098</v>
      </c>
      <c r="AL6394">
        <v>90.506377587208405</v>
      </c>
      <c r="AM6394">
        <v>88.329199964841393</v>
      </c>
      <c r="AN6394">
        <v>0.99999998858727801</v>
      </c>
    </row>
    <row r="6395" spans="1:40" x14ac:dyDescent="0.25">
      <c r="A6395" t="str">
        <f>"20190312155003630"</f>
        <v>20190312155003630</v>
      </c>
      <c r="B6395" t="str">
        <f>"1552377003621940"</f>
        <v>1552377003621940</v>
      </c>
      <c r="C6395" t="s">
        <v>40</v>
      </c>
      <c r="D6395">
        <v>4.5830659999999996</v>
      </c>
      <c r="E6395">
        <v>0.46170319999999998</v>
      </c>
      <c r="F6395" t="s">
        <v>72</v>
      </c>
      <c r="G6395">
        <v>-256.3433</v>
      </c>
      <c r="H6395" s="1">
        <v>-2.481481E-6</v>
      </c>
      <c r="I6395">
        <v>-63.190159999999999</v>
      </c>
      <c r="J6395">
        <v>-280.88679999999999</v>
      </c>
      <c r="K6395">
        <v>1.1091249999999999</v>
      </c>
      <c r="L6395">
        <v>-57.859380000000002</v>
      </c>
      <c r="M6395">
        <v>0.95901579999999997</v>
      </c>
      <c r="N6395">
        <v>0</v>
      </c>
      <c r="O6395">
        <v>-0.28335199999999999</v>
      </c>
      <c r="P6395">
        <v>0.95038279999999997</v>
      </c>
      <c r="Q6395">
        <v>-9.2307959999999994E-3</v>
      </c>
      <c r="R6395">
        <v>-0.31094549999999999</v>
      </c>
      <c r="S6395">
        <v>2.9459840000000002</v>
      </c>
      <c r="T6395">
        <v>-0.1325529</v>
      </c>
      <c r="U6395">
        <v>-0.64077759999999995</v>
      </c>
      <c r="V6395">
        <v>2.8927709999999999E-2</v>
      </c>
      <c r="W6395">
        <v>-8.955012E-3</v>
      </c>
      <c r="X6395">
        <v>0.99954140000000002</v>
      </c>
      <c r="Y6395">
        <v>-7.271648E-2</v>
      </c>
      <c r="Z6395">
        <v>1.3985829999999999E-2</v>
      </c>
      <c r="AA6395">
        <v>0.99725459999999999</v>
      </c>
      <c r="AB6395">
        <v>23</v>
      </c>
      <c r="AC6395">
        <v>24.543499999999899</v>
      </c>
      <c r="AD6395">
        <v>-1.1091274814809999</v>
      </c>
      <c r="AE6395">
        <v>-5.3307799999999901</v>
      </c>
      <c r="AF6395">
        <v>-1.8385623826850099</v>
      </c>
      <c r="AG6395">
        <v>-1.1091274814809999</v>
      </c>
      <c r="AH6395">
        <v>24.999342928822099</v>
      </c>
      <c r="AI6395">
        <v>92.533500475814606</v>
      </c>
      <c r="AJ6395">
        <v>94.206212756117196</v>
      </c>
      <c r="AK6395">
        <v>25.091385419662501</v>
      </c>
      <c r="AL6395">
        <v>90.513091247063002</v>
      </c>
      <c r="AM6395">
        <v>88.342266582312902</v>
      </c>
      <c r="AN6395">
        <v>1.0000000074798601</v>
      </c>
    </row>
    <row r="6396" spans="1:40" x14ac:dyDescent="0.25">
      <c r="A6396" t="str">
        <f>"20190312155003641"</f>
        <v>20190312155003641</v>
      </c>
      <c r="B6396" t="str">
        <f>"1552377003632676"</f>
        <v>1552377003632676</v>
      </c>
      <c r="C6396" t="s">
        <v>40</v>
      </c>
      <c r="D6396">
        <v>4.5893680000000003</v>
      </c>
      <c r="E6396">
        <v>0.46182020000000001</v>
      </c>
      <c r="F6396" t="s">
        <v>72</v>
      </c>
      <c r="G6396">
        <v>-256.46120000000002</v>
      </c>
      <c r="H6396" s="1">
        <v>-2.5244439999999999E-6</v>
      </c>
      <c r="I6396">
        <v>-63.15598</v>
      </c>
      <c r="J6396">
        <v>-280.77749999999997</v>
      </c>
      <c r="K6396">
        <v>1.1091219999999999</v>
      </c>
      <c r="L6396">
        <v>-57.890929999999997</v>
      </c>
      <c r="M6396">
        <v>0.95922229999999997</v>
      </c>
      <c r="N6396">
        <v>0</v>
      </c>
      <c r="O6396">
        <v>-0.28265359999999901</v>
      </c>
      <c r="P6396">
        <v>0.9506597</v>
      </c>
      <c r="Q6396">
        <v>-8.9931860000000002E-3</v>
      </c>
      <c r="R6396">
        <v>-0.3101062</v>
      </c>
      <c r="S6396">
        <v>2.946259</v>
      </c>
      <c r="T6396">
        <v>-0.13378480000000001</v>
      </c>
      <c r="U6396">
        <v>-0.6388855</v>
      </c>
      <c r="V6396">
        <v>2.8772220000000001E-2</v>
      </c>
      <c r="W6396">
        <v>-8.7700909999999903E-3</v>
      </c>
      <c r="X6396">
        <v>0.99954750000000003</v>
      </c>
      <c r="Y6396">
        <v>-7.2615509999999994E-2</v>
      </c>
      <c r="Z6396">
        <v>1.4083490000000001E-2</v>
      </c>
      <c r="AA6396">
        <v>0.99726060000000005</v>
      </c>
      <c r="AB6396">
        <v>23</v>
      </c>
      <c r="AC6396">
        <v>24.316299999999899</v>
      </c>
      <c r="AD6396">
        <v>-1.109124524444</v>
      </c>
      <c r="AE6396">
        <v>-5.2650499999999996</v>
      </c>
      <c r="AF6396">
        <v>-1.81912075265879</v>
      </c>
      <c r="AG6396">
        <v>-1.109124524444</v>
      </c>
      <c r="AH6396">
        <v>24.763703221034699</v>
      </c>
      <c r="AI6396">
        <v>92.557585322484599</v>
      </c>
      <c r="AJ6396">
        <v>94.201353302323596</v>
      </c>
      <c r="AK6396">
        <v>24.855187682714501</v>
      </c>
      <c r="AL6396">
        <v>90.502495651995503</v>
      </c>
      <c r="AM6396">
        <v>88.3511822282982</v>
      </c>
      <c r="AN6396">
        <v>0.999999979948063</v>
      </c>
    </row>
    <row r="6397" spans="1:40" x14ac:dyDescent="0.25">
      <c r="A6397" t="str">
        <f>"20190312155003654"</f>
        <v>20190312155003654</v>
      </c>
      <c r="B6397" t="str">
        <f>"1552377003642436"</f>
        <v>1552377003642436</v>
      </c>
      <c r="C6397" t="s">
        <v>40</v>
      </c>
      <c r="D6397">
        <v>4.5100350000000002</v>
      </c>
      <c r="E6397">
        <v>0.46189330000000001</v>
      </c>
      <c r="F6397" t="s">
        <v>72</v>
      </c>
      <c r="G6397">
        <v>-256.38639999999998</v>
      </c>
      <c r="H6397" s="1">
        <v>-2.4942589999999999E-6</v>
      </c>
      <c r="I6397">
        <v>-63.164490000000001</v>
      </c>
      <c r="J6397">
        <v>-280.6617</v>
      </c>
      <c r="K6397">
        <v>1.1091249999999999</v>
      </c>
      <c r="L6397">
        <v>-57.924259999999997</v>
      </c>
      <c r="M6397">
        <v>0.95943999999999996</v>
      </c>
      <c r="N6397">
        <v>0</v>
      </c>
      <c r="O6397">
        <v>-0.28191270000000002</v>
      </c>
      <c r="P6397">
        <v>0.95095350000000001</v>
      </c>
      <c r="Q6397">
        <v>-9.1537509999999999E-3</v>
      </c>
      <c r="R6397">
        <v>-0.30919829999999998</v>
      </c>
      <c r="S6397">
        <v>2.946625</v>
      </c>
      <c r="T6397">
        <v>-0.13399040000000001</v>
      </c>
      <c r="U6397">
        <v>-0.63708500000000001</v>
      </c>
      <c r="V6397">
        <v>2.8590830000000001E-2</v>
      </c>
      <c r="W6397">
        <v>-8.9811149999999996E-3</v>
      </c>
      <c r="X6397">
        <v>0.99955090000000002</v>
      </c>
      <c r="Y6397">
        <v>-7.2452939999999993E-2</v>
      </c>
      <c r="Z6397">
        <v>1.40692E-2</v>
      </c>
      <c r="AA6397">
        <v>0.99727259999999995</v>
      </c>
      <c r="AB6397">
        <v>23</v>
      </c>
      <c r="AC6397">
        <v>24.275300000000001</v>
      </c>
      <c r="AD6397">
        <v>-1.1091274942589999</v>
      </c>
      <c r="AE6397">
        <v>-5.2402300000000004</v>
      </c>
      <c r="AF6397">
        <v>-1.8122145752919601</v>
      </c>
      <c r="AG6397">
        <v>-1.1091274942589999</v>
      </c>
      <c r="AH6397">
        <v>24.7186790255607</v>
      </c>
      <c r="AI6397">
        <v>92.562271714700799</v>
      </c>
      <c r="AJ6397">
        <v>94.193056419558701</v>
      </c>
      <c r="AK6397">
        <v>24.8098242281987</v>
      </c>
      <c r="AL6397">
        <v>90.514586877647105</v>
      </c>
      <c r="AM6397">
        <v>88.361576830678402</v>
      </c>
      <c r="AN6397">
        <v>1.0000000488387699</v>
      </c>
    </row>
    <row r="6398" spans="1:40" x14ac:dyDescent="0.25">
      <c r="A6398" t="str">
        <f>"20190312155003664"</f>
        <v>20190312155003664</v>
      </c>
      <c r="B6398" t="str">
        <f>"1552377003652196"</f>
        <v>1552377003652196</v>
      </c>
      <c r="C6398" t="s">
        <v>40</v>
      </c>
      <c r="D6398">
        <v>4.4799730000000002</v>
      </c>
      <c r="E6398">
        <v>0.46191910000000003</v>
      </c>
      <c r="F6398" t="s">
        <v>72</v>
      </c>
      <c r="G6398">
        <v>-256.36840000000001</v>
      </c>
      <c r="H6398" s="1">
        <v>-2.4850630000000002E-6</v>
      </c>
      <c r="I6398">
        <v>-63.157899999999998</v>
      </c>
      <c r="J6398">
        <v>-280.54809999999998</v>
      </c>
      <c r="K6398">
        <v>1.1091230000000001</v>
      </c>
      <c r="L6398">
        <v>-57.956850000000003</v>
      </c>
      <c r="M6398">
        <v>0.95965299999999998</v>
      </c>
      <c r="N6398">
        <v>0</v>
      </c>
      <c r="O6398">
        <v>-0.28118680000000001</v>
      </c>
      <c r="P6398">
        <v>0.95116540000000005</v>
      </c>
      <c r="Q6398">
        <v>-9.274493E-3</v>
      </c>
      <c r="R6398">
        <v>-0.3085427</v>
      </c>
      <c r="S6398">
        <v>2.9469910000000001</v>
      </c>
      <c r="T6398">
        <v>-0.134547</v>
      </c>
      <c r="U6398">
        <v>-0.63488769999999894</v>
      </c>
      <c r="V6398">
        <v>2.8658699999999999E-2</v>
      </c>
      <c r="W6398">
        <v>-9.1487630000000007E-3</v>
      </c>
      <c r="X6398">
        <v>0.99954739999999997</v>
      </c>
      <c r="Y6398">
        <v>-7.2432410000000003E-2</v>
      </c>
      <c r="Z6398">
        <v>1.40956E-2</v>
      </c>
      <c r="AA6398">
        <v>0.99727370000000004</v>
      </c>
      <c r="AB6398">
        <v>23</v>
      </c>
      <c r="AC6398">
        <v>24.179699999999901</v>
      </c>
      <c r="AD6398">
        <v>-1.1091254850629999</v>
      </c>
      <c r="AE6398">
        <v>-5.2010499999999897</v>
      </c>
      <c r="AF6398">
        <v>-1.80418107924792</v>
      </c>
      <c r="AG6398">
        <v>-1.1091254850629999</v>
      </c>
      <c r="AH6398">
        <v>24.617084045874002</v>
      </c>
      <c r="AI6398">
        <v>92.572831857315506</v>
      </c>
      <c r="AJ6398">
        <v>94.191701644618206</v>
      </c>
      <c r="AK6398">
        <v>24.7080160197042</v>
      </c>
      <c r="AL6398">
        <v>90.524192813555402</v>
      </c>
      <c r="AM6398">
        <v>88.357683859365807</v>
      </c>
      <c r="AN6398">
        <v>1.0000000128984301</v>
      </c>
    </row>
    <row r="6399" spans="1:40" x14ac:dyDescent="0.25">
      <c r="A6399" t="str">
        <f>"20190312155003676"</f>
        <v>20190312155003676</v>
      </c>
      <c r="B6399" t="str">
        <f>"1552377003671716"</f>
        <v>1552377003671716</v>
      </c>
      <c r="C6399" t="s">
        <v>40</v>
      </c>
      <c r="D6399">
        <v>4.4383819999999998</v>
      </c>
      <c r="E6399">
        <v>0.4423919</v>
      </c>
      <c r="F6399" t="s">
        <v>72</v>
      </c>
      <c r="G6399">
        <v>-256.49439999999998</v>
      </c>
      <c r="H6399" s="1">
        <v>-2.531239E-6</v>
      </c>
      <c r="I6399">
        <v>-63.122500000000002</v>
      </c>
      <c r="J6399">
        <v>-280.4323</v>
      </c>
      <c r="K6399">
        <v>1.1091230000000001</v>
      </c>
      <c r="L6399">
        <v>-57.989989999999999</v>
      </c>
      <c r="M6399">
        <v>0.95986930000000004</v>
      </c>
      <c r="N6399">
        <v>0</v>
      </c>
      <c r="O6399">
        <v>-0.28044760000000002</v>
      </c>
      <c r="P6399">
        <v>0.95143069999999996</v>
      </c>
      <c r="Q6399">
        <v>-9.3842700000000001E-3</v>
      </c>
      <c r="R6399">
        <v>-0.3077202</v>
      </c>
      <c r="S6399">
        <v>2.9473880000000001</v>
      </c>
      <c r="T6399">
        <v>-0.135905</v>
      </c>
      <c r="U6399">
        <v>-0.63296509999999995</v>
      </c>
      <c r="V6399">
        <v>2.8565239999999999E-2</v>
      </c>
      <c r="W6399">
        <v>-9.2965610000000001E-3</v>
      </c>
      <c r="X6399">
        <v>0.99954869999999996</v>
      </c>
      <c r="Y6399">
        <v>-7.230752E-2</v>
      </c>
      <c r="Z6399">
        <v>1.420213E-2</v>
      </c>
      <c r="AA6399">
        <v>0.99728130000000004</v>
      </c>
      <c r="AB6399">
        <v>23</v>
      </c>
      <c r="AC6399">
        <v>23.937899999999999</v>
      </c>
      <c r="AD6399">
        <v>-1.10912553123899</v>
      </c>
      <c r="AE6399">
        <v>-5.1325099999999999</v>
      </c>
      <c r="AF6399">
        <v>-1.7831281307507001</v>
      </c>
      <c r="AG6399">
        <v>-1.10912553123899</v>
      </c>
      <c r="AH6399">
        <v>24.366645322752301</v>
      </c>
      <c r="AI6399">
        <v>92.599260213235297</v>
      </c>
      <c r="AJ6399">
        <v>94.185390597542906</v>
      </c>
      <c r="AK6399">
        <v>24.456964440819899</v>
      </c>
      <c r="AL6399">
        <v>90.532661381403003</v>
      </c>
      <c r="AM6399">
        <v>88.363038889383503</v>
      </c>
      <c r="AN6399">
        <v>1.0000000013271799</v>
      </c>
    </row>
    <row r="6400" spans="1:40" x14ac:dyDescent="0.25">
      <c r="A6400" t="str">
        <f>"20190312155003689"</f>
        <v>20190312155003689</v>
      </c>
      <c r="B6400" t="str">
        <f>"1552377003682451"</f>
        <v>1552377003682451</v>
      </c>
      <c r="C6400" t="s">
        <v>40</v>
      </c>
      <c r="D6400">
        <v>4.3956439999999999</v>
      </c>
      <c r="E6400">
        <v>0.43548979999999998</v>
      </c>
      <c r="F6400" t="s">
        <v>73</v>
      </c>
      <c r="G6400">
        <v>-244.00559999999999</v>
      </c>
      <c r="H6400" s="1">
        <v>-1.633433E-6</v>
      </c>
      <c r="I6400">
        <v>-63.87106</v>
      </c>
      <c r="J6400">
        <v>-280.30540000000002</v>
      </c>
      <c r="K6400">
        <v>1.109124</v>
      </c>
      <c r="L6400">
        <v>-58.026179999999997</v>
      </c>
      <c r="M6400">
        <v>0.96010519999999999</v>
      </c>
      <c r="N6400">
        <v>0</v>
      </c>
      <c r="O6400">
        <v>-0.27963929999999998</v>
      </c>
      <c r="P6400">
        <v>0.95165069999999996</v>
      </c>
      <c r="Q6400">
        <v>-9.6293320000000009E-3</v>
      </c>
      <c r="R6400">
        <v>-0.30703200000000003</v>
      </c>
      <c r="S6400">
        <v>2.9957889999999998</v>
      </c>
      <c r="T6400">
        <v>-9.121609E-2</v>
      </c>
      <c r="U6400">
        <v>-0.48367310000000002</v>
      </c>
      <c r="V6400">
        <v>2.8685410000000001E-2</v>
      </c>
      <c r="W6400">
        <v>-9.5762109999999994E-3</v>
      </c>
      <c r="X6400">
        <v>0.99954259999999995</v>
      </c>
      <c r="Y6400">
        <v>-0.12285889999999999</v>
      </c>
      <c r="Z6400">
        <v>1.0182800000000001E-2</v>
      </c>
      <c r="AA6400">
        <v>0.99237189999999997</v>
      </c>
      <c r="AB6400">
        <v>23</v>
      </c>
      <c r="AC6400">
        <v>36.299799999999998</v>
      </c>
      <c r="AD6400">
        <v>-1.109125633433</v>
      </c>
      <c r="AE6400">
        <v>-5.8448799999999901</v>
      </c>
      <c r="AF6400">
        <v>-4.5350238504362803</v>
      </c>
      <c r="AG6400">
        <v>-1.109125633433</v>
      </c>
      <c r="AH6400">
        <v>36.452910663200001</v>
      </c>
      <c r="AI6400">
        <v>91.729434566952094</v>
      </c>
      <c r="AJ6400">
        <v>97.091601389498194</v>
      </c>
      <c r="AK6400">
        <v>36.750663896234599</v>
      </c>
      <c r="AL6400">
        <v>90.548684869715899</v>
      </c>
      <c r="AM6400">
        <v>88.356146165167104</v>
      </c>
      <c r="AN6400">
        <v>0.99999998288937197</v>
      </c>
    </row>
    <row r="6401" spans="1:40" x14ac:dyDescent="0.25">
      <c r="A6401" t="str">
        <f>"20190312155003701"</f>
        <v>20190312155003701</v>
      </c>
      <c r="B6401" t="str">
        <f>"1552377003692212"</f>
        <v>1552377003692212</v>
      </c>
      <c r="C6401" t="s">
        <v>40</v>
      </c>
      <c r="D6401">
        <v>4.4636750000000003</v>
      </c>
      <c r="E6401">
        <v>0.42875180000000002</v>
      </c>
      <c r="F6401" t="s">
        <v>74</v>
      </c>
      <c r="G6401">
        <v>-238.209</v>
      </c>
      <c r="H6401" s="1">
        <v>-3.3137109999999998E-6</v>
      </c>
      <c r="I6401">
        <v>-64.026009999999999</v>
      </c>
      <c r="J6401">
        <v>-280.17110000000002</v>
      </c>
      <c r="K6401">
        <v>1.1091310000000001</v>
      </c>
      <c r="L6401">
        <v>-58.064329999999998</v>
      </c>
      <c r="M6401">
        <v>0.96035340000000002</v>
      </c>
      <c r="N6401">
        <v>0</v>
      </c>
      <c r="O6401">
        <v>-0.27878570000000003</v>
      </c>
      <c r="P6401">
        <v>0.95194029999999996</v>
      </c>
      <c r="Q6401">
        <v>-1.0004290000000001E-2</v>
      </c>
      <c r="R6401">
        <v>-0.30612119999999998</v>
      </c>
      <c r="S6401">
        <v>3.0130620000000001</v>
      </c>
      <c r="T6401">
        <v>-7.9385999999999998E-2</v>
      </c>
      <c r="U6401">
        <v>-0.42944339999999998</v>
      </c>
      <c r="V6401">
        <v>2.8619599999999999E-2</v>
      </c>
      <c r="W6401">
        <v>-9.9721459999999994E-3</v>
      </c>
      <c r="X6401">
        <v>0.9995406</v>
      </c>
      <c r="Y6401">
        <v>-0.14035010000000001</v>
      </c>
      <c r="Z6401">
        <v>9.0367510000000009E-3</v>
      </c>
      <c r="AA6401">
        <v>0.99006070000000002</v>
      </c>
      <c r="AB6401">
        <v>24</v>
      </c>
      <c r="AC6401">
        <v>41.9621</v>
      </c>
      <c r="AD6401">
        <v>-1.1091343137109999</v>
      </c>
      <c r="AE6401">
        <v>-5.9616799999999897</v>
      </c>
      <c r="AF6401">
        <v>-5.9690257125946697</v>
      </c>
      <c r="AG6401">
        <v>-1.1091343137109999</v>
      </c>
      <c r="AH6401">
        <v>41.931758418442399</v>
      </c>
      <c r="AI6401">
        <v>91.500058573489895</v>
      </c>
      <c r="AJ6401">
        <v>98.101677771209395</v>
      </c>
      <c r="AK6401">
        <v>42.368995868985202</v>
      </c>
      <c r="AL6401">
        <v>90.571371366848396</v>
      </c>
      <c r="AM6401">
        <v>88.3599121487388</v>
      </c>
      <c r="AN6401">
        <v>0.99999996812418201</v>
      </c>
    </row>
    <row r="6402" spans="1:40" x14ac:dyDescent="0.25">
      <c r="A6402" t="str">
        <f>"20190312155003715"</f>
        <v>20190312155003715</v>
      </c>
      <c r="B6402" t="str">
        <f>"1552377003712709"</f>
        <v>1552377003712709</v>
      </c>
      <c r="C6402" t="s">
        <v>40</v>
      </c>
      <c r="D6402">
        <v>4.4313719999999996</v>
      </c>
      <c r="E6402">
        <v>0.42088399999999998</v>
      </c>
      <c r="F6402" t="s">
        <v>75</v>
      </c>
      <c r="G6402">
        <v>-221.2518</v>
      </c>
      <c r="H6402" s="1">
        <v>-7.6614489999999999E-7</v>
      </c>
      <c r="I6402">
        <v>-65.380449999999996</v>
      </c>
      <c r="J6402">
        <v>-280.03519999999997</v>
      </c>
      <c r="K6402">
        <v>1.109145</v>
      </c>
      <c r="L6402">
        <v>-58.102809999999998</v>
      </c>
      <c r="M6402">
        <v>0.96060290000000004</v>
      </c>
      <c r="N6402">
        <v>0</v>
      </c>
      <c r="O6402">
        <v>-0.27792470000000002</v>
      </c>
      <c r="P6402">
        <v>0.95214650000000001</v>
      </c>
      <c r="Q6402">
        <v>-1.0621439999999999E-2</v>
      </c>
      <c r="R6402">
        <v>-0.30545749999999999</v>
      </c>
      <c r="S6402">
        <v>3.029846</v>
      </c>
      <c r="T6402">
        <v>-5.7035570000000001E-2</v>
      </c>
      <c r="U6402">
        <v>-0.37622070000000002</v>
      </c>
      <c r="V6402">
        <v>2.8822509999999999E-2</v>
      </c>
      <c r="W6402">
        <v>-1.058573E-2</v>
      </c>
      <c r="X6402">
        <v>0.99952850000000004</v>
      </c>
      <c r="Y6402">
        <v>-0.15736169999999999</v>
      </c>
      <c r="Z6402">
        <v>6.6121299999999999E-3</v>
      </c>
      <c r="AA6402">
        <v>0.98751889999999998</v>
      </c>
      <c r="AB6402">
        <v>24</v>
      </c>
      <c r="AC6402">
        <v>58.783399999999901</v>
      </c>
      <c r="AD6402">
        <v>-1.10914576614489</v>
      </c>
      <c r="AE6402">
        <v>-7.2776399999999901</v>
      </c>
      <c r="AF6402">
        <v>-9.3431603045223692</v>
      </c>
      <c r="AG6402">
        <v>-1.10914576614489</v>
      </c>
      <c r="AH6402">
        <v>58.469636563476001</v>
      </c>
      <c r="AI6402">
        <v>91.073136446365993</v>
      </c>
      <c r="AJ6402">
        <v>99.078828622171201</v>
      </c>
      <c r="AK6402">
        <v>59.221813959651101</v>
      </c>
      <c r="AL6402">
        <v>90.606528974951402</v>
      </c>
      <c r="AM6402">
        <v>88.348270530223203</v>
      </c>
      <c r="AN6402">
        <v>1.00000000853729</v>
      </c>
    </row>
    <row r="6403" spans="1:40" x14ac:dyDescent="0.25">
      <c r="A6403" t="str">
        <f>"20190312155003733"</f>
        <v>20190312155003733</v>
      </c>
      <c r="B6403" t="str">
        <f>"1552377003722468"</f>
        <v>1552377003722468</v>
      </c>
      <c r="C6403" t="s">
        <v>40</v>
      </c>
      <c r="D6403">
        <v>4.4356849999999897</v>
      </c>
      <c r="E6403">
        <v>0.41876910000000001</v>
      </c>
      <c r="F6403" t="s">
        <v>65</v>
      </c>
      <c r="G6403">
        <v>-204.8783</v>
      </c>
      <c r="H6403" s="1">
        <v>-3.9668559999999997E-6</v>
      </c>
      <c r="I6403">
        <v>-65.861519999999999</v>
      </c>
      <c r="J6403">
        <v>-279.85469999999998</v>
      </c>
      <c r="K6403">
        <v>1.109162</v>
      </c>
      <c r="L6403">
        <v>-58.153779999999998</v>
      </c>
      <c r="M6403">
        <v>0.96093189999999995</v>
      </c>
      <c r="N6403">
        <v>0</v>
      </c>
      <c r="O6403">
        <v>-0.27678459999999899</v>
      </c>
      <c r="P6403">
        <v>0.95249919999999999</v>
      </c>
      <c r="Q6403">
        <v>-1.070334E-2</v>
      </c>
      <c r="R6403">
        <v>-0.30435299999999998</v>
      </c>
      <c r="S6403">
        <v>3.0492859999999999</v>
      </c>
      <c r="T6403">
        <v>-4.500067E-2</v>
      </c>
      <c r="U6403">
        <v>-0.31478879999999998</v>
      </c>
      <c r="V6403">
        <v>2.885006E-2</v>
      </c>
      <c r="W6403">
        <v>-1.0629680000000001E-2</v>
      </c>
      <c r="X6403">
        <v>0.99952719999999995</v>
      </c>
      <c r="Y6403">
        <v>-0.17659739999999999</v>
      </c>
      <c r="Z6403">
        <v>5.318265E-3</v>
      </c>
      <c r="AA6403">
        <v>0.98426880000000005</v>
      </c>
      <c r="AB6403">
        <v>24</v>
      </c>
      <c r="AC6403">
        <v>74.976399999999899</v>
      </c>
      <c r="AD6403">
        <v>-1.1091659668560001</v>
      </c>
      <c r="AE6403">
        <v>-7.7077399999999896</v>
      </c>
      <c r="AF6403">
        <v>-13.3428112475332</v>
      </c>
      <c r="AG6403">
        <v>-1.1091659668560001</v>
      </c>
      <c r="AH6403">
        <v>74.164543426314907</v>
      </c>
      <c r="AI6403">
        <v>90.843285104495905</v>
      </c>
      <c r="AJ6403">
        <v>100.198880254439</v>
      </c>
      <c r="AK6403">
        <v>75.363388742565704</v>
      </c>
      <c r="AL6403">
        <v>90.609047289721104</v>
      </c>
      <c r="AM6403">
        <v>88.346690451098098</v>
      </c>
      <c r="AN6403">
        <v>0.999999969799372</v>
      </c>
    </row>
    <row r="6404" spans="1:40" x14ac:dyDescent="0.25">
      <c r="A6404" t="str">
        <f>"20190312155003747"</f>
        <v>20190312155003747</v>
      </c>
      <c r="B6404" t="str">
        <f>"1552377003741988"</f>
        <v>1552377003741988</v>
      </c>
      <c r="C6404" t="s">
        <v>40</v>
      </c>
      <c r="D6404">
        <v>4.4486080000000001</v>
      </c>
      <c r="E6404">
        <v>0.41591519999999998</v>
      </c>
      <c r="F6404" t="s">
        <v>65</v>
      </c>
      <c r="G6404">
        <v>-198.81100000000001</v>
      </c>
      <c r="H6404" s="1">
        <v>-6.5165119999999997E-6</v>
      </c>
      <c r="I6404">
        <v>-65.986999999999995</v>
      </c>
      <c r="J6404">
        <v>-279.70400000000001</v>
      </c>
      <c r="K6404">
        <v>1.1091850000000001</v>
      </c>
      <c r="L6404">
        <v>-58.19614</v>
      </c>
      <c r="M6404">
        <v>0.96120510000000003</v>
      </c>
      <c r="N6404">
        <v>0</v>
      </c>
      <c r="O6404">
        <v>-0.27583489999999999</v>
      </c>
      <c r="P6404">
        <v>0.9526829</v>
      </c>
      <c r="Q6404">
        <v>-1.1184909999999999E-2</v>
      </c>
      <c r="R6404">
        <v>-0.30376130000000001</v>
      </c>
      <c r="S6404">
        <v>3.0547789999999999</v>
      </c>
      <c r="T6404">
        <v>-4.180789E-2</v>
      </c>
      <c r="U6404">
        <v>-0.29525759999999901</v>
      </c>
      <c r="V6404">
        <v>2.921955E-2</v>
      </c>
      <c r="W6404">
        <v>-1.104751E-2</v>
      </c>
      <c r="X6404">
        <v>0.99951199999999996</v>
      </c>
      <c r="Y6404">
        <v>-0.18204010000000001</v>
      </c>
      <c r="Z6404">
        <v>4.9592120000000002E-3</v>
      </c>
      <c r="AA6404">
        <v>0.9832786</v>
      </c>
      <c r="AB6404">
        <v>24</v>
      </c>
      <c r="AC6404">
        <v>80.893000000000001</v>
      </c>
      <c r="AD6404">
        <v>-1.1091915165119901</v>
      </c>
      <c r="AE6404">
        <v>-7.7908599999999897</v>
      </c>
      <c r="AF6404">
        <v>-14.8217361006694</v>
      </c>
      <c r="AG6404">
        <v>-1.1091915165119901</v>
      </c>
      <c r="AH6404">
        <v>79.8888675802731</v>
      </c>
      <c r="AI6404">
        <v>90.782108905566503</v>
      </c>
      <c r="AJ6404">
        <v>100.510545664388</v>
      </c>
      <c r="AK6404">
        <v>81.259739909235506</v>
      </c>
      <c r="AL6404">
        <v>90.632988551915304</v>
      </c>
      <c r="AM6404">
        <v>88.325502627034297</v>
      </c>
      <c r="AN6404">
        <v>1.0000000338617001</v>
      </c>
    </row>
    <row r="6405" spans="1:40" x14ac:dyDescent="0.25">
      <c r="A6405" t="str">
        <f>"20190312155003759"</f>
        <v>20190312155003759</v>
      </c>
      <c r="B6405" t="str">
        <f>"1552377003751748"</f>
        <v>1552377003751748</v>
      </c>
      <c r="C6405" t="s">
        <v>40</v>
      </c>
      <c r="D6405">
        <v>4.4489609999999997</v>
      </c>
      <c r="E6405">
        <v>0.4149832</v>
      </c>
      <c r="F6405" t="s">
        <v>65</v>
      </c>
      <c r="G6405">
        <v>-188.11279999999999</v>
      </c>
      <c r="H6405" s="1">
        <v>-8.9390450000000001E-6</v>
      </c>
      <c r="I6405">
        <v>-66.330889999999997</v>
      </c>
      <c r="J6405">
        <v>-279.57279999999997</v>
      </c>
      <c r="K6405">
        <v>1.1092150000000001</v>
      </c>
      <c r="L6405">
        <v>-58.232849999999999</v>
      </c>
      <c r="M6405">
        <v>0.96144220000000002</v>
      </c>
      <c r="N6405">
        <v>0</v>
      </c>
      <c r="O6405">
        <v>-0.27500720000000001</v>
      </c>
      <c r="P6405">
        <v>0.95291550000000003</v>
      </c>
      <c r="Q6405">
        <v>-1.181536E-2</v>
      </c>
      <c r="R6405">
        <v>-0.3030062</v>
      </c>
      <c r="S6405">
        <v>3.0618590000000001</v>
      </c>
      <c r="T6405">
        <v>-3.7079929999999997E-2</v>
      </c>
      <c r="U6405">
        <v>-0.27194210000000002</v>
      </c>
      <c r="V6405">
        <v>2.9291729999999998E-2</v>
      </c>
      <c r="W6405">
        <v>-1.1594129999999999E-2</v>
      </c>
      <c r="X6405">
        <v>0.99950369999999999</v>
      </c>
      <c r="Y6405">
        <v>-0.18883910000000001</v>
      </c>
      <c r="Z6405">
        <v>4.4221750000000004E-3</v>
      </c>
      <c r="AA6405">
        <v>0.98199809999999998</v>
      </c>
      <c r="AB6405">
        <v>24</v>
      </c>
      <c r="AC6405">
        <v>91.459999999999894</v>
      </c>
      <c r="AD6405">
        <v>-1.1092239390449901</v>
      </c>
      <c r="AE6405">
        <v>-8.0980399999999904</v>
      </c>
      <c r="AF6405">
        <v>-17.363826426207101</v>
      </c>
      <c r="AG6405">
        <v>-1.1092239390449901</v>
      </c>
      <c r="AH6405">
        <v>90.147363615250399</v>
      </c>
      <c r="AI6405">
        <v>90.692240798480597</v>
      </c>
      <c r="AJ6405">
        <v>100.902561951815</v>
      </c>
      <c r="AK6405">
        <v>91.811110507860505</v>
      </c>
      <c r="AL6405">
        <v>90.664309574753105</v>
      </c>
      <c r="AM6405">
        <v>88.321354608713904</v>
      </c>
      <c r="AN6405">
        <v>1.00000003780526</v>
      </c>
    </row>
    <row r="6406" spans="1:40" x14ac:dyDescent="0.25">
      <c r="A6406" t="str">
        <f>"20190312155003771"</f>
        <v>20190312155003771</v>
      </c>
      <c r="B6406" t="str">
        <f>"1552377003762484"</f>
        <v>1552377003762484</v>
      </c>
      <c r="C6406" t="s">
        <v>40</v>
      </c>
      <c r="D6406">
        <v>4.4601059999999997</v>
      </c>
      <c r="E6406">
        <v>0.41422209999999998</v>
      </c>
      <c r="F6406" t="s">
        <v>65</v>
      </c>
      <c r="G6406">
        <v>-184.1969</v>
      </c>
      <c r="H6406" s="1">
        <v>-8.4734189999999995E-6</v>
      </c>
      <c r="I6406">
        <v>-66.402569999999997</v>
      </c>
      <c r="J6406">
        <v>-279.4556</v>
      </c>
      <c r="K6406">
        <v>1.1092360000000001</v>
      </c>
      <c r="L6406">
        <v>-58.265529999999998</v>
      </c>
      <c r="M6406">
        <v>0.9616536</v>
      </c>
      <c r="N6406">
        <v>0</v>
      </c>
      <c r="O6406">
        <v>-0.27426729999999999</v>
      </c>
      <c r="P6406">
        <v>0.95306709999999994</v>
      </c>
      <c r="Q6406">
        <v>-1.234641E-2</v>
      </c>
      <c r="R6406">
        <v>-0.302508099999999</v>
      </c>
      <c r="S6406">
        <v>3.0643009999999999</v>
      </c>
      <c r="T6406">
        <v>-3.563786E-2</v>
      </c>
      <c r="U6406">
        <v>-0.26248169999999998</v>
      </c>
      <c r="V6406">
        <v>2.954159E-2</v>
      </c>
      <c r="W6406">
        <v>-1.203971E-2</v>
      </c>
      <c r="X6406">
        <v>0.99949100000000002</v>
      </c>
      <c r="Y6406">
        <v>-0.19116320000000001</v>
      </c>
      <c r="Z6406">
        <v>4.2529500000000001E-3</v>
      </c>
      <c r="AA6406">
        <v>0.981549</v>
      </c>
      <c r="AB6406">
        <v>24</v>
      </c>
      <c r="AC6406">
        <v>95.258700000000005</v>
      </c>
      <c r="AD6406">
        <v>-1.1092444734189999</v>
      </c>
      <c r="AE6406">
        <v>-8.1370399999999901</v>
      </c>
      <c r="AF6406">
        <v>-18.298867556820198</v>
      </c>
      <c r="AG6406">
        <v>-1.1092444734189999</v>
      </c>
      <c r="AH6406">
        <v>93.824956392159606</v>
      </c>
      <c r="AI6406">
        <v>90.664822221228505</v>
      </c>
      <c r="AJ6406">
        <v>101.035974506686</v>
      </c>
      <c r="AK6406">
        <v>95.599170598674704</v>
      </c>
      <c r="AL6406">
        <v>90.689841264049207</v>
      </c>
      <c r="AM6406">
        <v>88.307022473691305</v>
      </c>
      <c r="AN6406">
        <v>0.99999995961880495</v>
      </c>
    </row>
    <row r="6407" spans="1:40" x14ac:dyDescent="0.25">
      <c r="A6407" t="str">
        <f>"20190312155003782"</f>
        <v>20190312155003782</v>
      </c>
      <c r="B6407" t="str">
        <f>"1552377003772244"</f>
        <v>1552377003772244</v>
      </c>
      <c r="C6407" t="s">
        <v>40</v>
      </c>
      <c r="D6407">
        <v>4.4502899999999999</v>
      </c>
      <c r="E6407">
        <v>0.41365990000000002</v>
      </c>
      <c r="F6407" t="s">
        <v>65</v>
      </c>
      <c r="G6407">
        <v>-180.67339999999999</v>
      </c>
      <c r="H6407" s="1">
        <v>-8.08687E-6</v>
      </c>
      <c r="I6407">
        <v>-66.488709999999998</v>
      </c>
      <c r="J6407">
        <v>-279.33539999999999</v>
      </c>
      <c r="K6407">
        <v>1.109259</v>
      </c>
      <c r="L6407">
        <v>-58.29898</v>
      </c>
      <c r="M6407">
        <v>0.96187020000000001</v>
      </c>
      <c r="N6407">
        <v>0</v>
      </c>
      <c r="O6407">
        <v>-0.27350649999999999</v>
      </c>
      <c r="P6407">
        <v>0.95327390000000001</v>
      </c>
      <c r="Q6407">
        <v>-1.275954E-2</v>
      </c>
      <c r="R6407">
        <v>-0.30183779999999999</v>
      </c>
      <c r="S6407">
        <v>3.0662229999999999</v>
      </c>
      <c r="T6407">
        <v>-3.4431219999999998E-2</v>
      </c>
      <c r="U6407">
        <v>-0.255249</v>
      </c>
      <c r="V6407">
        <v>2.963203E-2</v>
      </c>
      <c r="W6407">
        <v>-1.2355420000000001E-2</v>
      </c>
      <c r="X6407">
        <v>0.9994845</v>
      </c>
      <c r="Y6407">
        <v>-0.19273970000000001</v>
      </c>
      <c r="Z6407">
        <v>4.1076619999999998E-3</v>
      </c>
      <c r="AA6407">
        <v>0.98124129999999998</v>
      </c>
      <c r="AB6407">
        <v>24</v>
      </c>
      <c r="AC6407">
        <v>98.662000000000006</v>
      </c>
      <c r="AD6407">
        <v>-1.1092670868700001</v>
      </c>
      <c r="AE6407">
        <v>-8.1897299999999902</v>
      </c>
      <c r="AF6407">
        <v>-19.1048417702088</v>
      </c>
      <c r="AG6407">
        <v>-1.1092670868700001</v>
      </c>
      <c r="AH6407">
        <v>97.127784175385102</v>
      </c>
      <c r="AI6407">
        <v>90.642028198757501</v>
      </c>
      <c r="AJ6407">
        <v>101.127903896557</v>
      </c>
      <c r="AK6407">
        <v>98.995110542667305</v>
      </c>
      <c r="AL6407">
        <v>90.707931439912997</v>
      </c>
      <c r="AM6407">
        <v>88.301831506273999</v>
      </c>
      <c r="AN6407">
        <v>0.99999998967277304</v>
      </c>
    </row>
    <row r="6408" spans="1:40" x14ac:dyDescent="0.25">
      <c r="A6408" t="str">
        <f>"20190312155003794"</f>
        <v>20190312155003794</v>
      </c>
      <c r="B6408" t="str">
        <f>"1552377003782005"</f>
        <v>1552377003782005</v>
      </c>
      <c r="C6408" t="s">
        <v>40</v>
      </c>
      <c r="D6408">
        <v>4.466977</v>
      </c>
      <c r="E6408">
        <v>0.41324260000000002</v>
      </c>
      <c r="F6408" t="s">
        <v>65</v>
      </c>
      <c r="G6408">
        <v>-179.95769999999999</v>
      </c>
      <c r="H6408">
        <v>4.3005439999999999E-3</v>
      </c>
      <c r="I6408">
        <v>-66.361000000000004</v>
      </c>
      <c r="J6408">
        <v>-279.20760000000001</v>
      </c>
      <c r="K6408">
        <v>1.1092900000000001</v>
      </c>
      <c r="L6408">
        <v>-58.334440000000001</v>
      </c>
      <c r="M6408">
        <v>0.96210059999999997</v>
      </c>
      <c r="N6408">
        <v>0</v>
      </c>
      <c r="O6408">
        <v>-0.2726942</v>
      </c>
      <c r="P6408">
        <v>0.95340409999999998</v>
      </c>
      <c r="Q6408">
        <v>-1.346078E-2</v>
      </c>
      <c r="R6408">
        <v>-0.30139539999999998</v>
      </c>
      <c r="S6408">
        <v>3.0677490000000001</v>
      </c>
      <c r="T6408">
        <v>-3.4109590000000002E-2</v>
      </c>
      <c r="U6408">
        <v>-0.2488708</v>
      </c>
      <c r="V6408">
        <v>3.001651E-2</v>
      </c>
      <c r="W6408">
        <v>-1.2936609999999999E-2</v>
      </c>
      <c r="X6408">
        <v>0.99946570000000001</v>
      </c>
      <c r="Y6408">
        <v>-0.19397829999999999</v>
      </c>
      <c r="Z6408">
        <v>4.0660160000000004E-3</v>
      </c>
      <c r="AA6408">
        <v>0.98099740000000002</v>
      </c>
      <c r="AB6408">
        <v>24</v>
      </c>
      <c r="AC6408">
        <v>99.249899999999997</v>
      </c>
      <c r="AD6408">
        <v>-1.104989456</v>
      </c>
      <c r="AE6408">
        <v>-8.0265599999999999</v>
      </c>
      <c r="AF6408">
        <v>-19.340135189135299</v>
      </c>
      <c r="AG6408">
        <v>-1.104989456</v>
      </c>
      <c r="AH6408">
        <v>97.665172574101405</v>
      </c>
      <c r="AI6408">
        <v>90.635873533524006</v>
      </c>
      <c r="AJ6408">
        <v>101.201078385138</v>
      </c>
      <c r="AK6408">
        <v>99.567804860611901</v>
      </c>
      <c r="AL6408">
        <v>90.741233818215605</v>
      </c>
      <c r="AM6408">
        <v>88.279778333440902</v>
      </c>
      <c r="AN6408">
        <v>1.0000000161136799</v>
      </c>
    </row>
    <row r="6409" spans="1:40" x14ac:dyDescent="0.25">
      <c r="A6409" t="str">
        <f>"20190312155003807"</f>
        <v>20190312155003807</v>
      </c>
      <c r="B6409" t="str">
        <f>"1552377003802500"</f>
        <v>1552377003802500</v>
      </c>
      <c r="C6409" t="s">
        <v>40</v>
      </c>
      <c r="D6409">
        <v>4.4499559999999896</v>
      </c>
      <c r="E6409">
        <v>0.41252299999999997</v>
      </c>
      <c r="F6409" t="s">
        <v>65</v>
      </c>
      <c r="G6409">
        <v>-182.3519</v>
      </c>
      <c r="H6409" s="1">
        <v>-8.4160780000000004E-6</v>
      </c>
      <c r="I6409">
        <v>-66.044430000000006</v>
      </c>
      <c r="J6409">
        <v>-279.07170000000002</v>
      </c>
      <c r="K6409">
        <v>1.109318</v>
      </c>
      <c r="L6409">
        <v>-58.372010000000003</v>
      </c>
      <c r="M6409">
        <v>0.96234529999999996</v>
      </c>
      <c r="N6409">
        <v>0</v>
      </c>
      <c r="O6409">
        <v>-0.27182990000000001</v>
      </c>
      <c r="P6409">
        <v>0.95363620000000004</v>
      </c>
      <c r="Q6409">
        <v>-1.40890999999999E-2</v>
      </c>
      <c r="R6409">
        <v>-0.30063220000000002</v>
      </c>
      <c r="S6409">
        <v>3.0689090000000001</v>
      </c>
      <c r="T6409">
        <v>-3.5148499999999999E-2</v>
      </c>
      <c r="U6409">
        <v>-0.24429319999999999</v>
      </c>
      <c r="V6409">
        <v>3.0118099999999998E-2</v>
      </c>
      <c r="W6409">
        <v>-1.34287E-2</v>
      </c>
      <c r="X6409">
        <v>0.99945609999999996</v>
      </c>
      <c r="Y6409">
        <v>-0.19457920000000001</v>
      </c>
      <c r="Z6409">
        <v>4.18258E-3</v>
      </c>
      <c r="AA6409">
        <v>0.98087789999999997</v>
      </c>
      <c r="AB6409">
        <v>24</v>
      </c>
      <c r="AC6409">
        <v>96.719800000000006</v>
      </c>
      <c r="AD6409">
        <v>-1.1093264160780001</v>
      </c>
      <c r="AE6409">
        <v>-7.6724200000000096</v>
      </c>
      <c r="AF6409">
        <v>-18.9053450803221</v>
      </c>
      <c r="AG6409">
        <v>-1.1093264160780001</v>
      </c>
      <c r="AH6409">
        <v>95.151000732674902</v>
      </c>
      <c r="AI6409">
        <v>90.655152326488405</v>
      </c>
      <c r="AJ6409">
        <v>101.23762362042901</v>
      </c>
      <c r="AK6409">
        <v>97.017295458763201</v>
      </c>
      <c r="AL6409">
        <v>90.769430989338005</v>
      </c>
      <c r="AM6409">
        <v>88.273943240400499</v>
      </c>
      <c r="AN6409">
        <v>0.99999996287925397</v>
      </c>
    </row>
    <row r="6410" spans="1:40" x14ac:dyDescent="0.25">
      <c r="A6410" t="str">
        <f>"20190312155003821"</f>
        <v>20190312155003821</v>
      </c>
      <c r="B6410" t="str">
        <f>"1552377003812261"</f>
        <v>1552377003812261</v>
      </c>
      <c r="C6410" t="s">
        <v>40</v>
      </c>
      <c r="D6410">
        <v>4.4513809999999996</v>
      </c>
      <c r="E6410">
        <v>0.41224050000000001</v>
      </c>
      <c r="F6410" t="s">
        <v>65</v>
      </c>
      <c r="G6410">
        <v>-183.80260000000001</v>
      </c>
      <c r="H6410" s="1">
        <v>-8.6841279999999902E-6</v>
      </c>
      <c r="I6410">
        <v>-65.705799999999996</v>
      </c>
      <c r="J6410">
        <v>-278.92110000000002</v>
      </c>
      <c r="K6410">
        <v>1.1093519999999999</v>
      </c>
      <c r="L6410">
        <v>-58.41348</v>
      </c>
      <c r="M6410">
        <v>0.96261629999999998</v>
      </c>
      <c r="N6410">
        <v>0</v>
      </c>
      <c r="O6410">
        <v>-0.27086759999999999</v>
      </c>
      <c r="P6410">
        <v>0.95382579999999995</v>
      </c>
      <c r="Q6410">
        <v>-1.499487E-2</v>
      </c>
      <c r="R6410">
        <v>-0.29998570000000002</v>
      </c>
      <c r="S6410">
        <v>3.0708009999999999</v>
      </c>
      <c r="T6410">
        <v>-3.5756830000000003E-2</v>
      </c>
      <c r="U6410">
        <v>-0.23638919999999999</v>
      </c>
      <c r="V6410">
        <v>3.0445799999999999E-2</v>
      </c>
      <c r="W6410">
        <v>-1.415811E-2</v>
      </c>
      <c r="X6410">
        <v>0.99943610000000005</v>
      </c>
      <c r="Y6410">
        <v>-0.19615450000000001</v>
      </c>
      <c r="Z6410">
        <v>4.2514120000000004E-3</v>
      </c>
      <c r="AA6410">
        <v>0.98056379999999999</v>
      </c>
      <c r="AB6410">
        <v>25</v>
      </c>
      <c r="AC6410">
        <v>95.118499999999997</v>
      </c>
      <c r="AD6410">
        <v>-1.1093606841279999</v>
      </c>
      <c r="AE6410">
        <v>-7.2923199999999797</v>
      </c>
      <c r="AF6410">
        <v>-18.742284854483898</v>
      </c>
      <c r="AG6410">
        <v>-1.1093606841279999</v>
      </c>
      <c r="AH6410">
        <v>93.525252571659905</v>
      </c>
      <c r="AI6410">
        <v>90.666341683880205</v>
      </c>
      <c r="AJ6410">
        <v>101.33186409819101</v>
      </c>
      <c r="AK6410">
        <v>95.391177743473193</v>
      </c>
      <c r="AL6410">
        <v>90.811227086195601</v>
      </c>
      <c r="AM6410">
        <v>88.255139530949606</v>
      </c>
      <c r="AN6410">
        <v>0.99999995839981004</v>
      </c>
    </row>
    <row r="6411" spans="1:40" x14ac:dyDescent="0.25">
      <c r="A6411" t="str">
        <f>"20190312155003833"</f>
        <v>20190312155003833</v>
      </c>
      <c r="B6411" t="str">
        <f>"1552377003822996"</f>
        <v>1552377003822996</v>
      </c>
      <c r="C6411" t="s">
        <v>40</v>
      </c>
      <c r="D6411">
        <v>4.4412890000000003</v>
      </c>
      <c r="E6411">
        <v>0.41211490000000001</v>
      </c>
      <c r="F6411" t="s">
        <v>65</v>
      </c>
      <c r="G6411">
        <v>-188.07849999999999</v>
      </c>
      <c r="H6411" s="1">
        <v>-9.303051E-6</v>
      </c>
      <c r="I6411">
        <v>-65.282869999999903</v>
      </c>
      <c r="J6411">
        <v>-278.78919999999999</v>
      </c>
      <c r="K6411">
        <v>1.109386</v>
      </c>
      <c r="L6411">
        <v>-58.449649999999998</v>
      </c>
      <c r="M6411">
        <v>0.96285330000000002</v>
      </c>
      <c r="N6411">
        <v>0</v>
      </c>
      <c r="O6411">
        <v>-0.27002359999999997</v>
      </c>
      <c r="P6411">
        <v>0.95409310000000003</v>
      </c>
      <c r="Q6411">
        <v>-1.506863E-2</v>
      </c>
      <c r="R6411">
        <v>-0.29913149999999999</v>
      </c>
      <c r="S6411">
        <v>3.0715940000000002</v>
      </c>
      <c r="T6411">
        <v>-3.7510040000000001E-2</v>
      </c>
      <c r="U6411">
        <v>-0.23226930000000001</v>
      </c>
      <c r="V6411">
        <v>3.042721E-2</v>
      </c>
      <c r="W6411">
        <v>-1.4063579999999999E-2</v>
      </c>
      <c r="X6411">
        <v>0.99943800000000005</v>
      </c>
      <c r="Y6411">
        <v>-0.19661870000000001</v>
      </c>
      <c r="Z6411">
        <v>4.4519700000000004E-3</v>
      </c>
      <c r="AA6411">
        <v>0.98046990000000001</v>
      </c>
      <c r="AB6411">
        <v>25</v>
      </c>
      <c r="AC6411">
        <v>90.710700000000003</v>
      </c>
      <c r="AD6411">
        <v>-1.109395303051</v>
      </c>
      <c r="AE6411">
        <v>-6.8332199999999901</v>
      </c>
      <c r="AF6411">
        <v>-17.911984269078602</v>
      </c>
      <c r="AG6411">
        <v>-1.109395303051</v>
      </c>
      <c r="AH6411">
        <v>89.172999516491799</v>
      </c>
      <c r="AI6411">
        <v>90.698819077030706</v>
      </c>
      <c r="AJ6411">
        <v>101.357733429051</v>
      </c>
      <c r="AK6411">
        <v>90.960946461448003</v>
      </c>
      <c r="AL6411">
        <v>90.805810377257899</v>
      </c>
      <c r="AM6411">
        <v>88.256207586013801</v>
      </c>
      <c r="AN6411">
        <v>0.99999995761739902</v>
      </c>
    </row>
    <row r="6412" spans="1:40" x14ac:dyDescent="0.25">
      <c r="A6412" t="str">
        <f>"20190312155003848"</f>
        <v>20190312155003848</v>
      </c>
      <c r="B6412" t="str">
        <f>"1552377003842515"</f>
        <v>1552377003842515</v>
      </c>
      <c r="C6412" t="s">
        <v>40</v>
      </c>
      <c r="D6412">
        <v>4.4895759999999996</v>
      </c>
      <c r="E6412">
        <v>0.41196250000000001</v>
      </c>
      <c r="F6412" t="s">
        <v>65</v>
      </c>
      <c r="G6412">
        <v>-187.9949</v>
      </c>
      <c r="H6412" s="1">
        <v>-9.3215879999999995E-6</v>
      </c>
      <c r="I6412">
        <v>-65.203280000000007</v>
      </c>
      <c r="J6412">
        <v>-278.62860000000001</v>
      </c>
      <c r="K6412">
        <v>1.1094280000000001</v>
      </c>
      <c r="L6412">
        <v>-58.493560000000002</v>
      </c>
      <c r="M6412">
        <v>0.96314129999999998</v>
      </c>
      <c r="N6412">
        <v>0</v>
      </c>
      <c r="O6412">
        <v>-0.26899319999999999</v>
      </c>
      <c r="P6412">
        <v>0.95445000000000002</v>
      </c>
      <c r="Q6412">
        <v>-1.502968E-2</v>
      </c>
      <c r="R6412">
        <v>-0.29799189999999998</v>
      </c>
      <c r="S6412">
        <v>3.0721129999999999</v>
      </c>
      <c r="T6412">
        <v>-3.7537460000000002E-2</v>
      </c>
      <c r="U6412">
        <v>-0.22851560000000001</v>
      </c>
      <c r="V6412">
        <v>3.0302679999999999E-2</v>
      </c>
      <c r="W6412">
        <v>-1.380696E-2</v>
      </c>
      <c r="X6412">
        <v>0.99944540000000004</v>
      </c>
      <c r="Y6412">
        <v>-0.19677339999999999</v>
      </c>
      <c r="Z6412">
        <v>4.4436110000000001E-3</v>
      </c>
      <c r="AA6412">
        <v>0.9804389</v>
      </c>
      <c r="AB6412">
        <v>25</v>
      </c>
      <c r="AC6412">
        <v>90.633700000000005</v>
      </c>
      <c r="AD6412">
        <v>-1.109437321588</v>
      </c>
      <c r="AE6412">
        <v>-6.7097200000000097</v>
      </c>
      <c r="AF6412">
        <v>-17.914784227542501</v>
      </c>
      <c r="AG6412">
        <v>-1.109437321588</v>
      </c>
      <c r="AH6412">
        <v>89.084719632902704</v>
      </c>
      <c r="AI6412">
        <v>90.699506862398394</v>
      </c>
      <c r="AJ6412">
        <v>101.37042642877699</v>
      </c>
      <c r="AK6412">
        <v>90.874955940362497</v>
      </c>
      <c r="AL6412">
        <v>90.791105675400999</v>
      </c>
      <c r="AM6412">
        <v>88.263352908367295</v>
      </c>
      <c r="AN6412">
        <v>0.99999999607039203</v>
      </c>
    </row>
    <row r="6413" spans="1:40" x14ac:dyDescent="0.25">
      <c r="A6413" t="str">
        <f>"20190312155003859"</f>
        <v>20190312155003859</v>
      </c>
      <c r="B6413" t="str">
        <f>"1552377003852277"</f>
        <v>1552377003852277</v>
      </c>
      <c r="C6413" t="s">
        <v>40</v>
      </c>
      <c r="D6413">
        <v>4.4614390000000004</v>
      </c>
      <c r="E6413">
        <v>0.4118946</v>
      </c>
      <c r="F6413" t="s">
        <v>65</v>
      </c>
      <c r="G6413">
        <v>-186.94040000000001</v>
      </c>
      <c r="H6413" s="1">
        <v>-9.2148810000000002E-6</v>
      </c>
      <c r="I6413">
        <v>-65.169359999999998</v>
      </c>
      <c r="J6413">
        <v>-278.51240000000001</v>
      </c>
      <c r="K6413">
        <v>1.109456</v>
      </c>
      <c r="L6413">
        <v>-58.525210000000001</v>
      </c>
      <c r="M6413">
        <v>0.96334940000000002</v>
      </c>
      <c r="N6413">
        <v>0</v>
      </c>
      <c r="O6413">
        <v>-0.2682464</v>
      </c>
      <c r="P6413">
        <v>0.95473490000000005</v>
      </c>
      <c r="Q6413">
        <v>-1.507563E-2</v>
      </c>
      <c r="R6413">
        <v>-0.29707549999999999</v>
      </c>
      <c r="S6413">
        <v>3.0727229999999999</v>
      </c>
      <c r="T6413">
        <v>-3.7180299999999999E-2</v>
      </c>
      <c r="U6413">
        <v>-0.22372439999999999</v>
      </c>
      <c r="V6413">
        <v>3.0118269999999999E-2</v>
      </c>
      <c r="W6413">
        <v>-1.3684160000000001E-2</v>
      </c>
      <c r="X6413">
        <v>0.99945269999999997</v>
      </c>
      <c r="Y6413">
        <v>-0.1975489</v>
      </c>
      <c r="Z6413">
        <v>4.3968499999999999E-3</v>
      </c>
      <c r="AA6413">
        <v>0.98028320000000002</v>
      </c>
      <c r="AB6413">
        <v>25</v>
      </c>
      <c r="AC6413">
        <v>91.572000000000003</v>
      </c>
      <c r="AD6413">
        <v>-1.109465214881</v>
      </c>
      <c r="AE6413">
        <v>-6.6441499999999998</v>
      </c>
      <c r="AF6413">
        <v>-18.160585927960302</v>
      </c>
      <c r="AG6413">
        <v>-1.109465214881</v>
      </c>
      <c r="AH6413">
        <v>89.985041784565297</v>
      </c>
      <c r="AI6413">
        <v>90.6924297648888</v>
      </c>
      <c r="AJ6413">
        <v>101.41004547690299</v>
      </c>
      <c r="AK6413">
        <v>91.806021258302195</v>
      </c>
      <c r="AL6413">
        <v>90.784069059924093</v>
      </c>
      <c r="AM6413">
        <v>88.273927635371393</v>
      </c>
      <c r="AN6413">
        <v>1.0000000329799901</v>
      </c>
    </row>
    <row r="6414" spans="1:40" x14ac:dyDescent="0.25">
      <c r="A6414" t="str">
        <f>"20190312155003869"</f>
        <v>20190312155003869</v>
      </c>
      <c r="B6414" t="str">
        <f>"1552377003862036"</f>
        <v>1552377003862036</v>
      </c>
      <c r="C6414" t="s">
        <v>40</v>
      </c>
      <c r="D6414">
        <v>4.4520140000000001</v>
      </c>
      <c r="E6414">
        <v>0.41178599999999999</v>
      </c>
      <c r="F6414" t="s">
        <v>65</v>
      </c>
      <c r="G6414">
        <v>-187.2491</v>
      </c>
      <c r="H6414" s="1">
        <v>-9.2855529999999994E-6</v>
      </c>
      <c r="I6414">
        <v>-65.066929999999999</v>
      </c>
      <c r="J6414">
        <v>-278.40429999999998</v>
      </c>
      <c r="K6414">
        <v>1.109488</v>
      </c>
      <c r="L6414">
        <v>-58.554569999999998</v>
      </c>
      <c r="M6414">
        <v>0.96354280000000003</v>
      </c>
      <c r="N6414">
        <v>0</v>
      </c>
      <c r="O6414">
        <v>-0.26755099999999998</v>
      </c>
      <c r="P6414">
        <v>0.95499659999999997</v>
      </c>
      <c r="Q6414">
        <v>-1.508614E-2</v>
      </c>
      <c r="R6414">
        <v>-0.29623389999999999</v>
      </c>
      <c r="S6414">
        <v>3.0730590000000002</v>
      </c>
      <c r="T6414">
        <v>-3.73584E-2</v>
      </c>
      <c r="U6414">
        <v>-0.2202759</v>
      </c>
      <c r="V6414">
        <v>2.9958329999999998E-2</v>
      </c>
      <c r="W6414">
        <v>-1.3533750000000001E-2</v>
      </c>
      <c r="X6414">
        <v>0.99945949999999995</v>
      </c>
      <c r="Y6414">
        <v>-0.19794320000000001</v>
      </c>
      <c r="Z6414">
        <v>4.4119609999999998E-3</v>
      </c>
      <c r="AA6414">
        <v>0.98020359999999995</v>
      </c>
      <c r="AB6414">
        <v>25</v>
      </c>
      <c r="AC6414">
        <v>91.155199999999894</v>
      </c>
      <c r="AD6414">
        <v>-1.1094972855529901</v>
      </c>
      <c r="AE6414">
        <v>-6.5123600000000001</v>
      </c>
      <c r="AF6414">
        <v>-18.111073583561499</v>
      </c>
      <c r="AG6414">
        <v>-1.1094972855529901</v>
      </c>
      <c r="AH6414">
        <v>89.561202030888794</v>
      </c>
      <c r="AI6414">
        <v>90.695672097070798</v>
      </c>
      <c r="AJ6414">
        <v>101.432189040683</v>
      </c>
      <c r="AK6414">
        <v>91.380801483645996</v>
      </c>
      <c r="AL6414">
        <v>90.775450446474807</v>
      </c>
      <c r="AM6414">
        <v>88.283099940104194</v>
      </c>
      <c r="AN6414">
        <v>0.99999997803285001</v>
      </c>
    </row>
    <row r="6415" spans="1:40" x14ac:dyDescent="0.25">
      <c r="A6415" t="str">
        <f>"20190312155003881"</f>
        <v>20190312155003881</v>
      </c>
      <c r="B6415" t="str">
        <f>"1552377003871796"</f>
        <v>1552377003871796</v>
      </c>
      <c r="C6415" t="s">
        <v>40</v>
      </c>
      <c r="D6415">
        <v>4.5549339999999896</v>
      </c>
      <c r="E6415">
        <v>0.41182950000000002</v>
      </c>
      <c r="F6415" t="s">
        <v>65</v>
      </c>
      <c r="G6415">
        <v>-185.1266</v>
      </c>
      <c r="H6415" s="1">
        <v>-9.0249289999999999E-6</v>
      </c>
      <c r="I6415">
        <v>-65.132249999999999</v>
      </c>
      <c r="J6415">
        <v>-278.27730000000003</v>
      </c>
      <c r="K6415">
        <v>1.109524</v>
      </c>
      <c r="L6415">
        <v>-58.588900000000002</v>
      </c>
      <c r="M6415">
        <v>0.96376910000000005</v>
      </c>
      <c r="N6415">
        <v>0</v>
      </c>
      <c r="O6415">
        <v>-0.2667332</v>
      </c>
      <c r="P6415">
        <v>0.95528080000000004</v>
      </c>
      <c r="Q6415">
        <v>-1.507584E-2</v>
      </c>
      <c r="R6415">
        <v>-0.29531619999999997</v>
      </c>
      <c r="S6415">
        <v>3.0735169999999998</v>
      </c>
      <c r="T6415">
        <v>-3.6558149999999998E-2</v>
      </c>
      <c r="U6415">
        <v>-0.21673580000000001</v>
      </c>
      <c r="V6415">
        <v>2.984581E-2</v>
      </c>
      <c r="W6415">
        <v>-1.332814E-2</v>
      </c>
      <c r="X6415">
        <v>0.99946559999999995</v>
      </c>
      <c r="Y6415">
        <v>-0.1982466</v>
      </c>
      <c r="Z6415">
        <v>4.3095269999999996E-3</v>
      </c>
      <c r="AA6415">
        <v>0.98014270000000003</v>
      </c>
      <c r="AB6415">
        <v>25</v>
      </c>
      <c r="AC6415">
        <v>93.150700000000001</v>
      </c>
      <c r="AD6415">
        <v>-1.1095330249290001</v>
      </c>
      <c r="AE6415">
        <v>-6.5433499999999896</v>
      </c>
      <c r="AF6415">
        <v>-18.5375120209249</v>
      </c>
      <c r="AG6415">
        <v>-1.1095330249290001</v>
      </c>
      <c r="AH6415">
        <v>91.508291329382203</v>
      </c>
      <c r="AI6415">
        <v>90.680845809370993</v>
      </c>
      <c r="AJ6415">
        <v>101.451856377382</v>
      </c>
      <c r="AK6415">
        <v>93.373646161443403</v>
      </c>
      <c r="AL6415">
        <v>90.763668820724206</v>
      </c>
      <c r="AM6415">
        <v>88.289555012205497</v>
      </c>
      <c r="AN6415">
        <v>0.99999994863688602</v>
      </c>
    </row>
    <row r="6416" spans="1:40" x14ac:dyDescent="0.25">
      <c r="A6416" t="str">
        <f>"20190312155003895"</f>
        <v>20190312155003895</v>
      </c>
      <c r="B6416" t="str">
        <f>"1552377003892293"</f>
        <v>1552377003892293</v>
      </c>
      <c r="C6416" t="s">
        <v>40</v>
      </c>
      <c r="D6416">
        <v>4.4288589999999903</v>
      </c>
      <c r="E6416">
        <v>0.41169689999999998</v>
      </c>
      <c r="F6416" t="s">
        <v>65</v>
      </c>
      <c r="G6416">
        <v>-181.43350000000001</v>
      </c>
      <c r="H6416" s="1">
        <v>-8.5812330000000004E-6</v>
      </c>
      <c r="I6416">
        <v>-65.337859999999907</v>
      </c>
      <c r="J6416">
        <v>-278.12830000000002</v>
      </c>
      <c r="K6416">
        <v>1.1095710000000001</v>
      </c>
      <c r="L6416">
        <v>-58.629089999999998</v>
      </c>
      <c r="M6416">
        <v>0.96403399999999995</v>
      </c>
      <c r="N6416">
        <v>0</v>
      </c>
      <c r="O6416">
        <v>-0.26577230000000002</v>
      </c>
      <c r="P6416">
        <v>0.95569119999999996</v>
      </c>
      <c r="Q6416">
        <v>-1.511741E-2</v>
      </c>
      <c r="R6416">
        <v>-0.2939833</v>
      </c>
      <c r="S6416">
        <v>3.0737000000000001</v>
      </c>
      <c r="T6416">
        <v>-3.5215139999999999E-2</v>
      </c>
      <c r="U6416">
        <v>-0.2142029</v>
      </c>
      <c r="V6416">
        <v>2.9447669999999999E-2</v>
      </c>
      <c r="W6416">
        <v>-1.313431E-2</v>
      </c>
      <c r="X6416">
        <v>0.99948000000000004</v>
      </c>
      <c r="Y6416">
        <v>-0.1980798</v>
      </c>
      <c r="Z6416">
        <v>4.1395900000000003E-3</v>
      </c>
      <c r="AA6416">
        <v>0.98017719999999997</v>
      </c>
      <c r="AB6416">
        <v>25</v>
      </c>
      <c r="AC6416">
        <v>96.694800000000001</v>
      </c>
      <c r="AD6416">
        <v>-1.1095795812329901</v>
      </c>
      <c r="AE6416">
        <v>-6.7087699999999799</v>
      </c>
      <c r="AF6416">
        <v>-19.228831103399301</v>
      </c>
      <c r="AG6416">
        <v>-1.1095795812329901</v>
      </c>
      <c r="AH6416">
        <v>94.987799988162095</v>
      </c>
      <c r="AI6416">
        <v>90.655953612381296</v>
      </c>
      <c r="AJ6416">
        <v>101.44400467849999</v>
      </c>
      <c r="AK6416">
        <v>96.9209020750489</v>
      </c>
      <c r="AL6416">
        <v>90.752562188710996</v>
      </c>
      <c r="AM6416">
        <v>88.312383186858497</v>
      </c>
      <c r="AN6416">
        <v>0.99999997288380205</v>
      </c>
    </row>
    <row r="6417" spans="1:40" x14ac:dyDescent="0.25">
      <c r="A6417" t="str">
        <f>"20190312155003909"</f>
        <v>20190312155003909</v>
      </c>
      <c r="B6417" t="str">
        <f>"1552377003902052"</f>
        <v>1552377003902052</v>
      </c>
      <c r="C6417" t="s">
        <v>40</v>
      </c>
      <c r="D6417">
        <v>4.4756980000000004</v>
      </c>
      <c r="E6417">
        <v>0.4117441</v>
      </c>
      <c r="F6417" t="s">
        <v>65</v>
      </c>
      <c r="G6417">
        <v>-179.95769999999999</v>
      </c>
      <c r="H6417">
        <v>3.7313109999999997E-2</v>
      </c>
      <c r="I6417">
        <v>-65.301640000000006</v>
      </c>
      <c r="J6417">
        <v>-277.9769</v>
      </c>
      <c r="K6417">
        <v>1.1096090000000001</v>
      </c>
      <c r="L6417">
        <v>-58.6697699999999</v>
      </c>
      <c r="M6417">
        <v>0.96430210000000005</v>
      </c>
      <c r="N6417">
        <v>0</v>
      </c>
      <c r="O6417">
        <v>-0.26479599999999998</v>
      </c>
      <c r="P6417">
        <v>0.95607359999999997</v>
      </c>
      <c r="Q6417">
        <v>-1.50901E-2</v>
      </c>
      <c r="R6417">
        <v>-0.29273840000000001</v>
      </c>
      <c r="S6417">
        <v>3.074249</v>
      </c>
      <c r="T6417">
        <v>-3.3578160000000003E-2</v>
      </c>
      <c r="U6417">
        <v>-0.2089539</v>
      </c>
      <c r="V6417">
        <v>2.915769E-2</v>
      </c>
      <c r="W6417">
        <v>-1.286324E-2</v>
      </c>
      <c r="X6417">
        <v>0.99949200000000005</v>
      </c>
      <c r="Y6417">
        <v>-0.1987679</v>
      </c>
      <c r="Z6417">
        <v>3.940313E-3</v>
      </c>
      <c r="AA6417">
        <v>0.98003859999999998</v>
      </c>
      <c r="AB6417">
        <v>25</v>
      </c>
      <c r="AC6417">
        <v>98.019199999999998</v>
      </c>
      <c r="AD6417">
        <v>-1.0722958899999999</v>
      </c>
      <c r="AE6417">
        <v>-6.6318700000000099</v>
      </c>
      <c r="AF6417">
        <v>-19.557680381365</v>
      </c>
      <c r="AG6417">
        <v>-1.0722958899999999</v>
      </c>
      <c r="AH6417">
        <v>96.264963410144006</v>
      </c>
      <c r="AI6417">
        <v>90.625415778330407</v>
      </c>
      <c r="AJ6417">
        <v>101.484197551159</v>
      </c>
      <c r="AK6417">
        <v>98.237446326396906</v>
      </c>
      <c r="AL6417">
        <v>90.737029728841406</v>
      </c>
      <c r="AM6417">
        <v>88.329012235788895</v>
      </c>
      <c r="AN6417">
        <v>0.99999994594671504</v>
      </c>
    </row>
    <row r="6418" spans="1:40" x14ac:dyDescent="0.25">
      <c r="A6418" t="str">
        <f>"20190312155003922"</f>
        <v>20190312155003922</v>
      </c>
      <c r="B6418" t="str">
        <f>"1552377003911812"</f>
        <v>1552377003911812</v>
      </c>
      <c r="C6418" t="s">
        <v>40</v>
      </c>
      <c r="D6418">
        <v>4.4612550000000004</v>
      </c>
      <c r="E6418">
        <v>0.4116745</v>
      </c>
      <c r="F6418" t="s">
        <v>65</v>
      </c>
      <c r="G6418">
        <v>-179.94380000000001</v>
      </c>
      <c r="H6418">
        <v>6.3859810000000003E-2</v>
      </c>
      <c r="I6418">
        <v>-65.21575</v>
      </c>
      <c r="J6418">
        <v>-277.82670000000002</v>
      </c>
      <c r="K6418">
        <v>1.109648</v>
      </c>
      <c r="L6418">
        <v>-58.709960000000002</v>
      </c>
      <c r="M6418">
        <v>0.96456730000000002</v>
      </c>
      <c r="N6418">
        <v>0</v>
      </c>
      <c r="O6418">
        <v>-0.26382650000000002</v>
      </c>
      <c r="P6418">
        <v>0.95654119999999998</v>
      </c>
      <c r="Q6418">
        <v>-1.542668E-2</v>
      </c>
      <c r="R6418">
        <v>-0.29118949999999999</v>
      </c>
      <c r="S6418">
        <v>3.0744630000000002</v>
      </c>
      <c r="T6418">
        <v>-3.2796260000000001E-2</v>
      </c>
      <c r="U6418">
        <v>-0.20529169999999999</v>
      </c>
      <c r="V6418">
        <v>2.8545259999999999E-2</v>
      </c>
      <c r="W6418">
        <v>-1.295412E-2</v>
      </c>
      <c r="X6418">
        <v>0.99950859999999997</v>
      </c>
      <c r="Y6418">
        <v>-0.19895080000000001</v>
      </c>
      <c r="Z6418">
        <v>3.8395399999999998E-3</v>
      </c>
      <c r="AA6418">
        <v>0.98000189999999998</v>
      </c>
      <c r="AB6418">
        <v>25</v>
      </c>
      <c r="AC6418">
        <v>97.882900000000006</v>
      </c>
      <c r="AD6418">
        <v>-1.0457881899999999</v>
      </c>
      <c r="AE6418">
        <v>-6.5057900000000002</v>
      </c>
      <c r="AF6418">
        <v>-19.546662970614001</v>
      </c>
      <c r="AG6418">
        <v>-1.0457881899999999</v>
      </c>
      <c r="AH6418">
        <v>96.120384984629496</v>
      </c>
      <c r="AI6418">
        <v>90.610850985828193</v>
      </c>
      <c r="AJ6418">
        <v>101.494705071569</v>
      </c>
      <c r="AK6418">
        <v>98.093292919641101</v>
      </c>
      <c r="AL6418">
        <v>90.742237132689596</v>
      </c>
      <c r="AM6418">
        <v>88.364117649133505</v>
      </c>
      <c r="AN6418">
        <v>1.0000000412837</v>
      </c>
    </row>
    <row r="6419" spans="1:40" x14ac:dyDescent="0.25">
      <c r="A6419" t="str">
        <f>"20190312155003936"</f>
        <v>20190312155003936</v>
      </c>
      <c r="B6419" t="str">
        <f>"1552377003932308"</f>
        <v>1552377003932308</v>
      </c>
      <c r="C6419" t="s">
        <v>40</v>
      </c>
      <c r="D6419">
        <v>4.4781380000000004</v>
      </c>
      <c r="E6419">
        <v>0.4117518</v>
      </c>
      <c r="F6419" t="s">
        <v>65</v>
      </c>
      <c r="G6419">
        <v>-179.95769999999999</v>
      </c>
      <c r="H6419">
        <v>4.7421539999999998E-2</v>
      </c>
      <c r="I6419">
        <v>-65.070149999999998</v>
      </c>
      <c r="J6419">
        <v>-277.68549999999999</v>
      </c>
      <c r="K6419">
        <v>1.109683</v>
      </c>
      <c r="L6419">
        <v>-58.747529999999998</v>
      </c>
      <c r="M6419">
        <v>0.96481539999999999</v>
      </c>
      <c r="N6419">
        <v>0</v>
      </c>
      <c r="O6419">
        <v>-0.26291550000000002</v>
      </c>
      <c r="P6419">
        <v>0.95695509999999995</v>
      </c>
      <c r="Q6419">
        <v>-1.594464E-2</v>
      </c>
      <c r="R6419">
        <v>-0.2897981</v>
      </c>
      <c r="S6419">
        <v>3.0749209999999998</v>
      </c>
      <c r="T6419">
        <v>-3.337383E-2</v>
      </c>
      <c r="U6419">
        <v>-0.19982910000000001</v>
      </c>
      <c r="V6419">
        <v>2.803864E-2</v>
      </c>
      <c r="W6419">
        <v>-1.3238969999999999E-2</v>
      </c>
      <c r="X6419">
        <v>0.99951920000000005</v>
      </c>
      <c r="Y6419">
        <v>-0.1997678</v>
      </c>
      <c r="Z6419">
        <v>3.9018360000000001E-3</v>
      </c>
      <c r="AA6419">
        <v>0.97983549999999997</v>
      </c>
      <c r="AB6419">
        <v>25</v>
      </c>
      <c r="AC6419">
        <v>97.727800000000002</v>
      </c>
      <c r="AD6419">
        <v>-1.06226146</v>
      </c>
      <c r="AE6419">
        <v>-6.3226199999999899</v>
      </c>
      <c r="AF6419">
        <v>-19.5917526583913</v>
      </c>
      <c r="AG6419">
        <v>-1.06226146</v>
      </c>
      <c r="AH6419">
        <v>95.940633954977997</v>
      </c>
      <c r="AI6419">
        <v>90.621531292046996</v>
      </c>
      <c r="AJ6419">
        <v>101.541518373717</v>
      </c>
      <c r="AK6419">
        <v>97.926351996385804</v>
      </c>
      <c r="AL6419">
        <v>90.758559240674401</v>
      </c>
      <c r="AM6419">
        <v>88.393152889305796</v>
      </c>
      <c r="AN6419">
        <v>1.0000000334141701</v>
      </c>
    </row>
    <row r="6420" spans="1:40" x14ac:dyDescent="0.25">
      <c r="A6420" t="str">
        <f>"20190312155003948"</f>
        <v>20190312155003948</v>
      </c>
      <c r="B6420" t="str">
        <f>"1552377003942068"</f>
        <v>1552377003942068</v>
      </c>
      <c r="C6420" t="s">
        <v>40</v>
      </c>
      <c r="D6420">
        <v>4.4647969999999999</v>
      </c>
      <c r="E6420">
        <v>0.41174870000000002</v>
      </c>
      <c r="F6420" t="s">
        <v>65</v>
      </c>
      <c r="G6420">
        <v>-181.37880000000001</v>
      </c>
      <c r="H6420" s="1">
        <v>-8.7409079999999998E-6</v>
      </c>
      <c r="I6420">
        <v>-64.883669999999995</v>
      </c>
      <c r="J6420">
        <v>-277.5453</v>
      </c>
      <c r="K6420">
        <v>1.109715</v>
      </c>
      <c r="L6420">
        <v>-58.784759999999999</v>
      </c>
      <c r="M6420">
        <v>0.96506049999999999</v>
      </c>
      <c r="N6420">
        <v>0</v>
      </c>
      <c r="O6420">
        <v>-0.2620111</v>
      </c>
      <c r="P6420">
        <v>0.95734269999999999</v>
      </c>
      <c r="Q6420">
        <v>-1.617625E-2</v>
      </c>
      <c r="R6420">
        <v>-0.28850150000000002</v>
      </c>
      <c r="S6420">
        <v>3.0750120000000001</v>
      </c>
      <c r="T6420">
        <v>-3.5431740000000003E-2</v>
      </c>
      <c r="U6420">
        <v>-0.19592290000000001</v>
      </c>
      <c r="V6420">
        <v>2.7622529999999999E-2</v>
      </c>
      <c r="W6420">
        <v>-1.3235729999999999E-2</v>
      </c>
      <c r="X6420">
        <v>0.99953080000000005</v>
      </c>
      <c r="Y6420">
        <v>-0.20008770000000001</v>
      </c>
      <c r="Z6420">
        <v>4.1343509999999997E-3</v>
      </c>
      <c r="AA6420">
        <v>0.97976929999999995</v>
      </c>
      <c r="AB6420">
        <v>25</v>
      </c>
      <c r="AC6420">
        <v>96.1664999999999</v>
      </c>
      <c r="AD6420">
        <v>-1.1097237409080001</v>
      </c>
      <c r="AE6420">
        <v>-6.0989099999999903</v>
      </c>
      <c r="AF6420">
        <v>-19.308393708317698</v>
      </c>
      <c r="AG6420">
        <v>-1.1097237409080001</v>
      </c>
      <c r="AH6420">
        <v>94.3923507186189</v>
      </c>
      <c r="AI6420">
        <v>90.659903524131593</v>
      </c>
      <c r="AJ6420">
        <v>101.560636172318</v>
      </c>
      <c r="AK6420">
        <v>96.353315607524905</v>
      </c>
      <c r="AL6420">
        <v>90.758373608070102</v>
      </c>
      <c r="AM6420">
        <v>88.417005587983397</v>
      </c>
      <c r="AN6420">
        <v>1.00000000443043</v>
      </c>
    </row>
    <row r="6421" spans="1:40" x14ac:dyDescent="0.25">
      <c r="A6421" t="str">
        <f>"20190312155003962"</f>
        <v>20190312155003962</v>
      </c>
      <c r="B6421" t="str">
        <f>"1552377003951829"</f>
        <v>1552377003951829</v>
      </c>
      <c r="C6421" t="s">
        <v>40</v>
      </c>
      <c r="D6421">
        <v>4.4917389999999999</v>
      </c>
      <c r="E6421">
        <v>0.41177079999999999</v>
      </c>
      <c r="F6421" t="s">
        <v>65</v>
      </c>
      <c r="G6421">
        <v>-185.47980000000001</v>
      </c>
      <c r="H6421" s="1">
        <v>-9.2813119999999999E-6</v>
      </c>
      <c r="I6421">
        <v>-64.524119999999996</v>
      </c>
      <c r="J6421">
        <v>-277.38670000000002</v>
      </c>
      <c r="K6421">
        <v>1.1097570000000001</v>
      </c>
      <c r="L6421">
        <v>-58.826689999999999</v>
      </c>
      <c r="M6421">
        <v>0.96533690000000005</v>
      </c>
      <c r="N6421">
        <v>0</v>
      </c>
      <c r="O6421">
        <v>-0.26098779999999999</v>
      </c>
      <c r="P6421">
        <v>0.95773699999999995</v>
      </c>
      <c r="Q6421">
        <v>-1.6747209999999998E-2</v>
      </c>
      <c r="R6421">
        <v>-0.2871571</v>
      </c>
      <c r="S6421">
        <v>3.075256</v>
      </c>
      <c r="T6421">
        <v>-3.7068009999999998E-2</v>
      </c>
      <c r="U6421">
        <v>-0.1917114</v>
      </c>
      <c r="V6421">
        <v>2.728239E-2</v>
      </c>
      <c r="W6421">
        <v>-1.353037E-2</v>
      </c>
      <c r="X6421">
        <v>0.99953619999999999</v>
      </c>
      <c r="Y6421">
        <v>-0.2003877</v>
      </c>
      <c r="Z6421">
        <v>4.3151190000000001E-3</v>
      </c>
      <c r="AA6421">
        <v>0.9797072</v>
      </c>
      <c r="AB6421">
        <v>25</v>
      </c>
      <c r="AC6421">
        <v>91.906899999999993</v>
      </c>
      <c r="AD6421">
        <v>-1.1097662813119999</v>
      </c>
      <c r="AE6421">
        <v>-5.69742999999999</v>
      </c>
      <c r="AF6421">
        <v>-18.4840482897411</v>
      </c>
      <c r="AG6421">
        <v>-1.1097662813119999</v>
      </c>
      <c r="AH6421">
        <v>90.195433970784194</v>
      </c>
      <c r="AI6421">
        <v>90.690581917452704</v>
      </c>
      <c r="AJ6421">
        <v>101.581458895187</v>
      </c>
      <c r="AK6421">
        <v>92.076641617484697</v>
      </c>
      <c r="AL6421">
        <v>90.775256746223306</v>
      </c>
      <c r="AM6421">
        <v>88.436497068325806</v>
      </c>
      <c r="AN6421">
        <v>1.0000000074134401</v>
      </c>
    </row>
    <row r="6422" spans="1:40" x14ac:dyDescent="0.25">
      <c r="A6422" t="str">
        <f>"20190312155003978"</f>
        <v>20190312155003978</v>
      </c>
      <c r="B6422" t="str">
        <f>"1552377003972325"</f>
        <v>1552377003972325</v>
      </c>
      <c r="C6422" t="s">
        <v>40</v>
      </c>
      <c r="D6422">
        <v>4.4621550000000001</v>
      </c>
      <c r="E6422">
        <v>0.4118309</v>
      </c>
      <c r="F6422" t="s">
        <v>65</v>
      </c>
      <c r="G6422">
        <v>-191.46279999999999</v>
      </c>
      <c r="H6422" s="1">
        <v>-9.462845E-6</v>
      </c>
      <c r="I6422">
        <v>-64.066000000000003</v>
      </c>
      <c r="J6422">
        <v>-277.21370000000002</v>
      </c>
      <c r="K6422">
        <v>1.109801</v>
      </c>
      <c r="L6422">
        <v>-58.872190000000003</v>
      </c>
      <c r="M6422">
        <v>0.96563659999999996</v>
      </c>
      <c r="N6422">
        <v>0</v>
      </c>
      <c r="O6422">
        <v>-0.25987369999999999</v>
      </c>
      <c r="P6422">
        <v>0.95841010000000004</v>
      </c>
      <c r="Q6422">
        <v>-1.711683E-2</v>
      </c>
      <c r="R6422">
        <v>-0.28488059999999998</v>
      </c>
      <c r="S6422">
        <v>3.0754700000000001</v>
      </c>
      <c r="T6422">
        <v>-3.9721850000000003E-2</v>
      </c>
      <c r="U6422">
        <v>-0.18753049999999999</v>
      </c>
      <c r="V6422">
        <v>2.606263E-2</v>
      </c>
      <c r="W6422">
        <v>-1.3587899999999899E-2</v>
      </c>
      <c r="X6422">
        <v>0.99956800000000001</v>
      </c>
      <c r="Y6422">
        <v>-0.2005837</v>
      </c>
      <c r="Z6422">
        <v>4.6113869999999998E-3</v>
      </c>
      <c r="AA6422">
        <v>0.97966569999999997</v>
      </c>
      <c r="AB6422">
        <v>25</v>
      </c>
      <c r="AC6422">
        <v>85.750900000000001</v>
      </c>
      <c r="AD6422">
        <v>-1.1098104628450001</v>
      </c>
      <c r="AE6422">
        <v>-5.1938099999999903</v>
      </c>
      <c r="AF6422">
        <v>-17.266289369789501</v>
      </c>
      <c r="AG6422">
        <v>-1.1098104628450001</v>
      </c>
      <c r="AH6422">
        <v>84.140388770940703</v>
      </c>
      <c r="AI6422">
        <v>90.740262772017005</v>
      </c>
      <c r="AJ6422">
        <v>101.596568178881</v>
      </c>
      <c r="AK6422">
        <v>85.900881546057406</v>
      </c>
      <c r="AL6422">
        <v>90.778553250719298</v>
      </c>
      <c r="AM6422">
        <v>88.506414331829205</v>
      </c>
      <c r="AN6422">
        <v>1.0000000391664601</v>
      </c>
    </row>
    <row r="6423" spans="1:40" x14ac:dyDescent="0.25">
      <c r="A6423" t="str">
        <f>"20190312155003991"</f>
        <v>20190312155003991</v>
      </c>
      <c r="B6423" t="str">
        <f>"1552377003982085"</f>
        <v>1552377003982085</v>
      </c>
      <c r="C6423" t="s">
        <v>40</v>
      </c>
      <c r="D6423">
        <v>4.4618229999999999</v>
      </c>
      <c r="E6423">
        <v>0.411914</v>
      </c>
      <c r="F6423" t="s">
        <v>65</v>
      </c>
      <c r="G6423">
        <v>-197.07749999999999</v>
      </c>
      <c r="H6423" s="1">
        <v>-7.0827360000000001E-6</v>
      </c>
      <c r="I6423">
        <v>-63.577759999999998</v>
      </c>
      <c r="J6423">
        <v>-277.06819999999999</v>
      </c>
      <c r="K6423">
        <v>1.109836</v>
      </c>
      <c r="L6423">
        <v>-58.910310000000003</v>
      </c>
      <c r="M6423">
        <v>0.96588700000000005</v>
      </c>
      <c r="N6423">
        <v>0</v>
      </c>
      <c r="O6423">
        <v>-0.25893719999999998</v>
      </c>
      <c r="P6423">
        <v>0.95874729999999997</v>
      </c>
      <c r="Q6423">
        <v>-1.7584840000000001E-2</v>
      </c>
      <c r="R6423">
        <v>-0.28371540000000001</v>
      </c>
      <c r="S6423">
        <v>3.0756839999999999</v>
      </c>
      <c r="T6423">
        <v>-4.2595269999999998E-2</v>
      </c>
      <c r="U6423">
        <v>-0.18060300000000001</v>
      </c>
      <c r="V6423">
        <v>2.5819450000000001E-2</v>
      </c>
      <c r="W6423">
        <v>-1.3779899999999999E-2</v>
      </c>
      <c r="X6423">
        <v>0.9995716</v>
      </c>
      <c r="Y6423">
        <v>-0.20183100000000001</v>
      </c>
      <c r="Z6423">
        <v>4.9412579999999996E-3</v>
      </c>
      <c r="AA6423">
        <v>0.9794079</v>
      </c>
      <c r="AB6423">
        <v>26</v>
      </c>
      <c r="AC6423">
        <v>79.990700000000004</v>
      </c>
      <c r="AD6423">
        <v>-1.109843082736</v>
      </c>
      <c r="AE6423">
        <v>-4.6674499999999997</v>
      </c>
      <c r="AF6423">
        <v>-16.2013423854305</v>
      </c>
      <c r="AG6423">
        <v>-1.109843082736</v>
      </c>
      <c r="AH6423">
        <v>78.456044294429503</v>
      </c>
      <c r="AI6423">
        <v>90.793710594544805</v>
      </c>
      <c r="AJ6423">
        <v>101.66769792505499</v>
      </c>
      <c r="AK6423">
        <v>80.119074714375799</v>
      </c>
      <c r="AL6423">
        <v>90.789555135267705</v>
      </c>
      <c r="AM6423">
        <v>88.520349485827794</v>
      </c>
      <c r="AN6423">
        <v>0.99999995658443497</v>
      </c>
    </row>
    <row r="6424" spans="1:40" x14ac:dyDescent="0.25">
      <c r="A6424" t="str">
        <f>"20190312155004003"</f>
        <v>20190312155004003</v>
      </c>
      <c r="B6424" t="str">
        <f>"1552377003991844"</f>
        <v>1552377003991844</v>
      </c>
      <c r="C6424" t="s">
        <v>40</v>
      </c>
      <c r="D6424">
        <v>4.5083760000000002</v>
      </c>
      <c r="E6424">
        <v>0.41198469999999998</v>
      </c>
      <c r="F6424" t="s">
        <v>65</v>
      </c>
      <c r="G6424">
        <v>-201.29300000000001</v>
      </c>
      <c r="H6424" s="1">
        <v>-5.2121380000000002E-6</v>
      </c>
      <c r="I6424">
        <v>-63.28228</v>
      </c>
      <c r="J6424">
        <v>-276.92860000000002</v>
      </c>
      <c r="K6424">
        <v>1.109877</v>
      </c>
      <c r="L6424">
        <v>-58.946779999999997</v>
      </c>
      <c r="M6424">
        <v>0.96612629999999999</v>
      </c>
      <c r="N6424">
        <v>0</v>
      </c>
      <c r="O6424">
        <v>-0.25803890000000002</v>
      </c>
      <c r="P6424">
        <v>0.95907750000000003</v>
      </c>
      <c r="Q6424">
        <v>-1.7981259999999999E-2</v>
      </c>
      <c r="R6424">
        <v>-0.2825724</v>
      </c>
      <c r="S6424">
        <v>3.075745</v>
      </c>
      <c r="T6424">
        <v>-4.5048829999999998E-2</v>
      </c>
      <c r="U6424">
        <v>-0.1774597</v>
      </c>
      <c r="V6424">
        <v>2.5559599999999998E-2</v>
      </c>
      <c r="W6424">
        <v>-1.3901729999999999E-2</v>
      </c>
      <c r="X6424">
        <v>0.99957660000000004</v>
      </c>
      <c r="Y6424">
        <v>-0.20191400000000001</v>
      </c>
      <c r="Z6424">
        <v>5.2138920000000004E-3</v>
      </c>
      <c r="AA6424">
        <v>0.97938939999999997</v>
      </c>
      <c r="AB6424">
        <v>26</v>
      </c>
      <c r="AC6424">
        <v>75.635599999999997</v>
      </c>
      <c r="AD6424">
        <v>-1.1098822121380001</v>
      </c>
      <c r="AE6424">
        <v>-4.3354999999999997</v>
      </c>
      <c r="AF6424">
        <v>-15.325119175266099</v>
      </c>
      <c r="AG6424">
        <v>-1.1098822121380001</v>
      </c>
      <c r="AH6424">
        <v>74.176939716738801</v>
      </c>
      <c r="AI6424">
        <v>90.839504597102504</v>
      </c>
      <c r="AJ6424">
        <v>101.673195594486</v>
      </c>
      <c r="AK6424">
        <v>75.751630358703395</v>
      </c>
      <c r="AL6424">
        <v>90.796536142185701</v>
      </c>
      <c r="AM6424">
        <v>88.535241666965206</v>
      </c>
      <c r="AN6424">
        <v>0.99999996525835499</v>
      </c>
    </row>
    <row r="6425" spans="1:40" x14ac:dyDescent="0.25">
      <c r="A6425" t="str">
        <f>"20190312155004016"</f>
        <v>20190312155004016</v>
      </c>
      <c r="B6425" t="str">
        <f>"1552377004012340"</f>
        <v>1552377004012340</v>
      </c>
      <c r="C6425" t="s">
        <v>40</v>
      </c>
      <c r="D6425">
        <v>4.4861219999999999</v>
      </c>
      <c r="E6425">
        <v>0.41221609999999997</v>
      </c>
      <c r="F6425" t="s">
        <v>65</v>
      </c>
      <c r="G6425">
        <v>-203.97239999999999</v>
      </c>
      <c r="H6425" s="1">
        <v>-3.8944660000000001E-6</v>
      </c>
      <c r="I6425">
        <v>-63.083010000000002</v>
      </c>
      <c r="J6425">
        <v>-276.7989</v>
      </c>
      <c r="K6425">
        <v>1.109915</v>
      </c>
      <c r="L6425">
        <v>-58.980440000000002</v>
      </c>
      <c r="M6425">
        <v>0.96634750000000003</v>
      </c>
      <c r="N6425">
        <v>0</v>
      </c>
      <c r="O6425">
        <v>-0.25720460000000001</v>
      </c>
      <c r="P6425">
        <v>0.95938639999999997</v>
      </c>
      <c r="Q6425">
        <v>-1.8469119999999999E-2</v>
      </c>
      <c r="R6425">
        <v>-0.28149000000000002</v>
      </c>
      <c r="S6425">
        <v>3.075745</v>
      </c>
      <c r="T6425">
        <v>-4.6791199999999998E-2</v>
      </c>
      <c r="U6425">
        <v>-0.17437739999999999</v>
      </c>
      <c r="V6425">
        <v>2.529764E-2</v>
      </c>
      <c r="W6425">
        <v>-1.412068E-2</v>
      </c>
      <c r="X6425">
        <v>0.99958020000000003</v>
      </c>
      <c r="Y6425">
        <v>-0.20204320000000001</v>
      </c>
      <c r="Z6425">
        <v>5.4044949999999996E-3</v>
      </c>
      <c r="AA6425">
        <v>0.9793617</v>
      </c>
      <c r="AB6425">
        <v>26</v>
      </c>
      <c r="AC6425">
        <v>72.826499999999996</v>
      </c>
      <c r="AD6425">
        <v>-1.1099188944659999</v>
      </c>
      <c r="AE6425">
        <v>-4.1025699999999903</v>
      </c>
      <c r="AF6425">
        <v>-14.763519321489399</v>
      </c>
      <c r="AG6425">
        <v>-1.1099188944659999</v>
      </c>
      <c r="AH6425">
        <v>71.415024299159299</v>
      </c>
      <c r="AI6425">
        <v>90.871973799037505</v>
      </c>
      <c r="AJ6425">
        <v>101.68013428336</v>
      </c>
      <c r="AK6425">
        <v>72.933525338885104</v>
      </c>
      <c r="AL6425">
        <v>90.809082281113803</v>
      </c>
      <c r="AM6425">
        <v>88.550252734717105</v>
      </c>
      <c r="AN6425">
        <v>0.99999997021263498</v>
      </c>
    </row>
    <row r="6426" spans="1:40" x14ac:dyDescent="0.25">
      <c r="A6426" t="str">
        <f>"20190312155004036"</f>
        <v>20190312155004036</v>
      </c>
      <c r="B6426" t="str">
        <f>"1552377004031860"</f>
        <v>1552377004031860</v>
      </c>
      <c r="C6426" t="s">
        <v>40</v>
      </c>
      <c r="D6426">
        <v>4.5016420000000004</v>
      </c>
      <c r="E6426">
        <v>0.41244930000000002</v>
      </c>
      <c r="F6426" t="s">
        <v>65</v>
      </c>
      <c r="G6426">
        <v>-207.50069999999999</v>
      </c>
      <c r="H6426" s="1">
        <v>-1.906328E-6</v>
      </c>
      <c r="I6426">
        <v>-62.869790000000002</v>
      </c>
      <c r="J6426">
        <v>-276.56979999999999</v>
      </c>
      <c r="K6426">
        <v>1.109985</v>
      </c>
      <c r="L6426">
        <v>-59.039700000000003</v>
      </c>
      <c r="M6426">
        <v>0.96673580000000003</v>
      </c>
      <c r="N6426">
        <v>0</v>
      </c>
      <c r="O6426">
        <v>-0.25573259999999998</v>
      </c>
      <c r="P6426">
        <v>0.95979539999999997</v>
      </c>
      <c r="Q6426">
        <v>-1.939256E-2</v>
      </c>
      <c r="R6426">
        <v>-0.28003030000000001</v>
      </c>
      <c r="S6426">
        <v>3.0754090000000001</v>
      </c>
      <c r="T6426">
        <v>-4.92574E-2</v>
      </c>
      <c r="U6426">
        <v>-0.17260739999999999</v>
      </c>
      <c r="V6426">
        <v>2.5304879999999998E-2</v>
      </c>
      <c r="W6426">
        <v>-1.454574E-2</v>
      </c>
      <c r="X6426">
        <v>0.99957390000000002</v>
      </c>
      <c r="Y6426">
        <v>-0.20110259999999999</v>
      </c>
      <c r="Z6426">
        <v>5.6597219999999998E-3</v>
      </c>
      <c r="AA6426">
        <v>0.97955380000000003</v>
      </c>
      <c r="AB6426">
        <v>26</v>
      </c>
      <c r="AC6426">
        <v>69.069099999999906</v>
      </c>
      <c r="AD6426">
        <v>-1.1099869063279999</v>
      </c>
      <c r="AE6426">
        <v>-3.83008999999999</v>
      </c>
      <c r="AF6426">
        <v>-13.9571004673248</v>
      </c>
      <c r="AG6426">
        <v>-1.1099869063279999</v>
      </c>
      <c r="AH6426">
        <v>67.734380636820006</v>
      </c>
      <c r="AI6426">
        <v>90.919527023612602</v>
      </c>
      <c r="AJ6426">
        <v>101.643198569829</v>
      </c>
      <c r="AK6426">
        <v>69.166314378032595</v>
      </c>
      <c r="AL6426">
        <v>90.8334389461873</v>
      </c>
      <c r="AM6426">
        <v>88.549828868760102</v>
      </c>
      <c r="AN6426">
        <v>0.999999948532584</v>
      </c>
    </row>
    <row r="6427" spans="1:40" x14ac:dyDescent="0.25">
      <c r="A6427" t="str">
        <f>"20190312155004048"</f>
        <v>20190312155004048</v>
      </c>
      <c r="B6427" t="str">
        <f>"1552377004042597"</f>
        <v>1552377004042597</v>
      </c>
      <c r="C6427" t="s">
        <v>40</v>
      </c>
      <c r="D6427">
        <v>4.5136190000000003</v>
      </c>
      <c r="E6427">
        <v>0.41258590000000001</v>
      </c>
      <c r="F6427" t="s">
        <v>76</v>
      </c>
      <c r="G6427">
        <v>-213.22409999999999</v>
      </c>
      <c r="H6427" s="1">
        <v>-9.2473690000000004E-7</v>
      </c>
      <c r="I6427">
        <v>-62.535589999999999</v>
      </c>
      <c r="J6427">
        <v>-276.44209999999998</v>
      </c>
      <c r="K6427">
        <v>1.110026</v>
      </c>
      <c r="L6427">
        <v>-59.072600000000001</v>
      </c>
      <c r="M6427">
        <v>0.966951</v>
      </c>
      <c r="N6427">
        <v>0</v>
      </c>
      <c r="O6427">
        <v>-0.25491190000000002</v>
      </c>
      <c r="P6427">
        <v>0.96000419999999997</v>
      </c>
      <c r="Q6427">
        <v>-2.0305529999999999E-2</v>
      </c>
      <c r="R6427">
        <v>-0.27924789999999999</v>
      </c>
      <c r="S6427">
        <v>3.0750730000000002</v>
      </c>
      <c r="T6427">
        <v>-5.3883430000000003E-2</v>
      </c>
      <c r="U6427">
        <v>-0.16970829999999901</v>
      </c>
      <c r="V6427">
        <v>2.5345070000000001E-2</v>
      </c>
      <c r="W6427">
        <v>-1.5168610000000001E-2</v>
      </c>
      <c r="X6427">
        <v>0.99956369999999894</v>
      </c>
      <c r="Y6427">
        <v>-0.20117489999999999</v>
      </c>
      <c r="Z6427">
        <v>6.178841E-3</v>
      </c>
      <c r="AA6427">
        <v>0.97953579999999996</v>
      </c>
      <c r="AB6427">
        <v>26</v>
      </c>
      <c r="AC6427">
        <v>63.217999999999897</v>
      </c>
      <c r="AD6427">
        <v>-1.1100269247368999</v>
      </c>
      <c r="AE6427">
        <v>-3.4629899999999898</v>
      </c>
      <c r="AF6427">
        <v>-12.762719735861999</v>
      </c>
      <c r="AG6427">
        <v>-1.1100269247368999</v>
      </c>
      <c r="AH6427">
        <v>61.993206280347202</v>
      </c>
      <c r="AI6427">
        <v>91.004740094354304</v>
      </c>
      <c r="AJ6427">
        <v>101.633113148204</v>
      </c>
      <c r="AK6427">
        <v>63.303055216533402</v>
      </c>
      <c r="AL6427">
        <v>90.869130643909301</v>
      </c>
      <c r="AM6427">
        <v>88.547511832228693</v>
      </c>
      <c r="AN6427">
        <v>1.0000000248301599</v>
      </c>
    </row>
    <row r="6428" spans="1:40" x14ac:dyDescent="0.25">
      <c r="A6428" t="str">
        <f>"20190312155004059"</f>
        <v>20190312155004059</v>
      </c>
      <c r="B6428" t="str">
        <f>"1552377004052357"</f>
        <v>1552377004052357</v>
      </c>
      <c r="C6428" t="s">
        <v>40</v>
      </c>
      <c r="D6428">
        <v>4.5076320000000001</v>
      </c>
      <c r="E6428">
        <v>0.41271950000000002</v>
      </c>
      <c r="F6428" t="s">
        <v>76</v>
      </c>
      <c r="G6428">
        <v>-217.2354</v>
      </c>
      <c r="H6428" s="1">
        <v>-2.5856330000000001E-6</v>
      </c>
      <c r="I6428">
        <v>-62.310310000000001</v>
      </c>
      <c r="J6428">
        <v>-276.31740000000002</v>
      </c>
      <c r="K6428">
        <v>1.110069</v>
      </c>
      <c r="L6428">
        <v>-59.104550000000003</v>
      </c>
      <c r="M6428">
        <v>0.96716000000000002</v>
      </c>
      <c r="N6428">
        <v>0</v>
      </c>
      <c r="O6428">
        <v>-0.2541119</v>
      </c>
      <c r="P6428">
        <v>0.96018829999999999</v>
      </c>
      <c r="Q6428">
        <v>-2.0844809999999998E-2</v>
      </c>
      <c r="R6428">
        <v>-0.27857490000000001</v>
      </c>
      <c r="S6428">
        <v>3.0748600000000001</v>
      </c>
      <c r="T6428">
        <v>-5.7648539999999998E-2</v>
      </c>
      <c r="U6428">
        <v>-0.16815189999999999</v>
      </c>
      <c r="V6428">
        <v>2.5474630000000002E-2</v>
      </c>
      <c r="W6428">
        <v>-1.541493E-2</v>
      </c>
      <c r="X6428">
        <v>0.99955660000000002</v>
      </c>
      <c r="Y6428">
        <v>-0.20084569999999999</v>
      </c>
      <c r="Z6428">
        <v>6.5935119999999897E-3</v>
      </c>
      <c r="AA6428">
        <v>0.97960069999999999</v>
      </c>
      <c r="AB6428">
        <v>26</v>
      </c>
      <c r="AC6428">
        <v>59.082000000000001</v>
      </c>
      <c r="AD6428">
        <v>-1.1100715856329999</v>
      </c>
      <c r="AE6428">
        <v>-3.20575999999999</v>
      </c>
      <c r="AF6428">
        <v>-11.908935572819001</v>
      </c>
      <c r="AG6428">
        <v>-1.1100715856329999</v>
      </c>
      <c r="AH6428">
        <v>57.936807449335298</v>
      </c>
      <c r="AI6428">
        <v>91.075181840456693</v>
      </c>
      <c r="AJ6428">
        <v>101.615388251483</v>
      </c>
      <c r="AK6428">
        <v>59.158504568862597</v>
      </c>
      <c r="AL6428">
        <v>90.883245424045796</v>
      </c>
      <c r="AM6428">
        <v>88.540079781474404</v>
      </c>
      <c r="AN6428">
        <v>0.99999998672205004</v>
      </c>
    </row>
    <row r="6429" spans="1:40" x14ac:dyDescent="0.25">
      <c r="A6429" t="str">
        <f>"20190312155004070"</f>
        <v>20190312155004070</v>
      </c>
      <c r="B6429" t="str">
        <f>"1552377004062117"</f>
        <v>1552377004062117</v>
      </c>
      <c r="C6429" t="s">
        <v>40</v>
      </c>
      <c r="D6429">
        <v>4.4755310000000001</v>
      </c>
      <c r="E6429">
        <v>0.41282530000000001</v>
      </c>
      <c r="F6429" t="s">
        <v>76</v>
      </c>
      <c r="G6429">
        <v>-219.524</v>
      </c>
      <c r="H6429" s="1">
        <v>-3.4211230000000002E-6</v>
      </c>
      <c r="I6429">
        <v>-62.189689999999999</v>
      </c>
      <c r="J6429">
        <v>-276.18720000000002</v>
      </c>
      <c r="K6429">
        <v>1.1101160000000001</v>
      </c>
      <c r="L6429">
        <v>-59.13785</v>
      </c>
      <c r="M6429">
        <v>0.9673775</v>
      </c>
      <c r="N6429">
        <v>0</v>
      </c>
      <c r="O6429">
        <v>-0.2532761</v>
      </c>
      <c r="P6429">
        <v>0.96037519999999998</v>
      </c>
      <c r="Q6429">
        <v>-2.1756419999999999E-2</v>
      </c>
      <c r="R6429">
        <v>-0.27786060000000001</v>
      </c>
      <c r="S6429">
        <v>3.0746150000000001</v>
      </c>
      <c r="T6429">
        <v>-6.0095790000000003E-2</v>
      </c>
      <c r="U6429">
        <v>-0.1670227</v>
      </c>
      <c r="V6429">
        <v>2.5601240000000001E-2</v>
      </c>
      <c r="W6429">
        <v>-1.6010960000000001E-2</v>
      </c>
      <c r="X6429">
        <v>0.99954399999999999</v>
      </c>
      <c r="Y6429">
        <v>-0.20034750000000001</v>
      </c>
      <c r="Z6429">
        <v>6.8533269999999898E-3</v>
      </c>
      <c r="AA6429">
        <v>0.97970089999999999</v>
      </c>
      <c r="AB6429">
        <v>26</v>
      </c>
      <c r="AC6429">
        <v>56.663200000000003</v>
      </c>
      <c r="AD6429">
        <v>-1.1101194211230001</v>
      </c>
      <c r="AE6429">
        <v>-3.0518399999999901</v>
      </c>
      <c r="AF6429">
        <v>-11.394974226761301</v>
      </c>
      <c r="AG6429">
        <v>-1.1101194211230001</v>
      </c>
      <c r="AH6429">
        <v>55.5672854111398</v>
      </c>
      <c r="AI6429">
        <v>91.1211739149837</v>
      </c>
      <c r="AJ6429">
        <v>101.588768327122</v>
      </c>
      <c r="AK6429">
        <v>56.734478147955002</v>
      </c>
      <c r="AL6429">
        <v>90.917399640963197</v>
      </c>
      <c r="AM6429">
        <v>88.532808592473401</v>
      </c>
      <c r="AN6429">
        <v>0.999999991132829</v>
      </c>
    </row>
    <row r="6430" spans="1:40" x14ac:dyDescent="0.25">
      <c r="A6430" t="str">
        <f>"20190312155004081"</f>
        <v>20190312155004081</v>
      </c>
      <c r="B6430" t="str">
        <f>"1552377004071876"</f>
        <v>1552377004071876</v>
      </c>
      <c r="C6430" t="s">
        <v>40</v>
      </c>
      <c r="D6430">
        <v>4.4840109999999997</v>
      </c>
      <c r="E6430">
        <v>0.41296529999999998</v>
      </c>
      <c r="F6430" t="s">
        <v>75</v>
      </c>
      <c r="G6430">
        <v>-222.5583</v>
      </c>
      <c r="H6430" s="1">
        <v>-5.8058629999999996E-7</v>
      </c>
      <c r="I6430">
        <v>-62.025219999999997</v>
      </c>
      <c r="J6430">
        <v>-276.06389999999999</v>
      </c>
      <c r="K6430">
        <v>1.11016</v>
      </c>
      <c r="L6430">
        <v>-59.169249999999998</v>
      </c>
      <c r="M6430">
        <v>0.96758230000000001</v>
      </c>
      <c r="N6430">
        <v>0</v>
      </c>
      <c r="O6430">
        <v>-0.25248520000000002</v>
      </c>
      <c r="P6430">
        <v>0.96054320000000004</v>
      </c>
      <c r="Q6430">
        <v>-2.2388180000000001E-2</v>
      </c>
      <c r="R6430">
        <v>-0.27722930000000001</v>
      </c>
      <c r="S6430">
        <v>3.0744319999999998</v>
      </c>
      <c r="T6430">
        <v>-6.3640710000000003E-2</v>
      </c>
      <c r="U6430">
        <v>-0.16552729999999999</v>
      </c>
      <c r="V6430">
        <v>2.5765389999999999E-2</v>
      </c>
      <c r="W6430">
        <v>-1.633451E-2</v>
      </c>
      <c r="X6430">
        <v>0.99953449999999999</v>
      </c>
      <c r="Y6430">
        <v>-0.20000899999999999</v>
      </c>
      <c r="Z6430">
        <v>7.2387329999999998E-3</v>
      </c>
      <c r="AA6430">
        <v>0.97976730000000001</v>
      </c>
      <c r="AB6430">
        <v>26</v>
      </c>
      <c r="AC6430">
        <v>53.505599999999902</v>
      </c>
      <c r="AD6430">
        <v>-1.1101605805863</v>
      </c>
      <c r="AE6430">
        <v>-2.8559699999999899</v>
      </c>
      <c r="AF6430">
        <v>-10.741566898763001</v>
      </c>
      <c r="AG6430">
        <v>-1.1101605805863</v>
      </c>
      <c r="AH6430">
        <v>52.470574704479297</v>
      </c>
      <c r="AI6430">
        <v>91.187450751811994</v>
      </c>
      <c r="AJ6430">
        <v>101.569510365713</v>
      </c>
      <c r="AK6430">
        <v>53.5702802472941</v>
      </c>
      <c r="AL6430">
        <v>90.935940159537594</v>
      </c>
      <c r="AM6430">
        <v>88.5233913799444</v>
      </c>
      <c r="AN6430">
        <v>0.99999994411451898</v>
      </c>
    </row>
    <row r="6431" spans="1:40" x14ac:dyDescent="0.25">
      <c r="A6431" t="str">
        <f>"20190312155004093"</f>
        <v>20190312155004093</v>
      </c>
      <c r="B6431" t="str">
        <f>"1552377004082612"</f>
        <v>1552377004082612</v>
      </c>
      <c r="C6431" t="s">
        <v>40</v>
      </c>
      <c r="D6431">
        <v>4.5083010000000003</v>
      </c>
      <c r="E6431">
        <v>0.41308830000000002</v>
      </c>
      <c r="F6431" t="s">
        <v>75</v>
      </c>
      <c r="G6431">
        <v>-224.5565</v>
      </c>
      <c r="H6431" s="1">
        <v>-1.416012E-6</v>
      </c>
      <c r="I6431">
        <v>-61.927320000000002</v>
      </c>
      <c r="J6431">
        <v>-275.94159999999999</v>
      </c>
      <c r="K6431">
        <v>1.110212</v>
      </c>
      <c r="L6431">
        <v>-59.20026</v>
      </c>
      <c r="M6431">
        <v>0.96778370000000002</v>
      </c>
      <c r="N6431">
        <v>0</v>
      </c>
      <c r="O6431">
        <v>-0.25170399999999998</v>
      </c>
      <c r="P6431">
        <v>0.96068880000000001</v>
      </c>
      <c r="Q6431">
        <v>-2.3006970000000002E-2</v>
      </c>
      <c r="R6431">
        <v>-0.27667309999999901</v>
      </c>
      <c r="S6431">
        <v>3.0741580000000002</v>
      </c>
      <c r="T6431">
        <v>-6.6258670000000006E-2</v>
      </c>
      <c r="U6431">
        <v>-0.1646118</v>
      </c>
      <c r="V6431">
        <v>2.5997650000000001E-2</v>
      </c>
      <c r="W6431">
        <v>-1.66239E-2</v>
      </c>
      <c r="X6431">
        <v>0.99952379999999996</v>
      </c>
      <c r="Y6431">
        <v>-0.19949700000000001</v>
      </c>
      <c r="Z6431">
        <v>7.5153759999999998E-3</v>
      </c>
      <c r="AA6431">
        <v>0.97986960000000001</v>
      </c>
      <c r="AB6431">
        <v>26</v>
      </c>
      <c r="AC6431">
        <v>51.385100000000001</v>
      </c>
      <c r="AD6431">
        <v>-1.1102134160120001</v>
      </c>
      <c r="AE6431">
        <v>-2.72705999999999</v>
      </c>
      <c r="AF6431">
        <v>-10.2900459084433</v>
      </c>
      <c r="AG6431">
        <v>-1.1102134160120001</v>
      </c>
      <c r="AH6431">
        <v>50.393619497002902</v>
      </c>
      <c r="AI6431">
        <v>91.236561821578903</v>
      </c>
      <c r="AJ6431">
        <v>101.540769800343</v>
      </c>
      <c r="AK6431">
        <v>51.445451739057297</v>
      </c>
      <c r="AL6431">
        <v>90.952523156834104</v>
      </c>
      <c r="AM6431">
        <v>88.510070642801196</v>
      </c>
      <c r="AN6431">
        <v>1.0000000293115801</v>
      </c>
    </row>
    <row r="6432" spans="1:40" x14ac:dyDescent="0.25">
      <c r="A6432" t="str">
        <f>"20190312155004106"</f>
        <v>20190312155004106</v>
      </c>
      <c r="B6432" t="str">
        <f>"1552377004092373"</f>
        <v>1552377004092373</v>
      </c>
      <c r="C6432" t="s">
        <v>40</v>
      </c>
      <c r="D6432">
        <v>4.4467949999999998</v>
      </c>
      <c r="E6432">
        <v>0.41318630000000001</v>
      </c>
      <c r="F6432" t="s">
        <v>75</v>
      </c>
      <c r="G6432">
        <v>-226.7671</v>
      </c>
      <c r="H6432" s="1">
        <v>-2.340267E-6</v>
      </c>
      <c r="I6432">
        <v>-61.818939999999998</v>
      </c>
      <c r="J6432">
        <v>-275.80040000000002</v>
      </c>
      <c r="K6432">
        <v>1.110271</v>
      </c>
      <c r="L6432">
        <v>-59.235959999999999</v>
      </c>
      <c r="M6432">
        <v>0.96801470000000001</v>
      </c>
      <c r="N6432">
        <v>0</v>
      </c>
      <c r="O6432">
        <v>-0.25080390000000002</v>
      </c>
      <c r="P6432">
        <v>0.96088289999999998</v>
      </c>
      <c r="Q6432">
        <v>-2.359642E-2</v>
      </c>
      <c r="R6432">
        <v>-0.27594829999999998</v>
      </c>
      <c r="S6432">
        <v>3.073944</v>
      </c>
      <c r="T6432">
        <v>-6.9400550000000005E-2</v>
      </c>
      <c r="U6432">
        <v>-0.16369629999999999</v>
      </c>
      <c r="V6432">
        <v>2.6176729999999999E-2</v>
      </c>
      <c r="W6432">
        <v>-1.682082E-2</v>
      </c>
      <c r="X6432">
        <v>0.99951579999999995</v>
      </c>
      <c r="Y6432">
        <v>-0.19886409999999999</v>
      </c>
      <c r="Z6432">
        <v>7.8454600000000003E-3</v>
      </c>
      <c r="AA6432">
        <v>0.97999570000000003</v>
      </c>
      <c r="AB6432">
        <v>26</v>
      </c>
      <c r="AC6432">
        <v>49.033299999999997</v>
      </c>
      <c r="AD6432">
        <v>-1.110273340267</v>
      </c>
      <c r="AE6432">
        <v>-2.5829800000000001</v>
      </c>
      <c r="AF6432">
        <v>-9.7925935024152597</v>
      </c>
      <c r="AG6432">
        <v>-1.110273340267</v>
      </c>
      <c r="AH6432">
        <v>48.089269934571597</v>
      </c>
      <c r="AI6432">
        <v>91.296007743970605</v>
      </c>
      <c r="AJ6432">
        <v>101.509977198142</v>
      </c>
      <c r="AK6432">
        <v>49.088751025400398</v>
      </c>
      <c r="AL6432">
        <v>90.963807449644307</v>
      </c>
      <c r="AM6432">
        <v>88.499800212352895</v>
      </c>
      <c r="AN6432">
        <v>0.99999999781430204</v>
      </c>
    </row>
    <row r="6433" spans="1:40" x14ac:dyDescent="0.25">
      <c r="A6433" t="str">
        <f>"20190312155004117"</f>
        <v>20190312155004117</v>
      </c>
      <c r="B6433" t="str">
        <f>"1552377004111893"</f>
        <v>1552377004111893</v>
      </c>
      <c r="C6433" t="s">
        <v>40</v>
      </c>
      <c r="D6433">
        <v>4.4941500000000003</v>
      </c>
      <c r="E6433">
        <v>0.41343439999999998</v>
      </c>
      <c r="F6433" t="s">
        <v>75</v>
      </c>
      <c r="G6433">
        <v>-227.66560000000001</v>
      </c>
      <c r="H6433" s="1">
        <v>-2.7159679999999999E-6</v>
      </c>
      <c r="I6433">
        <v>-61.775039999999997</v>
      </c>
      <c r="J6433">
        <v>-275.66739999999999</v>
      </c>
      <c r="K6433">
        <v>1.110328</v>
      </c>
      <c r="L6433">
        <v>-59.269440000000003</v>
      </c>
      <c r="M6433">
        <v>0.96823040000000005</v>
      </c>
      <c r="N6433">
        <v>0</v>
      </c>
      <c r="O6433">
        <v>-0.2499594</v>
      </c>
      <c r="P6433">
        <v>0.96106570000000002</v>
      </c>
      <c r="Q6433">
        <v>-2.3826759999999999E-2</v>
      </c>
      <c r="R6433">
        <v>-0.27529160000000003</v>
      </c>
      <c r="S6433">
        <v>3.0737920000000001</v>
      </c>
      <c r="T6433">
        <v>-7.0899840000000006E-2</v>
      </c>
      <c r="U6433">
        <v>-0.162139899999999</v>
      </c>
      <c r="V6433">
        <v>2.636581E-2</v>
      </c>
      <c r="W6433">
        <v>-1.6648759999999999E-2</v>
      </c>
      <c r="X6433">
        <v>0.99951369999999895</v>
      </c>
      <c r="Y6433">
        <v>-0.19849739999999999</v>
      </c>
      <c r="Z6433">
        <v>7.9923719999999993E-3</v>
      </c>
      <c r="AA6433">
        <v>0.98006879999999996</v>
      </c>
      <c r="AB6433">
        <v>26</v>
      </c>
      <c r="AC6433">
        <v>48.001799999999903</v>
      </c>
      <c r="AD6433">
        <v>-1.110330715968</v>
      </c>
      <c r="AE6433">
        <v>-2.5055999999999998</v>
      </c>
      <c r="AF6433">
        <v>-9.5676380723697498</v>
      </c>
      <c r="AG6433">
        <v>-1.110330715968</v>
      </c>
      <c r="AH6433">
        <v>47.079161417774699</v>
      </c>
      <c r="AI6433">
        <v>91.323978658935502</v>
      </c>
      <c r="AJ6433">
        <v>101.487465149627</v>
      </c>
      <c r="AK6433">
        <v>48.054343949153697</v>
      </c>
      <c r="AL6433">
        <v>90.953947767563406</v>
      </c>
      <c r="AM6433">
        <v>88.488965787796005</v>
      </c>
      <c r="AN6433">
        <v>0.99999998681709101</v>
      </c>
    </row>
    <row r="6434" spans="1:40" x14ac:dyDescent="0.25">
      <c r="A6434" t="str">
        <f>"20190312155004135"</f>
        <v>20190312155004135</v>
      </c>
      <c r="B6434" t="str">
        <f>"1552377004122629"</f>
        <v>1552377004122629</v>
      </c>
      <c r="C6434" t="s">
        <v>40</v>
      </c>
      <c r="D6434">
        <v>4.4863799999999996</v>
      </c>
      <c r="E6434">
        <v>0.41363660000000002</v>
      </c>
      <c r="F6434" t="s">
        <v>75</v>
      </c>
      <c r="G6434">
        <v>-228.5222</v>
      </c>
      <c r="H6434" s="1">
        <v>-3.0786239999999999E-6</v>
      </c>
      <c r="I6434">
        <v>-61.75338</v>
      </c>
      <c r="J6434">
        <v>-275.47710000000001</v>
      </c>
      <c r="K6434">
        <v>1.1104050000000001</v>
      </c>
      <c r="L6434">
        <v>-59.31711</v>
      </c>
      <c r="M6434">
        <v>0.96853769999999995</v>
      </c>
      <c r="N6434">
        <v>0</v>
      </c>
      <c r="O6434">
        <v>-0.248748</v>
      </c>
      <c r="P6434">
        <v>0.96131690000000003</v>
      </c>
      <c r="Q6434">
        <v>-2.428338E-2</v>
      </c>
      <c r="R6434">
        <v>-0.2743718</v>
      </c>
      <c r="S6434">
        <v>3.0733640000000002</v>
      </c>
      <c r="T6434">
        <v>-7.2381849999999998E-2</v>
      </c>
      <c r="U6434">
        <v>-0.1619263</v>
      </c>
      <c r="V6434">
        <v>2.6660980000000001E-2</v>
      </c>
      <c r="W6434">
        <v>-1.6531299999999999E-2</v>
      </c>
      <c r="X6434">
        <v>0.99950779999999995</v>
      </c>
      <c r="Y6434">
        <v>-0.1973288</v>
      </c>
      <c r="Z6434">
        <v>8.1191100000000006E-3</v>
      </c>
      <c r="AA6434">
        <v>0.98030379999999995</v>
      </c>
      <c r="AB6434">
        <v>26</v>
      </c>
      <c r="AC6434">
        <v>46.954900000000002</v>
      </c>
      <c r="AD6434">
        <v>-1.11040807862399</v>
      </c>
      <c r="AE6434">
        <v>-2.4362699999999999</v>
      </c>
      <c r="AF6434">
        <v>-9.3153981941234001</v>
      </c>
      <c r="AG6434">
        <v>-1.11040807862399</v>
      </c>
      <c r="AH6434">
        <v>46.059281924298197</v>
      </c>
      <c r="AI6434">
        <v>91.353635941738901</v>
      </c>
      <c r="AJ6434">
        <v>101.43372644512201</v>
      </c>
      <c r="AK6434">
        <v>47.004968896895697</v>
      </c>
      <c r="AL6434">
        <v>90.947216897652297</v>
      </c>
      <c r="AM6434">
        <v>88.472048446797601</v>
      </c>
      <c r="AN6434">
        <v>0.99999996699754401</v>
      </c>
    </row>
    <row r="6435" spans="1:40" x14ac:dyDescent="0.25">
      <c r="A6435" t="str">
        <f>"20190312155004147"</f>
        <v>20190312155004147</v>
      </c>
      <c r="B6435" t="str">
        <f>"1552377004142148"</f>
        <v>1552377004142148</v>
      </c>
      <c r="C6435" t="s">
        <v>40</v>
      </c>
      <c r="D6435">
        <v>4.4795970000000001</v>
      </c>
      <c r="E6435">
        <v>0.41394740000000002</v>
      </c>
      <c r="F6435" t="s">
        <v>75</v>
      </c>
      <c r="G6435">
        <v>-229.80590000000001</v>
      </c>
      <c r="H6435" s="1">
        <v>-3.5219519999999999E-6</v>
      </c>
      <c r="I6435">
        <v>-61.702309999999997</v>
      </c>
      <c r="J6435">
        <v>-275.34589999999997</v>
      </c>
      <c r="K6435">
        <v>1.110452</v>
      </c>
      <c r="L6435">
        <v>-59.349879999999999</v>
      </c>
      <c r="M6435">
        <v>0.96874950000000004</v>
      </c>
      <c r="N6435">
        <v>0</v>
      </c>
      <c r="O6435">
        <v>-0.24790960000000001</v>
      </c>
      <c r="P6435">
        <v>0.96150210000000003</v>
      </c>
      <c r="Q6435">
        <v>-2.4709410000000001E-2</v>
      </c>
      <c r="R6435">
        <v>-0.2736847</v>
      </c>
      <c r="S6435">
        <v>3.0730590000000002</v>
      </c>
      <c r="T6435">
        <v>-7.4715500000000004E-2</v>
      </c>
      <c r="U6435">
        <v>-0.16049189999999999</v>
      </c>
      <c r="V6435">
        <v>2.6813239999999999E-2</v>
      </c>
      <c r="W6435">
        <v>-1.6565659999999999E-2</v>
      </c>
      <c r="X6435">
        <v>0.99950320000000004</v>
      </c>
      <c r="Y6435">
        <v>-0.19692460000000001</v>
      </c>
      <c r="Z6435">
        <v>8.357125E-3</v>
      </c>
      <c r="AA6435">
        <v>0.980383</v>
      </c>
      <c r="AB6435">
        <v>26</v>
      </c>
      <c r="AC6435">
        <v>45.5399999999999</v>
      </c>
      <c r="AD6435">
        <v>-1.110455521952</v>
      </c>
      <c r="AE6435">
        <v>-2.3524299999999898</v>
      </c>
      <c r="AF6435">
        <v>-9.0058412150170497</v>
      </c>
      <c r="AG6435">
        <v>-1.110455521952</v>
      </c>
      <c r="AH6435">
        <v>44.675007778129903</v>
      </c>
      <c r="AI6435">
        <v>91.395801470882901</v>
      </c>
      <c r="AJ6435">
        <v>101.39726346184101</v>
      </c>
      <c r="AK6435">
        <v>45.587219781779801</v>
      </c>
      <c r="AL6435">
        <v>90.949185810572203</v>
      </c>
      <c r="AM6435">
        <v>88.463319467810095</v>
      </c>
      <c r="AN6435">
        <v>1.00000000887038</v>
      </c>
    </row>
    <row r="6436" spans="1:40" x14ac:dyDescent="0.25">
      <c r="A6436" t="str">
        <f>"20190312155004158"</f>
        <v>20190312155004158</v>
      </c>
      <c r="B6436" t="str">
        <f>"1552377004151909"</f>
        <v>1552377004151909</v>
      </c>
      <c r="C6436" t="s">
        <v>40</v>
      </c>
      <c r="D6436">
        <v>4.5114669999999997</v>
      </c>
      <c r="E6436">
        <v>0.41407359999999999</v>
      </c>
      <c r="F6436" t="s">
        <v>74</v>
      </c>
      <c r="G6436">
        <v>-230.92420000000001</v>
      </c>
      <c r="H6436" s="1">
        <v>2.7332410000000001E-7</v>
      </c>
      <c r="I6436">
        <v>-61.672890000000002</v>
      </c>
      <c r="J6436">
        <v>-275.20839999999998</v>
      </c>
      <c r="K6436">
        <v>1.11049</v>
      </c>
      <c r="L6436">
        <v>-59.383999999999901</v>
      </c>
      <c r="M6436">
        <v>0.96897140000000004</v>
      </c>
      <c r="N6436">
        <v>0</v>
      </c>
      <c r="O6436">
        <v>-0.24702850000000001</v>
      </c>
      <c r="P6436">
        <v>0.9616943</v>
      </c>
      <c r="Q6436">
        <v>-2.5330689999999999E-2</v>
      </c>
      <c r="R6436">
        <v>-0.27295199999999997</v>
      </c>
      <c r="S6436">
        <v>3.0724179999999999</v>
      </c>
      <c r="T6436">
        <v>-7.6804280000000003E-2</v>
      </c>
      <c r="U6436">
        <v>-0.16067500000000001</v>
      </c>
      <c r="V6436">
        <v>2.696432E-2</v>
      </c>
      <c r="W6436">
        <v>-1.680309E-2</v>
      </c>
      <c r="X6436">
        <v>0.99949509999999997</v>
      </c>
      <c r="Y6436">
        <v>-0.19595789999999999</v>
      </c>
      <c r="Z6436">
        <v>8.5589889999999995E-3</v>
      </c>
      <c r="AA6436">
        <v>0.98057499999999997</v>
      </c>
      <c r="AB6436">
        <v>26</v>
      </c>
      <c r="AC6436">
        <v>44.284199999999899</v>
      </c>
      <c r="AD6436">
        <v>-1.1104897266759</v>
      </c>
      <c r="AE6436">
        <v>-2.2888899999999999</v>
      </c>
      <c r="AF6436">
        <v>-8.7164351647848104</v>
      </c>
      <c r="AG6436">
        <v>-1.1104897266759</v>
      </c>
      <c r="AH6436">
        <v>43.449845666853697</v>
      </c>
      <c r="AI6436">
        <v>91.435457858479296</v>
      </c>
      <c r="AJ6436">
        <v>101.343486061402</v>
      </c>
      <c r="AK6436">
        <v>44.329431734327002</v>
      </c>
      <c r="AL6436">
        <v>90.962791510768298</v>
      </c>
      <c r="AM6436">
        <v>88.4546526647608</v>
      </c>
      <c r="AN6436">
        <v>0.99999993665530795</v>
      </c>
    </row>
    <row r="6437" spans="1:40" x14ac:dyDescent="0.25">
      <c r="A6437" t="str">
        <f>"20190312155004169"</f>
        <v>20190312155004169</v>
      </c>
      <c r="B6437" t="str">
        <f>"1552377004162645"</f>
        <v>1552377004162645</v>
      </c>
      <c r="C6437" t="s">
        <v>40</v>
      </c>
      <c r="D6437">
        <v>4.5009399999999999</v>
      </c>
      <c r="E6437">
        <v>0.4141842</v>
      </c>
      <c r="F6437" t="s">
        <v>74</v>
      </c>
      <c r="G6437">
        <v>-232.10429999999999</v>
      </c>
      <c r="H6437" s="1">
        <v>-2.185717E-7</v>
      </c>
      <c r="I6437">
        <v>-61.619010000000003</v>
      </c>
      <c r="J6437">
        <v>-275.09379999999999</v>
      </c>
      <c r="K6437">
        <v>1.1105179999999999</v>
      </c>
      <c r="L6437">
        <v>-59.412410000000001</v>
      </c>
      <c r="M6437">
        <v>0.96915569999999895</v>
      </c>
      <c r="N6437">
        <v>0</v>
      </c>
      <c r="O6437">
        <v>-0.24629400000000001</v>
      </c>
      <c r="P6437">
        <v>0.96187529999999999</v>
      </c>
      <c r="Q6437">
        <v>-2.5829390000000001E-2</v>
      </c>
      <c r="R6437">
        <v>-0.27226640000000002</v>
      </c>
      <c r="S6437">
        <v>3.0722049999999999</v>
      </c>
      <c r="T6437">
        <v>-7.9149010000000006E-2</v>
      </c>
      <c r="U6437">
        <v>-0.15930179999999999</v>
      </c>
      <c r="V6437">
        <v>2.7012560000000001E-2</v>
      </c>
      <c r="W6437">
        <v>-1.6993330000000001E-2</v>
      </c>
      <c r="X6437">
        <v>0.99949060000000001</v>
      </c>
      <c r="Y6437">
        <v>-0.1956408</v>
      </c>
      <c r="Z6437">
        <v>8.798541E-3</v>
      </c>
      <c r="AA6437">
        <v>0.98063619999999996</v>
      </c>
      <c r="AB6437">
        <v>26</v>
      </c>
      <c r="AC6437">
        <v>42.9894999999999</v>
      </c>
      <c r="AD6437">
        <v>-1.1105182185717</v>
      </c>
      <c r="AE6437">
        <v>-2.2065999999999999</v>
      </c>
      <c r="AF6437">
        <v>-8.4442200436910504</v>
      </c>
      <c r="AG6437">
        <v>-1.1105182185717</v>
      </c>
      <c r="AH6437">
        <v>42.1805322446383</v>
      </c>
      <c r="AI6437">
        <v>91.478791935342301</v>
      </c>
      <c r="AJ6437">
        <v>101.32052926775199</v>
      </c>
      <c r="AK6437">
        <v>43.031795260028701</v>
      </c>
      <c r="AL6437">
        <v>90.973692998716899</v>
      </c>
      <c r="AM6437">
        <v>88.451882368255397</v>
      </c>
      <c r="AN6437">
        <v>0.99999995557529997</v>
      </c>
    </row>
    <row r="6438" spans="1:40" x14ac:dyDescent="0.25">
      <c r="A6438" t="str">
        <f>"20190312155004180"</f>
        <v>20190312155004180</v>
      </c>
      <c r="B6438" t="str">
        <f>"1552377004172405"</f>
        <v>1552377004172405</v>
      </c>
      <c r="C6438" t="s">
        <v>40</v>
      </c>
      <c r="D6438">
        <v>4.5060669999999998</v>
      </c>
      <c r="E6438">
        <v>0.41431319999999999</v>
      </c>
      <c r="F6438" t="s">
        <v>74</v>
      </c>
      <c r="G6438">
        <v>-233.10130000000001</v>
      </c>
      <c r="H6438" s="1">
        <v>-6.3355130000000001E-7</v>
      </c>
      <c r="I6438">
        <v>-61.571129999999997</v>
      </c>
      <c r="J6438">
        <v>-274.97309999999999</v>
      </c>
      <c r="K6438">
        <v>1.1105449999999999</v>
      </c>
      <c r="L6438">
        <v>-59.442230000000002</v>
      </c>
      <c r="M6438">
        <v>0.96934880000000001</v>
      </c>
      <c r="N6438">
        <v>0</v>
      </c>
      <c r="O6438">
        <v>-0.2455214</v>
      </c>
      <c r="P6438">
        <v>0.96202500000000002</v>
      </c>
      <c r="Q6438">
        <v>-2.6608099999999999E-2</v>
      </c>
      <c r="R6438">
        <v>-0.27166210000000002</v>
      </c>
      <c r="S6438">
        <v>3.0720209999999999</v>
      </c>
      <c r="T6438">
        <v>-8.124149E-2</v>
      </c>
      <c r="U6438">
        <v>-0.1579285</v>
      </c>
      <c r="V6438">
        <v>2.718686E-2</v>
      </c>
      <c r="W6438">
        <v>-1.7464790000000001E-2</v>
      </c>
      <c r="X6438">
        <v>0.99947779999999997</v>
      </c>
      <c r="Y6438">
        <v>-0.1952865</v>
      </c>
      <c r="Z6438">
        <v>9.0072710000000007E-3</v>
      </c>
      <c r="AA6438">
        <v>0.98070480000000004</v>
      </c>
      <c r="AB6438">
        <v>26</v>
      </c>
      <c r="AC6438">
        <v>41.871799999999901</v>
      </c>
      <c r="AD6438">
        <v>-1.1105456335513</v>
      </c>
      <c r="AE6438">
        <v>-2.1288999999999998</v>
      </c>
      <c r="AF6438">
        <v>-8.2113524712781807</v>
      </c>
      <c r="AG6438">
        <v>-1.1105456335513</v>
      </c>
      <c r="AH6438">
        <v>41.083932521047302</v>
      </c>
      <c r="AI6438">
        <v>91.5183773781133</v>
      </c>
      <c r="AJ6438">
        <v>101.30264544336799</v>
      </c>
      <c r="AK6438">
        <v>41.911205332294301</v>
      </c>
      <c r="AL6438">
        <v>91.000709625559907</v>
      </c>
      <c r="AM6438">
        <v>88.441878019792597</v>
      </c>
      <c r="AN6438">
        <v>1.0000000084696199</v>
      </c>
    </row>
    <row r="6439" spans="1:40" x14ac:dyDescent="0.25">
      <c r="A6439" t="str">
        <f>"20190312155004190"</f>
        <v>20190312155004190</v>
      </c>
      <c r="B6439" t="str">
        <f>"1552377004182165"</f>
        <v>1552377004182165</v>
      </c>
      <c r="C6439" t="s">
        <v>40</v>
      </c>
      <c r="D6439">
        <v>4.4879319999999998</v>
      </c>
      <c r="E6439">
        <v>0.41441879999999998</v>
      </c>
      <c r="F6439" t="s">
        <v>74</v>
      </c>
      <c r="G6439">
        <v>-234.3948</v>
      </c>
      <c r="H6439" s="1">
        <v>-1.1735690000000001E-6</v>
      </c>
      <c r="I6439">
        <v>-61.51511</v>
      </c>
      <c r="J6439">
        <v>-274.85199999999998</v>
      </c>
      <c r="K6439">
        <v>1.110573</v>
      </c>
      <c r="L6439">
        <v>-59.472019999999901</v>
      </c>
      <c r="M6439">
        <v>0.96954169999999995</v>
      </c>
      <c r="N6439">
        <v>0</v>
      </c>
      <c r="O6439">
        <v>-0.2447474</v>
      </c>
      <c r="P6439">
        <v>0.9621769</v>
      </c>
      <c r="Q6439">
        <v>-2.7125639999999999E-2</v>
      </c>
      <c r="R6439">
        <v>-0.27107170000000003</v>
      </c>
      <c r="S6439">
        <v>3.071777</v>
      </c>
      <c r="T6439">
        <v>-8.4068420000000005E-2</v>
      </c>
      <c r="U6439">
        <v>-0.15692139999999999</v>
      </c>
      <c r="V6439">
        <v>2.7375110000000001E-2</v>
      </c>
      <c r="W6439">
        <v>-1.7687540000000002E-2</v>
      </c>
      <c r="X6439">
        <v>0.99946869999999999</v>
      </c>
      <c r="Y6439">
        <v>-0.1948106</v>
      </c>
      <c r="Z6439">
        <v>9.294376E-3</v>
      </c>
      <c r="AA6439">
        <v>0.98079689999999997</v>
      </c>
      <c r="AB6439">
        <v>26</v>
      </c>
      <c r="AC6439">
        <v>40.4572</v>
      </c>
      <c r="AD6439">
        <v>-1.110574173569</v>
      </c>
      <c r="AE6439">
        <v>-2.0430899999999999</v>
      </c>
      <c r="AF6439">
        <v>-7.9153312198782002</v>
      </c>
      <c r="AG6439">
        <v>-1.110574173569</v>
      </c>
      <c r="AH6439">
        <v>39.696886635791699</v>
      </c>
      <c r="AI6439">
        <v>91.571587873967204</v>
      </c>
      <c r="AJ6439">
        <v>101.276556944037</v>
      </c>
      <c r="AK6439">
        <v>40.493563092055403</v>
      </c>
      <c r="AL6439">
        <v>91.0134742772225</v>
      </c>
      <c r="AM6439">
        <v>88.431080210540401</v>
      </c>
      <c r="AN6439">
        <v>0.99999996399922597</v>
      </c>
    </row>
    <row r="6440" spans="1:40" x14ac:dyDescent="0.25">
      <c r="A6440" t="str">
        <f>"20190312155004202"</f>
        <v>20190312155004202</v>
      </c>
      <c r="B6440" t="str">
        <f>"1552377004191926"</f>
        <v>1552377004191926</v>
      </c>
      <c r="C6440" t="s">
        <v>40</v>
      </c>
      <c r="D6440">
        <v>4.496372</v>
      </c>
      <c r="E6440">
        <v>0.41453640000000003</v>
      </c>
      <c r="F6440" t="s">
        <v>74</v>
      </c>
      <c r="G6440">
        <v>-235.09530000000001</v>
      </c>
      <c r="H6440" s="1">
        <v>-1.467495E-6</v>
      </c>
      <c r="I6440">
        <v>-61.490389999999998</v>
      </c>
      <c r="J6440">
        <v>-274.72480000000002</v>
      </c>
      <c r="K6440">
        <v>1.1105969999999901</v>
      </c>
      <c r="L6440">
        <v>-59.503169999999997</v>
      </c>
      <c r="M6440">
        <v>0.96974309999999997</v>
      </c>
      <c r="N6440">
        <v>0</v>
      </c>
      <c r="O6440">
        <v>-0.2439366</v>
      </c>
      <c r="P6440">
        <v>0.96231599999999995</v>
      </c>
      <c r="Q6440">
        <v>-2.786665E-2</v>
      </c>
      <c r="R6440">
        <v>-0.27050239999999998</v>
      </c>
      <c r="S6440">
        <v>3.0715940000000002</v>
      </c>
      <c r="T6440">
        <v>-8.5802790000000004E-2</v>
      </c>
      <c r="U6440">
        <v>-0.15594479999999999</v>
      </c>
      <c r="V6440">
        <v>2.7625130000000001E-2</v>
      </c>
      <c r="W6440">
        <v>-1.813089E-2</v>
      </c>
      <c r="X6440">
        <v>0.99945390000000001</v>
      </c>
      <c r="Y6440">
        <v>-0.19429289999999999</v>
      </c>
      <c r="Z6440">
        <v>9.4575230000000007E-3</v>
      </c>
      <c r="AA6440">
        <v>0.98089800000000005</v>
      </c>
      <c r="AB6440">
        <v>26</v>
      </c>
      <c r="AC6440">
        <v>39.6295</v>
      </c>
      <c r="AD6440">
        <v>-1.11059846749499</v>
      </c>
      <c r="AE6440">
        <v>-1.98722</v>
      </c>
      <c r="AF6440">
        <v>-7.7342944448124404</v>
      </c>
      <c r="AG6440">
        <v>-1.11059846749499</v>
      </c>
      <c r="AH6440">
        <v>38.886540613755102</v>
      </c>
      <c r="AI6440">
        <v>91.604509602890303</v>
      </c>
      <c r="AJ6440">
        <v>101.248980357506</v>
      </c>
      <c r="AK6440">
        <v>39.663784242307003</v>
      </c>
      <c r="AL6440">
        <v>91.038880412381403</v>
      </c>
      <c r="AM6440">
        <v>88.416734914529499</v>
      </c>
      <c r="AN6440">
        <v>0.99999998760245901</v>
      </c>
    </row>
    <row r="6441" spans="1:40" x14ac:dyDescent="0.25">
      <c r="A6441" t="str">
        <f>"20190312155004215"</f>
        <v>20190312155004215</v>
      </c>
      <c r="B6441" t="str">
        <f>"1552377004201685"</f>
        <v>1552377004201685</v>
      </c>
      <c r="C6441" t="s">
        <v>40</v>
      </c>
      <c r="D6441">
        <v>4.4723949999999997</v>
      </c>
      <c r="E6441">
        <v>0.41464380000000001</v>
      </c>
      <c r="F6441" t="s">
        <v>74</v>
      </c>
      <c r="G6441">
        <v>-235.96080000000001</v>
      </c>
      <c r="H6441" s="1">
        <v>-1.830542E-6</v>
      </c>
      <c r="I6441">
        <v>-61.459389999999999</v>
      </c>
      <c r="J6441">
        <v>-274.59769999999997</v>
      </c>
      <c r="K6441">
        <v>1.110622</v>
      </c>
      <c r="L6441">
        <v>-59.534179999999999</v>
      </c>
      <c r="M6441">
        <v>0.96994420000000003</v>
      </c>
      <c r="N6441">
        <v>0</v>
      </c>
      <c r="O6441">
        <v>-0.24312400000000001</v>
      </c>
      <c r="P6441">
        <v>0.96246169999999998</v>
      </c>
      <c r="Q6441">
        <v>-2.8708350000000001E-2</v>
      </c>
      <c r="R6441">
        <v>-0.26989560000000001</v>
      </c>
      <c r="S6441">
        <v>3.0713200000000001</v>
      </c>
      <c r="T6441">
        <v>-8.7994100000000006E-2</v>
      </c>
      <c r="U6441">
        <v>-0.15499879999999999</v>
      </c>
      <c r="V6441">
        <v>2.7839200000000001E-2</v>
      </c>
      <c r="W6441">
        <v>-1.869388E-2</v>
      </c>
      <c r="X6441">
        <v>0.99943760000000004</v>
      </c>
      <c r="Y6441">
        <v>-0.1937604</v>
      </c>
      <c r="Z6441">
        <v>9.6697160000000001E-3</v>
      </c>
      <c r="AA6441">
        <v>0.98100129999999996</v>
      </c>
      <c r="AB6441">
        <v>26</v>
      </c>
      <c r="AC6441">
        <v>38.636899999999898</v>
      </c>
      <c r="AD6441">
        <v>-1.110623830542</v>
      </c>
      <c r="AE6441">
        <v>-1.9252099999999901</v>
      </c>
      <c r="AF6441">
        <v>-7.5203852776519398</v>
      </c>
      <c r="AG6441">
        <v>-1.110623830542</v>
      </c>
      <c r="AH6441">
        <v>37.914329171838901</v>
      </c>
      <c r="AI6441">
        <v>91.645838468117603</v>
      </c>
      <c r="AJ6441">
        <v>101.21911527601399</v>
      </c>
      <c r="AK6441">
        <v>38.668928567621897</v>
      </c>
      <c r="AL6441">
        <v>91.071142820839299</v>
      </c>
      <c r="AM6441">
        <v>88.404446338145604</v>
      </c>
      <c r="AN6441">
        <v>0.999999999249927</v>
      </c>
    </row>
    <row r="6442" spans="1:40" x14ac:dyDescent="0.25">
      <c r="A6442" t="str">
        <f>"20190312155004226"</f>
        <v>20190312155004226</v>
      </c>
      <c r="B6442" t="str">
        <f>"1552377004222181"</f>
        <v>1552377004222181</v>
      </c>
      <c r="C6442" t="s">
        <v>40</v>
      </c>
      <c r="D6442">
        <v>4.4679399999999996</v>
      </c>
      <c r="E6442">
        <v>0.42510219999999999</v>
      </c>
      <c r="F6442" t="s">
        <v>74</v>
      </c>
      <c r="G6442">
        <v>-236.8871</v>
      </c>
      <c r="H6442" s="1">
        <v>-2.2184490000000001E-6</v>
      </c>
      <c r="I6442">
        <v>-61.423850000000002</v>
      </c>
      <c r="J6442">
        <v>-274.46890000000002</v>
      </c>
      <c r="K6442">
        <v>1.1106480000000001</v>
      </c>
      <c r="L6442">
        <v>-59.565579999999997</v>
      </c>
      <c r="M6442">
        <v>0.97014789999999995</v>
      </c>
      <c r="N6442">
        <v>0</v>
      </c>
      <c r="O6442">
        <v>-0.2422985</v>
      </c>
      <c r="P6442">
        <v>0.96262859999999995</v>
      </c>
      <c r="Q6442">
        <v>-2.93666E-2</v>
      </c>
      <c r="R6442">
        <v>-0.26922790000000002</v>
      </c>
      <c r="S6442">
        <v>3.071167</v>
      </c>
      <c r="T6442">
        <v>-9.0449450000000001E-2</v>
      </c>
      <c r="U6442">
        <v>-0.15390009999999901</v>
      </c>
      <c r="V6442">
        <v>2.8002079999999999E-2</v>
      </c>
      <c r="W6442">
        <v>-1.9076260000000001E-2</v>
      </c>
      <c r="X6442">
        <v>0.99942580000000003</v>
      </c>
      <c r="Y6442">
        <v>-0.1932642</v>
      </c>
      <c r="Z6442">
        <v>9.9091400000000003E-3</v>
      </c>
      <c r="AA6442">
        <v>0.98109669999999904</v>
      </c>
      <c r="AB6442">
        <v>26</v>
      </c>
      <c r="AC6442">
        <v>37.581800000000001</v>
      </c>
      <c r="AD6442">
        <v>-1.1106502184489999</v>
      </c>
      <c r="AE6442">
        <v>-1.8582699999999901</v>
      </c>
      <c r="AF6442">
        <v>-7.2972409472117699</v>
      </c>
      <c r="AG6442">
        <v>-1.1106502184489999</v>
      </c>
      <c r="AH6442">
        <v>36.879957507856602</v>
      </c>
      <c r="AI6442">
        <v>91.692170105438805</v>
      </c>
      <c r="AJ6442">
        <v>101.192244993698</v>
      </c>
      <c r="AK6442">
        <v>37.611361782454999</v>
      </c>
      <c r="AL6442">
        <v>91.093055515611695</v>
      </c>
      <c r="AM6442">
        <v>88.3950970932801</v>
      </c>
      <c r="AN6442">
        <v>0.99999997494277604</v>
      </c>
    </row>
    <row r="6443" spans="1:40" x14ac:dyDescent="0.25">
      <c r="A6443" t="str">
        <f>"20190312155004239"</f>
        <v>20190312155004239</v>
      </c>
      <c r="B6443" t="str">
        <f>"1552377004231941"</f>
        <v>1552377004231941</v>
      </c>
      <c r="C6443" t="s">
        <v>40</v>
      </c>
      <c r="D6443">
        <v>4.5126520000000001</v>
      </c>
      <c r="E6443">
        <v>0.42321629999999899</v>
      </c>
      <c r="F6443" t="s">
        <v>74</v>
      </c>
      <c r="G6443">
        <v>-230.30369999999999</v>
      </c>
      <c r="H6443" s="1">
        <v>2.0388579999999999E-7</v>
      </c>
      <c r="I6443">
        <v>-62.934310000000004</v>
      </c>
      <c r="J6443">
        <v>-274.31470000000002</v>
      </c>
      <c r="K6443">
        <v>1.1106799999999999</v>
      </c>
      <c r="L6443">
        <v>-59.602870000000003</v>
      </c>
      <c r="M6443">
        <v>0.97039439999999999</v>
      </c>
      <c r="N6443">
        <v>0</v>
      </c>
      <c r="O6443">
        <v>-0.2412965</v>
      </c>
      <c r="P6443">
        <v>0.96285299999999996</v>
      </c>
      <c r="Q6443">
        <v>-3.012826E-2</v>
      </c>
      <c r="R6443">
        <v>-0.26834079999999999</v>
      </c>
      <c r="S6443">
        <v>3.0490719999999998</v>
      </c>
      <c r="T6443">
        <v>-7.6676850000000005E-2</v>
      </c>
      <c r="U6443">
        <v>-0.23257449999999999</v>
      </c>
      <c r="V6443">
        <v>2.8119410000000001E-2</v>
      </c>
      <c r="W6443">
        <v>-1.9536580000000001E-2</v>
      </c>
      <c r="X6443">
        <v>0.99941360000000001</v>
      </c>
      <c r="Y6443">
        <v>-0.16667580000000001</v>
      </c>
      <c r="Z6443">
        <v>8.0916990000000008E-3</v>
      </c>
      <c r="AA6443">
        <v>0.98597849999999998</v>
      </c>
      <c r="AB6443">
        <v>25</v>
      </c>
      <c r="AC6443">
        <v>44.011000000000003</v>
      </c>
      <c r="AD6443">
        <v>-1.1106797961142001</v>
      </c>
      <c r="AE6443">
        <v>-3.3314400000000002</v>
      </c>
      <c r="AF6443">
        <v>-7.3826234349414097</v>
      </c>
      <c r="AG6443">
        <v>-1.1106797961142001</v>
      </c>
      <c r="AH6443">
        <v>43.486763584317998</v>
      </c>
      <c r="AI6443">
        <v>91.442423431779602</v>
      </c>
      <c r="AJ6443">
        <v>99.635077612955101</v>
      </c>
      <c r="AK6443">
        <v>44.122957124721403</v>
      </c>
      <c r="AL6443">
        <v>91.119434841500393</v>
      </c>
      <c r="AM6443">
        <v>88.388356352514606</v>
      </c>
      <c r="AN6443">
        <v>0.99999996152090098</v>
      </c>
    </row>
    <row r="6444" spans="1:40" x14ac:dyDescent="0.25">
      <c r="A6444" t="str">
        <f>"20190312155004250"</f>
        <v>20190312155004250</v>
      </c>
      <c r="B6444" t="str">
        <f>"1552377004241701"</f>
        <v>1552377004241701</v>
      </c>
      <c r="C6444" t="s">
        <v>40</v>
      </c>
      <c r="D6444">
        <v>4.6359899999999996</v>
      </c>
      <c r="E6444">
        <v>0.42321629999999899</v>
      </c>
      <c r="F6444" t="s">
        <v>74</v>
      </c>
      <c r="G6444">
        <v>-236.75710000000001</v>
      </c>
      <c r="H6444" s="1">
        <v>-2.3817739999999999E-6</v>
      </c>
      <c r="I6444">
        <v>-62.247280000000003</v>
      </c>
      <c r="J6444">
        <v>-274.19310000000002</v>
      </c>
      <c r="K6444">
        <v>1.1107020000000001</v>
      </c>
      <c r="L6444">
        <v>-59.632199999999997</v>
      </c>
      <c r="M6444">
        <v>0.97059039999999996</v>
      </c>
      <c r="N6444">
        <v>0</v>
      </c>
      <c r="O6444">
        <v>-0.2404973</v>
      </c>
      <c r="P6444">
        <v>0.96303079999999996</v>
      </c>
      <c r="Q6444">
        <v>-3.045134E-2</v>
      </c>
      <c r="R6444">
        <v>-0.26766469999999998</v>
      </c>
      <c r="S6444">
        <v>3.0530089999999999</v>
      </c>
      <c r="T6444">
        <v>-9.0285900000000002E-2</v>
      </c>
      <c r="U6444">
        <v>-0.21496580000000001</v>
      </c>
      <c r="V6444">
        <v>2.8243299999999999E-2</v>
      </c>
      <c r="W6444">
        <v>-1.9634410000000001E-2</v>
      </c>
      <c r="X6444">
        <v>0.99940819999999997</v>
      </c>
      <c r="Y6444">
        <v>-0.17156469999999999</v>
      </c>
      <c r="Z6444">
        <v>9.567519E-3</v>
      </c>
      <c r="AA6444">
        <v>0.98512639999999996</v>
      </c>
      <c r="AB6444">
        <v>25</v>
      </c>
      <c r="AC6444">
        <v>37.436</v>
      </c>
      <c r="AD6444">
        <v>-1.1107043817739899</v>
      </c>
      <c r="AE6444">
        <v>-2.6150799999999998</v>
      </c>
      <c r="AF6444">
        <v>-6.4597994186578704</v>
      </c>
      <c r="AG6444">
        <v>-1.1107043817739899</v>
      </c>
      <c r="AH6444">
        <v>36.933719562428799</v>
      </c>
      <c r="AI6444">
        <v>91.696789370431802</v>
      </c>
      <c r="AJ6444">
        <v>99.920824373232804</v>
      </c>
      <c r="AK6444">
        <v>37.510829282610203</v>
      </c>
      <c r="AL6444">
        <v>91.125041151252802</v>
      </c>
      <c r="AM6444">
        <v>88.381250714640601</v>
      </c>
      <c r="AN6444">
        <v>0.99999997213908798</v>
      </c>
    </row>
    <row r="6445" spans="1:40" x14ac:dyDescent="0.25">
      <c r="A6445" t="str">
        <f>"20190312155004262"</f>
        <v>20190312155004262</v>
      </c>
      <c r="B6445" t="str">
        <f>"1552377004252436"</f>
        <v>1552377004252436</v>
      </c>
      <c r="C6445" t="s">
        <v>40</v>
      </c>
      <c r="D6445">
        <v>4.5858930000000004</v>
      </c>
      <c r="E6445">
        <v>0.4167767</v>
      </c>
      <c r="F6445" t="s">
        <v>74</v>
      </c>
      <c r="G6445">
        <v>-237.02420000000001</v>
      </c>
      <c r="H6445" s="1">
        <v>-2.489827E-6</v>
      </c>
      <c r="I6445">
        <v>-62.222769999999997</v>
      </c>
      <c r="J6445">
        <v>-274.06060000000002</v>
      </c>
      <c r="K6445">
        <v>1.110727</v>
      </c>
      <c r="L6445">
        <v>-59.664029999999997</v>
      </c>
      <c r="M6445">
        <v>0.97080549999999999</v>
      </c>
      <c r="N6445">
        <v>0</v>
      </c>
      <c r="O6445">
        <v>-0.23961669999999999</v>
      </c>
      <c r="P6445">
        <v>0.96316539999999995</v>
      </c>
      <c r="Q6445">
        <v>-3.0998680000000001E-2</v>
      </c>
      <c r="R6445">
        <v>-0.26711760000000001</v>
      </c>
      <c r="S6445">
        <v>3.053131</v>
      </c>
      <c r="T6445">
        <v>-9.1235399999999994E-2</v>
      </c>
      <c r="U6445">
        <v>-0.21279909999999999</v>
      </c>
      <c r="V6445">
        <v>2.8587029999999999E-2</v>
      </c>
      <c r="W6445">
        <v>-1.994866E-2</v>
      </c>
      <c r="X6445">
        <v>0.99939219999999895</v>
      </c>
      <c r="Y6445">
        <v>-0.17136680000000001</v>
      </c>
      <c r="Z6445">
        <v>9.6395909999999994E-3</v>
      </c>
      <c r="AA6445">
        <v>0.98516009999999998</v>
      </c>
      <c r="AB6445">
        <v>25</v>
      </c>
      <c r="AC6445">
        <v>37.0364</v>
      </c>
      <c r="AD6445">
        <v>-1.1107294898269999</v>
      </c>
      <c r="AE6445">
        <v>-2.55873999999999</v>
      </c>
      <c r="AF6445">
        <v>-6.3851705802353598</v>
      </c>
      <c r="AG6445">
        <v>-1.1107294898269999</v>
      </c>
      <c r="AH6445">
        <v>36.537755009269198</v>
      </c>
      <c r="AI6445">
        <v>91.715248297760894</v>
      </c>
      <c r="AJ6445">
        <v>99.912647731906802</v>
      </c>
      <c r="AK6445">
        <v>37.1081077994506</v>
      </c>
      <c r="AL6445">
        <v>91.143049882247496</v>
      </c>
      <c r="AM6445">
        <v>88.361534474876294</v>
      </c>
      <c r="AN6445">
        <v>0.99999996837042704</v>
      </c>
    </row>
    <row r="6446" spans="1:40" x14ac:dyDescent="0.25">
      <c r="A6446" t="str">
        <f>"20190312155004273"</f>
        <v>20190312155004273</v>
      </c>
      <c r="B6446" t="str">
        <f>"1552377004262196"</f>
        <v>1552377004262196</v>
      </c>
      <c r="C6446" t="s">
        <v>40</v>
      </c>
      <c r="D6446">
        <v>4.6009460000000004</v>
      </c>
      <c r="E6446">
        <v>0.41593170000000002</v>
      </c>
      <c r="F6446" t="s">
        <v>72</v>
      </c>
      <c r="G6446">
        <v>-257.65010000000001</v>
      </c>
      <c r="H6446" s="1">
        <v>-2.4457710000000002E-6</v>
      </c>
      <c r="I6446">
        <v>-60.508490000000002</v>
      </c>
      <c r="J6446">
        <v>-273.93939999999998</v>
      </c>
      <c r="K6446">
        <v>1.110754</v>
      </c>
      <c r="L6446">
        <v>-59.692959999999999</v>
      </c>
      <c r="M6446">
        <v>0.97100719999999996</v>
      </c>
      <c r="N6446">
        <v>0</v>
      </c>
      <c r="O6446">
        <v>-0.23879010000000001</v>
      </c>
      <c r="P6446">
        <v>0.96332989999999996</v>
      </c>
      <c r="Q6446">
        <v>-3.169433E-2</v>
      </c>
      <c r="R6446">
        <v>-0.26644179999999901</v>
      </c>
      <c r="S6446">
        <v>3.0643310000000001</v>
      </c>
      <c r="T6446">
        <v>-0.2074058</v>
      </c>
      <c r="U6446">
        <v>-0.157684299999999</v>
      </c>
      <c r="V6446">
        <v>2.8743689999999999E-2</v>
      </c>
      <c r="W6446">
        <v>-2.0449539999999999E-2</v>
      </c>
      <c r="X6446">
        <v>0.99937759999999998</v>
      </c>
      <c r="Y6446">
        <v>-0.18762409999999999</v>
      </c>
      <c r="Z6446">
        <v>2.2329069999999999E-2</v>
      </c>
      <c r="AA6446">
        <v>0.9819871</v>
      </c>
      <c r="AB6446">
        <v>25</v>
      </c>
      <c r="AC6446">
        <v>16.289299999999901</v>
      </c>
      <c r="AD6446">
        <v>-1.110756445771</v>
      </c>
      <c r="AE6446">
        <v>-0.81553000000000198</v>
      </c>
      <c r="AF6446">
        <v>-3.0837278118514502</v>
      </c>
      <c r="AG6446">
        <v>-1.110756445771</v>
      </c>
      <c r="AH6446">
        <v>15.938836486282099</v>
      </c>
      <c r="AI6446">
        <v>93.914071910992604</v>
      </c>
      <c r="AJ6446">
        <v>100.94987597282601</v>
      </c>
      <c r="AK6446">
        <v>16.272358945028401</v>
      </c>
      <c r="AL6446">
        <v>91.1717540298513</v>
      </c>
      <c r="AM6446">
        <v>88.352536387798196</v>
      </c>
      <c r="AN6446">
        <v>0.99999998539139301</v>
      </c>
    </row>
    <row r="6447" spans="1:40" x14ac:dyDescent="0.25">
      <c r="A6447" t="str">
        <f>"20190312155004285"</f>
        <v>20190312155004285</v>
      </c>
      <c r="B6447" t="str">
        <f>"1552377004281717"</f>
        <v>1552377004281717</v>
      </c>
      <c r="C6447" t="s">
        <v>40</v>
      </c>
      <c r="D6447">
        <v>4.5030650000000003</v>
      </c>
      <c r="E6447">
        <v>0.4150431</v>
      </c>
      <c r="F6447" t="s">
        <v>72</v>
      </c>
      <c r="G6447">
        <v>-255.84690000000001</v>
      </c>
      <c r="H6447" s="1">
        <v>-1.68724E-6</v>
      </c>
      <c r="I6447">
        <v>-60.57611</v>
      </c>
      <c r="J6447">
        <v>-273.81470000000002</v>
      </c>
      <c r="K6447">
        <v>1.110781</v>
      </c>
      <c r="L6447">
        <v>-59.722720000000002</v>
      </c>
      <c r="M6447">
        <v>0.97121500000000005</v>
      </c>
      <c r="N6447">
        <v>0</v>
      </c>
      <c r="O6447">
        <v>-0.23793349999999999</v>
      </c>
      <c r="P6447">
        <v>0.96348549999999999</v>
      </c>
      <c r="Q6447">
        <v>-3.216368E-2</v>
      </c>
      <c r="R6447">
        <v>-0.265822</v>
      </c>
      <c r="S6447">
        <v>3.066589</v>
      </c>
      <c r="T6447">
        <v>-0.18826760000000001</v>
      </c>
      <c r="U6447">
        <v>-0.14968870000000001</v>
      </c>
      <c r="V6447">
        <v>2.8986720000000001E-2</v>
      </c>
      <c r="W6447">
        <v>-2.0723209999999999E-2</v>
      </c>
      <c r="X6447">
        <v>0.99936499999999995</v>
      </c>
      <c r="Y6447">
        <v>-0.18951750000000001</v>
      </c>
      <c r="Z6447">
        <v>2.0267219999999999E-2</v>
      </c>
      <c r="AA6447">
        <v>0.98166819999999999</v>
      </c>
      <c r="AB6447">
        <v>25</v>
      </c>
      <c r="AC6447">
        <v>17.9678</v>
      </c>
      <c r="AD6447">
        <v>-1.11078268724</v>
      </c>
      <c r="AE6447">
        <v>-0.85339000000000398</v>
      </c>
      <c r="AF6447">
        <v>-3.4334463833562201</v>
      </c>
      <c r="AG6447">
        <v>-1.11078268724</v>
      </c>
      <c r="AH6447">
        <v>17.587720833256299</v>
      </c>
      <c r="AI6447">
        <v>93.5470321676395</v>
      </c>
      <c r="AJ6447">
        <v>101.046262456447</v>
      </c>
      <c r="AK6447">
        <v>17.954116975062099</v>
      </c>
      <c r="AL6447">
        <v>91.187437422195401</v>
      </c>
      <c r="AM6447">
        <v>88.338593801464597</v>
      </c>
      <c r="AN6447">
        <v>1.0000000422970301</v>
      </c>
    </row>
    <row r="6448" spans="1:40" x14ac:dyDescent="0.25">
      <c r="A6448" t="str">
        <f>"20190312155004301"</f>
        <v>20190312155004301</v>
      </c>
      <c r="B6448" t="str">
        <f>"1552377004292453"</f>
        <v>1552377004292453</v>
      </c>
      <c r="C6448" t="s">
        <v>40</v>
      </c>
      <c r="D6448">
        <v>4.5147120000000003</v>
      </c>
      <c r="E6448">
        <v>0.41474119999999998</v>
      </c>
      <c r="F6448" t="s">
        <v>72</v>
      </c>
      <c r="G6448">
        <v>-251.4298</v>
      </c>
      <c r="H6448" s="1">
        <v>1.6695279999999999E-7</v>
      </c>
      <c r="I6448">
        <v>-60.759189999999997</v>
      </c>
      <c r="J6448">
        <v>-273.63549999999998</v>
      </c>
      <c r="K6448">
        <v>1.110824</v>
      </c>
      <c r="L6448">
        <v>-59.76511</v>
      </c>
      <c r="M6448">
        <v>0.97152669999999997</v>
      </c>
      <c r="N6448">
        <v>0</v>
      </c>
      <c r="O6448">
        <v>-0.23664569999999999</v>
      </c>
      <c r="P6448">
        <v>0.96359689999999998</v>
      </c>
      <c r="Q6448">
        <v>-3.239848E-2</v>
      </c>
      <c r="R6448">
        <v>-0.26538979999999901</v>
      </c>
      <c r="S6448">
        <v>3.0693969999999999</v>
      </c>
      <c r="T6448">
        <v>-0.15230940000000001</v>
      </c>
      <c r="U6448">
        <v>-0.14212040000000001</v>
      </c>
      <c r="V6448">
        <v>2.986602E-2</v>
      </c>
      <c r="W6448">
        <v>-2.0704630000000002E-2</v>
      </c>
      <c r="X6448">
        <v>0.99933950000000005</v>
      </c>
      <c r="Y6448">
        <v>-0.19095010000000001</v>
      </c>
      <c r="Z6448">
        <v>1.6361770000000001E-2</v>
      </c>
      <c r="AA6448">
        <v>0.98146339999999999</v>
      </c>
      <c r="AB6448">
        <v>25</v>
      </c>
      <c r="AC6448">
        <v>22.205699999999901</v>
      </c>
      <c r="AD6448">
        <v>-1.1108238330472</v>
      </c>
      <c r="AE6448">
        <v>-0.99408000000000296</v>
      </c>
      <c r="AF6448">
        <v>-4.2787112763518804</v>
      </c>
      <c r="AG6448">
        <v>-1.1108238330472</v>
      </c>
      <c r="AH6448">
        <v>21.7558105437192</v>
      </c>
      <c r="AI6448">
        <v>92.868064551843702</v>
      </c>
      <c r="AJ6448">
        <v>101.126348765758</v>
      </c>
      <c r="AK6448">
        <v>22.2003736947973</v>
      </c>
      <c r="AL6448">
        <v>91.186372630773107</v>
      </c>
      <c r="AM6448">
        <v>88.288181631027598</v>
      </c>
      <c r="AN6448">
        <v>1.0000000485571601</v>
      </c>
    </row>
    <row r="6449" spans="1:40" x14ac:dyDescent="0.25">
      <c r="A6449" t="str">
        <f>"20190312155004316"</f>
        <v>20190312155004316</v>
      </c>
      <c r="B6449" t="str">
        <f>"1552377004311972"</f>
        <v>1552377004311972</v>
      </c>
      <c r="C6449" t="s">
        <v>40</v>
      </c>
      <c r="D6449">
        <v>4.5590099999999998</v>
      </c>
      <c r="E6449">
        <v>0.41450540000000002</v>
      </c>
      <c r="F6449" t="s">
        <v>72</v>
      </c>
      <c r="G6449">
        <v>-250.38919999999999</v>
      </c>
      <c r="H6449" s="1">
        <v>6.0131099999999995E-7</v>
      </c>
      <c r="I6449">
        <v>-60.813429999999997</v>
      </c>
      <c r="J6449">
        <v>-273.47859999999997</v>
      </c>
      <c r="K6449">
        <v>1.110873</v>
      </c>
      <c r="L6449">
        <v>-59.801969999999997</v>
      </c>
      <c r="M6449">
        <v>0.97180800000000001</v>
      </c>
      <c r="N6449">
        <v>0</v>
      </c>
      <c r="O6449">
        <v>-0.23547689999999999</v>
      </c>
      <c r="P6449">
        <v>0.96369990000000005</v>
      </c>
      <c r="Q6449">
        <v>-3.2102180000000001E-2</v>
      </c>
      <c r="R6449">
        <v>-0.26505079999999998</v>
      </c>
      <c r="S6449">
        <v>3.0702820000000002</v>
      </c>
      <c r="T6449">
        <v>-0.14671300000000001</v>
      </c>
      <c r="U6449">
        <v>-0.13845829999999901</v>
      </c>
      <c r="V6449">
        <v>3.0713540000000001E-2</v>
      </c>
      <c r="W6449">
        <v>-2.02033E-2</v>
      </c>
      <c r="X6449">
        <v>0.99932399999999999</v>
      </c>
      <c r="Y6449">
        <v>-0.1909903</v>
      </c>
      <c r="Z6449">
        <v>1.5704139999999998E-2</v>
      </c>
      <c r="AA6449">
        <v>0.98146630000000001</v>
      </c>
      <c r="AB6449">
        <v>25</v>
      </c>
      <c r="AC6449">
        <v>23.089399999999898</v>
      </c>
      <c r="AD6449">
        <v>-1.1108723986889999</v>
      </c>
      <c r="AE6449">
        <v>-1.01146</v>
      </c>
      <c r="AF6449">
        <v>-4.4441195799082003</v>
      </c>
      <c r="AG6449">
        <v>-1.1108723986889999</v>
      </c>
      <c r="AH6449">
        <v>22.625951839402301</v>
      </c>
      <c r="AI6449">
        <v>92.758191362985102</v>
      </c>
      <c r="AJ6449">
        <v>101.11239728861</v>
      </c>
      <c r="AK6449">
        <v>23.0850153338837</v>
      </c>
      <c r="AL6449">
        <v>91.157642612360803</v>
      </c>
      <c r="AM6449">
        <v>88.239607532484001</v>
      </c>
      <c r="AN6449">
        <v>0.99999997592310996</v>
      </c>
    </row>
    <row r="6450" spans="1:40" x14ac:dyDescent="0.25">
      <c r="A6450" t="str">
        <f>"20190312155004328"</f>
        <v>20190312155004328</v>
      </c>
      <c r="B6450" t="str">
        <f>"1552377004321733"</f>
        <v>1552377004321733</v>
      </c>
      <c r="C6450" t="s">
        <v>40</v>
      </c>
      <c r="D6450">
        <v>4.5520250000000004</v>
      </c>
      <c r="E6450">
        <v>0.41463850000000002</v>
      </c>
      <c r="F6450" t="s">
        <v>73</v>
      </c>
      <c r="G6450">
        <v>-249.2124</v>
      </c>
      <c r="H6450" s="1">
        <v>-3.0697290000000002E-6</v>
      </c>
      <c r="I6450">
        <v>-60.874029999999998</v>
      </c>
      <c r="J6450">
        <v>-273.33940000000001</v>
      </c>
      <c r="K6450">
        <v>1.1109230000000001</v>
      </c>
      <c r="L6450">
        <v>-59.834499999999998</v>
      </c>
      <c r="M6450">
        <v>0.97206369999999997</v>
      </c>
      <c r="N6450">
        <v>0</v>
      </c>
      <c r="O6450">
        <v>-0.23441200000000001</v>
      </c>
      <c r="P6450">
        <v>0.96377650000000004</v>
      </c>
      <c r="Q6450">
        <v>-3.2179140000000002E-2</v>
      </c>
      <c r="R6450">
        <v>-0.26476300000000003</v>
      </c>
      <c r="S6450">
        <v>3.0709840000000002</v>
      </c>
      <c r="T6450">
        <v>-0.14058579999999901</v>
      </c>
      <c r="U6450">
        <v>-0.1356812</v>
      </c>
      <c r="V6450">
        <v>3.1511890000000001E-2</v>
      </c>
      <c r="W6450">
        <v>-2.010839E-2</v>
      </c>
      <c r="X6450">
        <v>0.99930110000000005</v>
      </c>
      <c r="Y6450">
        <v>-0.19085179999999999</v>
      </c>
      <c r="Z6450">
        <v>1.499548E-2</v>
      </c>
      <c r="AA6450">
        <v>0.9815043</v>
      </c>
      <c r="AB6450">
        <v>25</v>
      </c>
      <c r="AC6450">
        <v>24.126999999999999</v>
      </c>
      <c r="AD6450">
        <v>-1.110926069729</v>
      </c>
      <c r="AE6450">
        <v>-1.0395300000000001</v>
      </c>
      <c r="AF6450">
        <v>-4.6356914393959299</v>
      </c>
      <c r="AG6450">
        <v>-1.110926069729</v>
      </c>
      <c r="AH6450">
        <v>23.648311063997198</v>
      </c>
      <c r="AI6450">
        <v>92.639443990239201</v>
      </c>
      <c r="AJ6450">
        <v>101.090847874753</v>
      </c>
      <c r="AK6450">
        <v>24.123979937673301</v>
      </c>
      <c r="AL6450">
        <v>91.152203516929802</v>
      </c>
      <c r="AM6450">
        <v>88.193837470414607</v>
      </c>
      <c r="AN6450">
        <v>1.00000001751048</v>
      </c>
    </row>
    <row r="6451" spans="1:40" x14ac:dyDescent="0.25">
      <c r="A6451" t="str">
        <f>"20190312155004340"</f>
        <v>20190312155004340</v>
      </c>
      <c r="B6451" t="str">
        <f>"1552377004332469"</f>
        <v>1552377004332469</v>
      </c>
      <c r="C6451" t="s">
        <v>40</v>
      </c>
      <c r="D6451">
        <v>4.5393499999999998</v>
      </c>
      <c r="E6451">
        <v>0.41458529999999999</v>
      </c>
      <c r="F6451" t="s">
        <v>73</v>
      </c>
      <c r="G6451">
        <v>-248.73849999999999</v>
      </c>
      <c r="H6451" s="1">
        <v>-2.8792669999999998E-6</v>
      </c>
      <c r="I6451">
        <v>-60.92239</v>
      </c>
      <c r="J6451">
        <v>-273.20839999999998</v>
      </c>
      <c r="K6451">
        <v>1.110976</v>
      </c>
      <c r="L6451">
        <v>-59.864960000000004</v>
      </c>
      <c r="M6451">
        <v>0.97231409999999996</v>
      </c>
      <c r="N6451">
        <v>0</v>
      </c>
      <c r="O6451">
        <v>-0.2333636</v>
      </c>
      <c r="P6451">
        <v>0.9639025</v>
      </c>
      <c r="Q6451">
        <v>-3.2302959999999999E-2</v>
      </c>
      <c r="R6451">
        <v>-0.2642893</v>
      </c>
      <c r="S6451">
        <v>3.0708009999999999</v>
      </c>
      <c r="T6451">
        <v>-0.1386706</v>
      </c>
      <c r="U6451">
        <v>-0.13580320000000001</v>
      </c>
      <c r="V6451">
        <v>3.2100730000000001E-2</v>
      </c>
      <c r="W6451">
        <v>-2.0083699999999999E-2</v>
      </c>
      <c r="X6451">
        <v>0.99928280000000003</v>
      </c>
      <c r="Y6451">
        <v>-0.18976599999999999</v>
      </c>
      <c r="Z6451">
        <v>1.4721619999999999E-2</v>
      </c>
      <c r="AA6451">
        <v>0.98171900000000001</v>
      </c>
      <c r="AB6451">
        <v>25</v>
      </c>
      <c r="AC6451">
        <v>24.469899999999999</v>
      </c>
      <c r="AD6451">
        <v>-1.1109788792669999</v>
      </c>
      <c r="AE6451">
        <v>-1.0574300000000001</v>
      </c>
      <c r="AF6451">
        <v>-4.6729588365780899</v>
      </c>
      <c r="AG6451">
        <v>-1.1109788792669999</v>
      </c>
      <c r="AH6451">
        <v>23.991595808659699</v>
      </c>
      <c r="AI6451">
        <v>92.602465268918394</v>
      </c>
      <c r="AJ6451">
        <v>101.0217794233</v>
      </c>
      <c r="AK6451">
        <v>24.467682518061</v>
      </c>
      <c r="AL6451">
        <v>91.150788661017103</v>
      </c>
      <c r="AM6451">
        <v>88.160076325423304</v>
      </c>
      <c r="AN6451">
        <v>0.99999996312402994</v>
      </c>
    </row>
    <row r="6452" spans="1:40" x14ac:dyDescent="0.25">
      <c r="A6452" t="str">
        <f>"20190312155004357"</f>
        <v>20190312155004357</v>
      </c>
      <c r="B6452" t="str">
        <f>"1552377004351989"</f>
        <v>1552377004351989</v>
      </c>
      <c r="C6452" t="s">
        <v>40</v>
      </c>
      <c r="D6452">
        <v>4.537115</v>
      </c>
      <c r="E6452">
        <v>0.41463519999999998</v>
      </c>
      <c r="F6452" t="s">
        <v>73</v>
      </c>
      <c r="G6452">
        <v>-248.1951</v>
      </c>
      <c r="H6452" s="1">
        <v>-2.6549389999999998E-6</v>
      </c>
      <c r="I6452">
        <v>-60.955329999999996</v>
      </c>
      <c r="J6452">
        <v>-273.01650000000001</v>
      </c>
      <c r="K6452">
        <v>1.1110629999999999</v>
      </c>
      <c r="L6452">
        <v>-59.909179999999999</v>
      </c>
      <c r="M6452">
        <v>0.97269600000000001</v>
      </c>
      <c r="N6452">
        <v>0</v>
      </c>
      <c r="O6452">
        <v>-0.23175589999999999</v>
      </c>
      <c r="P6452">
        <v>0.96383370000000002</v>
      </c>
      <c r="Q6452">
        <v>-3.2468520000000001E-2</v>
      </c>
      <c r="R6452">
        <v>-0.26451940000000002</v>
      </c>
      <c r="S6452">
        <v>3.071075</v>
      </c>
      <c r="T6452">
        <v>-0.13640369999999999</v>
      </c>
      <c r="U6452">
        <v>-0.13388059999999999</v>
      </c>
      <c r="V6452">
        <v>3.3994580000000003E-2</v>
      </c>
      <c r="W6452">
        <v>-2.0044900000000001E-2</v>
      </c>
      <c r="X6452">
        <v>0.99922100000000003</v>
      </c>
      <c r="Y6452">
        <v>-0.18877720000000001</v>
      </c>
      <c r="Z6452">
        <v>1.4388740000000001E-2</v>
      </c>
      <c r="AA6452">
        <v>0.98191450000000002</v>
      </c>
      <c r="AB6452">
        <v>25</v>
      </c>
      <c r="AC6452">
        <v>24.821400000000001</v>
      </c>
      <c r="AD6452">
        <v>-1.1110656549389999</v>
      </c>
      <c r="AE6452">
        <v>-1.0461499999999899</v>
      </c>
      <c r="AF6452">
        <v>-4.7258269248899802</v>
      </c>
      <c r="AG6452">
        <v>-1.1110656549389999</v>
      </c>
      <c r="AH6452">
        <v>24.3392962392405</v>
      </c>
      <c r="AI6452">
        <v>92.565830767186497</v>
      </c>
      <c r="AJ6452">
        <v>100.988083933754</v>
      </c>
      <c r="AK6452">
        <v>24.8187277763205</v>
      </c>
      <c r="AL6452">
        <v>91.148565073851401</v>
      </c>
      <c r="AM6452">
        <v>88.051487089190601</v>
      </c>
      <c r="AN6452">
        <v>1.0000000181631901</v>
      </c>
    </row>
    <row r="6453" spans="1:40" x14ac:dyDescent="0.25">
      <c r="A6453" t="str">
        <f>"20190312155004369"</f>
        <v>20190312155004369</v>
      </c>
      <c r="B6453" t="str">
        <f>"1552377004361749"</f>
        <v>1552377004361749</v>
      </c>
      <c r="C6453" t="s">
        <v>40</v>
      </c>
      <c r="D6453">
        <v>4.5548789999999997</v>
      </c>
      <c r="E6453">
        <v>0.41460200000000003</v>
      </c>
      <c r="F6453" t="s">
        <v>73</v>
      </c>
      <c r="G6453">
        <v>-247.25649999999999</v>
      </c>
      <c r="H6453" s="1">
        <v>-2.2754869999999999E-6</v>
      </c>
      <c r="I6453">
        <v>-61.042610000000003</v>
      </c>
      <c r="J6453">
        <v>-272.89359999999999</v>
      </c>
      <c r="K6453">
        <v>1.1111219999999999</v>
      </c>
      <c r="L6453">
        <v>-59.937289999999997</v>
      </c>
      <c r="M6453">
        <v>0.97294979999999998</v>
      </c>
      <c r="N6453">
        <v>0</v>
      </c>
      <c r="O6453">
        <v>-0.23068269999999999</v>
      </c>
      <c r="P6453">
        <v>0.96389820000000004</v>
      </c>
      <c r="Q6453">
        <v>-3.2801329999999997E-2</v>
      </c>
      <c r="R6453">
        <v>-0.26424340000000002</v>
      </c>
      <c r="S6453">
        <v>3.0710449999999998</v>
      </c>
      <c r="T6453">
        <v>-0.13245860000000001</v>
      </c>
      <c r="U6453">
        <v>-0.1351318</v>
      </c>
      <c r="V6453">
        <v>3.4816420000000001E-2</v>
      </c>
      <c r="W6453">
        <v>-2.0256369999999999E-2</v>
      </c>
      <c r="X6453">
        <v>0.99918839999999998</v>
      </c>
      <c r="Y6453">
        <v>-0.18731990000000001</v>
      </c>
      <c r="Z6453">
        <v>1.389632E-2</v>
      </c>
      <c r="AA6453">
        <v>0.98220070000000004</v>
      </c>
      <c r="AB6453">
        <v>25</v>
      </c>
      <c r="AC6453">
        <v>25.6371</v>
      </c>
      <c r="AD6453">
        <v>-1.1111242754870001</v>
      </c>
      <c r="AE6453">
        <v>-1.1053199999999901</v>
      </c>
      <c r="AF6453">
        <v>-4.8299319251876103</v>
      </c>
      <c r="AG6453">
        <v>-1.1111242754870001</v>
      </c>
      <c r="AH6453">
        <v>25.1533719203616</v>
      </c>
      <c r="AI6453">
        <v>92.484016010531803</v>
      </c>
      <c r="AJ6453">
        <v>100.86958975673799</v>
      </c>
      <c r="AK6453">
        <v>25.6369841931838</v>
      </c>
      <c r="AL6453">
        <v>91.160683915758796</v>
      </c>
      <c r="AM6453">
        <v>88.004353166247995</v>
      </c>
      <c r="AN6453">
        <v>0.99999998116087596</v>
      </c>
    </row>
    <row r="6454" spans="1:40" x14ac:dyDescent="0.25">
      <c r="A6454" t="str">
        <f>"20190312155004379"</f>
        <v>20190312155004379</v>
      </c>
      <c r="B6454" t="str">
        <f>"1552377004372484"</f>
        <v>1552377004372484</v>
      </c>
      <c r="C6454" t="s">
        <v>40</v>
      </c>
      <c r="D6454">
        <v>4.5361659999999997</v>
      </c>
      <c r="E6454">
        <v>0.41451680000000002</v>
      </c>
      <c r="F6454" t="s">
        <v>73</v>
      </c>
      <c r="G6454">
        <v>-246.97479999999999</v>
      </c>
      <c r="H6454" s="1">
        <v>-2.1613579999999999E-6</v>
      </c>
      <c r="I6454">
        <v>-61.0678699999999</v>
      </c>
      <c r="J6454">
        <v>-272.78039999999999</v>
      </c>
      <c r="K6454">
        <v>1.1111789999999999</v>
      </c>
      <c r="L6454">
        <v>-59.962980000000002</v>
      </c>
      <c r="M6454">
        <v>0.97319299999999997</v>
      </c>
      <c r="N6454">
        <v>0</v>
      </c>
      <c r="O6454">
        <v>-0.2296483</v>
      </c>
      <c r="P6454">
        <v>0.96388750000000001</v>
      </c>
      <c r="Q6454">
        <v>-3.2816749999999999E-2</v>
      </c>
      <c r="R6454">
        <v>-0.26428000000000001</v>
      </c>
      <c r="S6454">
        <v>3.071167</v>
      </c>
      <c r="T6454">
        <v>-0.13165929999999901</v>
      </c>
      <c r="U6454">
        <v>-0.13397220000000001</v>
      </c>
      <c r="V6454">
        <v>3.5918110000000003E-2</v>
      </c>
      <c r="W6454">
        <v>-2.0166610000000001E-2</v>
      </c>
      <c r="X6454">
        <v>0.99915120000000002</v>
      </c>
      <c r="Y6454">
        <v>-0.18665409999999999</v>
      </c>
      <c r="Z6454">
        <v>1.37547E-2</v>
      </c>
      <c r="AA6454">
        <v>0.98232940000000002</v>
      </c>
      <c r="AB6454">
        <v>25</v>
      </c>
      <c r="AC6454">
        <v>25.805599999999998</v>
      </c>
      <c r="AD6454">
        <v>-1.111181161358</v>
      </c>
      <c r="AE6454">
        <v>-1.1048899999999899</v>
      </c>
      <c r="AF6454">
        <v>-4.8423599353166402</v>
      </c>
      <c r="AG6454">
        <v>-1.111181161358</v>
      </c>
      <c r="AH6454">
        <v>25.3226917008596</v>
      </c>
      <c r="AI6454">
        <v>92.467914768889102</v>
      </c>
      <c r="AJ6454">
        <v>100.82575527935199</v>
      </c>
      <c r="AK6454">
        <v>25.805462373173999</v>
      </c>
      <c r="AL6454">
        <v>91.155540018306596</v>
      </c>
      <c r="AM6454">
        <v>87.941182178904896</v>
      </c>
      <c r="AN6454">
        <v>0.99999996162315097</v>
      </c>
    </row>
    <row r="6455" spans="1:40" x14ac:dyDescent="0.25">
      <c r="A6455" t="str">
        <f>"20190312155004391"</f>
        <v>20190312155004391</v>
      </c>
      <c r="B6455" t="str">
        <f>"1552377004382245"</f>
        <v>1552377004382245</v>
      </c>
      <c r="C6455" t="s">
        <v>40</v>
      </c>
      <c r="D6455">
        <v>4.522443</v>
      </c>
      <c r="E6455">
        <v>0.41441800000000001</v>
      </c>
      <c r="F6455" t="s">
        <v>73</v>
      </c>
      <c r="G6455">
        <v>-246.625</v>
      </c>
      <c r="H6455" s="1">
        <v>-2.0195349999999998E-6</v>
      </c>
      <c r="I6455">
        <v>-61.098869999999998</v>
      </c>
      <c r="J6455">
        <v>-272.65839999999997</v>
      </c>
      <c r="K6455">
        <v>1.11124</v>
      </c>
      <c r="L6455">
        <v>-59.99051</v>
      </c>
      <c r="M6455">
        <v>0.97346279999999996</v>
      </c>
      <c r="N6455">
        <v>0</v>
      </c>
      <c r="O6455">
        <v>-0.22849710000000001</v>
      </c>
      <c r="P6455">
        <v>0.96391680000000002</v>
      </c>
      <c r="Q6455">
        <v>-3.3232249999999998E-2</v>
      </c>
      <c r="R6455">
        <v>-0.26412200000000002</v>
      </c>
      <c r="S6455">
        <v>3.0713810000000001</v>
      </c>
      <c r="T6455">
        <v>-0.13048390000000001</v>
      </c>
      <c r="U6455">
        <v>-0.13339229999999899</v>
      </c>
      <c r="V6455">
        <v>3.6942559999999999E-2</v>
      </c>
      <c r="W6455">
        <v>-2.047469E-2</v>
      </c>
      <c r="X6455">
        <v>0.99910759999999998</v>
      </c>
      <c r="Y6455">
        <v>-0.1856891</v>
      </c>
      <c r="Z6455">
        <v>1.3562970000000001E-2</v>
      </c>
      <c r="AA6455">
        <v>0.98251489999999997</v>
      </c>
      <c r="AB6455">
        <v>25</v>
      </c>
      <c r="AC6455">
        <v>26.033399999999901</v>
      </c>
      <c r="AD6455">
        <v>-1.1112420195349999</v>
      </c>
      <c r="AE6455">
        <v>-1.10835999999999</v>
      </c>
      <c r="AF6455">
        <v>-4.8611558222588496</v>
      </c>
      <c r="AG6455">
        <v>-1.1112420195349999</v>
      </c>
      <c r="AH6455">
        <v>25.551370710878899</v>
      </c>
      <c r="AI6455">
        <v>92.446427011911496</v>
      </c>
      <c r="AJ6455">
        <v>100.771807648213</v>
      </c>
      <c r="AK6455">
        <v>26.033406230438199</v>
      </c>
      <c r="AL6455">
        <v>91.173195325616305</v>
      </c>
      <c r="AM6455">
        <v>87.882421333313999</v>
      </c>
      <c r="AN6455">
        <v>0.99999998102385401</v>
      </c>
    </row>
    <row r="6456" spans="1:40" x14ac:dyDescent="0.25">
      <c r="A6456" t="str">
        <f>"20190312155004401"</f>
        <v>20190312155004401</v>
      </c>
      <c r="B6456" t="str">
        <f>"1552377004392006"</f>
        <v>1552377004392006</v>
      </c>
      <c r="C6456" t="s">
        <v>40</v>
      </c>
      <c r="D6456">
        <v>4.5152999999999999</v>
      </c>
      <c r="E6456">
        <v>0.41425840000000003</v>
      </c>
      <c r="F6456" t="s">
        <v>73</v>
      </c>
      <c r="G6456">
        <v>-246.55369999999999</v>
      </c>
      <c r="H6456" s="1">
        <v>-1.9928689999999998E-6</v>
      </c>
      <c r="I6456">
        <v>-61.113480000000003</v>
      </c>
      <c r="J6456">
        <v>-272.53559999999999</v>
      </c>
      <c r="K6456">
        <v>1.111305</v>
      </c>
      <c r="L6456">
        <v>-60.018009999999997</v>
      </c>
      <c r="M6456">
        <v>0.97374240000000001</v>
      </c>
      <c r="N6456">
        <v>0</v>
      </c>
      <c r="O6456">
        <v>-0.22729679999999999</v>
      </c>
      <c r="P6456">
        <v>0.96401369999999997</v>
      </c>
      <c r="Q6456">
        <v>-3.3166429999999997E-2</v>
      </c>
      <c r="R6456">
        <v>-0.26377509999999998</v>
      </c>
      <c r="S6456">
        <v>3.0715940000000002</v>
      </c>
      <c r="T6456">
        <v>-0.13075390000000001</v>
      </c>
      <c r="U6456">
        <v>-0.13214110000000001</v>
      </c>
      <c r="V6456">
        <v>3.7816080000000002E-2</v>
      </c>
      <c r="W6456">
        <v>-2.0306899999999999E-2</v>
      </c>
      <c r="X6456">
        <v>0.99907829999999997</v>
      </c>
      <c r="Y6456">
        <v>-0.18488070000000001</v>
      </c>
      <c r="Z6456">
        <v>1.3523230000000001E-2</v>
      </c>
      <c r="AA6456">
        <v>0.98266790000000004</v>
      </c>
      <c r="AB6456">
        <v>25</v>
      </c>
      <c r="AC6456">
        <v>25.9819</v>
      </c>
      <c r="AD6456">
        <v>-1.111306992869</v>
      </c>
      <c r="AE6456">
        <v>-1.0954699999999999</v>
      </c>
      <c r="AF6456">
        <v>-4.8304673717263</v>
      </c>
      <c r="AG6456">
        <v>-1.111306992869</v>
      </c>
      <c r="AH6456">
        <v>25.504166530001999</v>
      </c>
      <c r="AI6456">
        <v>92.451474385559706</v>
      </c>
      <c r="AJ6456">
        <v>100.724736548602</v>
      </c>
      <c r="AK6456">
        <v>25.981357328896198</v>
      </c>
      <c r="AL6456">
        <v>91.163579717635997</v>
      </c>
      <c r="AM6456">
        <v>87.832334133526103</v>
      </c>
      <c r="AN6456">
        <v>0.99999993781253105</v>
      </c>
    </row>
    <row r="6457" spans="1:40" x14ac:dyDescent="0.25">
      <c r="A6457" t="str">
        <f>"20190312155004413"</f>
        <v>20190312155004413</v>
      </c>
      <c r="B6457" t="str">
        <f>"1552377004402741"</f>
        <v>1552377004402741</v>
      </c>
      <c r="C6457" t="s">
        <v>40</v>
      </c>
      <c r="D6457">
        <v>4.5129330000000003</v>
      </c>
      <c r="E6457">
        <v>0.41404259999999898</v>
      </c>
      <c r="F6457" t="s">
        <v>73</v>
      </c>
      <c r="G6457">
        <v>-246.29910000000001</v>
      </c>
      <c r="H6457" s="1">
        <v>-1.887149E-6</v>
      </c>
      <c r="I6457">
        <v>-61.126690000000004</v>
      </c>
      <c r="J6457">
        <v>-272.41000000000003</v>
      </c>
      <c r="K6457">
        <v>1.1113729999999999</v>
      </c>
      <c r="L6457">
        <v>-60.045870000000001</v>
      </c>
      <c r="M6457">
        <v>0.97404029999999997</v>
      </c>
      <c r="N6457">
        <v>0</v>
      </c>
      <c r="O6457">
        <v>-0.22601160000000001</v>
      </c>
      <c r="P6457">
        <v>0.96416959999999996</v>
      </c>
      <c r="Q6457">
        <v>-3.3206090000000001E-2</v>
      </c>
      <c r="R6457">
        <v>-0.2632002</v>
      </c>
      <c r="S6457">
        <v>3.0719910000000001</v>
      </c>
      <c r="T6457">
        <v>-0.13012119999999999</v>
      </c>
      <c r="U6457">
        <v>-0.12982179999999999</v>
      </c>
      <c r="V6457">
        <v>3.854142E-2</v>
      </c>
      <c r="W6457">
        <v>-2.0250290000000001E-2</v>
      </c>
      <c r="X6457">
        <v>0.99905180000000005</v>
      </c>
      <c r="Y6457">
        <v>-0.18433540000000001</v>
      </c>
      <c r="Z6457">
        <v>1.339185E-2</v>
      </c>
      <c r="AA6457">
        <v>0.98277219999999998</v>
      </c>
      <c r="AB6457">
        <v>25</v>
      </c>
      <c r="AC6457">
        <v>26.110900000000001</v>
      </c>
      <c r="AD6457">
        <v>-1.1113748871489999</v>
      </c>
      <c r="AE6457">
        <v>-1.0808200000000101</v>
      </c>
      <c r="AF6457">
        <v>-4.8402483905550602</v>
      </c>
      <c r="AG6457">
        <v>-1.1113748871489999</v>
      </c>
      <c r="AH6457">
        <v>25.633096640169001</v>
      </c>
      <c r="AI6457">
        <v>92.439561702001697</v>
      </c>
      <c r="AJ6457">
        <v>100.693146562276</v>
      </c>
      <c r="AK6457">
        <v>26.109745345106301</v>
      </c>
      <c r="AL6457">
        <v>91.160335455734</v>
      </c>
      <c r="AM6457">
        <v>87.790738989286993</v>
      </c>
      <c r="AN6457">
        <v>1.0000000071919699</v>
      </c>
    </row>
    <row r="6458" spans="1:40" x14ac:dyDescent="0.25">
      <c r="A6458" t="str">
        <f>"20190312155004425"</f>
        <v>20190312155004425</v>
      </c>
      <c r="B6458" t="str">
        <f>"1552377004412501"</f>
        <v>1552377004412501</v>
      </c>
      <c r="C6458" t="s">
        <v>40</v>
      </c>
      <c r="D6458">
        <v>4.5611370000000004</v>
      </c>
      <c r="E6458">
        <v>0.4140161</v>
      </c>
      <c r="F6458" t="s">
        <v>73</v>
      </c>
      <c r="G6458">
        <v>-245.881</v>
      </c>
      <c r="H6458" s="1">
        <v>-1.7105270000000001E-6</v>
      </c>
      <c r="I6458">
        <v>-61.136940000000003</v>
      </c>
      <c r="J6458">
        <v>-272.28579999999999</v>
      </c>
      <c r="K6458">
        <v>1.1114379999999999</v>
      </c>
      <c r="L6458">
        <v>-60.073329999999999</v>
      </c>
      <c r="M6458">
        <v>0.97433930000000002</v>
      </c>
      <c r="N6458">
        <v>0</v>
      </c>
      <c r="O6458">
        <v>-0.22471530000000001</v>
      </c>
      <c r="P6458">
        <v>0.96439470000000005</v>
      </c>
      <c r="Q6458">
        <v>-3.3338609999999998E-2</v>
      </c>
      <c r="R6458">
        <v>-0.26235890000000001</v>
      </c>
      <c r="S6458">
        <v>3.07254</v>
      </c>
      <c r="T6458">
        <v>-0.12871749999999901</v>
      </c>
      <c r="U6458">
        <v>-0.12637329999999999</v>
      </c>
      <c r="V6458">
        <v>3.90029E-2</v>
      </c>
      <c r="W6458">
        <v>-2.0291739999999999E-2</v>
      </c>
      <c r="X6458">
        <v>0.99903299999999995</v>
      </c>
      <c r="Y6458">
        <v>-0.18414549999999999</v>
      </c>
      <c r="Z6458">
        <v>1.3188729999999999E-2</v>
      </c>
      <c r="AA6458">
        <v>0.98281050000000003</v>
      </c>
      <c r="AB6458">
        <v>25</v>
      </c>
      <c r="AC6458">
        <v>26.404800000000002</v>
      </c>
      <c r="AD6458">
        <v>-1.111439710527</v>
      </c>
      <c r="AE6458">
        <v>-1.06360999999999</v>
      </c>
      <c r="AF6458">
        <v>-4.8890038279822203</v>
      </c>
      <c r="AG6458">
        <v>-1.111439710527</v>
      </c>
      <c r="AH6458">
        <v>25.9225445180858</v>
      </c>
      <c r="AI6458">
        <v>92.412594712562594</v>
      </c>
      <c r="AJ6458">
        <v>100.680553465052</v>
      </c>
      <c r="AK6458">
        <v>26.402953830060401</v>
      </c>
      <c r="AL6458">
        <v>91.162710911068601</v>
      </c>
      <c r="AM6458">
        <v>87.764270810856104</v>
      </c>
      <c r="AN6458">
        <v>0.999999958004817</v>
      </c>
    </row>
    <row r="6459" spans="1:40" x14ac:dyDescent="0.25">
      <c r="A6459" t="str">
        <f>"20190312155004436"</f>
        <v>20190312155004436</v>
      </c>
      <c r="B6459" t="str">
        <f>"1552377004432729"</f>
        <v>1552377004432729</v>
      </c>
      <c r="C6459" t="s">
        <v>40</v>
      </c>
      <c r="D6459">
        <v>4.571332</v>
      </c>
      <c r="E6459">
        <v>0.4137709</v>
      </c>
      <c r="F6459" t="s">
        <v>73</v>
      </c>
      <c r="G6459">
        <v>-246.02610000000001</v>
      </c>
      <c r="H6459" s="1">
        <v>-1.7702879999999999E-6</v>
      </c>
      <c r="I6459">
        <v>-61.127719999999997</v>
      </c>
      <c r="J6459">
        <v>-272.15359999999998</v>
      </c>
      <c r="K6459">
        <v>1.1115120000000001</v>
      </c>
      <c r="L6459">
        <v>-60.102170000000001</v>
      </c>
      <c r="M6459">
        <v>0.97467440000000005</v>
      </c>
      <c r="N6459">
        <v>0</v>
      </c>
      <c r="O6459">
        <v>-0.2232529</v>
      </c>
      <c r="P6459">
        <v>0.96471280000000004</v>
      </c>
      <c r="Q6459">
        <v>-3.334749E-2</v>
      </c>
      <c r="R6459">
        <v>-0.26118550000000001</v>
      </c>
      <c r="S6459">
        <v>3.0726930000000001</v>
      </c>
      <c r="T6459">
        <v>-0.13005149999999999</v>
      </c>
      <c r="U6459">
        <v>-0.1233826</v>
      </c>
      <c r="V6459">
        <v>3.9289549999999999E-2</v>
      </c>
      <c r="W6459">
        <v>-2.0214010000000001E-2</v>
      </c>
      <c r="X6459">
        <v>0.99902340000000001</v>
      </c>
      <c r="Y6459">
        <v>-0.18362210000000001</v>
      </c>
      <c r="Z6459">
        <v>1.3253600000000001E-2</v>
      </c>
      <c r="AA6459">
        <v>0.98290750000000005</v>
      </c>
      <c r="AB6459">
        <v>25</v>
      </c>
      <c r="AC6459">
        <v>26.127499999999898</v>
      </c>
      <c r="AD6459">
        <v>-1.111513770288</v>
      </c>
      <c r="AE6459">
        <v>-1.02555</v>
      </c>
      <c r="AF6459">
        <v>-4.8251495806345499</v>
      </c>
      <c r="AG6459">
        <v>-1.111513770288</v>
      </c>
      <c r="AH6459">
        <v>25.6505691225166</v>
      </c>
      <c r="AI6459">
        <v>92.438524159251202</v>
      </c>
      <c r="AJ6459">
        <v>100.65346032631</v>
      </c>
      <c r="AK6459">
        <v>26.1241119972726</v>
      </c>
      <c r="AL6459">
        <v>91.158256331007493</v>
      </c>
      <c r="AM6459">
        <v>87.747834661905401</v>
      </c>
      <c r="AN6459">
        <v>1.0000000143435199</v>
      </c>
    </row>
    <row r="6460" spans="1:40" x14ac:dyDescent="0.25">
      <c r="A6460" t="str">
        <f>"20190312155004448"</f>
        <v>20190312155004448</v>
      </c>
      <c r="B6460" t="str">
        <f>"1552377004442489"</f>
        <v>1552377004442489</v>
      </c>
      <c r="C6460" t="s">
        <v>40</v>
      </c>
      <c r="D6460">
        <v>4.5642149999999999</v>
      </c>
      <c r="E6460">
        <v>0.41365350000000001</v>
      </c>
      <c r="F6460" t="s">
        <v>73</v>
      </c>
      <c r="G6460">
        <v>-246.1506</v>
      </c>
      <c r="H6460" s="1">
        <v>-1.816028E-6</v>
      </c>
      <c r="I6460">
        <v>-61.098790000000001</v>
      </c>
      <c r="J6460">
        <v>-272.02839999999998</v>
      </c>
      <c r="K6460">
        <v>1.1115809999999999</v>
      </c>
      <c r="L6460">
        <v>-60.129300000000001</v>
      </c>
      <c r="M6460">
        <v>0.97499530000000001</v>
      </c>
      <c r="N6460">
        <v>0</v>
      </c>
      <c r="O6460">
        <v>-0.22184280000000001</v>
      </c>
      <c r="P6460">
        <v>0.96506259999999999</v>
      </c>
      <c r="Q6460">
        <v>-3.3804479999999998E-2</v>
      </c>
      <c r="R6460">
        <v>-0.25983079999999997</v>
      </c>
      <c r="S6460">
        <v>3.0733030000000001</v>
      </c>
      <c r="T6460">
        <v>-0.1313703</v>
      </c>
      <c r="U6460">
        <v>-0.1177979</v>
      </c>
      <c r="V6460">
        <v>3.9340119999999999E-2</v>
      </c>
      <c r="W6460">
        <v>-2.059281E-2</v>
      </c>
      <c r="X6460">
        <v>0.9990137</v>
      </c>
      <c r="Y6460">
        <v>-0.18398539999999999</v>
      </c>
      <c r="Z6460">
        <v>1.333501E-2</v>
      </c>
      <c r="AA6460">
        <v>0.98283849999999995</v>
      </c>
      <c r="AB6460">
        <v>25</v>
      </c>
      <c r="AC6460">
        <v>25.877799999999901</v>
      </c>
      <c r="AD6460">
        <v>-1.1115828160279999</v>
      </c>
      <c r="AE6460">
        <v>-0.96948999999999996</v>
      </c>
      <c r="AF6460">
        <v>-4.7871423797261397</v>
      </c>
      <c r="AG6460">
        <v>-1.1115828160279999</v>
      </c>
      <c r="AH6460">
        <v>25.401167141384398</v>
      </c>
      <c r="AI6460">
        <v>92.462433473795201</v>
      </c>
      <c r="AJ6460">
        <v>100.67286560228401</v>
      </c>
      <c r="AK6460">
        <v>25.872217544408599</v>
      </c>
      <c r="AL6460">
        <v>91.179964459866696</v>
      </c>
      <c r="AM6460">
        <v>87.744916993498506</v>
      </c>
      <c r="AN6460">
        <v>1.00000004082649</v>
      </c>
    </row>
    <row r="6461" spans="1:40" x14ac:dyDescent="0.25">
      <c r="A6461" t="str">
        <f>"20190312155004458"</f>
        <v>20190312155004458</v>
      </c>
      <c r="B6461" t="str">
        <f>"1552377004452249"</f>
        <v>1552377004452249</v>
      </c>
      <c r="C6461" t="s">
        <v>40</v>
      </c>
      <c r="D6461">
        <v>4.5802459999999998</v>
      </c>
      <c r="E6461">
        <v>0.4134969</v>
      </c>
      <c r="F6461" t="s">
        <v>73</v>
      </c>
      <c r="G6461">
        <v>-246.15620000000001</v>
      </c>
      <c r="H6461" s="1">
        <v>-1.8126550000000001E-6</v>
      </c>
      <c r="I6461">
        <v>-61.077129999999997</v>
      </c>
      <c r="J6461">
        <v>-271.91289999999998</v>
      </c>
      <c r="K6461">
        <v>1.111648</v>
      </c>
      <c r="L6461">
        <v>-60.154049999999998</v>
      </c>
      <c r="M6461">
        <v>0.97530249999999996</v>
      </c>
      <c r="N6461">
        <v>0</v>
      </c>
      <c r="O6461">
        <v>-0.2204844</v>
      </c>
      <c r="P6461">
        <v>0.96551949999999997</v>
      </c>
      <c r="Q6461">
        <v>-3.3930380000000003E-2</v>
      </c>
      <c r="R6461">
        <v>-0.25811030000000001</v>
      </c>
      <c r="S6461">
        <v>3.073639</v>
      </c>
      <c r="T6461">
        <v>-0.1320567</v>
      </c>
      <c r="U6461">
        <v>-0.1126099</v>
      </c>
      <c r="V6461">
        <v>3.8955459999999997E-2</v>
      </c>
      <c r="W6461">
        <v>-2.0654120000000002E-2</v>
      </c>
      <c r="X6461">
        <v>0.99902749999999996</v>
      </c>
      <c r="Y6461">
        <v>-0.1842743</v>
      </c>
      <c r="Z6461">
        <v>1.3353149999999999E-2</v>
      </c>
      <c r="AA6461">
        <v>0.9827842</v>
      </c>
      <c r="AB6461">
        <v>25</v>
      </c>
      <c r="AC6461">
        <v>25.756699999999899</v>
      </c>
      <c r="AD6461">
        <v>-1.1116498126549901</v>
      </c>
      <c r="AE6461">
        <v>-0.92308000000000601</v>
      </c>
      <c r="AF6461">
        <v>-4.7702042065482004</v>
      </c>
      <c r="AG6461">
        <v>-1.1116498126549901</v>
      </c>
      <c r="AH6461">
        <v>25.279243909718598</v>
      </c>
      <c r="AI6461">
        <v>92.4743366273362</v>
      </c>
      <c r="AJ6461">
        <v>100.68608448828699</v>
      </c>
      <c r="AK6461">
        <v>25.7493841892421</v>
      </c>
      <c r="AL6461">
        <v>91.183478020340303</v>
      </c>
      <c r="AM6461">
        <v>87.766975136970899</v>
      </c>
      <c r="AN6461">
        <v>1.00000003314651</v>
      </c>
    </row>
    <row r="6462" spans="1:40" x14ac:dyDescent="0.25">
      <c r="A6462" t="str">
        <f>"20190312155004469"</f>
        <v>20190312155004469</v>
      </c>
      <c r="B6462" t="str">
        <f>"1552377004462009"</f>
        <v>1552377004462009</v>
      </c>
      <c r="C6462" t="s">
        <v>40</v>
      </c>
      <c r="D6462">
        <v>4.5779920000000001</v>
      </c>
      <c r="E6462">
        <v>0.41345559999999998</v>
      </c>
      <c r="F6462" t="s">
        <v>73</v>
      </c>
      <c r="G6462">
        <v>-246.1576</v>
      </c>
      <c r="H6462" s="1">
        <v>-1.803894E-6</v>
      </c>
      <c r="I6462">
        <v>-61.0419699999999</v>
      </c>
      <c r="J6462">
        <v>-271.7903</v>
      </c>
      <c r="K6462">
        <v>1.111712</v>
      </c>
      <c r="L6462">
        <v>-60.180210000000002</v>
      </c>
      <c r="M6462">
        <v>0.97563319999999998</v>
      </c>
      <c r="N6462">
        <v>0</v>
      </c>
      <c r="O6462">
        <v>-0.21901280000000001</v>
      </c>
      <c r="P6462">
        <v>0.96611000000000002</v>
      </c>
      <c r="Q6462">
        <v>-3.441313E-2</v>
      </c>
      <c r="R6462">
        <v>-0.25582719999999998</v>
      </c>
      <c r="S6462">
        <v>3.0741269999999998</v>
      </c>
      <c r="T6462">
        <v>-0.13268529999999901</v>
      </c>
      <c r="U6462">
        <v>-0.1059875</v>
      </c>
      <c r="V6462">
        <v>3.8109570000000002E-2</v>
      </c>
      <c r="W6462">
        <v>-2.1073919999999999E-2</v>
      </c>
      <c r="X6462">
        <v>0.99905129999999998</v>
      </c>
      <c r="Y6462">
        <v>-0.1849092</v>
      </c>
      <c r="Z6462">
        <v>1.336715E-2</v>
      </c>
      <c r="AA6462">
        <v>0.98266469999999995</v>
      </c>
      <c r="AB6462">
        <v>25</v>
      </c>
      <c r="AC6462">
        <v>25.6327</v>
      </c>
      <c r="AD6462">
        <v>-1.111713803894</v>
      </c>
      <c r="AE6462">
        <v>-0.86175999999999597</v>
      </c>
      <c r="AF6462">
        <v>-4.76458901532963</v>
      </c>
      <c r="AG6462">
        <v>-1.111713803894</v>
      </c>
      <c r="AH6462">
        <v>25.1517745898017</v>
      </c>
      <c r="AI6462">
        <v>92.486671482194893</v>
      </c>
      <c r="AJ6462">
        <v>100.72663739930999</v>
      </c>
      <c r="AK6462">
        <v>25.623211763613099</v>
      </c>
      <c r="AL6462">
        <v>91.207536095391603</v>
      </c>
      <c r="AM6462">
        <v>87.815468168910996</v>
      </c>
      <c r="AN6462">
        <v>0.99999997473072</v>
      </c>
    </row>
    <row r="6463" spans="1:40" x14ac:dyDescent="0.25">
      <c r="A6463" t="str">
        <f>"20190312155004480"</f>
        <v>20190312155004480</v>
      </c>
      <c r="B6463" t="str">
        <f>"1552377004472745"</f>
        <v>1552377004472745</v>
      </c>
      <c r="C6463" t="s">
        <v>40</v>
      </c>
      <c r="D6463">
        <v>4.5523530000000001</v>
      </c>
      <c r="E6463">
        <v>0.41362569999999999</v>
      </c>
      <c r="F6463" t="s">
        <v>73</v>
      </c>
      <c r="G6463">
        <v>-246.3263</v>
      </c>
      <c r="H6463" s="1">
        <v>-1.8639230000000001E-6</v>
      </c>
      <c r="I6463">
        <v>-60.995559999999998</v>
      </c>
      <c r="J6463">
        <v>-271.66980000000001</v>
      </c>
      <c r="K6463">
        <v>1.1117729999999999</v>
      </c>
      <c r="L6463">
        <v>-60.205629999999999</v>
      </c>
      <c r="M6463">
        <v>0.97596479999999997</v>
      </c>
      <c r="N6463">
        <v>0</v>
      </c>
      <c r="O6463">
        <v>-0.217527</v>
      </c>
      <c r="P6463">
        <v>0.96664910000000004</v>
      </c>
      <c r="Q6463">
        <v>-3.4845830000000001E-2</v>
      </c>
      <c r="R6463">
        <v>-0.25372319999999998</v>
      </c>
      <c r="S6463">
        <v>3.0744020000000001</v>
      </c>
      <c r="T6463">
        <v>-0.13422319999999999</v>
      </c>
      <c r="U6463">
        <v>-9.8449709999999996E-2</v>
      </c>
      <c r="V6463">
        <v>3.7463990000000003E-2</v>
      </c>
      <c r="W6463">
        <v>-2.1448769999999999E-2</v>
      </c>
      <c r="X6463">
        <v>0.99906779999999995</v>
      </c>
      <c r="Y6463">
        <v>-0.18581439999999999</v>
      </c>
      <c r="Z6463">
        <v>1.3478159999999999E-2</v>
      </c>
      <c r="AA6463">
        <v>0.98249240000000004</v>
      </c>
      <c r="AB6463">
        <v>25</v>
      </c>
      <c r="AC6463">
        <v>25.343499999999999</v>
      </c>
      <c r="AD6463">
        <v>-1.1117748639229901</v>
      </c>
      <c r="AE6463">
        <v>-0.78992999999999103</v>
      </c>
      <c r="AF6463">
        <v>-4.7332659808043802</v>
      </c>
      <c r="AG6463">
        <v>-1.1117748639229901</v>
      </c>
      <c r="AH6463">
        <v>24.860575193814501</v>
      </c>
      <c r="AI6463">
        <v>92.515457777680993</v>
      </c>
      <c r="AJ6463">
        <v>100.779668160714</v>
      </c>
      <c r="AK6463">
        <v>25.331562311874801</v>
      </c>
      <c r="AL6463">
        <v>91.229018201373904</v>
      </c>
      <c r="AM6463">
        <v>87.852474847017305</v>
      </c>
      <c r="AN6463">
        <v>1.0000000346390301</v>
      </c>
    </row>
    <row r="6464" spans="1:40" x14ac:dyDescent="0.25">
      <c r="A6464" t="str">
        <f>"20190312155004492"</f>
        <v>20190312155004492</v>
      </c>
      <c r="B6464" t="str">
        <f>"1552377004482506"</f>
        <v>1552377004482506</v>
      </c>
      <c r="C6464" t="s">
        <v>40</v>
      </c>
      <c r="D6464">
        <v>4.595116</v>
      </c>
      <c r="E6464">
        <v>0.41358810000000001</v>
      </c>
      <c r="F6464" t="s">
        <v>73</v>
      </c>
      <c r="G6464">
        <v>-246.48339999999999</v>
      </c>
      <c r="H6464" s="1">
        <v>-1.9240900000000001E-6</v>
      </c>
      <c r="I6464">
        <v>-60.968409999999999</v>
      </c>
      <c r="J6464">
        <v>-271.55149999999998</v>
      </c>
      <c r="K6464">
        <v>1.1118269999999999</v>
      </c>
      <c r="L6464">
        <v>-60.230319999999899</v>
      </c>
      <c r="M6464">
        <v>0.97629600000000005</v>
      </c>
      <c r="N6464">
        <v>0</v>
      </c>
      <c r="O6464">
        <v>-0.2160321</v>
      </c>
      <c r="P6464">
        <v>0.96714290000000003</v>
      </c>
      <c r="Q6464">
        <v>-3.5315350000000002E-2</v>
      </c>
      <c r="R6464">
        <v>-0.25176880000000001</v>
      </c>
      <c r="S6464">
        <v>3.0741269999999998</v>
      </c>
      <c r="T6464">
        <v>-0.13569779999999901</v>
      </c>
      <c r="U6464">
        <v>-9.3109129999999998E-2</v>
      </c>
      <c r="V6464">
        <v>3.6982870000000001E-2</v>
      </c>
      <c r="W6464">
        <v>-2.1865329999999999E-2</v>
      </c>
      <c r="X6464">
        <v>0.99907670000000004</v>
      </c>
      <c r="Y6464">
        <v>-0.186005</v>
      </c>
      <c r="Z6464">
        <v>1.356771E-2</v>
      </c>
      <c r="AA6464">
        <v>0.98245510000000003</v>
      </c>
      <c r="AB6464">
        <v>25</v>
      </c>
      <c r="AC6464">
        <v>25.068099999999902</v>
      </c>
      <c r="AD6464">
        <v>-1.1118289240899999</v>
      </c>
      <c r="AE6464">
        <v>-0.73809000000000602</v>
      </c>
      <c r="AF6464">
        <v>-4.6861235404318098</v>
      </c>
      <c r="AG6464">
        <v>-1.1118289240899999</v>
      </c>
      <c r="AH6464">
        <v>24.5871837187645</v>
      </c>
      <c r="AI6464">
        <v>92.543421577921507</v>
      </c>
      <c r="AJ6464">
        <v>100.790707610033</v>
      </c>
      <c r="AK6464">
        <v>25.054451113782299</v>
      </c>
      <c r="AL6464">
        <v>91.252890924429906</v>
      </c>
      <c r="AM6464">
        <v>87.880047331895</v>
      </c>
      <c r="AN6464">
        <v>1.0000000389061601</v>
      </c>
    </row>
    <row r="6465" spans="1:40" x14ac:dyDescent="0.25">
      <c r="A6465" t="str">
        <f>"20190312155004502"</f>
        <v>20190312155004502</v>
      </c>
      <c r="B6465" t="str">
        <f>"1552377004492265"</f>
        <v>1552377004492265</v>
      </c>
      <c r="C6465" t="s">
        <v>40</v>
      </c>
      <c r="D6465">
        <v>4.5806630000000004</v>
      </c>
      <c r="E6465">
        <v>0.41347089999999997</v>
      </c>
      <c r="F6465" t="s">
        <v>73</v>
      </c>
      <c r="G6465">
        <v>-246.75389999999999</v>
      </c>
      <c r="H6465" s="1">
        <v>-2.0296809999999999E-6</v>
      </c>
      <c r="I6465">
        <v>-60.929090000000002</v>
      </c>
      <c r="J6465">
        <v>-271.43720000000002</v>
      </c>
      <c r="K6465">
        <v>1.11188</v>
      </c>
      <c r="L6465">
        <v>-60.254060000000003</v>
      </c>
      <c r="M6465">
        <v>0.97661909999999996</v>
      </c>
      <c r="N6465">
        <v>0</v>
      </c>
      <c r="O6465">
        <v>-0.21456449999999999</v>
      </c>
      <c r="P6465">
        <v>0.9676342</v>
      </c>
      <c r="Q6465">
        <v>-3.5714530000000001E-2</v>
      </c>
      <c r="R6465">
        <v>-0.2498186</v>
      </c>
      <c r="S6465">
        <v>3.074341</v>
      </c>
      <c r="T6465">
        <v>-0.13784160000000001</v>
      </c>
      <c r="U6465">
        <v>-8.6639399999999894E-2</v>
      </c>
      <c r="V6465">
        <v>3.6477820000000001E-2</v>
      </c>
      <c r="W6465">
        <v>-2.2216329999999999E-2</v>
      </c>
      <c r="X6465">
        <v>0.99908750000000002</v>
      </c>
      <c r="Y6465">
        <v>-0.18658469999999999</v>
      </c>
      <c r="Z6465">
        <v>1.373037E-2</v>
      </c>
      <c r="AA6465">
        <v>0.98234299999999997</v>
      </c>
      <c r="AB6465">
        <v>25</v>
      </c>
      <c r="AC6465">
        <v>24.683299999999999</v>
      </c>
      <c r="AD6465">
        <v>-1.1118820296809999</v>
      </c>
      <c r="AE6465">
        <v>-0.67503000000000601</v>
      </c>
      <c r="AF6465">
        <v>-4.6279399396812497</v>
      </c>
      <c r="AG6465">
        <v>-1.1118820296809999</v>
      </c>
      <c r="AH6465">
        <v>24.204092068368102</v>
      </c>
      <c r="AI6465">
        <v>92.583455659354499</v>
      </c>
      <c r="AJ6465">
        <v>100.824580239681</v>
      </c>
      <c r="AK6465">
        <v>24.6676343127439</v>
      </c>
      <c r="AL6465">
        <v>91.273006659905903</v>
      </c>
      <c r="AM6465">
        <v>87.908994795582103</v>
      </c>
      <c r="AN6465">
        <v>1.00000001466343</v>
      </c>
    </row>
    <row r="6466" spans="1:40" x14ac:dyDescent="0.25">
      <c r="A6466" t="str">
        <f>"20190312155004514"</f>
        <v>20190312155004514</v>
      </c>
      <c r="B6466" t="str">
        <f>"1552377004502025"</f>
        <v>1552377004502025</v>
      </c>
      <c r="C6466" t="s">
        <v>40</v>
      </c>
      <c r="D6466">
        <v>4.5832569999999997</v>
      </c>
      <c r="E6466">
        <v>0.41341810000000001</v>
      </c>
      <c r="F6466" t="s">
        <v>73</v>
      </c>
      <c r="G6466">
        <v>-246.8107</v>
      </c>
      <c r="H6466" s="1">
        <v>-2.0439879999999999E-6</v>
      </c>
      <c r="I6466">
        <v>-60.89123</v>
      </c>
      <c r="J6466">
        <v>-271.30680000000001</v>
      </c>
      <c r="K6466">
        <v>1.1119330000000001</v>
      </c>
      <c r="L6466">
        <v>-60.280760000000001</v>
      </c>
      <c r="M6466">
        <v>0.97699440000000004</v>
      </c>
      <c r="N6466">
        <v>0</v>
      </c>
      <c r="O6466">
        <v>-0.2128458</v>
      </c>
      <c r="P6466">
        <v>0.96815560000000001</v>
      </c>
      <c r="Q6466">
        <v>-3.6251129999999999E-2</v>
      </c>
      <c r="R6466">
        <v>-0.2477113</v>
      </c>
      <c r="S6466">
        <v>3.0746769999999999</v>
      </c>
      <c r="T6466">
        <v>-0.13882139999999901</v>
      </c>
      <c r="U6466">
        <v>-7.9559329999999998E-2</v>
      </c>
      <c r="V6466">
        <v>3.6069839999999999E-2</v>
      </c>
      <c r="W6466">
        <v>-2.270281E-2</v>
      </c>
      <c r="X6466">
        <v>0.99909139999999996</v>
      </c>
      <c r="Y6466">
        <v>-0.18711520000000001</v>
      </c>
      <c r="Z6466">
        <v>1.37632999999999E-2</v>
      </c>
      <c r="AA6466">
        <v>0.98224160000000005</v>
      </c>
      <c r="AB6466">
        <v>25</v>
      </c>
      <c r="AC6466">
        <v>24.496099999999998</v>
      </c>
      <c r="AD6466">
        <v>-1.111935043988</v>
      </c>
      <c r="AE6466">
        <v>-0.61047000000000595</v>
      </c>
      <c r="AF6466">
        <v>-4.6083891186077901</v>
      </c>
      <c r="AG6466">
        <v>-1.111935043988</v>
      </c>
      <c r="AH6466">
        <v>24.015185955696399</v>
      </c>
      <c r="AI6466">
        <v>92.603542061946499</v>
      </c>
      <c r="AJ6466">
        <v>100.862711578344</v>
      </c>
      <c r="AK6466">
        <v>24.478619370733099</v>
      </c>
      <c r="AL6466">
        <v>91.300886912649901</v>
      </c>
      <c r="AM6466">
        <v>87.932368940101497</v>
      </c>
      <c r="AN6466">
        <v>1.00000003824674</v>
      </c>
    </row>
    <row r="6467" spans="1:40" x14ac:dyDescent="0.25">
      <c r="A6467" t="str">
        <f>"20190312155004528"</f>
        <v>20190312155004528</v>
      </c>
      <c r="B6467" t="str">
        <f>"1552377004522522"</f>
        <v>1552377004522522</v>
      </c>
      <c r="C6467" t="s">
        <v>40</v>
      </c>
      <c r="D6467">
        <v>4.656447</v>
      </c>
      <c r="E6467">
        <v>0.41339690000000001</v>
      </c>
      <c r="F6467" t="s">
        <v>73</v>
      </c>
      <c r="G6467">
        <v>-247.0677</v>
      </c>
      <c r="H6467" s="1">
        <v>-2.1437369999999999E-6</v>
      </c>
      <c r="I6467">
        <v>-60.85181</v>
      </c>
      <c r="J6467">
        <v>-271.15949999999998</v>
      </c>
      <c r="K6467">
        <v>1.111991</v>
      </c>
      <c r="L6467">
        <v>-60.310699999999997</v>
      </c>
      <c r="M6467">
        <v>0.97742030000000002</v>
      </c>
      <c r="N6467">
        <v>0</v>
      </c>
      <c r="O6467">
        <v>-0.2108778</v>
      </c>
      <c r="P6467">
        <v>0.96869919999999998</v>
      </c>
      <c r="Q6467">
        <v>-3.6663880000000003E-2</v>
      </c>
      <c r="R6467">
        <v>-0.24551490000000001</v>
      </c>
      <c r="S6467">
        <v>3.0748600000000001</v>
      </c>
      <c r="T6467">
        <v>-0.14105509999999999</v>
      </c>
      <c r="U6467">
        <v>-7.2448730000000003E-2</v>
      </c>
      <c r="V6467">
        <v>3.5824019999999998E-2</v>
      </c>
      <c r="W6467">
        <v>-2.3061379999999999E-2</v>
      </c>
      <c r="X6467">
        <v>0.99909199999999998</v>
      </c>
      <c r="Y6467">
        <v>-0.18739739999999999</v>
      </c>
      <c r="Z6467">
        <v>1.3902629999999999E-2</v>
      </c>
      <c r="AA6467">
        <v>0.9821858</v>
      </c>
      <c r="AB6467">
        <v>25</v>
      </c>
      <c r="AC6467">
        <v>24.0917999999999</v>
      </c>
      <c r="AD6467">
        <v>-1.1119931437370001</v>
      </c>
      <c r="AE6467">
        <v>-0.54111000000000298</v>
      </c>
      <c r="AF6467">
        <v>-4.5422717504074699</v>
      </c>
      <c r="AG6467">
        <v>-1.1119931437370001</v>
      </c>
      <c r="AH6467">
        <v>23.613771696792501</v>
      </c>
      <c r="AI6467">
        <v>92.6476493987265</v>
      </c>
      <c r="AJ6467">
        <v>100.888245475041</v>
      </c>
      <c r="AK6467">
        <v>24.072369537594401</v>
      </c>
      <c r="AL6467">
        <v>91.321436882749495</v>
      </c>
      <c r="AM6467">
        <v>87.946449203741196</v>
      </c>
      <c r="AN6467">
        <v>1.0000000060602301</v>
      </c>
    </row>
    <row r="6468" spans="1:40" x14ac:dyDescent="0.25">
      <c r="A6468" t="str">
        <f>"20190312155004541"</f>
        <v>20190312155004541</v>
      </c>
      <c r="B6468" t="str">
        <f>"1552377004532528"</f>
        <v>1552377004532528</v>
      </c>
      <c r="C6468" t="s">
        <v>40</v>
      </c>
      <c r="D6468">
        <v>4.6595709999999997</v>
      </c>
      <c r="E6468">
        <v>0.41344560000000002</v>
      </c>
      <c r="F6468" t="s">
        <v>73</v>
      </c>
      <c r="G6468">
        <v>-247.45</v>
      </c>
      <c r="H6468" s="1">
        <v>-2.297537E-6</v>
      </c>
      <c r="I6468">
        <v>-60.813490000000002</v>
      </c>
      <c r="J6468">
        <v>-271.01369999999997</v>
      </c>
      <c r="K6468">
        <v>1.1120380000000001</v>
      </c>
      <c r="L6468">
        <v>-60.339939999999999</v>
      </c>
      <c r="M6468">
        <v>0.97784749999999998</v>
      </c>
      <c r="N6468">
        <v>0</v>
      </c>
      <c r="O6468">
        <v>-0.20888509999999999</v>
      </c>
      <c r="P6468">
        <v>0.96928080000000005</v>
      </c>
      <c r="Q6468">
        <v>-3.6766720000000003E-2</v>
      </c>
      <c r="R6468">
        <v>-0.2431934</v>
      </c>
      <c r="S6468">
        <v>3.0749819999999999</v>
      </c>
      <c r="T6468">
        <v>-0.14421879999999901</v>
      </c>
      <c r="U6468">
        <v>-6.5216060000000006E-2</v>
      </c>
      <c r="V6468">
        <v>3.5470179999999997E-2</v>
      </c>
      <c r="W6468">
        <v>-2.3116680000000001E-2</v>
      </c>
      <c r="X6468">
        <v>0.99910339999999997</v>
      </c>
      <c r="Y6468">
        <v>-0.18768840000000001</v>
      </c>
      <c r="Z6468">
        <v>1.412966E-2</v>
      </c>
      <c r="AA6468">
        <v>0.98212699999999997</v>
      </c>
      <c r="AB6468">
        <v>25</v>
      </c>
      <c r="AC6468">
        <v>23.563699999999901</v>
      </c>
      <c r="AD6468">
        <v>-1.1120402975369901</v>
      </c>
      <c r="AE6468">
        <v>-0.47354999999999497</v>
      </c>
      <c r="AF6468">
        <v>-4.4495444665461097</v>
      </c>
      <c r="AG6468">
        <v>-1.1120402975369901</v>
      </c>
      <c r="AH6468">
        <v>23.0913128447771</v>
      </c>
      <c r="AI6468">
        <v>92.707412097336501</v>
      </c>
      <c r="AJ6468">
        <v>100.90683892807699</v>
      </c>
      <c r="AK6468">
        <v>23.542383237014999</v>
      </c>
      <c r="AL6468">
        <v>91.324606113794701</v>
      </c>
      <c r="AM6468">
        <v>87.966738548665305</v>
      </c>
      <c r="AN6468">
        <v>1.0000000592275</v>
      </c>
    </row>
    <row r="6469" spans="1:40" x14ac:dyDescent="0.25">
      <c r="A6469" t="str">
        <f>"20190312155004553"</f>
        <v>20190312155004553</v>
      </c>
      <c r="B6469" t="str">
        <f>"1552377004542286"</f>
        <v>1552377004542286</v>
      </c>
      <c r="C6469" t="s">
        <v>40</v>
      </c>
      <c r="D6469">
        <v>4.6466599999999998</v>
      </c>
      <c r="E6469">
        <v>0.41351120000000002</v>
      </c>
      <c r="F6469" t="s">
        <v>73</v>
      </c>
      <c r="G6469">
        <v>-247.50290000000001</v>
      </c>
      <c r="H6469" s="1">
        <v>-2.3127459999999999E-6</v>
      </c>
      <c r="I6469">
        <v>-60.785310000000003</v>
      </c>
      <c r="J6469">
        <v>-270.88959999999997</v>
      </c>
      <c r="K6469">
        <v>1.1120719999999999</v>
      </c>
      <c r="L6469">
        <v>-60.364469999999997</v>
      </c>
      <c r="M6469">
        <v>0.97821259999999999</v>
      </c>
      <c r="N6469">
        <v>0</v>
      </c>
      <c r="O6469">
        <v>-0.20716660000000001</v>
      </c>
      <c r="P6469">
        <v>0.96981850000000003</v>
      </c>
      <c r="Q6469">
        <v>-3.6459239999999997E-2</v>
      </c>
      <c r="R6469">
        <v>-0.2410873</v>
      </c>
      <c r="S6469">
        <v>3.074951</v>
      </c>
      <c r="T6469">
        <v>-0.1454424</v>
      </c>
      <c r="U6469">
        <v>-5.825806E-2</v>
      </c>
      <c r="V6469">
        <v>3.5052689999999997E-2</v>
      </c>
      <c r="W6469">
        <v>-2.2772939999999998E-2</v>
      </c>
      <c r="X6469">
        <v>0.99912599999999996</v>
      </c>
      <c r="Y6469">
        <v>-0.18817780000000001</v>
      </c>
      <c r="Z6469">
        <v>1.4182230000000001E-2</v>
      </c>
      <c r="AA6469">
        <v>0.98203260000000003</v>
      </c>
      <c r="AB6469">
        <v>25</v>
      </c>
      <c r="AC6469">
        <v>23.386699999999902</v>
      </c>
      <c r="AD6469">
        <v>-1.112074312746</v>
      </c>
      <c r="AE6469">
        <v>-0.42083999999999799</v>
      </c>
      <c r="AF6469">
        <v>-4.4236764919003297</v>
      </c>
      <c r="AG6469">
        <v>-1.112074312746</v>
      </c>
      <c r="AH6469">
        <v>22.914643182441299</v>
      </c>
      <c r="AI6469">
        <v>92.728157165103696</v>
      </c>
      <c r="AJ6469">
        <v>100.926546849461</v>
      </c>
      <c r="AK6469">
        <v>23.364213985509199</v>
      </c>
      <c r="AL6469">
        <v>91.304906114253797</v>
      </c>
      <c r="AM6469">
        <v>87.990696058421904</v>
      </c>
      <c r="AN6469">
        <v>1.0000000308742301</v>
      </c>
    </row>
    <row r="6470" spans="1:40" x14ac:dyDescent="0.25">
      <c r="A6470" t="str">
        <f>"20190312155004564"</f>
        <v>20190312155004564</v>
      </c>
      <c r="B6470" t="str">
        <f>"1552377004552048"</f>
        <v>1552377004552048</v>
      </c>
      <c r="C6470" t="s">
        <v>40</v>
      </c>
      <c r="D6470">
        <v>4.5759019999999904</v>
      </c>
      <c r="E6470">
        <v>0.41359269999999998</v>
      </c>
      <c r="F6470" t="s">
        <v>73</v>
      </c>
      <c r="G6470">
        <v>-247.3073</v>
      </c>
      <c r="H6470" s="1">
        <v>-2.2229599999999999E-6</v>
      </c>
      <c r="I6470">
        <v>-60.763219999999997</v>
      </c>
      <c r="J6470">
        <v>-270.75869999999998</v>
      </c>
      <c r="K6470">
        <v>1.112104</v>
      </c>
      <c r="L6470">
        <v>-60.390259999999998</v>
      </c>
      <c r="M6470">
        <v>0.97859719999999994</v>
      </c>
      <c r="N6470">
        <v>0</v>
      </c>
      <c r="O6470">
        <v>-0.20533970000000001</v>
      </c>
      <c r="P6470">
        <v>0.97041820000000001</v>
      </c>
      <c r="Q6470">
        <v>-3.6021770000000002E-2</v>
      </c>
      <c r="R6470">
        <v>-0.2387281</v>
      </c>
      <c r="S6470">
        <v>3.0750120000000001</v>
      </c>
      <c r="T6470">
        <v>-0.14500869999999999</v>
      </c>
      <c r="U6470">
        <v>-5.2001949999999998E-2</v>
      </c>
      <c r="V6470">
        <v>3.448408E-2</v>
      </c>
      <c r="W6470">
        <v>-2.230002E-2</v>
      </c>
      <c r="X6470">
        <v>0.99915639999999994</v>
      </c>
      <c r="Y6470">
        <v>-0.18834629999999999</v>
      </c>
      <c r="Z6470">
        <v>1.405985E-2</v>
      </c>
      <c r="AA6470">
        <v>0.98200200000000004</v>
      </c>
      <c r="AB6470">
        <v>25</v>
      </c>
      <c r="AC6470">
        <v>23.4513999999999</v>
      </c>
      <c r="AD6470">
        <v>-1.1121062229600001</v>
      </c>
      <c r="AE6470">
        <v>-0.37295999999999901</v>
      </c>
      <c r="AF6470">
        <v>-4.4409490156982798</v>
      </c>
      <c r="AG6470">
        <v>-1.1121062229600001</v>
      </c>
      <c r="AH6470">
        <v>22.976509510973099</v>
      </c>
      <c r="AI6470">
        <v>92.720783022247403</v>
      </c>
      <c r="AJ6470">
        <v>100.939358115695</v>
      </c>
      <c r="AK6470">
        <v>23.4281624913055</v>
      </c>
      <c r="AL6470">
        <v>91.277802979797201</v>
      </c>
      <c r="AM6470">
        <v>88.0233241670024</v>
      </c>
      <c r="AN6470">
        <v>0.99999997716320299</v>
      </c>
    </row>
    <row r="6471" spans="1:40" x14ac:dyDescent="0.25">
      <c r="A6471" t="str">
        <f>"20190312155004575"</f>
        <v>20190312155004575</v>
      </c>
      <c r="B6471" t="str">
        <f>"1552377004572542"</f>
        <v>1552377004572542</v>
      </c>
      <c r="C6471" t="s">
        <v>40</v>
      </c>
      <c r="D6471">
        <v>4.6391790000000004</v>
      </c>
      <c r="E6471">
        <v>0.41367179999999998</v>
      </c>
      <c r="F6471" t="s">
        <v>73</v>
      </c>
      <c r="G6471">
        <v>-246.95330000000001</v>
      </c>
      <c r="H6471" s="1">
        <v>-2.0649400000000002E-6</v>
      </c>
      <c r="I6471">
        <v>-60.740090000000002</v>
      </c>
      <c r="J6471">
        <v>-270.6422</v>
      </c>
      <c r="K6471">
        <v>1.112128</v>
      </c>
      <c r="L6471">
        <v>-60.41281</v>
      </c>
      <c r="M6471">
        <v>0.97894110000000001</v>
      </c>
      <c r="N6471">
        <v>0</v>
      </c>
      <c r="O6471">
        <v>-0.20369180000000001</v>
      </c>
      <c r="P6471">
        <v>0.97104230000000002</v>
      </c>
      <c r="Q6471">
        <v>-3.5216699999999997E-2</v>
      </c>
      <c r="R6471">
        <v>-0.2362986</v>
      </c>
      <c r="S6471">
        <v>3.0750120000000001</v>
      </c>
      <c r="T6471">
        <v>-0.1436539</v>
      </c>
      <c r="U6471">
        <v>-4.5196529999999999E-2</v>
      </c>
      <c r="V6471">
        <v>3.3656030000000003E-2</v>
      </c>
      <c r="W6471">
        <v>-2.1469309999999998E-2</v>
      </c>
      <c r="X6471">
        <v>0.99920279999999995</v>
      </c>
      <c r="Y6471">
        <v>-0.18887490000000001</v>
      </c>
      <c r="Z6471">
        <v>1.3866119999999999E-2</v>
      </c>
      <c r="AA6471">
        <v>0.98190330000000003</v>
      </c>
      <c r="AB6471">
        <v>25</v>
      </c>
      <c r="AC6471">
        <v>23.688899999999901</v>
      </c>
      <c r="AD6471">
        <v>-1.1121300649400001</v>
      </c>
      <c r="AE6471">
        <v>-0.32728000000000101</v>
      </c>
      <c r="AF6471">
        <v>-4.4953551856634704</v>
      </c>
      <c r="AG6471">
        <v>-1.1121300649400001</v>
      </c>
      <c r="AH6471">
        <v>23.207700515291599</v>
      </c>
      <c r="AI6471">
        <v>92.693566720766995</v>
      </c>
      <c r="AJ6471">
        <v>100.96249166834301</v>
      </c>
      <c r="AK6471">
        <v>23.665215290254199</v>
      </c>
      <c r="AL6471">
        <v>91.230195434822306</v>
      </c>
      <c r="AM6471">
        <v>88.070842365948195</v>
      </c>
      <c r="AN6471">
        <v>0.99999994757753696</v>
      </c>
    </row>
    <row r="6472" spans="1:40" x14ac:dyDescent="0.25">
      <c r="A6472" t="str">
        <f>"20190312155004586"</f>
        <v>20190312155004586</v>
      </c>
      <c r="B6472" t="str">
        <f>"1552377004582303"</f>
        <v>1552377004582303</v>
      </c>
      <c r="C6472" t="s">
        <v>40</v>
      </c>
      <c r="D6472">
        <v>4.6533790000000002</v>
      </c>
      <c r="E6472">
        <v>0.41366960000000003</v>
      </c>
      <c r="F6472" t="s">
        <v>73</v>
      </c>
      <c r="G6472">
        <v>-247.08699999999999</v>
      </c>
      <c r="H6472" s="1">
        <v>-2.1127390000000001E-6</v>
      </c>
      <c r="I6472">
        <v>-60.704270000000001</v>
      </c>
      <c r="J6472">
        <v>-270.52460000000002</v>
      </c>
      <c r="K6472">
        <v>1.112152</v>
      </c>
      <c r="L6472">
        <v>-60.435519999999997</v>
      </c>
      <c r="M6472">
        <v>0.97928610000000005</v>
      </c>
      <c r="N6472">
        <v>0</v>
      </c>
      <c r="O6472">
        <v>-0.2020256</v>
      </c>
      <c r="P6472">
        <v>0.97160780000000002</v>
      </c>
      <c r="Q6472">
        <v>-3.4310649999999998E-2</v>
      </c>
      <c r="R6472">
        <v>-0.23409720000000001</v>
      </c>
      <c r="S6472">
        <v>3.0749209999999998</v>
      </c>
      <c r="T6472">
        <v>-0.14517840000000001</v>
      </c>
      <c r="U6472">
        <v>-3.805542E-2</v>
      </c>
      <c r="V6472">
        <v>3.308092E-2</v>
      </c>
      <c r="W6472">
        <v>-2.053673E-2</v>
      </c>
      <c r="X6472">
        <v>0.99924170000000001</v>
      </c>
      <c r="Y6472">
        <v>-0.18947539999999999</v>
      </c>
      <c r="Z6472">
        <v>1.3951180000000001E-2</v>
      </c>
      <c r="AA6472">
        <v>0.98178639999999995</v>
      </c>
      <c r="AB6472">
        <v>25</v>
      </c>
      <c r="AC6472">
        <v>23.4376</v>
      </c>
      <c r="AD6472">
        <v>-1.112154112739</v>
      </c>
      <c r="AE6472">
        <v>-0.26874999999999699</v>
      </c>
      <c r="AF6472">
        <v>-4.4621783942975002</v>
      </c>
      <c r="AG6472">
        <v>-1.112154112739</v>
      </c>
      <c r="AH6472">
        <v>22.956847340507899</v>
      </c>
      <c r="AI6472">
        <v>92.722673142552694</v>
      </c>
      <c r="AJ6472">
        <v>100.999565454878</v>
      </c>
      <c r="AK6472">
        <v>23.4129187118651</v>
      </c>
      <c r="AL6472">
        <v>91.176750634259307</v>
      </c>
      <c r="AM6472">
        <v>88.103857058718404</v>
      </c>
      <c r="AN6472">
        <v>1.00000003978301</v>
      </c>
    </row>
    <row r="6473" spans="1:40" x14ac:dyDescent="0.25">
      <c r="A6473" t="str">
        <f>"20190312155004596"</f>
        <v>20190312155004596</v>
      </c>
      <c r="B6473" t="str">
        <f>"1552377004592063"</f>
        <v>1552377004592063</v>
      </c>
      <c r="C6473" t="s">
        <v>40</v>
      </c>
      <c r="D6473">
        <v>4.6381160000000001</v>
      </c>
      <c r="E6473">
        <v>0.41371619999999998</v>
      </c>
      <c r="F6473" t="s">
        <v>73</v>
      </c>
      <c r="G6473">
        <v>-246.7133</v>
      </c>
      <c r="H6473" s="1">
        <v>-1.9448800000000001E-6</v>
      </c>
      <c r="I6473">
        <v>-60.675780000000003</v>
      </c>
      <c r="J6473">
        <v>-270.40660000000003</v>
      </c>
      <c r="K6473">
        <v>1.112171</v>
      </c>
      <c r="L6473">
        <v>-60.457920000000001</v>
      </c>
      <c r="M6473">
        <v>0.97963180000000005</v>
      </c>
      <c r="N6473">
        <v>0</v>
      </c>
      <c r="O6473">
        <v>-0.2003402</v>
      </c>
      <c r="P6473">
        <v>0.97223619999999999</v>
      </c>
      <c r="Q6473">
        <v>-3.3008669999999997E-2</v>
      </c>
      <c r="R6473">
        <v>-0.23166249999999999</v>
      </c>
      <c r="S6473">
        <v>3.0751040000000001</v>
      </c>
      <c r="T6473">
        <v>-0.14362929999999999</v>
      </c>
      <c r="U6473">
        <v>-3.1036379999999999E-2</v>
      </c>
      <c r="V6473">
        <v>3.2281230000000001E-2</v>
      </c>
      <c r="W6473">
        <v>-1.921312E-2</v>
      </c>
      <c r="X6473">
        <v>0.99929420000000002</v>
      </c>
      <c r="Y6473">
        <v>-0.19003790000000001</v>
      </c>
      <c r="Z6473">
        <v>1.37381E-2</v>
      </c>
      <c r="AA6473">
        <v>0.98168060000000001</v>
      </c>
      <c r="AB6473">
        <v>25</v>
      </c>
      <c r="AC6473">
        <v>23.693300000000001</v>
      </c>
      <c r="AD6473">
        <v>-1.11217294488</v>
      </c>
      <c r="AE6473">
        <v>-0.21786000000000799</v>
      </c>
      <c r="AF6473">
        <v>-4.52375124199426</v>
      </c>
      <c r="AG6473">
        <v>-1.11217294488</v>
      </c>
      <c r="AH6473">
        <v>23.205385085338701</v>
      </c>
      <c r="AI6473">
        <v>92.693312766848607</v>
      </c>
      <c r="AJ6473">
        <v>101.03111949409799</v>
      </c>
      <c r="AK6473">
        <v>23.668357588088501</v>
      </c>
      <c r="AL6473">
        <v>91.100898360003697</v>
      </c>
      <c r="AM6473">
        <v>88.149758836773998</v>
      </c>
      <c r="AN6473">
        <v>1.00000005997204</v>
      </c>
    </row>
    <row r="6474" spans="1:40" x14ac:dyDescent="0.25">
      <c r="A6474" t="str">
        <f>"20190312155004606"</f>
        <v>20190312155004606</v>
      </c>
      <c r="B6474" t="str">
        <f>"1552377004602798"</f>
        <v>1552377004602798</v>
      </c>
      <c r="C6474" t="s">
        <v>40</v>
      </c>
      <c r="D6474">
        <v>4.6381610000000002</v>
      </c>
      <c r="E6474">
        <v>0.41371279999999999</v>
      </c>
      <c r="F6474" t="s">
        <v>73</v>
      </c>
      <c r="G6474">
        <v>-246.12989999999999</v>
      </c>
      <c r="H6474" s="1">
        <v>-1.686412E-6</v>
      </c>
      <c r="I6474">
        <v>-60.645049999999998</v>
      </c>
      <c r="J6474">
        <v>-270.29640000000001</v>
      </c>
      <c r="K6474">
        <v>1.1121890000000001</v>
      </c>
      <c r="L6474">
        <v>-60.478789999999996</v>
      </c>
      <c r="M6474">
        <v>0.9799523</v>
      </c>
      <c r="N6474">
        <v>0</v>
      </c>
      <c r="O6474">
        <v>-0.19876530000000001</v>
      </c>
      <c r="P6474">
        <v>0.97280180000000005</v>
      </c>
      <c r="Q6474">
        <v>-3.2279549999999997E-2</v>
      </c>
      <c r="R6474">
        <v>-0.22937959999999999</v>
      </c>
      <c r="S6474">
        <v>3.0752259999999998</v>
      </c>
      <c r="T6474">
        <v>-0.1408837</v>
      </c>
      <c r="U6474">
        <v>-2.3712159999999999E-2</v>
      </c>
      <c r="V6474">
        <v>3.1532999999999999E-2</v>
      </c>
      <c r="W6474">
        <v>-1.846476E-2</v>
      </c>
      <c r="X6474">
        <v>0.99933209999999995</v>
      </c>
      <c r="Y6474">
        <v>-0.19081490000000001</v>
      </c>
      <c r="Z6474">
        <v>1.3422730000000001E-2</v>
      </c>
      <c r="AA6474">
        <v>0.98153420000000002</v>
      </c>
      <c r="AB6474">
        <v>25</v>
      </c>
      <c r="AC6474">
        <v>24.166499999999999</v>
      </c>
      <c r="AD6474">
        <v>-1.1121906864119999</v>
      </c>
      <c r="AE6474">
        <v>-0.166259999999994</v>
      </c>
      <c r="AF6474">
        <v>-4.6311575824979396</v>
      </c>
      <c r="AG6474">
        <v>-1.1121906864119999</v>
      </c>
      <c r="AH6474">
        <v>23.667142732422199</v>
      </c>
      <c r="AI6474">
        <v>92.640517587964695</v>
      </c>
      <c r="AJ6474">
        <v>101.07167070615</v>
      </c>
      <c r="AK6474">
        <v>24.1416286483269</v>
      </c>
      <c r="AL6474">
        <v>91.058012985102906</v>
      </c>
      <c r="AM6474">
        <v>88.192684342551104</v>
      </c>
      <c r="AN6474">
        <v>0.999999961770632</v>
      </c>
    </row>
    <row r="6475" spans="1:40" x14ac:dyDescent="0.25">
      <c r="A6475" t="str">
        <f>"20190312155004616"</f>
        <v>20190312155004616</v>
      </c>
      <c r="B6475" t="str">
        <f>"1552377004612559"</f>
        <v>1552377004612559</v>
      </c>
      <c r="C6475" t="s">
        <v>40</v>
      </c>
      <c r="D6475">
        <v>4.6202230000000002</v>
      </c>
      <c r="E6475">
        <v>0.41383039999999999</v>
      </c>
      <c r="F6475" t="s">
        <v>73</v>
      </c>
      <c r="G6475">
        <v>-245.85169999999999</v>
      </c>
      <c r="H6475" s="1">
        <v>-1.5575159999999999E-6</v>
      </c>
      <c r="I6475">
        <v>-60.609229999999997</v>
      </c>
      <c r="J6475">
        <v>-270.18979999999999</v>
      </c>
      <c r="K6475">
        <v>1.1121970000000001</v>
      </c>
      <c r="L6475">
        <v>-60.498629999999999</v>
      </c>
      <c r="M6475">
        <v>0.98026080000000004</v>
      </c>
      <c r="N6475">
        <v>0</v>
      </c>
      <c r="O6475">
        <v>-0.19723650000000001</v>
      </c>
      <c r="P6475">
        <v>0.97336089999999997</v>
      </c>
      <c r="Q6475">
        <v>-3.168907E-2</v>
      </c>
      <c r="R6475">
        <v>-0.22707840000000001</v>
      </c>
      <c r="S6475">
        <v>3.075348</v>
      </c>
      <c r="T6475">
        <v>-0.13992270000000001</v>
      </c>
      <c r="U6475">
        <v>-1.6418459999999999E-2</v>
      </c>
      <c r="V6475">
        <v>3.0721310000000002E-2</v>
      </c>
      <c r="W6475">
        <v>-1.7859E-2</v>
      </c>
      <c r="X6475">
        <v>0.99936840000000005</v>
      </c>
      <c r="Y6475">
        <v>-0.19161819999999999</v>
      </c>
      <c r="Z6475">
        <v>1.328119E-2</v>
      </c>
      <c r="AA6475">
        <v>0.98137969999999997</v>
      </c>
      <c r="AB6475">
        <v>25</v>
      </c>
      <c r="AC6475">
        <v>24.338100000000001</v>
      </c>
      <c r="AD6475">
        <v>-1.1121985575159901</v>
      </c>
      <c r="AE6475">
        <v>-0.11059999999999801</v>
      </c>
      <c r="AF6475">
        <v>-4.6826040201522696</v>
      </c>
      <c r="AG6475">
        <v>-1.1121985575159901</v>
      </c>
      <c r="AH6475">
        <v>23.831960057455799</v>
      </c>
      <c r="AI6475">
        <v>92.621902155260003</v>
      </c>
      <c r="AJ6475">
        <v>101.116110334016</v>
      </c>
      <c r="AK6475">
        <v>24.313084671037799</v>
      </c>
      <c r="AL6475">
        <v>91.023299756943601</v>
      </c>
      <c r="AM6475">
        <v>88.239240644995405</v>
      </c>
      <c r="AN6475">
        <v>0.99999997084383696</v>
      </c>
    </row>
    <row r="6476" spans="1:40" x14ac:dyDescent="0.25">
      <c r="A6476" t="str">
        <f>"20190312155004649"</f>
        <v>20190312155004649</v>
      </c>
      <c r="B6476" t="str">
        <f>"1552377004642814"</f>
        <v>1552377004642814</v>
      </c>
      <c r="C6476" t="s">
        <v>40</v>
      </c>
      <c r="D6476">
        <v>4.6407369999999997</v>
      </c>
      <c r="E6476">
        <v>0.41383039999999999</v>
      </c>
      <c r="F6476" t="s">
        <v>73</v>
      </c>
      <c r="G6476">
        <v>-245.66669999999999</v>
      </c>
      <c r="H6476" s="1">
        <v>-1.4698789999999999E-6</v>
      </c>
      <c r="I6476">
        <v>-60.578150000000001</v>
      </c>
      <c r="J6476">
        <v>-269.84210000000002</v>
      </c>
      <c r="K6476">
        <v>1.1122099999999999</v>
      </c>
      <c r="L6476">
        <v>-60.562469999999998</v>
      </c>
      <c r="M6476">
        <v>0.98125079999999998</v>
      </c>
      <c r="N6476">
        <v>0</v>
      </c>
      <c r="O6476">
        <v>-0.1922471</v>
      </c>
      <c r="P6476">
        <v>0.9750875</v>
      </c>
      <c r="Q6476">
        <v>-3.3384450000000003E-2</v>
      </c>
      <c r="R6476">
        <v>-0.2192945</v>
      </c>
      <c r="S6476">
        <v>3.0751949999999999</v>
      </c>
      <c r="T6476">
        <v>-0.1394695</v>
      </c>
      <c r="U6476">
        <v>-9.9792479999999996E-3</v>
      </c>
      <c r="V6476">
        <v>2.784207E-2</v>
      </c>
      <c r="W6476">
        <v>-1.9515399999999999E-2</v>
      </c>
      <c r="X6476">
        <v>0.99942180000000003</v>
      </c>
      <c r="Y6476">
        <v>-0.18869</v>
      </c>
      <c r="Z6476">
        <v>1.29502E-2</v>
      </c>
      <c r="AA6476">
        <v>0.98195129999999997</v>
      </c>
      <c r="AB6476">
        <v>25</v>
      </c>
      <c r="AC6476">
        <v>24.1754</v>
      </c>
      <c r="AD6476">
        <v>-1.112211469879</v>
      </c>
      <c r="AE6476">
        <v>-1.5680000000003198E-2</v>
      </c>
      <c r="AF6476">
        <v>-4.6229152361623802</v>
      </c>
      <c r="AG6476">
        <v>-1.112211469879</v>
      </c>
      <c r="AH6476">
        <v>23.6772605998042</v>
      </c>
      <c r="AI6476">
        <v>92.639654323158297</v>
      </c>
      <c r="AJ6476">
        <v>101.047844656481</v>
      </c>
      <c r="AK6476">
        <v>24.149969547506899</v>
      </c>
      <c r="AL6476">
        <v>91.118221061411106</v>
      </c>
      <c r="AM6476">
        <v>88.404256720410501</v>
      </c>
      <c r="AN6476">
        <v>0.99999998300714199</v>
      </c>
    </row>
    <row r="6477" spans="1:40" x14ac:dyDescent="0.25">
      <c r="A6477" t="str">
        <f>"20190312155004662"</f>
        <v>20190312155004662</v>
      </c>
      <c r="B6477" t="str">
        <f>"1552377004652575"</f>
        <v>1552377004652575</v>
      </c>
      <c r="C6477" t="s">
        <v>40</v>
      </c>
      <c r="D6477">
        <v>4.6888560000000004</v>
      </c>
      <c r="E6477">
        <v>0.4207439</v>
      </c>
      <c r="F6477" t="s">
        <v>73</v>
      </c>
      <c r="G6477">
        <v>-246.03120000000001</v>
      </c>
      <c r="H6477" s="1">
        <v>-1.5919420000000001E-6</v>
      </c>
      <c r="I6477">
        <v>-60.449219999999997</v>
      </c>
      <c r="J6477">
        <v>-269.70620000000002</v>
      </c>
      <c r="K6477">
        <v>1.1122069999999999</v>
      </c>
      <c r="L6477">
        <v>-60.586910000000003</v>
      </c>
      <c r="M6477">
        <v>0.98163009999999995</v>
      </c>
      <c r="N6477">
        <v>0</v>
      </c>
      <c r="O6477">
        <v>-0.1902983</v>
      </c>
      <c r="P6477">
        <v>0.97566229999999998</v>
      </c>
      <c r="Q6477">
        <v>-3.4406440000000003E-2</v>
      </c>
      <c r="R6477">
        <v>-0.21656230000000001</v>
      </c>
      <c r="S6477">
        <v>3.075043</v>
      </c>
      <c r="T6477">
        <v>-0.1436356</v>
      </c>
      <c r="U6477">
        <v>1.461792E-2</v>
      </c>
      <c r="V6477">
        <v>2.7039560000000001E-2</v>
      </c>
      <c r="W6477">
        <v>-2.0524239999999999E-2</v>
      </c>
      <c r="X6477">
        <v>0.99942359999999997</v>
      </c>
      <c r="Y6477">
        <v>-0.19456309999999999</v>
      </c>
      <c r="Z6477">
        <v>1.338634E-2</v>
      </c>
      <c r="AA6477">
        <v>0.98079870000000002</v>
      </c>
      <c r="AB6477">
        <v>25</v>
      </c>
      <c r="AC6477">
        <v>23.675000000000001</v>
      </c>
      <c r="AD6477">
        <v>-1.1122085919419999</v>
      </c>
      <c r="AE6477">
        <v>0.13768999999999901</v>
      </c>
      <c r="AF6477">
        <v>-4.6306919041801002</v>
      </c>
      <c r="AG6477">
        <v>-1.1122085919419999</v>
      </c>
      <c r="AH6477">
        <v>23.164961166729601</v>
      </c>
      <c r="AI6477">
        <v>92.695555895314399</v>
      </c>
      <c r="AJ6477">
        <v>101.304461609063</v>
      </c>
      <c r="AK6477">
        <v>23.649434270601901</v>
      </c>
      <c r="AL6477">
        <v>91.176034956229103</v>
      </c>
      <c r="AM6477">
        <v>88.450231887879596</v>
      </c>
      <c r="AN6477">
        <v>0.99999995723476398</v>
      </c>
    </row>
    <row r="6478" spans="1:40" x14ac:dyDescent="0.25">
      <c r="A6478" t="str">
        <f>"20190312155004675"</f>
        <v>20190312155004675</v>
      </c>
      <c r="B6478" t="str">
        <f>"1552377004672095"</f>
        <v>1552377004672095</v>
      </c>
      <c r="C6478" t="s">
        <v>40</v>
      </c>
      <c r="D6478">
        <v>4.5892929999999996</v>
      </c>
      <c r="E6478">
        <v>0.42039799999999999</v>
      </c>
      <c r="F6478" t="s">
        <v>72</v>
      </c>
      <c r="G6478">
        <v>-253.88300000000001</v>
      </c>
      <c r="H6478" s="1">
        <v>-8.7928819999999996E-7</v>
      </c>
      <c r="I6478">
        <v>-60.731409999999997</v>
      </c>
      <c r="J6478">
        <v>-269.56209999999999</v>
      </c>
      <c r="K6478">
        <v>1.112201</v>
      </c>
      <c r="L6478">
        <v>-60.612459999999999</v>
      </c>
      <c r="M6478">
        <v>0.9820276</v>
      </c>
      <c r="N6478">
        <v>0</v>
      </c>
      <c r="O6478">
        <v>-0.18823570000000001</v>
      </c>
      <c r="P6478">
        <v>0.97614849999999997</v>
      </c>
      <c r="Q6478">
        <v>-3.5548980000000001E-2</v>
      </c>
      <c r="R6478">
        <v>-0.21417410000000001</v>
      </c>
      <c r="S6478">
        <v>3.061035</v>
      </c>
      <c r="T6478">
        <v>-0.21515919999999999</v>
      </c>
      <c r="U6478">
        <v>-2.7954099999999999E-2</v>
      </c>
      <c r="V6478">
        <v>2.670734E-2</v>
      </c>
      <c r="W6478">
        <v>-2.1652149999999998E-2</v>
      </c>
      <c r="X6478">
        <v>0.99940879999999999</v>
      </c>
      <c r="Y6478">
        <v>-0.17837709999999901</v>
      </c>
      <c r="Z6478">
        <v>1.941437E-2</v>
      </c>
      <c r="AA6478">
        <v>0.9837707</v>
      </c>
      <c r="AB6478">
        <v>25</v>
      </c>
      <c r="AC6478">
        <v>15.6791</v>
      </c>
      <c r="AD6478">
        <v>-1.1122018792882</v>
      </c>
      <c r="AE6478">
        <v>-0.118949999999998</v>
      </c>
      <c r="AF6478">
        <v>-2.82063016302076</v>
      </c>
      <c r="AG6478">
        <v>-1.1122018792882</v>
      </c>
      <c r="AH6478">
        <v>15.3439542743569</v>
      </c>
      <c r="AI6478">
        <v>94.077727445594604</v>
      </c>
      <c r="AJ6478">
        <v>100.416210112909</v>
      </c>
      <c r="AK6478">
        <v>15.640648334081</v>
      </c>
      <c r="AL6478">
        <v>91.240673737227496</v>
      </c>
      <c r="AM6478">
        <v>88.469241251605396</v>
      </c>
      <c r="AN6478">
        <v>1.0000000235634601</v>
      </c>
    </row>
    <row r="6479" spans="1:40" x14ac:dyDescent="0.25">
      <c r="A6479" t="str">
        <f>"20190312155004688"</f>
        <v>20190312155004688</v>
      </c>
      <c r="B6479" t="str">
        <f>"1552377004682831"</f>
        <v>1552377004682831</v>
      </c>
      <c r="C6479" t="s">
        <v>40</v>
      </c>
      <c r="D6479">
        <v>4.4321669999999997</v>
      </c>
      <c r="E6479">
        <v>0.42039799999999999</v>
      </c>
      <c r="F6479" t="s">
        <v>72</v>
      </c>
      <c r="G6479">
        <v>-252.63140000000001</v>
      </c>
      <c r="H6479" s="1">
        <v>-3.3851539999999998E-7</v>
      </c>
      <c r="I6479">
        <v>-60.714210000000001</v>
      </c>
      <c r="J6479">
        <v>-269.41640000000001</v>
      </c>
      <c r="K6479">
        <v>1.1121970000000001</v>
      </c>
      <c r="L6479">
        <v>-60.638060000000003</v>
      </c>
      <c r="M6479">
        <v>0.98242430000000003</v>
      </c>
      <c r="N6479">
        <v>0</v>
      </c>
      <c r="O6479">
        <v>-0.18615329999999999</v>
      </c>
      <c r="P6479">
        <v>0.97665349999999995</v>
      </c>
      <c r="Q6479">
        <v>-3.673883E-2</v>
      </c>
      <c r="R6479">
        <v>-0.2116566</v>
      </c>
      <c r="S6479">
        <v>3.0619510000000001</v>
      </c>
      <c r="T6479">
        <v>-0.2011434</v>
      </c>
      <c r="U6479">
        <v>-1.8402100000000001E-2</v>
      </c>
      <c r="V6479">
        <v>2.626415E-2</v>
      </c>
      <c r="W6479">
        <v>-2.2829120000000001E-2</v>
      </c>
      <c r="X6479">
        <v>0.99939440000000002</v>
      </c>
      <c r="Y6479">
        <v>-0.17947850000000001</v>
      </c>
      <c r="Z6479">
        <v>1.8049579999999999E-2</v>
      </c>
      <c r="AA6479">
        <v>0.98359629999999998</v>
      </c>
      <c r="AB6479">
        <v>25</v>
      </c>
      <c r="AC6479">
        <v>16.784999999999901</v>
      </c>
      <c r="AD6479">
        <v>-1.11219733851539</v>
      </c>
      <c r="AE6479">
        <v>-7.6149999999998302E-2</v>
      </c>
      <c r="AF6479">
        <v>-3.0367277564343902</v>
      </c>
      <c r="AG6479">
        <v>-1.11219733851539</v>
      </c>
      <c r="AH6479">
        <v>16.433579662018602</v>
      </c>
      <c r="AI6479">
        <v>93.807512200747198</v>
      </c>
      <c r="AJ6479">
        <v>100.469471062187</v>
      </c>
      <c r="AK6479">
        <v>16.7487682799187</v>
      </c>
      <c r="AL6479">
        <v>91.308125776225395</v>
      </c>
      <c r="AM6479">
        <v>88.494609676319897</v>
      </c>
      <c r="AN6479">
        <v>1.0000000705232699</v>
      </c>
    </row>
    <row r="6480" spans="1:40" x14ac:dyDescent="0.25">
      <c r="A6480" t="str">
        <f>"20190312155004704"</f>
        <v>20190312155004704</v>
      </c>
      <c r="B6480" t="str">
        <f>"1552377004692591"</f>
        <v>1552377004692591</v>
      </c>
      <c r="C6480" t="s">
        <v>40</v>
      </c>
      <c r="D6480">
        <v>4.5365199999999897</v>
      </c>
      <c r="E6480">
        <v>0.41278110000000001</v>
      </c>
      <c r="F6480" t="s">
        <v>72</v>
      </c>
      <c r="G6480">
        <v>-252.73990000000001</v>
      </c>
      <c r="H6480" s="1">
        <v>-3.8072819999999998E-7</v>
      </c>
      <c r="I6480">
        <v>-60.694580000000002</v>
      </c>
      <c r="J6480">
        <v>-269.24450000000002</v>
      </c>
      <c r="K6480">
        <v>1.1121920000000001</v>
      </c>
      <c r="L6480">
        <v>-60.667879999999997</v>
      </c>
      <c r="M6480">
        <v>0.98288600000000004</v>
      </c>
      <c r="N6480">
        <v>0</v>
      </c>
      <c r="O6480">
        <v>-0.183699</v>
      </c>
      <c r="P6480">
        <v>0.97719029999999996</v>
      </c>
      <c r="Q6480">
        <v>-3.8631409999999998E-2</v>
      </c>
      <c r="R6480">
        <v>-0.2088238</v>
      </c>
      <c r="S6480">
        <v>3.0617679999999998</v>
      </c>
      <c r="T6480">
        <v>-0.20419689999999999</v>
      </c>
      <c r="U6480">
        <v>-1.037598E-2</v>
      </c>
      <c r="V6480">
        <v>2.5886070000000001E-2</v>
      </c>
      <c r="W6480">
        <v>-2.4708040000000001E-2</v>
      </c>
      <c r="X6480">
        <v>0.99935949999999996</v>
      </c>
      <c r="Y6480">
        <v>-0.17958080000000001</v>
      </c>
      <c r="Z6480">
        <v>1.8167030000000001E-2</v>
      </c>
      <c r="AA6480">
        <v>0.98357550000000005</v>
      </c>
      <c r="AB6480">
        <v>25</v>
      </c>
      <c r="AC6480">
        <v>16.5046</v>
      </c>
      <c r="AD6480">
        <v>-1.1121923807281999</v>
      </c>
      <c r="AE6480">
        <v>-2.66999999999981E-2</v>
      </c>
      <c r="AF6480">
        <v>-2.99233262279003</v>
      </c>
      <c r="AG6480">
        <v>-1.1121923807281999</v>
      </c>
      <c r="AH6480">
        <v>16.155224710553401</v>
      </c>
      <c r="AI6480">
        <v>93.872599521965995</v>
      </c>
      <c r="AJ6480">
        <v>100.493617861613</v>
      </c>
      <c r="AK6480">
        <v>16.4676140307465</v>
      </c>
      <c r="AL6480">
        <v>91.415810502513807</v>
      </c>
      <c r="AM6480">
        <v>88.516218653628997</v>
      </c>
      <c r="AN6480">
        <v>0.99999999305046805</v>
      </c>
    </row>
    <row r="6481" spans="1:40" x14ac:dyDescent="0.25">
      <c r="A6481" t="str">
        <f>"20190312155004716"</f>
        <v>20190312155004716</v>
      </c>
      <c r="B6481" t="str">
        <f>"1552377004702351"</f>
        <v>1552377004702351</v>
      </c>
      <c r="C6481" t="s">
        <v>40</v>
      </c>
      <c r="D6481">
        <v>4.4829369999999997</v>
      </c>
      <c r="E6481">
        <v>0.41358519999999999</v>
      </c>
      <c r="F6481" t="s">
        <v>77</v>
      </c>
      <c r="G6481">
        <v>-157.3501</v>
      </c>
      <c r="H6481">
        <v>1.1746099999999999</v>
      </c>
      <c r="I6481">
        <v>-58.87771</v>
      </c>
      <c r="J6481">
        <v>-269.12529999999998</v>
      </c>
      <c r="K6481">
        <v>1.1121780000000001</v>
      </c>
      <c r="L6481">
        <v>-60.688200000000002</v>
      </c>
      <c r="M6481">
        <v>0.98320110000000005</v>
      </c>
      <c r="N6481">
        <v>0</v>
      </c>
      <c r="O6481">
        <v>-0.1820029</v>
      </c>
      <c r="P6481">
        <v>0.97755009999999998</v>
      </c>
      <c r="Q6481">
        <v>-3.9490400000000002E-2</v>
      </c>
      <c r="R6481">
        <v>-0.20697009999999999</v>
      </c>
      <c r="S6481">
        <v>3.0806269999999998</v>
      </c>
      <c r="T6481">
        <v>1.7179249999999999E-3</v>
      </c>
      <c r="U6481">
        <v>4.9285889999999999E-2</v>
      </c>
      <c r="V6481">
        <v>2.5725600000000001E-2</v>
      </c>
      <c r="W6481">
        <v>-2.5558480000000001E-2</v>
      </c>
      <c r="X6481">
        <v>0.99934230000000002</v>
      </c>
      <c r="Y6481">
        <v>-0.19772619999999999</v>
      </c>
      <c r="Z6481">
        <v>-1.562353E-4</v>
      </c>
      <c r="AA6481">
        <v>0.9802573</v>
      </c>
      <c r="AB6481">
        <v>25</v>
      </c>
      <c r="AC6481">
        <v>111.775199999999</v>
      </c>
      <c r="AD6481">
        <v>6.24319999999998E-2</v>
      </c>
      <c r="AE6481">
        <v>1.8104899999999999</v>
      </c>
      <c r="AF6481">
        <v>-22.125587427470801</v>
      </c>
      <c r="AG6481">
        <v>6.24319999999998E-2</v>
      </c>
      <c r="AH6481">
        <v>109.57839109315201</v>
      </c>
      <c r="AI6481">
        <v>89.968001652460799</v>
      </c>
      <c r="AJ6481">
        <v>101.415428333807</v>
      </c>
      <c r="AK6481">
        <v>111.78984440157799</v>
      </c>
      <c r="AL6481">
        <v>91.464552459097405</v>
      </c>
      <c r="AM6481">
        <v>88.5253873011292</v>
      </c>
      <c r="AN6481">
        <v>1.00000003748227</v>
      </c>
    </row>
    <row r="6482" spans="1:40" x14ac:dyDescent="0.25">
      <c r="A6482" t="str">
        <f>"20190312155004728"</f>
        <v>20190312155004728</v>
      </c>
      <c r="B6482" t="str">
        <f>"1552377004722848"</f>
        <v>1552377004722848</v>
      </c>
      <c r="C6482" t="s">
        <v>40</v>
      </c>
      <c r="D6482">
        <v>4.3818890000000001</v>
      </c>
      <c r="E6482">
        <v>0.41464970000000001</v>
      </c>
      <c r="F6482" t="s">
        <v>77</v>
      </c>
      <c r="G6482">
        <v>-157.3501</v>
      </c>
      <c r="H6482">
        <v>0.89690780000000003</v>
      </c>
      <c r="I6482">
        <v>-58.908990000000003</v>
      </c>
      <c r="J6482">
        <v>-268.98</v>
      </c>
      <c r="K6482">
        <v>1.112171</v>
      </c>
      <c r="L6482">
        <v>-60.7127699999999</v>
      </c>
      <c r="M6482">
        <v>0.98358120000000004</v>
      </c>
      <c r="N6482">
        <v>0</v>
      </c>
      <c r="O6482">
        <v>-0.17993700000000001</v>
      </c>
      <c r="P6482">
        <v>0.97792869999999998</v>
      </c>
      <c r="Q6482">
        <v>-4.0621909999999997E-2</v>
      </c>
      <c r="R6482">
        <v>-0.20495289999999999</v>
      </c>
      <c r="S6482">
        <v>3.0790410000000001</v>
      </c>
      <c r="T6482">
        <v>-5.9305429999999999E-3</v>
      </c>
      <c r="U6482">
        <v>4.9011230000000003E-2</v>
      </c>
      <c r="V6482">
        <v>2.5777359999999999E-2</v>
      </c>
      <c r="W6482">
        <v>-2.667885E-2</v>
      </c>
      <c r="X6482">
        <v>0.99931159999999997</v>
      </c>
      <c r="Y6482">
        <v>-0.1955866</v>
      </c>
      <c r="Z6482">
        <v>5.336335E-4</v>
      </c>
      <c r="AA6482">
        <v>0.98068630000000001</v>
      </c>
      <c r="AB6482">
        <v>25</v>
      </c>
      <c r="AC6482">
        <v>111.62990000000001</v>
      </c>
      <c r="AD6482">
        <v>-0.21526319999999899</v>
      </c>
      <c r="AE6482">
        <v>1.80377999999998</v>
      </c>
      <c r="AF6482">
        <v>-21.862516824280299</v>
      </c>
      <c r="AG6482">
        <v>-0.21526319999999899</v>
      </c>
      <c r="AH6482">
        <v>109.48253686516701</v>
      </c>
      <c r="AI6482">
        <v>90.110473032454095</v>
      </c>
      <c r="AJ6482">
        <v>101.29282725913301</v>
      </c>
      <c r="AK6482">
        <v>111.64426478135699</v>
      </c>
      <c r="AL6482">
        <v>91.528766967569894</v>
      </c>
      <c r="AM6482">
        <v>88.522376316227096</v>
      </c>
      <c r="AN6482">
        <v>0.99999995361022498</v>
      </c>
    </row>
    <row r="6483" spans="1:40" x14ac:dyDescent="0.25">
      <c r="A6483" t="str">
        <f>"20190312155004751"</f>
        <v>20190312155004751</v>
      </c>
      <c r="B6483" t="str">
        <f>"1552377004741899"</f>
        <v>1552377004741899</v>
      </c>
      <c r="C6483" t="s">
        <v>40</v>
      </c>
      <c r="D6483">
        <v>4.502529</v>
      </c>
      <c r="E6483">
        <v>0.41490270000000001</v>
      </c>
      <c r="F6483" t="s">
        <v>77</v>
      </c>
      <c r="G6483">
        <v>-157.3501</v>
      </c>
      <c r="H6483">
        <v>0.40198519999999999</v>
      </c>
      <c r="I6483">
        <v>-58.98995</v>
      </c>
      <c r="J6483">
        <v>-268.74250000000001</v>
      </c>
      <c r="K6483">
        <v>1.1121540000000001</v>
      </c>
      <c r="L6483">
        <v>-60.752229999999997</v>
      </c>
      <c r="M6483">
        <v>0.98419299999999998</v>
      </c>
      <c r="N6483">
        <v>0</v>
      </c>
      <c r="O6483">
        <v>-0.1765591</v>
      </c>
      <c r="P6483">
        <v>0.97853889999999999</v>
      </c>
      <c r="Q6483">
        <v>-4.1980820000000002E-2</v>
      </c>
      <c r="R6483">
        <v>-0.20174110000000001</v>
      </c>
      <c r="S6483">
        <v>3.076813</v>
      </c>
      <c r="T6483">
        <v>-1.9575120000000001E-2</v>
      </c>
      <c r="U6483">
        <v>4.7485350000000003E-2</v>
      </c>
      <c r="V6483">
        <v>2.5944499999999999E-2</v>
      </c>
      <c r="W6483">
        <v>-2.8021130000000002E-2</v>
      </c>
      <c r="X6483">
        <v>0.99927060000000001</v>
      </c>
      <c r="Y6483">
        <v>-0.1917365</v>
      </c>
      <c r="Z6483">
        <v>1.7291429999999901E-3</v>
      </c>
      <c r="AA6483">
        <v>0.98144489999999995</v>
      </c>
      <c r="AB6483">
        <v>25</v>
      </c>
      <c r="AC6483">
        <v>111.39239999999999</v>
      </c>
      <c r="AD6483">
        <v>-0.71016880000000004</v>
      </c>
      <c r="AE6483">
        <v>1.7622800000000001</v>
      </c>
      <c r="AF6483">
        <v>-21.402940223366699</v>
      </c>
      <c r="AG6483">
        <v>-0.71016880000000004</v>
      </c>
      <c r="AH6483">
        <v>109.326474105694</v>
      </c>
      <c r="AI6483">
        <v>90.365246515775695</v>
      </c>
      <c r="AJ6483">
        <v>101.07675312465599</v>
      </c>
      <c r="AK6483">
        <v>111.40407591427</v>
      </c>
      <c r="AL6483">
        <v>91.605702635187797</v>
      </c>
      <c r="AM6483">
        <v>88.5127387239407</v>
      </c>
      <c r="AN6483">
        <v>1.00000001641554</v>
      </c>
    </row>
    <row r="6484" spans="1:40" x14ac:dyDescent="0.25">
      <c r="A6484" t="str">
        <f>"20190312155004764"</f>
        <v>20190312155004764</v>
      </c>
      <c r="B6484" t="str">
        <f>"1552377004752635"</f>
        <v>1552377004752635</v>
      </c>
      <c r="C6484" t="s">
        <v>40</v>
      </c>
      <c r="D6484">
        <v>4.486764</v>
      </c>
      <c r="E6484">
        <v>0.42036289999999998</v>
      </c>
      <c r="F6484" t="s">
        <v>77</v>
      </c>
      <c r="G6484">
        <v>-157.3501</v>
      </c>
      <c r="H6484">
        <v>6.4856529999999996E-2</v>
      </c>
      <c r="I6484">
        <v>-58.733130000000003</v>
      </c>
      <c r="J6484">
        <v>-268.5951</v>
      </c>
      <c r="K6484">
        <v>1.1121540000000001</v>
      </c>
      <c r="L6484">
        <v>-60.776339999999998</v>
      </c>
      <c r="M6484">
        <v>0.98456699999999997</v>
      </c>
      <c r="N6484">
        <v>0</v>
      </c>
      <c r="O6484">
        <v>-0.17445949999999999</v>
      </c>
      <c r="P6484">
        <v>0.97889510000000002</v>
      </c>
      <c r="Q6484">
        <v>-4.2714460000000003E-2</v>
      </c>
      <c r="R6484">
        <v>-0.19984940000000001</v>
      </c>
      <c r="S6484">
        <v>3.0760190000000001</v>
      </c>
      <c r="T6484">
        <v>-2.8920890000000001E-2</v>
      </c>
      <c r="U6484">
        <v>5.5755619999999999E-2</v>
      </c>
      <c r="V6484">
        <v>2.6153699999999998E-2</v>
      </c>
      <c r="W6484">
        <v>-2.874471E-2</v>
      </c>
      <c r="X6484">
        <v>0.99924460000000004</v>
      </c>
      <c r="Y6484">
        <v>-0.19227639999999999</v>
      </c>
      <c r="Z6484">
        <v>2.5383749999999998E-3</v>
      </c>
      <c r="AA6484">
        <v>0.98133749999999997</v>
      </c>
      <c r="AB6484">
        <v>25</v>
      </c>
      <c r="AC6484">
        <v>111.245</v>
      </c>
      <c r="AD6484">
        <v>-1.04729747</v>
      </c>
      <c r="AE6484">
        <v>2.0432100000000002</v>
      </c>
      <c r="AF6484">
        <v>-21.419579852143201</v>
      </c>
      <c r="AG6484">
        <v>-1.04729747</v>
      </c>
      <c r="AH6484">
        <v>109.172491766851</v>
      </c>
      <c r="AI6484">
        <v>90.539342440026999</v>
      </c>
      <c r="AJ6484">
        <v>101.100398491275</v>
      </c>
      <c r="AK6484">
        <v>111.258834218304</v>
      </c>
      <c r="AL6484">
        <v>91.647177414731203</v>
      </c>
      <c r="AM6484">
        <v>88.500712851266599</v>
      </c>
      <c r="AN6484">
        <v>1.00000002250291</v>
      </c>
    </row>
    <row r="6485" spans="1:40" x14ac:dyDescent="0.25">
      <c r="A6485" t="str">
        <f>"20190312155004777"</f>
        <v>20190312155004777</v>
      </c>
      <c r="B6485" t="str">
        <f>"1552377004772155"</f>
        <v>1552377004772155</v>
      </c>
      <c r="C6485" t="s">
        <v>40</v>
      </c>
      <c r="D6485">
        <v>4.3842470000000002</v>
      </c>
      <c r="E6485">
        <v>0.41804000000000002</v>
      </c>
      <c r="F6485" t="s">
        <v>74</v>
      </c>
      <c r="G6485">
        <v>-233.21629999999999</v>
      </c>
      <c r="H6485" s="1">
        <v>-4.0459089999999998E-7</v>
      </c>
      <c r="I6485">
        <v>-60.525109999999998</v>
      </c>
      <c r="J6485">
        <v>-268.46359999999999</v>
      </c>
      <c r="K6485">
        <v>1.112155</v>
      </c>
      <c r="L6485">
        <v>-60.797449999999998</v>
      </c>
      <c r="M6485">
        <v>0.9848983</v>
      </c>
      <c r="N6485">
        <v>0</v>
      </c>
      <c r="O6485">
        <v>-0.17257979999999901</v>
      </c>
      <c r="P6485">
        <v>0.97920010000000002</v>
      </c>
      <c r="Q6485">
        <v>-4.3558720000000002E-2</v>
      </c>
      <c r="R6485">
        <v>-0.19816590000000001</v>
      </c>
      <c r="S6485">
        <v>3.0649109999999999</v>
      </c>
      <c r="T6485">
        <v>-9.6347450000000001E-2</v>
      </c>
      <c r="U6485">
        <v>2.1759029999999999E-2</v>
      </c>
      <c r="V6485">
        <v>2.6354039999999999E-2</v>
      </c>
      <c r="W6485">
        <v>-2.958092E-2</v>
      </c>
      <c r="X6485">
        <v>0.99921490000000002</v>
      </c>
      <c r="Y6485">
        <v>-0.1794114</v>
      </c>
      <c r="Z6485">
        <v>8.223813E-3</v>
      </c>
      <c r="AA6485">
        <v>0.98373980000000005</v>
      </c>
      <c r="AB6485">
        <v>25</v>
      </c>
      <c r="AC6485">
        <v>35.247300000000003</v>
      </c>
      <c r="AD6485">
        <v>-1.1121554045908999</v>
      </c>
      <c r="AE6485">
        <v>0.27233999999999903</v>
      </c>
      <c r="AF6485">
        <v>-6.3454904541017596</v>
      </c>
      <c r="AG6485">
        <v>-1.1121554045908999</v>
      </c>
      <c r="AH6485">
        <v>34.636844359016202</v>
      </c>
      <c r="AI6485">
        <v>91.808993831356005</v>
      </c>
      <c r="AJ6485">
        <v>100.381499541458</v>
      </c>
      <c r="AK6485">
        <v>35.230854742650898</v>
      </c>
      <c r="AL6485">
        <v>91.695109158280701</v>
      </c>
      <c r="AM6485">
        <v>88.489188577427996</v>
      </c>
      <c r="AN6485">
        <v>0.99999999131718897</v>
      </c>
    </row>
    <row r="6486" spans="1:40" x14ac:dyDescent="0.25">
      <c r="A6486" t="str">
        <f>"20190312155004906"</f>
        <v>20190312155004906</v>
      </c>
      <c r="B6486" t="str">
        <f>"1552377004902473"</f>
        <v>1552377004902473</v>
      </c>
      <c r="C6486" t="s">
        <v>40</v>
      </c>
      <c r="D6486">
        <v>4.2350519999999996</v>
      </c>
      <c r="E6486">
        <v>0.4864077</v>
      </c>
      <c r="F6486" t="s">
        <v>74</v>
      </c>
      <c r="G6486">
        <v>-231.9606</v>
      </c>
      <c r="H6486" s="1">
        <v>1.502931E-7</v>
      </c>
      <c r="I6486">
        <v>-60.2626699999999</v>
      </c>
      <c r="J6486">
        <v>-267.0675</v>
      </c>
      <c r="K6486">
        <v>1.1123769999999999</v>
      </c>
      <c r="L6486">
        <v>-61.005189999999999</v>
      </c>
      <c r="M6486">
        <v>0.98834679999999997</v>
      </c>
      <c r="N6486">
        <v>0</v>
      </c>
      <c r="O6486">
        <v>-0.151583299999999</v>
      </c>
      <c r="P6486">
        <v>0.98229820000000001</v>
      </c>
      <c r="Q6486">
        <v>-4.7555640000000003E-2</v>
      </c>
      <c r="R6486">
        <v>-0.1811883</v>
      </c>
      <c r="S6486">
        <v>3.068695</v>
      </c>
      <c r="T6486">
        <v>-9.3495490000000001E-2</v>
      </c>
      <c r="U6486">
        <v>4.4952390000000002E-2</v>
      </c>
      <c r="V6486">
        <v>3.0387109999999998E-2</v>
      </c>
      <c r="W6486">
        <v>-3.3485050000000002E-2</v>
      </c>
      <c r="X6486">
        <v>0.99897720000000001</v>
      </c>
      <c r="Y6486">
        <v>-0.16591249999999999</v>
      </c>
      <c r="Z6486">
        <v>7.1321010000000001E-3</v>
      </c>
      <c r="AA6486">
        <v>0.98611470000000001</v>
      </c>
      <c r="AB6486">
        <v>24</v>
      </c>
      <c r="AC6486">
        <v>35.106900000000003</v>
      </c>
      <c r="AD6486">
        <v>-1.1123768497069</v>
      </c>
      <c r="AE6486">
        <v>0.74252000000000595</v>
      </c>
      <c r="AF6486">
        <v>-6.0500005033928499</v>
      </c>
      <c r="AG6486">
        <v>-1.1123768497069</v>
      </c>
      <c r="AH6486">
        <v>34.5539030093802</v>
      </c>
      <c r="AI6486">
        <v>91.816247701466693</v>
      </c>
      <c r="AJ6486">
        <v>99.931180647841202</v>
      </c>
      <c r="AK6486">
        <v>35.097180820237803</v>
      </c>
      <c r="AL6486">
        <v>91.918910683473698</v>
      </c>
      <c r="AM6486">
        <v>88.257701504967301</v>
      </c>
      <c r="AN6486">
        <v>1.00000003557374</v>
      </c>
    </row>
    <row r="6487" spans="1:40" x14ac:dyDescent="0.25">
      <c r="A6487" t="str">
        <f>"20190312155004917"</f>
        <v>20190312155004917</v>
      </c>
      <c r="B6487" t="str">
        <f>"1552377004912232"</f>
        <v>1552377004912232</v>
      </c>
      <c r="C6487" t="s">
        <v>40</v>
      </c>
      <c r="D6487">
        <v>4.9402169999999996</v>
      </c>
      <c r="E6487">
        <v>0.48048180000000001</v>
      </c>
      <c r="F6487" t="s">
        <v>41</v>
      </c>
      <c r="G6487">
        <v>-266.20699999999999</v>
      </c>
      <c r="H6487">
        <v>0.90079880000000001</v>
      </c>
      <c r="I6487">
        <v>-61.12471</v>
      </c>
      <c r="J6487">
        <v>-266.94479999999999</v>
      </c>
      <c r="K6487">
        <v>1.1123970000000001</v>
      </c>
      <c r="L6487">
        <v>-61.02176</v>
      </c>
      <c r="M6487">
        <v>0.98864779999999997</v>
      </c>
      <c r="N6487">
        <v>0</v>
      </c>
      <c r="O6487">
        <v>-0.149607399999999</v>
      </c>
      <c r="P6487">
        <v>0.98248860000000005</v>
      </c>
      <c r="Q6487">
        <v>-4.7357360000000001E-2</v>
      </c>
      <c r="R6487">
        <v>-0.18020459999999999</v>
      </c>
      <c r="S6487">
        <v>2.9437259999999998</v>
      </c>
      <c r="T6487">
        <v>-0.72409460000000003</v>
      </c>
      <c r="U6487">
        <v>-0.40795900000000002</v>
      </c>
      <c r="V6487">
        <v>3.1382439999999998E-2</v>
      </c>
      <c r="W6487">
        <v>-3.3275550000000001E-2</v>
      </c>
      <c r="X6487">
        <v>0.99895339999999999</v>
      </c>
      <c r="Y6487">
        <v>-7.9170430000000003E-3</v>
      </c>
      <c r="Z6487">
        <v>3.6858389999999998E-2</v>
      </c>
      <c r="AA6487">
        <v>0.99928919999999999</v>
      </c>
      <c r="AB6487">
        <v>24</v>
      </c>
      <c r="AC6487">
        <v>0.73779999999999202</v>
      </c>
      <c r="AD6487">
        <v>-0.21159819999999899</v>
      </c>
      <c r="AE6487">
        <v>-0.102949999999999</v>
      </c>
      <c r="AF6487">
        <v>-7.9578323432606506E-3</v>
      </c>
      <c r="AG6487">
        <v>-0.21159819999999899</v>
      </c>
      <c r="AH6487">
        <v>0.68928599477442198</v>
      </c>
      <c r="AI6487">
        <v>107.06445789995701</v>
      </c>
      <c r="AJ6487">
        <v>90.661452510093497</v>
      </c>
      <c r="AK6487">
        <v>0.72107718583450398</v>
      </c>
      <c r="AL6487">
        <v>91.906900578500498</v>
      </c>
      <c r="AM6487">
        <v>88.200626585125406</v>
      </c>
      <c r="AN6487">
        <v>1.0000000075698501</v>
      </c>
    </row>
    <row r="6488" spans="1:40" x14ac:dyDescent="0.25">
      <c r="A6488" t="str">
        <f>"20190312155004930"</f>
        <v>20190312155004930</v>
      </c>
      <c r="B6488" t="str">
        <f>"1552377004921993"</f>
        <v>1552377004921993</v>
      </c>
      <c r="C6488" t="s">
        <v>40</v>
      </c>
      <c r="D6488">
        <v>4.6508589999999996</v>
      </c>
      <c r="E6488">
        <v>0.47778540000000003</v>
      </c>
      <c r="F6488" t="s">
        <v>41</v>
      </c>
      <c r="G6488">
        <v>-266.19069999999999</v>
      </c>
      <c r="H6488">
        <v>0.93219779999999997</v>
      </c>
      <c r="I6488">
        <v>-61.113849999999999</v>
      </c>
      <c r="J6488">
        <v>-266.8107</v>
      </c>
      <c r="K6488">
        <v>1.1124210000000001</v>
      </c>
      <c r="L6488">
        <v>-61.039670000000001</v>
      </c>
      <c r="M6488">
        <v>0.9889734</v>
      </c>
      <c r="N6488">
        <v>0</v>
      </c>
      <c r="O6488">
        <v>-0.14743870000000001</v>
      </c>
      <c r="P6488">
        <v>0.98282309999999995</v>
      </c>
      <c r="Q6488">
        <v>-4.7038120000000003E-2</v>
      </c>
      <c r="R6488">
        <v>-0.17845539999999999</v>
      </c>
      <c r="S6488">
        <v>2.9534609999999999</v>
      </c>
      <c r="T6488">
        <v>-0.70615159999999999</v>
      </c>
      <c r="U6488">
        <v>-0.35968020000000001</v>
      </c>
      <c r="V6488">
        <v>3.1792319999999999E-2</v>
      </c>
      <c r="W6488">
        <v>-3.294834E-2</v>
      </c>
      <c r="X6488">
        <v>0.99895129999999999</v>
      </c>
      <c r="Y6488">
        <v>-2.2136490000000002E-2</v>
      </c>
      <c r="Z6488">
        <v>3.7070069999999997E-2</v>
      </c>
      <c r="AA6488">
        <v>0.9990675</v>
      </c>
      <c r="AB6488">
        <v>24</v>
      </c>
      <c r="AC6488">
        <v>0.62000000000000399</v>
      </c>
      <c r="AD6488">
        <v>-0.180223199999999</v>
      </c>
      <c r="AE6488">
        <v>-7.4180000000005394E-2</v>
      </c>
      <c r="AF6488">
        <v>-1.66635546632815E-2</v>
      </c>
      <c r="AG6488">
        <v>-0.180223199999999</v>
      </c>
      <c r="AH6488">
        <v>0.57616417755770399</v>
      </c>
      <c r="AI6488">
        <v>107.362772861854</v>
      </c>
      <c r="AJ6488">
        <v>91.656620321564304</v>
      </c>
      <c r="AK6488">
        <v>0.60392320320799198</v>
      </c>
      <c r="AL6488">
        <v>91.888142512838897</v>
      </c>
      <c r="AM6488">
        <v>88.177137239487806</v>
      </c>
      <c r="AN6488">
        <v>1.0000000222457099</v>
      </c>
    </row>
    <row r="6489" spans="1:40" x14ac:dyDescent="0.25">
      <c r="A6489" t="str">
        <f>"20190312155004942"</f>
        <v>20190312155004942</v>
      </c>
      <c r="B6489" t="str">
        <f>"1552377004932279"</f>
        <v>1552377004932279</v>
      </c>
      <c r="C6489" t="s">
        <v>40</v>
      </c>
      <c r="D6489">
        <v>4.9388829999999997</v>
      </c>
      <c r="E6489">
        <v>0.47671999999999998</v>
      </c>
      <c r="F6489" t="s">
        <v>41</v>
      </c>
      <c r="G6489">
        <v>-265.97770000000003</v>
      </c>
      <c r="H6489">
        <v>0.92649159999999997</v>
      </c>
      <c r="I6489">
        <v>-61.134230000000002</v>
      </c>
      <c r="J6489">
        <v>-266.67660000000001</v>
      </c>
      <c r="K6489">
        <v>1.1124400000000001</v>
      </c>
      <c r="L6489">
        <v>-61.057250000000003</v>
      </c>
      <c r="M6489">
        <v>0.98929699999999998</v>
      </c>
      <c r="N6489">
        <v>0</v>
      </c>
      <c r="O6489">
        <v>-0.145252399999999</v>
      </c>
      <c r="P6489">
        <v>0.98309299999999999</v>
      </c>
      <c r="Q6489">
        <v>-4.6656139999999999E-2</v>
      </c>
      <c r="R6489">
        <v>-0.17706440000000001</v>
      </c>
      <c r="S6489">
        <v>2.9598080000000002</v>
      </c>
      <c r="T6489">
        <v>-0.66072129999999996</v>
      </c>
      <c r="U6489">
        <v>-0.33575440000000001</v>
      </c>
      <c r="V6489">
        <v>3.2582449999999999E-2</v>
      </c>
      <c r="W6489">
        <v>-3.2556769999999999E-2</v>
      </c>
      <c r="X6489">
        <v>0.99893869999999896</v>
      </c>
      <c r="Y6489">
        <v>-2.8631449999999999E-2</v>
      </c>
      <c r="Z6489">
        <v>3.4931490000000003E-2</v>
      </c>
      <c r="AA6489">
        <v>0.99897950000000002</v>
      </c>
      <c r="AB6489">
        <v>24</v>
      </c>
      <c r="AC6489">
        <v>0.69889999999997998</v>
      </c>
      <c r="AD6489">
        <v>-0.18594839999999899</v>
      </c>
      <c r="AE6489">
        <v>-7.6979999999998897E-2</v>
      </c>
      <c r="AF6489">
        <v>-2.3705347464919601E-2</v>
      </c>
      <c r="AG6489">
        <v>-0.18594839999999899</v>
      </c>
      <c r="AH6489">
        <v>0.656737680695472</v>
      </c>
      <c r="AI6489">
        <v>105.79913983362501</v>
      </c>
      <c r="AJ6489">
        <v>92.067228654596803</v>
      </c>
      <c r="AK6489">
        <v>0.68296642099466298</v>
      </c>
      <c r="AL6489">
        <v>91.865695123173197</v>
      </c>
      <c r="AM6489">
        <v>88.131842056309793</v>
      </c>
      <c r="AN6489">
        <v>1.0000000428392599</v>
      </c>
    </row>
    <row r="6490" spans="1:40" x14ac:dyDescent="0.25">
      <c r="A6490" t="str">
        <f>"20190312155004954"</f>
        <v>20190312155004954</v>
      </c>
      <c r="B6490" t="str">
        <f>"1552377004952757"</f>
        <v>1552377004952757</v>
      </c>
      <c r="C6490" t="s">
        <v>40</v>
      </c>
      <c r="D6490">
        <v>5.0424629999999997</v>
      </c>
      <c r="E6490">
        <v>0.47590310000000002</v>
      </c>
      <c r="F6490" t="s">
        <v>41</v>
      </c>
      <c r="G6490">
        <v>-265.9599</v>
      </c>
      <c r="H6490">
        <v>0.96501230000000005</v>
      </c>
      <c r="I6490">
        <v>-61.136130000000001</v>
      </c>
      <c r="J6490">
        <v>-266.5487</v>
      </c>
      <c r="K6490">
        <v>1.112452</v>
      </c>
      <c r="L6490">
        <v>-61.0736699999999</v>
      </c>
      <c r="M6490">
        <v>0.98960269999999995</v>
      </c>
      <c r="N6490">
        <v>0</v>
      </c>
      <c r="O6490">
        <v>-0.1431529</v>
      </c>
      <c r="P6490">
        <v>0.9835159</v>
      </c>
      <c r="Q6490">
        <v>-4.6493560000000003E-2</v>
      </c>
      <c r="R6490">
        <v>-0.1747425</v>
      </c>
      <c r="S6490">
        <v>2.9639280000000001</v>
      </c>
      <c r="T6490">
        <v>-0.60982760000000003</v>
      </c>
      <c r="U6490">
        <v>-0.32592769999999999</v>
      </c>
      <c r="V6490">
        <v>3.2342120000000002E-2</v>
      </c>
      <c r="W6490">
        <v>-3.2392039999999997E-2</v>
      </c>
      <c r="X6490">
        <v>0.99895179999999995</v>
      </c>
      <c r="Y6490">
        <v>-3.0562659999999998E-2</v>
      </c>
      <c r="Z6490">
        <v>3.2036540000000002E-2</v>
      </c>
      <c r="AA6490">
        <v>0.99901930000000005</v>
      </c>
      <c r="AB6490">
        <v>24</v>
      </c>
      <c r="AC6490">
        <v>0.588799999999992</v>
      </c>
      <c r="AD6490">
        <v>-0.14743970000000001</v>
      </c>
      <c r="AE6490">
        <v>-6.2460000000008599E-2</v>
      </c>
      <c r="AF6490">
        <v>-2.1167508904665101E-2</v>
      </c>
      <c r="AG6490">
        <v>-0.14743970000000001</v>
      </c>
      <c r="AH6490">
        <v>0.55713125958767995</v>
      </c>
      <c r="AI6490">
        <v>104.812781695865</v>
      </c>
      <c r="AJ6490">
        <v>92.175835287613396</v>
      </c>
      <c r="AK6490">
        <v>0.57669902807189999</v>
      </c>
      <c r="AL6490">
        <v>91.856251929770806</v>
      </c>
      <c r="AM6490">
        <v>88.145636339787103</v>
      </c>
      <c r="AN6490">
        <v>0.99999997785234696</v>
      </c>
    </row>
    <row r="6491" spans="1:40" x14ac:dyDescent="0.25">
      <c r="A6491" t="str">
        <f>"20190312155004966"</f>
        <v>20190312155004966</v>
      </c>
      <c r="B6491" t="str">
        <f>"1552377004962516"</f>
        <v>1552377004962516</v>
      </c>
      <c r="C6491" t="s">
        <v>40</v>
      </c>
      <c r="D6491">
        <v>4.7767140000000001</v>
      </c>
      <c r="E6491">
        <v>0.47445310000000002</v>
      </c>
      <c r="F6491" t="s">
        <v>41</v>
      </c>
      <c r="G6491">
        <v>-265.74669999999998</v>
      </c>
      <c r="H6491">
        <v>0.9616072</v>
      </c>
      <c r="I6491">
        <v>-61.159050000000001</v>
      </c>
      <c r="J6491">
        <v>-266.4196</v>
      </c>
      <c r="K6491">
        <v>1.11246</v>
      </c>
      <c r="L6491">
        <v>-61.090060000000001</v>
      </c>
      <c r="M6491">
        <v>0.98990789999999995</v>
      </c>
      <c r="N6491">
        <v>0</v>
      </c>
      <c r="O6491">
        <v>-0.14102790000000001</v>
      </c>
      <c r="P6491">
        <v>0.98392900000000005</v>
      </c>
      <c r="Q6491">
        <v>-4.6246280000000001E-2</v>
      </c>
      <c r="R6491">
        <v>-0.17246779999999901</v>
      </c>
      <c r="S6491">
        <v>2.9678040000000001</v>
      </c>
      <c r="T6491">
        <v>-0.55838509999999997</v>
      </c>
      <c r="U6491">
        <v>-0.31555179999999999</v>
      </c>
      <c r="V6491">
        <v>3.2174550000000003E-2</v>
      </c>
      <c r="W6491">
        <v>-3.2142589999999999E-2</v>
      </c>
      <c r="X6491">
        <v>0.99896529999999994</v>
      </c>
      <c r="Y6491">
        <v>-3.2589799999999898E-2</v>
      </c>
      <c r="Z6491">
        <v>2.9149789999999998E-2</v>
      </c>
      <c r="AA6491">
        <v>0.99904360000000003</v>
      </c>
      <c r="AB6491">
        <v>24</v>
      </c>
      <c r="AC6491">
        <v>0.67290000000002603</v>
      </c>
      <c r="AD6491">
        <v>-0.15085279999999901</v>
      </c>
      <c r="AE6491">
        <v>-6.8989999999999399E-2</v>
      </c>
      <c r="AF6491">
        <v>-2.5345916279532001E-2</v>
      </c>
      <c r="AG6491">
        <v>-0.15085279999999901</v>
      </c>
      <c r="AH6491">
        <v>0.64388037523322295</v>
      </c>
      <c r="AI6491">
        <v>103.17598291604099</v>
      </c>
      <c r="AJ6491">
        <v>92.254245804603102</v>
      </c>
      <c r="AK6491">
        <v>0.66180126952912699</v>
      </c>
      <c r="AL6491">
        <v>91.841951993179904</v>
      </c>
      <c r="AM6491">
        <v>88.155262368885204</v>
      </c>
      <c r="AN6491">
        <v>1.0000000091818499</v>
      </c>
    </row>
    <row r="6492" spans="1:40" x14ac:dyDescent="0.25">
      <c r="A6492" t="str">
        <f>"20190312155004978"</f>
        <v>20190312155004978</v>
      </c>
      <c r="B6492" t="str">
        <f>"1552377004972276"</f>
        <v>1552377004972276</v>
      </c>
      <c r="C6492" t="s">
        <v>40</v>
      </c>
      <c r="D6492">
        <v>4.6103750000000003</v>
      </c>
      <c r="E6492">
        <v>0.47447139999999999</v>
      </c>
      <c r="F6492" t="s">
        <v>73</v>
      </c>
      <c r="G6492">
        <v>-244.51079999999999</v>
      </c>
      <c r="H6492" s="1">
        <v>-1.7269649999999901E-6</v>
      </c>
      <c r="I6492">
        <v>-63.408019999999901</v>
      </c>
      <c r="J6492">
        <v>-266.29509999999999</v>
      </c>
      <c r="K6492">
        <v>1.1124639999999999</v>
      </c>
      <c r="L6492">
        <v>-61.105469999999997</v>
      </c>
      <c r="M6492">
        <v>0.9901991</v>
      </c>
      <c r="N6492">
        <v>0</v>
      </c>
      <c r="O6492">
        <v>-0.1389687</v>
      </c>
      <c r="P6492">
        <v>0.98442300000000005</v>
      </c>
      <c r="Q6492">
        <v>-4.6356309999999998E-2</v>
      </c>
      <c r="R6492">
        <v>-0.1695953</v>
      </c>
      <c r="S6492">
        <v>2.9864809999999999</v>
      </c>
      <c r="T6492">
        <v>-0.151644</v>
      </c>
      <c r="U6492">
        <v>-0.31597900000000001</v>
      </c>
      <c r="V6492">
        <v>3.1338860000000003E-2</v>
      </c>
      <c r="W6492">
        <v>-3.2255720000000002E-2</v>
      </c>
      <c r="X6492">
        <v>0.99898819999999999</v>
      </c>
      <c r="Y6492">
        <v>-3.3797529999999999E-2</v>
      </c>
      <c r="Z6492">
        <v>7.8580760000000003E-3</v>
      </c>
      <c r="AA6492">
        <v>0.9993978</v>
      </c>
      <c r="AB6492">
        <v>24</v>
      </c>
      <c r="AC6492">
        <v>21.784300000000002</v>
      </c>
      <c r="AD6492">
        <v>-1.11246572696499</v>
      </c>
      <c r="AE6492">
        <v>-2.3025499999999899</v>
      </c>
      <c r="AF6492">
        <v>-0.74550251534545797</v>
      </c>
      <c r="AG6492">
        <v>-1.11246572696499</v>
      </c>
      <c r="AH6492">
        <v>21.836576461370601</v>
      </c>
      <c r="AI6492">
        <v>92.914720463361107</v>
      </c>
      <c r="AJ6492">
        <v>91.955323185702596</v>
      </c>
      <c r="AK6492">
        <v>21.877601000734501</v>
      </c>
      <c r="AL6492">
        <v>91.848437263492897</v>
      </c>
      <c r="AM6492">
        <v>88.203186243810805</v>
      </c>
      <c r="AN6492">
        <v>0.99999998967902903</v>
      </c>
    </row>
    <row r="6493" spans="1:40" x14ac:dyDescent="0.25">
      <c r="A6493" t="str">
        <f>"20190312155004989"</f>
        <v>20190312155004989</v>
      </c>
      <c r="B6493" t="str">
        <f>"1552377004983987"</f>
        <v>1552377004983987</v>
      </c>
      <c r="C6493" t="s">
        <v>40</v>
      </c>
      <c r="D6493">
        <v>4.6881259999999996</v>
      </c>
      <c r="E6493">
        <v>0.47523919999999997</v>
      </c>
      <c r="F6493" t="s">
        <v>74</v>
      </c>
      <c r="G6493">
        <v>-236.92359999999999</v>
      </c>
      <c r="H6493" s="1">
        <v>-2.8971019999999998E-6</v>
      </c>
      <c r="I6493">
        <v>-64.143319999999903</v>
      </c>
      <c r="J6493">
        <v>-266.1705</v>
      </c>
      <c r="K6493">
        <v>1.112468</v>
      </c>
      <c r="L6493">
        <v>-61.120669999999997</v>
      </c>
      <c r="M6493">
        <v>0.99048630000000004</v>
      </c>
      <c r="N6493">
        <v>0</v>
      </c>
      <c r="O6493">
        <v>-0.13690659999999999</v>
      </c>
      <c r="P6493">
        <v>0.9849173</v>
      </c>
      <c r="Q6493">
        <v>-4.6494430000000003E-2</v>
      </c>
      <c r="R6493">
        <v>-0.1666637</v>
      </c>
      <c r="S6493">
        <v>2.9888919999999999</v>
      </c>
      <c r="T6493">
        <v>-0.1132065</v>
      </c>
      <c r="U6493">
        <v>-0.309143099999999</v>
      </c>
      <c r="V6493">
        <v>3.0446770000000001E-2</v>
      </c>
      <c r="W6493">
        <v>-3.239761E-2</v>
      </c>
      <c r="X6493">
        <v>0.99901119999999999</v>
      </c>
      <c r="Y6493">
        <v>-3.4159879999999997E-2</v>
      </c>
      <c r="Z6493">
        <v>5.7939430000000002E-3</v>
      </c>
      <c r="AA6493">
        <v>0.99939960000000005</v>
      </c>
      <c r="AB6493">
        <v>24</v>
      </c>
      <c r="AC6493">
        <v>29.2469</v>
      </c>
      <c r="AD6493">
        <v>-1.1124708971019901</v>
      </c>
      <c r="AE6493">
        <v>-3.0226499999999898</v>
      </c>
      <c r="AF6493">
        <v>-1.0088537474461901</v>
      </c>
      <c r="AG6493">
        <v>-1.1124708971019901</v>
      </c>
      <c r="AH6493">
        <v>29.343311139227399</v>
      </c>
      <c r="AI6493">
        <v>92.169891118575194</v>
      </c>
      <c r="AJ6493">
        <v>91.969113241774096</v>
      </c>
      <c r="AK6493">
        <v>29.381716866005998</v>
      </c>
      <c r="AL6493">
        <v>91.856571204252006</v>
      </c>
      <c r="AM6493">
        <v>88.254342284679893</v>
      </c>
      <c r="AN6493">
        <v>0.99999999433129205</v>
      </c>
    </row>
    <row r="6494" spans="1:40" x14ac:dyDescent="0.25">
      <c r="A6494" t="str">
        <f>"20190312155005006"</f>
        <v>20190312155005006</v>
      </c>
      <c r="B6494" t="str">
        <f>"1552377005002531"</f>
        <v>1552377005002531</v>
      </c>
      <c r="C6494" t="s">
        <v>40</v>
      </c>
      <c r="D6494">
        <v>4.6777559999999996</v>
      </c>
      <c r="E6494">
        <v>0.47741719999999999</v>
      </c>
      <c r="F6494" t="s">
        <v>75</v>
      </c>
      <c r="G6494">
        <v>-228.92509999999999</v>
      </c>
      <c r="H6494" s="1">
        <v>-3.6561839999999998E-6</v>
      </c>
      <c r="I6494">
        <v>-64.948689999999999</v>
      </c>
      <c r="J6494">
        <v>-266.00209999999998</v>
      </c>
      <c r="K6494">
        <v>1.112463</v>
      </c>
      <c r="L6494">
        <v>-61.1408699999999</v>
      </c>
      <c r="M6494">
        <v>0.99086790000000002</v>
      </c>
      <c r="N6494">
        <v>0</v>
      </c>
      <c r="O6494">
        <v>-0.13411589999999901</v>
      </c>
      <c r="P6494">
        <v>0.98568069999999997</v>
      </c>
      <c r="Q6494">
        <v>-4.7347930000000003E-2</v>
      </c>
      <c r="R6494">
        <v>-0.16183900000000001</v>
      </c>
      <c r="S6494">
        <v>2.9897459999999998</v>
      </c>
      <c r="T6494">
        <v>-8.9299920000000005E-2</v>
      </c>
      <c r="U6494">
        <v>-0.30728149999999999</v>
      </c>
      <c r="V6494">
        <v>2.8381170000000001E-2</v>
      </c>
      <c r="W6494">
        <v>-3.3262470000000002E-2</v>
      </c>
      <c r="X6494">
        <v>0.99904360000000003</v>
      </c>
      <c r="Y6494">
        <v>-3.2037179999999998E-2</v>
      </c>
      <c r="Z6494">
        <v>4.456036E-3</v>
      </c>
      <c r="AA6494">
        <v>0.9994767</v>
      </c>
      <c r="AB6494">
        <v>24</v>
      </c>
      <c r="AC6494">
        <v>37.076999999999998</v>
      </c>
      <c r="AD6494">
        <v>-1.112466656184</v>
      </c>
      <c r="AE6494">
        <v>-3.80782</v>
      </c>
      <c r="AF6494">
        <v>-1.19861703371325</v>
      </c>
      <c r="AG6494">
        <v>-1.112466656184</v>
      </c>
      <c r="AH6494">
        <v>37.219549686145903</v>
      </c>
      <c r="AI6494">
        <v>91.7111350624522</v>
      </c>
      <c r="AJ6494">
        <v>91.844513744646804</v>
      </c>
      <c r="AK6494">
        <v>37.255457904770303</v>
      </c>
      <c r="AL6494">
        <v>91.906150751514005</v>
      </c>
      <c r="AM6494">
        <v>88.372759681940195</v>
      </c>
      <c r="AN6494">
        <v>0.99999999871101397</v>
      </c>
    </row>
    <row r="6495" spans="1:40" x14ac:dyDescent="0.25">
      <c r="A6495" t="str">
        <f>"20190312155005017"</f>
        <v>20190312155005017</v>
      </c>
      <c r="B6495" t="str">
        <f>"1552377005012293"</f>
        <v>1552377005012293</v>
      </c>
      <c r="C6495" t="s">
        <v>40</v>
      </c>
      <c r="D6495">
        <v>4.6330730000000004</v>
      </c>
      <c r="E6495">
        <v>0.47760770000000002</v>
      </c>
      <c r="F6495" t="s">
        <v>75</v>
      </c>
      <c r="G6495">
        <v>-226.01929999999999</v>
      </c>
      <c r="H6495" s="1">
        <v>-2.7130699999999999E-6</v>
      </c>
      <c r="I6495">
        <v>-65.290949999999995</v>
      </c>
      <c r="J6495">
        <v>-265.88420000000002</v>
      </c>
      <c r="K6495">
        <v>1.11246</v>
      </c>
      <c r="L6495">
        <v>-61.1545699999999</v>
      </c>
      <c r="M6495">
        <v>0.99113039999999997</v>
      </c>
      <c r="N6495">
        <v>0</v>
      </c>
      <c r="O6495">
        <v>-0.132162</v>
      </c>
      <c r="P6495">
        <v>0.98611930000000003</v>
      </c>
      <c r="Q6495">
        <v>-4.7979430000000003E-2</v>
      </c>
      <c r="R6495">
        <v>-0.1589564</v>
      </c>
      <c r="S6495">
        <v>2.9886469999999998</v>
      </c>
      <c r="T6495">
        <v>-8.3154919999999993E-2</v>
      </c>
      <c r="U6495">
        <v>-0.31021120000000002</v>
      </c>
      <c r="V6495">
        <v>2.7437929999999999E-2</v>
      </c>
      <c r="W6495">
        <v>-3.3899390000000001E-2</v>
      </c>
      <c r="X6495">
        <v>0.99904850000000001</v>
      </c>
      <c r="Y6495">
        <v>-2.907119E-2</v>
      </c>
      <c r="Z6495">
        <v>4.0559659999999899E-3</v>
      </c>
      <c r="AA6495">
        <v>0.99956909999999999</v>
      </c>
      <c r="AB6495">
        <v>24</v>
      </c>
      <c r="AC6495">
        <v>39.864899999999999</v>
      </c>
      <c r="AD6495">
        <v>-1.11246271307</v>
      </c>
      <c r="AE6495">
        <v>-4.1363799999999999</v>
      </c>
      <c r="AF6495">
        <v>-1.16814621176624</v>
      </c>
      <c r="AG6495">
        <v>-1.11246271307</v>
      </c>
      <c r="AH6495">
        <v>40.031025928136899</v>
      </c>
      <c r="AI6495">
        <v>91.5911637606375</v>
      </c>
      <c r="AJ6495">
        <v>91.671475019734501</v>
      </c>
      <c r="AK6495">
        <v>40.063514270707699</v>
      </c>
      <c r="AL6495">
        <v>91.9426642546468</v>
      </c>
      <c r="AM6495">
        <v>88.426820612906198</v>
      </c>
      <c r="AN6495">
        <v>0.99999995699865196</v>
      </c>
    </row>
    <row r="6496" spans="1:40" x14ac:dyDescent="0.25">
      <c r="A6496" t="str">
        <f>"20190312155005027"</f>
        <v>20190312155005027</v>
      </c>
      <c r="B6496" t="str">
        <f>"1552377005022053"</f>
        <v>1552377005022053</v>
      </c>
      <c r="C6496" t="s">
        <v>40</v>
      </c>
      <c r="D6496">
        <v>4.6935310000000001</v>
      </c>
      <c r="E6496">
        <v>0.47809859999999998</v>
      </c>
      <c r="F6496" t="s">
        <v>74</v>
      </c>
      <c r="G6496">
        <v>-230.6653</v>
      </c>
      <c r="H6496" s="1">
        <v>-4.2641909999999999E-7</v>
      </c>
      <c r="I6496">
        <v>-64.720309999999998</v>
      </c>
      <c r="J6496">
        <v>-265.7679</v>
      </c>
      <c r="K6496">
        <v>1.1124559999999999</v>
      </c>
      <c r="L6496">
        <v>-61.168030000000002</v>
      </c>
      <c r="M6496">
        <v>0.99138530000000002</v>
      </c>
      <c r="N6496">
        <v>0</v>
      </c>
      <c r="O6496">
        <v>-0.1302364</v>
      </c>
      <c r="P6496">
        <v>0.98658889999999999</v>
      </c>
      <c r="Q6496">
        <v>-4.753698E-2</v>
      </c>
      <c r="R6496">
        <v>-0.15615000000000001</v>
      </c>
      <c r="S6496">
        <v>2.988861</v>
      </c>
      <c r="T6496">
        <v>-9.4409229999999997E-2</v>
      </c>
      <c r="U6496">
        <v>-0.3026123</v>
      </c>
      <c r="V6496">
        <v>2.6530740000000001E-2</v>
      </c>
      <c r="W6496">
        <v>-3.3461600000000001E-2</v>
      </c>
      <c r="X6496">
        <v>0.99908779999999997</v>
      </c>
      <c r="Y6496">
        <v>-2.9634529999999999E-2</v>
      </c>
      <c r="Z6496">
        <v>4.5538999999999996E-3</v>
      </c>
      <c r="AA6496">
        <v>0.99955039999999995</v>
      </c>
      <c r="AB6496">
        <v>24</v>
      </c>
      <c r="AC6496">
        <v>35.102599999999903</v>
      </c>
      <c r="AD6496">
        <v>-1.1124564264190999</v>
      </c>
      <c r="AE6496">
        <v>-3.5522799999999899</v>
      </c>
      <c r="AF6496">
        <v>-1.04901686148799</v>
      </c>
      <c r="AG6496">
        <v>-1.1124564264190999</v>
      </c>
      <c r="AH6496">
        <v>35.231226932134803</v>
      </c>
      <c r="AI6496">
        <v>91.807762190713802</v>
      </c>
      <c r="AJ6496">
        <v>91.705489459757402</v>
      </c>
      <c r="AK6496">
        <v>35.264392052323103</v>
      </c>
      <c r="AL6496">
        <v>91.917566421061593</v>
      </c>
      <c r="AM6496">
        <v>88.478870152413705</v>
      </c>
      <c r="AN6496">
        <v>0.99999999547417295</v>
      </c>
    </row>
    <row r="6497" spans="1:40" x14ac:dyDescent="0.25">
      <c r="A6497" t="str">
        <f>"20190312155005038"</f>
        <v>20190312155005038</v>
      </c>
      <c r="B6497" t="str">
        <f>"1552377005032337"</f>
        <v>1552377005032337</v>
      </c>
      <c r="C6497" t="s">
        <v>40</v>
      </c>
      <c r="D6497">
        <v>4.6677910000000002</v>
      </c>
      <c r="E6497">
        <v>0.47827340000000002</v>
      </c>
      <c r="F6497" t="s">
        <v>74</v>
      </c>
      <c r="G6497">
        <v>-232.7696</v>
      </c>
      <c r="H6497" s="1">
        <v>-1.2583479999999999E-6</v>
      </c>
      <c r="I6497">
        <v>-64.454049999999995</v>
      </c>
      <c r="J6497">
        <v>-265.64530000000002</v>
      </c>
      <c r="K6497">
        <v>1.112457</v>
      </c>
      <c r="L6497">
        <v>-61.181849999999997</v>
      </c>
      <c r="M6497">
        <v>0.99164929999999996</v>
      </c>
      <c r="N6497">
        <v>0</v>
      </c>
      <c r="O6497">
        <v>-0.12820989999999999</v>
      </c>
      <c r="P6497">
        <v>0.98702060000000003</v>
      </c>
      <c r="Q6497">
        <v>-4.7204700000000002E-2</v>
      </c>
      <c r="R6497">
        <v>-0.15349939999999901</v>
      </c>
      <c r="S6497">
        <v>2.9888309999999998</v>
      </c>
      <c r="T6497">
        <v>-0.1007614</v>
      </c>
      <c r="U6497">
        <v>-0.29763790000000001</v>
      </c>
      <c r="V6497">
        <v>2.5884830000000001E-2</v>
      </c>
      <c r="W6497">
        <v>-3.3132780000000001E-2</v>
      </c>
      <c r="X6497">
        <v>0.99911570000000005</v>
      </c>
      <c r="Y6497">
        <v>-2.9227900000000001E-2</v>
      </c>
      <c r="Z6497">
        <v>4.7863810000000001E-3</v>
      </c>
      <c r="AA6497">
        <v>0.99956129999999999</v>
      </c>
      <c r="AB6497">
        <v>24</v>
      </c>
      <c r="AC6497">
        <v>32.875700000000002</v>
      </c>
      <c r="AD6497">
        <v>-1.1124582583480001</v>
      </c>
      <c r="AE6497">
        <v>-3.27219999999999</v>
      </c>
      <c r="AF6497">
        <v>-0.96911065325076196</v>
      </c>
      <c r="AG6497">
        <v>-1.1124582583480001</v>
      </c>
      <c r="AH6497">
        <v>32.986494876076399</v>
      </c>
      <c r="AI6497">
        <v>91.930716091666994</v>
      </c>
      <c r="AJ6497">
        <v>91.682809388653098</v>
      </c>
      <c r="AK6497">
        <v>33.019472785679497</v>
      </c>
      <c r="AL6497">
        <v>91.898715973253701</v>
      </c>
      <c r="AM6497">
        <v>88.515927811427503</v>
      </c>
      <c r="AN6497">
        <v>0.99999999376057302</v>
      </c>
    </row>
    <row r="6498" spans="1:40" x14ac:dyDescent="0.25">
      <c r="A6498" t="str">
        <f>"20190312155005050"</f>
        <v>20190312155005050</v>
      </c>
      <c r="B6498" t="str">
        <f>"1552377005042080"</f>
        <v>1552377005042080</v>
      </c>
      <c r="C6498" t="s">
        <v>40</v>
      </c>
      <c r="D6498">
        <v>4.6540599999999896</v>
      </c>
      <c r="E6498">
        <v>0.47854340000000001</v>
      </c>
      <c r="F6498" t="s">
        <v>74</v>
      </c>
      <c r="G6498">
        <v>-233.77010000000001</v>
      </c>
      <c r="H6498" s="1">
        <v>-1.641872E-6</v>
      </c>
      <c r="I6498">
        <v>-64.282349999999994</v>
      </c>
      <c r="J6498">
        <v>-265.52589999999998</v>
      </c>
      <c r="K6498">
        <v>1.112452</v>
      </c>
      <c r="L6498">
        <v>-61.195099999999996</v>
      </c>
      <c r="M6498">
        <v>0.99190210000000001</v>
      </c>
      <c r="N6498">
        <v>0</v>
      </c>
      <c r="O6498">
        <v>-0.12623889999999999</v>
      </c>
      <c r="P6498">
        <v>0.98744520000000002</v>
      </c>
      <c r="Q6498">
        <v>-4.6374529999999997E-2</v>
      </c>
      <c r="R6498">
        <v>-0.1510013</v>
      </c>
      <c r="S6498">
        <v>2.989258</v>
      </c>
      <c r="T6498">
        <v>-0.10432660000000001</v>
      </c>
      <c r="U6498">
        <v>-0.29077150000000002</v>
      </c>
      <c r="V6498">
        <v>2.5331880000000001E-2</v>
      </c>
      <c r="W6498">
        <v>-3.2305399999999998E-2</v>
      </c>
      <c r="X6498">
        <v>0.99915699999999996</v>
      </c>
      <c r="Y6498">
        <v>-2.9524169999999999E-2</v>
      </c>
      <c r="Z6498">
        <v>4.8928259999999899E-3</v>
      </c>
      <c r="AA6498">
        <v>0.99955210000000005</v>
      </c>
      <c r="AB6498">
        <v>24</v>
      </c>
      <c r="AC6498">
        <v>31.755799999999901</v>
      </c>
      <c r="AD6498">
        <v>-1.1124536418719999</v>
      </c>
      <c r="AE6498">
        <v>-3.0872499999999898</v>
      </c>
      <c r="AF6498">
        <v>-0.94550984393730397</v>
      </c>
      <c r="AG6498">
        <v>-1.1124536418719999</v>
      </c>
      <c r="AH6498">
        <v>31.852744895264799</v>
      </c>
      <c r="AI6498">
        <v>91.999355920581095</v>
      </c>
      <c r="AJ6498">
        <v>91.700256000695205</v>
      </c>
      <c r="AK6498">
        <v>31.8861866539904</v>
      </c>
      <c r="AL6498">
        <v>91.851285133257505</v>
      </c>
      <c r="AM6498">
        <v>88.547676743139604</v>
      </c>
      <c r="AN6498">
        <v>1.0000000268312399</v>
      </c>
    </row>
    <row r="6499" spans="1:40" x14ac:dyDescent="0.25">
      <c r="A6499" t="str">
        <f>"20190312155005060"</f>
        <v>20190312155005060</v>
      </c>
      <c r="B6499" t="str">
        <f>"1552377005052815"</f>
        <v>1552377005052815</v>
      </c>
      <c r="C6499" t="s">
        <v>40</v>
      </c>
      <c r="D6499">
        <v>4.9145149999999997</v>
      </c>
      <c r="E6499">
        <v>0.47934270000000001</v>
      </c>
      <c r="F6499" t="s">
        <v>74</v>
      </c>
      <c r="G6499">
        <v>-234.2672</v>
      </c>
      <c r="H6499" s="1">
        <v>-1.8270729999999999E-6</v>
      </c>
      <c r="I6499">
        <v>-64.176990000000004</v>
      </c>
      <c r="J6499">
        <v>-265.41460000000001</v>
      </c>
      <c r="K6499">
        <v>1.112452</v>
      </c>
      <c r="L6499">
        <v>-61.207239999999999</v>
      </c>
      <c r="M6499">
        <v>0.99213390000000001</v>
      </c>
      <c r="N6499">
        <v>0</v>
      </c>
      <c r="O6499">
        <v>-0.12440519999999999</v>
      </c>
      <c r="P6499">
        <v>0.98780380000000001</v>
      </c>
      <c r="Q6499">
        <v>-4.5575560000000001E-2</v>
      </c>
      <c r="R6499">
        <v>-0.1488862</v>
      </c>
      <c r="S6499">
        <v>2.9895019999999999</v>
      </c>
      <c r="T6499">
        <v>-0.1063923</v>
      </c>
      <c r="U6499">
        <v>-0.28518680000000002</v>
      </c>
      <c r="V6499">
        <v>2.5028809999999999E-2</v>
      </c>
      <c r="W6499">
        <v>-3.150795E-2</v>
      </c>
      <c r="X6499">
        <v>0.99919009999999997</v>
      </c>
      <c r="Y6499">
        <v>-2.953186E-2</v>
      </c>
      <c r="Z6499">
        <v>4.9254349999999997E-3</v>
      </c>
      <c r="AA6499">
        <v>0.99955170000000004</v>
      </c>
      <c r="AB6499">
        <v>24</v>
      </c>
      <c r="AC6499">
        <v>31.147400000000001</v>
      </c>
      <c r="AD6499">
        <v>-1.112453827073</v>
      </c>
      <c r="AE6499">
        <v>-2.9697499999999901</v>
      </c>
      <c r="AF6499">
        <v>-0.92742641909749401</v>
      </c>
      <c r="AG6499">
        <v>-1.112453827073</v>
      </c>
      <c r="AH6499">
        <v>31.235386989691701</v>
      </c>
      <c r="AI6499">
        <v>92.038839424370906</v>
      </c>
      <c r="AJ6499">
        <v>91.700699682430894</v>
      </c>
      <c r="AK6499">
        <v>31.2689474347317</v>
      </c>
      <c r="AL6499">
        <v>91.805571343778993</v>
      </c>
      <c r="AM6499">
        <v>88.565092510348506</v>
      </c>
      <c r="AN6499">
        <v>1.00000002409061</v>
      </c>
    </row>
    <row r="6500" spans="1:40" x14ac:dyDescent="0.25">
      <c r="A6500" t="str">
        <f>"20190312155005072"</f>
        <v>20190312155005072</v>
      </c>
      <c r="B6500" t="str">
        <f>"1552377005062576"</f>
        <v>1552377005062576</v>
      </c>
      <c r="C6500" t="s">
        <v>40</v>
      </c>
      <c r="D6500">
        <v>4.700285</v>
      </c>
      <c r="E6500">
        <v>0.4797032</v>
      </c>
      <c r="F6500" t="s">
        <v>74</v>
      </c>
      <c r="G6500">
        <v>-234.38810000000001</v>
      </c>
      <c r="H6500" s="1">
        <v>-1.8756070000000001E-6</v>
      </c>
      <c r="I6500">
        <v>-64.164469999999994</v>
      </c>
      <c r="J6500">
        <v>-265.29140000000001</v>
      </c>
      <c r="K6500">
        <v>1.1124499999999999</v>
      </c>
      <c r="L6500">
        <v>-61.220460000000003</v>
      </c>
      <c r="M6500">
        <v>0.99238599999999999</v>
      </c>
      <c r="N6500">
        <v>0</v>
      </c>
      <c r="O6500">
        <v>-0.122377399999999</v>
      </c>
      <c r="P6500">
        <v>0.98820850000000005</v>
      </c>
      <c r="Q6500">
        <v>-4.4613340000000001E-2</v>
      </c>
      <c r="R6500">
        <v>-0.1464715</v>
      </c>
      <c r="S6500">
        <v>2.989166</v>
      </c>
      <c r="T6500">
        <v>-0.1071762</v>
      </c>
      <c r="U6500">
        <v>-0.284912099999999</v>
      </c>
      <c r="V6500">
        <v>2.4617130000000001E-2</v>
      </c>
      <c r="W6500">
        <v>-3.054803E-2</v>
      </c>
      <c r="X6500">
        <v>0.99923010000000001</v>
      </c>
      <c r="Y6500">
        <v>-2.7570609999999999E-2</v>
      </c>
      <c r="Z6500">
        <v>4.8553219999999996E-3</v>
      </c>
      <c r="AA6500">
        <v>0.99960800000000005</v>
      </c>
      <c r="AB6500">
        <v>24</v>
      </c>
      <c r="AC6500">
        <v>30.903300000000002</v>
      </c>
      <c r="AD6500">
        <v>-1.1124518756070001</v>
      </c>
      <c r="AE6500">
        <v>-2.9440099999999898</v>
      </c>
      <c r="AF6500">
        <v>-0.85925112826846395</v>
      </c>
      <c r="AG6500">
        <v>-1.1124518756070001</v>
      </c>
      <c r="AH6500">
        <v>30.9914906790546</v>
      </c>
      <c r="AI6500">
        <v>92.054983140369799</v>
      </c>
      <c r="AJ6500">
        <v>91.588140913277698</v>
      </c>
      <c r="AK6500">
        <v>31.0233517884013</v>
      </c>
      <c r="AL6500">
        <v>91.750545545715696</v>
      </c>
      <c r="AM6500">
        <v>88.588741068269599</v>
      </c>
      <c r="AN6500">
        <v>0.99999998898616305</v>
      </c>
    </row>
    <row r="6501" spans="1:40" x14ac:dyDescent="0.25">
      <c r="A6501" t="str">
        <f>"20190312155005083"</f>
        <v>20190312155005083</v>
      </c>
      <c r="B6501" t="str">
        <f>"1552377005072336"</f>
        <v>1552377005072336</v>
      </c>
      <c r="C6501" t="s">
        <v>40</v>
      </c>
      <c r="D6501">
        <v>4.7031980000000004</v>
      </c>
      <c r="E6501">
        <v>0.48003560000000001</v>
      </c>
      <c r="F6501" t="s">
        <v>74</v>
      </c>
      <c r="G6501">
        <v>-234.90969999999999</v>
      </c>
      <c r="H6501" s="1">
        <v>-2.0737120000000001E-6</v>
      </c>
      <c r="I6501">
        <v>-64.067999999999998</v>
      </c>
      <c r="J6501">
        <v>-265.16820000000001</v>
      </c>
      <c r="K6501">
        <v>1.1124480000000001</v>
      </c>
      <c r="L6501">
        <v>-61.233460000000001</v>
      </c>
      <c r="M6501">
        <v>0.99263380000000001</v>
      </c>
      <c r="N6501">
        <v>0</v>
      </c>
      <c r="O6501">
        <v>-0.12035179999999999</v>
      </c>
      <c r="P6501">
        <v>0.98855910000000002</v>
      </c>
      <c r="Q6501">
        <v>-4.3727160000000001E-2</v>
      </c>
      <c r="R6501">
        <v>-0.14435799999999999</v>
      </c>
      <c r="S6501">
        <v>2.9893190000000001</v>
      </c>
      <c r="T6501">
        <v>-0.10945630000000001</v>
      </c>
      <c r="U6501">
        <v>-0.28018189999999998</v>
      </c>
      <c r="V6501">
        <v>2.4508909999999998E-2</v>
      </c>
      <c r="W6501">
        <v>-2.9662540000000001E-2</v>
      </c>
      <c r="X6501">
        <v>0.99925949999999997</v>
      </c>
      <c r="Y6501">
        <v>-2.7100599999999999E-2</v>
      </c>
      <c r="Z6501">
        <v>4.8768229999999997E-3</v>
      </c>
      <c r="AA6501">
        <v>0.99962079999999998</v>
      </c>
      <c r="AB6501">
        <v>24</v>
      </c>
      <c r="AC6501">
        <v>30.258500000000002</v>
      </c>
      <c r="AD6501">
        <v>-1.11245007371199</v>
      </c>
      <c r="AE6501">
        <v>-2.8345399999999898</v>
      </c>
      <c r="AF6501">
        <v>-0.82697681981557003</v>
      </c>
      <c r="AG6501">
        <v>-1.11245007371199</v>
      </c>
      <c r="AH6501">
        <v>30.339041249664099</v>
      </c>
      <c r="AI6501">
        <v>92.099160538820001</v>
      </c>
      <c r="AJ6501">
        <v>91.561372738035701</v>
      </c>
      <c r="AK6501">
        <v>30.370690801755401</v>
      </c>
      <c r="AL6501">
        <v>91.699787592006402</v>
      </c>
      <c r="AM6501">
        <v>88.594983970289604</v>
      </c>
      <c r="AN6501">
        <v>1.00000005064444</v>
      </c>
    </row>
    <row r="6502" spans="1:40" x14ac:dyDescent="0.25">
      <c r="A6502" t="str">
        <f>"20190312155005094"</f>
        <v>20190312155005094</v>
      </c>
      <c r="B6502" t="str">
        <f>"1552377005082096"</f>
        <v>1552377005082096</v>
      </c>
      <c r="C6502" t="s">
        <v>40</v>
      </c>
      <c r="D6502">
        <v>4.7121579999999996</v>
      </c>
      <c r="E6502">
        <v>0.48023320000000003</v>
      </c>
      <c r="F6502" t="s">
        <v>74</v>
      </c>
      <c r="G6502">
        <v>-234.9879</v>
      </c>
      <c r="H6502" s="1">
        <v>-2.0951469999999999E-6</v>
      </c>
      <c r="I6502">
        <v>-64.02252</v>
      </c>
      <c r="J6502">
        <v>-265.05130000000003</v>
      </c>
      <c r="K6502">
        <v>1.1124449999999999</v>
      </c>
      <c r="L6502">
        <v>-61.245420000000003</v>
      </c>
      <c r="M6502">
        <v>0.99286439999999998</v>
      </c>
      <c r="N6502">
        <v>0</v>
      </c>
      <c r="O6502">
        <v>-0.1184332</v>
      </c>
      <c r="P6502">
        <v>0.98882939999999997</v>
      </c>
      <c r="Q6502">
        <v>-4.3241519999999999E-2</v>
      </c>
      <c r="R6502">
        <v>-0.1426414</v>
      </c>
      <c r="S6502">
        <v>2.9895019999999999</v>
      </c>
      <c r="T6502">
        <v>-0.11019329999999999</v>
      </c>
      <c r="U6502">
        <v>-0.27627560000000001</v>
      </c>
      <c r="V6502">
        <v>2.4699209999999999E-2</v>
      </c>
      <c r="W6502">
        <v>-2.9176049999999999E-2</v>
      </c>
      <c r="X6502">
        <v>0.99926910000000002</v>
      </c>
      <c r="Y6502">
        <v>-2.646975E-2</v>
      </c>
      <c r="Z6502">
        <v>4.8281449999999998E-3</v>
      </c>
      <c r="AA6502">
        <v>0.99963800000000003</v>
      </c>
      <c r="AB6502">
        <v>24</v>
      </c>
      <c r="AC6502">
        <v>30.063400000000001</v>
      </c>
      <c r="AD6502">
        <v>-1.112447095147</v>
      </c>
      <c r="AE6502">
        <v>-2.7770999999999999</v>
      </c>
      <c r="AF6502">
        <v>-0.802209675901706</v>
      </c>
      <c r="AG6502">
        <v>-1.112447095147</v>
      </c>
      <c r="AH6502">
        <v>30.139786294920899</v>
      </c>
      <c r="AI6502">
        <v>92.113056412200393</v>
      </c>
      <c r="AJ6502">
        <v>91.524641847239295</v>
      </c>
      <c r="AK6502">
        <v>30.1709760665298</v>
      </c>
      <c r="AL6502">
        <v>91.671901761256706</v>
      </c>
      <c r="AM6502">
        <v>88.584092711933707</v>
      </c>
      <c r="AN6502">
        <v>1.0000000135415099</v>
      </c>
    </row>
    <row r="6503" spans="1:40" x14ac:dyDescent="0.25">
      <c r="A6503" t="str">
        <f>"20190312155005106"</f>
        <v>20190312155005106</v>
      </c>
      <c r="B6503" t="str">
        <f>"1552377005102591"</f>
        <v>1552377005102591</v>
      </c>
      <c r="C6503" t="s">
        <v>40</v>
      </c>
      <c r="D6503">
        <v>4.695036</v>
      </c>
      <c r="E6503">
        <v>0.48069390000000001</v>
      </c>
      <c r="F6503" t="s">
        <v>74</v>
      </c>
      <c r="G6503">
        <v>-235.2706</v>
      </c>
      <c r="H6503" s="1">
        <v>-2.1999330000000002E-6</v>
      </c>
      <c r="I6503">
        <v>-63.960610000000003</v>
      </c>
      <c r="J6503">
        <v>-264.93</v>
      </c>
      <c r="K6503">
        <v>1.112439</v>
      </c>
      <c r="L6503">
        <v>-61.257779999999997</v>
      </c>
      <c r="M6503">
        <v>0.99309990000000004</v>
      </c>
      <c r="N6503">
        <v>0</v>
      </c>
      <c r="O6503">
        <v>-0.1164418</v>
      </c>
      <c r="P6503">
        <v>0.98913169999999995</v>
      </c>
      <c r="Q6503">
        <v>-4.2840160000000002E-2</v>
      </c>
      <c r="R6503">
        <v>-0.1406521</v>
      </c>
      <c r="S6503">
        <v>2.9896850000000001</v>
      </c>
      <c r="T6503">
        <v>-0.11167820000000001</v>
      </c>
      <c r="U6503">
        <v>-0.27258300000000002</v>
      </c>
      <c r="V6503">
        <v>2.4688209999999999E-2</v>
      </c>
      <c r="W6503">
        <v>-2.8775120000000001E-2</v>
      </c>
      <c r="X6503">
        <v>0.99928099999999997</v>
      </c>
      <c r="Y6503">
        <v>-2.5694209999999999E-2</v>
      </c>
      <c r="Z6503">
        <v>4.8051429999999996E-3</v>
      </c>
      <c r="AA6503">
        <v>0.9996583</v>
      </c>
      <c r="AB6503">
        <v>24</v>
      </c>
      <c r="AC6503">
        <v>29.659400000000002</v>
      </c>
      <c r="AD6503">
        <v>-1.1124411999329999</v>
      </c>
      <c r="AE6503">
        <v>-2.7028299999999899</v>
      </c>
      <c r="AF6503">
        <v>-0.76841622672722298</v>
      </c>
      <c r="AG6503">
        <v>-1.1124411999329999</v>
      </c>
      <c r="AH6503">
        <v>29.7308754362688</v>
      </c>
      <c r="AI6503">
        <v>92.1421238461879</v>
      </c>
      <c r="AJ6503">
        <v>91.480521734002195</v>
      </c>
      <c r="AK6503">
        <v>29.7616018239566</v>
      </c>
      <c r="AL6503">
        <v>91.648920510934403</v>
      </c>
      <c r="AM6503">
        <v>88.5847398886322</v>
      </c>
      <c r="AN6503">
        <v>1.0000000161025</v>
      </c>
    </row>
    <row r="6504" spans="1:40" x14ac:dyDescent="0.25">
      <c r="A6504" t="str">
        <f>"20190312155005117"</f>
        <v>20190312155005117</v>
      </c>
      <c r="B6504" t="str">
        <f>"1552377005112352"</f>
        <v>1552377005112352</v>
      </c>
      <c r="C6504" t="s">
        <v>40</v>
      </c>
      <c r="D6504">
        <v>4.6846290000000002</v>
      </c>
      <c r="E6504">
        <v>0.48102679999999998</v>
      </c>
      <c r="F6504" t="s">
        <v>74</v>
      </c>
      <c r="G6504">
        <v>-236.03389999999999</v>
      </c>
      <c r="H6504" s="1">
        <v>-2.5025810000000001E-6</v>
      </c>
      <c r="I6504">
        <v>-63.867289999999997</v>
      </c>
      <c r="J6504">
        <v>-264.81330000000003</v>
      </c>
      <c r="K6504">
        <v>1.1124339999999999</v>
      </c>
      <c r="L6504">
        <v>-61.269260000000003</v>
      </c>
      <c r="M6504">
        <v>0.99332209999999999</v>
      </c>
      <c r="N6504">
        <v>0</v>
      </c>
      <c r="O6504">
        <v>-0.1145313</v>
      </c>
      <c r="P6504">
        <v>0.98937770000000003</v>
      </c>
      <c r="Q6504">
        <v>-4.291271E-2</v>
      </c>
      <c r="R6504">
        <v>-0.1388904</v>
      </c>
      <c r="S6504">
        <v>2.9896240000000001</v>
      </c>
      <c r="T6504">
        <v>-0.11509469999999999</v>
      </c>
      <c r="U6504">
        <v>-0.26998899999999998</v>
      </c>
      <c r="V6504">
        <v>2.4831200000000001E-2</v>
      </c>
      <c r="W6504">
        <v>-2.8847689999999999E-2</v>
      </c>
      <c r="X6504">
        <v>0.99927529999999998</v>
      </c>
      <c r="Y6504">
        <v>-2.462572E-2</v>
      </c>
      <c r="Z6504">
        <v>4.8590430000000004E-3</v>
      </c>
      <c r="AA6504">
        <v>0.99968489999999999</v>
      </c>
      <c r="AB6504">
        <v>24</v>
      </c>
      <c r="AC6504">
        <v>28.779399999999999</v>
      </c>
      <c r="AD6504">
        <v>-1.1124365025809999</v>
      </c>
      <c r="AE6504">
        <v>-2.5980300000000001</v>
      </c>
      <c r="AF6504">
        <v>-0.71447193210281101</v>
      </c>
      <c r="AG6504">
        <v>-1.1124365025809999</v>
      </c>
      <c r="AH6504">
        <v>28.8448195603596</v>
      </c>
      <c r="AI6504">
        <v>92.207912231613093</v>
      </c>
      <c r="AJ6504">
        <v>91.4188980256462</v>
      </c>
      <c r="AK6504">
        <v>28.875103473126099</v>
      </c>
      <c r="AL6504">
        <v>91.653080299319598</v>
      </c>
      <c r="AM6504">
        <v>88.576538184349999</v>
      </c>
      <c r="AN6504">
        <v>0.99999995145093101</v>
      </c>
    </row>
    <row r="6505" spans="1:40" x14ac:dyDescent="0.25">
      <c r="A6505" t="str">
        <f>"20190312155005129"</f>
        <v>20190312155005129</v>
      </c>
      <c r="B6505" t="str">
        <f>"1552377005122111"</f>
        <v>1552377005122111</v>
      </c>
      <c r="C6505" t="s">
        <v>40</v>
      </c>
      <c r="D6505">
        <v>4.8176699999999997</v>
      </c>
      <c r="E6505">
        <v>0.48153970000000001</v>
      </c>
      <c r="F6505" t="s">
        <v>74</v>
      </c>
      <c r="G6505">
        <v>-236.26079999999999</v>
      </c>
      <c r="H6505" s="1">
        <v>-2.5876539999999998E-6</v>
      </c>
      <c r="I6505">
        <v>-63.821179999999998</v>
      </c>
      <c r="J6505">
        <v>-264.68439999999998</v>
      </c>
      <c r="K6505">
        <v>1.1124270000000001</v>
      </c>
      <c r="L6505">
        <v>-61.281799999999997</v>
      </c>
      <c r="M6505">
        <v>0.99356290000000003</v>
      </c>
      <c r="N6505">
        <v>0</v>
      </c>
      <c r="O6505">
        <v>-0.1124233</v>
      </c>
      <c r="P6505">
        <v>0.98959739999999996</v>
      </c>
      <c r="Q6505">
        <v>-4.3155279999999997E-2</v>
      </c>
      <c r="R6505">
        <v>-0.13724</v>
      </c>
      <c r="S6505">
        <v>2.989655</v>
      </c>
      <c r="T6505">
        <v>-0.116480399999999</v>
      </c>
      <c r="U6505">
        <v>-0.2672119</v>
      </c>
      <c r="V6505">
        <v>2.528679E-2</v>
      </c>
      <c r="W6505">
        <v>-2.9088699999999999E-2</v>
      </c>
      <c r="X6505">
        <v>0.9992569</v>
      </c>
      <c r="Y6505">
        <v>-2.3426559999999999E-2</v>
      </c>
      <c r="Z6505">
        <v>4.8130719999999998E-3</v>
      </c>
      <c r="AA6505">
        <v>0.99971399999999999</v>
      </c>
      <c r="AB6505">
        <v>24</v>
      </c>
      <c r="AC6505">
        <v>28.4236</v>
      </c>
      <c r="AD6505">
        <v>-1.112429587654</v>
      </c>
      <c r="AE6505">
        <v>-2.53938</v>
      </c>
      <c r="AF6505">
        <v>-0.67148590863031599</v>
      </c>
      <c r="AG6505">
        <v>-1.112429587654</v>
      </c>
      <c r="AH6505">
        <v>28.485596806321499</v>
      </c>
      <c r="AI6505">
        <v>92.235778110804205</v>
      </c>
      <c r="AJ6505">
        <v>91.350373135841195</v>
      </c>
      <c r="AK6505">
        <v>28.515217311556501</v>
      </c>
      <c r="AL6505">
        <v>91.666894933786693</v>
      </c>
      <c r="AM6505">
        <v>88.550405606348093</v>
      </c>
      <c r="AN6505">
        <v>0.99999996320690099</v>
      </c>
    </row>
    <row r="6506" spans="1:40" x14ac:dyDescent="0.25">
      <c r="A6506" t="str">
        <f>"20190312155005141"</f>
        <v>20190312155005141</v>
      </c>
      <c r="B6506" t="str">
        <f>"1552377005132848"</f>
        <v>1552377005132848</v>
      </c>
      <c r="C6506" t="s">
        <v>40</v>
      </c>
      <c r="D6506">
        <v>4.7029529999999999</v>
      </c>
      <c r="E6506">
        <v>0.4820064</v>
      </c>
      <c r="F6506" t="s">
        <v>74</v>
      </c>
      <c r="G6506">
        <v>-236.52950000000001</v>
      </c>
      <c r="H6506" s="1">
        <v>-2.694485E-6</v>
      </c>
      <c r="I6506">
        <v>-63.789439999999999</v>
      </c>
      <c r="J6506">
        <v>-264.55529999999999</v>
      </c>
      <c r="K6506">
        <v>1.1124160000000001</v>
      </c>
      <c r="L6506">
        <v>-61.294069999999998</v>
      </c>
      <c r="M6506">
        <v>0.9937994</v>
      </c>
      <c r="N6506">
        <v>0</v>
      </c>
      <c r="O6506">
        <v>-0.1103133</v>
      </c>
      <c r="P6506">
        <v>0.98985529999999999</v>
      </c>
      <c r="Q6506">
        <v>-4.3244779999999997E-2</v>
      </c>
      <c r="R6506">
        <v>-0.13533970000000001</v>
      </c>
      <c r="S6506">
        <v>2.989471</v>
      </c>
      <c r="T6506">
        <v>-0.118117</v>
      </c>
      <c r="U6506">
        <v>-0.2662659</v>
      </c>
      <c r="V6506">
        <v>2.549015E-2</v>
      </c>
      <c r="W6506">
        <v>-2.9178220000000001E-2</v>
      </c>
      <c r="X6506">
        <v>0.99924919999999995</v>
      </c>
      <c r="Y6506">
        <v>-2.161225E-2</v>
      </c>
      <c r="Z6506">
        <v>4.7626910000000003E-3</v>
      </c>
      <c r="AA6506">
        <v>0.99975510000000001</v>
      </c>
      <c r="AB6506">
        <v>24</v>
      </c>
      <c r="AC6506">
        <v>28.025799999999901</v>
      </c>
      <c r="AD6506">
        <v>-1.1124186944850001</v>
      </c>
      <c r="AE6506">
        <v>-2.4953699999999999</v>
      </c>
      <c r="AF6506">
        <v>-0.61082574563543801</v>
      </c>
      <c r="AG6506">
        <v>-1.1124186944850001</v>
      </c>
      <c r="AH6506">
        <v>28.086118798473699</v>
      </c>
      <c r="AI6506">
        <v>92.2676167722244</v>
      </c>
      <c r="AJ6506">
        <v>91.245890228155702</v>
      </c>
      <c r="AK6506">
        <v>28.1147764103744</v>
      </c>
      <c r="AL6506">
        <v>91.672026101825793</v>
      </c>
      <c r="AM6506">
        <v>88.538741538976296</v>
      </c>
      <c r="AN6506">
        <v>1.00000003998501</v>
      </c>
    </row>
    <row r="6507" spans="1:40" x14ac:dyDescent="0.25">
      <c r="A6507" t="str">
        <f>"20190312155005153"</f>
        <v>20190312155005153</v>
      </c>
      <c r="B6507" t="str">
        <f>"1552377005142608"</f>
        <v>1552377005142608</v>
      </c>
      <c r="C6507" t="s">
        <v>40</v>
      </c>
      <c r="D6507">
        <v>4.751099</v>
      </c>
      <c r="E6507">
        <v>0.48235830000000002</v>
      </c>
      <c r="F6507" t="s">
        <v>74</v>
      </c>
      <c r="G6507">
        <v>-236.46360000000001</v>
      </c>
      <c r="H6507" s="1">
        <v>-2.66281E-6</v>
      </c>
      <c r="I6507">
        <v>-63.776620000000001</v>
      </c>
      <c r="J6507">
        <v>-264.4325</v>
      </c>
      <c r="K6507">
        <v>1.1124050000000001</v>
      </c>
      <c r="L6507">
        <v>-61.30545</v>
      </c>
      <c r="M6507">
        <v>0.99401969999999995</v>
      </c>
      <c r="N6507">
        <v>0</v>
      </c>
      <c r="O6507">
        <v>-0.1083104</v>
      </c>
      <c r="P6507">
        <v>0.99003450000000004</v>
      </c>
      <c r="Q6507">
        <v>-4.3607369999999999E-2</v>
      </c>
      <c r="R6507">
        <v>-0.1339033</v>
      </c>
      <c r="S6507">
        <v>2.9894099999999999</v>
      </c>
      <c r="T6507">
        <v>-0.1183795</v>
      </c>
      <c r="U6507">
        <v>-0.2641907</v>
      </c>
      <c r="V6507">
        <v>2.6057319999999998E-2</v>
      </c>
      <c r="W6507">
        <v>-2.953896E-2</v>
      </c>
      <c r="X6507">
        <v>0.99922390000000005</v>
      </c>
      <c r="Y6507">
        <v>-2.0286370000000001E-2</v>
      </c>
      <c r="Z6507">
        <v>4.6687689999999997E-3</v>
      </c>
      <c r="AA6507">
        <v>0.99978330000000004</v>
      </c>
      <c r="AB6507">
        <v>24</v>
      </c>
      <c r="AC6507">
        <v>27.968899999999898</v>
      </c>
      <c r="AD6507">
        <v>-1.1124076628099999</v>
      </c>
      <c r="AE6507">
        <v>-2.4711699999999901</v>
      </c>
      <c r="AF6507">
        <v>-0.57208860591434196</v>
      </c>
      <c r="AG6507">
        <v>-1.1124076628099999</v>
      </c>
      <c r="AH6507">
        <v>28.028015917551699</v>
      </c>
      <c r="AI6507">
        <v>92.272354120727499</v>
      </c>
      <c r="AJ6507">
        <v>91.1693197197839</v>
      </c>
      <c r="AK6507">
        <v>28.055915819231998</v>
      </c>
      <c r="AL6507">
        <v>91.692704015439105</v>
      </c>
      <c r="AM6507">
        <v>88.506204492855304</v>
      </c>
      <c r="AN6507">
        <v>0.99999996820733605</v>
      </c>
    </row>
    <row r="6508" spans="1:40" x14ac:dyDescent="0.25">
      <c r="A6508" t="str">
        <f>"20190312155005167"</f>
        <v>20190312155005167</v>
      </c>
      <c r="B6508" t="str">
        <f>"1552377005152368"</f>
        <v>1552377005152368</v>
      </c>
      <c r="C6508" t="s">
        <v>40</v>
      </c>
      <c r="D6508">
        <v>4.7449219999999999</v>
      </c>
      <c r="E6508">
        <v>0.48271589999999998</v>
      </c>
      <c r="F6508" t="s">
        <v>74</v>
      </c>
      <c r="G6508">
        <v>-236.29069999999999</v>
      </c>
      <c r="H6508" s="1">
        <v>-2.589081E-6</v>
      </c>
      <c r="I6508">
        <v>-63.778300000000002</v>
      </c>
      <c r="J6508">
        <v>-264.28570000000002</v>
      </c>
      <c r="K6508">
        <v>1.112392</v>
      </c>
      <c r="L6508">
        <v>-61.318849999999998</v>
      </c>
      <c r="M6508">
        <v>0.99427710000000002</v>
      </c>
      <c r="N6508">
        <v>0</v>
      </c>
      <c r="O6508">
        <v>-0.1059214</v>
      </c>
      <c r="P6508">
        <v>0.99033870000000002</v>
      </c>
      <c r="Q6508">
        <v>-4.3635609999999998E-2</v>
      </c>
      <c r="R6508">
        <v>-0.13162479999999999</v>
      </c>
      <c r="S6508">
        <v>2.989471</v>
      </c>
      <c r="T6508">
        <v>-0.11817</v>
      </c>
      <c r="U6508">
        <v>-0.26269530000000002</v>
      </c>
      <c r="V6508">
        <v>2.6158549999999999E-2</v>
      </c>
      <c r="W6508">
        <v>-2.956831E-2</v>
      </c>
      <c r="X6508">
        <v>0.99922040000000001</v>
      </c>
      <c r="Y6508">
        <v>-1.8385459999999999E-2</v>
      </c>
      <c r="Z6508">
        <v>4.529473E-3</v>
      </c>
      <c r="AA6508">
        <v>0.99982070000000001</v>
      </c>
      <c r="AB6508">
        <v>24</v>
      </c>
      <c r="AC6508">
        <v>27.995000000000001</v>
      </c>
      <c r="AD6508">
        <v>-1.1123945890809901</v>
      </c>
      <c r="AE6508">
        <v>-2.4594499999999999</v>
      </c>
      <c r="AF6508">
        <v>-0.51913175656552601</v>
      </c>
      <c r="AG6508">
        <v>-1.1123945890809901</v>
      </c>
      <c r="AH6508">
        <v>28.0540617804863</v>
      </c>
      <c r="AI6508">
        <v>92.270304088443694</v>
      </c>
      <c r="AJ6508">
        <v>91.060119727755705</v>
      </c>
      <c r="AK6508">
        <v>28.080906357983402</v>
      </c>
      <c r="AL6508">
        <v>91.694386359404902</v>
      </c>
      <c r="AM6508">
        <v>88.500398645872593</v>
      </c>
      <c r="AN6508">
        <v>0.99999998123525902</v>
      </c>
    </row>
    <row r="6509" spans="1:40" x14ac:dyDescent="0.25">
      <c r="A6509" t="str">
        <f>"20190312155005178"</f>
        <v>20190312155005178</v>
      </c>
      <c r="B6509" t="str">
        <f>"1552377005172864"</f>
        <v>1552377005172864</v>
      </c>
      <c r="C6509" t="s">
        <v>40</v>
      </c>
      <c r="D6509">
        <v>4.7294999999999998</v>
      </c>
      <c r="E6509">
        <v>0.4833596</v>
      </c>
      <c r="F6509" t="s">
        <v>74</v>
      </c>
      <c r="G6509">
        <v>-236.07140000000001</v>
      </c>
      <c r="H6509" s="1">
        <v>-2.4899870000000002E-6</v>
      </c>
      <c r="I6509">
        <v>-63.759569999999997</v>
      </c>
      <c r="J6509">
        <v>-264.15499999999997</v>
      </c>
      <c r="K6509">
        <v>1.1123780000000001</v>
      </c>
      <c r="L6509">
        <v>-61.330319999999901</v>
      </c>
      <c r="M6509">
        <v>0.99450000000000005</v>
      </c>
      <c r="N6509">
        <v>0</v>
      </c>
      <c r="O6509">
        <v>-0.1038061</v>
      </c>
      <c r="P6509">
        <v>0.99060769999999998</v>
      </c>
      <c r="Q6509">
        <v>-4.3550560000000002E-2</v>
      </c>
      <c r="R6509">
        <v>-0.12961400000000001</v>
      </c>
      <c r="S6509">
        <v>2.989716</v>
      </c>
      <c r="T6509">
        <v>-0.1178741</v>
      </c>
      <c r="U6509">
        <v>-0.25863649999999999</v>
      </c>
      <c r="V6509">
        <v>2.6253450000000001E-2</v>
      </c>
      <c r="W6509">
        <v>-2.9484799999999999E-2</v>
      </c>
      <c r="X6509">
        <v>0.99922040000000001</v>
      </c>
      <c r="Y6509">
        <v>-1.7615510000000001E-2</v>
      </c>
      <c r="Z6509">
        <v>4.4202850000000004E-3</v>
      </c>
      <c r="AA6509">
        <v>0.99983509999999998</v>
      </c>
      <c r="AB6509">
        <v>24</v>
      </c>
      <c r="AC6509">
        <v>28.083599999999901</v>
      </c>
      <c r="AD6509">
        <v>-1.112380489987</v>
      </c>
      <c r="AE6509">
        <v>-2.4292500000000001</v>
      </c>
      <c r="AF6509">
        <v>-0.49863181679569102</v>
      </c>
      <c r="AG6509">
        <v>-1.112380489987</v>
      </c>
      <c r="AH6509">
        <v>28.140223861848099</v>
      </c>
      <c r="AI6509">
        <v>92.263363408125898</v>
      </c>
      <c r="AJ6509">
        <v>91.0151486083805</v>
      </c>
      <c r="AK6509">
        <v>28.166615399052599</v>
      </c>
      <c r="AL6509">
        <v>91.689599465870899</v>
      </c>
      <c r="AM6509">
        <v>88.4949607744323</v>
      </c>
      <c r="AN6509">
        <v>1.0000000024220499</v>
      </c>
    </row>
    <row r="6510" spans="1:40" x14ac:dyDescent="0.25">
      <c r="A6510" t="str">
        <f>"20190312155005191"</f>
        <v>20190312155005191</v>
      </c>
      <c r="B6510" t="str">
        <f>"1552377005182625"</f>
        <v>1552377005182625</v>
      </c>
      <c r="C6510" t="s">
        <v>40</v>
      </c>
      <c r="D6510">
        <v>4.8323260000000001</v>
      </c>
      <c r="E6510">
        <v>0.48347220000000002</v>
      </c>
      <c r="F6510" t="s">
        <v>74</v>
      </c>
      <c r="G6510">
        <v>-235.48759999999999</v>
      </c>
      <c r="H6510" s="1">
        <v>-2.250872E-6</v>
      </c>
      <c r="I6510">
        <v>-63.802149999999997</v>
      </c>
      <c r="J6510">
        <v>-264.03199999999998</v>
      </c>
      <c r="K6510">
        <v>1.1123730000000001</v>
      </c>
      <c r="L6510">
        <v>-61.340969999999999</v>
      </c>
      <c r="M6510">
        <v>0.99470570000000003</v>
      </c>
      <c r="N6510">
        <v>0</v>
      </c>
      <c r="O6510">
        <v>-0.1018189</v>
      </c>
      <c r="P6510">
        <v>0.99087409999999998</v>
      </c>
      <c r="Q6510">
        <v>-4.3210789999999999E-2</v>
      </c>
      <c r="R6510">
        <v>-0.1276793</v>
      </c>
      <c r="S6510">
        <v>2.9895939999999999</v>
      </c>
      <c r="T6510">
        <v>-0.11600480000000001</v>
      </c>
      <c r="U6510">
        <v>-0.25778200000000001</v>
      </c>
      <c r="V6510">
        <v>2.6293939999999998E-2</v>
      </c>
      <c r="W6510">
        <v>-2.9146780000000001E-2</v>
      </c>
      <c r="X6510">
        <v>0.99922929999999999</v>
      </c>
      <c r="Y6510">
        <v>-1.5903649999999998E-2</v>
      </c>
      <c r="Z6510">
        <v>4.2408769999999997E-3</v>
      </c>
      <c r="AA6510">
        <v>0.99986450000000004</v>
      </c>
      <c r="AB6510">
        <v>24</v>
      </c>
      <c r="AC6510">
        <v>28.5444</v>
      </c>
      <c r="AD6510">
        <v>-1.112375250872</v>
      </c>
      <c r="AE6510">
        <v>-2.4611800000000001</v>
      </c>
      <c r="AF6510">
        <v>-0.457564211584637</v>
      </c>
      <c r="AG6510">
        <v>-1.112375250872</v>
      </c>
      <c r="AH6510">
        <v>28.6035249679976</v>
      </c>
      <c r="AI6510">
        <v>92.226794252000701</v>
      </c>
      <c r="AJ6510">
        <v>90.916469641858896</v>
      </c>
      <c r="AK6510">
        <v>28.628803403239601</v>
      </c>
      <c r="AL6510">
        <v>91.670223939339806</v>
      </c>
      <c r="AM6510">
        <v>88.492654082051502</v>
      </c>
      <c r="AN6510">
        <v>1.0000000500217801</v>
      </c>
    </row>
    <row r="6511" spans="1:40" x14ac:dyDescent="0.25">
      <c r="A6511" t="str">
        <f>"20190312155005200"</f>
        <v>20190312155005200</v>
      </c>
      <c r="B6511" t="str">
        <f>"1552377005192384"</f>
        <v>1552377005192384</v>
      </c>
      <c r="C6511" t="s">
        <v>40</v>
      </c>
      <c r="D6511">
        <v>4.8104269999999998</v>
      </c>
      <c r="E6511">
        <v>0.48360009999999998</v>
      </c>
      <c r="F6511" t="s">
        <v>74</v>
      </c>
      <c r="G6511">
        <v>-235.2475</v>
      </c>
      <c r="H6511" s="1">
        <v>-2.1404950000000002E-6</v>
      </c>
      <c r="I6511">
        <v>-63.774360000000001</v>
      </c>
      <c r="J6511">
        <v>-263.92469999999997</v>
      </c>
      <c r="K6511">
        <v>1.11236</v>
      </c>
      <c r="L6511">
        <v>-61.350070000000002</v>
      </c>
      <c r="M6511">
        <v>0.99488089999999996</v>
      </c>
      <c r="N6511">
        <v>0</v>
      </c>
      <c r="O6511">
        <v>-0.1000931</v>
      </c>
      <c r="P6511">
        <v>0.99108370000000001</v>
      </c>
      <c r="Q6511">
        <v>-4.3045300000000002E-2</v>
      </c>
      <c r="R6511">
        <v>-0.1260965</v>
      </c>
      <c r="S6511">
        <v>2.990021</v>
      </c>
      <c r="T6511">
        <v>-0.1155492</v>
      </c>
      <c r="U6511">
        <v>-0.25277709999999998</v>
      </c>
      <c r="V6511">
        <v>2.6429009999999999E-2</v>
      </c>
      <c r="W6511">
        <v>-2.8982480000000001E-2</v>
      </c>
      <c r="X6511">
        <v>0.99923039999999996</v>
      </c>
      <c r="Y6511">
        <v>-1.5844750000000001E-2</v>
      </c>
      <c r="Z6511">
        <v>4.1567189999999997E-3</v>
      </c>
      <c r="AA6511">
        <v>0.99986580000000003</v>
      </c>
      <c r="AB6511">
        <v>24</v>
      </c>
      <c r="AC6511">
        <v>28.6771999999999</v>
      </c>
      <c r="AD6511">
        <v>-1.1123621404949999</v>
      </c>
      <c r="AE6511">
        <v>-2.4242899999999898</v>
      </c>
      <c r="AF6511">
        <v>-0.45787034690782402</v>
      </c>
      <c r="AG6511">
        <v>-1.1123621404949999</v>
      </c>
      <c r="AH6511">
        <v>28.732910955740699</v>
      </c>
      <c r="AI6511">
        <v>92.216752961901506</v>
      </c>
      <c r="AJ6511">
        <v>90.912953728358701</v>
      </c>
      <c r="AK6511">
        <v>28.758080025911099</v>
      </c>
      <c r="AL6511">
        <v>91.660806456495393</v>
      </c>
      <c r="AM6511">
        <v>88.484916225928799</v>
      </c>
      <c r="AN6511">
        <v>0.99999993450034297</v>
      </c>
    </row>
    <row r="6512" spans="1:40" x14ac:dyDescent="0.25">
      <c r="A6512" t="str">
        <f>"20190312155005210"</f>
        <v>20190312155005210</v>
      </c>
      <c r="B6512" t="str">
        <f>"1552377005202143"</f>
        <v>1552377005202143</v>
      </c>
      <c r="C6512" t="s">
        <v>40</v>
      </c>
      <c r="D6512">
        <v>4.8534129999999998</v>
      </c>
      <c r="E6512">
        <v>0.483705</v>
      </c>
      <c r="F6512" t="s">
        <v>74</v>
      </c>
      <c r="G6512">
        <v>-235.28290000000001</v>
      </c>
      <c r="H6512" s="1">
        <v>-2.1450319999999998E-6</v>
      </c>
      <c r="I6512">
        <v>-63.73433</v>
      </c>
      <c r="J6512">
        <v>-263.82010000000002</v>
      </c>
      <c r="K6512">
        <v>1.112347</v>
      </c>
      <c r="L6512">
        <v>-61.358699999999999</v>
      </c>
      <c r="M6512">
        <v>0.99504760000000003</v>
      </c>
      <c r="N6512">
        <v>0</v>
      </c>
      <c r="O6512">
        <v>-9.8420380000000002E-2</v>
      </c>
      <c r="P6512">
        <v>0.9912955</v>
      </c>
      <c r="Q6512">
        <v>-4.30561E-2</v>
      </c>
      <c r="R6512">
        <v>-0.1244181</v>
      </c>
      <c r="S6512">
        <v>2.9902950000000001</v>
      </c>
      <c r="T6512">
        <v>-0.1161343</v>
      </c>
      <c r="U6512">
        <v>-0.24893190000000001</v>
      </c>
      <c r="V6512">
        <v>2.641551E-2</v>
      </c>
      <c r="W6512">
        <v>-2.8995650000000001E-2</v>
      </c>
      <c r="X6512">
        <v>0.99923039999999996</v>
      </c>
      <c r="Y6512">
        <v>-1.544894E-2</v>
      </c>
      <c r="Z6512">
        <v>4.1055290000000001E-3</v>
      </c>
      <c r="AA6512">
        <v>0.99987219999999999</v>
      </c>
      <c r="AB6512">
        <v>24</v>
      </c>
      <c r="AC6512">
        <v>28.537199999999999</v>
      </c>
      <c r="AD6512">
        <v>-1.112349145032</v>
      </c>
      <c r="AE6512">
        <v>-2.3756300000000001</v>
      </c>
      <c r="AF6512">
        <v>-0.44415004397073898</v>
      </c>
      <c r="AG6512">
        <v>-1.112349145032</v>
      </c>
      <c r="AH6512">
        <v>28.589317602273798</v>
      </c>
      <c r="AI6512">
        <v>92.227863683241296</v>
      </c>
      <c r="AJ6512">
        <v>90.890048385683698</v>
      </c>
      <c r="AK6512">
        <v>28.614396216689599</v>
      </c>
      <c r="AL6512">
        <v>91.661561317532303</v>
      </c>
      <c r="AM6512">
        <v>88.485689773817299</v>
      </c>
      <c r="AN6512">
        <v>0.99999995958582</v>
      </c>
    </row>
    <row r="6513" spans="1:40" x14ac:dyDescent="0.25">
      <c r="A6513" t="str">
        <f>"20190312155005220"</f>
        <v>20190312155005220</v>
      </c>
      <c r="B6513" t="str">
        <f>"1552377005212879"</f>
        <v>1552377005212879</v>
      </c>
      <c r="C6513" t="s">
        <v>40</v>
      </c>
      <c r="D6513">
        <v>4.7329150000000002</v>
      </c>
      <c r="E6513">
        <v>0.48369509999999999</v>
      </c>
      <c r="F6513" t="s">
        <v>74</v>
      </c>
      <c r="G6513">
        <v>-235.65889999999999</v>
      </c>
      <c r="H6513" s="1">
        <v>-2.2872279999999998E-6</v>
      </c>
      <c r="I6513">
        <v>-63.66254</v>
      </c>
      <c r="J6513">
        <v>-263.71350000000001</v>
      </c>
      <c r="K6513">
        <v>1.1123320000000001</v>
      </c>
      <c r="L6513">
        <v>-61.367400000000004</v>
      </c>
      <c r="M6513">
        <v>0.99521389999999998</v>
      </c>
      <c r="N6513">
        <v>0</v>
      </c>
      <c r="O6513">
        <v>-9.6724840000000006E-2</v>
      </c>
      <c r="P6513">
        <v>0.99154629999999999</v>
      </c>
      <c r="Q6513">
        <v>-4.3205729999999998E-2</v>
      </c>
      <c r="R6513">
        <v>-0.12234970000000001</v>
      </c>
      <c r="S6513">
        <v>2.9905400000000002</v>
      </c>
      <c r="T6513">
        <v>-0.11812449999999999</v>
      </c>
      <c r="U6513">
        <v>-0.2446594</v>
      </c>
      <c r="V6513">
        <v>2.603403E-2</v>
      </c>
      <c r="W6513">
        <v>-2.9150079999999998E-2</v>
      </c>
      <c r="X6513">
        <v>0.99923600000000001</v>
      </c>
      <c r="Y6513">
        <v>-1.5169449999999999E-2</v>
      </c>
      <c r="Z6513">
        <v>4.103827E-3</v>
      </c>
      <c r="AA6513">
        <v>0.99987649999999995</v>
      </c>
      <c r="AB6513">
        <v>24</v>
      </c>
      <c r="AC6513">
        <v>28.054600000000001</v>
      </c>
      <c r="AD6513">
        <v>-1.112334287228</v>
      </c>
      <c r="AE6513">
        <v>-2.2951399999999902</v>
      </c>
      <c r="AF6513">
        <v>-0.42879344232358702</v>
      </c>
      <c r="AG6513">
        <v>-1.112334287228</v>
      </c>
      <c r="AH6513">
        <v>28.101167131858201</v>
      </c>
      <c r="AI6513">
        <v>92.2665036877587</v>
      </c>
      <c r="AJ6513">
        <v>90.874203833404806</v>
      </c>
      <c r="AK6513">
        <v>28.1264421062343</v>
      </c>
      <c r="AL6513">
        <v>91.670413111203302</v>
      </c>
      <c r="AM6513">
        <v>88.5075571056841</v>
      </c>
      <c r="AN6513">
        <v>1.0000000407890199</v>
      </c>
    </row>
    <row r="6514" spans="1:40" x14ac:dyDescent="0.25">
      <c r="A6514" t="str">
        <f>"20190312155005230"</f>
        <v>20190312155005230</v>
      </c>
      <c r="B6514" t="str">
        <f>"1552377005222640"</f>
        <v>1552377005222640</v>
      </c>
      <c r="C6514" t="s">
        <v>40</v>
      </c>
      <c r="D6514">
        <v>4.8770480000000003</v>
      </c>
      <c r="E6514">
        <v>0.48387429999999898</v>
      </c>
      <c r="F6514" t="s">
        <v>74</v>
      </c>
      <c r="G6514">
        <v>-235.6516</v>
      </c>
      <c r="H6514" s="1">
        <v>-2.2683279999999999E-6</v>
      </c>
      <c r="I6514">
        <v>-63.603209999999997</v>
      </c>
      <c r="J6514">
        <v>-263.6123</v>
      </c>
      <c r="K6514">
        <v>1.1123149999999999</v>
      </c>
      <c r="L6514">
        <v>-61.375459999999997</v>
      </c>
      <c r="M6514">
        <v>0.99536809999999998</v>
      </c>
      <c r="N6514">
        <v>0</v>
      </c>
      <c r="O6514">
        <v>-9.5126100000000005E-2</v>
      </c>
      <c r="P6514">
        <v>0.99175440000000004</v>
      </c>
      <c r="Q6514">
        <v>-4.3483729999999998E-2</v>
      </c>
      <c r="R6514">
        <v>-0.12055109999999999</v>
      </c>
      <c r="S6514">
        <v>2.9909970000000001</v>
      </c>
      <c r="T6514">
        <v>-0.118559</v>
      </c>
      <c r="U6514">
        <v>-0.23831179999999999</v>
      </c>
      <c r="V6514">
        <v>2.582841E-2</v>
      </c>
      <c r="W6514">
        <v>-2.9432139999999999E-2</v>
      </c>
      <c r="X6514">
        <v>0.99923300000000004</v>
      </c>
      <c r="Y6514">
        <v>-1.5684199999999999E-2</v>
      </c>
      <c r="Z6514">
        <v>4.0660009999999996E-3</v>
      </c>
      <c r="AA6514">
        <v>0.9998688</v>
      </c>
      <c r="AB6514">
        <v>24</v>
      </c>
      <c r="AC6514">
        <v>27.960699999999999</v>
      </c>
      <c r="AD6514">
        <v>-1.112317268328</v>
      </c>
      <c r="AE6514">
        <v>-2.2277499999999999</v>
      </c>
      <c r="AF6514">
        <v>-0.44170921188794499</v>
      </c>
      <c r="AG6514">
        <v>-1.112317268328</v>
      </c>
      <c r="AH6514">
        <v>28.001782674071301</v>
      </c>
      <c r="AI6514">
        <v>92.274486640825202</v>
      </c>
      <c r="AJ6514">
        <v>90.903727276612102</v>
      </c>
      <c r="AK6514">
        <v>28.027347174843499</v>
      </c>
      <c r="AL6514">
        <v>91.686581009819506</v>
      </c>
      <c r="AM6514">
        <v>88.519334893276294</v>
      </c>
      <c r="AN6514">
        <v>0.99999997295855303</v>
      </c>
    </row>
    <row r="6515" spans="1:40" x14ac:dyDescent="0.25">
      <c r="A6515" t="str">
        <f>"20190312155005240"</f>
        <v>20190312155005240</v>
      </c>
      <c r="B6515" t="str">
        <f>"1552377005232399"</f>
        <v>1552377005232399</v>
      </c>
      <c r="C6515" t="s">
        <v>40</v>
      </c>
      <c r="D6515">
        <v>4.8142500000000004</v>
      </c>
      <c r="E6515">
        <v>0.48397279999999998</v>
      </c>
      <c r="F6515" t="s">
        <v>74</v>
      </c>
      <c r="G6515">
        <v>-236.18969999999999</v>
      </c>
      <c r="H6515" s="1">
        <v>-2.4778659999999999E-6</v>
      </c>
      <c r="I6515">
        <v>-63.523290000000003</v>
      </c>
      <c r="J6515">
        <v>-263.50170000000003</v>
      </c>
      <c r="K6515">
        <v>1.1122909999999999</v>
      </c>
      <c r="L6515">
        <v>-61.384120000000003</v>
      </c>
      <c r="M6515">
        <v>0.99553250000000004</v>
      </c>
      <c r="N6515">
        <v>0</v>
      </c>
      <c r="O6515">
        <v>-9.3389829999999993E-2</v>
      </c>
      <c r="P6515">
        <v>0.9919538</v>
      </c>
      <c r="Q6515">
        <v>-4.3512889999999999E-2</v>
      </c>
      <c r="R6515">
        <v>-0.1188896</v>
      </c>
      <c r="S6515">
        <v>2.9911500000000002</v>
      </c>
      <c r="T6515">
        <v>-0.1213268</v>
      </c>
      <c r="U6515">
        <v>-0.2342834</v>
      </c>
      <c r="V6515">
        <v>2.5896200000000001E-2</v>
      </c>
      <c r="W6515">
        <v>-2.9464259999999999E-2</v>
      </c>
      <c r="X6515">
        <v>0.99923030000000002</v>
      </c>
      <c r="Y6515">
        <v>-1.5280139999999999E-2</v>
      </c>
      <c r="Z6515">
        <v>4.0828059999999996E-3</v>
      </c>
      <c r="AA6515">
        <v>0.99987490000000001</v>
      </c>
      <c r="AB6515">
        <v>24</v>
      </c>
      <c r="AC6515">
        <v>27.312000000000001</v>
      </c>
      <c r="AD6515">
        <v>-1.1122934778660001</v>
      </c>
      <c r="AE6515">
        <v>-2.13917</v>
      </c>
      <c r="AF6515">
        <v>-0.42039749224504502</v>
      </c>
      <c r="AG6515">
        <v>-1.1122934778660001</v>
      </c>
      <c r="AH6515">
        <v>27.347328381865101</v>
      </c>
      <c r="AI6515">
        <v>92.328823393115997</v>
      </c>
      <c r="AJ6515">
        <v>90.8807114386709</v>
      </c>
      <c r="AK6515">
        <v>27.373167526940598</v>
      </c>
      <c r="AL6515">
        <v>91.6884221468421</v>
      </c>
      <c r="AM6515">
        <v>88.515446423577103</v>
      </c>
      <c r="AN6515">
        <v>0.99999997411493802</v>
      </c>
    </row>
    <row r="6516" spans="1:40" x14ac:dyDescent="0.25">
      <c r="A6516" t="str">
        <f>"20190312155005251"</f>
        <v>20190312155005251</v>
      </c>
      <c r="B6516" t="str">
        <f>"1552377005242160"</f>
        <v>1552377005242160</v>
      </c>
      <c r="C6516" t="s">
        <v>40</v>
      </c>
      <c r="D6516">
        <v>4.8505799999999999</v>
      </c>
      <c r="E6516">
        <v>0.48405799999999999</v>
      </c>
      <c r="F6516" t="s">
        <v>74</v>
      </c>
      <c r="G6516">
        <v>-236.5247</v>
      </c>
      <c r="H6516" s="1">
        <v>-2.6041569999999999E-6</v>
      </c>
      <c r="I6516">
        <v>-63.457799999999999</v>
      </c>
      <c r="J6516">
        <v>-263.38990000000001</v>
      </c>
      <c r="K6516">
        <v>1.1122650000000001</v>
      </c>
      <c r="L6516">
        <v>-61.392670000000003</v>
      </c>
      <c r="M6516">
        <v>0.99569410000000003</v>
      </c>
      <c r="N6516">
        <v>0</v>
      </c>
      <c r="O6516">
        <v>-9.1651200000000002E-2</v>
      </c>
      <c r="P6516">
        <v>0.99215249999999999</v>
      </c>
      <c r="Q6516">
        <v>-4.3866620000000002E-2</v>
      </c>
      <c r="R6516">
        <v>-0.1170863</v>
      </c>
      <c r="S6516">
        <v>2.9913940000000001</v>
      </c>
      <c r="T6516">
        <v>-0.1233385</v>
      </c>
      <c r="U6516">
        <v>-0.22994999999999999</v>
      </c>
      <c r="V6516">
        <v>2.582659E-2</v>
      </c>
      <c r="W6516">
        <v>-2.982222E-2</v>
      </c>
      <c r="X6516">
        <v>0.99922149999999998</v>
      </c>
      <c r="Y6516">
        <v>-1.497895E-2</v>
      </c>
      <c r="Z6516">
        <v>4.073007E-3</v>
      </c>
      <c r="AA6516">
        <v>0.99987950000000003</v>
      </c>
      <c r="AB6516">
        <v>24</v>
      </c>
      <c r="AC6516">
        <v>26.865200000000002</v>
      </c>
      <c r="AD6516">
        <v>-1.1122676041570001</v>
      </c>
      <c r="AE6516">
        <v>-2.0651299999999999</v>
      </c>
      <c r="AF6516">
        <v>-0.40533859645735798</v>
      </c>
      <c r="AG6516">
        <v>-1.1122676041570001</v>
      </c>
      <c r="AH6516">
        <v>26.895565902152502</v>
      </c>
      <c r="AI6516">
        <v>92.367852119345599</v>
      </c>
      <c r="AJ6516">
        <v>90.863429788804496</v>
      </c>
      <c r="AK6516">
        <v>26.9216066347843</v>
      </c>
      <c r="AL6516">
        <v>91.708940731527093</v>
      </c>
      <c r="AM6516">
        <v>88.5194221498339</v>
      </c>
      <c r="AN6516">
        <v>0.99999999180950305</v>
      </c>
    </row>
    <row r="6517" spans="1:40" x14ac:dyDescent="0.25">
      <c r="A6517" t="str">
        <f>"20190312155005261"</f>
        <v>20190312155005261</v>
      </c>
      <c r="B6517" t="str">
        <f>"1552377005251921"</f>
        <v>1552377005251921</v>
      </c>
      <c r="C6517" t="s">
        <v>40</v>
      </c>
      <c r="D6517">
        <v>4.8082260000000003</v>
      </c>
      <c r="E6517">
        <v>0.48427900000000002</v>
      </c>
      <c r="F6517" t="s">
        <v>74</v>
      </c>
      <c r="G6517">
        <v>-236.87430000000001</v>
      </c>
      <c r="H6517" s="1">
        <v>-2.735642E-6</v>
      </c>
      <c r="I6517">
        <v>-63.388260000000002</v>
      </c>
      <c r="J6517">
        <v>-263.27530000000002</v>
      </c>
      <c r="K6517">
        <v>1.1122379999999901</v>
      </c>
      <c r="L6517">
        <v>-61.40128</v>
      </c>
      <c r="M6517">
        <v>0.99585520000000005</v>
      </c>
      <c r="N6517">
        <v>0</v>
      </c>
      <c r="O6517">
        <v>-8.9883740000000004E-2</v>
      </c>
      <c r="P6517">
        <v>0.99236930000000001</v>
      </c>
      <c r="Q6517">
        <v>-4.4133470000000001E-2</v>
      </c>
      <c r="R6517">
        <v>-0.11513379999999999</v>
      </c>
      <c r="S6517">
        <v>2.9916079999999998</v>
      </c>
      <c r="T6517">
        <v>-0.12549099999999999</v>
      </c>
      <c r="U6517">
        <v>-0.22515869999999999</v>
      </c>
      <c r="V6517">
        <v>2.563466E-2</v>
      </c>
      <c r="W6517">
        <v>-3.009413E-2</v>
      </c>
      <c r="X6517">
        <v>0.9992183</v>
      </c>
      <c r="Y6517">
        <v>-1.480035E-2</v>
      </c>
      <c r="Z6517">
        <v>4.0666629999999999E-3</v>
      </c>
      <c r="AA6517">
        <v>0.99988220000000005</v>
      </c>
      <c r="AB6517">
        <v>24</v>
      </c>
      <c r="AC6517">
        <v>26.401</v>
      </c>
      <c r="AD6517">
        <v>-1.1122407356420001</v>
      </c>
      <c r="AE6517">
        <v>-1.98697999999998</v>
      </c>
      <c r="AF6517">
        <v>-0.39361970011663899</v>
      </c>
      <c r="AG6517">
        <v>-1.1122407356420001</v>
      </c>
      <c r="AH6517">
        <v>26.426091831456102</v>
      </c>
      <c r="AI6517">
        <v>92.409817344017199</v>
      </c>
      <c r="AJ6517">
        <v>90.8533641686858</v>
      </c>
      <c r="AK6517">
        <v>26.452416626971701</v>
      </c>
      <c r="AL6517">
        <v>91.724527005813002</v>
      </c>
      <c r="AM6517">
        <v>88.530415499376403</v>
      </c>
      <c r="AN6517">
        <v>1.00000000175433</v>
      </c>
    </row>
    <row r="6518" spans="1:40" x14ac:dyDescent="0.25">
      <c r="A6518" t="str">
        <f>"20190312155005274"</f>
        <v>20190312155005274</v>
      </c>
      <c r="B6518" t="str">
        <f>"1552377005262656"</f>
        <v>1552377005262656</v>
      </c>
      <c r="C6518" t="s">
        <v>40</v>
      </c>
      <c r="D6518">
        <v>4.8117559999999999</v>
      </c>
      <c r="E6518">
        <v>0.48444900000000002</v>
      </c>
      <c r="F6518" t="s">
        <v>74</v>
      </c>
      <c r="G6518">
        <v>-237.05879999999999</v>
      </c>
      <c r="H6518" s="1">
        <v>-2.8001340000000002E-6</v>
      </c>
      <c r="I6518">
        <v>-63.337339999999998</v>
      </c>
      <c r="J6518">
        <v>-263.15390000000002</v>
      </c>
      <c r="K6518">
        <v>1.112206</v>
      </c>
      <c r="L6518">
        <v>-61.410159999999998</v>
      </c>
      <c r="M6518">
        <v>0.99602029999999997</v>
      </c>
      <c r="N6518">
        <v>0</v>
      </c>
      <c r="O6518">
        <v>-8.803706E-2</v>
      </c>
      <c r="P6518">
        <v>0.99259719999999996</v>
      </c>
      <c r="Q6518">
        <v>-4.4020509999999999E-2</v>
      </c>
      <c r="R6518">
        <v>-0.1131944</v>
      </c>
      <c r="S6518">
        <v>2.9917910000000001</v>
      </c>
      <c r="T6518">
        <v>-0.12692700000000001</v>
      </c>
      <c r="U6518">
        <v>-0.22094730000000001</v>
      </c>
      <c r="V6518">
        <v>2.5531849999999998E-2</v>
      </c>
      <c r="W6518">
        <v>-2.9986220000000001E-2</v>
      </c>
      <c r="X6518">
        <v>0.99922420000000001</v>
      </c>
      <c r="Y6518">
        <v>-1.435055E-2</v>
      </c>
      <c r="Z6518">
        <v>4.0258050000000004E-3</v>
      </c>
      <c r="AA6518">
        <v>0.99988889999999997</v>
      </c>
      <c r="AB6518">
        <v>24</v>
      </c>
      <c r="AC6518">
        <v>26.095099999999999</v>
      </c>
      <c r="AD6518">
        <v>-1.112208800134</v>
      </c>
      <c r="AE6518">
        <v>-1.9271799999999999</v>
      </c>
      <c r="AF6518">
        <v>-0.37718049322548403</v>
      </c>
      <c r="AG6518">
        <v>-1.112208800134</v>
      </c>
      <c r="AH6518">
        <v>26.116253052471599</v>
      </c>
      <c r="AI6518">
        <v>92.438318943413904</v>
      </c>
      <c r="AJ6518">
        <v>90.827429110013696</v>
      </c>
      <c r="AK6518">
        <v>26.142646136921499</v>
      </c>
      <c r="AL6518">
        <v>91.718341386164099</v>
      </c>
      <c r="AM6518">
        <v>88.536315463540802</v>
      </c>
      <c r="AN6518">
        <v>1.0000000253099699</v>
      </c>
    </row>
    <row r="6519" spans="1:40" x14ac:dyDescent="0.25">
      <c r="A6519" t="str">
        <f>"20190312155005285"</f>
        <v>20190312155005285</v>
      </c>
      <c r="B6519" t="str">
        <f>"1552377005272416"</f>
        <v>1552377005272416</v>
      </c>
      <c r="C6519" t="s">
        <v>40</v>
      </c>
      <c r="D6519">
        <v>4.7930830000000002</v>
      </c>
      <c r="E6519">
        <v>0.48464459999999998</v>
      </c>
      <c r="F6519" t="s">
        <v>74</v>
      </c>
      <c r="G6519">
        <v>-236.96270000000001</v>
      </c>
      <c r="H6519" s="1">
        <v>-2.7515400000000001E-6</v>
      </c>
      <c r="I6519">
        <v>-63.30545</v>
      </c>
      <c r="J6519">
        <v>-263.03339999999997</v>
      </c>
      <c r="K6519">
        <v>1.112169</v>
      </c>
      <c r="L6519">
        <v>-61.418849999999999</v>
      </c>
      <c r="M6519">
        <v>0.99617979999999995</v>
      </c>
      <c r="N6519">
        <v>0</v>
      </c>
      <c r="O6519">
        <v>-8.6214460000000007E-2</v>
      </c>
      <c r="P6519">
        <v>0.99279790000000001</v>
      </c>
      <c r="Q6519">
        <v>-4.4079970000000003E-2</v>
      </c>
      <c r="R6519">
        <v>-0.11139880000000001</v>
      </c>
      <c r="S6519">
        <v>2.992035</v>
      </c>
      <c r="T6519">
        <v>-0.12705649999999999</v>
      </c>
      <c r="U6519">
        <v>-0.2165222</v>
      </c>
      <c r="V6519">
        <v>2.5551000000000001E-2</v>
      </c>
      <c r="W6519">
        <v>-3.0050139999999999E-2</v>
      </c>
      <c r="X6519">
        <v>0.99922169999999999</v>
      </c>
      <c r="Y6519">
        <v>-1.3999670000000001E-2</v>
      </c>
      <c r="Z6519">
        <v>3.9454950000000003E-3</v>
      </c>
      <c r="AA6519">
        <v>0.99989419999999996</v>
      </c>
      <c r="AB6519">
        <v>24</v>
      </c>
      <c r="AC6519">
        <v>26.070699999999899</v>
      </c>
      <c r="AD6519">
        <v>-1.11217175154</v>
      </c>
      <c r="AE6519">
        <v>-1.8866000000000001</v>
      </c>
      <c r="AF6519">
        <v>-0.36764844844431599</v>
      </c>
      <c r="AG6519">
        <v>-1.11217175154</v>
      </c>
      <c r="AH6519">
        <v>26.0890464065223</v>
      </c>
      <c r="AI6519">
        <v>92.4407896138095</v>
      </c>
      <c r="AJ6519">
        <v>90.807362212162403</v>
      </c>
      <c r="AK6519">
        <v>26.115329478837499</v>
      </c>
      <c r="AL6519">
        <v>91.722005538800303</v>
      </c>
      <c r="AM6519">
        <v>88.535214451256607</v>
      </c>
      <c r="AN6519">
        <v>0.99999993513295204</v>
      </c>
    </row>
    <row r="6520" spans="1:40" x14ac:dyDescent="0.25">
      <c r="A6520" t="str">
        <f>"20190312155005295"</f>
        <v>20190312155005295</v>
      </c>
      <c r="B6520" t="str">
        <f>"1552377005291936"</f>
        <v>1552377005291936</v>
      </c>
      <c r="C6520" t="s">
        <v>40</v>
      </c>
      <c r="D6520">
        <v>4.7818259999999997</v>
      </c>
      <c r="E6520">
        <v>0.4850776</v>
      </c>
      <c r="F6520" t="s">
        <v>74</v>
      </c>
      <c r="G6520">
        <v>-237.17920000000001</v>
      </c>
      <c r="H6520" s="1">
        <v>-2.8265789999999998E-6</v>
      </c>
      <c r="I6520">
        <v>-63.255409999999998</v>
      </c>
      <c r="J6520">
        <v>-262.92140000000001</v>
      </c>
      <c r="K6520">
        <v>1.1121379999999901</v>
      </c>
      <c r="L6520">
        <v>-61.426639999999999</v>
      </c>
      <c r="M6520">
        <v>0.99632189999999998</v>
      </c>
      <c r="N6520">
        <v>0</v>
      </c>
      <c r="O6520">
        <v>-8.4556010000000001E-2</v>
      </c>
      <c r="P6520">
        <v>0.992977</v>
      </c>
      <c r="Q6520">
        <v>-4.3884239999999998E-2</v>
      </c>
      <c r="R6520">
        <v>-0.1098684</v>
      </c>
      <c r="S6520">
        <v>2.9921570000000002</v>
      </c>
      <c r="T6520">
        <v>-0.12871350000000001</v>
      </c>
      <c r="U6520">
        <v>-0.21255489999999999</v>
      </c>
      <c r="V6520">
        <v>2.5670080000000001E-2</v>
      </c>
      <c r="W6520">
        <v>-2.98584E-2</v>
      </c>
      <c r="X6520">
        <v>0.99922449999999996</v>
      </c>
      <c r="Y6520">
        <v>-1.365652E-2</v>
      </c>
      <c r="Z6520">
        <v>3.9186919999999997E-3</v>
      </c>
      <c r="AA6520">
        <v>0.99989910000000004</v>
      </c>
      <c r="AB6520">
        <v>24</v>
      </c>
      <c r="AC6520">
        <v>25.7422</v>
      </c>
      <c r="AD6520">
        <v>-1.11214082657899</v>
      </c>
      <c r="AE6520">
        <v>-1.82876999999999</v>
      </c>
      <c r="AF6520">
        <v>-0.35399092982196101</v>
      </c>
      <c r="AG6520">
        <v>-1.11214082657899</v>
      </c>
      <c r="AH6520">
        <v>25.7568070715696</v>
      </c>
      <c r="AI6520">
        <v>92.472178075314204</v>
      </c>
      <c r="AJ6520">
        <v>90.787399981089607</v>
      </c>
      <c r="AK6520">
        <v>25.783236362384699</v>
      </c>
      <c r="AL6520">
        <v>91.711014535232295</v>
      </c>
      <c r="AM6520">
        <v>88.528394960004704</v>
      </c>
      <c r="AN6520">
        <v>1.000000039229</v>
      </c>
    </row>
    <row r="6521" spans="1:40" x14ac:dyDescent="0.25">
      <c r="A6521" t="str">
        <f>"20190312155005306"</f>
        <v>20190312155005306</v>
      </c>
      <c r="B6521" t="str">
        <f>"1552377005302672"</f>
        <v>1552377005302672</v>
      </c>
      <c r="C6521" t="s">
        <v>40</v>
      </c>
      <c r="D6521">
        <v>4.8002409999999998</v>
      </c>
      <c r="E6521">
        <v>0.48529349999999999</v>
      </c>
      <c r="F6521" t="s">
        <v>74</v>
      </c>
      <c r="G6521">
        <v>-237.38730000000001</v>
      </c>
      <c r="H6521" s="1">
        <v>-2.8928149999999998E-6</v>
      </c>
      <c r="I6521">
        <v>-63.229550000000003</v>
      </c>
      <c r="J6521">
        <v>-262.80459999999999</v>
      </c>
      <c r="K6521">
        <v>1.112106</v>
      </c>
      <c r="L6521">
        <v>-61.434660000000001</v>
      </c>
      <c r="M6521">
        <v>0.99646650000000003</v>
      </c>
      <c r="N6521">
        <v>0</v>
      </c>
      <c r="O6521">
        <v>-8.2834649999999996E-2</v>
      </c>
      <c r="P6521">
        <v>0.9931603</v>
      </c>
      <c r="Q6521">
        <v>-4.3994199999999997E-2</v>
      </c>
      <c r="R6521">
        <v>-0.1081536</v>
      </c>
      <c r="S6521">
        <v>2.9920960000000001</v>
      </c>
      <c r="T6521">
        <v>-0.1303211</v>
      </c>
      <c r="U6521">
        <v>-0.21127319999999999</v>
      </c>
      <c r="V6521">
        <v>2.5669359999999999E-2</v>
      </c>
      <c r="W6521">
        <v>-2.9973300000000001E-2</v>
      </c>
      <c r="X6521">
        <v>0.99922100000000003</v>
      </c>
      <c r="Y6521">
        <v>-1.23544E-2</v>
      </c>
      <c r="Z6521">
        <v>3.8648950000000001E-3</v>
      </c>
      <c r="AA6521">
        <v>0.99991620000000003</v>
      </c>
      <c r="AB6521">
        <v>24</v>
      </c>
      <c r="AC6521">
        <v>25.417299999999901</v>
      </c>
      <c r="AD6521">
        <v>-1.112108892815</v>
      </c>
      <c r="AE6521">
        <v>-1.7948900000000001</v>
      </c>
      <c r="AF6521">
        <v>-0.31631341686457098</v>
      </c>
      <c r="AG6521">
        <v>-1.112108892815</v>
      </c>
      <c r="AH6521">
        <v>25.430182713694201</v>
      </c>
      <c r="AI6521">
        <v>92.503861397629194</v>
      </c>
      <c r="AJ6521">
        <v>90.712637003715002</v>
      </c>
      <c r="AK6521">
        <v>25.456453665407501</v>
      </c>
      <c r="AL6521">
        <v>91.717600902657296</v>
      </c>
      <c r="AM6521">
        <v>88.528431065531905</v>
      </c>
      <c r="AN6521">
        <v>0.99999996079834896</v>
      </c>
    </row>
    <row r="6522" spans="1:40" x14ac:dyDescent="0.25">
      <c r="A6522" t="str">
        <f>"20190312155005319"</f>
        <v>20190312155005319</v>
      </c>
      <c r="B6522" t="str">
        <f>"1552377005312431"</f>
        <v>1552377005312431</v>
      </c>
      <c r="C6522" t="s">
        <v>40</v>
      </c>
      <c r="D6522">
        <v>4.795979</v>
      </c>
      <c r="E6522">
        <v>0.48547410000000002</v>
      </c>
      <c r="F6522" t="s">
        <v>74</v>
      </c>
      <c r="G6522">
        <v>-237.476</v>
      </c>
      <c r="H6522" s="1">
        <v>-2.9166090000000002E-6</v>
      </c>
      <c r="I6522">
        <v>-63.193550000000002</v>
      </c>
      <c r="J6522">
        <v>-262.67399999999998</v>
      </c>
      <c r="K6522">
        <v>1.11207099999999</v>
      </c>
      <c r="L6522">
        <v>-61.443359999999998</v>
      </c>
      <c r="M6522">
        <v>0.99662139999999999</v>
      </c>
      <c r="N6522">
        <v>0</v>
      </c>
      <c r="O6522">
        <v>-8.0950149999999998E-2</v>
      </c>
      <c r="P6522">
        <v>0.99334149999999999</v>
      </c>
      <c r="Q6522">
        <v>-4.3694999999999998E-2</v>
      </c>
      <c r="R6522">
        <v>-0.106600399999999</v>
      </c>
      <c r="S6522">
        <v>2.9922179999999998</v>
      </c>
      <c r="T6522">
        <v>-0.13137979999999999</v>
      </c>
      <c r="U6522">
        <v>-0.20779420000000001</v>
      </c>
      <c r="V6522">
        <v>2.5990920000000001E-2</v>
      </c>
      <c r="W6522">
        <v>-2.9678280000000001E-2</v>
      </c>
      <c r="X6522">
        <v>0.99922149999999998</v>
      </c>
      <c r="Y6522">
        <v>-1.1624310000000001E-2</v>
      </c>
      <c r="Z6522">
        <v>3.7980190000000001E-3</v>
      </c>
      <c r="AA6522">
        <v>0.99992519999999996</v>
      </c>
      <c r="AB6522">
        <v>24</v>
      </c>
      <c r="AC6522">
        <v>25.198</v>
      </c>
      <c r="AD6522">
        <v>-1.1120739166089999</v>
      </c>
      <c r="AE6522">
        <v>-1.7501899999999999</v>
      </c>
      <c r="AF6522">
        <v>-0.29496181494525903</v>
      </c>
      <c r="AG6522">
        <v>-1.1120739166089999</v>
      </c>
      <c r="AH6522">
        <v>25.208116212102102</v>
      </c>
      <c r="AI6522">
        <v>92.525833396455695</v>
      </c>
      <c r="AJ6522">
        <v>90.670391065502102</v>
      </c>
      <c r="AK6522">
        <v>25.234358201292199</v>
      </c>
      <c r="AL6522">
        <v>91.700689966800098</v>
      </c>
      <c r="AM6522">
        <v>88.510005729549206</v>
      </c>
      <c r="AN6522">
        <v>0.99999996714422601</v>
      </c>
    </row>
    <row r="6523" spans="1:40" x14ac:dyDescent="0.25">
      <c r="A6523" t="str">
        <f>"20190312155005330"</f>
        <v>20190312155005330</v>
      </c>
      <c r="B6523" t="str">
        <f>"1552377005322191"</f>
        <v>1552377005322191</v>
      </c>
      <c r="C6523" t="s">
        <v>40</v>
      </c>
      <c r="D6523">
        <v>4.8133910000000002</v>
      </c>
      <c r="E6523">
        <v>0.48547410000000002</v>
      </c>
      <c r="F6523" t="s">
        <v>74</v>
      </c>
      <c r="G6523">
        <v>-237.30430000000001</v>
      </c>
      <c r="H6523" s="1">
        <v>-2.855314E-6</v>
      </c>
      <c r="I6523">
        <v>-63.177300000000002</v>
      </c>
      <c r="J6523">
        <v>-262.56110000000001</v>
      </c>
      <c r="K6523">
        <v>1.112039</v>
      </c>
      <c r="L6523">
        <v>-61.450740000000003</v>
      </c>
      <c r="M6523">
        <v>0.9967509</v>
      </c>
      <c r="N6523">
        <v>0</v>
      </c>
      <c r="O6523">
        <v>-7.9340010000000002E-2</v>
      </c>
      <c r="P6523">
        <v>0.99348769999999997</v>
      </c>
      <c r="Q6523">
        <v>-4.3728219999999998E-2</v>
      </c>
      <c r="R6523">
        <v>-0.1052148</v>
      </c>
      <c r="S6523">
        <v>2.9924010000000001</v>
      </c>
      <c r="T6523">
        <v>-0.1311715</v>
      </c>
      <c r="U6523">
        <v>-0.20452880000000001</v>
      </c>
      <c r="V6523">
        <v>2.6209050000000001E-2</v>
      </c>
      <c r="W6523">
        <v>-2.9715510000000001E-2</v>
      </c>
      <c r="X6523">
        <v>0.99921470000000001</v>
      </c>
      <c r="Y6523">
        <v>-1.1101450000000001E-2</v>
      </c>
      <c r="Z6523">
        <v>3.7103050000000001E-3</v>
      </c>
      <c r="AA6523">
        <v>0.99993149999999997</v>
      </c>
      <c r="AB6523">
        <v>24</v>
      </c>
      <c r="AC6523">
        <v>25.256799999999998</v>
      </c>
      <c r="AD6523">
        <v>-1.1120418553139999</v>
      </c>
      <c r="AE6523">
        <v>-1.7265599999999901</v>
      </c>
      <c r="AF6523">
        <v>-0.28240688517945101</v>
      </c>
      <c r="AG6523">
        <v>-1.1120418553139999</v>
      </c>
      <c r="AH6523">
        <v>25.2654124845476</v>
      </c>
      <c r="AI6523">
        <v>92.520055274632895</v>
      </c>
      <c r="AJ6523">
        <v>90.640403113119305</v>
      </c>
      <c r="AK6523">
        <v>25.291450309365398</v>
      </c>
      <c r="AL6523">
        <v>91.702824022949201</v>
      </c>
      <c r="AM6523">
        <v>88.497496371498499</v>
      </c>
      <c r="AN6523">
        <v>0.99999997126627505</v>
      </c>
    </row>
    <row r="6524" spans="1:40" x14ac:dyDescent="0.25">
      <c r="A6524" t="str">
        <f>"20190312155005342"</f>
        <v>20190312155005342</v>
      </c>
      <c r="B6524" t="str">
        <f>"1552377005332929"</f>
        <v>1552377005332929</v>
      </c>
      <c r="C6524" t="s">
        <v>40</v>
      </c>
      <c r="D6524">
        <v>4.9158970000000002</v>
      </c>
      <c r="E6524">
        <v>0.50252509999999995</v>
      </c>
      <c r="F6524" t="s">
        <v>74</v>
      </c>
      <c r="G6524">
        <v>-237.20330000000001</v>
      </c>
      <c r="H6524" s="1">
        <v>-2.8130180000000001E-6</v>
      </c>
      <c r="I6524">
        <v>-63.14855</v>
      </c>
      <c r="J6524">
        <v>-262.42809999999997</v>
      </c>
      <c r="K6524">
        <v>1.1120000000000001</v>
      </c>
      <c r="L6524">
        <v>-61.45926</v>
      </c>
      <c r="M6524">
        <v>0.99689810000000001</v>
      </c>
      <c r="N6524">
        <v>0</v>
      </c>
      <c r="O6524">
        <v>-7.7467919999999996E-2</v>
      </c>
      <c r="P6524">
        <v>0.99365610000000004</v>
      </c>
      <c r="Q6524">
        <v>-4.3444080000000003E-2</v>
      </c>
      <c r="R6524">
        <v>-0.10373159999999999</v>
      </c>
      <c r="S6524">
        <v>2.9926759999999999</v>
      </c>
      <c r="T6524">
        <v>-0.13124079999999999</v>
      </c>
      <c r="U6524">
        <v>-0.20037840000000001</v>
      </c>
      <c r="V6524">
        <v>2.6588549999999999E-2</v>
      </c>
      <c r="W6524">
        <v>-2.9435349999999999E-2</v>
      </c>
      <c r="X6524">
        <v>0.99921300000000002</v>
      </c>
      <c r="Y6524">
        <v>-1.061236E-2</v>
      </c>
      <c r="Z6524">
        <v>3.6197619999999999E-3</v>
      </c>
      <c r="AA6524">
        <v>0.99993710000000002</v>
      </c>
      <c r="AB6524">
        <v>24</v>
      </c>
      <c r="AC6524">
        <v>25.224799999999899</v>
      </c>
      <c r="AD6524">
        <v>-1.112002813018</v>
      </c>
      <c r="AE6524">
        <v>-1.68928999999999</v>
      </c>
      <c r="AF6524">
        <v>-0.26956731733254402</v>
      </c>
      <c r="AG6524">
        <v>-1.112002813018</v>
      </c>
      <c r="AH6524">
        <v>25.231044910450301</v>
      </c>
      <c r="AI6524">
        <v>92.523408559896495</v>
      </c>
      <c r="AJ6524">
        <v>90.612122169498093</v>
      </c>
      <c r="AK6524">
        <v>25.256976146559801</v>
      </c>
      <c r="AL6524">
        <v>91.686764954775398</v>
      </c>
      <c r="AM6524">
        <v>88.475748120913295</v>
      </c>
      <c r="AN6524">
        <v>1.0000000050948601</v>
      </c>
    </row>
    <row r="6525" spans="1:40" x14ac:dyDescent="0.25">
      <c r="A6525" t="str">
        <f>"20190312155005355"</f>
        <v>20190312155005355</v>
      </c>
      <c r="B6525" t="str">
        <f>"1552377005342688"</f>
        <v>1552377005342688</v>
      </c>
      <c r="C6525" t="s">
        <v>40</v>
      </c>
      <c r="D6525">
        <v>4.8581159999999999</v>
      </c>
      <c r="E6525">
        <v>0.50252509999999995</v>
      </c>
      <c r="F6525" t="s">
        <v>41</v>
      </c>
      <c r="G6525">
        <v>-261.6694</v>
      </c>
      <c r="H6525">
        <v>1.04792</v>
      </c>
      <c r="I6525">
        <v>-61.542650000000002</v>
      </c>
      <c r="J6525">
        <v>-262.3048</v>
      </c>
      <c r="K6525">
        <v>1.111964</v>
      </c>
      <c r="L6525">
        <v>-61.466889999999999</v>
      </c>
      <c r="M6525">
        <v>0.9970291</v>
      </c>
      <c r="N6525">
        <v>0</v>
      </c>
      <c r="O6525">
        <v>-7.5765550000000001E-2</v>
      </c>
      <c r="P6525">
        <v>0.99378940000000004</v>
      </c>
      <c r="Q6525">
        <v>-4.3621989999999999E-2</v>
      </c>
      <c r="R6525">
        <v>-0.102372</v>
      </c>
      <c r="S6525">
        <v>2.9741209999999998</v>
      </c>
      <c r="T6525">
        <v>-0.25125310000000001</v>
      </c>
      <c r="U6525">
        <v>-0.32650759999999901</v>
      </c>
      <c r="V6525">
        <v>2.6926370000000002E-2</v>
      </c>
      <c r="W6525">
        <v>-2.9617419999999998E-2</v>
      </c>
      <c r="X6525">
        <v>0.99919860000000005</v>
      </c>
      <c r="Y6525">
        <v>3.3640789999999997E-2</v>
      </c>
      <c r="Z6525">
        <v>4.9454529999999998E-3</v>
      </c>
      <c r="AA6525">
        <v>0.99942180000000003</v>
      </c>
      <c r="AB6525">
        <v>24</v>
      </c>
      <c r="AC6525">
        <v>0.63540000000000396</v>
      </c>
      <c r="AD6525">
        <v>-6.4043999999999907E-2</v>
      </c>
      <c r="AE6525">
        <v>-7.5760000000002395E-2</v>
      </c>
      <c r="AF6525">
        <v>2.71244300989813E-2</v>
      </c>
      <c r="AG6525">
        <v>-6.4043999999999907E-2</v>
      </c>
      <c r="AH6525">
        <v>0.63297343211115698</v>
      </c>
      <c r="AI6525">
        <v>95.772240731028006</v>
      </c>
      <c r="AJ6525">
        <v>87.546239627517707</v>
      </c>
      <c r="AK6525">
        <v>0.63678311409990396</v>
      </c>
      <c r="AL6525">
        <v>91.697201302560003</v>
      </c>
      <c r="AM6525">
        <v>88.456368861653701</v>
      </c>
      <c r="AN6525">
        <v>1.0000000316053901</v>
      </c>
    </row>
    <row r="6526" spans="1:40" x14ac:dyDescent="0.25">
      <c r="A6526" t="str">
        <f>"20190312155005367"</f>
        <v>20190312155005367</v>
      </c>
      <c r="B6526" t="str">
        <f>"1552377005352448"</f>
        <v>1552377005352448</v>
      </c>
      <c r="C6526" t="s">
        <v>40</v>
      </c>
      <c r="D6526">
        <v>4.8125749999999998</v>
      </c>
      <c r="E6526">
        <v>0.53191790000000005</v>
      </c>
      <c r="F6526" t="s">
        <v>41</v>
      </c>
      <c r="G6526">
        <v>-261.46559999999999</v>
      </c>
      <c r="H6526">
        <v>1.0409539999999999</v>
      </c>
      <c r="I6526">
        <v>-61.557969999999997</v>
      </c>
      <c r="J6526">
        <v>-262.1739</v>
      </c>
      <c r="K6526">
        <v>1.1119270000000001</v>
      </c>
      <c r="L6526">
        <v>-61.474879999999999</v>
      </c>
      <c r="M6526">
        <v>0.99716349999999998</v>
      </c>
      <c r="N6526">
        <v>0</v>
      </c>
      <c r="O6526">
        <v>-7.3975949999999999E-2</v>
      </c>
      <c r="P6526">
        <v>0.99392519999999995</v>
      </c>
      <c r="Q6526">
        <v>-4.3622920000000003E-2</v>
      </c>
      <c r="R6526">
        <v>-0.1010441</v>
      </c>
      <c r="S6526">
        <v>2.9744259999999998</v>
      </c>
      <c r="T6526">
        <v>-0.25179659999999998</v>
      </c>
      <c r="U6526">
        <v>-0.32241819999999999</v>
      </c>
      <c r="V6526">
        <v>2.7381920000000001E-2</v>
      </c>
      <c r="W6526">
        <v>-2.9622240000000001E-2</v>
      </c>
      <c r="X6526">
        <v>0.99918600000000002</v>
      </c>
      <c r="Y6526">
        <v>3.405847E-2</v>
      </c>
      <c r="Z6526">
        <v>4.7882829999999999E-3</v>
      </c>
      <c r="AA6526">
        <v>0.99940839999999997</v>
      </c>
      <c r="AB6526">
        <v>24</v>
      </c>
      <c r="AC6526">
        <v>0.70830000000000803</v>
      </c>
      <c r="AD6526">
        <v>-7.0972999999999897E-2</v>
      </c>
      <c r="AE6526">
        <v>-8.3089999999991407E-2</v>
      </c>
      <c r="AF6526">
        <v>3.0161360091439701E-2</v>
      </c>
      <c r="AG6526">
        <v>-7.0972999999999897E-2</v>
      </c>
      <c r="AH6526">
        <v>0.70551861133579796</v>
      </c>
      <c r="AI6526">
        <v>95.739246430009899</v>
      </c>
      <c r="AJ6526">
        <v>87.552060308751507</v>
      </c>
      <c r="AK6526">
        <v>0.70972063892263904</v>
      </c>
      <c r="AL6526">
        <v>91.697477720150999</v>
      </c>
      <c r="AM6526">
        <v>88.430246328383802</v>
      </c>
      <c r="AN6526">
        <v>0.99999995462075097</v>
      </c>
    </row>
    <row r="6527" spans="1:40" x14ac:dyDescent="0.25">
      <c r="A6527" t="str">
        <f>"20190312155005380"</f>
        <v>20190312155005380</v>
      </c>
      <c r="B6527" t="str">
        <f>"1552377005371968"</f>
        <v>1552377005371968</v>
      </c>
      <c r="C6527" t="s">
        <v>40</v>
      </c>
      <c r="D6527">
        <v>4.807563</v>
      </c>
      <c r="E6527">
        <v>0.53977269999999999</v>
      </c>
      <c r="F6527" t="s">
        <v>41</v>
      </c>
      <c r="G6527">
        <v>-261.30689999999998</v>
      </c>
      <c r="H6527">
        <v>0.94541969999999997</v>
      </c>
      <c r="I6527">
        <v>-61.634030000000003</v>
      </c>
      <c r="J6527">
        <v>-262.02760000000001</v>
      </c>
      <c r="K6527">
        <v>1.111882</v>
      </c>
      <c r="L6527">
        <v>-61.483490000000003</v>
      </c>
      <c r="M6527">
        <v>0.99730660000000004</v>
      </c>
      <c r="N6527">
        <v>0</v>
      </c>
      <c r="O6527">
        <v>-7.202356E-2</v>
      </c>
      <c r="P6527">
        <v>0.99410659999999895</v>
      </c>
      <c r="Q6527">
        <v>-4.3199139999999997E-2</v>
      </c>
      <c r="R6527">
        <v>-9.9428829999999996E-2</v>
      </c>
      <c r="S6527">
        <v>2.93866</v>
      </c>
      <c r="T6527">
        <v>-0.56437839999999995</v>
      </c>
      <c r="U6527">
        <v>-0.53939820000000005</v>
      </c>
      <c r="V6527">
        <v>2.770792E-2</v>
      </c>
      <c r="W6527">
        <v>-2.9203550000000002E-2</v>
      </c>
      <c r="X6527">
        <v>0.99918940000000001</v>
      </c>
      <c r="Y6527">
        <v>0.1085747</v>
      </c>
      <c r="Z6527">
        <v>3.3185900000000002E-3</v>
      </c>
      <c r="AA6527">
        <v>0.99408269999999999</v>
      </c>
      <c r="AB6527">
        <v>24</v>
      </c>
      <c r="AC6527">
        <v>0.72070000000002199</v>
      </c>
      <c r="AD6527">
        <v>-0.16646230000000001</v>
      </c>
      <c r="AE6527">
        <v>-0.15053999999999901</v>
      </c>
      <c r="AF6527">
        <v>9.3459129516464401E-2</v>
      </c>
      <c r="AG6527">
        <v>-0.16646230000000001</v>
      </c>
      <c r="AH6527">
        <v>0.694185850791879</v>
      </c>
      <c r="AI6527">
        <v>103.368402316706</v>
      </c>
      <c r="AJ6527">
        <v>82.332301222458696</v>
      </c>
      <c r="AK6527">
        <v>0.71995715264931504</v>
      </c>
      <c r="AL6527">
        <v>91.673478061706703</v>
      </c>
      <c r="AM6527">
        <v>88.411572285707507</v>
      </c>
      <c r="AN6527">
        <v>1.00000001661784</v>
      </c>
    </row>
    <row r="6528" spans="1:40" x14ac:dyDescent="0.25">
      <c r="A6528" t="str">
        <f>"20190312155005391"</f>
        <v>20190312155005391</v>
      </c>
      <c r="B6528" t="str">
        <f>"1552377005382704"</f>
        <v>1552377005382704</v>
      </c>
      <c r="C6528" t="s">
        <v>40</v>
      </c>
      <c r="D6528">
        <v>4.8475469999999996</v>
      </c>
      <c r="E6528">
        <v>0.54176279999999999</v>
      </c>
      <c r="F6528" t="s">
        <v>41</v>
      </c>
      <c r="G6528">
        <v>-261.30849999999998</v>
      </c>
      <c r="H6528">
        <v>0.94164539999999997</v>
      </c>
      <c r="I6528">
        <v>-61.628819999999997</v>
      </c>
      <c r="J6528">
        <v>-261.9119</v>
      </c>
      <c r="K6528">
        <v>1.11185</v>
      </c>
      <c r="L6528">
        <v>-61.490110000000001</v>
      </c>
      <c r="M6528">
        <v>0.99741519999999995</v>
      </c>
      <c r="N6528">
        <v>0</v>
      </c>
      <c r="O6528">
        <v>-7.0502239999999994E-2</v>
      </c>
      <c r="P6528">
        <v>0.99422429999999995</v>
      </c>
      <c r="Q6528">
        <v>-4.3115779999999999E-2</v>
      </c>
      <c r="R6528">
        <v>-9.8282670000000003E-2</v>
      </c>
      <c r="S6528">
        <v>2.9284669999999999</v>
      </c>
      <c r="T6528">
        <v>-0.69325950000000003</v>
      </c>
      <c r="U6528">
        <v>-0.59179689999999996</v>
      </c>
      <c r="V6528">
        <v>2.8076670000000001E-2</v>
      </c>
      <c r="W6528">
        <v>-2.9123960000000001E-2</v>
      </c>
      <c r="X6528">
        <v>0.9991814</v>
      </c>
      <c r="Y6528">
        <v>0.1269779</v>
      </c>
      <c r="Z6528">
        <v>1.5848990000000001E-3</v>
      </c>
      <c r="AA6528">
        <v>0.99190429999999996</v>
      </c>
      <c r="AB6528">
        <v>24</v>
      </c>
      <c r="AC6528">
        <v>0.60340000000002103</v>
      </c>
      <c r="AD6528">
        <v>-0.17020460000000001</v>
      </c>
      <c r="AE6528">
        <v>-0.138710000000003</v>
      </c>
      <c r="AF6528">
        <v>8.9087039259358097E-2</v>
      </c>
      <c r="AG6528">
        <v>-0.17020460000000001</v>
      </c>
      <c r="AH6528">
        <v>0.56870007707831505</v>
      </c>
      <c r="AI6528">
        <v>106.471957075826</v>
      </c>
      <c r="AJ6528">
        <v>81.096953166019603</v>
      </c>
      <c r="AK6528">
        <v>0.60027150864757906</v>
      </c>
      <c r="AL6528">
        <v>91.668915999167496</v>
      </c>
      <c r="AM6528">
        <v>88.390430911157097</v>
      </c>
      <c r="AN6528">
        <v>0.99999998727516504</v>
      </c>
    </row>
    <row r="6529" spans="1:40" x14ac:dyDescent="0.25">
      <c r="A6529" t="str">
        <f>"20190312155005402"</f>
        <v>20190312155005402</v>
      </c>
      <c r="B6529" t="str">
        <f>"1552377005392465"</f>
        <v>1552377005392465</v>
      </c>
      <c r="C6529" t="s">
        <v>40</v>
      </c>
      <c r="D6529">
        <v>4.7420479999999996</v>
      </c>
      <c r="E6529">
        <v>0.54232400000000003</v>
      </c>
      <c r="F6529" t="s">
        <v>41</v>
      </c>
      <c r="G6529">
        <v>-261.11250000000001</v>
      </c>
      <c r="H6529">
        <v>0.91196359999999999</v>
      </c>
      <c r="I6529">
        <v>-61.655090000000001</v>
      </c>
      <c r="J6529">
        <v>-261.79640000000001</v>
      </c>
      <c r="K6529">
        <v>1.111818</v>
      </c>
      <c r="L6529">
        <v>-61.496609999999997</v>
      </c>
      <c r="M6529">
        <v>0.99752039999999997</v>
      </c>
      <c r="N6529">
        <v>0</v>
      </c>
      <c r="O6529">
        <v>-6.9000350000000002E-2</v>
      </c>
      <c r="P6529">
        <v>0.99432889999999996</v>
      </c>
      <c r="Q6529">
        <v>-4.3128850000000003E-2</v>
      </c>
      <c r="R6529">
        <v>-9.7213949999999993E-2</v>
      </c>
      <c r="S6529">
        <v>2.9261170000000001</v>
      </c>
      <c r="T6529">
        <v>-0.73187659999999999</v>
      </c>
      <c r="U6529">
        <v>-0.60253909999999999</v>
      </c>
      <c r="V6529">
        <v>2.8504749999999999E-2</v>
      </c>
      <c r="W6529">
        <v>-2.9140650000000001E-2</v>
      </c>
      <c r="X6529">
        <v>0.99916879999999997</v>
      </c>
      <c r="Y6529">
        <v>0.13176479999999999</v>
      </c>
      <c r="Z6529">
        <v>7.2278449999999895E-4</v>
      </c>
      <c r="AA6529">
        <v>0.99128070000000001</v>
      </c>
      <c r="AB6529">
        <v>24</v>
      </c>
      <c r="AC6529">
        <v>0.68389999999999396</v>
      </c>
      <c r="AD6529">
        <v>-0.19985439999999899</v>
      </c>
      <c r="AE6529">
        <v>-0.15848000000000401</v>
      </c>
      <c r="AF6529">
        <v>0.102593647890498</v>
      </c>
      <c r="AG6529">
        <v>-0.19985439999999899</v>
      </c>
      <c r="AH6529">
        <v>0.64123693523354897</v>
      </c>
      <c r="AI6529">
        <v>107.106066300048</v>
      </c>
      <c r="AJ6529">
        <v>80.910094369980499</v>
      </c>
      <c r="AK6529">
        <v>0.67944981043087604</v>
      </c>
      <c r="AL6529">
        <v>91.669872659593807</v>
      </c>
      <c r="AM6529">
        <v>88.365882707467307</v>
      </c>
      <c r="AN6529">
        <v>0.99999999457421196</v>
      </c>
    </row>
    <row r="6530" spans="1:40" x14ac:dyDescent="0.25">
      <c r="A6530" t="str">
        <f>"20190312155005412"</f>
        <v>20190312155005412</v>
      </c>
      <c r="B6530" t="str">
        <f>"1552377005402224"</f>
        <v>1552377005402224</v>
      </c>
      <c r="C6530" t="s">
        <v>40</v>
      </c>
      <c r="D6530">
        <v>4.8992649999999998</v>
      </c>
      <c r="E6530">
        <v>0.54299529999999996</v>
      </c>
      <c r="F6530" t="s">
        <v>41</v>
      </c>
      <c r="G6530">
        <v>-261.10180000000003</v>
      </c>
      <c r="H6530">
        <v>0.93399860000000001</v>
      </c>
      <c r="I6530">
        <v>-61.64011</v>
      </c>
      <c r="J6530">
        <v>-261.68860000000001</v>
      </c>
      <c r="K6530">
        <v>1.1117919999999999</v>
      </c>
      <c r="L6530">
        <v>-61.502499999999998</v>
      </c>
      <c r="M6530">
        <v>0.99761449999999996</v>
      </c>
      <c r="N6530">
        <v>0</v>
      </c>
      <c r="O6530">
        <v>-6.7623840000000005E-2</v>
      </c>
      <c r="P6530">
        <v>0.99441990000000002</v>
      </c>
      <c r="Q6530">
        <v>-4.3084409999999997E-2</v>
      </c>
      <c r="R6530">
        <v>-9.6296549999999995E-2</v>
      </c>
      <c r="S6530">
        <v>2.925659</v>
      </c>
      <c r="T6530">
        <v>-0.74927679999999997</v>
      </c>
      <c r="U6530">
        <v>-0.60290529999999998</v>
      </c>
      <c r="V6530">
        <v>2.8959229999999999E-2</v>
      </c>
      <c r="W6530">
        <v>-2.9099320000000001E-2</v>
      </c>
      <c r="X6530">
        <v>0.99915699999999996</v>
      </c>
      <c r="Y6530">
        <v>0.13310949999999999</v>
      </c>
      <c r="Z6530">
        <v>2.300255E-4</v>
      </c>
      <c r="AA6530">
        <v>0.99110129999999996</v>
      </c>
      <c r="AB6530">
        <v>24</v>
      </c>
      <c r="AC6530">
        <v>0.586799999999982</v>
      </c>
      <c r="AD6530">
        <v>-0.17779339999999999</v>
      </c>
      <c r="AE6530">
        <v>-0.13761000000000201</v>
      </c>
      <c r="AF6530">
        <v>8.9795750851606695E-2</v>
      </c>
      <c r="AG6530">
        <v>-0.17779339999999999</v>
      </c>
      <c r="AH6530">
        <v>0.54715194010092305</v>
      </c>
      <c r="AI6530">
        <v>107.77864947672499</v>
      </c>
      <c r="AJ6530">
        <v>80.679993927144693</v>
      </c>
      <c r="AK6530">
        <v>0.58227915599888003</v>
      </c>
      <c r="AL6530">
        <v>91.667503512835495</v>
      </c>
      <c r="AM6530">
        <v>88.339823196795194</v>
      </c>
      <c r="AN6530">
        <v>1.00000005903782</v>
      </c>
    </row>
    <row r="6531" spans="1:40" x14ac:dyDescent="0.25">
      <c r="A6531" t="str">
        <f>"20190312155005423"</f>
        <v>20190312155005423</v>
      </c>
      <c r="B6531" t="str">
        <f>"1552377005412961"</f>
        <v>1552377005412961</v>
      </c>
      <c r="C6531" t="s">
        <v>40</v>
      </c>
      <c r="D6531">
        <v>4.7550089999999896</v>
      </c>
      <c r="E6531">
        <v>0.54332530000000001</v>
      </c>
      <c r="F6531" t="s">
        <v>41</v>
      </c>
      <c r="G6531">
        <v>-260.904</v>
      </c>
      <c r="H6531">
        <v>0.90815109999999999</v>
      </c>
      <c r="I6531">
        <v>-61.664749999999998</v>
      </c>
      <c r="J6531">
        <v>-261.56900000000002</v>
      </c>
      <c r="K6531">
        <v>1.1117649999999999</v>
      </c>
      <c r="L6531">
        <v>-61.508940000000003</v>
      </c>
      <c r="M6531">
        <v>0.9977163</v>
      </c>
      <c r="N6531">
        <v>0</v>
      </c>
      <c r="O6531">
        <v>-6.610837E-2</v>
      </c>
      <c r="P6531">
        <v>0.99452189999999996</v>
      </c>
      <c r="Q6531">
        <v>-4.2931089999999998E-2</v>
      </c>
      <c r="R6531">
        <v>-9.5308249999999997E-2</v>
      </c>
      <c r="S6531">
        <v>2.9254150000000001</v>
      </c>
      <c r="T6531">
        <v>-0.75926300000000002</v>
      </c>
      <c r="U6531">
        <v>-0.60476680000000005</v>
      </c>
      <c r="V6531">
        <v>2.948015E-2</v>
      </c>
      <c r="W6531">
        <v>-2.8949260000000001E-2</v>
      </c>
      <c r="X6531">
        <v>0.99914599999999998</v>
      </c>
      <c r="Y6531">
        <v>0.135072</v>
      </c>
      <c r="Z6531">
        <v>-3.9625350000000001E-4</v>
      </c>
      <c r="AA6531">
        <v>0.99083569999999999</v>
      </c>
      <c r="AB6531">
        <v>24</v>
      </c>
      <c r="AC6531">
        <v>0.66500000000002002</v>
      </c>
      <c r="AD6531">
        <v>-0.20361389999999899</v>
      </c>
      <c r="AE6531">
        <v>-0.15580999999999501</v>
      </c>
      <c r="AF6531">
        <v>0.102402191589358</v>
      </c>
      <c r="AG6531">
        <v>-0.20361389999999899</v>
      </c>
      <c r="AH6531">
        <v>0.61884846160637497</v>
      </c>
      <c r="AI6531">
        <v>107.98377200110301</v>
      </c>
      <c r="AJ6531">
        <v>80.604281124902698</v>
      </c>
      <c r="AK6531">
        <v>0.659483318627613</v>
      </c>
      <c r="AL6531">
        <v>91.658902292242004</v>
      </c>
      <c r="AM6531">
        <v>88.3099584282009</v>
      </c>
      <c r="AN6531">
        <v>0.99999993410728205</v>
      </c>
    </row>
    <row r="6532" spans="1:40" x14ac:dyDescent="0.25">
      <c r="A6532" t="str">
        <f>"20190312155005436"</f>
        <v>20190312155005436</v>
      </c>
      <c r="B6532" t="str">
        <f>"1552377005422720"</f>
        <v>1552377005422720</v>
      </c>
      <c r="C6532" t="s">
        <v>40</v>
      </c>
      <c r="D6532">
        <v>4.7437740000000002</v>
      </c>
      <c r="E6532">
        <v>0.54343030000000003</v>
      </c>
      <c r="F6532" t="s">
        <v>41</v>
      </c>
      <c r="G6532">
        <v>-260.89179999999999</v>
      </c>
      <c r="H6532">
        <v>0.93370140000000001</v>
      </c>
      <c r="I6532">
        <v>-61.648670000000003</v>
      </c>
      <c r="J6532">
        <v>-261.45370000000003</v>
      </c>
      <c r="K6532">
        <v>1.1117360000000001</v>
      </c>
      <c r="L6532">
        <v>-61.514919999999996</v>
      </c>
      <c r="M6532">
        <v>0.99780970000000002</v>
      </c>
      <c r="N6532">
        <v>0</v>
      </c>
      <c r="O6532">
        <v>-6.4680860000000007E-2</v>
      </c>
      <c r="P6532">
        <v>0.99463440000000003</v>
      </c>
      <c r="Q6532">
        <v>-4.2385480000000003E-2</v>
      </c>
      <c r="R6532">
        <v>-9.4372159999999997E-2</v>
      </c>
      <c r="S6532">
        <v>2.9254760000000002</v>
      </c>
      <c r="T6532">
        <v>-0.76916370000000001</v>
      </c>
      <c r="U6532">
        <v>-0.60342410000000002</v>
      </c>
      <c r="V6532">
        <v>2.996296E-2</v>
      </c>
      <c r="W6532">
        <v>-2.8406839999999999E-2</v>
      </c>
      <c r="X6532">
        <v>0.99914729999999996</v>
      </c>
      <c r="Y6532">
        <v>0.13591809999999999</v>
      </c>
      <c r="Z6532">
        <v>-8.7312419999999895E-4</v>
      </c>
      <c r="AA6532">
        <v>0.99071969999999998</v>
      </c>
      <c r="AB6532">
        <v>24</v>
      </c>
      <c r="AC6532">
        <v>0.56190000000003604</v>
      </c>
      <c r="AD6532">
        <v>-0.17803459999999899</v>
      </c>
      <c r="AE6532">
        <v>-0.13374999999999901</v>
      </c>
      <c r="AF6532">
        <v>8.8695506325185303E-2</v>
      </c>
      <c r="AG6532">
        <v>-0.17803459999999899</v>
      </c>
      <c r="AH6532">
        <v>0.51997386444398597</v>
      </c>
      <c r="AI6532">
        <v>108.65038131427301</v>
      </c>
      <c r="AJ6532">
        <v>80.319834762991604</v>
      </c>
      <c r="AK6532">
        <v>0.55671898777053896</v>
      </c>
      <c r="AL6532">
        <v>91.627810973530302</v>
      </c>
      <c r="AM6532">
        <v>88.282298520357998</v>
      </c>
      <c r="AN6532">
        <v>1.0000000273140099</v>
      </c>
    </row>
    <row r="6533" spans="1:40" x14ac:dyDescent="0.25">
      <c r="A6533" t="str">
        <f>"20190312155005448"</f>
        <v>20190312155005448</v>
      </c>
      <c r="B6533" t="str">
        <f>"1552377005442240"</f>
        <v>1552377005442240</v>
      </c>
      <c r="C6533" t="s">
        <v>40</v>
      </c>
      <c r="D6533">
        <v>4.710318</v>
      </c>
      <c r="E6533">
        <v>0.54388400000000003</v>
      </c>
      <c r="F6533" t="s">
        <v>41</v>
      </c>
      <c r="G6533">
        <v>-260.69279999999998</v>
      </c>
      <c r="H6533">
        <v>0.91063400000000005</v>
      </c>
      <c r="I6533">
        <v>-61.671399999999998</v>
      </c>
      <c r="J6533">
        <v>-261.32580000000002</v>
      </c>
      <c r="K6533">
        <v>1.111704</v>
      </c>
      <c r="L6533">
        <v>-61.521479999999997</v>
      </c>
      <c r="M6533">
        <v>0.99791039999999998</v>
      </c>
      <c r="N6533">
        <v>0</v>
      </c>
      <c r="O6533">
        <v>-6.3108310000000001E-2</v>
      </c>
      <c r="P6533">
        <v>0.99475009999999997</v>
      </c>
      <c r="Q6533">
        <v>-4.1455659999999998E-2</v>
      </c>
      <c r="R6533">
        <v>-9.3561829999999999E-2</v>
      </c>
      <c r="S6533">
        <v>2.9262389999999998</v>
      </c>
      <c r="T6533">
        <v>-0.77363919999999997</v>
      </c>
      <c r="U6533">
        <v>-0.60055539999999996</v>
      </c>
      <c r="V6533">
        <v>3.0714330000000001E-2</v>
      </c>
      <c r="W6533">
        <v>-2.7479569999999998E-2</v>
      </c>
      <c r="X6533">
        <v>0.99915039999999999</v>
      </c>
      <c r="Y6533">
        <v>0.1364023</v>
      </c>
      <c r="Z6533">
        <v>-1.342906E-3</v>
      </c>
      <c r="AA6533">
        <v>0.99065259999999999</v>
      </c>
      <c r="AB6533">
        <v>24</v>
      </c>
      <c r="AC6533">
        <v>0.63300000000003798</v>
      </c>
      <c r="AD6533">
        <v>-0.20107</v>
      </c>
      <c r="AE6533">
        <v>-0.149919999999994</v>
      </c>
      <c r="AF6533">
        <v>0.10010562347159201</v>
      </c>
      <c r="AG6533">
        <v>-0.20107</v>
      </c>
      <c r="AH6533">
        <v>0.58528228116081105</v>
      </c>
      <c r="AI6533">
        <v>108.70744908067201</v>
      </c>
      <c r="AJ6533">
        <v>80.2941513730986</v>
      </c>
      <c r="AK6533">
        <v>0.62690161061480698</v>
      </c>
      <c r="AL6533">
        <v>91.574661589748004</v>
      </c>
      <c r="AM6533">
        <v>88.239256601607906</v>
      </c>
      <c r="AN6533">
        <v>1.0000000093274399</v>
      </c>
    </row>
    <row r="6534" spans="1:40" x14ac:dyDescent="0.25">
      <c r="A6534" t="str">
        <f>"20190312155005458"</f>
        <v>20190312155005458</v>
      </c>
      <c r="B6534" t="str">
        <f>"1552377005452000"</f>
        <v>1552377005452000</v>
      </c>
      <c r="C6534" t="s">
        <v>40</v>
      </c>
      <c r="D6534">
        <v>4.7658110000000002</v>
      </c>
      <c r="E6534">
        <v>0.54402850000000003</v>
      </c>
      <c r="F6534" t="s">
        <v>41</v>
      </c>
      <c r="G6534">
        <v>-260.49250000000001</v>
      </c>
      <c r="H6534">
        <v>0.88975040000000005</v>
      </c>
      <c r="I6534">
        <v>-61.692570000000003</v>
      </c>
      <c r="J6534">
        <v>-261.19979999999998</v>
      </c>
      <c r="K6534">
        <v>1.1116790000000001</v>
      </c>
      <c r="L6534">
        <v>-61.527709999999999</v>
      </c>
      <c r="M6534">
        <v>0.99800529999999998</v>
      </c>
      <c r="N6534">
        <v>0</v>
      </c>
      <c r="O6534">
        <v>-6.1591899999999998E-2</v>
      </c>
      <c r="P6534">
        <v>0.99482380000000004</v>
      </c>
      <c r="Q6534">
        <v>-4.0673550000000003E-2</v>
      </c>
      <c r="R6534">
        <v>-9.3119140000000003E-2</v>
      </c>
      <c r="S6534">
        <v>2.9268489999999998</v>
      </c>
      <c r="T6534">
        <v>-0.77968340000000003</v>
      </c>
      <c r="U6534">
        <v>-0.60049439999999998</v>
      </c>
      <c r="V6534">
        <v>3.1779969999999998E-2</v>
      </c>
      <c r="W6534">
        <v>-2.6698909999999999E-2</v>
      </c>
      <c r="X6534">
        <v>0.99913819999999998</v>
      </c>
      <c r="Y6534">
        <v>0.1377157</v>
      </c>
      <c r="Z6534">
        <v>-1.9144089999999999E-3</v>
      </c>
      <c r="AA6534">
        <v>0.99046990000000001</v>
      </c>
      <c r="AB6534">
        <v>24</v>
      </c>
      <c r="AC6534">
        <v>0.70729999999997495</v>
      </c>
      <c r="AD6534">
        <v>-0.2219286</v>
      </c>
      <c r="AE6534">
        <v>-0.16485999999999701</v>
      </c>
      <c r="AF6534">
        <v>0.11064685220531401</v>
      </c>
      <c r="AG6534">
        <v>-0.2219286</v>
      </c>
      <c r="AH6534">
        <v>0.65495376474156597</v>
      </c>
      <c r="AI6534">
        <v>108.475089293907</v>
      </c>
      <c r="AJ6534">
        <v>80.411080814677206</v>
      </c>
      <c r="AK6534">
        <v>0.70032811120935001</v>
      </c>
      <c r="AL6534">
        <v>91.529916704682606</v>
      </c>
      <c r="AM6534">
        <v>88.178185493570595</v>
      </c>
      <c r="AN6534">
        <v>0.99999997049381395</v>
      </c>
    </row>
    <row r="6535" spans="1:40" x14ac:dyDescent="0.25">
      <c r="A6535" t="str">
        <f>"20190312155005475"</f>
        <v>20190312155005475</v>
      </c>
      <c r="B6535" t="str">
        <f>"1552377005462736"</f>
        <v>1552377005462736</v>
      </c>
      <c r="C6535" t="s">
        <v>40</v>
      </c>
      <c r="D6535">
        <v>4.7861830000000003</v>
      </c>
      <c r="E6535">
        <v>0.54470209999999997</v>
      </c>
      <c r="F6535" t="s">
        <v>41</v>
      </c>
      <c r="G6535">
        <v>-260.47910000000002</v>
      </c>
      <c r="H6535">
        <v>0.91926379999999996</v>
      </c>
      <c r="I6535">
        <v>-61.675330000000002</v>
      </c>
      <c r="J6535">
        <v>-261.0378</v>
      </c>
      <c r="K6535">
        <v>1.1116509999999999</v>
      </c>
      <c r="L6535">
        <v>-61.535490000000003</v>
      </c>
      <c r="M6535">
        <v>0.99812230000000002</v>
      </c>
      <c r="N6535">
        <v>0</v>
      </c>
      <c r="O6535">
        <v>-5.9669079999999999E-2</v>
      </c>
      <c r="P6535">
        <v>0.99490710000000004</v>
      </c>
      <c r="Q6535">
        <v>-3.838602E-2</v>
      </c>
      <c r="R6535">
        <v>-9.32032E-2</v>
      </c>
      <c r="S6535">
        <v>2.9275509999999998</v>
      </c>
      <c r="T6535">
        <v>-0.78178479999999995</v>
      </c>
      <c r="U6535">
        <v>-0.59921259999999998</v>
      </c>
      <c r="V6535">
        <v>3.3770340000000003E-2</v>
      </c>
      <c r="W6535">
        <v>-2.4410290000000001E-2</v>
      </c>
      <c r="X6535">
        <v>0.99913149999999995</v>
      </c>
      <c r="Y6535">
        <v>0.13903850000000001</v>
      </c>
      <c r="Z6535">
        <v>-2.5884409999999999E-3</v>
      </c>
      <c r="AA6535">
        <v>0.99028360000000004</v>
      </c>
      <c r="AB6535">
        <v>24</v>
      </c>
      <c r="AC6535">
        <v>0.55869999999998698</v>
      </c>
      <c r="AD6535">
        <v>-0.19238719999999901</v>
      </c>
      <c r="AE6535">
        <v>-0.13983999999999899</v>
      </c>
      <c r="AF6535">
        <v>9.5584668313385995E-2</v>
      </c>
      <c r="AG6535">
        <v>-0.19238719999999901</v>
      </c>
      <c r="AH6535">
        <v>0.50922715425722398</v>
      </c>
      <c r="AI6535">
        <v>110.370846253672</v>
      </c>
      <c r="AJ6535">
        <v>79.368978276817003</v>
      </c>
      <c r="AK6535">
        <v>0.55268576802133296</v>
      </c>
      <c r="AL6535">
        <v>91.398745490429903</v>
      </c>
      <c r="AM6535">
        <v>88.064157082704099</v>
      </c>
      <c r="AN6535">
        <v>1.00000002620692</v>
      </c>
    </row>
    <row r="6536" spans="1:40" x14ac:dyDescent="0.25">
      <c r="A6536" t="str">
        <f>"20190312155005498"</f>
        <v>20190312155005498</v>
      </c>
      <c r="B6536" t="str">
        <f>"1552377005492016"</f>
        <v>1552377005492016</v>
      </c>
      <c r="C6536" t="s">
        <v>40</v>
      </c>
      <c r="D6536">
        <v>4.7002179999999996</v>
      </c>
      <c r="E6536">
        <v>0.54488219999999898</v>
      </c>
      <c r="F6536" t="s">
        <v>41</v>
      </c>
      <c r="G6536">
        <v>-260.27519999999998</v>
      </c>
      <c r="H6536">
        <v>0.90692810000000001</v>
      </c>
      <c r="I6536">
        <v>-61.692360000000001</v>
      </c>
      <c r="J6536">
        <v>-260.78870000000001</v>
      </c>
      <c r="K6536">
        <v>1.1116060000000001</v>
      </c>
      <c r="L6536">
        <v>-61.546939999999999</v>
      </c>
      <c r="M6536">
        <v>0.99829140000000005</v>
      </c>
      <c r="N6536">
        <v>0</v>
      </c>
      <c r="O6536">
        <v>-5.6770269999999998E-2</v>
      </c>
      <c r="P6536">
        <v>0.99509139999999996</v>
      </c>
      <c r="Q6536">
        <v>-3.5881089999999997E-2</v>
      </c>
      <c r="R6536">
        <v>-9.2226660000000002E-2</v>
      </c>
      <c r="S6536">
        <v>2.9285890000000001</v>
      </c>
      <c r="T6536">
        <v>-0.78611609999999998</v>
      </c>
      <c r="U6536">
        <v>-0.60241699999999998</v>
      </c>
      <c r="V6536">
        <v>3.5671460000000002E-2</v>
      </c>
      <c r="W6536">
        <v>-2.1908339999999998E-2</v>
      </c>
      <c r="X6536">
        <v>0.99912339999999999</v>
      </c>
      <c r="Y6536">
        <v>0.14263619999999999</v>
      </c>
      <c r="Z6536">
        <v>-3.8250229999999999E-3</v>
      </c>
      <c r="AA6536">
        <v>0.98976779999999998</v>
      </c>
      <c r="AB6536">
        <v>24</v>
      </c>
      <c r="AC6536">
        <v>0.51350000000002105</v>
      </c>
      <c r="AD6536">
        <v>-0.2046779</v>
      </c>
      <c r="AE6536">
        <v>-0.14542000000000099</v>
      </c>
      <c r="AF6536">
        <v>0.101153345494679</v>
      </c>
      <c r="AG6536">
        <v>-0.2046779</v>
      </c>
      <c r="AH6536">
        <v>0.45413349725452501</v>
      </c>
      <c r="AI6536">
        <v>113.74561318597399</v>
      </c>
      <c r="AJ6536">
        <v>77.4429670134096</v>
      </c>
      <c r="AK6536">
        <v>0.50829349334985696</v>
      </c>
      <c r="AL6536">
        <v>91.255355857090194</v>
      </c>
      <c r="AM6536">
        <v>87.9552512144882</v>
      </c>
      <c r="AN6536">
        <v>0.99999999842382303</v>
      </c>
    </row>
    <row r="6537" spans="1:40" x14ac:dyDescent="0.25">
      <c r="A6537" t="str">
        <f>"20190312155005510"</f>
        <v>20190312155005510</v>
      </c>
      <c r="B6537" t="str">
        <f>"1552377005502752"</f>
        <v>1552377005502752</v>
      </c>
      <c r="C6537" t="s">
        <v>40</v>
      </c>
      <c r="D6537">
        <v>4.6782659999999998</v>
      </c>
      <c r="E6537">
        <v>0.5448769</v>
      </c>
      <c r="F6537" t="s">
        <v>41</v>
      </c>
      <c r="G6537">
        <v>-260.06119999999999</v>
      </c>
      <c r="H6537">
        <v>0.91729439999999995</v>
      </c>
      <c r="I6537">
        <v>-61.695839999999997</v>
      </c>
      <c r="J6537">
        <v>-260.6671</v>
      </c>
      <c r="K6537">
        <v>1.1115889999999999</v>
      </c>
      <c r="L6537">
        <v>-61.552309999999999</v>
      </c>
      <c r="M6537">
        <v>0.99836950000000002</v>
      </c>
      <c r="N6537">
        <v>0</v>
      </c>
      <c r="O6537">
        <v>-5.5381920000000001E-2</v>
      </c>
      <c r="P6537">
        <v>0.99518499999999999</v>
      </c>
      <c r="Q6537">
        <v>-3.4900170000000001E-2</v>
      </c>
      <c r="R6537">
        <v>-9.1591500000000006E-2</v>
      </c>
      <c r="S6537">
        <v>2.9309690000000002</v>
      </c>
      <c r="T6537">
        <v>-0.78286499999999903</v>
      </c>
      <c r="U6537">
        <v>-0.59979249999999995</v>
      </c>
      <c r="V6537">
        <v>3.6415749999999997E-2</v>
      </c>
      <c r="W6537">
        <v>-2.092948E-2</v>
      </c>
      <c r="X6537">
        <v>0.99911760000000005</v>
      </c>
      <c r="Y6537">
        <v>0.1429723</v>
      </c>
      <c r="Z6537">
        <v>-4.2101839999999996E-3</v>
      </c>
      <c r="AA6537">
        <v>0.98971770000000003</v>
      </c>
      <c r="AB6537">
        <v>24</v>
      </c>
      <c r="AC6537">
        <v>0.60590000000001898</v>
      </c>
      <c r="AD6537">
        <v>-0.19429460000000001</v>
      </c>
      <c r="AE6537">
        <v>-0.14353000000000499</v>
      </c>
      <c r="AF6537">
        <v>0.10001270622095899</v>
      </c>
      <c r="AG6537">
        <v>-0.19429460000000001</v>
      </c>
      <c r="AH6537">
        <v>0.55853702667829397</v>
      </c>
      <c r="AI6537">
        <v>108.902087964294</v>
      </c>
      <c r="AJ6537">
        <v>79.8480966338456</v>
      </c>
      <c r="AK6537">
        <v>0.59976373945532002</v>
      </c>
      <c r="AL6537">
        <v>91.199258359629496</v>
      </c>
      <c r="AM6537">
        <v>87.912612494061804</v>
      </c>
      <c r="AN6537">
        <v>1.0000000643054401</v>
      </c>
    </row>
    <row r="6538" spans="1:40" x14ac:dyDescent="0.25">
      <c r="A6538" t="str">
        <f>"20190312155005526"</f>
        <v>20190312155005526</v>
      </c>
      <c r="B6538" t="str">
        <f>"1552377005512512"</f>
        <v>1552377005512512</v>
      </c>
      <c r="C6538" t="s">
        <v>40</v>
      </c>
      <c r="D6538">
        <v>4.6696879999999998</v>
      </c>
      <c r="E6538">
        <v>0.5447284</v>
      </c>
      <c r="F6538" t="s">
        <v>41</v>
      </c>
      <c r="G6538">
        <v>-259.86130000000003</v>
      </c>
      <c r="H6538">
        <v>0.89671429999999996</v>
      </c>
      <c r="I6538">
        <v>-61.716610000000003</v>
      </c>
      <c r="J6538">
        <v>-260.51280000000003</v>
      </c>
      <c r="K6538">
        <v>1.1115649999999999</v>
      </c>
      <c r="L6538">
        <v>-61.558929999999997</v>
      </c>
      <c r="M6538">
        <v>0.99846480000000004</v>
      </c>
      <c r="N6538">
        <v>0</v>
      </c>
      <c r="O6538">
        <v>-5.3637690000000002E-2</v>
      </c>
      <c r="P6538">
        <v>0.99530770000000002</v>
      </c>
      <c r="Q6538">
        <v>-3.3898030000000003E-2</v>
      </c>
      <c r="R6538">
        <v>-9.0629269999999998E-2</v>
      </c>
      <c r="S6538">
        <v>2.9321290000000002</v>
      </c>
      <c r="T6538">
        <v>-0.78195919999999997</v>
      </c>
      <c r="U6538">
        <v>-0.59722900000000001</v>
      </c>
      <c r="V6538">
        <v>3.7187669999999999E-2</v>
      </c>
      <c r="W6538">
        <v>-1.993056E-2</v>
      </c>
      <c r="X6538">
        <v>0.99910949999999998</v>
      </c>
      <c r="Y6538">
        <v>0.14371779999999901</v>
      </c>
      <c r="Z6538">
        <v>-4.751974E-3</v>
      </c>
      <c r="AA6538">
        <v>0.98960729999999997</v>
      </c>
      <c r="AB6538">
        <v>23</v>
      </c>
      <c r="AC6538">
        <v>0.65149999999999797</v>
      </c>
      <c r="AD6538">
        <v>-0.21485069999999901</v>
      </c>
      <c r="AE6538">
        <v>-0.15767999999999199</v>
      </c>
      <c r="AF6538">
        <v>0.111091578992888</v>
      </c>
      <c r="AG6538">
        <v>-0.21485069999999901</v>
      </c>
      <c r="AH6538">
        <v>0.59762299987562195</v>
      </c>
      <c r="AI6538">
        <v>109.46615153896499</v>
      </c>
      <c r="AJ6538">
        <v>79.469535899586006</v>
      </c>
      <c r="AK6538">
        <v>0.64471343416587801</v>
      </c>
      <c r="AL6538">
        <v>91.142012618802497</v>
      </c>
      <c r="AM6538">
        <v>87.868388389760298</v>
      </c>
      <c r="AN6538">
        <v>0.99999997150609499</v>
      </c>
    </row>
    <row r="6539" spans="1:40" x14ac:dyDescent="0.25">
      <c r="A6539" t="str">
        <f>"20190312155005541"</f>
        <v>20190312155005541</v>
      </c>
      <c r="B6539" t="str">
        <f>"1552377005532032"</f>
        <v>1552377005532032</v>
      </c>
      <c r="C6539" t="s">
        <v>40</v>
      </c>
      <c r="D6539">
        <v>4.6520210000000004</v>
      </c>
      <c r="E6539">
        <v>0.54466119999999996</v>
      </c>
      <c r="F6539" t="s">
        <v>41</v>
      </c>
      <c r="G6539">
        <v>-259.65780000000001</v>
      </c>
      <c r="H6539">
        <v>0.88466369999999905</v>
      </c>
      <c r="I6539">
        <v>-61.731830000000002</v>
      </c>
      <c r="J6539">
        <v>-260.33850000000001</v>
      </c>
      <c r="K6539">
        <v>1.1115409999999999</v>
      </c>
      <c r="L6539">
        <v>-61.566009999999999</v>
      </c>
      <c r="M6539">
        <v>0.99856630000000002</v>
      </c>
      <c r="N6539">
        <v>0</v>
      </c>
      <c r="O6539">
        <v>-5.1710970000000002E-2</v>
      </c>
      <c r="P6539">
        <v>0.99540280000000003</v>
      </c>
      <c r="Q6539">
        <v>-3.2787360000000002E-2</v>
      </c>
      <c r="R6539">
        <v>-8.9990840000000002E-2</v>
      </c>
      <c r="S6539">
        <v>2.933624</v>
      </c>
      <c r="T6539">
        <v>-0.77866650000000004</v>
      </c>
      <c r="U6539">
        <v>-0.59301759999999903</v>
      </c>
      <c r="V6539">
        <v>3.8466489999999999E-2</v>
      </c>
      <c r="W6539">
        <v>-1.882211E-2</v>
      </c>
      <c r="X6539">
        <v>0.99908260000000004</v>
      </c>
      <c r="Y6539">
        <v>0.14411270000000001</v>
      </c>
      <c r="Z6539">
        <v>-5.2780140000000001E-3</v>
      </c>
      <c r="AA6539">
        <v>0.98954719999999996</v>
      </c>
      <c r="AB6539">
        <v>23</v>
      </c>
      <c r="AC6539">
        <v>0.68070000000000097</v>
      </c>
      <c r="AD6539">
        <v>-0.2268773</v>
      </c>
      <c r="AE6539">
        <v>-0.16582000000000299</v>
      </c>
      <c r="AF6539">
        <v>0.118018917854262</v>
      </c>
      <c r="AG6539">
        <v>-0.2268773</v>
      </c>
      <c r="AH6539">
        <v>0.62303002593981205</v>
      </c>
      <c r="AI6539">
        <v>109.686641890804</v>
      </c>
      <c r="AJ6539">
        <v>79.273704267717093</v>
      </c>
      <c r="AK6539">
        <v>0.67347471181132201</v>
      </c>
      <c r="AL6539">
        <v>91.078491159229003</v>
      </c>
      <c r="AM6539">
        <v>87.795097771506903</v>
      </c>
      <c r="AN6539">
        <v>0.99999999215026603</v>
      </c>
    </row>
    <row r="6540" spans="1:40" x14ac:dyDescent="0.25">
      <c r="A6540" t="str">
        <f>"20190312155005571"</f>
        <v>20190312155005571</v>
      </c>
      <c r="B6540" t="str">
        <f>"1552377005562288"</f>
        <v>1552377005562288</v>
      </c>
      <c r="C6540" t="s">
        <v>40</v>
      </c>
      <c r="D6540">
        <v>4.6513330000000002</v>
      </c>
      <c r="E6540">
        <v>0.54440269999999902</v>
      </c>
      <c r="F6540" t="s">
        <v>41</v>
      </c>
      <c r="G6540">
        <v>-259.63920000000002</v>
      </c>
      <c r="H6540">
        <v>0.92643569999999997</v>
      </c>
      <c r="I6540">
        <v>-61.70664</v>
      </c>
      <c r="J6540">
        <v>-260.05200000000002</v>
      </c>
      <c r="K6540">
        <v>1.111494</v>
      </c>
      <c r="L6540">
        <v>-61.577089999999998</v>
      </c>
      <c r="M6540">
        <v>0.9987222</v>
      </c>
      <c r="N6540">
        <v>0</v>
      </c>
      <c r="O6540">
        <v>-4.8612830000000003E-2</v>
      </c>
      <c r="P6540">
        <v>0.99563159999999895</v>
      </c>
      <c r="Q6540">
        <v>-3.209099E-2</v>
      </c>
      <c r="R6540">
        <v>-8.7683639999999993E-2</v>
      </c>
      <c r="S6540">
        <v>2.9349370000000001</v>
      </c>
      <c r="T6540">
        <v>-0.77696339999999997</v>
      </c>
      <c r="U6540">
        <v>-0.58990480000000001</v>
      </c>
      <c r="V6540">
        <v>3.9243989999999999E-2</v>
      </c>
      <c r="W6540">
        <v>-1.813476E-2</v>
      </c>
      <c r="X6540">
        <v>0.99906510000000004</v>
      </c>
      <c r="Y6540">
        <v>0.1459385</v>
      </c>
      <c r="Z6540">
        <v>-6.2964179999999998E-3</v>
      </c>
      <c r="AA6540">
        <v>0.98927359999999998</v>
      </c>
      <c r="AB6540">
        <v>23</v>
      </c>
      <c r="AC6540">
        <v>0.412800000000004</v>
      </c>
      <c r="AD6540">
        <v>-0.18505829999999901</v>
      </c>
      <c r="AE6540">
        <v>-0.129549999999994</v>
      </c>
      <c r="AF6540">
        <v>9.24190919963645E-2</v>
      </c>
      <c r="AG6540">
        <v>-0.18505829999999901</v>
      </c>
      <c r="AH6540">
        <v>0.35386864407845797</v>
      </c>
      <c r="AI6540">
        <v>116.838768938146</v>
      </c>
      <c r="AJ6540">
        <v>75.363128844960499</v>
      </c>
      <c r="AK6540">
        <v>0.40989130294048598</v>
      </c>
      <c r="AL6540">
        <v>91.039102152801902</v>
      </c>
      <c r="AM6540">
        <v>87.750537376747801</v>
      </c>
      <c r="AN6540">
        <v>1.0000000171546899</v>
      </c>
    </row>
    <row r="6541" spans="1:40" x14ac:dyDescent="0.25">
      <c r="A6541" t="str">
        <f>"20190312155005582"</f>
        <v>20190312155005582</v>
      </c>
      <c r="B6541" t="str">
        <f>"1552377005572048"</f>
        <v>1552377005572048</v>
      </c>
      <c r="C6541" t="s">
        <v>40</v>
      </c>
      <c r="D6541">
        <v>4.6144619999999996</v>
      </c>
      <c r="E6541">
        <v>0.54433100000000001</v>
      </c>
      <c r="F6541" t="s">
        <v>41</v>
      </c>
      <c r="G6541">
        <v>-259.23610000000002</v>
      </c>
      <c r="H6541">
        <v>0.89538989999999996</v>
      </c>
      <c r="I6541">
        <v>-61.738599999999998</v>
      </c>
      <c r="J6541">
        <v>-259.91250000000002</v>
      </c>
      <c r="K6541">
        <v>1.111467</v>
      </c>
      <c r="L6541">
        <v>-61.582239999999999</v>
      </c>
      <c r="M6541">
        <v>0.99879289999999998</v>
      </c>
      <c r="N6541">
        <v>0</v>
      </c>
      <c r="O6541">
        <v>-4.7137159999999997E-2</v>
      </c>
      <c r="P6541">
        <v>0.99576379999999998</v>
      </c>
      <c r="Q6541">
        <v>-3.1816629999999999E-2</v>
      </c>
      <c r="R6541">
        <v>-8.6269509999999994E-2</v>
      </c>
      <c r="S6541">
        <v>2.9369200000000002</v>
      </c>
      <c r="T6541">
        <v>-0.77799059999999998</v>
      </c>
      <c r="U6541">
        <v>-0.5808411</v>
      </c>
      <c r="V6541">
        <v>3.9298550000000002E-2</v>
      </c>
      <c r="W6541">
        <v>-1.7866179999999999E-2</v>
      </c>
      <c r="X6541">
        <v>0.99906779999999995</v>
      </c>
      <c r="Y6541">
        <v>0.1443314</v>
      </c>
      <c r="Z6541">
        <v>-6.4742430000000002E-3</v>
      </c>
      <c r="AA6541">
        <v>0.98950819999999995</v>
      </c>
      <c r="AB6541">
        <v>23</v>
      </c>
      <c r="AC6541">
        <v>0.676400000000001</v>
      </c>
      <c r="AD6541">
        <v>-0.21607709999999999</v>
      </c>
      <c r="AE6541">
        <v>-0.15635999999999201</v>
      </c>
      <c r="AF6541">
        <v>0.113321753906682</v>
      </c>
      <c r="AG6541">
        <v>-0.21607709999999999</v>
      </c>
      <c r="AH6541">
        <v>0.622696716236533</v>
      </c>
      <c r="AI6541">
        <v>108.84964399402099</v>
      </c>
      <c r="AJ6541">
        <v>79.685875673952296</v>
      </c>
      <c r="AK6541">
        <v>0.66879169661760796</v>
      </c>
      <c r="AL6541">
        <v>91.023711153198803</v>
      </c>
      <c r="AM6541">
        <v>87.747419302317098</v>
      </c>
      <c r="AN6541">
        <v>1.0000000227083601</v>
      </c>
    </row>
    <row r="6542" spans="1:40" x14ac:dyDescent="0.25">
      <c r="A6542" t="str">
        <f>"20190312155005600"</f>
        <v>20190312155005600</v>
      </c>
      <c r="B6542" t="str">
        <f>"1552377005592544"</f>
        <v>1552377005592544</v>
      </c>
      <c r="C6542" t="s">
        <v>40</v>
      </c>
      <c r="D6542">
        <v>4.6088190000000004</v>
      </c>
      <c r="E6542">
        <v>0.54422060000000005</v>
      </c>
      <c r="F6542" t="s">
        <v>41</v>
      </c>
      <c r="G6542">
        <v>-259.22129999999999</v>
      </c>
      <c r="H6542">
        <v>0.92839919999999998</v>
      </c>
      <c r="I6542">
        <v>-61.717880000000001</v>
      </c>
      <c r="J6542">
        <v>-259.73599999999999</v>
      </c>
      <c r="K6542">
        <v>1.111432</v>
      </c>
      <c r="L6542">
        <v>-61.588410000000003</v>
      </c>
      <c r="M6542">
        <v>0.99887789999999999</v>
      </c>
      <c r="N6542">
        <v>0</v>
      </c>
      <c r="O6542">
        <v>-4.5302879999999997E-2</v>
      </c>
      <c r="P6542">
        <v>0.99592510000000001</v>
      </c>
      <c r="Q6542">
        <v>-3.1184360000000001E-2</v>
      </c>
      <c r="R6542">
        <v>-8.4623219999999999E-2</v>
      </c>
      <c r="S6542">
        <v>2.9380190000000002</v>
      </c>
      <c r="T6542">
        <v>-0.77826700000000004</v>
      </c>
      <c r="U6542">
        <v>-0.5758972</v>
      </c>
      <c r="V6542">
        <v>3.9476959999999998E-2</v>
      </c>
      <c r="W6542">
        <v>-1.724065E-2</v>
      </c>
      <c r="X6542">
        <v>0.99907170000000001</v>
      </c>
      <c r="Y6542">
        <v>0.14440939999999999</v>
      </c>
      <c r="Z6542">
        <v>-6.9570969999999998E-3</v>
      </c>
      <c r="AA6542">
        <v>0.98949350000000003</v>
      </c>
      <c r="AB6542">
        <v>23</v>
      </c>
      <c r="AC6542">
        <v>0.51470000000000404</v>
      </c>
      <c r="AD6542">
        <v>-0.1830328</v>
      </c>
      <c r="AE6542">
        <v>-0.12947000000001099</v>
      </c>
      <c r="AF6542">
        <v>9.4748648575219405E-2</v>
      </c>
      <c r="AG6542">
        <v>-0.1830328</v>
      </c>
      <c r="AH6542">
        <v>0.464761667100836</v>
      </c>
      <c r="AI6542">
        <v>111.10078175976901</v>
      </c>
      <c r="AJ6542">
        <v>78.477294362858501</v>
      </c>
      <c r="AK6542">
        <v>0.50841097498875698</v>
      </c>
      <c r="AL6542">
        <v>90.987865457568901</v>
      </c>
      <c r="AM6542">
        <v>87.737212326607903</v>
      </c>
      <c r="AN6542">
        <v>0.99999996606207597</v>
      </c>
    </row>
    <row r="6543" spans="1:40" x14ac:dyDescent="0.25">
      <c r="A6543" t="str">
        <f>"20190312155005612"</f>
        <v>20190312155005612</v>
      </c>
      <c r="B6543" t="str">
        <f>"1552377005602304"</f>
        <v>1552377005602304</v>
      </c>
      <c r="C6543" t="s">
        <v>40</v>
      </c>
      <c r="D6543">
        <v>4.6183350000000001</v>
      </c>
      <c r="E6543">
        <v>0.54416709999999902</v>
      </c>
      <c r="F6543" t="s">
        <v>41</v>
      </c>
      <c r="G6543">
        <v>-259.01659999999998</v>
      </c>
      <c r="H6543">
        <v>0.92113690000000004</v>
      </c>
      <c r="I6543">
        <v>-61.72824</v>
      </c>
      <c r="J6543">
        <v>-259.61559999999997</v>
      </c>
      <c r="K6543">
        <v>1.1114059999999999</v>
      </c>
      <c r="L6543">
        <v>-61.592500000000001</v>
      </c>
      <c r="M6543">
        <v>0.99893290000000001</v>
      </c>
      <c r="N6543">
        <v>0</v>
      </c>
      <c r="O6543">
        <v>-4.407465E-2</v>
      </c>
      <c r="P6543">
        <v>0.99603430000000004</v>
      </c>
      <c r="Q6543">
        <v>-3.0783129999999999E-2</v>
      </c>
      <c r="R6543">
        <v>-8.3478490000000002E-2</v>
      </c>
      <c r="S6543">
        <v>2.9394529999999999</v>
      </c>
      <c r="T6543">
        <v>-0.77781579999999995</v>
      </c>
      <c r="U6543">
        <v>-0.5703125</v>
      </c>
      <c r="V6543">
        <v>3.9553970000000001E-2</v>
      </c>
      <c r="W6543">
        <v>-1.6844359999999999E-2</v>
      </c>
      <c r="X6543">
        <v>0.99907550000000001</v>
      </c>
      <c r="Y6543">
        <v>0.1437108</v>
      </c>
      <c r="Z6543">
        <v>-7.1767940000000002E-3</v>
      </c>
      <c r="AA6543">
        <v>0.98959370000000002</v>
      </c>
      <c r="AB6543">
        <v>23</v>
      </c>
      <c r="AC6543">
        <v>0.59899999999998899</v>
      </c>
      <c r="AD6543">
        <v>-0.190269099999999</v>
      </c>
      <c r="AE6543">
        <v>-0.135739999999998</v>
      </c>
      <c r="AF6543">
        <v>9.9642197979562294E-2</v>
      </c>
      <c r="AG6543">
        <v>-0.190269099999999</v>
      </c>
      <c r="AH6543">
        <v>0.55147603317623695</v>
      </c>
      <c r="AI6543">
        <v>108.753396407929</v>
      </c>
      <c r="AJ6543">
        <v>79.758140599877393</v>
      </c>
      <c r="AK6543">
        <v>0.59182490079482697</v>
      </c>
      <c r="AL6543">
        <v>90.965156331250199</v>
      </c>
      <c r="AM6543">
        <v>87.732811391353593</v>
      </c>
      <c r="AN6543">
        <v>1.0000000518534</v>
      </c>
    </row>
    <row r="6544" spans="1:40" x14ac:dyDescent="0.25">
      <c r="A6544" t="str">
        <f>"20190312155005623"</f>
        <v>20190312155005623</v>
      </c>
      <c r="B6544" t="str">
        <f>"1552377005612065"</f>
        <v>1552377005612065</v>
      </c>
      <c r="C6544" t="s">
        <v>40</v>
      </c>
      <c r="D6544">
        <v>4.5873619999999997</v>
      </c>
      <c r="E6544">
        <v>0.54405389999999998</v>
      </c>
      <c r="F6544" t="s">
        <v>41</v>
      </c>
      <c r="G6544">
        <v>-258.81779999999998</v>
      </c>
      <c r="H6544">
        <v>0.90043709999999899</v>
      </c>
      <c r="I6544">
        <v>-61.746400000000001</v>
      </c>
      <c r="J6544">
        <v>-259.48689999999999</v>
      </c>
      <c r="K6544">
        <v>1.111381</v>
      </c>
      <c r="L6544">
        <v>-61.596739999999997</v>
      </c>
      <c r="M6544">
        <v>0.99898929999999997</v>
      </c>
      <c r="N6544">
        <v>0</v>
      </c>
      <c r="O6544">
        <v>-4.2777429999999998E-2</v>
      </c>
      <c r="P6544">
        <v>0.99612860000000003</v>
      </c>
      <c r="Q6544">
        <v>-3.0988910000000001E-2</v>
      </c>
      <c r="R6544">
        <v>-8.226762E-2</v>
      </c>
      <c r="S6544">
        <v>2.9404599999999999</v>
      </c>
      <c r="T6544">
        <v>-0.77767629999999999</v>
      </c>
      <c r="U6544">
        <v>-0.56643679999999996</v>
      </c>
      <c r="V6544">
        <v>3.9636419999999999E-2</v>
      </c>
      <c r="W6544">
        <v>-1.7055790000000001E-2</v>
      </c>
      <c r="X6544">
        <v>0.99906859999999997</v>
      </c>
      <c r="Y6544">
        <v>0.14363609999999999</v>
      </c>
      <c r="Z6544">
        <v>-7.4978290000000001E-3</v>
      </c>
      <c r="AA6544">
        <v>0.98960210000000004</v>
      </c>
      <c r="AB6544">
        <v>23</v>
      </c>
      <c r="AC6544">
        <v>0.66910000000001402</v>
      </c>
      <c r="AD6544">
        <v>-0.21094389999999999</v>
      </c>
      <c r="AE6544">
        <v>-0.14965999999999699</v>
      </c>
      <c r="AF6544">
        <v>0.110443668552069</v>
      </c>
      <c r="AG6544">
        <v>-0.21094389999999999</v>
      </c>
      <c r="AH6544">
        <v>0.61653141049230198</v>
      </c>
      <c r="AI6544">
        <v>108.61276203910801</v>
      </c>
      <c r="AJ6544">
        <v>79.843920633450907</v>
      </c>
      <c r="AK6544">
        <v>0.66091309034855406</v>
      </c>
      <c r="AL6544">
        <v>90.977272162090799</v>
      </c>
      <c r="AM6544">
        <v>87.728074723753906</v>
      </c>
      <c r="AN6544">
        <v>1.0000000066344501</v>
      </c>
    </row>
    <row r="6545" spans="1:40" x14ac:dyDescent="0.25">
      <c r="A6545" t="str">
        <f>"20190312155005635"</f>
        <v>20190312155005635</v>
      </c>
      <c r="B6545" t="str">
        <f>"1552377005622800"</f>
        <v>1552377005622800</v>
      </c>
      <c r="C6545" t="s">
        <v>40</v>
      </c>
      <c r="D6545">
        <v>4.5837490000000001</v>
      </c>
      <c r="E6545">
        <v>0.54394100000000001</v>
      </c>
      <c r="F6545" t="s">
        <v>41</v>
      </c>
      <c r="G6545">
        <v>-258.80419999999998</v>
      </c>
      <c r="H6545">
        <v>0.93061159999999998</v>
      </c>
      <c r="I6545">
        <v>-61.727369999999901</v>
      </c>
      <c r="J6545">
        <v>-259.37009999999998</v>
      </c>
      <c r="K6545">
        <v>1.111353</v>
      </c>
      <c r="L6545">
        <v>-61.600369999999998</v>
      </c>
      <c r="M6545">
        <v>0.99903759999999997</v>
      </c>
      <c r="N6545">
        <v>0</v>
      </c>
      <c r="O6545">
        <v>-4.1633169999999997E-2</v>
      </c>
      <c r="P6545">
        <v>0.99622759999999999</v>
      </c>
      <c r="Q6545">
        <v>-3.105484E-2</v>
      </c>
      <c r="R6545">
        <v>-8.1031950000000005E-2</v>
      </c>
      <c r="S6545">
        <v>2.9410400000000001</v>
      </c>
      <c r="T6545">
        <v>-0.7788718</v>
      </c>
      <c r="U6545">
        <v>-0.56179809999999997</v>
      </c>
      <c r="V6545">
        <v>3.9541020000000003E-2</v>
      </c>
      <c r="W6545">
        <v>-1.7127630000000001E-2</v>
      </c>
      <c r="X6545">
        <v>0.99907109999999999</v>
      </c>
      <c r="Y6545">
        <v>0.14319379999999901</v>
      </c>
      <c r="Z6545">
        <v>-7.7460559999999899E-3</v>
      </c>
      <c r="AA6545">
        <v>0.9896644</v>
      </c>
      <c r="AB6545">
        <v>23</v>
      </c>
      <c r="AC6545">
        <v>0.56589999999999896</v>
      </c>
      <c r="AD6545">
        <v>-0.1807414</v>
      </c>
      <c r="AE6545">
        <v>-0.12699999999999501</v>
      </c>
      <c r="AF6545">
        <v>9.4180839699553001E-2</v>
      </c>
      <c r="AG6545">
        <v>-0.1807414</v>
      </c>
      <c r="AH6545">
        <v>0.52017890217294105</v>
      </c>
      <c r="AI6545">
        <v>108.87562799582</v>
      </c>
      <c r="AJ6545">
        <v>79.737503190242194</v>
      </c>
      <c r="AK6545">
        <v>0.55868020772738902</v>
      </c>
      <c r="AL6545">
        <v>90.981388942484003</v>
      </c>
      <c r="AM6545">
        <v>87.7335429251996</v>
      </c>
      <c r="AN6545">
        <v>0.99999995541363196</v>
      </c>
    </row>
    <row r="6546" spans="1:40" x14ac:dyDescent="0.25">
      <c r="A6546" t="str">
        <f>"20190312155005647"</f>
        <v>20190312155005647</v>
      </c>
      <c r="B6546" t="str">
        <f>"1552377005632561"</f>
        <v>1552377005632561</v>
      </c>
      <c r="C6546" t="s">
        <v>40</v>
      </c>
      <c r="D6546">
        <v>4.5775739999999896</v>
      </c>
      <c r="E6546">
        <v>0.54384429999999995</v>
      </c>
      <c r="F6546" t="s">
        <v>41</v>
      </c>
      <c r="G6546">
        <v>-258.60640000000001</v>
      </c>
      <c r="H6546">
        <v>0.90896529999999998</v>
      </c>
      <c r="I6546">
        <v>-61.745139999999999</v>
      </c>
      <c r="J6546">
        <v>-259.2552</v>
      </c>
      <c r="K6546">
        <v>1.1113249999999999</v>
      </c>
      <c r="L6546">
        <v>-61.603969999999997</v>
      </c>
      <c r="M6546">
        <v>0.99908350000000001</v>
      </c>
      <c r="N6546">
        <v>0</v>
      </c>
      <c r="O6546">
        <v>-4.0515959999999997E-2</v>
      </c>
      <c r="P6546">
        <v>0.99629760000000001</v>
      </c>
      <c r="Q6546">
        <v>-3.1168479999999998E-2</v>
      </c>
      <c r="R6546">
        <v>-8.0120999999999998E-2</v>
      </c>
      <c r="S6546">
        <v>2.9417420000000001</v>
      </c>
      <c r="T6546">
        <v>-0.77965640000000003</v>
      </c>
      <c r="U6546">
        <v>-0.55725100000000005</v>
      </c>
      <c r="V6546">
        <v>3.9744139999999997E-2</v>
      </c>
      <c r="W6546">
        <v>-1.7246259999999999E-2</v>
      </c>
      <c r="X6546">
        <v>0.99906099999999998</v>
      </c>
      <c r="Y6546">
        <v>0.14275119999999999</v>
      </c>
      <c r="Z6546">
        <v>-7.9835679999999999E-3</v>
      </c>
      <c r="AA6546">
        <v>0.98972640000000001</v>
      </c>
      <c r="AB6546">
        <v>23</v>
      </c>
      <c r="AC6546">
        <v>0.64879999999999405</v>
      </c>
      <c r="AD6546">
        <v>-0.202359699999999</v>
      </c>
      <c r="AE6546">
        <v>-0.14117000000000199</v>
      </c>
      <c r="AF6546">
        <v>0.105011041346506</v>
      </c>
      <c r="AG6546">
        <v>-0.202359699999999</v>
      </c>
      <c r="AH6546">
        <v>0.59840553390256002</v>
      </c>
      <c r="AI6546">
        <v>108.421636793145</v>
      </c>
      <c r="AJ6546">
        <v>80.046808279107296</v>
      </c>
      <c r="AK6546">
        <v>0.64036391996580799</v>
      </c>
      <c r="AL6546">
        <v>90.988186944708701</v>
      </c>
      <c r="AM6546">
        <v>87.7218894915638</v>
      </c>
      <c r="AN6546">
        <v>0.99999995593466195</v>
      </c>
    </row>
    <row r="6547" spans="1:40" x14ac:dyDescent="0.25">
      <c r="A6547" t="str">
        <f>"20190312155005658"</f>
        <v>20190312155005658</v>
      </c>
      <c r="B6547" t="str">
        <f>"1552377005652081"</f>
        <v>1552377005652081</v>
      </c>
      <c r="C6547" t="s">
        <v>40</v>
      </c>
      <c r="D6547">
        <v>4.562716</v>
      </c>
      <c r="E6547">
        <v>0.54373649999999996</v>
      </c>
      <c r="F6547" t="s">
        <v>41</v>
      </c>
      <c r="G6547">
        <v>-258.40870000000001</v>
      </c>
      <c r="H6547">
        <v>0.88672459999999997</v>
      </c>
      <c r="I6547">
        <v>-61.763240000000003</v>
      </c>
      <c r="J6547">
        <v>-259.11989999999997</v>
      </c>
      <c r="K6547">
        <v>1.111291</v>
      </c>
      <c r="L6547">
        <v>-61.607939999999999</v>
      </c>
      <c r="M6547">
        <v>0.99913450000000004</v>
      </c>
      <c r="N6547">
        <v>0</v>
      </c>
      <c r="O6547">
        <v>-3.924246E-2</v>
      </c>
      <c r="P6547">
        <v>0.99636040000000003</v>
      </c>
      <c r="Q6547">
        <v>-3.1944590000000002E-2</v>
      </c>
      <c r="R6547">
        <v>-7.9029719999999998E-2</v>
      </c>
      <c r="S6547">
        <v>2.9422000000000001</v>
      </c>
      <c r="T6547">
        <v>-0.78062690000000001</v>
      </c>
      <c r="U6547">
        <v>-0.55358890000000005</v>
      </c>
      <c r="V6547">
        <v>3.992515E-2</v>
      </c>
      <c r="W6547">
        <v>-1.802906E-2</v>
      </c>
      <c r="X6547">
        <v>0.99904000000000004</v>
      </c>
      <c r="Y6547">
        <v>0.1427437</v>
      </c>
      <c r="Z6547">
        <v>-8.3204660000000003E-3</v>
      </c>
      <c r="AA6547">
        <v>0.98972470000000001</v>
      </c>
      <c r="AB6547">
        <v>23</v>
      </c>
      <c r="AC6547">
        <v>0.71119999999996197</v>
      </c>
      <c r="AD6547">
        <v>-0.2245664</v>
      </c>
      <c r="AE6547">
        <v>-0.15530000000000399</v>
      </c>
      <c r="AF6547">
        <v>0.11620941335417399</v>
      </c>
      <c r="AG6547">
        <v>-0.2245664</v>
      </c>
      <c r="AH6547">
        <v>0.65446497506276802</v>
      </c>
      <c r="AI6547">
        <v>108.66728886417999</v>
      </c>
      <c r="AJ6547">
        <v>79.931276223846595</v>
      </c>
      <c r="AK6547">
        <v>0.70161178677740998</v>
      </c>
      <c r="AL6547">
        <v>91.033045023566302</v>
      </c>
      <c r="AM6547">
        <v>87.711477059027501</v>
      </c>
      <c r="AN6547">
        <v>0.99999999310350296</v>
      </c>
    </row>
    <row r="6548" spans="1:40" x14ac:dyDescent="0.25">
      <c r="A6548" t="str">
        <f>"20190312155005671"</f>
        <v>20190312155005671</v>
      </c>
      <c r="B6548" t="str">
        <f>"1552377005662816"</f>
        <v>1552377005662816</v>
      </c>
      <c r="C6548" t="s">
        <v>40</v>
      </c>
      <c r="D6548">
        <v>4.5504519999999999</v>
      </c>
      <c r="E6548">
        <v>0.5436761</v>
      </c>
      <c r="F6548" t="s">
        <v>41</v>
      </c>
      <c r="G6548">
        <v>-258.39499999999998</v>
      </c>
      <c r="H6548">
        <v>0.91817669999999996</v>
      </c>
      <c r="I6548">
        <v>-61.74333</v>
      </c>
      <c r="J6548">
        <v>-259.00060000000002</v>
      </c>
      <c r="K6548">
        <v>1.1112569999999999</v>
      </c>
      <c r="L6548">
        <v>-61.611359999999998</v>
      </c>
      <c r="M6548">
        <v>0.99917730000000005</v>
      </c>
      <c r="N6548">
        <v>0</v>
      </c>
      <c r="O6548">
        <v>-3.8138419999999999E-2</v>
      </c>
      <c r="P6548">
        <v>0.99644080000000002</v>
      </c>
      <c r="Q6548">
        <v>-3.2051219999999998E-2</v>
      </c>
      <c r="R6548">
        <v>-7.7966530000000006E-2</v>
      </c>
      <c r="S6548">
        <v>2.9422000000000001</v>
      </c>
      <c r="T6548">
        <v>-0.78381610000000002</v>
      </c>
      <c r="U6548">
        <v>-0.54956050000000001</v>
      </c>
      <c r="V6548">
        <v>3.9962079999999997E-2</v>
      </c>
      <c r="W6548">
        <v>-1.8141750000000002E-2</v>
      </c>
      <c r="X6548">
        <v>0.99903649999999999</v>
      </c>
      <c r="Y6548">
        <v>0.14247070000000001</v>
      </c>
      <c r="Z6548">
        <v>-8.60489999999999E-3</v>
      </c>
      <c r="AA6548">
        <v>0.98976160000000002</v>
      </c>
      <c r="AB6548">
        <v>23</v>
      </c>
      <c r="AC6548">
        <v>0.605600000000038</v>
      </c>
      <c r="AD6548">
        <v>-0.19308030000000001</v>
      </c>
      <c r="AE6548">
        <v>-0.131970000000009</v>
      </c>
      <c r="AF6548">
        <v>9.9153215595192995E-2</v>
      </c>
      <c r="AG6548">
        <v>-0.19308030000000001</v>
      </c>
      <c r="AH6548">
        <v>0.55621705432713497</v>
      </c>
      <c r="AI6548">
        <v>108.86754135572301</v>
      </c>
      <c r="AJ6548">
        <v>79.892425382026303</v>
      </c>
      <c r="AK6548">
        <v>0.59706680860295003</v>
      </c>
      <c r="AL6548">
        <v>91.039502724012195</v>
      </c>
      <c r="AM6548">
        <v>87.7093544565206</v>
      </c>
      <c r="AN6548">
        <v>1.00000000963161</v>
      </c>
    </row>
    <row r="6549" spans="1:40" x14ac:dyDescent="0.25">
      <c r="A6549" t="str">
        <f>"20190312155005683"</f>
        <v>20190312155005683</v>
      </c>
      <c r="B6549" t="str">
        <f>"1552377005672576"</f>
        <v>1552377005672576</v>
      </c>
      <c r="C6549" t="s">
        <v>40</v>
      </c>
      <c r="D6549">
        <v>4.5297859999999996</v>
      </c>
      <c r="E6549">
        <v>0.5436124</v>
      </c>
      <c r="F6549" t="s">
        <v>41</v>
      </c>
      <c r="G6549">
        <v>-258.19690000000003</v>
      </c>
      <c r="H6549">
        <v>0.89723719999999996</v>
      </c>
      <c r="I6549">
        <v>-61.7607199999999</v>
      </c>
      <c r="J6549">
        <v>-258.87209999999999</v>
      </c>
      <c r="K6549">
        <v>1.1112219999999999</v>
      </c>
      <c r="L6549">
        <v>-61.614989999999999</v>
      </c>
      <c r="M6549">
        <v>0.99922109999999997</v>
      </c>
      <c r="N6549">
        <v>0</v>
      </c>
      <c r="O6549">
        <v>-3.6970999999999997E-2</v>
      </c>
      <c r="P6549">
        <v>0.99653449999999999</v>
      </c>
      <c r="Q6549">
        <v>-3.2007140000000003E-2</v>
      </c>
      <c r="R6549">
        <v>-7.677465E-2</v>
      </c>
      <c r="S6549">
        <v>2.94278</v>
      </c>
      <c r="T6549">
        <v>-0.78379109999999996</v>
      </c>
      <c r="U6549">
        <v>-0.54614259999999903</v>
      </c>
      <c r="V6549">
        <v>3.9932860000000001E-2</v>
      </c>
      <c r="W6549">
        <v>-1.810432E-2</v>
      </c>
      <c r="X6549">
        <v>0.99903830000000005</v>
      </c>
      <c r="Y6549">
        <v>0.14244229999999899</v>
      </c>
      <c r="Z6549">
        <v>-8.9026490000000003E-3</v>
      </c>
      <c r="AA6549">
        <v>0.98976310000000001</v>
      </c>
      <c r="AB6549">
        <v>23</v>
      </c>
      <c r="AC6549">
        <v>0.67519999999996105</v>
      </c>
      <c r="AD6549">
        <v>-0.2139848</v>
      </c>
      <c r="AE6549">
        <v>-0.145729999999993</v>
      </c>
      <c r="AF6549">
        <v>0.110099146086964</v>
      </c>
      <c r="AG6549">
        <v>-0.2139848</v>
      </c>
      <c r="AH6549">
        <v>0.62057150998411104</v>
      </c>
      <c r="AI6549">
        <v>108.753220561237</v>
      </c>
      <c r="AJ6549">
        <v>79.939511677736405</v>
      </c>
      <c r="AK6549">
        <v>0.66559771304000004</v>
      </c>
      <c r="AL6549">
        <v>91.037357839847999</v>
      </c>
      <c r="AM6549">
        <v>87.711031698436898</v>
      </c>
      <c r="AN6549">
        <v>0.99999996228866495</v>
      </c>
    </row>
    <row r="6550" spans="1:40" x14ac:dyDescent="0.25">
      <c r="A6550" t="str">
        <f>"20190312155005697"</f>
        <v>20190312155005697</v>
      </c>
      <c r="B6550" t="str">
        <f>"1552377005692096"</f>
        <v>1552377005692096</v>
      </c>
      <c r="C6550" t="s">
        <v>40</v>
      </c>
      <c r="D6550">
        <v>4.4649900000000002</v>
      </c>
      <c r="E6550">
        <v>0.54346740000000004</v>
      </c>
      <c r="F6550" t="s">
        <v>41</v>
      </c>
      <c r="G6550">
        <v>-258.18329999999997</v>
      </c>
      <c r="H6550">
        <v>0.92789029999999995</v>
      </c>
      <c r="I6550">
        <v>-61.742060000000002</v>
      </c>
      <c r="J6550">
        <v>-258.71679999999998</v>
      </c>
      <c r="K6550">
        <v>1.1111709999999999</v>
      </c>
      <c r="L6550">
        <v>-61.619109999999999</v>
      </c>
      <c r="M6550">
        <v>0.99927089999999996</v>
      </c>
      <c r="N6550">
        <v>0</v>
      </c>
      <c r="O6550">
        <v>-3.5608420000000002E-2</v>
      </c>
      <c r="P6550">
        <v>0.99664180000000002</v>
      </c>
      <c r="Q6550">
        <v>-3.1760129999999998E-2</v>
      </c>
      <c r="R6550">
        <v>-7.5479060000000001E-2</v>
      </c>
      <c r="S6550">
        <v>2.9434969999999998</v>
      </c>
      <c r="T6550">
        <v>-0.78366550000000001</v>
      </c>
      <c r="U6550">
        <v>-0.54217530000000003</v>
      </c>
      <c r="V6550">
        <v>3.9993229999999998E-2</v>
      </c>
      <c r="W6550">
        <v>-1.7865019999999999E-2</v>
      </c>
      <c r="X6550">
        <v>0.99904020000000004</v>
      </c>
      <c r="Y6550">
        <v>0.14241470000000001</v>
      </c>
      <c r="Z6550">
        <v>-9.249607E-3</v>
      </c>
      <c r="AA6550">
        <v>0.98976390000000003</v>
      </c>
      <c r="AB6550">
        <v>23</v>
      </c>
      <c r="AC6550">
        <v>0.53350000000000297</v>
      </c>
      <c r="AD6550">
        <v>-0.18328069999999899</v>
      </c>
      <c r="AE6550">
        <v>-0.12294999999999499</v>
      </c>
      <c r="AF6550">
        <v>9.3405178073831002E-2</v>
      </c>
      <c r="AG6550">
        <v>-0.18328069999999899</v>
      </c>
      <c r="AH6550">
        <v>0.48336881404017301</v>
      </c>
      <c r="AI6550">
        <v>110.41962254302901</v>
      </c>
      <c r="AJ6550">
        <v>79.0630851943735</v>
      </c>
      <c r="AK6550">
        <v>0.52532061892723902</v>
      </c>
      <c r="AL6550">
        <v>91.0236447341629</v>
      </c>
      <c r="AM6550">
        <v>87.707579308909104</v>
      </c>
      <c r="AN6550">
        <v>0.99999996930073598</v>
      </c>
    </row>
    <row r="6551" spans="1:40" x14ac:dyDescent="0.25">
      <c r="A6551" t="str">
        <f>"20190312155005709"</f>
        <v>20190312155005709</v>
      </c>
      <c r="B6551" t="str">
        <f>"1552377005702832"</f>
        <v>1552377005702832</v>
      </c>
      <c r="C6551" t="s">
        <v>40</v>
      </c>
      <c r="D6551">
        <v>4.505827</v>
      </c>
      <c r="E6551">
        <v>0.54344869999999901</v>
      </c>
      <c r="F6551" t="s">
        <v>41</v>
      </c>
      <c r="G6551">
        <v>-257.9819</v>
      </c>
      <c r="H6551">
        <v>0.91589259999999995</v>
      </c>
      <c r="I6551">
        <v>-61.753520000000002</v>
      </c>
      <c r="J6551">
        <v>-258.60480000000001</v>
      </c>
      <c r="K6551">
        <v>1.1111420000000001</v>
      </c>
      <c r="L6551">
        <v>-61.622039999999998</v>
      </c>
      <c r="M6551">
        <v>0.99930469999999905</v>
      </c>
      <c r="N6551">
        <v>0</v>
      </c>
      <c r="O6551">
        <v>-3.4646950000000003E-2</v>
      </c>
      <c r="P6551">
        <v>0.99671860000000001</v>
      </c>
      <c r="Q6551">
        <v>-3.1571920000000003E-2</v>
      </c>
      <c r="R6551">
        <v>-7.4535970000000007E-2</v>
      </c>
      <c r="S6551">
        <v>2.9444270000000001</v>
      </c>
      <c r="T6551">
        <v>-0.78257790000000005</v>
      </c>
      <c r="U6551">
        <v>-0.53793329999999995</v>
      </c>
      <c r="V6551">
        <v>4.0007109999999999E-2</v>
      </c>
      <c r="W6551">
        <v>-1.7682509999999999E-2</v>
      </c>
      <c r="X6551">
        <v>0.99904289999999996</v>
      </c>
      <c r="Y6551">
        <v>0.1419261</v>
      </c>
      <c r="Z6551">
        <v>-9.4208980000000005E-3</v>
      </c>
      <c r="AA6551">
        <v>0.98983239999999995</v>
      </c>
      <c r="AB6551">
        <v>23</v>
      </c>
      <c r="AC6551">
        <v>0.622900000000015</v>
      </c>
      <c r="AD6551">
        <v>-0.19524939999999999</v>
      </c>
      <c r="AE6551">
        <v>-0.13147999999998899</v>
      </c>
      <c r="AF6551">
        <v>0.100375903013336</v>
      </c>
      <c r="AG6551">
        <v>-0.19524939999999999</v>
      </c>
      <c r="AH6551">
        <v>0.57316864370336396</v>
      </c>
      <c r="AI6551">
        <v>108.54880046896</v>
      </c>
      <c r="AJ6551">
        <v>80.066830287780405</v>
      </c>
      <c r="AK6551">
        <v>0.61377515771726698</v>
      </c>
      <c r="AL6551">
        <v>91.013186020149604</v>
      </c>
      <c r="AM6551">
        <v>87.7067907445212</v>
      </c>
      <c r="AN6551">
        <v>0.99999997802542995</v>
      </c>
    </row>
    <row r="6552" spans="1:40" x14ac:dyDescent="0.25">
      <c r="A6552" t="str">
        <f>"20190312155005720"</f>
        <v>20190312155005720</v>
      </c>
      <c r="B6552" t="str">
        <f>"1552377005712592"</f>
        <v>1552377005712592</v>
      </c>
      <c r="C6552" t="s">
        <v>40</v>
      </c>
      <c r="D6552">
        <v>4.4744729999999997</v>
      </c>
      <c r="E6552">
        <v>0.54340129999999998</v>
      </c>
      <c r="F6552" t="s">
        <v>41</v>
      </c>
      <c r="G6552">
        <v>-257.78480000000002</v>
      </c>
      <c r="H6552">
        <v>0.893503099999999</v>
      </c>
      <c r="I6552">
        <v>-61.771410000000003</v>
      </c>
      <c r="J6552">
        <v>-258.4889</v>
      </c>
      <c r="K6552">
        <v>1.111111</v>
      </c>
      <c r="L6552">
        <v>-61.624940000000002</v>
      </c>
      <c r="M6552">
        <v>0.99933780000000005</v>
      </c>
      <c r="N6552">
        <v>0</v>
      </c>
      <c r="O6552">
        <v>-3.368049E-2</v>
      </c>
      <c r="P6552">
        <v>0.99678639999999996</v>
      </c>
      <c r="Q6552">
        <v>-3.1424279999999999E-2</v>
      </c>
      <c r="R6552">
        <v>-7.3686989999999994E-2</v>
      </c>
      <c r="S6552">
        <v>2.9451450000000001</v>
      </c>
      <c r="T6552">
        <v>-0.78182600000000002</v>
      </c>
      <c r="U6552">
        <v>-0.53527829999999998</v>
      </c>
      <c r="V6552">
        <v>4.0120450000000002E-2</v>
      </c>
      <c r="W6552">
        <v>-1.754066E-2</v>
      </c>
      <c r="X6552">
        <v>0.99904090000000001</v>
      </c>
      <c r="Y6552">
        <v>0.1419511</v>
      </c>
      <c r="Z6552">
        <v>-9.6636540000000007E-3</v>
      </c>
      <c r="AA6552">
        <v>0.98982650000000005</v>
      </c>
      <c r="AB6552">
        <v>23</v>
      </c>
      <c r="AC6552">
        <v>0.70409999999998196</v>
      </c>
      <c r="AD6552">
        <v>-0.21760789999999999</v>
      </c>
      <c r="AE6552">
        <v>-0.14646999999999299</v>
      </c>
      <c r="AF6552">
        <v>0.112381145089487</v>
      </c>
      <c r="AG6552">
        <v>-0.21760789999999999</v>
      </c>
      <c r="AH6552">
        <v>0.64919686897863504</v>
      </c>
      <c r="AI6552">
        <v>108.277530658467</v>
      </c>
      <c r="AJ6552">
        <v>80.1789728519378</v>
      </c>
      <c r="AK6552">
        <v>0.69385826694339903</v>
      </c>
      <c r="AL6552">
        <v>91.005057308144899</v>
      </c>
      <c r="AM6552">
        <v>87.700296457346894</v>
      </c>
      <c r="AN6552">
        <v>1.00000002256712</v>
      </c>
    </row>
    <row r="6553" spans="1:40" x14ac:dyDescent="0.25">
      <c r="A6553" t="str">
        <f>"20190312155005732"</f>
        <v>20190312155005732</v>
      </c>
      <c r="B6553" t="str">
        <f>"1552377005722352"</f>
        <v>1552377005722352</v>
      </c>
      <c r="C6553" t="s">
        <v>40</v>
      </c>
      <c r="D6553">
        <v>4.4572669999999999</v>
      </c>
      <c r="E6553">
        <v>0.54338489999999995</v>
      </c>
      <c r="F6553" t="s">
        <v>41</v>
      </c>
      <c r="G6553">
        <v>-257.77289999999999</v>
      </c>
      <c r="H6553">
        <v>0.92118040000000001</v>
      </c>
      <c r="I6553">
        <v>-61.754759999999997</v>
      </c>
      <c r="J6553">
        <v>-258.37700000000001</v>
      </c>
      <c r="K6553">
        <v>1.1110799999999901</v>
      </c>
      <c r="L6553">
        <v>-61.627690000000001</v>
      </c>
      <c r="M6553">
        <v>0.99936800000000003</v>
      </c>
      <c r="N6553">
        <v>0</v>
      </c>
      <c r="O6553">
        <v>-3.2772330000000002E-2</v>
      </c>
      <c r="P6553">
        <v>0.99685080000000004</v>
      </c>
      <c r="Q6553">
        <v>-3.1181130000000001E-2</v>
      </c>
      <c r="R6553">
        <v>-7.2914670000000001E-2</v>
      </c>
      <c r="S6553">
        <v>2.9456790000000002</v>
      </c>
      <c r="T6553">
        <v>-0.78159809999999996</v>
      </c>
      <c r="U6553">
        <v>-0.53274540000000004</v>
      </c>
      <c r="V6553">
        <v>4.0251870000000002E-2</v>
      </c>
      <c r="W6553">
        <v>-1.7303099999999998E-2</v>
      </c>
      <c r="X6553">
        <v>0.99903969999999997</v>
      </c>
      <c r="Y6553">
        <v>0.14196610000000001</v>
      </c>
      <c r="Z6553">
        <v>-9.8965149999999998E-3</v>
      </c>
      <c r="AA6553">
        <v>0.98982199999999998</v>
      </c>
      <c r="AB6553">
        <v>23</v>
      </c>
      <c r="AC6553">
        <v>0.60410000000001596</v>
      </c>
      <c r="AD6553">
        <v>-0.189899599999999</v>
      </c>
      <c r="AE6553">
        <v>-0.12706999999999599</v>
      </c>
      <c r="AF6553">
        <v>9.7934562644571899E-2</v>
      </c>
      <c r="AG6553">
        <v>-0.189899599999999</v>
      </c>
      <c r="AH6553">
        <v>0.55538431878161099</v>
      </c>
      <c r="AI6553">
        <v>108.609898178976</v>
      </c>
      <c r="AJ6553">
        <v>79.999467458443604</v>
      </c>
      <c r="AK6553">
        <v>0.59506703671860095</v>
      </c>
      <c r="AL6553">
        <v>90.991444112770907</v>
      </c>
      <c r="AM6553">
        <v>87.692768824352697</v>
      </c>
      <c r="AN6553">
        <v>0.99999996624209697</v>
      </c>
    </row>
    <row r="6554" spans="1:40" x14ac:dyDescent="0.25">
      <c r="A6554" t="str">
        <f>"20190312155005742"</f>
        <v>20190312155005742</v>
      </c>
      <c r="B6554" t="str">
        <f>"1552377005732113"</f>
        <v>1552377005732113</v>
      </c>
      <c r="C6554" t="s">
        <v>40</v>
      </c>
      <c r="D6554">
        <v>4.4688019999999904</v>
      </c>
      <c r="E6554">
        <v>0.54333569999999998</v>
      </c>
      <c r="F6554" t="s">
        <v>41</v>
      </c>
      <c r="G6554">
        <v>-257.5761</v>
      </c>
      <c r="H6554">
        <v>0.89872260000000004</v>
      </c>
      <c r="I6554">
        <v>-61.77205</v>
      </c>
      <c r="J6554">
        <v>-258.25560000000002</v>
      </c>
      <c r="K6554">
        <v>1.1110469999999999</v>
      </c>
      <c r="L6554">
        <v>-61.630549999999999</v>
      </c>
      <c r="M6554">
        <v>0.99939900000000004</v>
      </c>
      <c r="N6554">
        <v>0</v>
      </c>
      <c r="O6554">
        <v>-3.1809369999999997E-2</v>
      </c>
      <c r="P6554">
        <v>0.99691649999999998</v>
      </c>
      <c r="Q6554">
        <v>-3.091402E-2</v>
      </c>
      <c r="R6554">
        <v>-7.2123939999999997E-2</v>
      </c>
      <c r="S6554">
        <v>2.9462280000000001</v>
      </c>
      <c r="T6554">
        <v>-0.78131790000000001</v>
      </c>
      <c r="U6554">
        <v>-0.53060909999999994</v>
      </c>
      <c r="V6554">
        <v>4.0419730000000001E-2</v>
      </c>
      <c r="W6554">
        <v>-1.704205E-2</v>
      </c>
      <c r="X6554">
        <v>0.99903739999999996</v>
      </c>
      <c r="Y6554">
        <v>0.14215659999999999</v>
      </c>
      <c r="Z6554">
        <v>-1.0165240000000001E-2</v>
      </c>
      <c r="AA6554">
        <v>0.98979200000000001</v>
      </c>
      <c r="AB6554">
        <v>23</v>
      </c>
      <c r="AC6554">
        <v>0.67950000000001798</v>
      </c>
      <c r="AD6554">
        <v>-0.212324399999999</v>
      </c>
      <c r="AE6554">
        <v>-0.14149999999999999</v>
      </c>
      <c r="AF6554">
        <v>0.109559263842492</v>
      </c>
      <c r="AG6554">
        <v>-0.212324399999999</v>
      </c>
      <c r="AH6554">
        <v>0.62515525697704599</v>
      </c>
      <c r="AI6554">
        <v>108.496954433103</v>
      </c>
      <c r="AJ6554">
        <v>80.059785189117505</v>
      </c>
      <c r="AK6554">
        <v>0.66925628757233602</v>
      </c>
      <c r="AL6554">
        <v>90.976484852784097</v>
      </c>
      <c r="AM6554">
        <v>87.683152249392506</v>
      </c>
      <c r="AN6554">
        <v>0.99999995632011596</v>
      </c>
    </row>
    <row r="6555" spans="1:40" x14ac:dyDescent="0.25">
      <c r="A6555" t="str">
        <f>"20190312155005755"</f>
        <v>20190312155005755</v>
      </c>
      <c r="B6555" t="str">
        <f>"1552377005742850"</f>
        <v>1552377005742850</v>
      </c>
      <c r="C6555" t="s">
        <v>40</v>
      </c>
      <c r="D6555">
        <v>4.4270120000000004</v>
      </c>
      <c r="E6555">
        <v>0.54325500000000004</v>
      </c>
      <c r="F6555" t="s">
        <v>41</v>
      </c>
      <c r="G6555">
        <v>-257.5634</v>
      </c>
      <c r="H6555">
        <v>0.92770079999999999</v>
      </c>
      <c r="I6555">
        <v>-61.754739999999998</v>
      </c>
      <c r="J6555">
        <v>-258.1277</v>
      </c>
      <c r="K6555">
        <v>1.111011</v>
      </c>
      <c r="L6555">
        <v>-61.633450000000003</v>
      </c>
      <c r="M6555">
        <v>0.99942949999999997</v>
      </c>
      <c r="N6555">
        <v>0</v>
      </c>
      <c r="O6555">
        <v>-3.0838000000000001E-2</v>
      </c>
      <c r="P6555">
        <v>0.99697329999999995</v>
      </c>
      <c r="Q6555">
        <v>-3.0653529999999998E-2</v>
      </c>
      <c r="R6555">
        <v>-7.1446449999999995E-2</v>
      </c>
      <c r="S6555">
        <v>2.9468380000000001</v>
      </c>
      <c r="T6555">
        <v>-0.78058059999999996</v>
      </c>
      <c r="U6555">
        <v>-0.5280762</v>
      </c>
      <c r="V6555">
        <v>4.0709099999999998E-2</v>
      </c>
      <c r="W6555">
        <v>-1.6787980000000001E-2</v>
      </c>
      <c r="X6555">
        <v>0.99902999999999997</v>
      </c>
      <c r="Y6555">
        <v>0.14223079999999999</v>
      </c>
      <c r="Z6555">
        <v>-1.041487E-2</v>
      </c>
      <c r="AA6555">
        <v>0.98977879999999996</v>
      </c>
      <c r="AB6555">
        <v>23</v>
      </c>
      <c r="AC6555">
        <v>0.56430000000000202</v>
      </c>
      <c r="AD6555">
        <v>-0.18331020000000001</v>
      </c>
      <c r="AE6555">
        <v>-0.12129000000000099</v>
      </c>
      <c r="AF6555">
        <v>9.4315653619333403E-2</v>
      </c>
      <c r="AG6555">
        <v>-0.18331020000000001</v>
      </c>
      <c r="AH6555">
        <v>0.51575119806841196</v>
      </c>
      <c r="AI6555">
        <v>109.27094133493</v>
      </c>
      <c r="AJ6555">
        <v>79.636803135341196</v>
      </c>
      <c r="AK6555">
        <v>0.55542539575597805</v>
      </c>
      <c r="AL6555">
        <v>90.9619255845666</v>
      </c>
      <c r="AM6555">
        <v>87.666566645169894</v>
      </c>
      <c r="AN6555">
        <v>1.00000000399764</v>
      </c>
    </row>
    <row r="6556" spans="1:40" x14ac:dyDescent="0.25">
      <c r="A6556" t="str">
        <f>"20190312155005768"</f>
        <v>20190312155005768</v>
      </c>
      <c r="B6556" t="str">
        <f>"1552377005762368"</f>
        <v>1552377005762368</v>
      </c>
      <c r="C6556" t="s">
        <v>40</v>
      </c>
      <c r="D6556">
        <v>4.4292429999999996</v>
      </c>
      <c r="E6556">
        <v>0.54310190000000003</v>
      </c>
      <c r="F6556" t="s">
        <v>41</v>
      </c>
      <c r="G6556">
        <v>-257.36529999999999</v>
      </c>
      <c r="H6556">
        <v>0.9093987</v>
      </c>
      <c r="I6556">
        <v>-61.769599999999997</v>
      </c>
      <c r="J6556">
        <v>-257.99950000000001</v>
      </c>
      <c r="K6556">
        <v>1.1109739999999999</v>
      </c>
      <c r="L6556">
        <v>-61.63635</v>
      </c>
      <c r="M6556">
        <v>0.99945859999999997</v>
      </c>
      <c r="N6556">
        <v>0</v>
      </c>
      <c r="O6556">
        <v>-2.988524E-2</v>
      </c>
      <c r="P6556">
        <v>0.99703269999999999</v>
      </c>
      <c r="Q6556">
        <v>-3.064339E-2</v>
      </c>
      <c r="R6556">
        <v>-7.0618920000000002E-2</v>
      </c>
      <c r="S6556">
        <v>2.947479</v>
      </c>
      <c r="T6556">
        <v>-0.77947909999999998</v>
      </c>
      <c r="U6556">
        <v>-0.52551269999999894</v>
      </c>
      <c r="V6556">
        <v>4.083055E-2</v>
      </c>
      <c r="W6556">
        <v>-1.6784790000000001E-2</v>
      </c>
      <c r="X6556">
        <v>0.9990251</v>
      </c>
      <c r="Y6556">
        <v>0.14227999999999999</v>
      </c>
      <c r="Z6556">
        <v>-1.0651040000000001E-2</v>
      </c>
      <c r="AA6556">
        <v>0.98976920000000002</v>
      </c>
      <c r="AB6556">
        <v>23</v>
      </c>
      <c r="AC6556">
        <v>0.63420000000002097</v>
      </c>
      <c r="AD6556">
        <v>-0.20157529999999901</v>
      </c>
      <c r="AE6556">
        <v>-0.13324999999999601</v>
      </c>
      <c r="AF6556">
        <v>0.104157936206764</v>
      </c>
      <c r="AG6556">
        <v>-0.20157529999999901</v>
      </c>
      <c r="AH6556">
        <v>0.581625636413859</v>
      </c>
      <c r="AI6556">
        <v>108.83682675391999</v>
      </c>
      <c r="AJ6556">
        <v>79.847052474122407</v>
      </c>
      <c r="AK6556">
        <v>0.62431551172365496</v>
      </c>
      <c r="AL6556">
        <v>90.961742782665794</v>
      </c>
      <c r="AM6556">
        <v>87.659601430891598</v>
      </c>
      <c r="AN6556">
        <v>1.00000000670932</v>
      </c>
    </row>
    <row r="6557" spans="1:40" x14ac:dyDescent="0.25">
      <c r="A6557" t="str">
        <f>"20190312155005779"</f>
        <v>20190312155005779</v>
      </c>
      <c r="B6557" t="str">
        <f>"1552377005772128"</f>
        <v>1552377005772128</v>
      </c>
      <c r="C6557" t="s">
        <v>40</v>
      </c>
      <c r="D6557">
        <v>4.4496520000000004</v>
      </c>
      <c r="E6557">
        <v>0.54308159999999905</v>
      </c>
      <c r="F6557" t="s">
        <v>41</v>
      </c>
      <c r="G6557">
        <v>-257.1671</v>
      </c>
      <c r="H6557">
        <v>0.89090800000000003</v>
      </c>
      <c r="I6557">
        <v>-61.783749999999998</v>
      </c>
      <c r="J6557">
        <v>-257.87209999999999</v>
      </c>
      <c r="K6557">
        <v>1.1109370000000001</v>
      </c>
      <c r="L6557">
        <v>-61.639069999999997</v>
      </c>
      <c r="M6557">
        <v>0.99948519999999996</v>
      </c>
      <c r="N6557">
        <v>0</v>
      </c>
      <c r="O6557">
        <v>-2.89827E-2</v>
      </c>
      <c r="P6557">
        <v>0.99709669999999895</v>
      </c>
      <c r="Q6557">
        <v>-3.0247670000000001E-2</v>
      </c>
      <c r="R6557">
        <v>-6.9884000000000002E-2</v>
      </c>
      <c r="S6557">
        <v>2.948029</v>
      </c>
      <c r="T6557">
        <v>-0.77949380000000001</v>
      </c>
      <c r="U6557">
        <v>-0.52194209999999996</v>
      </c>
      <c r="V6557">
        <v>4.0993189999999999E-2</v>
      </c>
      <c r="W6557">
        <v>-1.639585E-2</v>
      </c>
      <c r="X6557">
        <v>0.99902489999999999</v>
      </c>
      <c r="Y6557">
        <v>0.14196</v>
      </c>
      <c r="Z6557">
        <v>-1.084163E-2</v>
      </c>
      <c r="AA6557">
        <v>0.98981300000000005</v>
      </c>
      <c r="AB6557">
        <v>23</v>
      </c>
      <c r="AC6557">
        <v>0.70499999999998397</v>
      </c>
      <c r="AD6557">
        <v>-0.220029</v>
      </c>
      <c r="AE6557">
        <v>-0.144680000000001</v>
      </c>
      <c r="AF6557">
        <v>0.11356930460204601</v>
      </c>
      <c r="AG6557">
        <v>-0.220029</v>
      </c>
      <c r="AH6557">
        <v>0.64830153848426497</v>
      </c>
      <c r="AI6557">
        <v>108.484896633817</v>
      </c>
      <c r="AJ6557">
        <v>80.063761642698296</v>
      </c>
      <c r="AK6557">
        <v>0.69397812111755897</v>
      </c>
      <c r="AL6557">
        <v>90.939455093388503</v>
      </c>
      <c r="AM6557">
        <v>87.650288898692807</v>
      </c>
      <c r="AN6557">
        <v>1.0000000081717999</v>
      </c>
    </row>
    <row r="6558" spans="1:40" x14ac:dyDescent="0.25">
      <c r="A6558" t="str">
        <f>"20190312155005801"</f>
        <v>20190312155005801</v>
      </c>
      <c r="B6558" t="str">
        <f>"1552377005792624"</f>
        <v>1552377005792624</v>
      </c>
      <c r="C6558" t="s">
        <v>40</v>
      </c>
      <c r="D6558">
        <v>4.389672</v>
      </c>
      <c r="E6558">
        <v>0.54302689999999998</v>
      </c>
      <c r="F6558" t="s">
        <v>41</v>
      </c>
      <c r="G6558">
        <v>-257.15410000000003</v>
      </c>
      <c r="H6558">
        <v>0.92135849999999997</v>
      </c>
      <c r="I6558">
        <v>-61.765680000000003</v>
      </c>
      <c r="J6558">
        <v>-257.66370000000001</v>
      </c>
      <c r="K6558">
        <v>1.1108789999999999</v>
      </c>
      <c r="L6558">
        <v>-61.6434</v>
      </c>
      <c r="M6558">
        <v>0.9995252</v>
      </c>
      <c r="N6558">
        <v>0</v>
      </c>
      <c r="O6558">
        <v>-2.7570919999999999E-2</v>
      </c>
      <c r="P6558">
        <v>0.997224</v>
      </c>
      <c r="Q6558">
        <v>-2.8934319999999999E-2</v>
      </c>
      <c r="R6558">
        <v>-6.8611359999999996E-2</v>
      </c>
      <c r="S6558">
        <v>2.948715</v>
      </c>
      <c r="T6558">
        <v>-0.77861759999999902</v>
      </c>
      <c r="U6558">
        <v>-0.51986690000000002</v>
      </c>
      <c r="V6558">
        <v>4.112263E-2</v>
      </c>
      <c r="W6558">
        <v>-1.509375E-2</v>
      </c>
      <c r="X6558">
        <v>0.99904009999999999</v>
      </c>
      <c r="Y6558">
        <v>0.14258390000000001</v>
      </c>
      <c r="Z6558">
        <v>-1.127176E-2</v>
      </c>
      <c r="AA6558">
        <v>0.9897186</v>
      </c>
      <c r="AB6558">
        <v>23</v>
      </c>
      <c r="AC6558">
        <v>0.50959999999997696</v>
      </c>
      <c r="AD6558">
        <v>-0.18952050000000001</v>
      </c>
      <c r="AE6558">
        <v>-0.122280000000003</v>
      </c>
      <c r="AF6558">
        <v>9.56702758805444E-2</v>
      </c>
      <c r="AG6558">
        <v>-0.18952050000000001</v>
      </c>
      <c r="AH6558">
        <v>0.45347275545163002</v>
      </c>
      <c r="AI6558">
        <v>112.241118430664</v>
      </c>
      <c r="AJ6558">
        <v>78.086865262826194</v>
      </c>
      <c r="AK6558">
        <v>0.50070786047774796</v>
      </c>
      <c r="AL6558">
        <v>90.8648410065517</v>
      </c>
      <c r="AM6558">
        <v>87.642913634132697</v>
      </c>
      <c r="AN6558">
        <v>1.00000000669759</v>
      </c>
    </row>
    <row r="6559" spans="1:40" x14ac:dyDescent="0.25">
      <c r="A6559" t="str">
        <f>"20190312155005813"</f>
        <v>20190312155005813</v>
      </c>
      <c r="B6559" t="str">
        <f>"1552377005802384"</f>
        <v>1552377005802384</v>
      </c>
      <c r="C6559" t="s">
        <v>40</v>
      </c>
      <c r="D6559">
        <v>4.435384</v>
      </c>
      <c r="E6559">
        <v>0.54298369999999996</v>
      </c>
      <c r="F6559" t="s">
        <v>41</v>
      </c>
      <c r="G6559">
        <v>-256.9477</v>
      </c>
      <c r="H6559">
        <v>0.92284100000000002</v>
      </c>
      <c r="I6559">
        <v>-61.768799999999999</v>
      </c>
      <c r="J6559">
        <v>-257.54160000000002</v>
      </c>
      <c r="K6559">
        <v>1.1108420000000001</v>
      </c>
      <c r="L6559">
        <v>-61.64584</v>
      </c>
      <c r="M6559">
        <v>0.99954659999999995</v>
      </c>
      <c r="N6559">
        <v>0</v>
      </c>
      <c r="O6559">
        <v>-2.6788659999999999E-2</v>
      </c>
      <c r="P6559">
        <v>0.99728559999999999</v>
      </c>
      <c r="Q6559">
        <v>-2.8347529999999999E-2</v>
      </c>
      <c r="R6559">
        <v>-6.7959220000000001E-2</v>
      </c>
      <c r="S6559">
        <v>2.9503170000000001</v>
      </c>
      <c r="T6559">
        <v>-0.774823699999999</v>
      </c>
      <c r="U6559">
        <v>-0.51638790000000001</v>
      </c>
      <c r="V6559">
        <v>4.124775E-2</v>
      </c>
      <c r="W6559">
        <v>-1.451359E-2</v>
      </c>
      <c r="X6559">
        <v>0.99904349999999997</v>
      </c>
      <c r="Y6559">
        <v>0.1421616</v>
      </c>
      <c r="Z6559">
        <v>-1.136001E-2</v>
      </c>
      <c r="AA6559">
        <v>0.9897783</v>
      </c>
      <c r="AB6559">
        <v>23</v>
      </c>
      <c r="AC6559">
        <v>0.59390000000001897</v>
      </c>
      <c r="AD6559">
        <v>-0.188001</v>
      </c>
      <c r="AE6559">
        <v>-0.122959999999999</v>
      </c>
      <c r="AF6559">
        <v>9.7624142274481795E-2</v>
      </c>
      <c r="AG6559">
        <v>-0.188001</v>
      </c>
      <c r="AH6559">
        <v>0.54464740772771403</v>
      </c>
      <c r="AI6559">
        <v>108.765934972152</v>
      </c>
      <c r="AJ6559">
        <v>79.838053023338503</v>
      </c>
      <c r="AK6559">
        <v>0.58439340165709197</v>
      </c>
      <c r="AL6559">
        <v>90.831596676092602</v>
      </c>
      <c r="AM6559">
        <v>87.635758109572606</v>
      </c>
      <c r="AN6559">
        <v>0.999999968033499</v>
      </c>
    </row>
    <row r="6560" spans="1:40" x14ac:dyDescent="0.25">
      <c r="A6560" t="str">
        <f>"20190312155005824"</f>
        <v>20190312155005824</v>
      </c>
      <c r="B6560" t="str">
        <f>"1552377005812144"</f>
        <v>1552377005812144</v>
      </c>
      <c r="C6560" t="s">
        <v>40</v>
      </c>
      <c r="D6560">
        <v>4.4014639999999998</v>
      </c>
      <c r="E6560">
        <v>0.54292629999999997</v>
      </c>
      <c r="F6560" t="s">
        <v>41</v>
      </c>
      <c r="G6560">
        <v>-256.75040000000001</v>
      </c>
      <c r="H6560">
        <v>0.90354749999999995</v>
      </c>
      <c r="I6560">
        <v>-61.783740000000002</v>
      </c>
      <c r="J6560">
        <v>-257.41269999999997</v>
      </c>
      <c r="K6560">
        <v>1.110798</v>
      </c>
      <c r="L6560">
        <v>-61.648380000000003</v>
      </c>
      <c r="M6560">
        <v>0.99956769999999995</v>
      </c>
      <c r="N6560">
        <v>0</v>
      </c>
      <c r="O6560">
        <v>-2.5985330000000001E-2</v>
      </c>
      <c r="P6560">
        <v>0.99735750000000001</v>
      </c>
      <c r="Q6560">
        <v>-2.7849579999999999E-2</v>
      </c>
      <c r="R6560">
        <v>-6.7099710000000007E-2</v>
      </c>
      <c r="S6560">
        <v>2.9511409999999998</v>
      </c>
      <c r="T6560">
        <v>-0.77325630000000001</v>
      </c>
      <c r="U6560">
        <v>-0.51425169999999998</v>
      </c>
      <c r="V6560">
        <v>4.1186889999999997E-2</v>
      </c>
      <c r="W6560">
        <v>-1.4022990000000001E-2</v>
      </c>
      <c r="X6560">
        <v>0.99905310000000003</v>
      </c>
      <c r="Y6560">
        <v>0.1422032</v>
      </c>
      <c r="Z6560">
        <v>-1.1545969999999999E-2</v>
      </c>
      <c r="AA6560">
        <v>0.98977009999999999</v>
      </c>
      <c r="AB6560">
        <v>23</v>
      </c>
      <c r="AC6560">
        <v>0.66229999999995903</v>
      </c>
      <c r="AD6560">
        <v>-0.207250499999999</v>
      </c>
      <c r="AE6560">
        <v>-0.13535999999999801</v>
      </c>
      <c r="AF6560">
        <v>0.10795520944352099</v>
      </c>
      <c r="AG6560">
        <v>-0.207250499999999</v>
      </c>
      <c r="AH6560">
        <v>0.60840624550863698</v>
      </c>
      <c r="AI6560">
        <v>108.541749734359</v>
      </c>
      <c r="AJ6560">
        <v>79.938199467294695</v>
      </c>
      <c r="AK6560">
        <v>0.65174017566063902</v>
      </c>
      <c r="AL6560">
        <v>90.803484437566397</v>
      </c>
      <c r="AM6560">
        <v>87.639265197405095</v>
      </c>
      <c r="AN6560">
        <v>1.000000050388</v>
      </c>
    </row>
    <row r="6561" spans="1:40" x14ac:dyDescent="0.25">
      <c r="A6561" t="str">
        <f>"20190312155005836"</f>
        <v>20190312155005836</v>
      </c>
      <c r="B6561" t="str">
        <f>"1552377005821905"</f>
        <v>1552377005821905</v>
      </c>
      <c r="C6561" t="s">
        <v>40</v>
      </c>
      <c r="D6561">
        <v>4.4006030000000003</v>
      </c>
      <c r="E6561">
        <v>0.5429003</v>
      </c>
      <c r="F6561" t="s">
        <v>41</v>
      </c>
      <c r="G6561">
        <v>-256.73680000000002</v>
      </c>
      <c r="H6561">
        <v>0.93408139999999995</v>
      </c>
      <c r="I6561">
        <v>-61.765610000000002</v>
      </c>
      <c r="J6561">
        <v>-257.29590000000002</v>
      </c>
      <c r="K6561">
        <v>1.1107610000000001</v>
      </c>
      <c r="L6561">
        <v>-61.650570000000002</v>
      </c>
      <c r="M6561">
        <v>0.99958519999999895</v>
      </c>
      <c r="N6561">
        <v>0</v>
      </c>
      <c r="O6561">
        <v>-2.530903E-2</v>
      </c>
      <c r="P6561">
        <v>0.99743559999999998</v>
      </c>
      <c r="Q6561">
        <v>-2.7149659999999999E-2</v>
      </c>
      <c r="R6561">
        <v>-6.6222799999999998E-2</v>
      </c>
      <c r="S6561">
        <v>2.951965</v>
      </c>
      <c r="T6561">
        <v>-0.77179489999999995</v>
      </c>
      <c r="U6561">
        <v>-0.51181030000000005</v>
      </c>
      <c r="V6561">
        <v>4.0981150000000001E-2</v>
      </c>
      <c r="W6561">
        <v>-1.3329830000000001E-2</v>
      </c>
      <c r="X6561">
        <v>0.99907100000000004</v>
      </c>
      <c r="Y6561">
        <v>0.1420303</v>
      </c>
      <c r="Z6561">
        <v>-1.167291E-2</v>
      </c>
      <c r="AA6561">
        <v>0.98979349999999999</v>
      </c>
      <c r="AB6561">
        <v>23</v>
      </c>
      <c r="AC6561">
        <v>0.55910000000000004</v>
      </c>
      <c r="AD6561">
        <v>-0.17667959999999999</v>
      </c>
      <c r="AE6561">
        <v>-0.11504</v>
      </c>
      <c r="AF6561">
        <v>9.2034237209030798E-2</v>
      </c>
      <c r="AG6561">
        <v>-0.17667959999999999</v>
      </c>
      <c r="AH6561">
        <v>0.51271254922188103</v>
      </c>
      <c r="AI6561">
        <v>108.73573570854199</v>
      </c>
      <c r="AJ6561">
        <v>79.823524772080106</v>
      </c>
      <c r="AK6561">
        <v>0.55005467001417896</v>
      </c>
      <c r="AL6561">
        <v>90.763765619179196</v>
      </c>
      <c r="AM6561">
        <v>87.651086522045603</v>
      </c>
      <c r="AN6561">
        <v>1.00000000103207</v>
      </c>
    </row>
    <row r="6562" spans="1:40" x14ac:dyDescent="0.25">
      <c r="A6562" t="str">
        <f>"20190312155005849"</f>
        <v>20190312155005849</v>
      </c>
      <c r="B6562" t="str">
        <f>"1552377005842401"</f>
        <v>1552377005842401</v>
      </c>
      <c r="C6562" t="s">
        <v>40</v>
      </c>
      <c r="D6562">
        <v>4.3654299999999999</v>
      </c>
      <c r="E6562">
        <v>0.54278800000000005</v>
      </c>
      <c r="F6562" t="s">
        <v>41</v>
      </c>
      <c r="G6562">
        <v>-256.54070000000002</v>
      </c>
      <c r="H6562">
        <v>0.91388939999999996</v>
      </c>
      <c r="I6562">
        <v>-61.780929999999998</v>
      </c>
      <c r="J6562">
        <v>-257.16739999999999</v>
      </c>
      <c r="K6562">
        <v>1.1107199999999999</v>
      </c>
      <c r="L6562">
        <v>-61.653019999999998</v>
      </c>
      <c r="M6562">
        <v>0.99960329999999997</v>
      </c>
      <c r="N6562">
        <v>0</v>
      </c>
      <c r="O6562">
        <v>-2.4584760000000001E-2</v>
      </c>
      <c r="P6562">
        <v>0.99749390000000004</v>
      </c>
      <c r="Q6562">
        <v>-2.6696029999999999E-2</v>
      </c>
      <c r="R6562">
        <v>-6.5526780000000007E-2</v>
      </c>
      <c r="S6562">
        <v>2.9529269999999999</v>
      </c>
      <c r="T6562">
        <v>-0.7698718</v>
      </c>
      <c r="U6562">
        <v>-0.50918580000000002</v>
      </c>
      <c r="V6562">
        <v>4.1005529999999998E-2</v>
      </c>
      <c r="W6562">
        <v>-1.28834E-2</v>
      </c>
      <c r="X6562">
        <v>0.99907579999999996</v>
      </c>
      <c r="Y6562">
        <v>0.14184150000000001</v>
      </c>
      <c r="Z6562">
        <v>-1.1802119999999999E-2</v>
      </c>
      <c r="AA6562">
        <v>0.989819</v>
      </c>
      <c r="AB6562">
        <v>23</v>
      </c>
      <c r="AC6562">
        <v>0.62669999999997095</v>
      </c>
      <c r="AD6562">
        <v>-0.19683059999999999</v>
      </c>
      <c r="AE6562">
        <v>-0.12791000000000699</v>
      </c>
      <c r="AF6562">
        <v>0.10273390700410601</v>
      </c>
      <c r="AG6562">
        <v>-0.19683059999999999</v>
      </c>
      <c r="AH6562">
        <v>0.57518644202619795</v>
      </c>
      <c r="AI6562">
        <v>108.617228337952</v>
      </c>
      <c r="AJ6562">
        <v>79.873200515834398</v>
      </c>
      <c r="AK6562">
        <v>0.61655168788629899</v>
      </c>
      <c r="AL6562">
        <v>90.738184908377093</v>
      </c>
      <c r="AM6562">
        <v>87.649701981274404</v>
      </c>
      <c r="AN6562">
        <v>0.99999994481588805</v>
      </c>
    </row>
    <row r="6563" spans="1:40" x14ac:dyDescent="0.25">
      <c r="A6563" t="str">
        <f>"20190312155005859"</f>
        <v>20190312155005859</v>
      </c>
      <c r="B6563" t="str">
        <f>"1552377005852160"</f>
        <v>1552377005852160</v>
      </c>
      <c r="C6563" t="s">
        <v>40</v>
      </c>
      <c r="D6563">
        <v>4.3756700000000004</v>
      </c>
      <c r="E6563">
        <v>0.54278800000000005</v>
      </c>
      <c r="F6563" t="s">
        <v>41</v>
      </c>
      <c r="G6563">
        <v>-256.34300000000002</v>
      </c>
      <c r="H6563">
        <v>0.89619680000000002</v>
      </c>
      <c r="I6563">
        <v>-61.794490000000003</v>
      </c>
      <c r="J6563">
        <v>-257.05540000000002</v>
      </c>
      <c r="K6563">
        <v>1.110684</v>
      </c>
      <c r="L6563">
        <v>-61.655029999999996</v>
      </c>
      <c r="M6563">
        <v>0.9996178</v>
      </c>
      <c r="N6563">
        <v>0</v>
      </c>
      <c r="O6563">
        <v>-2.3991309999999998E-2</v>
      </c>
      <c r="P6563">
        <v>0.99755579999999999</v>
      </c>
      <c r="Q6563">
        <v>-2.6462650000000001E-2</v>
      </c>
      <c r="R6563">
        <v>-6.4673449999999993E-2</v>
      </c>
      <c r="S6563">
        <v>2.9537049999999998</v>
      </c>
      <c r="T6563">
        <v>-0.76872050000000003</v>
      </c>
      <c r="U6563">
        <v>-0.5063782</v>
      </c>
      <c r="V6563">
        <v>4.0742220000000003E-2</v>
      </c>
      <c r="W6563">
        <v>-1.2656870000000001E-2</v>
      </c>
      <c r="X6563">
        <v>0.99908949999999996</v>
      </c>
      <c r="Y6563">
        <v>0.1414762</v>
      </c>
      <c r="Z6563">
        <v>-1.188721E-2</v>
      </c>
      <c r="AA6563">
        <v>0.98987029999999998</v>
      </c>
      <c r="AB6563">
        <v>23</v>
      </c>
      <c r="AC6563">
        <v>0.71240000000000203</v>
      </c>
      <c r="AD6563">
        <v>-0.21448719999999899</v>
      </c>
      <c r="AE6563">
        <v>-0.139459999999999</v>
      </c>
      <c r="AF6563">
        <v>0.112504954355439</v>
      </c>
      <c r="AG6563">
        <v>-0.21448719999999899</v>
      </c>
      <c r="AH6563">
        <v>0.65808877626836304</v>
      </c>
      <c r="AI6563">
        <v>107.810318748177</v>
      </c>
      <c r="AJ6563">
        <v>80.298665157630296</v>
      </c>
      <c r="AK6563">
        <v>0.70124386711667697</v>
      </c>
      <c r="AL6563">
        <v>90.725204612978899</v>
      </c>
      <c r="AM6563">
        <v>87.664809242555094</v>
      </c>
      <c r="AN6563">
        <v>0.99999997692948694</v>
      </c>
    </row>
    <row r="6564" spans="1:40" x14ac:dyDescent="0.25">
      <c r="A6564" t="str">
        <f>"20190312155005871"</f>
        <v>20190312155005871</v>
      </c>
      <c r="B6564" t="str">
        <f>"1552377005862897"</f>
        <v>1552377005862897</v>
      </c>
      <c r="C6564" t="s">
        <v>40</v>
      </c>
      <c r="D6564">
        <v>4.3475929999999998</v>
      </c>
      <c r="E6564">
        <v>0.5259528</v>
      </c>
      <c r="F6564" t="s">
        <v>41</v>
      </c>
      <c r="G6564">
        <v>-256.33179999999999</v>
      </c>
      <c r="H6564">
        <v>0.92258510000000005</v>
      </c>
      <c r="I6564">
        <v>-61.778680000000001</v>
      </c>
      <c r="J6564">
        <v>-256.9391</v>
      </c>
      <c r="K6564">
        <v>1.1106450000000001</v>
      </c>
      <c r="L6564">
        <v>-61.657139999999998</v>
      </c>
      <c r="M6564">
        <v>0.99963170000000001</v>
      </c>
      <c r="N6564">
        <v>0</v>
      </c>
      <c r="O6564">
        <v>-2.3400850000000001E-2</v>
      </c>
      <c r="P6564">
        <v>0.99761120000000003</v>
      </c>
      <c r="Q6564">
        <v>-2.621853E-2</v>
      </c>
      <c r="R6564">
        <v>-6.3912590000000005E-2</v>
      </c>
      <c r="S6564">
        <v>2.9542999999999999</v>
      </c>
      <c r="T6564">
        <v>-0.76794240000000002</v>
      </c>
      <c r="U6564">
        <v>-0.5041504</v>
      </c>
      <c r="V6564">
        <v>4.0568630000000001E-2</v>
      </c>
      <c r="W6564">
        <v>-1.241948E-2</v>
      </c>
      <c r="X6564">
        <v>0.99909959999999998</v>
      </c>
      <c r="Y6564">
        <v>0.14129729999999999</v>
      </c>
      <c r="Z6564">
        <v>-1.2001029999999999E-2</v>
      </c>
      <c r="AA6564">
        <v>0.98989439999999995</v>
      </c>
      <c r="AB6564">
        <v>23</v>
      </c>
      <c r="AC6564">
        <v>0.60730000000000905</v>
      </c>
      <c r="AD6564">
        <v>-0.1880599</v>
      </c>
      <c r="AE6564">
        <v>-0.121539999999995</v>
      </c>
      <c r="AF6564">
        <v>9.8236625260579705E-2</v>
      </c>
      <c r="AG6564">
        <v>-0.1880599</v>
      </c>
      <c r="AH6564">
        <v>0.55848574090269099</v>
      </c>
      <c r="AI6564">
        <v>108.347604431199</v>
      </c>
      <c r="AJ6564">
        <v>80.023829398777096</v>
      </c>
      <c r="AK6564">
        <v>0.59743056778359205</v>
      </c>
      <c r="AL6564">
        <v>90.711602057701597</v>
      </c>
      <c r="AM6564">
        <v>87.674771304295604</v>
      </c>
      <c r="AN6564">
        <v>1.00000003397185</v>
      </c>
    </row>
    <row r="6565" spans="1:40" x14ac:dyDescent="0.25">
      <c r="A6565" t="str">
        <f>"20190312155005881"</f>
        <v>20190312155005881</v>
      </c>
      <c r="B6565" t="str">
        <f>"1552377005872656"</f>
        <v>1552377005872656</v>
      </c>
      <c r="C6565" t="s">
        <v>40</v>
      </c>
      <c r="D6565">
        <v>4.3498869999999998</v>
      </c>
      <c r="E6565">
        <v>0.51885599999999998</v>
      </c>
      <c r="F6565" t="s">
        <v>41</v>
      </c>
      <c r="G6565">
        <v>-256.1139</v>
      </c>
      <c r="H6565">
        <v>0.94996040000000004</v>
      </c>
      <c r="I6565">
        <v>-61.761890000000001</v>
      </c>
      <c r="J6565">
        <v>-256.83049999999997</v>
      </c>
      <c r="K6565">
        <v>1.1106100000000001</v>
      </c>
      <c r="L6565">
        <v>-61.659059999999997</v>
      </c>
      <c r="M6565">
        <v>0.99964390000000003</v>
      </c>
      <c r="N6565">
        <v>0</v>
      </c>
      <c r="O6565">
        <v>-2.2871269999999999E-2</v>
      </c>
      <c r="P6565">
        <v>0.99767189999999994</v>
      </c>
      <c r="Q6565">
        <v>-2.5985359999999999E-2</v>
      </c>
      <c r="R6565">
        <v>-6.3051910000000003E-2</v>
      </c>
      <c r="S6565">
        <v>2.9678960000000001</v>
      </c>
      <c r="T6565">
        <v>-0.57792449999999995</v>
      </c>
      <c r="U6565">
        <v>-0.37619019999999997</v>
      </c>
      <c r="V6565">
        <v>4.0234590000000001E-2</v>
      </c>
      <c r="W6565">
        <v>-1.219255E-2</v>
      </c>
      <c r="X6565">
        <v>0.99911589999999995</v>
      </c>
      <c r="Y6565">
        <v>0.1015684</v>
      </c>
      <c r="Z6565">
        <v>-5.3653569999999899E-3</v>
      </c>
      <c r="AA6565">
        <v>0.99481410000000003</v>
      </c>
      <c r="AB6565">
        <v>23</v>
      </c>
      <c r="AC6565">
        <v>0.71659999999997104</v>
      </c>
      <c r="AD6565">
        <v>-0.1606496</v>
      </c>
      <c r="AE6565">
        <v>-0.102830000000004</v>
      </c>
      <c r="AF6565">
        <v>8.2356431154755605E-2</v>
      </c>
      <c r="AG6565">
        <v>-0.1606496</v>
      </c>
      <c r="AH6565">
        <v>0.68503089314361199</v>
      </c>
      <c r="AI6565">
        <v>103.107091009038</v>
      </c>
      <c r="AJ6565">
        <v>83.144634463132903</v>
      </c>
      <c r="AK6565">
        <v>0.70841950869089099</v>
      </c>
      <c r="AL6565">
        <v>90.698598944277407</v>
      </c>
      <c r="AM6565">
        <v>87.693933942867801</v>
      </c>
      <c r="AN6565">
        <v>1.00000003107038</v>
      </c>
    </row>
    <row r="6566" spans="1:40" x14ac:dyDescent="0.25">
      <c r="A6566" t="str">
        <f>"20190312155005893"</f>
        <v>20190312155005893</v>
      </c>
      <c r="B6566" t="str">
        <f>"1552377005882416"</f>
        <v>1552377005882416</v>
      </c>
      <c r="C6566" t="s">
        <v>40</v>
      </c>
      <c r="D6566">
        <v>4.4036790000000003</v>
      </c>
      <c r="E6566">
        <v>0.51359549999999998</v>
      </c>
      <c r="F6566" t="s">
        <v>41</v>
      </c>
      <c r="G6566">
        <v>-256.09429999999998</v>
      </c>
      <c r="H6566">
        <v>0.98887250000000004</v>
      </c>
      <c r="I6566">
        <v>-61.738689999999998</v>
      </c>
      <c r="J6566">
        <v>-256.72199999999998</v>
      </c>
      <c r="K6566">
        <v>1.1105780000000001</v>
      </c>
      <c r="L6566">
        <v>-61.660919999999997</v>
      </c>
      <c r="M6566">
        <v>0.99965539999999997</v>
      </c>
      <c r="N6566">
        <v>0</v>
      </c>
      <c r="O6566">
        <v>-2.2372409999999999E-2</v>
      </c>
      <c r="P6566">
        <v>0.99772229999999995</v>
      </c>
      <c r="Q6566">
        <v>-2.5513299999999999E-2</v>
      </c>
      <c r="R6566">
        <v>-6.2446719999999997E-2</v>
      </c>
      <c r="S6566">
        <v>2.9739070000000001</v>
      </c>
      <c r="T6566">
        <v>-0.49173090000000003</v>
      </c>
      <c r="U6566">
        <v>-0.32104490000000002</v>
      </c>
      <c r="V6566">
        <v>4.0125069999999999E-2</v>
      </c>
      <c r="W6566">
        <v>-1.172628E-2</v>
      </c>
      <c r="X6566">
        <v>0.99912579999999995</v>
      </c>
      <c r="Y6566">
        <v>8.422839E-2</v>
      </c>
      <c r="Z6566">
        <v>-3.2340379999999998E-3</v>
      </c>
      <c r="AA6566">
        <v>0.99644120000000003</v>
      </c>
      <c r="AB6566">
        <v>23</v>
      </c>
      <c r="AC6566">
        <v>0.62770000000000403</v>
      </c>
      <c r="AD6566">
        <v>-0.12170549999999999</v>
      </c>
      <c r="AE6566">
        <v>-7.7770000000008097E-2</v>
      </c>
      <c r="AF6566">
        <v>6.14315162831192E-2</v>
      </c>
      <c r="AG6566">
        <v>-0.12170549999999999</v>
      </c>
      <c r="AH6566">
        <v>0.60681532424914997</v>
      </c>
      <c r="AI6566">
        <v>101.28482949871101</v>
      </c>
      <c r="AJ6566">
        <v>84.219302785265597</v>
      </c>
      <c r="AK6566">
        <v>0.62194123329032802</v>
      </c>
      <c r="AL6566">
        <v>90.671881788492598</v>
      </c>
      <c r="AM6566">
        <v>87.700227151681901</v>
      </c>
      <c r="AN6566">
        <v>0.99999994555538996</v>
      </c>
    </row>
    <row r="6567" spans="1:40" x14ac:dyDescent="0.25">
      <c r="A6567" t="str">
        <f>"20190312155005903"</f>
        <v>20190312155005903</v>
      </c>
      <c r="B6567" t="str">
        <f>"1552377005892177"</f>
        <v>1552377005892177</v>
      </c>
      <c r="C6567" t="s">
        <v>40</v>
      </c>
      <c r="D6567">
        <v>4.3844859999999999</v>
      </c>
      <c r="E6567">
        <v>0.5095326</v>
      </c>
      <c r="F6567" t="s">
        <v>41</v>
      </c>
      <c r="G6567">
        <v>-255.8862</v>
      </c>
      <c r="H6567">
        <v>0.99605980000000005</v>
      </c>
      <c r="I6567">
        <v>-61.739910000000002</v>
      </c>
      <c r="J6567">
        <v>-256.60969999999998</v>
      </c>
      <c r="K6567">
        <v>1.1105480000000001</v>
      </c>
      <c r="L6567">
        <v>-61.662869999999998</v>
      </c>
      <c r="M6567">
        <v>0.99966650000000001</v>
      </c>
      <c r="N6567">
        <v>0</v>
      </c>
      <c r="O6567">
        <v>-2.1870580000000001E-2</v>
      </c>
      <c r="P6567">
        <v>0.99777249999999995</v>
      </c>
      <c r="Q6567">
        <v>-2.53835E-2</v>
      </c>
      <c r="R6567">
        <v>-6.1694300000000001E-2</v>
      </c>
      <c r="S6567">
        <v>2.9788209999999999</v>
      </c>
      <c r="T6567">
        <v>-0.4082017</v>
      </c>
      <c r="U6567">
        <v>-0.28106690000000001</v>
      </c>
      <c r="V6567">
        <v>3.9872100000000001E-2</v>
      </c>
      <c r="W6567">
        <v>-1.1602609999999999E-2</v>
      </c>
      <c r="X6567">
        <v>0.99913739999999995</v>
      </c>
      <c r="Y6567">
        <v>7.1678309999999995E-2</v>
      </c>
      <c r="Z6567">
        <v>-1.901773E-3</v>
      </c>
      <c r="AA6567">
        <v>0.99742600000000003</v>
      </c>
      <c r="AB6567">
        <v>23</v>
      </c>
      <c r="AC6567">
        <v>0.72349999999997205</v>
      </c>
      <c r="AD6567">
        <v>-0.114488199999999</v>
      </c>
      <c r="AE6567">
        <v>-7.7039999999996597E-2</v>
      </c>
      <c r="AF6567">
        <v>5.9718101940842802E-2</v>
      </c>
      <c r="AG6567">
        <v>-0.114488199999999</v>
      </c>
      <c r="AH6567">
        <v>0.70749453013673602</v>
      </c>
      <c r="AI6567">
        <v>99.160018508338595</v>
      </c>
      <c r="AJ6567">
        <v>85.1752223017765</v>
      </c>
      <c r="AK6567">
        <v>0.71918169457520098</v>
      </c>
      <c r="AL6567">
        <v>90.664795517716598</v>
      </c>
      <c r="AM6567">
        <v>87.714737238241099</v>
      </c>
      <c r="AN6567">
        <v>0.99999997449799005</v>
      </c>
    </row>
    <row r="6568" spans="1:40" x14ac:dyDescent="0.25">
      <c r="A6568" t="str">
        <f>"20190312155005913"</f>
        <v>20190312155005913</v>
      </c>
      <c r="B6568" t="str">
        <f>"1552377005901937"</f>
        <v>1552377005901937</v>
      </c>
      <c r="C6568" t="s">
        <v>40</v>
      </c>
      <c r="D6568">
        <v>4.3854620000000004</v>
      </c>
      <c r="E6568">
        <v>0.506664</v>
      </c>
      <c r="F6568" t="s">
        <v>41</v>
      </c>
      <c r="G6568">
        <v>-255.87110000000001</v>
      </c>
      <c r="H6568">
        <v>1.0255080000000001</v>
      </c>
      <c r="I6568">
        <v>-61.72475</v>
      </c>
      <c r="J6568">
        <v>-256.50389999999999</v>
      </c>
      <c r="K6568">
        <v>1.110519</v>
      </c>
      <c r="L6568">
        <v>-61.664639999999999</v>
      </c>
      <c r="M6568">
        <v>0.99967600000000001</v>
      </c>
      <c r="N6568">
        <v>0</v>
      </c>
      <c r="O6568">
        <v>-2.14308E-2</v>
      </c>
      <c r="P6568">
        <v>0.99780259999999998</v>
      </c>
      <c r="Q6568">
        <v>-2.5166709999999998E-2</v>
      </c>
      <c r="R6568">
        <v>-6.1293199999999999E-2</v>
      </c>
      <c r="S6568">
        <v>2.9825439999999999</v>
      </c>
      <c r="T6568">
        <v>-0.3434799</v>
      </c>
      <c r="U6568">
        <v>-0.24938959999999999</v>
      </c>
      <c r="V6568">
        <v>3.9908689999999997E-2</v>
      </c>
      <c r="W6568">
        <v>-1.1390900000000001E-2</v>
      </c>
      <c r="X6568">
        <v>0.99913839999999998</v>
      </c>
      <c r="Y6568">
        <v>6.168411E-2</v>
      </c>
      <c r="Z6568">
        <v>-1.078856E-3</v>
      </c>
      <c r="AA6568">
        <v>0.99809519999999996</v>
      </c>
      <c r="AB6568">
        <v>23</v>
      </c>
      <c r="AC6568">
        <v>0.63279999999997405</v>
      </c>
      <c r="AD6568">
        <v>-8.5010999999999906E-2</v>
      </c>
      <c r="AE6568">
        <v>-6.0109999999994501E-2</v>
      </c>
      <c r="AF6568">
        <v>4.57158240569909E-2</v>
      </c>
      <c r="AG6568">
        <v>-8.5010999999999906E-2</v>
      </c>
      <c r="AH6568">
        <v>0.62280342952574397</v>
      </c>
      <c r="AI6568">
        <v>97.752084031266307</v>
      </c>
      <c r="AJ6568">
        <v>85.801830147678004</v>
      </c>
      <c r="AK6568">
        <v>0.63023877897130298</v>
      </c>
      <c r="AL6568">
        <v>90.652664610020906</v>
      </c>
      <c r="AM6568">
        <v>87.712644601897907</v>
      </c>
      <c r="AN6568">
        <v>0.99999999924744298</v>
      </c>
    </row>
    <row r="6569" spans="1:40" x14ac:dyDescent="0.25">
      <c r="A6569" t="str">
        <f>"20190312155005924"</f>
        <v>20190312155005924</v>
      </c>
      <c r="B6569" t="str">
        <f>"1552377005912672"</f>
        <v>1552377005912672</v>
      </c>
      <c r="C6569" t="s">
        <v>40</v>
      </c>
      <c r="D6569">
        <v>4.3867699999999896</v>
      </c>
      <c r="E6569">
        <v>0.50477329999999998</v>
      </c>
      <c r="F6569" t="s">
        <v>41</v>
      </c>
      <c r="G6569">
        <v>-255.66589999999999</v>
      </c>
      <c r="H6569">
        <v>1.0274099999999999</v>
      </c>
      <c r="I6569">
        <v>-61.728589999999997</v>
      </c>
      <c r="J6569">
        <v>-256.39550000000003</v>
      </c>
      <c r="K6569">
        <v>1.110495</v>
      </c>
      <c r="L6569">
        <v>-61.666440000000001</v>
      </c>
      <c r="M6569">
        <v>0.9996855</v>
      </c>
      <c r="N6569">
        <v>0</v>
      </c>
      <c r="O6569">
        <v>-2.0987809999999999E-2</v>
      </c>
      <c r="P6569">
        <v>0.99782789999999999</v>
      </c>
      <c r="Q6569">
        <v>-2.4868870000000001E-2</v>
      </c>
      <c r="R6569">
        <v>-6.1001260000000002E-2</v>
      </c>
      <c r="S6569">
        <v>2.9851839999999998</v>
      </c>
      <c r="T6569">
        <v>-0.29606270000000001</v>
      </c>
      <c r="U6569">
        <v>-0.22729489999999999</v>
      </c>
      <c r="V6569">
        <v>4.0057740000000001E-2</v>
      </c>
      <c r="W6569">
        <v>-1.109806E-2</v>
      </c>
      <c r="X6569">
        <v>0.99913569999999996</v>
      </c>
      <c r="Y6569">
        <v>5.4810409999999997E-2</v>
      </c>
      <c r="Z6569">
        <v>-6.3432359999999999E-4</v>
      </c>
      <c r="AA6569">
        <v>0.99849659999999996</v>
      </c>
      <c r="AB6569">
        <v>23</v>
      </c>
      <c r="AC6569">
        <v>0.729600000000033</v>
      </c>
      <c r="AD6569">
        <v>-8.3085000000000006E-2</v>
      </c>
      <c r="AE6569">
        <v>-6.2150000000002502E-2</v>
      </c>
      <c r="AF6569">
        <v>4.6227002070375098E-2</v>
      </c>
      <c r="AG6569">
        <v>-8.3085000000000006E-2</v>
      </c>
      <c r="AH6569">
        <v>0.72145528876454401</v>
      </c>
      <c r="AI6569">
        <v>96.5560900082166</v>
      </c>
      <c r="AJ6569">
        <v>86.333804212613799</v>
      </c>
      <c r="AK6569">
        <v>0.72769347024124498</v>
      </c>
      <c r="AL6569">
        <v>90.635885072769298</v>
      </c>
      <c r="AM6569">
        <v>87.7041047698971</v>
      </c>
      <c r="AN6569">
        <v>0.99999996824208004</v>
      </c>
    </row>
    <row r="6570" spans="1:40" x14ac:dyDescent="0.25">
      <c r="A6570" t="str">
        <f>"20190312155005934"</f>
        <v>20190312155005934</v>
      </c>
      <c r="B6570" t="str">
        <f>"1552377005922433"</f>
        <v>1552377005922433</v>
      </c>
      <c r="C6570" t="s">
        <v>40</v>
      </c>
      <c r="D6570">
        <v>4.4210690000000001</v>
      </c>
      <c r="E6570">
        <v>0.50365729999999997</v>
      </c>
      <c r="F6570" t="s">
        <v>41</v>
      </c>
      <c r="G6570">
        <v>-255.65520000000001</v>
      </c>
      <c r="H6570">
        <v>1.0454319999999999</v>
      </c>
      <c r="I6570">
        <v>-61.71931</v>
      </c>
      <c r="J6570">
        <v>-256.2971</v>
      </c>
      <c r="K6570">
        <v>1.110471</v>
      </c>
      <c r="L6570">
        <v>-61.668059999999997</v>
      </c>
      <c r="M6570">
        <v>0.99969319999999895</v>
      </c>
      <c r="N6570">
        <v>0</v>
      </c>
      <c r="O6570">
        <v>-2.061793E-2</v>
      </c>
      <c r="P6570">
        <v>0.99785029999999997</v>
      </c>
      <c r="Q6570">
        <v>-2.4745880000000001E-2</v>
      </c>
      <c r="R6570">
        <v>-6.0680949999999997E-2</v>
      </c>
      <c r="S6570">
        <v>2.9869840000000001</v>
      </c>
      <c r="T6570">
        <v>-0.26253840000000001</v>
      </c>
      <c r="U6570">
        <v>-0.21270749999999999</v>
      </c>
      <c r="V6570">
        <v>4.0105929999999998E-2</v>
      </c>
      <c r="W6570">
        <v>-1.097948E-2</v>
      </c>
      <c r="X6570">
        <v>0.99913510000000005</v>
      </c>
      <c r="Y6570">
        <v>5.0334759999999999E-2</v>
      </c>
      <c r="Z6570">
        <v>-3.9885529999999998E-4</v>
      </c>
      <c r="AA6570">
        <v>0.99873230000000002</v>
      </c>
      <c r="AB6570">
        <v>23</v>
      </c>
      <c r="AC6570">
        <v>0.64189999999999203</v>
      </c>
      <c r="AD6570">
        <v>-6.5039E-2</v>
      </c>
      <c r="AE6570">
        <v>-5.1250000000003099E-2</v>
      </c>
      <c r="AF6570">
        <v>3.7619442186735803E-2</v>
      </c>
      <c r="AG6570">
        <v>-6.5039E-2</v>
      </c>
      <c r="AH6570">
        <v>0.63632894356109204</v>
      </c>
      <c r="AI6570">
        <v>95.825817406906594</v>
      </c>
      <c r="AJ6570">
        <v>86.616640849532601</v>
      </c>
      <c r="AK6570">
        <v>0.64074941932476004</v>
      </c>
      <c r="AL6570">
        <v>90.629090510506103</v>
      </c>
      <c r="AM6570">
        <v>87.701344359112596</v>
      </c>
      <c r="AN6570">
        <v>0.99999999132712203</v>
      </c>
    </row>
    <row r="6571" spans="1:40" x14ac:dyDescent="0.25">
      <c r="A6571" t="str">
        <f>"20190312155005943"</f>
        <v>20190312155005943</v>
      </c>
      <c r="B6571" t="str">
        <f>"1552377005932192"</f>
        <v>1552377005932192</v>
      </c>
      <c r="C6571" t="s">
        <v>40</v>
      </c>
      <c r="D6571">
        <v>4.3764180000000001</v>
      </c>
      <c r="E6571">
        <v>0.50285500000000005</v>
      </c>
      <c r="F6571" t="s">
        <v>41</v>
      </c>
      <c r="G6571">
        <v>-255.45349999999999</v>
      </c>
      <c r="H6571">
        <v>1.043094</v>
      </c>
      <c r="I6571">
        <v>-61.72569</v>
      </c>
      <c r="J6571">
        <v>-256.1918</v>
      </c>
      <c r="K6571">
        <v>1.1104449999999999</v>
      </c>
      <c r="L6571">
        <v>-61.6697699999999</v>
      </c>
      <c r="M6571">
        <v>0.99970139999999996</v>
      </c>
      <c r="N6571">
        <v>0</v>
      </c>
      <c r="O6571">
        <v>-2.0225779999999999E-2</v>
      </c>
      <c r="P6571">
        <v>0.99784329999999999</v>
      </c>
      <c r="Q6571">
        <v>-2.487139E-2</v>
      </c>
      <c r="R6571">
        <v>-6.0749570000000003E-2</v>
      </c>
      <c r="S6571">
        <v>2.9881440000000001</v>
      </c>
      <c r="T6571">
        <v>-0.23868110000000001</v>
      </c>
      <c r="U6571">
        <v>-0.20379639999999999</v>
      </c>
      <c r="V6571">
        <v>4.0565940000000002E-2</v>
      </c>
      <c r="W6571">
        <v>-1.110948E-2</v>
      </c>
      <c r="X6571">
        <v>0.99911510000000003</v>
      </c>
      <c r="Y6571">
        <v>4.7761610000000003E-2</v>
      </c>
      <c r="Z6571">
        <v>-2.9135609999999997E-4</v>
      </c>
      <c r="AA6571">
        <v>0.99885869999999999</v>
      </c>
      <c r="AB6571">
        <v>23</v>
      </c>
      <c r="AC6571">
        <v>0.73830000000000895</v>
      </c>
      <c r="AD6571">
        <v>-6.7351000000000105E-2</v>
      </c>
      <c r="AE6571">
        <v>-5.5920000000007498E-2</v>
      </c>
      <c r="AF6571">
        <v>4.06382033601283E-2</v>
      </c>
      <c r="AG6571">
        <v>-6.7351000000000105E-2</v>
      </c>
      <c r="AH6571">
        <v>0.73321315535449305</v>
      </c>
      <c r="AI6571">
        <v>95.240311008704197</v>
      </c>
      <c r="AJ6571">
        <v>86.827637777547594</v>
      </c>
      <c r="AK6571">
        <v>0.73742060722374103</v>
      </c>
      <c r="AL6571">
        <v>90.636539411008698</v>
      </c>
      <c r="AM6571">
        <v>87.674961345920096</v>
      </c>
      <c r="AN6571">
        <v>0.99999999954098195</v>
      </c>
    </row>
    <row r="6572" spans="1:40" x14ac:dyDescent="0.25">
      <c r="A6572" t="str">
        <f>"20190312155005956"</f>
        <v>20190312155005956</v>
      </c>
      <c r="B6572" t="str">
        <f>"1552377005952688"</f>
        <v>1552377005952688</v>
      </c>
      <c r="C6572" t="s">
        <v>40</v>
      </c>
      <c r="D6572">
        <v>4.3919199999999998</v>
      </c>
      <c r="E6572">
        <v>0.50199689999999997</v>
      </c>
      <c r="F6572" t="s">
        <v>73</v>
      </c>
      <c r="G6572">
        <v>-241.14439999999999</v>
      </c>
      <c r="H6572" s="1">
        <v>-8.60565E-8</v>
      </c>
      <c r="I6572">
        <v>-62.668509999999998</v>
      </c>
      <c r="J6572">
        <v>-256.07729999999998</v>
      </c>
      <c r="K6572">
        <v>1.1104160000000001</v>
      </c>
      <c r="L6572">
        <v>-61.671599999999998</v>
      </c>
      <c r="M6572">
        <v>0.99970910000000002</v>
      </c>
      <c r="N6572">
        <v>0</v>
      </c>
      <c r="O6572">
        <v>-1.9831720000000001E-2</v>
      </c>
      <c r="P6572">
        <v>0.99783270000000002</v>
      </c>
      <c r="Q6572">
        <v>-2.502656E-2</v>
      </c>
      <c r="R6572">
        <v>-6.0861659999999998E-2</v>
      </c>
      <c r="S6572">
        <v>2.9889070000000002</v>
      </c>
      <c r="T6572">
        <v>-0.22057099999999999</v>
      </c>
      <c r="U6572">
        <v>-0.19839480000000001</v>
      </c>
      <c r="V6572">
        <v>4.1071099999999999E-2</v>
      </c>
      <c r="W6572">
        <v>-1.126922E-2</v>
      </c>
      <c r="X6572">
        <v>0.99909269999999994</v>
      </c>
      <c r="Y6572">
        <v>4.6356439999999999E-2</v>
      </c>
      <c r="Z6572">
        <v>-2.4652879999999998E-4</v>
      </c>
      <c r="AA6572">
        <v>0.9989249</v>
      </c>
      <c r="AB6572">
        <v>23</v>
      </c>
      <c r="AC6572">
        <v>14.932899999999901</v>
      </c>
      <c r="AD6572">
        <v>-1.1104160860565</v>
      </c>
      <c r="AE6572">
        <v>-0.99690999999999896</v>
      </c>
      <c r="AF6572">
        <v>0.69670559127412202</v>
      </c>
      <c r="AG6572">
        <v>-1.1104160860565</v>
      </c>
      <c r="AH6572">
        <v>14.867888222698699</v>
      </c>
      <c r="AI6572">
        <v>94.266571328182806</v>
      </c>
      <c r="AJ6572">
        <v>87.317096431829299</v>
      </c>
      <c r="AK6572">
        <v>14.925566078636599</v>
      </c>
      <c r="AL6572">
        <v>90.645692394188998</v>
      </c>
      <c r="AM6572">
        <v>87.645987730520403</v>
      </c>
      <c r="AN6572">
        <v>1.00000002688395</v>
      </c>
    </row>
    <row r="6573" spans="1:40" x14ac:dyDescent="0.25">
      <c r="A6573" t="str">
        <f>"20190312155005969"</f>
        <v>20190312155005969</v>
      </c>
      <c r="B6573" t="str">
        <f>"1552377005962449"</f>
        <v>1552377005962449</v>
      </c>
      <c r="C6573" t="s">
        <v>40</v>
      </c>
      <c r="D6573">
        <v>4.3985279999999998</v>
      </c>
      <c r="E6573">
        <v>0.50156859999999903</v>
      </c>
      <c r="F6573" t="s">
        <v>74</v>
      </c>
      <c r="G6573">
        <v>-239.30410000000001</v>
      </c>
      <c r="H6573" s="1">
        <v>-3.460715E-6</v>
      </c>
      <c r="I6573">
        <v>-62.753740000000001</v>
      </c>
      <c r="J6573">
        <v>-255.94659999999999</v>
      </c>
      <c r="K6573">
        <v>1.110387</v>
      </c>
      <c r="L6573">
        <v>-61.673650000000002</v>
      </c>
      <c r="M6573">
        <v>0.99971779999999999</v>
      </c>
      <c r="N6573">
        <v>0</v>
      </c>
      <c r="O6573">
        <v>-1.9393819999999999E-2</v>
      </c>
      <c r="P6573">
        <v>0.99782780000000004</v>
      </c>
      <c r="Q6573">
        <v>-2.497899E-2</v>
      </c>
      <c r="R6573">
        <v>-6.0959529999999998E-2</v>
      </c>
      <c r="S6573">
        <v>2.989792</v>
      </c>
      <c r="T6573">
        <v>-0.1979303</v>
      </c>
      <c r="U6573">
        <v>-0.19290160000000001</v>
      </c>
      <c r="V6573">
        <v>4.1605749999999997E-2</v>
      </c>
      <c r="W6573">
        <v>-1.1226730000000001E-2</v>
      </c>
      <c r="X6573">
        <v>0.99907100000000004</v>
      </c>
      <c r="Y6573">
        <v>4.4962960000000003E-2</v>
      </c>
      <c r="Z6573">
        <v>-2.0411419999999999E-4</v>
      </c>
      <c r="AA6573">
        <v>0.9989886</v>
      </c>
      <c r="AB6573">
        <v>23</v>
      </c>
      <c r="AC6573">
        <v>16.642499999999899</v>
      </c>
      <c r="AD6573">
        <v>-1.1103904607149999</v>
      </c>
      <c r="AE6573">
        <v>-1.08008999999999</v>
      </c>
      <c r="AF6573">
        <v>0.75375347383300795</v>
      </c>
      <c r="AG6573">
        <v>-1.1103904607149999</v>
      </c>
      <c r="AH6573">
        <v>16.5867906155272</v>
      </c>
      <c r="AI6573">
        <v>93.825972560135796</v>
      </c>
      <c r="AJ6573">
        <v>87.398098119361507</v>
      </c>
      <c r="AK6573">
        <v>16.640995589143799</v>
      </c>
      <c r="AL6573">
        <v>90.643257778855599</v>
      </c>
      <c r="AM6573">
        <v>87.615327390430195</v>
      </c>
      <c r="AN6573">
        <v>0.999999970470277</v>
      </c>
    </row>
    <row r="6574" spans="1:40" x14ac:dyDescent="0.25">
      <c r="A6574" t="str">
        <f>"20190312155005980"</f>
        <v>20190312155005980</v>
      </c>
      <c r="B6574" t="str">
        <f>"1552377005972208"</f>
        <v>1552377005972208</v>
      </c>
      <c r="C6574" t="s">
        <v>40</v>
      </c>
      <c r="D6574">
        <v>4.3981399999999997</v>
      </c>
      <c r="E6574">
        <v>0.5011873</v>
      </c>
      <c r="F6574" t="s">
        <v>41</v>
      </c>
      <c r="G6574">
        <v>-255.03049999999999</v>
      </c>
      <c r="H6574">
        <v>1.051728</v>
      </c>
      <c r="I6574">
        <v>-61.731830000000002</v>
      </c>
      <c r="J6574">
        <v>-255.828</v>
      </c>
      <c r="K6574">
        <v>1.110365</v>
      </c>
      <c r="L6574">
        <v>-61.675539999999998</v>
      </c>
      <c r="M6574">
        <v>0.99972499999999997</v>
      </c>
      <c r="N6574">
        <v>0</v>
      </c>
      <c r="O6574">
        <v>-1.901866E-2</v>
      </c>
      <c r="P6574">
        <v>0.99782579999999998</v>
      </c>
      <c r="Q6574">
        <v>-2.4813890000000002E-2</v>
      </c>
      <c r="R6574">
        <v>-6.1058370000000001E-2</v>
      </c>
      <c r="S6574">
        <v>2.9901279999999999</v>
      </c>
      <c r="T6574">
        <v>-0.19150020000000001</v>
      </c>
      <c r="U6574">
        <v>-0.19000239999999999</v>
      </c>
      <c r="V6574">
        <v>4.207872E-2</v>
      </c>
      <c r="W6574">
        <v>-1.106589E-2</v>
      </c>
      <c r="X6574">
        <v>0.99905299999999997</v>
      </c>
      <c r="Y6574">
        <v>4.4370010000000001E-2</v>
      </c>
      <c r="Z6574">
        <v>-2.0249889999999999E-4</v>
      </c>
      <c r="AA6574">
        <v>0.99901519999999999</v>
      </c>
      <c r="AB6574">
        <v>23</v>
      </c>
      <c r="AC6574">
        <v>0.79750000000001298</v>
      </c>
      <c r="AD6574">
        <v>-5.8637000000000002E-2</v>
      </c>
      <c r="AE6574">
        <v>-5.6289999999997002E-2</v>
      </c>
      <c r="AF6574">
        <v>4.0891043723001098E-2</v>
      </c>
      <c r="AG6574">
        <v>-5.8637000000000002E-2</v>
      </c>
      <c r="AH6574">
        <v>0.79415441348132898</v>
      </c>
      <c r="AI6574">
        <v>94.217248525145195</v>
      </c>
      <c r="AJ6574">
        <v>87.052440975015202</v>
      </c>
      <c r="AK6574">
        <v>0.79736541665514304</v>
      </c>
      <c r="AL6574">
        <v>90.634041743853302</v>
      </c>
      <c r="AM6574">
        <v>87.588207099892003</v>
      </c>
      <c r="AN6574">
        <v>0.99999998470366502</v>
      </c>
    </row>
    <row r="6575" spans="1:40" x14ac:dyDescent="0.25">
      <c r="A6575" t="str">
        <f>"20190312155005993"</f>
        <v>20190312155005993</v>
      </c>
      <c r="B6575" t="str">
        <f>"1552377005981968"</f>
        <v>1552377005981968</v>
      </c>
      <c r="C6575" t="s">
        <v>40</v>
      </c>
      <c r="D6575">
        <v>4.4015769999999996</v>
      </c>
      <c r="E6575">
        <v>0.50092890000000001</v>
      </c>
      <c r="F6575" t="s">
        <v>74</v>
      </c>
      <c r="G6575">
        <v>-238.01060000000001</v>
      </c>
      <c r="H6575" s="1">
        <v>-3.0273499999999999E-6</v>
      </c>
      <c r="I6575">
        <v>-62.792259999999999</v>
      </c>
      <c r="J6575">
        <v>-255.6936</v>
      </c>
      <c r="K6575">
        <v>1.110341</v>
      </c>
      <c r="L6575">
        <v>-61.677579999999999</v>
      </c>
      <c r="M6575">
        <v>0.99973270000000003</v>
      </c>
      <c r="N6575">
        <v>0</v>
      </c>
      <c r="O6575">
        <v>-1.8608909999999999E-2</v>
      </c>
      <c r="P6575">
        <v>0.9978224</v>
      </c>
      <c r="Q6575">
        <v>-2.4784500000000001E-2</v>
      </c>
      <c r="R6575">
        <v>-6.1124310000000001E-2</v>
      </c>
      <c r="S6575">
        <v>2.9904329999999999</v>
      </c>
      <c r="T6575">
        <v>-0.18636169999999999</v>
      </c>
      <c r="U6575">
        <v>-0.18743899999999999</v>
      </c>
      <c r="V6575">
        <v>4.2553580000000001E-2</v>
      </c>
      <c r="W6575">
        <v>-1.1040960000000001E-2</v>
      </c>
      <c r="X6575">
        <v>0.99903319999999995</v>
      </c>
      <c r="Y6575">
        <v>4.3922830000000003E-2</v>
      </c>
      <c r="Z6575">
        <v>-2.086291E-4</v>
      </c>
      <c r="AA6575">
        <v>0.99903489999999995</v>
      </c>
      <c r="AB6575">
        <v>23</v>
      </c>
      <c r="AC6575">
        <v>17.6829999999999</v>
      </c>
      <c r="AD6575">
        <v>-1.11034402735</v>
      </c>
      <c r="AE6575">
        <v>-1.1146799999999899</v>
      </c>
      <c r="AF6575">
        <v>0.782322292914438</v>
      </c>
      <c r="AG6575">
        <v>-1.11034402735</v>
      </c>
      <c r="AH6575">
        <v>17.631440496108599</v>
      </c>
      <c r="AI6575">
        <v>93.599923670788399</v>
      </c>
      <c r="AJ6575">
        <v>87.459403027201205</v>
      </c>
      <c r="AK6575">
        <v>17.683681347414101</v>
      </c>
      <c r="AL6575">
        <v>90.632613248974195</v>
      </c>
      <c r="AM6575">
        <v>87.560974326946507</v>
      </c>
      <c r="AN6575">
        <v>1.00000002233538</v>
      </c>
    </row>
    <row r="6576" spans="1:40" x14ac:dyDescent="0.25">
      <c r="A6576" t="str">
        <f>"20190312155006006"</f>
        <v>20190312155006006</v>
      </c>
      <c r="B6576" t="str">
        <f>"1552377005992704"</f>
        <v>1552377005992704</v>
      </c>
      <c r="C6576" t="s">
        <v>40</v>
      </c>
      <c r="D6576">
        <v>4.4078359999999996</v>
      </c>
      <c r="E6576">
        <v>0.50079119999999999</v>
      </c>
      <c r="F6576" t="s">
        <v>74</v>
      </c>
      <c r="G6576">
        <v>-237.43530000000001</v>
      </c>
      <c r="H6576" s="1">
        <v>-2.822933E-6</v>
      </c>
      <c r="I6576">
        <v>-62.811810000000001</v>
      </c>
      <c r="J6576">
        <v>-255.56540000000001</v>
      </c>
      <c r="K6576">
        <v>1.110325</v>
      </c>
      <c r="L6576">
        <v>-61.679499999999997</v>
      </c>
      <c r="M6576">
        <v>0.99973990000000001</v>
      </c>
      <c r="N6576">
        <v>0</v>
      </c>
      <c r="O6576">
        <v>-1.8227960000000001E-2</v>
      </c>
      <c r="P6576">
        <v>0.99780550000000001</v>
      </c>
      <c r="Q6576">
        <v>-2.4750709999999999E-2</v>
      </c>
      <c r="R6576">
        <v>-6.1415020000000001E-2</v>
      </c>
      <c r="S6576">
        <v>2.990631</v>
      </c>
      <c r="T6576">
        <v>-0.18186949999999999</v>
      </c>
      <c r="U6576">
        <v>-0.18579100000000001</v>
      </c>
      <c r="V6576">
        <v>4.3224720000000001E-2</v>
      </c>
      <c r="W6576">
        <v>-1.1011079999999999E-2</v>
      </c>
      <c r="X6576">
        <v>0.99900469999999997</v>
      </c>
      <c r="Y6576">
        <v>4.375296E-2</v>
      </c>
      <c r="Z6576">
        <v>-2.2155840000000001E-4</v>
      </c>
      <c r="AA6576">
        <v>0.99904230000000005</v>
      </c>
      <c r="AB6576">
        <v>23</v>
      </c>
      <c r="AC6576">
        <v>18.130099999999999</v>
      </c>
      <c r="AD6576">
        <v>-1.110327822933</v>
      </c>
      <c r="AE6576">
        <v>-1.1323099999999899</v>
      </c>
      <c r="AF6576">
        <v>0.79863233234773401</v>
      </c>
      <c r="AG6576">
        <v>-1.110327822933</v>
      </c>
      <c r="AH6576">
        <v>18.080180634078999</v>
      </c>
      <c r="AI6576">
        <v>93.510781565087598</v>
      </c>
      <c r="AJ6576">
        <v>87.470792051400593</v>
      </c>
      <c r="AK6576">
        <v>18.131838661249301</v>
      </c>
      <c r="AL6576">
        <v>90.630901157690502</v>
      </c>
      <c r="AM6576">
        <v>87.522483846071196</v>
      </c>
      <c r="AN6576">
        <v>1.00000000546196</v>
      </c>
    </row>
    <row r="6577" spans="1:40" x14ac:dyDescent="0.25">
      <c r="A6577" t="str">
        <f>"20190312155006017"</f>
        <v>20190312155006017</v>
      </c>
      <c r="B6577" t="str">
        <f>"1552377006002465"</f>
        <v>1552377006002465</v>
      </c>
      <c r="C6577" t="s">
        <v>40</v>
      </c>
      <c r="D6577">
        <v>4.3935789999999999</v>
      </c>
      <c r="E6577">
        <v>0.50058400000000003</v>
      </c>
      <c r="F6577" t="s">
        <v>74</v>
      </c>
      <c r="G6577">
        <v>-236.9436</v>
      </c>
      <c r="H6577" s="1">
        <v>-2.618417E-6</v>
      </c>
      <c r="I6577">
        <v>-62.835889999999999</v>
      </c>
      <c r="J6577">
        <v>-255.44909999999999</v>
      </c>
      <c r="K6577">
        <v>1.110314</v>
      </c>
      <c r="L6577">
        <v>-61.681240000000003</v>
      </c>
      <c r="M6577">
        <v>0.99974589999999997</v>
      </c>
      <c r="N6577">
        <v>0</v>
      </c>
      <c r="O6577">
        <v>-1.7897090000000001E-2</v>
      </c>
      <c r="P6577">
        <v>0.99779839999999997</v>
      </c>
      <c r="Q6577">
        <v>-2.4598780000000001E-2</v>
      </c>
      <c r="R6577">
        <v>-6.1593179999999997E-2</v>
      </c>
      <c r="S6577">
        <v>2.990723</v>
      </c>
      <c r="T6577">
        <v>-0.178322799999999</v>
      </c>
      <c r="U6577">
        <v>-0.18573000000000001</v>
      </c>
      <c r="V6577">
        <v>4.3732809999999997E-2</v>
      </c>
      <c r="W6577">
        <v>-1.086206E-2</v>
      </c>
      <c r="X6577">
        <v>0.99898419999999999</v>
      </c>
      <c r="Y6577">
        <v>4.4062070000000002E-2</v>
      </c>
      <c r="Z6577">
        <v>-2.4612309999999998E-4</v>
      </c>
      <c r="AA6577">
        <v>0.99902869999999999</v>
      </c>
      <c r="AB6577">
        <v>23</v>
      </c>
      <c r="AC6577">
        <v>18.505499999999898</v>
      </c>
      <c r="AD6577">
        <v>-1.1103166184169999</v>
      </c>
      <c r="AE6577">
        <v>-1.15464999999999</v>
      </c>
      <c r="AF6577">
        <v>0.82029777346052601</v>
      </c>
      <c r="AG6577">
        <v>-1.1103166184169999</v>
      </c>
      <c r="AH6577">
        <v>18.4570163255284</v>
      </c>
      <c r="AI6577">
        <v>93.439200125682405</v>
      </c>
      <c r="AJ6577">
        <v>87.455239190351307</v>
      </c>
      <c r="AK6577">
        <v>18.508569449611699</v>
      </c>
      <c r="AL6577">
        <v>90.622362441218897</v>
      </c>
      <c r="AM6577">
        <v>87.493347151247207</v>
      </c>
      <c r="AN6577">
        <v>0.99999998743378904</v>
      </c>
    </row>
    <row r="6578" spans="1:40" x14ac:dyDescent="0.25">
      <c r="A6578" t="str">
        <f>"20190312155006027"</f>
        <v>20190312155006027</v>
      </c>
      <c r="B6578" t="str">
        <f>"1552377006021985"</f>
        <v>1552377006021985</v>
      </c>
      <c r="C6578" t="s">
        <v>40</v>
      </c>
      <c r="D6578">
        <v>4.4644839999999997</v>
      </c>
      <c r="E6578">
        <v>0.50007889999999999</v>
      </c>
      <c r="F6578" t="s">
        <v>74</v>
      </c>
      <c r="G6578">
        <v>-236.41460000000001</v>
      </c>
      <c r="H6578" s="1">
        <v>-2.397028E-6</v>
      </c>
      <c r="I6578">
        <v>-62.856769999999997</v>
      </c>
      <c r="J6578">
        <v>-255.34530000000001</v>
      </c>
      <c r="K6578">
        <v>1.1103050000000001</v>
      </c>
      <c r="L6578">
        <v>-61.682769999999998</v>
      </c>
      <c r="M6578">
        <v>0.99975099999999995</v>
      </c>
      <c r="N6578">
        <v>0</v>
      </c>
      <c r="O6578">
        <v>-1.760374E-2</v>
      </c>
      <c r="P6578">
        <v>0.99779399999999996</v>
      </c>
      <c r="Q6578">
        <v>-2.4419590000000001E-2</v>
      </c>
      <c r="R6578">
        <v>-6.1735159999999997E-2</v>
      </c>
      <c r="S6578">
        <v>2.990936</v>
      </c>
      <c r="T6578">
        <v>-0.1744665</v>
      </c>
      <c r="U6578">
        <v>-0.1847229</v>
      </c>
      <c r="V6578">
        <v>4.4167659999999997E-2</v>
      </c>
      <c r="W6578">
        <v>-1.068535E-2</v>
      </c>
      <c r="X6578">
        <v>0.99896700000000005</v>
      </c>
      <c r="Y6578">
        <v>4.4017269999999997E-2</v>
      </c>
      <c r="Z6578">
        <v>-2.5656570000000002E-4</v>
      </c>
      <c r="AA6578">
        <v>0.99903070000000005</v>
      </c>
      <c r="AB6578">
        <v>23</v>
      </c>
      <c r="AC6578">
        <v>18.930700000000002</v>
      </c>
      <c r="AD6578">
        <v>-1.110307397028</v>
      </c>
      <c r="AE6578">
        <v>-1.1739999999999899</v>
      </c>
      <c r="AF6578">
        <v>0.837665093861233</v>
      </c>
      <c r="AG6578">
        <v>-1.110307397028</v>
      </c>
      <c r="AH6578">
        <v>18.883724378650001</v>
      </c>
      <c r="AI6578">
        <v>93.361650875465301</v>
      </c>
      <c r="AJ6578">
        <v>87.4600756456841</v>
      </c>
      <c r="AK6578">
        <v>18.9348755404991</v>
      </c>
      <c r="AL6578">
        <v>90.612237100578596</v>
      </c>
      <c r="AM6578">
        <v>87.468411396788198</v>
      </c>
      <c r="AN6578">
        <v>1.0000000129917399</v>
      </c>
    </row>
    <row r="6579" spans="1:40" x14ac:dyDescent="0.25">
      <c r="A6579" t="str">
        <f>"20190312155006038"</f>
        <v>20190312155006038</v>
      </c>
      <c r="B6579" t="str">
        <f>"1552377006032720"</f>
        <v>1552377006032720</v>
      </c>
      <c r="C6579" t="s">
        <v>40</v>
      </c>
      <c r="D6579">
        <v>4.4642559999999998</v>
      </c>
      <c r="E6579">
        <v>0.49978339999999999</v>
      </c>
      <c r="F6579" t="s">
        <v>74</v>
      </c>
      <c r="G6579">
        <v>-235.9442</v>
      </c>
      <c r="H6579" s="1">
        <v>-2.1956030000000001E-6</v>
      </c>
      <c r="I6579">
        <v>-62.858260000000001</v>
      </c>
      <c r="J6579">
        <v>-255.2296</v>
      </c>
      <c r="K6579">
        <v>1.1103000000000001</v>
      </c>
      <c r="L6579">
        <v>-61.684420000000003</v>
      </c>
      <c r="M6579">
        <v>0.99975670000000005</v>
      </c>
      <c r="N6579">
        <v>0</v>
      </c>
      <c r="O6579">
        <v>-1.7284109999999998E-2</v>
      </c>
      <c r="P6579">
        <v>0.9977859</v>
      </c>
      <c r="Q6579">
        <v>-2.426596E-2</v>
      </c>
      <c r="R6579">
        <v>-6.1925620000000001E-2</v>
      </c>
      <c r="S6579">
        <v>2.9912260000000002</v>
      </c>
      <c r="T6579">
        <v>-0.1711848</v>
      </c>
      <c r="U6579">
        <v>-0.18124390000000001</v>
      </c>
      <c r="V6579">
        <v>4.46772E-2</v>
      </c>
      <c r="W6579">
        <v>-1.0534E-2</v>
      </c>
      <c r="X6579">
        <v>0.998946</v>
      </c>
      <c r="Y6579">
        <v>4.317559E-2</v>
      </c>
      <c r="Z6579">
        <v>-2.4594189999999999E-4</v>
      </c>
      <c r="AA6579">
        <v>0.9990675</v>
      </c>
      <c r="AB6579">
        <v>23</v>
      </c>
      <c r="AC6579">
        <v>19.285399999999999</v>
      </c>
      <c r="AD6579">
        <v>-1.1103021956029999</v>
      </c>
      <c r="AE6579">
        <v>-1.17383999999999</v>
      </c>
      <c r="AF6579">
        <v>0.837536524644242</v>
      </c>
      <c r="AG6579">
        <v>-1.1103021956029999</v>
      </c>
      <c r="AH6579">
        <v>19.239275027968802</v>
      </c>
      <c r="AI6579">
        <v>93.299768505325702</v>
      </c>
      <c r="AJ6579">
        <v>87.507336998880803</v>
      </c>
      <c r="AK6579">
        <v>19.2894774941546</v>
      </c>
      <c r="AL6579">
        <v>90.603564865475704</v>
      </c>
      <c r="AM6579">
        <v>87.439190631752496</v>
      </c>
      <c r="AN6579">
        <v>1.0000000641359099</v>
      </c>
    </row>
    <row r="6580" spans="1:40" x14ac:dyDescent="0.25">
      <c r="A6580" t="str">
        <f>"20190312155006048"</f>
        <v>20190312155006048</v>
      </c>
      <c r="B6580" t="str">
        <f>"1552377006042480"</f>
        <v>1552377006042480</v>
      </c>
      <c r="C6580" t="s">
        <v>40</v>
      </c>
      <c r="D6580">
        <v>4.4956709999999998</v>
      </c>
      <c r="E6580">
        <v>0.49949440000000001</v>
      </c>
      <c r="F6580" t="s">
        <v>74</v>
      </c>
      <c r="G6580">
        <v>-235.80260000000001</v>
      </c>
      <c r="H6580" s="1">
        <v>-2.1326469999999999E-6</v>
      </c>
      <c r="I6580">
        <v>-62.849930000000001</v>
      </c>
      <c r="J6580">
        <v>-255.1344</v>
      </c>
      <c r="K6580">
        <v>1.1102970000000001</v>
      </c>
      <c r="L6580">
        <v>-61.685789999999997</v>
      </c>
      <c r="M6580">
        <v>0.99976120000000002</v>
      </c>
      <c r="N6580">
        <v>0</v>
      </c>
      <c r="O6580">
        <v>-1.7022389999999998E-2</v>
      </c>
      <c r="P6580">
        <v>0.99777000000000005</v>
      </c>
      <c r="Q6580">
        <v>-2.4166900000000002E-2</v>
      </c>
      <c r="R6580">
        <v>-6.2219049999999998E-2</v>
      </c>
      <c r="S6580">
        <v>2.9913639999999999</v>
      </c>
      <c r="T6580">
        <v>-0.17096359999999999</v>
      </c>
      <c r="U6580">
        <v>-0.17947389999999999</v>
      </c>
      <c r="V6580">
        <v>4.5232399999999999E-2</v>
      </c>
      <c r="W6580">
        <v>-1.043667E-2</v>
      </c>
      <c r="X6580">
        <v>0.99892199999999998</v>
      </c>
      <c r="Y6580">
        <v>4.2845569999999999E-2</v>
      </c>
      <c r="Z6580">
        <v>-2.5113080000000002E-4</v>
      </c>
      <c r="AA6580">
        <v>0.99908169999999996</v>
      </c>
      <c r="AB6580">
        <v>23</v>
      </c>
      <c r="AC6580">
        <v>19.331799999999902</v>
      </c>
      <c r="AD6580">
        <v>-1.110299132647</v>
      </c>
      <c r="AE6580">
        <v>-1.16414</v>
      </c>
      <c r="AF6580">
        <v>0.83213196524644295</v>
      </c>
      <c r="AG6580">
        <v>-1.110299132647</v>
      </c>
      <c r="AH6580">
        <v>19.285430860226398</v>
      </c>
      <c r="AI6580">
        <v>93.291934118995499</v>
      </c>
      <c r="AJ6580">
        <v>87.529321760638794</v>
      </c>
      <c r="AK6580">
        <v>19.3352799627033</v>
      </c>
      <c r="AL6580">
        <v>90.597987982591604</v>
      </c>
      <c r="AM6580">
        <v>87.407348608235495</v>
      </c>
      <c r="AN6580">
        <v>1.0000000280872201</v>
      </c>
    </row>
    <row r="6581" spans="1:40" x14ac:dyDescent="0.25">
      <c r="A6581" t="str">
        <f>"20190312155006057"</f>
        <v>20190312155006057</v>
      </c>
      <c r="B6581" t="str">
        <f>"1552377006052241"</f>
        <v>1552377006052241</v>
      </c>
      <c r="C6581" t="s">
        <v>40</v>
      </c>
      <c r="D6581">
        <v>4.5463639999999996</v>
      </c>
      <c r="E6581">
        <v>0.4993146</v>
      </c>
      <c r="F6581" t="s">
        <v>74</v>
      </c>
      <c r="G6581">
        <v>-235.7174</v>
      </c>
      <c r="H6581" s="1">
        <v>-2.0937169999999998E-6</v>
      </c>
      <c r="I6581">
        <v>-62.840960000000003</v>
      </c>
      <c r="J6581">
        <v>-255.04239999999999</v>
      </c>
      <c r="K6581">
        <v>1.1102970000000001</v>
      </c>
      <c r="L6581">
        <v>-61.687069999999999</v>
      </c>
      <c r="M6581">
        <v>0.99976549999999997</v>
      </c>
      <c r="N6581">
        <v>0</v>
      </c>
      <c r="O6581">
        <v>-1.6771589999999999E-2</v>
      </c>
      <c r="P6581">
        <v>0.99775219999999998</v>
      </c>
      <c r="Q6581">
        <v>-2.3967530000000001E-2</v>
      </c>
      <c r="R6581">
        <v>-6.2583449999999999E-2</v>
      </c>
      <c r="S6581">
        <v>2.9914550000000002</v>
      </c>
      <c r="T6581">
        <v>-0.1710564</v>
      </c>
      <c r="U6581">
        <v>-0.17797850000000001</v>
      </c>
      <c r="V6581">
        <v>4.5847199999999998E-2</v>
      </c>
      <c r="W6581">
        <v>-1.023869E-2</v>
      </c>
      <c r="X6581">
        <v>0.99889600000000001</v>
      </c>
      <c r="Y6581">
        <v>4.2596670000000003E-2</v>
      </c>
      <c r="Z6581">
        <v>-2.5847069999999998E-4</v>
      </c>
      <c r="AA6581">
        <v>0.99909230000000004</v>
      </c>
      <c r="AB6581">
        <v>23</v>
      </c>
      <c r="AC6581">
        <v>19.3249999999999</v>
      </c>
      <c r="AD6581">
        <v>-1.1102990937170001</v>
      </c>
      <c r="AE6581">
        <v>-1.1538899999999901</v>
      </c>
      <c r="AF6581">
        <v>0.82686651817077295</v>
      </c>
      <c r="AG6581">
        <v>-1.1102990937170001</v>
      </c>
      <c r="AH6581">
        <v>19.278225078361601</v>
      </c>
      <c r="AI6581">
        <v>93.2931980122152</v>
      </c>
      <c r="AJ6581">
        <v>87.544019653580193</v>
      </c>
      <c r="AK6581">
        <v>19.327866785766901</v>
      </c>
      <c r="AL6581">
        <v>90.586643970271993</v>
      </c>
      <c r="AM6581">
        <v>87.372089984439199</v>
      </c>
      <c r="AN6581">
        <v>1.0000000076683699</v>
      </c>
    </row>
    <row r="6582" spans="1:40" x14ac:dyDescent="0.25">
      <c r="A6582" t="str">
        <f>"20190312155006065"</f>
        <v>20190312155006065</v>
      </c>
      <c r="B6582" t="str">
        <f>"1552377006062002"</f>
        <v>1552377006062002</v>
      </c>
      <c r="C6582" t="s">
        <v>40</v>
      </c>
      <c r="D6582">
        <v>4.4788769999999998</v>
      </c>
      <c r="E6582">
        <v>0.49916850000000001</v>
      </c>
      <c r="F6582" t="s">
        <v>74</v>
      </c>
      <c r="G6582">
        <v>-235.553</v>
      </c>
      <c r="H6582" s="1">
        <v>-2.0239280000000001E-6</v>
      </c>
      <c r="I6582">
        <v>-62.843719999999998</v>
      </c>
      <c r="J6582">
        <v>-254.9573</v>
      </c>
      <c r="K6582">
        <v>1.1102970000000001</v>
      </c>
      <c r="L6582">
        <v>-61.68826</v>
      </c>
      <c r="M6582">
        <v>0.99976940000000003</v>
      </c>
      <c r="N6582">
        <v>0</v>
      </c>
      <c r="O6582">
        <v>-1.6540099999999999E-2</v>
      </c>
      <c r="P6582">
        <v>0.99772910000000004</v>
      </c>
      <c r="Q6582">
        <v>-2.4008450000000001E-2</v>
      </c>
      <c r="R6582">
        <v>-6.2933269999999999E-2</v>
      </c>
      <c r="S6582">
        <v>2.9915470000000002</v>
      </c>
      <c r="T6582">
        <v>-0.17042679999999999</v>
      </c>
      <c r="U6582">
        <v>-0.1775513</v>
      </c>
      <c r="V6582">
        <v>4.6428740000000003E-2</v>
      </c>
      <c r="W6582">
        <v>-1.0280930000000001E-2</v>
      </c>
      <c r="X6582">
        <v>0.99886870000000005</v>
      </c>
      <c r="Y6582">
        <v>4.2683810000000003E-2</v>
      </c>
      <c r="Z6582">
        <v>-2.7315389999999997E-4</v>
      </c>
      <c r="AA6582">
        <v>0.99908859999999999</v>
      </c>
      <c r="AB6582">
        <v>23</v>
      </c>
      <c r="AC6582">
        <v>19.404299999999999</v>
      </c>
      <c r="AD6582">
        <v>-1.110299023928</v>
      </c>
      <c r="AE6582">
        <v>-1.1554599999999899</v>
      </c>
      <c r="AF6582">
        <v>0.83160963697911405</v>
      </c>
      <c r="AG6582">
        <v>-1.110299023928</v>
      </c>
      <c r="AH6582">
        <v>19.357604634071301</v>
      </c>
      <c r="AI6582">
        <v>93.279713264410205</v>
      </c>
      <c r="AJ6582">
        <v>87.540065366553506</v>
      </c>
      <c r="AK6582">
        <v>19.407245958143299</v>
      </c>
      <c r="AL6582">
        <v>90.589064274336806</v>
      </c>
      <c r="AM6582">
        <v>87.338731755866405</v>
      </c>
      <c r="AN6582">
        <v>1.00000000262967</v>
      </c>
    </row>
    <row r="6583" spans="1:40" x14ac:dyDescent="0.25">
      <c r="A6583" t="str">
        <f>"20190312155006077"</f>
        <v>20190312155006077</v>
      </c>
      <c r="B6583" t="str">
        <f>"1552377006072736"</f>
        <v>1552377006072736</v>
      </c>
      <c r="C6583" t="s">
        <v>40</v>
      </c>
      <c r="D6583">
        <v>4.4892370000000001</v>
      </c>
      <c r="E6583">
        <v>0.4990096</v>
      </c>
      <c r="F6583" t="s">
        <v>74</v>
      </c>
      <c r="G6583">
        <v>-235.36099999999999</v>
      </c>
      <c r="H6583" s="1">
        <v>-1.9433449999999999E-6</v>
      </c>
      <c r="I6583">
        <v>-62.850450000000002</v>
      </c>
      <c r="J6583">
        <v>-254.83410000000001</v>
      </c>
      <c r="K6583">
        <v>1.1102989999999999</v>
      </c>
      <c r="L6583">
        <v>-61.689909999999998</v>
      </c>
      <c r="M6583">
        <v>0.99977479999999996</v>
      </c>
      <c r="N6583">
        <v>0</v>
      </c>
      <c r="O6583">
        <v>-1.6204980000000001E-2</v>
      </c>
      <c r="P6583">
        <v>0.99769569999999996</v>
      </c>
      <c r="Q6583">
        <v>-2.3686160000000001E-2</v>
      </c>
      <c r="R6583">
        <v>-6.357873E-2</v>
      </c>
      <c r="S6583">
        <v>2.9915769999999999</v>
      </c>
      <c r="T6583">
        <v>-0.16949829999999999</v>
      </c>
      <c r="U6583">
        <v>-0.17742920000000001</v>
      </c>
      <c r="V6583">
        <v>4.7409340000000001E-2</v>
      </c>
      <c r="W6583">
        <v>-9.9600190000000005E-3</v>
      </c>
      <c r="X6583">
        <v>0.99882590000000004</v>
      </c>
      <c r="Y6583">
        <v>4.2976920000000002E-2</v>
      </c>
      <c r="Z6583">
        <v>-2.989062E-4</v>
      </c>
      <c r="AA6583">
        <v>0.99907599999999996</v>
      </c>
      <c r="AB6583">
        <v>23</v>
      </c>
      <c r="AC6583">
        <v>19.473099999999999</v>
      </c>
      <c r="AD6583">
        <v>-1.110300943345</v>
      </c>
      <c r="AE6583">
        <v>-1.1605399999999999</v>
      </c>
      <c r="AF6583">
        <v>0.84206891740063905</v>
      </c>
      <c r="AG6583">
        <v>-1.110300943345</v>
      </c>
      <c r="AH6583">
        <v>19.426419876266099</v>
      </c>
      <c r="AI6583">
        <v>93.268071976263997</v>
      </c>
      <c r="AJ6583">
        <v>87.517977484344399</v>
      </c>
      <c r="AK6583">
        <v>19.476335318930801</v>
      </c>
      <c r="AL6583">
        <v>90.570676480786602</v>
      </c>
      <c r="AM6583">
        <v>87.282491450439196</v>
      </c>
      <c r="AN6583">
        <v>1.0000000130042599</v>
      </c>
    </row>
    <row r="6584" spans="1:40" x14ac:dyDescent="0.25">
      <c r="A6584" t="str">
        <f>"20190312155006088"</f>
        <v>20190312155006088</v>
      </c>
      <c r="B6584" t="str">
        <f>"1552377006082497"</f>
        <v>1552377006082497</v>
      </c>
      <c r="C6584" t="s">
        <v>40</v>
      </c>
      <c r="D6584">
        <v>4.5117960000000004</v>
      </c>
      <c r="E6584">
        <v>0.4987704</v>
      </c>
      <c r="F6584" t="s">
        <v>74</v>
      </c>
      <c r="G6584">
        <v>-234.9906</v>
      </c>
      <c r="H6584" s="1">
        <v>-1.7900330000000001E-6</v>
      </c>
      <c r="I6584">
        <v>-62.871400000000001</v>
      </c>
      <c r="J6584">
        <v>-254.72800000000001</v>
      </c>
      <c r="K6584">
        <v>1.110306</v>
      </c>
      <c r="L6584">
        <v>-61.691310000000001</v>
      </c>
      <c r="M6584">
        <v>0.99977959999999999</v>
      </c>
      <c r="N6584">
        <v>0</v>
      </c>
      <c r="O6584">
        <v>-1.591563E-2</v>
      </c>
      <c r="P6584">
        <v>0.99767969999999895</v>
      </c>
      <c r="Q6584">
        <v>-2.3560459999999998E-2</v>
      </c>
      <c r="R6584">
        <v>-6.3879720000000001E-2</v>
      </c>
      <c r="S6584">
        <v>2.9916230000000001</v>
      </c>
      <c r="T6584">
        <v>-0.16738989999999901</v>
      </c>
      <c r="U6584">
        <v>-0.17813109999999999</v>
      </c>
      <c r="V6584">
        <v>4.7999010000000002E-2</v>
      </c>
      <c r="W6584">
        <v>-9.8354770000000005E-3</v>
      </c>
      <c r="X6584">
        <v>0.99879899999999999</v>
      </c>
      <c r="Y6584">
        <v>4.3498530000000001E-2</v>
      </c>
      <c r="Z6584">
        <v>-3.2591549999999998E-4</v>
      </c>
      <c r="AA6584">
        <v>0.99905339999999998</v>
      </c>
      <c r="AB6584">
        <v>23</v>
      </c>
      <c r="AC6584">
        <v>19.737399999999901</v>
      </c>
      <c r="AD6584">
        <v>-1.1103077900330001</v>
      </c>
      <c r="AE6584">
        <v>-1.1800900000000001</v>
      </c>
      <c r="AF6584">
        <v>0.86305647396435003</v>
      </c>
      <c r="AG6584">
        <v>-1.1103077900330001</v>
      </c>
      <c r="AH6584">
        <v>19.691590866791699</v>
      </c>
      <c r="AI6584">
        <v>93.224109287125103</v>
      </c>
      <c r="AJ6584">
        <v>87.490407614703898</v>
      </c>
      <c r="AK6584">
        <v>19.741742596107699</v>
      </c>
      <c r="AL6584">
        <v>90.563540384017301</v>
      </c>
      <c r="AM6584">
        <v>87.248669132204498</v>
      </c>
      <c r="AN6584">
        <v>1.00000004198489</v>
      </c>
    </row>
    <row r="6585" spans="1:40" x14ac:dyDescent="0.25">
      <c r="A6585" t="str">
        <f>"20190312155006099"</f>
        <v>20190312155006099</v>
      </c>
      <c r="B6585" t="str">
        <f>"1552377006092256"</f>
        <v>1552377006092256</v>
      </c>
      <c r="C6585" t="s">
        <v>40</v>
      </c>
      <c r="D6585">
        <v>4.4940949999999997</v>
      </c>
      <c r="E6585">
        <v>0.498637</v>
      </c>
      <c r="F6585" t="s">
        <v>74</v>
      </c>
      <c r="G6585">
        <v>-234.8826</v>
      </c>
      <c r="H6585" s="1">
        <v>-1.742198E-6</v>
      </c>
      <c r="I6585">
        <v>-62.865810000000003</v>
      </c>
      <c r="J6585">
        <v>-254.6157</v>
      </c>
      <c r="K6585">
        <v>1.1103099999999999</v>
      </c>
      <c r="L6585">
        <v>-61.692749999999997</v>
      </c>
      <c r="M6585">
        <v>0.99978440000000002</v>
      </c>
      <c r="N6585">
        <v>0</v>
      </c>
      <c r="O6585">
        <v>-1.560743E-2</v>
      </c>
      <c r="P6585">
        <v>0.99766580000000005</v>
      </c>
      <c r="Q6585">
        <v>-2.3323389999999999E-2</v>
      </c>
      <c r="R6585">
        <v>-6.4180269999999998E-2</v>
      </c>
      <c r="S6585">
        <v>2.9916839999999998</v>
      </c>
      <c r="T6585">
        <v>-0.1673779</v>
      </c>
      <c r="U6585">
        <v>-0.177063</v>
      </c>
      <c r="V6585">
        <v>4.8607850000000001E-2</v>
      </c>
      <c r="W6585">
        <v>-9.5994119999999999E-3</v>
      </c>
      <c r="X6585">
        <v>0.99877179999999999</v>
      </c>
      <c r="Y6585">
        <v>4.3449469999999997E-2</v>
      </c>
      <c r="Z6585">
        <v>-3.4172919999999999E-4</v>
      </c>
      <c r="AA6585">
        <v>0.99905560000000004</v>
      </c>
      <c r="AB6585">
        <v>23</v>
      </c>
      <c r="AC6585">
        <v>19.7331</v>
      </c>
      <c r="AD6585">
        <v>-1.110311742198</v>
      </c>
      <c r="AE6585">
        <v>-1.17305999999999</v>
      </c>
      <c r="AF6585">
        <v>0.86218523369543298</v>
      </c>
      <c r="AG6585">
        <v>-1.110311742198</v>
      </c>
      <c r="AH6585">
        <v>19.6868985951441</v>
      </c>
      <c r="AI6585">
        <v>93.224892327677395</v>
      </c>
      <c r="AJ6585">
        <v>87.492340987068303</v>
      </c>
      <c r="AK6585">
        <v>19.737024391674399</v>
      </c>
      <c r="AL6585">
        <v>90.550014246238305</v>
      </c>
      <c r="AM6585">
        <v>87.213748962623896</v>
      </c>
      <c r="AN6585">
        <v>0.99999999013380403</v>
      </c>
    </row>
    <row r="6586" spans="1:40" x14ac:dyDescent="0.25">
      <c r="A6586" t="str">
        <f>"20190312155006110"</f>
        <v>20190312155006110</v>
      </c>
      <c r="B6586" t="str">
        <f>"1552377006102017"</f>
        <v>1552377006102017</v>
      </c>
      <c r="C6586" t="s">
        <v>40</v>
      </c>
      <c r="D6586">
        <v>4.481357</v>
      </c>
      <c r="E6586">
        <v>0.4983361</v>
      </c>
      <c r="F6586" t="s">
        <v>74</v>
      </c>
      <c r="G6586">
        <v>-234.72649999999999</v>
      </c>
      <c r="H6586" s="1">
        <v>-1.675911E-6</v>
      </c>
      <c r="I6586">
        <v>-62.868400000000001</v>
      </c>
      <c r="J6586">
        <v>-254.50489999999999</v>
      </c>
      <c r="K6586">
        <v>1.1103149999999999</v>
      </c>
      <c r="L6586">
        <v>-61.694119999999998</v>
      </c>
      <c r="M6586">
        <v>0.99978909999999999</v>
      </c>
      <c r="N6586">
        <v>0</v>
      </c>
      <c r="O6586">
        <v>-1.53016E-2</v>
      </c>
      <c r="P6586">
        <v>0.99762680000000004</v>
      </c>
      <c r="Q6586">
        <v>-2.3229409999999999E-2</v>
      </c>
      <c r="R6586">
        <v>-6.4817189999999997E-2</v>
      </c>
      <c r="S6586">
        <v>2.99173</v>
      </c>
      <c r="T6586">
        <v>-0.16701260000000001</v>
      </c>
      <c r="U6586">
        <v>-0.17684939999999999</v>
      </c>
      <c r="V6586">
        <v>4.9550730000000001E-2</v>
      </c>
      <c r="W6586">
        <v>-9.5063430000000004E-3</v>
      </c>
      <c r="X6586">
        <v>0.99872640000000001</v>
      </c>
      <c r="Y6586">
        <v>4.3682440000000003E-2</v>
      </c>
      <c r="Z6586">
        <v>-3.6451289999999998E-4</v>
      </c>
      <c r="AA6586">
        <v>0.99904539999999997</v>
      </c>
      <c r="AB6586">
        <v>23</v>
      </c>
      <c r="AC6586">
        <v>19.778400000000001</v>
      </c>
      <c r="AD6586">
        <v>-1.1103166759109999</v>
      </c>
      <c r="AE6586">
        <v>-1.17428</v>
      </c>
      <c r="AF6586">
        <v>0.868744739184653</v>
      </c>
      <c r="AG6586">
        <v>-1.1103166759109999</v>
      </c>
      <c r="AH6586">
        <v>19.732087634385699</v>
      </c>
      <c r="AI6586">
        <v>93.2175040432099</v>
      </c>
      <c r="AJ6586">
        <v>87.479066374955593</v>
      </c>
      <c r="AK6586">
        <v>19.782386179471501</v>
      </c>
      <c r="AL6586">
        <v>90.544681518204101</v>
      </c>
      <c r="AM6586">
        <v>87.159660886220294</v>
      </c>
      <c r="AN6586">
        <v>1.0000000337288599</v>
      </c>
    </row>
    <row r="6587" spans="1:40" x14ac:dyDescent="0.25">
      <c r="A6587" t="str">
        <f>"20190312155006120"</f>
        <v>20190312155006120</v>
      </c>
      <c r="B6587" t="str">
        <f>"1552377006112752"</f>
        <v>1552377006112752</v>
      </c>
      <c r="C6587" t="s">
        <v>40</v>
      </c>
      <c r="D6587">
        <v>4.5026390000000003</v>
      </c>
      <c r="E6587">
        <v>0.4983361</v>
      </c>
      <c r="F6587" t="s">
        <v>74</v>
      </c>
      <c r="G6587">
        <v>-234.55869999999999</v>
      </c>
      <c r="H6587" s="1">
        <v>-1.6044320000000001E-6</v>
      </c>
      <c r="I6587">
        <v>-62.870260000000002</v>
      </c>
      <c r="J6587">
        <v>-254.39490000000001</v>
      </c>
      <c r="K6587">
        <v>1.110322</v>
      </c>
      <c r="L6587">
        <v>-61.695469999999901</v>
      </c>
      <c r="M6587">
        <v>0.99979370000000001</v>
      </c>
      <c r="N6587">
        <v>0</v>
      </c>
      <c r="O6587">
        <v>-1.4995400000000001E-2</v>
      </c>
      <c r="P6587">
        <v>0.9976081</v>
      </c>
      <c r="Q6587">
        <v>-2.3218530000000001E-2</v>
      </c>
      <c r="R6587">
        <v>-6.5108840000000001E-2</v>
      </c>
      <c r="S6587">
        <v>2.9917910000000001</v>
      </c>
      <c r="T6587">
        <v>-0.1665392</v>
      </c>
      <c r="U6587">
        <v>-0.1764221</v>
      </c>
      <c r="V6587">
        <v>5.0148329999999998E-2</v>
      </c>
      <c r="W6587">
        <v>-9.496361E-3</v>
      </c>
      <c r="X6587">
        <v>0.99869660000000005</v>
      </c>
      <c r="Y6587">
        <v>4.3844550000000003E-2</v>
      </c>
      <c r="Z6587">
        <v>-3.8499239999999999E-4</v>
      </c>
      <c r="AA6587">
        <v>0.99903830000000005</v>
      </c>
      <c r="AB6587">
        <v>23</v>
      </c>
      <c r="AC6587">
        <v>19.836200000000002</v>
      </c>
      <c r="AD6587">
        <v>-1.110323604432</v>
      </c>
      <c r="AE6587">
        <v>-1.17479</v>
      </c>
      <c r="AF6587">
        <v>0.87444800561757696</v>
      </c>
      <c r="AG6587">
        <v>-1.110323604432</v>
      </c>
      <c r="AH6587">
        <v>19.789799521780001</v>
      </c>
      <c r="AI6587">
        <v>93.208138100376402</v>
      </c>
      <c r="AJ6587">
        <v>87.469928359461093</v>
      </c>
      <c r="AK6587">
        <v>19.840202693857101</v>
      </c>
      <c r="AL6587">
        <v>90.544109602046504</v>
      </c>
      <c r="AM6587">
        <v>87.125376835746707</v>
      </c>
      <c r="AN6587">
        <v>0.99999996736279495</v>
      </c>
    </row>
    <row r="6588" spans="1:40" x14ac:dyDescent="0.25">
      <c r="A6588" t="str">
        <f>"20190312155006133"</f>
        <v>20190312155006133</v>
      </c>
      <c r="B6588" t="str">
        <f>"1552377006122513"</f>
        <v>1552377006122513</v>
      </c>
      <c r="C6588" t="s">
        <v>40</v>
      </c>
      <c r="D6588">
        <v>4.4846329999999996</v>
      </c>
      <c r="E6588">
        <v>0.47123150000000003</v>
      </c>
      <c r="F6588" t="s">
        <v>74</v>
      </c>
      <c r="G6588">
        <v>-234.44399999999999</v>
      </c>
      <c r="H6588" s="1">
        <v>-1.557181E-6</v>
      </c>
      <c r="I6588">
        <v>-62.877600000000001</v>
      </c>
      <c r="J6588">
        <v>-254.27719999999999</v>
      </c>
      <c r="K6588">
        <v>1.1103270000000001</v>
      </c>
      <c r="L6588">
        <v>-61.696869999999997</v>
      </c>
      <c r="M6588">
        <v>0.99979870000000004</v>
      </c>
      <c r="N6588">
        <v>0</v>
      </c>
      <c r="O6588">
        <v>-1.4665009999999999E-2</v>
      </c>
      <c r="P6588">
        <v>0.99758829999999998</v>
      </c>
      <c r="Q6588">
        <v>-2.2982849999999999E-2</v>
      </c>
      <c r="R6588">
        <v>-6.5494720000000006E-2</v>
      </c>
      <c r="S6588">
        <v>2.9917449999999999</v>
      </c>
      <c r="T6588">
        <v>-0.16649929999999999</v>
      </c>
      <c r="U6588">
        <v>-0.17727660000000001</v>
      </c>
      <c r="V6588">
        <v>5.086442E-2</v>
      </c>
      <c r="W6588">
        <v>-9.2615040000000003E-3</v>
      </c>
      <c r="X6588">
        <v>0.99866270000000001</v>
      </c>
      <c r="Y6588">
        <v>4.445851E-2</v>
      </c>
      <c r="Z6588">
        <v>-4.2031289999999998E-4</v>
      </c>
      <c r="AA6588">
        <v>0.99901119999999999</v>
      </c>
      <c r="AB6588">
        <v>23</v>
      </c>
      <c r="AC6588">
        <v>19.833199999999898</v>
      </c>
      <c r="AD6588">
        <v>-1.110328557181</v>
      </c>
      <c r="AE6588">
        <v>-1.1807300000000001</v>
      </c>
      <c r="AF6588">
        <v>0.88695164955417605</v>
      </c>
      <c r="AG6588">
        <v>-1.110328557181</v>
      </c>
      <c r="AH6588">
        <v>19.786589045149</v>
      </c>
      <c r="AI6588">
        <v>93.208580937897196</v>
      </c>
      <c r="AJ6588">
        <v>87.433383319348593</v>
      </c>
      <c r="AK6588">
        <v>19.837555766150899</v>
      </c>
      <c r="AL6588">
        <v>90.5306526368812</v>
      </c>
      <c r="AM6588">
        <v>87.084300358108294</v>
      </c>
      <c r="AN6588">
        <v>1.0000000765247801</v>
      </c>
    </row>
    <row r="6589" spans="1:40" x14ac:dyDescent="0.25">
      <c r="A6589" t="str">
        <f>"20190312155006143"</f>
        <v>20190312155006143</v>
      </c>
      <c r="B6589" t="str">
        <f>"1552377006132273"</f>
        <v>1552377006132273</v>
      </c>
      <c r="C6589" t="s">
        <v>40</v>
      </c>
      <c r="D6589">
        <v>4.4331870000000002</v>
      </c>
      <c r="E6589">
        <v>0.46870580000000001</v>
      </c>
      <c r="F6589" t="s">
        <v>75</v>
      </c>
      <c r="G6589">
        <v>-222.9083</v>
      </c>
      <c r="H6589" s="1">
        <v>-5.7749959999999895E-7</v>
      </c>
      <c r="I6589">
        <v>-61.336170000000003</v>
      </c>
      <c r="J6589">
        <v>-254.1652</v>
      </c>
      <c r="K6589">
        <v>1.110333</v>
      </c>
      <c r="L6589">
        <v>-61.698180000000001</v>
      </c>
      <c r="M6589">
        <v>0.99980329999999995</v>
      </c>
      <c r="N6589">
        <v>0</v>
      </c>
      <c r="O6589">
        <v>-1.434916E-2</v>
      </c>
      <c r="P6589">
        <v>0.99757949999999995</v>
      </c>
      <c r="Q6589">
        <v>-2.27774E-2</v>
      </c>
      <c r="R6589">
        <v>-6.5700889999999998E-2</v>
      </c>
      <c r="S6589">
        <v>3.0070800000000002</v>
      </c>
      <c r="T6589">
        <v>-0.1064382</v>
      </c>
      <c r="U6589">
        <v>3.4576419999999997E-2</v>
      </c>
      <c r="V6589">
        <v>5.1385939999999998E-2</v>
      </c>
      <c r="W6589">
        <v>-9.0568300000000001E-3</v>
      </c>
      <c r="X6589">
        <v>0.99863780000000002</v>
      </c>
      <c r="Y6589">
        <v>-2.582079E-2</v>
      </c>
      <c r="Z6589">
        <v>9.6458619999999998E-4</v>
      </c>
      <c r="AA6589">
        <v>0.9996661</v>
      </c>
      <c r="AB6589">
        <v>23</v>
      </c>
      <c r="AC6589">
        <v>31.256900000000002</v>
      </c>
      <c r="AD6589">
        <v>-1.1103335774995999</v>
      </c>
      <c r="AE6589">
        <v>0.36201000000001199</v>
      </c>
      <c r="AF6589">
        <v>-0.80950367445573101</v>
      </c>
      <c r="AG6589">
        <v>-1.1103335774995999</v>
      </c>
      <c r="AH6589">
        <v>31.2091097268131</v>
      </c>
      <c r="AI6589">
        <v>92.036881064850903</v>
      </c>
      <c r="AJ6589">
        <v>91.485808059583704</v>
      </c>
      <c r="AK6589">
        <v>31.2393448521658</v>
      </c>
      <c r="AL6589">
        <v>90.518925230059097</v>
      </c>
      <c r="AM6589">
        <v>87.054384347315604</v>
      </c>
      <c r="AN6589">
        <v>0.99999999829408603</v>
      </c>
    </row>
    <row r="6590" spans="1:40" x14ac:dyDescent="0.25">
      <c r="A6590" t="str">
        <f>"20190312155006155"</f>
        <v>20190312155006155</v>
      </c>
      <c r="B6590" t="str">
        <f>"1552377006152768"</f>
        <v>1552377006152768</v>
      </c>
      <c r="C6590" t="s">
        <v>40</v>
      </c>
      <c r="D6590">
        <v>4.5024030000000002</v>
      </c>
      <c r="E6590">
        <v>0.46503879999999997</v>
      </c>
      <c r="F6590" t="s">
        <v>75</v>
      </c>
      <c r="G6590">
        <v>-220.0814</v>
      </c>
      <c r="H6590" s="1">
        <v>6.8989030000000002E-7</v>
      </c>
      <c r="I6590">
        <v>-61.090380000000003</v>
      </c>
      <c r="J6590">
        <v>-254.05240000000001</v>
      </c>
      <c r="K6590">
        <v>1.1103369999999999</v>
      </c>
      <c r="L6590">
        <v>-61.699399999999997</v>
      </c>
      <c r="M6590">
        <v>0.99980800000000003</v>
      </c>
      <c r="N6590">
        <v>0</v>
      </c>
      <c r="O6590">
        <v>-1.402747E-2</v>
      </c>
      <c r="P6590">
        <v>0.99756440000000002</v>
      </c>
      <c r="Q6590">
        <v>-2.2648410000000001E-2</v>
      </c>
      <c r="R6590">
        <v>-6.5970909999999994E-2</v>
      </c>
      <c r="S6590">
        <v>3.008575</v>
      </c>
      <c r="T6590">
        <v>-9.8008869999999998E-2</v>
      </c>
      <c r="U6590">
        <v>5.36499E-2</v>
      </c>
      <c r="V6590">
        <v>5.1977469999999998E-2</v>
      </c>
      <c r="W6590">
        <v>-8.9285660000000006E-3</v>
      </c>
      <c r="X6590">
        <v>0.99860839999999995</v>
      </c>
      <c r="Y6590">
        <v>-3.1829980000000001E-2</v>
      </c>
      <c r="Z6590">
        <v>9.7513039999999997E-4</v>
      </c>
      <c r="AA6590">
        <v>0.99949279999999996</v>
      </c>
      <c r="AB6590">
        <v>23</v>
      </c>
      <c r="AC6590">
        <v>33.970999999999997</v>
      </c>
      <c r="AD6590">
        <v>-1.1103363101096999</v>
      </c>
      <c r="AE6590">
        <v>0.60901999999999301</v>
      </c>
      <c r="AF6590">
        <v>-1.0843737962142901</v>
      </c>
      <c r="AG6590">
        <v>-1.1103363101096999</v>
      </c>
      <c r="AH6590">
        <v>33.922885057791497</v>
      </c>
      <c r="AI6590">
        <v>91.873733242797101</v>
      </c>
      <c r="AJ6590">
        <v>91.830884754764</v>
      </c>
      <c r="AK6590">
        <v>33.958369276153299</v>
      </c>
      <c r="AL6590">
        <v>90.511575917172706</v>
      </c>
      <c r="AM6590">
        <v>87.020449038809801</v>
      </c>
      <c r="AN6590">
        <v>1.00000005661448</v>
      </c>
    </row>
    <row r="6591" spans="1:40" x14ac:dyDescent="0.25">
      <c r="A6591" t="str">
        <f>"20190312155006167"</f>
        <v>20190312155006167</v>
      </c>
      <c r="B6591" t="str">
        <f>"1552377006162528"</f>
        <v>1552377006162528</v>
      </c>
      <c r="C6591" t="s">
        <v>40</v>
      </c>
      <c r="D6591">
        <v>4.4564879999999896</v>
      </c>
      <c r="E6591">
        <v>0.4640531</v>
      </c>
      <c r="F6591" t="s">
        <v>75</v>
      </c>
      <c r="G6591">
        <v>-222.09129999999999</v>
      </c>
      <c r="H6591" s="1">
        <v>-1.133286E-7</v>
      </c>
      <c r="I6591">
        <v>-60.824910000000003</v>
      </c>
      <c r="J6591">
        <v>-253.93260000000001</v>
      </c>
      <c r="K6591">
        <v>1.110344</v>
      </c>
      <c r="L6591">
        <v>-61.700740000000003</v>
      </c>
      <c r="M6591">
        <v>0.9998127</v>
      </c>
      <c r="N6591">
        <v>0</v>
      </c>
      <c r="O6591">
        <v>-1.36848E-2</v>
      </c>
      <c r="P6591">
        <v>0.99756250000000002</v>
      </c>
      <c r="Q6591">
        <v>-2.2566900000000001E-2</v>
      </c>
      <c r="R6591">
        <v>-6.6029240000000003E-2</v>
      </c>
      <c r="S6591">
        <v>3.0103909999999998</v>
      </c>
      <c r="T6591">
        <v>-0.1045817</v>
      </c>
      <c r="U6591">
        <v>8.236694E-2</v>
      </c>
      <c r="V6591">
        <v>5.237816E-2</v>
      </c>
      <c r="W6591">
        <v>-8.8478869999999901E-3</v>
      </c>
      <c r="X6591">
        <v>0.99858809999999998</v>
      </c>
      <c r="Y6591">
        <v>-4.0996089999999999E-2</v>
      </c>
      <c r="Z6591">
        <v>1.1869960000000001E-3</v>
      </c>
      <c r="AA6591">
        <v>0.99915860000000001</v>
      </c>
      <c r="AB6591">
        <v>23</v>
      </c>
      <c r="AC6591">
        <v>31.8413</v>
      </c>
      <c r="AD6591">
        <v>-1.1103441133286001</v>
      </c>
      <c r="AE6591">
        <v>0.87583000000000699</v>
      </c>
      <c r="AF6591">
        <v>-1.3099389224748501</v>
      </c>
      <c r="AG6591">
        <v>-1.1103441133286001</v>
      </c>
      <c r="AH6591">
        <v>31.787706469901899</v>
      </c>
      <c r="AI6591">
        <v>91.998832281483999</v>
      </c>
      <c r="AJ6591">
        <v>92.359765399717702</v>
      </c>
      <c r="AK6591">
        <v>31.834055453982899</v>
      </c>
      <c r="AL6591">
        <v>90.506953209956706</v>
      </c>
      <c r="AM6591">
        <v>86.9974608698315</v>
      </c>
      <c r="AN6591">
        <v>0.999999975105479</v>
      </c>
    </row>
    <row r="6592" spans="1:40" x14ac:dyDescent="0.25">
      <c r="A6592" t="str">
        <f>"20190312155006178"</f>
        <v>20190312155006178</v>
      </c>
      <c r="B6592" t="str">
        <f>"1552377006172288"</f>
        <v>1552377006172288</v>
      </c>
      <c r="C6592" t="s">
        <v>40</v>
      </c>
      <c r="D6592">
        <v>4.4624569999999997</v>
      </c>
      <c r="E6592">
        <v>0.46341060000000001</v>
      </c>
      <c r="F6592" t="s">
        <v>75</v>
      </c>
      <c r="G6592">
        <v>-222.53210000000001</v>
      </c>
      <c r="H6592" s="1">
        <v>-2.8803490000000001E-7</v>
      </c>
      <c r="I6592">
        <v>-60.760269999999998</v>
      </c>
      <c r="J6592">
        <v>-253.8218</v>
      </c>
      <c r="K6592">
        <v>1.1103479999999999</v>
      </c>
      <c r="L6592">
        <v>-61.7018699999999</v>
      </c>
      <c r="M6592">
        <v>0.99981699999999996</v>
      </c>
      <c r="N6592">
        <v>0</v>
      </c>
      <c r="O6592">
        <v>-1.336528E-2</v>
      </c>
      <c r="P6592">
        <v>0.99756469999999997</v>
      </c>
      <c r="Q6592">
        <v>-2.2357450000000001E-2</v>
      </c>
      <c r="R6592">
        <v>-6.6066879999999994E-2</v>
      </c>
      <c r="S6592">
        <v>3.0108950000000001</v>
      </c>
      <c r="T6592">
        <v>-0.1064674</v>
      </c>
      <c r="U6592">
        <v>9.017944E-2</v>
      </c>
      <c r="V6592">
        <v>5.273473E-2</v>
      </c>
      <c r="W6592">
        <v>-8.6392139999999992E-3</v>
      </c>
      <c r="X6592">
        <v>0.99857119999999999</v>
      </c>
      <c r="Y6592">
        <v>-4.3260119999999999E-2</v>
      </c>
      <c r="Z6592">
        <v>1.2368539999999999E-3</v>
      </c>
      <c r="AA6592">
        <v>0.99906309999999998</v>
      </c>
      <c r="AB6592">
        <v>23</v>
      </c>
      <c r="AC6592">
        <v>31.2896999999999</v>
      </c>
      <c r="AD6592">
        <v>-1.1103482880348901</v>
      </c>
      <c r="AE6592">
        <v>0.941599999999994</v>
      </c>
      <c r="AF6592">
        <v>-1.35804207799773</v>
      </c>
      <c r="AG6592">
        <v>-1.1103482880348901</v>
      </c>
      <c r="AH6592">
        <v>31.2350213261028</v>
      </c>
      <c r="AI6592">
        <v>92.033983684571396</v>
      </c>
      <c r="AJ6592">
        <v>92.489548660645994</v>
      </c>
      <c r="AK6592">
        <v>31.284240582894999</v>
      </c>
      <c r="AL6592">
        <v>90.494996650834395</v>
      </c>
      <c r="AM6592">
        <v>86.977007476560104</v>
      </c>
      <c r="AN6592">
        <v>1.0000000146180701</v>
      </c>
    </row>
    <row r="6593" spans="1:40" x14ac:dyDescent="0.25">
      <c r="A6593" t="str">
        <f>"20190312155006190"</f>
        <v>20190312155006190</v>
      </c>
      <c r="B6593" t="str">
        <f>"1552377006182049"</f>
        <v>1552377006182049</v>
      </c>
      <c r="C6593" t="s">
        <v>40</v>
      </c>
      <c r="D6593">
        <v>4.4821669999999996</v>
      </c>
      <c r="E6593">
        <v>0.4628969</v>
      </c>
      <c r="F6593" t="s">
        <v>75</v>
      </c>
      <c r="G6593">
        <v>-222.68889999999999</v>
      </c>
      <c r="H6593" s="1">
        <v>-3.4574799999999998E-7</v>
      </c>
      <c r="I6593">
        <v>-60.717140000000001</v>
      </c>
      <c r="J6593">
        <v>-253.7037</v>
      </c>
      <c r="K6593">
        <v>1.1103449999999999</v>
      </c>
      <c r="L6593">
        <v>-61.703060000000001</v>
      </c>
      <c r="M6593">
        <v>0.99982150000000003</v>
      </c>
      <c r="N6593">
        <v>0</v>
      </c>
      <c r="O6593">
        <v>-1.302393E-2</v>
      </c>
      <c r="P6593">
        <v>0.99756239999999996</v>
      </c>
      <c r="Q6593">
        <v>-2.2398870000000001E-2</v>
      </c>
      <c r="R6593">
        <v>-6.6089620000000002E-2</v>
      </c>
      <c r="S6593">
        <v>3.011215</v>
      </c>
      <c r="T6593">
        <v>-0.1073945</v>
      </c>
      <c r="U6593">
        <v>9.5245360000000001E-2</v>
      </c>
      <c r="V6593">
        <v>5.3098159999999998E-2</v>
      </c>
      <c r="W6593">
        <v>-8.6815839999999991E-3</v>
      </c>
      <c r="X6593">
        <v>0.99855150000000004</v>
      </c>
      <c r="Y6593">
        <v>-4.4593760000000003E-2</v>
      </c>
      <c r="Z6593">
        <v>1.259053E-3</v>
      </c>
      <c r="AA6593">
        <v>0.99900440000000001</v>
      </c>
      <c r="AB6593">
        <v>23</v>
      </c>
      <c r="AC6593">
        <v>31.014800000000001</v>
      </c>
      <c r="AD6593">
        <v>-1.1103453457479999</v>
      </c>
      <c r="AE6593">
        <v>0.98592000000000002</v>
      </c>
      <c r="AF6593">
        <v>-1.38803158010148</v>
      </c>
      <c r="AG6593">
        <v>-1.1103453457479999</v>
      </c>
      <c r="AH6593">
        <v>30.959687007379301</v>
      </c>
      <c r="AI6593">
        <v>92.051929258114299</v>
      </c>
      <c r="AJ6593">
        <v>92.567052126858499</v>
      </c>
      <c r="AK6593">
        <v>31.010671035130301</v>
      </c>
      <c r="AL6593">
        <v>90.497424400480099</v>
      </c>
      <c r="AM6593">
        <v>86.956153134698894</v>
      </c>
      <c r="AN6593">
        <v>0.99999994132419001</v>
      </c>
    </row>
    <row r="6594" spans="1:40" x14ac:dyDescent="0.25">
      <c r="A6594" t="str">
        <f>"20190312155006200"</f>
        <v>20190312155006200</v>
      </c>
      <c r="B6594" t="str">
        <f>"1552377006191809"</f>
        <v>1552377006191809</v>
      </c>
      <c r="C6594" t="s">
        <v>40</v>
      </c>
      <c r="D6594">
        <v>4.4459410000000004</v>
      </c>
      <c r="E6594">
        <v>0.46256150000000001</v>
      </c>
      <c r="F6594" t="s">
        <v>75</v>
      </c>
      <c r="G6594">
        <v>-222.6344</v>
      </c>
      <c r="H6594" s="1">
        <v>-3.137542E-7</v>
      </c>
      <c r="I6594">
        <v>-60.678550000000001</v>
      </c>
      <c r="J6594">
        <v>-253.5943</v>
      </c>
      <c r="K6594">
        <v>1.110347</v>
      </c>
      <c r="L6594">
        <v>-61.704160000000002</v>
      </c>
      <c r="M6594">
        <v>0.99982559999999998</v>
      </c>
      <c r="N6594">
        <v>0</v>
      </c>
      <c r="O6594">
        <v>-1.270668E-2</v>
      </c>
      <c r="P6594">
        <v>0.99757059999999997</v>
      </c>
      <c r="Q6594">
        <v>-2.230186E-2</v>
      </c>
      <c r="R6594">
        <v>-6.5996630000000001E-2</v>
      </c>
      <c r="S6594">
        <v>3.0114899999999998</v>
      </c>
      <c r="T6594">
        <v>-0.1076237</v>
      </c>
      <c r="U6594">
        <v>9.9304199999999995E-2</v>
      </c>
      <c r="V6594">
        <v>5.3321979999999998E-2</v>
      </c>
      <c r="W6594">
        <v>-8.5855329999999994E-3</v>
      </c>
      <c r="X6594">
        <v>0.99854050000000005</v>
      </c>
      <c r="Y6594">
        <v>-4.5618310000000002E-2</v>
      </c>
      <c r="Z6594">
        <v>1.268562E-3</v>
      </c>
      <c r="AA6594">
        <v>0.99895809999999996</v>
      </c>
      <c r="AB6594">
        <v>23</v>
      </c>
      <c r="AC6594">
        <v>30.959900000000001</v>
      </c>
      <c r="AD6594">
        <v>-1.1103473137541999</v>
      </c>
      <c r="AE6594">
        <v>1.0256099999999899</v>
      </c>
      <c r="AF6594">
        <v>-1.4171408039953699</v>
      </c>
      <c r="AG6594">
        <v>-1.1103473137541999</v>
      </c>
      <c r="AH6594">
        <v>30.904659801298902</v>
      </c>
      <c r="AI6594">
        <v>92.055488368164205</v>
      </c>
      <c r="AJ6594">
        <v>92.625472946527594</v>
      </c>
      <c r="AK6594">
        <v>30.957053423243199</v>
      </c>
      <c r="AL6594">
        <v>90.491920830792694</v>
      </c>
      <c r="AM6594">
        <v>86.943313346037201</v>
      </c>
      <c r="AN6594">
        <v>1.00000003753413</v>
      </c>
    </row>
    <row r="6595" spans="1:40" x14ac:dyDescent="0.25">
      <c r="A6595" t="str">
        <f>"20190312155006211"</f>
        <v>20190312155006211</v>
      </c>
      <c r="B6595" t="str">
        <f>"1552377006202545"</f>
        <v>1552377006202545</v>
      </c>
      <c r="C6595" t="s">
        <v>40</v>
      </c>
      <c r="D6595">
        <v>4.461659</v>
      </c>
      <c r="E6595">
        <v>0.46230080000000001</v>
      </c>
      <c r="F6595" t="s">
        <v>75</v>
      </c>
      <c r="G6595">
        <v>-222.44399999999999</v>
      </c>
      <c r="H6595" s="1">
        <v>-2.248534E-7</v>
      </c>
      <c r="I6595">
        <v>-60.646099999999997</v>
      </c>
      <c r="J6595">
        <v>-253.49469999999999</v>
      </c>
      <c r="K6595">
        <v>1.1103479999999999</v>
      </c>
      <c r="L6595">
        <v>-61.705109999999998</v>
      </c>
      <c r="M6595">
        <v>0.99982930000000003</v>
      </c>
      <c r="N6595">
        <v>0</v>
      </c>
      <c r="O6595">
        <v>-1.241722E-2</v>
      </c>
      <c r="P6595">
        <v>0.99757419999999997</v>
      </c>
      <c r="Q6595">
        <v>-2.2055040000000001E-2</v>
      </c>
      <c r="R6595">
        <v>-6.6028390000000006E-2</v>
      </c>
      <c r="S6595">
        <v>3.0116580000000002</v>
      </c>
      <c r="T6595">
        <v>-0.1073499</v>
      </c>
      <c r="U6595">
        <v>0.10229489999999999</v>
      </c>
      <c r="V6595">
        <v>5.3642229999999999E-2</v>
      </c>
      <c r="W6595">
        <v>-8.3395589999999999E-3</v>
      </c>
      <c r="X6595">
        <v>0.99852540000000001</v>
      </c>
      <c r="Y6595">
        <v>-4.6318079999999998E-2</v>
      </c>
      <c r="Z6595">
        <v>1.2673960000000001E-3</v>
      </c>
      <c r="AA6595">
        <v>0.99892590000000003</v>
      </c>
      <c r="AB6595">
        <v>23</v>
      </c>
      <c r="AC6595">
        <v>31.0506999999999</v>
      </c>
      <c r="AD6595">
        <v>-1.11034822485339</v>
      </c>
      <c r="AE6595">
        <v>1.05901</v>
      </c>
      <c r="AF6595">
        <v>-1.442685154621</v>
      </c>
      <c r="AG6595">
        <v>-1.11034822485339</v>
      </c>
      <c r="AH6595">
        <v>30.995565841379399</v>
      </c>
      <c r="AI6595">
        <v>92.049401608394504</v>
      </c>
      <c r="AJ6595">
        <v>92.664902338298305</v>
      </c>
      <c r="AK6595">
        <v>31.048982518966501</v>
      </c>
      <c r="AL6595">
        <v>90.477827069727297</v>
      </c>
      <c r="AM6595">
        <v>86.924943705263004</v>
      </c>
      <c r="AN6595">
        <v>1.0000000057644201</v>
      </c>
    </row>
    <row r="6596" spans="1:40" x14ac:dyDescent="0.25">
      <c r="A6596" t="str">
        <f>"20190312155006222"</f>
        <v>20190312155006222</v>
      </c>
      <c r="B6596" t="str">
        <f>"1552377006212304"</f>
        <v>1552377006212304</v>
      </c>
      <c r="C6596" t="s">
        <v>40</v>
      </c>
      <c r="D6596">
        <v>4.4525290000000002</v>
      </c>
      <c r="E6596">
        <v>0.46210289999999998</v>
      </c>
      <c r="F6596" t="s">
        <v>75</v>
      </c>
      <c r="G6596">
        <v>-221.82650000000001</v>
      </c>
      <c r="H6596" s="1">
        <v>4.8076059999999999E-8</v>
      </c>
      <c r="I6596">
        <v>-60.609960000000001</v>
      </c>
      <c r="J6596">
        <v>-253.38030000000001</v>
      </c>
      <c r="K6596">
        <v>1.1103540000000001</v>
      </c>
      <c r="L6596">
        <v>-61.706180000000003</v>
      </c>
      <c r="M6596">
        <v>0.99983330000000004</v>
      </c>
      <c r="N6596">
        <v>0</v>
      </c>
      <c r="O6596">
        <v>-1.2084599999999999E-2</v>
      </c>
      <c r="P6596">
        <v>0.99759330000000002</v>
      </c>
      <c r="Q6596">
        <v>-2.2160039999999999E-2</v>
      </c>
      <c r="R6596">
        <v>-6.5702220000000006E-2</v>
      </c>
      <c r="S6596">
        <v>3.0118710000000002</v>
      </c>
      <c r="T6596">
        <v>-0.1056021</v>
      </c>
      <c r="U6596">
        <v>0.1041565</v>
      </c>
      <c r="V6596">
        <v>5.3648260000000003E-2</v>
      </c>
      <c r="W6596">
        <v>-8.4456819999999995E-3</v>
      </c>
      <c r="X6596">
        <v>0.99852419999999997</v>
      </c>
      <c r="Y6596">
        <v>-4.6601299999999998E-2</v>
      </c>
      <c r="Z6596">
        <v>1.2399799999999999E-3</v>
      </c>
      <c r="AA6596">
        <v>0.99891280000000005</v>
      </c>
      <c r="AB6596">
        <v>22</v>
      </c>
      <c r="AC6596">
        <v>31.553799999999899</v>
      </c>
      <c r="AD6596">
        <v>-1.11035395192393</v>
      </c>
      <c r="AE6596">
        <v>1.09622</v>
      </c>
      <c r="AF6596">
        <v>-1.4756656233666301</v>
      </c>
      <c r="AG6596">
        <v>-1.11035395192393</v>
      </c>
      <c r="AH6596">
        <v>31.499288862248498</v>
      </c>
      <c r="AI6596">
        <v>92.016637716996101</v>
      </c>
      <c r="AJ6596">
        <v>92.682207857361803</v>
      </c>
      <c r="AK6596">
        <v>31.5533781671299</v>
      </c>
      <c r="AL6596">
        <v>90.483907676160598</v>
      </c>
      <c r="AM6596">
        <v>86.924595008457004</v>
      </c>
      <c r="AN6596">
        <v>1.00000002166555</v>
      </c>
    </row>
    <row r="6597" spans="1:40" x14ac:dyDescent="0.25">
      <c r="A6597" t="str">
        <f>"20190312155006233"</f>
        <v>20190312155006233</v>
      </c>
      <c r="B6597" t="str">
        <f>"1552377006222064"</f>
        <v>1552377006222064</v>
      </c>
      <c r="C6597" t="s">
        <v>40</v>
      </c>
      <c r="D6597">
        <v>4.4353639999999999</v>
      </c>
      <c r="E6597">
        <v>0.46190399999999998</v>
      </c>
      <c r="F6597" t="s">
        <v>75</v>
      </c>
      <c r="G6597">
        <v>-221.7859</v>
      </c>
      <c r="H6597" s="1">
        <v>7.0790289999999994E-8</v>
      </c>
      <c r="I6597">
        <v>-60.5860699999999</v>
      </c>
      <c r="J6597">
        <v>-253.26660000000001</v>
      </c>
      <c r="K6597">
        <v>1.110357</v>
      </c>
      <c r="L6597">
        <v>-61.707180000000001</v>
      </c>
      <c r="M6597">
        <v>0.99983739999999999</v>
      </c>
      <c r="N6597">
        <v>0</v>
      </c>
      <c r="O6597">
        <v>-1.1753899999999999E-2</v>
      </c>
      <c r="P6597">
        <v>0.99760530000000003</v>
      </c>
      <c r="Q6597">
        <v>-2.2172150000000002E-2</v>
      </c>
      <c r="R6597">
        <v>-6.5518450000000006E-2</v>
      </c>
      <c r="S6597">
        <v>3.0119479999999998</v>
      </c>
      <c r="T6597">
        <v>-0.1058519</v>
      </c>
      <c r="U6597">
        <v>0.106781</v>
      </c>
      <c r="V6597">
        <v>5.3794540000000002E-2</v>
      </c>
      <c r="W6597">
        <v>-8.4589090000000006E-3</v>
      </c>
      <c r="X6597">
        <v>0.99851619999999996</v>
      </c>
      <c r="Y6597">
        <v>-4.7139060000000003E-2</v>
      </c>
      <c r="Z6597">
        <v>1.2406870000000001E-3</v>
      </c>
      <c r="AA6597">
        <v>0.99888750000000004</v>
      </c>
      <c r="AB6597">
        <v>22</v>
      </c>
      <c r="AC6597">
        <v>31.480699999999999</v>
      </c>
      <c r="AD6597">
        <v>-1.11035692920971</v>
      </c>
      <c r="AE6597">
        <v>1.12111000000001</v>
      </c>
      <c r="AF6597">
        <v>-1.4892378112662299</v>
      </c>
      <c r="AG6597">
        <v>-1.11035692920971</v>
      </c>
      <c r="AH6597">
        <v>31.426300032596</v>
      </c>
      <c r="AI6597">
        <v>92.021271635667105</v>
      </c>
      <c r="AJ6597">
        <v>92.7131178542204</v>
      </c>
      <c r="AK6597">
        <v>31.481153973567899</v>
      </c>
      <c r="AL6597">
        <v>90.484665563214804</v>
      </c>
      <c r="AM6597">
        <v>86.916200960793702</v>
      </c>
      <c r="AN6597">
        <v>1.0000000036688601</v>
      </c>
    </row>
    <row r="6598" spans="1:40" x14ac:dyDescent="0.25">
      <c r="A6598" t="str">
        <f>"20190312155006244"</f>
        <v>20190312155006244</v>
      </c>
      <c r="B6598" t="str">
        <f>"1552377006232801"</f>
        <v>1552377006232801</v>
      </c>
      <c r="C6598" t="s">
        <v>40</v>
      </c>
      <c r="D6598">
        <v>4.4367809999999999</v>
      </c>
      <c r="E6598">
        <v>0.46172619999999998</v>
      </c>
      <c r="F6598" t="s">
        <v>75</v>
      </c>
      <c r="G6598">
        <v>-221.4169</v>
      </c>
      <c r="H6598" s="1">
        <v>2.3582619999999999E-7</v>
      </c>
      <c r="I6598">
        <v>-60.555790000000002</v>
      </c>
      <c r="J6598">
        <v>-253.15610000000001</v>
      </c>
      <c r="K6598">
        <v>1.110358</v>
      </c>
      <c r="L6598">
        <v>-61.708129999999997</v>
      </c>
      <c r="M6598">
        <v>0.99984119999999999</v>
      </c>
      <c r="N6598">
        <v>0</v>
      </c>
      <c r="O6598">
        <v>-1.143226E-2</v>
      </c>
      <c r="P6598">
        <v>0.99762660000000003</v>
      </c>
      <c r="Q6598">
        <v>-2.2166760000000001E-2</v>
      </c>
      <c r="R6598">
        <v>-6.5195050000000004E-2</v>
      </c>
      <c r="S6598">
        <v>3.0120089999999999</v>
      </c>
      <c r="T6598">
        <v>-0.10500569999999999</v>
      </c>
      <c r="U6598">
        <v>0.1088867</v>
      </c>
      <c r="V6598">
        <v>5.3792149999999997E-2</v>
      </c>
      <c r="W6598">
        <v>-8.4546510000000005E-3</v>
      </c>
      <c r="X6598">
        <v>0.99851639999999997</v>
      </c>
      <c r="Y6598">
        <v>-4.7515010000000003E-2</v>
      </c>
      <c r="Z6598">
        <v>1.2260769999999999E-3</v>
      </c>
      <c r="AA6598">
        <v>0.99886980000000003</v>
      </c>
      <c r="AB6598">
        <v>22</v>
      </c>
      <c r="AC6598">
        <v>31.7392</v>
      </c>
      <c r="AD6598">
        <v>-1.1103577641738001</v>
      </c>
      <c r="AE6598">
        <v>1.1523399999999999</v>
      </c>
      <c r="AF6598">
        <v>-1.51329973765409</v>
      </c>
      <c r="AG6598">
        <v>-1.1103577641738001</v>
      </c>
      <c r="AH6598">
        <v>31.685222938595601</v>
      </c>
      <c r="AI6598">
        <v>92.004734015093604</v>
      </c>
      <c r="AJ6598">
        <v>92.734392983377106</v>
      </c>
      <c r="AK6598">
        <v>31.740767525832599</v>
      </c>
      <c r="AL6598">
        <v>90.484421572044894</v>
      </c>
      <c r="AM6598">
        <v>86.916338320777498</v>
      </c>
      <c r="AN6598">
        <v>1.00000003879705</v>
      </c>
    </row>
    <row r="6599" spans="1:40" x14ac:dyDescent="0.25">
      <c r="A6599" t="str">
        <f>"20190312155006256"</f>
        <v>20190312155006256</v>
      </c>
      <c r="B6599" t="str">
        <f>"1552377006252321"</f>
        <v>1552377006252321</v>
      </c>
      <c r="C6599" t="s">
        <v>40</v>
      </c>
      <c r="D6599">
        <v>4.4569939999999999</v>
      </c>
      <c r="E6599">
        <v>0.46157999999999999</v>
      </c>
      <c r="F6599" t="s">
        <v>75</v>
      </c>
      <c r="G6599">
        <v>-221.19470000000001</v>
      </c>
      <c r="H6599" s="1">
        <v>3.3743900000000001E-7</v>
      </c>
      <c r="I6599">
        <v>-60.527470000000001</v>
      </c>
      <c r="J6599">
        <v>-253.04490000000001</v>
      </c>
      <c r="K6599">
        <v>1.1103529999999999</v>
      </c>
      <c r="L6599">
        <v>-61.709009999999999</v>
      </c>
      <c r="M6599">
        <v>0.99984470000000003</v>
      </c>
      <c r="N6599">
        <v>0</v>
      </c>
      <c r="O6599">
        <v>-1.1108720000000001E-2</v>
      </c>
      <c r="P6599">
        <v>0.99763820000000003</v>
      </c>
      <c r="Q6599">
        <v>-2.2192900000000002E-2</v>
      </c>
      <c r="R6599">
        <v>-6.5005190000000004E-2</v>
      </c>
      <c r="S6599">
        <v>3.0120849999999999</v>
      </c>
      <c r="T6599">
        <v>-0.1046416</v>
      </c>
      <c r="U6599">
        <v>0.11126709999999999</v>
      </c>
      <c r="V6599">
        <v>5.392537E-2</v>
      </c>
      <c r="W6599">
        <v>-8.4819809999999995E-3</v>
      </c>
      <c r="X6599">
        <v>0.99850890000000003</v>
      </c>
      <c r="Y6599">
        <v>-4.7979359999999999E-2</v>
      </c>
      <c r="Z6599">
        <v>1.2186059999999999E-3</v>
      </c>
      <c r="AA6599">
        <v>0.99884759999999995</v>
      </c>
      <c r="AB6599">
        <v>22</v>
      </c>
      <c r="AC6599">
        <v>31.850200000000001</v>
      </c>
      <c r="AD6599">
        <v>-1.1103526625610001</v>
      </c>
      <c r="AE6599">
        <v>1.18154</v>
      </c>
      <c r="AF6599">
        <v>-1.53345404568292</v>
      </c>
      <c r="AG6599">
        <v>-1.1103526625610001</v>
      </c>
      <c r="AH6599">
        <v>31.796517279631502</v>
      </c>
      <c r="AI6599">
        <v>91.997668953780007</v>
      </c>
      <c r="AJ6599">
        <v>92.761070408162695</v>
      </c>
      <c r="AK6599">
        <v>31.8528315140017</v>
      </c>
      <c r="AL6599">
        <v>90.485987561806397</v>
      </c>
      <c r="AM6599">
        <v>86.908693037470499</v>
      </c>
      <c r="AN6599">
        <v>0.99999995645526396</v>
      </c>
    </row>
    <row r="6600" spans="1:40" x14ac:dyDescent="0.25">
      <c r="A6600" t="str">
        <f>"20190312155006267"</f>
        <v>20190312155006267</v>
      </c>
      <c r="B6600" t="str">
        <f>"1552377006262081"</f>
        <v>1552377006262081</v>
      </c>
      <c r="C6600" t="s">
        <v>40</v>
      </c>
      <c r="D6600">
        <v>4.4336699999999896</v>
      </c>
      <c r="E6600">
        <v>0.46162219999999998</v>
      </c>
      <c r="F6600" t="s">
        <v>75</v>
      </c>
      <c r="G6600">
        <v>-221.5849</v>
      </c>
      <c r="H6600" s="1">
        <v>1.6983389999999999E-7</v>
      </c>
      <c r="I6600">
        <v>-60.528399999999998</v>
      </c>
      <c r="J6600">
        <v>-252.92330000000001</v>
      </c>
      <c r="K6600">
        <v>1.1103559999999999</v>
      </c>
      <c r="L6600">
        <v>-61.709960000000002</v>
      </c>
      <c r="M6600">
        <v>0.99984870000000003</v>
      </c>
      <c r="N6600">
        <v>0</v>
      </c>
      <c r="O6600">
        <v>-1.075514E-2</v>
      </c>
      <c r="P6600">
        <v>0.9976718</v>
      </c>
      <c r="Q6600">
        <v>-2.2250209999999999E-2</v>
      </c>
      <c r="R6600">
        <v>-6.4469449999999998E-2</v>
      </c>
      <c r="S6600">
        <v>3.0121150000000001</v>
      </c>
      <c r="T6600">
        <v>-0.1063101</v>
      </c>
      <c r="U6600">
        <v>0.1130371</v>
      </c>
      <c r="V6600">
        <v>5.3742379999999999E-2</v>
      </c>
      <c r="W6600">
        <v>-8.5406739999999998E-3</v>
      </c>
      <c r="X6600">
        <v>0.99851829999999997</v>
      </c>
      <c r="Y6600">
        <v>-4.8210830000000003E-2</v>
      </c>
      <c r="Z6600">
        <v>1.2296080000000001E-3</v>
      </c>
      <c r="AA6600">
        <v>0.99883639999999996</v>
      </c>
      <c r="AB6600">
        <v>22</v>
      </c>
      <c r="AC6600">
        <v>31.3384</v>
      </c>
      <c r="AD6600">
        <v>-1.1103558301660901</v>
      </c>
      <c r="AE6600">
        <v>1.18155999999999</v>
      </c>
      <c r="AF6600">
        <v>-1.51667075391331</v>
      </c>
      <c r="AG6600">
        <v>-1.1103558301660901</v>
      </c>
      <c r="AH6600">
        <v>31.284660093062602</v>
      </c>
      <c r="AI6600">
        <v>92.030307315567498</v>
      </c>
      <c r="AJ6600">
        <v>92.775508821539205</v>
      </c>
      <c r="AK6600">
        <v>31.341077476433799</v>
      </c>
      <c r="AL6600">
        <v>90.489350528060299</v>
      </c>
      <c r="AM6600">
        <v>86.919191762963194</v>
      </c>
      <c r="AN6600">
        <v>0.99999999097766401</v>
      </c>
    </row>
    <row r="6601" spans="1:40" x14ac:dyDescent="0.25">
      <c r="A6601" t="str">
        <f>"20190312155006277"</f>
        <v>20190312155006277</v>
      </c>
      <c r="B6601" t="str">
        <f>"1552377006271841"</f>
        <v>1552377006271841</v>
      </c>
      <c r="C6601" t="s">
        <v>40</v>
      </c>
      <c r="D6601">
        <v>4.4465839999999996</v>
      </c>
      <c r="E6601">
        <v>0.46165149999999999</v>
      </c>
      <c r="F6601" t="s">
        <v>75</v>
      </c>
      <c r="G6601">
        <v>-221.79089999999999</v>
      </c>
      <c r="H6601" s="1">
        <v>8.1646819999999999E-8</v>
      </c>
      <c r="I6601">
        <v>-60.527720000000002</v>
      </c>
      <c r="J6601">
        <v>-252.81899999999999</v>
      </c>
      <c r="K6601">
        <v>1.1103559999999999</v>
      </c>
      <c r="L6601">
        <v>-61.710749999999997</v>
      </c>
      <c r="M6601">
        <v>0.99985190000000002</v>
      </c>
      <c r="N6601">
        <v>0</v>
      </c>
      <c r="O6601">
        <v>-1.0452360000000001E-2</v>
      </c>
      <c r="P6601">
        <v>0.99770740000000002</v>
      </c>
      <c r="Q6601">
        <v>-2.1949070000000001E-2</v>
      </c>
      <c r="R6601">
        <v>-6.4019339999999994E-2</v>
      </c>
      <c r="S6601">
        <v>3.0120089999999999</v>
      </c>
      <c r="T6601">
        <v>-0.1074251</v>
      </c>
      <c r="U6601">
        <v>0.11437990000000001</v>
      </c>
      <c r="V6601">
        <v>5.3593969999999998E-2</v>
      </c>
      <c r="W6601">
        <v>-8.2406609999999998E-3</v>
      </c>
      <c r="X6601">
        <v>0.99852879999999999</v>
      </c>
      <c r="Y6601">
        <v>-4.835366E-2</v>
      </c>
      <c r="Z6601">
        <v>1.234282E-3</v>
      </c>
      <c r="AA6601">
        <v>0.99882950000000004</v>
      </c>
      <c r="AB6601">
        <v>22</v>
      </c>
      <c r="AC6601">
        <v>31.028099999999998</v>
      </c>
      <c r="AD6601">
        <v>-1.1103559183531799</v>
      </c>
      <c r="AE6601">
        <v>1.18303</v>
      </c>
      <c r="AF6601">
        <v>-1.50538754592463</v>
      </c>
      <c r="AG6601">
        <v>-1.1103559183531799</v>
      </c>
      <c r="AH6601">
        <v>30.974429760591999</v>
      </c>
      <c r="AI6601">
        <v>92.050613101694296</v>
      </c>
      <c r="AJ6601">
        <v>92.782441476085296</v>
      </c>
      <c r="AK6601">
        <v>31.0308617495985</v>
      </c>
      <c r="AL6601">
        <v>90.472160442928399</v>
      </c>
      <c r="AM6601">
        <v>86.927715362478907</v>
      </c>
      <c r="AN6601">
        <v>0.99999999327175804</v>
      </c>
    </row>
    <row r="6602" spans="1:40" x14ac:dyDescent="0.25">
      <c r="A6602" t="str">
        <f>"20190312155006289"</f>
        <v>20190312155006289</v>
      </c>
      <c r="B6602" t="str">
        <f>"1552377006282576"</f>
        <v>1552377006282576</v>
      </c>
      <c r="C6602" t="s">
        <v>40</v>
      </c>
      <c r="D6602">
        <v>4.4480420000000001</v>
      </c>
      <c r="E6602">
        <v>0.46163700000000002</v>
      </c>
      <c r="F6602" t="s">
        <v>75</v>
      </c>
      <c r="G6602">
        <v>-221.8476</v>
      </c>
      <c r="H6602" s="1">
        <v>5.855009E-8</v>
      </c>
      <c r="I6602">
        <v>-60.522039999999997</v>
      </c>
      <c r="J6602">
        <v>-252.71299999999999</v>
      </c>
      <c r="K6602">
        <v>1.1103590000000001</v>
      </c>
      <c r="L6602">
        <v>-61.711519999999901</v>
      </c>
      <c r="M6602">
        <v>0.99985520000000006</v>
      </c>
      <c r="N6602">
        <v>0</v>
      </c>
      <c r="O6602">
        <v>-1.014492E-2</v>
      </c>
      <c r="P6602">
        <v>0.99774059999999998</v>
      </c>
      <c r="Q6602">
        <v>-2.1589540000000001E-2</v>
      </c>
      <c r="R6602">
        <v>-6.362458E-2</v>
      </c>
      <c r="S6602">
        <v>3.011917</v>
      </c>
      <c r="T6602">
        <v>-0.1079804</v>
      </c>
      <c r="U6602">
        <v>0.1156006</v>
      </c>
      <c r="V6602">
        <v>5.35056E-2</v>
      </c>
      <c r="W6602">
        <v>-7.8822900000000001E-3</v>
      </c>
      <c r="X6602">
        <v>0.99853650000000005</v>
      </c>
      <c r="Y6602">
        <v>-4.8451670000000002E-2</v>
      </c>
      <c r="Z6602">
        <v>1.2314260000000001E-3</v>
      </c>
      <c r="AA6602">
        <v>0.99882479999999996</v>
      </c>
      <c r="AB6602">
        <v>22</v>
      </c>
      <c r="AC6602">
        <v>30.865399999999902</v>
      </c>
      <c r="AD6602">
        <v>-1.11035894144991</v>
      </c>
      <c r="AE6602">
        <v>1.1894799999999801</v>
      </c>
      <c r="AF6602">
        <v>-1.5006358580746</v>
      </c>
      <c r="AG6602">
        <v>-1.11035894144991</v>
      </c>
      <c r="AH6602">
        <v>30.8119270610716</v>
      </c>
      <c r="AI6602">
        <v>92.061414168875302</v>
      </c>
      <c r="AJ6602">
        <v>92.788277940129106</v>
      </c>
      <c r="AK6602">
        <v>30.868424873553099</v>
      </c>
      <c r="AL6602">
        <v>90.451626599161202</v>
      </c>
      <c r="AM6602">
        <v>86.932795115962307</v>
      </c>
      <c r="AN6602">
        <v>1.00000006077962</v>
      </c>
    </row>
    <row r="6603" spans="1:40" x14ac:dyDescent="0.25">
      <c r="A6603" t="str">
        <f>"20190312155006300"</f>
        <v>20190312155006300</v>
      </c>
      <c r="B6603" t="str">
        <f>"1552377006292336"</f>
        <v>1552377006292336</v>
      </c>
      <c r="C6603" t="s">
        <v>40</v>
      </c>
      <c r="D6603">
        <v>4.4446500000000002</v>
      </c>
      <c r="E6603">
        <v>0.46167449999999999</v>
      </c>
      <c r="F6603" t="s">
        <v>75</v>
      </c>
      <c r="G6603">
        <v>-221.76920000000001</v>
      </c>
      <c r="H6603" s="1">
        <v>9.4946870000000001E-8</v>
      </c>
      <c r="I6603">
        <v>-60.509749999999997</v>
      </c>
      <c r="J6603">
        <v>-252.60079999999999</v>
      </c>
      <c r="K6603">
        <v>1.11036</v>
      </c>
      <c r="L6603">
        <v>-61.71228</v>
      </c>
      <c r="M6603">
        <v>0.99985829999999998</v>
      </c>
      <c r="N6603">
        <v>0</v>
      </c>
      <c r="O6603">
        <v>-9.8194900000000002E-3</v>
      </c>
      <c r="P6603">
        <v>0.99775959999999997</v>
      </c>
      <c r="Q6603">
        <v>-2.1606400000000001E-2</v>
      </c>
      <c r="R6603">
        <v>-6.3317670000000006E-2</v>
      </c>
      <c r="S6603">
        <v>3.0119319999999998</v>
      </c>
      <c r="T6603">
        <v>-0.1080772</v>
      </c>
      <c r="U6603">
        <v>0.11697390000000001</v>
      </c>
      <c r="V6603">
        <v>5.3523359999999999E-2</v>
      </c>
      <c r="W6603">
        <v>-7.9005020000000002E-3</v>
      </c>
      <c r="X6603">
        <v>0.99853530000000001</v>
      </c>
      <c r="Y6603">
        <v>-4.8581180000000002E-2</v>
      </c>
      <c r="Z6603">
        <v>1.223163E-3</v>
      </c>
      <c r="AA6603">
        <v>0.99881850000000005</v>
      </c>
      <c r="AB6603">
        <v>22</v>
      </c>
      <c r="AC6603">
        <v>30.831599999999899</v>
      </c>
      <c r="AD6603">
        <v>-1.1103599050531201</v>
      </c>
      <c r="AE6603">
        <v>1.2025300000000101</v>
      </c>
      <c r="AF6603">
        <v>-1.50330410158161</v>
      </c>
      <c r="AG6603">
        <v>-1.1103599050531201</v>
      </c>
      <c r="AH6603">
        <v>30.778445333022201</v>
      </c>
      <c r="AI6603">
        <v>92.063642476775996</v>
      </c>
      <c r="AJ6603">
        <v>92.796261601741193</v>
      </c>
      <c r="AK6603">
        <v>30.835134497167601</v>
      </c>
      <c r="AL6603">
        <v>90.452670149453894</v>
      </c>
      <c r="AM6603">
        <v>86.931775289871197</v>
      </c>
      <c r="AN6603">
        <v>0.99999995667181396</v>
      </c>
    </row>
    <row r="6604" spans="1:40" x14ac:dyDescent="0.25">
      <c r="A6604" t="str">
        <f>"20190312155006310"</f>
        <v>20190312155006310</v>
      </c>
      <c r="B6604" t="str">
        <f>"1552377006302096"</f>
        <v>1552377006302096</v>
      </c>
      <c r="C6604" t="s">
        <v>40</v>
      </c>
      <c r="D6604">
        <v>4.4602240000000002</v>
      </c>
      <c r="E6604">
        <v>0.4617018</v>
      </c>
      <c r="F6604" t="s">
        <v>75</v>
      </c>
      <c r="G6604">
        <v>-221.8519</v>
      </c>
      <c r="H6604" s="1">
        <v>5.9115339999999999E-8</v>
      </c>
      <c r="I6604">
        <v>-60.511200000000002</v>
      </c>
      <c r="J6604">
        <v>-252.49170000000001</v>
      </c>
      <c r="K6604">
        <v>1.1103590000000001</v>
      </c>
      <c r="L6604">
        <v>-61.713009999999997</v>
      </c>
      <c r="M6604">
        <v>0.99986140000000001</v>
      </c>
      <c r="N6604">
        <v>0</v>
      </c>
      <c r="O6604">
        <v>-9.5034769999999998E-3</v>
      </c>
      <c r="P6604">
        <v>0.99779300000000004</v>
      </c>
      <c r="Q6604">
        <v>-2.1289260000000001E-2</v>
      </c>
      <c r="R6604">
        <v>-6.2896939999999998E-2</v>
      </c>
      <c r="S6604">
        <v>3.0118260000000001</v>
      </c>
      <c r="T6604">
        <v>-0.1087587</v>
      </c>
      <c r="U6604">
        <v>0.11764529999999999</v>
      </c>
      <c r="V6604">
        <v>5.3417659999999999E-2</v>
      </c>
      <c r="W6604">
        <v>-7.5845879999999997E-3</v>
      </c>
      <c r="X6604">
        <v>0.99854339999999997</v>
      </c>
      <c r="Y6604">
        <v>-4.8488969999999999E-2</v>
      </c>
      <c r="Z6604">
        <v>1.2178410000000001E-3</v>
      </c>
      <c r="AA6604">
        <v>0.99882300000000002</v>
      </c>
      <c r="AB6604">
        <v>22</v>
      </c>
      <c r="AC6604">
        <v>30.639800000000001</v>
      </c>
      <c r="AD6604">
        <v>-1.1103589408846599</v>
      </c>
      <c r="AE6604">
        <v>1.2018099999999901</v>
      </c>
      <c r="AF6604">
        <v>-1.49101246359793</v>
      </c>
      <c r="AG6604">
        <v>-1.1103589408846599</v>
      </c>
      <c r="AH6604">
        <v>30.586886416522201</v>
      </c>
      <c r="AI6604">
        <v>92.076563225425105</v>
      </c>
      <c r="AJ6604">
        <v>92.790776081885795</v>
      </c>
      <c r="AK6604">
        <v>30.643329385062501</v>
      </c>
      <c r="AL6604">
        <v>90.434569071334707</v>
      </c>
      <c r="AM6604">
        <v>86.937847788045502</v>
      </c>
      <c r="AN6604">
        <v>0.99999994702928097</v>
      </c>
    </row>
    <row r="6605" spans="1:40" x14ac:dyDescent="0.25">
      <c r="A6605" t="str">
        <f>"20190312155006322"</f>
        <v>20190312155006322</v>
      </c>
      <c r="B6605" t="str">
        <f>"1552377006311857"</f>
        <v>1552377006311857</v>
      </c>
      <c r="C6605" t="s">
        <v>40</v>
      </c>
      <c r="D6605">
        <v>4.4299359999999997</v>
      </c>
      <c r="E6605">
        <v>0.46169729999999998</v>
      </c>
      <c r="F6605" t="s">
        <v>75</v>
      </c>
      <c r="G6605">
        <v>-221.69659999999999</v>
      </c>
      <c r="H6605" s="1">
        <v>1.284059E-7</v>
      </c>
      <c r="I6605">
        <v>-60.499200000000002</v>
      </c>
      <c r="J6605">
        <v>-252.3766</v>
      </c>
      <c r="K6605">
        <v>1.1103609999999999</v>
      </c>
      <c r="L6605">
        <v>-61.713709999999999</v>
      </c>
      <c r="M6605">
        <v>0.99986459999999999</v>
      </c>
      <c r="N6605">
        <v>0</v>
      </c>
      <c r="O6605">
        <v>-9.1704200000000003E-3</v>
      </c>
      <c r="P6605">
        <v>0.99782110000000002</v>
      </c>
      <c r="Q6605">
        <v>-2.138054E-2</v>
      </c>
      <c r="R6605">
        <v>-6.242077E-2</v>
      </c>
      <c r="S6605">
        <v>3.0118100000000001</v>
      </c>
      <c r="T6605">
        <v>-0.1085951</v>
      </c>
      <c r="U6605">
        <v>0.1187134</v>
      </c>
      <c r="V6605">
        <v>5.3273639999999997E-2</v>
      </c>
      <c r="W6605">
        <v>-7.6772589999999996E-3</v>
      </c>
      <c r="X6605">
        <v>0.99855039999999995</v>
      </c>
      <c r="Y6605">
        <v>-4.8510449999999997E-2</v>
      </c>
      <c r="Z6605">
        <v>1.204393E-3</v>
      </c>
      <c r="AA6605">
        <v>0.99882199999999999</v>
      </c>
      <c r="AB6605">
        <v>22</v>
      </c>
      <c r="AC6605">
        <v>30.68</v>
      </c>
      <c r="AD6605">
        <v>-1.1103608715941</v>
      </c>
      <c r="AE6605">
        <v>1.21450999999999</v>
      </c>
      <c r="AF6605">
        <v>-1.49387999314775</v>
      </c>
      <c r="AG6605">
        <v>-1.1103608715941</v>
      </c>
      <c r="AH6605">
        <v>30.627516766425298</v>
      </c>
      <c r="AI6605">
        <v>92.073811555255702</v>
      </c>
      <c r="AJ6605">
        <v>92.792431352699495</v>
      </c>
      <c r="AK6605">
        <v>30.6840245400886</v>
      </c>
      <c r="AL6605">
        <v>90.439878877175403</v>
      </c>
      <c r="AM6605">
        <v>86.946109412861802</v>
      </c>
      <c r="AN6605">
        <v>0.99999996118237999</v>
      </c>
    </row>
    <row r="6606" spans="1:40" x14ac:dyDescent="0.25">
      <c r="A6606" t="str">
        <f>"20190312155006334"</f>
        <v>20190312155006334</v>
      </c>
      <c r="B6606" t="str">
        <f>"1552377006322592"</f>
        <v>1552377006322592</v>
      </c>
      <c r="C6606" t="s">
        <v>40</v>
      </c>
      <c r="D6606">
        <v>4.4395819999999997</v>
      </c>
      <c r="E6606">
        <v>0.46166839999999998</v>
      </c>
      <c r="F6606" t="s">
        <v>75</v>
      </c>
      <c r="G6606">
        <v>-221.79910000000001</v>
      </c>
      <c r="H6606" s="1">
        <v>8.5718509999999905E-8</v>
      </c>
      <c r="I6606">
        <v>-60.493560000000002</v>
      </c>
      <c r="J6606">
        <v>-252.26179999999999</v>
      </c>
      <c r="K6606">
        <v>1.1103609999999999</v>
      </c>
      <c r="L6606">
        <v>-61.714390000000002</v>
      </c>
      <c r="M6606">
        <v>0.99986739999999996</v>
      </c>
      <c r="N6606">
        <v>0</v>
      </c>
      <c r="O6606">
        <v>-8.8385579999999998E-3</v>
      </c>
      <c r="P6606">
        <v>0.9978361</v>
      </c>
      <c r="Q6606">
        <v>-2.1533469999999999E-2</v>
      </c>
      <c r="R6606">
        <v>-6.2124550000000001E-2</v>
      </c>
      <c r="S6606">
        <v>3.0117340000000001</v>
      </c>
      <c r="T6606">
        <v>-0.1093649</v>
      </c>
      <c r="U6606">
        <v>0.1201782</v>
      </c>
      <c r="V6606">
        <v>5.3309049999999997E-2</v>
      </c>
      <c r="W6606">
        <v>-7.8315720000000002E-3</v>
      </c>
      <c r="X6606">
        <v>0.99854739999999997</v>
      </c>
      <c r="Y6606">
        <v>-4.8664560000000003E-2</v>
      </c>
      <c r="Z6606">
        <v>1.203696E-3</v>
      </c>
      <c r="AA6606">
        <v>0.99881450000000005</v>
      </c>
      <c r="AB6606">
        <v>22</v>
      </c>
      <c r="AC6606">
        <v>30.462699999999899</v>
      </c>
      <c r="AD6606">
        <v>-1.1103609142814901</v>
      </c>
      <c r="AE6606">
        <v>1.2208300000000001</v>
      </c>
      <c r="AF6606">
        <v>-1.48807995124337</v>
      </c>
      <c r="AG6606">
        <v>-1.1103609142814901</v>
      </c>
      <c r="AH6606">
        <v>30.410380300855898</v>
      </c>
      <c r="AI6606">
        <v>92.088589992435303</v>
      </c>
      <c r="AJ6606">
        <v>92.801436425173193</v>
      </c>
      <c r="AK6606">
        <v>30.467006963992102</v>
      </c>
      <c r="AL6606">
        <v>90.448720587495501</v>
      </c>
      <c r="AM6606">
        <v>86.944074230887693</v>
      </c>
      <c r="AN6606">
        <v>1.00000004918932</v>
      </c>
    </row>
    <row r="6607" spans="1:40" x14ac:dyDescent="0.25">
      <c r="A6607" t="str">
        <f>"20190312155006345"</f>
        <v>20190312155006345</v>
      </c>
      <c r="B6607" t="str">
        <f>"1552377006342222"</f>
        <v>1552377006342222</v>
      </c>
      <c r="C6607" t="s">
        <v>40</v>
      </c>
      <c r="D6607">
        <v>4.4337289999999996</v>
      </c>
      <c r="E6607">
        <v>0.46160129999999999</v>
      </c>
      <c r="F6607" t="s">
        <v>75</v>
      </c>
      <c r="G6607">
        <v>-222.04519999999999</v>
      </c>
      <c r="H6607" s="1">
        <v>-2.069129E-8</v>
      </c>
      <c r="I6607">
        <v>-60.49729</v>
      </c>
      <c r="J6607">
        <v>-252.15440000000001</v>
      </c>
      <c r="K6607">
        <v>1.1103609999999999</v>
      </c>
      <c r="L6607">
        <v>-61.715000000000003</v>
      </c>
      <c r="M6607">
        <v>0.99987029999999999</v>
      </c>
      <c r="N6607">
        <v>0</v>
      </c>
      <c r="O6607">
        <v>-8.5282719999999999E-3</v>
      </c>
      <c r="P6607">
        <v>0.99786189999999997</v>
      </c>
      <c r="Q6607">
        <v>-2.168055E-2</v>
      </c>
      <c r="R6607">
        <v>-6.1658520000000001E-2</v>
      </c>
      <c r="S6607">
        <v>3.011673</v>
      </c>
      <c r="T6607">
        <v>-0.110669</v>
      </c>
      <c r="U6607">
        <v>0.121307399999999</v>
      </c>
      <c r="V6607">
        <v>5.3152600000000001E-2</v>
      </c>
      <c r="W6607">
        <v>-7.979969E-3</v>
      </c>
      <c r="X6607">
        <v>0.99855450000000001</v>
      </c>
      <c r="Y6607">
        <v>-4.8728540000000001E-2</v>
      </c>
      <c r="Z6607">
        <v>1.207835E-3</v>
      </c>
      <c r="AA6607">
        <v>0.99881129999999996</v>
      </c>
      <c r="AB6607">
        <v>22</v>
      </c>
      <c r="AC6607">
        <v>30.109200000000001</v>
      </c>
      <c r="AD6607">
        <v>-1.1103610206912899</v>
      </c>
      <c r="AE6607">
        <v>1.2177100000000001</v>
      </c>
      <c r="AF6607">
        <v>-1.4724698750531799</v>
      </c>
      <c r="AG6607">
        <v>-1.1103610206912899</v>
      </c>
      <c r="AH6607">
        <v>30.056909095974898</v>
      </c>
      <c r="AI6607">
        <v>92.113124225238195</v>
      </c>
      <c r="AJ6607">
        <v>92.804643488084096</v>
      </c>
      <c r="AK6607">
        <v>30.1134331077164</v>
      </c>
      <c r="AL6607">
        <v>90.457223404345598</v>
      </c>
      <c r="AM6607">
        <v>86.953047381338706</v>
      </c>
      <c r="AN6607">
        <v>0.99999998413112501</v>
      </c>
    </row>
    <row r="6608" spans="1:40" x14ac:dyDescent="0.25">
      <c r="A6608" t="str">
        <f>"20190312155006355"</f>
        <v>20190312155006355</v>
      </c>
      <c r="B6608" t="str">
        <f>"1552377006351982"</f>
        <v>1552377006351982</v>
      </c>
      <c r="C6608" t="s">
        <v>40</v>
      </c>
      <c r="D6608">
        <v>4.4767510000000001</v>
      </c>
      <c r="E6608">
        <v>0.46162700000000001</v>
      </c>
      <c r="F6608" t="s">
        <v>75</v>
      </c>
      <c r="G6608">
        <v>-222.5821</v>
      </c>
      <c r="H6608" s="1">
        <v>-2.52511E-7</v>
      </c>
      <c r="I6608">
        <v>-60.504040000000003</v>
      </c>
      <c r="J6608">
        <v>-252.04069999999999</v>
      </c>
      <c r="K6608">
        <v>1.1103670000000001</v>
      </c>
      <c r="L6608">
        <v>-61.715609999999998</v>
      </c>
      <c r="M6608">
        <v>0.99987289999999995</v>
      </c>
      <c r="N6608">
        <v>0</v>
      </c>
      <c r="O6608">
        <v>-8.1999869999999902E-3</v>
      </c>
      <c r="P6608">
        <v>0.99788189999999999</v>
      </c>
      <c r="Q6608">
        <v>-2.1979080000000002E-2</v>
      </c>
      <c r="R6608">
        <v>-6.1226950000000002E-2</v>
      </c>
      <c r="S6608">
        <v>3.0115970000000001</v>
      </c>
      <c r="T6608">
        <v>-0.11307730000000001</v>
      </c>
      <c r="U6608">
        <v>0.1233215</v>
      </c>
      <c r="V6608">
        <v>5.3048900000000003E-2</v>
      </c>
      <c r="W6608">
        <v>-8.2799469999999993E-3</v>
      </c>
      <c r="X6608">
        <v>0.99855760000000005</v>
      </c>
      <c r="Y6608">
        <v>-4.9066819999999997E-2</v>
      </c>
      <c r="Z6608">
        <v>1.228142E-3</v>
      </c>
      <c r="AA6608">
        <v>0.99879470000000004</v>
      </c>
      <c r="AB6608">
        <v>22</v>
      </c>
      <c r="AC6608">
        <v>29.458599999999901</v>
      </c>
      <c r="AD6608">
        <v>-1.110367252511</v>
      </c>
      <c r="AE6608">
        <v>1.21156999999999</v>
      </c>
      <c r="AF6608">
        <v>-1.45105391527248</v>
      </c>
      <c r="AG6608">
        <v>-1.110367252511</v>
      </c>
      <c r="AH6608">
        <v>29.405966462643701</v>
      </c>
      <c r="AI6608">
        <v>92.159831808939003</v>
      </c>
      <c r="AJ6608">
        <v>92.825000932258803</v>
      </c>
      <c r="AK6608">
        <v>29.462677008421998</v>
      </c>
      <c r="AL6608">
        <v>90.474411432889696</v>
      </c>
      <c r="AM6608">
        <v>86.958990198897993</v>
      </c>
      <c r="AN6608">
        <v>1.00000001191564</v>
      </c>
    </row>
    <row r="6609" spans="1:40" x14ac:dyDescent="0.25">
      <c r="A6609" t="str">
        <f>"20190312155006380"</f>
        <v>20190312155006380</v>
      </c>
      <c r="B6609" t="str">
        <f>"1552377006372478"</f>
        <v>1552377006372478</v>
      </c>
      <c r="C6609" t="s">
        <v>40</v>
      </c>
      <c r="D6609">
        <v>4.4727430000000004</v>
      </c>
      <c r="E6609">
        <v>0.46161760000000002</v>
      </c>
      <c r="F6609" t="s">
        <v>75</v>
      </c>
      <c r="G6609">
        <v>-222.8322</v>
      </c>
      <c r="H6609" s="1">
        <v>-3.6086729999999997E-7</v>
      </c>
      <c r="I6609">
        <v>-60.508850000000002</v>
      </c>
      <c r="J6609">
        <v>-251.81700000000001</v>
      </c>
      <c r="K6609">
        <v>1.1103639999999999</v>
      </c>
      <c r="L6609">
        <v>-61.716669999999901</v>
      </c>
      <c r="M6609">
        <v>0.99987800000000004</v>
      </c>
      <c r="N6609">
        <v>0</v>
      </c>
      <c r="O6609">
        <v>-7.5536719999999896E-3</v>
      </c>
      <c r="P6609">
        <v>0.99794130000000003</v>
      </c>
      <c r="Q6609">
        <v>-2.1883469999999999E-2</v>
      </c>
      <c r="R6609">
        <v>-6.0286149999999997E-2</v>
      </c>
      <c r="S6609">
        <v>3.0114749999999999</v>
      </c>
      <c r="T6609">
        <v>-0.114481399999999</v>
      </c>
      <c r="U6609">
        <v>0.12442019999999999</v>
      </c>
      <c r="V6609">
        <v>5.2753130000000002E-2</v>
      </c>
      <c r="W6609">
        <v>-8.1870339999999993E-3</v>
      </c>
      <c r="X6609">
        <v>0.99857399999999996</v>
      </c>
      <c r="Y6609">
        <v>-4.8786280000000001E-2</v>
      </c>
      <c r="Z6609">
        <v>1.2135410000000001E-3</v>
      </c>
      <c r="AA6609">
        <v>0.99880849999999999</v>
      </c>
      <c r="AB6609">
        <v>22</v>
      </c>
      <c r="AC6609">
        <v>28.9848</v>
      </c>
      <c r="AD6609">
        <v>-1.1103643608672999</v>
      </c>
      <c r="AE6609">
        <v>1.2078199999999899</v>
      </c>
      <c r="AF6609">
        <v>-1.4246605489425099</v>
      </c>
      <c r="AG6609">
        <v>-1.1103643608672999</v>
      </c>
      <c r="AH6609">
        <v>28.932462607707201</v>
      </c>
      <c r="AI6609">
        <v>92.195150529433306</v>
      </c>
      <c r="AJ6609">
        <v>92.819018928061993</v>
      </c>
      <c r="AK6609">
        <v>28.9887902341573</v>
      </c>
      <c r="AL6609">
        <v>90.469087746181401</v>
      </c>
      <c r="AM6609">
        <v>86.975963126673307</v>
      </c>
      <c r="AN6609">
        <v>0.99999997686325603</v>
      </c>
    </row>
    <row r="6610" spans="1:40" x14ac:dyDescent="0.25">
      <c r="A6610" t="str">
        <f>"20190312155006391"</f>
        <v>20190312155006391</v>
      </c>
      <c r="B6610" t="str">
        <f>"1552377006382239"</f>
        <v>1552377006382239</v>
      </c>
      <c r="C6610" t="s">
        <v>40</v>
      </c>
      <c r="D6610">
        <v>4.4686240000000002</v>
      </c>
      <c r="E6610">
        <v>0.4616016</v>
      </c>
      <c r="F6610" t="s">
        <v>75</v>
      </c>
      <c r="G6610">
        <v>-222.81479999999999</v>
      </c>
      <c r="H6610" s="1">
        <v>-3.4921399999999999E-7</v>
      </c>
      <c r="I6610">
        <v>-60.489879999999999</v>
      </c>
      <c r="J6610">
        <v>-251.70699999999999</v>
      </c>
      <c r="K6610">
        <v>1.110366</v>
      </c>
      <c r="L6610">
        <v>-61.717100000000002</v>
      </c>
      <c r="M6610">
        <v>0.9998804</v>
      </c>
      <c r="N6610">
        <v>0</v>
      </c>
      <c r="O6610">
        <v>-7.2361169999999898E-3</v>
      </c>
      <c r="P6610">
        <v>0.99796899999999999</v>
      </c>
      <c r="Q6610">
        <v>-2.1754039999999999E-2</v>
      </c>
      <c r="R6610">
        <v>-5.9872309999999998E-2</v>
      </c>
      <c r="S6610">
        <v>3.0113530000000002</v>
      </c>
      <c r="T6610">
        <v>-0.1152914</v>
      </c>
      <c r="U6610">
        <v>0.12738039999999901</v>
      </c>
      <c r="V6610">
        <v>5.2655859999999999E-2</v>
      </c>
      <c r="W6610">
        <v>-8.0589040000000004E-3</v>
      </c>
      <c r="X6610">
        <v>0.99858020000000003</v>
      </c>
      <c r="Y6610">
        <v>-4.9450019999999997E-2</v>
      </c>
      <c r="Z6610">
        <v>1.2226909999999999E-3</v>
      </c>
      <c r="AA6610">
        <v>0.99877579999999999</v>
      </c>
      <c r="AB6610">
        <v>22</v>
      </c>
      <c r="AC6610">
        <v>28.892199999999999</v>
      </c>
      <c r="AD6610">
        <v>-1.1103663492139999</v>
      </c>
      <c r="AE6610">
        <v>1.22721999999999</v>
      </c>
      <c r="AF6610">
        <v>-1.43416034038423</v>
      </c>
      <c r="AG6610">
        <v>-1.1103663492139999</v>
      </c>
      <c r="AH6610">
        <v>28.840043159016101</v>
      </c>
      <c r="AI6610">
        <v>92.202129121979695</v>
      </c>
      <c r="AJ6610">
        <v>92.846864727145601</v>
      </c>
      <c r="AK6610">
        <v>28.897020931668902</v>
      </c>
      <c r="AL6610">
        <v>90.461746184568995</v>
      </c>
      <c r="AM6610">
        <v>86.981547448141697</v>
      </c>
      <c r="AN6610">
        <v>1.0000000006790299</v>
      </c>
    </row>
    <row r="6611" spans="1:40" x14ac:dyDescent="0.25">
      <c r="A6611" t="str">
        <f>"20190312155006400"</f>
        <v>20190312155006400</v>
      </c>
      <c r="B6611" t="str">
        <f>"1552377006391998"</f>
        <v>1552377006391998</v>
      </c>
      <c r="C6611" t="s">
        <v>40</v>
      </c>
      <c r="D6611">
        <v>4.4593109999999996</v>
      </c>
      <c r="E6611">
        <v>0.46159709999999998</v>
      </c>
      <c r="F6611" t="s">
        <v>75</v>
      </c>
      <c r="G6611">
        <v>-222.79140000000001</v>
      </c>
      <c r="H6611" s="1">
        <v>-3.3712759999999998E-7</v>
      </c>
      <c r="I6611">
        <v>-60.4807699999999</v>
      </c>
      <c r="J6611">
        <v>-251.59549999999999</v>
      </c>
      <c r="K6611">
        <v>1.110365</v>
      </c>
      <c r="L6611">
        <v>-61.717559999999999</v>
      </c>
      <c r="M6611">
        <v>0.99988279999999996</v>
      </c>
      <c r="N6611">
        <v>0</v>
      </c>
      <c r="O6611">
        <v>-6.914389E-3</v>
      </c>
      <c r="P6611">
        <v>0.99799720000000003</v>
      </c>
      <c r="Q6611">
        <v>-2.175966E-2</v>
      </c>
      <c r="R6611">
        <v>-5.9400960000000003E-2</v>
      </c>
      <c r="S6611">
        <v>3.0113219999999998</v>
      </c>
      <c r="T6611">
        <v>-0.1156354</v>
      </c>
      <c r="U6611">
        <v>0.1287537</v>
      </c>
      <c r="V6611">
        <v>5.2505700000000002E-2</v>
      </c>
      <c r="W6611">
        <v>-8.0658680000000003E-3</v>
      </c>
      <c r="X6611">
        <v>0.99858800000000003</v>
      </c>
      <c r="Y6611">
        <v>-4.9583639999999998E-2</v>
      </c>
      <c r="Z6611">
        <v>1.2165539999999999E-3</v>
      </c>
      <c r="AA6611">
        <v>0.99876920000000002</v>
      </c>
      <c r="AB6611">
        <v>22</v>
      </c>
      <c r="AC6611">
        <v>28.804099999999899</v>
      </c>
      <c r="AD6611">
        <v>-1.1103653371276001</v>
      </c>
      <c r="AE6611">
        <v>1.2367900000000001</v>
      </c>
      <c r="AF6611">
        <v>-1.4338150143739601</v>
      </c>
      <c r="AG6611">
        <v>-1.1103653371276001</v>
      </c>
      <c r="AH6611">
        <v>28.752211286840801</v>
      </c>
      <c r="AI6611">
        <v>92.2088321571986</v>
      </c>
      <c r="AJ6611">
        <v>92.854860481040006</v>
      </c>
      <c r="AK6611">
        <v>28.809345542036699</v>
      </c>
      <c r="AL6611">
        <v>90.462145228651394</v>
      </c>
      <c r="AM6611">
        <v>86.990162859847004</v>
      </c>
      <c r="AN6611">
        <v>0.99999995025153998</v>
      </c>
    </row>
    <row r="6612" spans="1:40" x14ac:dyDescent="0.25">
      <c r="A6612" t="str">
        <f>"20190312155006412"</f>
        <v>20190312155006412</v>
      </c>
      <c r="B6612" t="str">
        <f>"1552377006402735"</f>
        <v>1552377006402735</v>
      </c>
      <c r="C6612" t="s">
        <v>40</v>
      </c>
      <c r="D6612">
        <v>4.4327459999999999</v>
      </c>
      <c r="E6612">
        <v>0.46158860000000002</v>
      </c>
      <c r="F6612" t="s">
        <v>75</v>
      </c>
      <c r="G6612">
        <v>-222.87860000000001</v>
      </c>
      <c r="H6612" s="1">
        <v>-3.7338459999999998E-7</v>
      </c>
      <c r="I6612">
        <v>-60.475439999999999</v>
      </c>
      <c r="J6612">
        <v>-251.48820000000001</v>
      </c>
      <c r="K6612">
        <v>1.1103639999999999</v>
      </c>
      <c r="L6612">
        <v>-61.717930000000003</v>
      </c>
      <c r="M6612">
        <v>0.99988500000000002</v>
      </c>
      <c r="N6612">
        <v>0</v>
      </c>
      <c r="O6612">
        <v>-6.6044609999999998E-3</v>
      </c>
      <c r="P6612">
        <v>0.99802599999999997</v>
      </c>
      <c r="Q6612">
        <v>-2.1690480000000002E-2</v>
      </c>
      <c r="R6612">
        <v>-5.8942330000000001E-2</v>
      </c>
      <c r="S6612">
        <v>3.0112459999999999</v>
      </c>
      <c r="T6612">
        <v>-0.11643290000000001</v>
      </c>
      <c r="U6612">
        <v>0.130249</v>
      </c>
      <c r="V6612">
        <v>5.235621E-2</v>
      </c>
      <c r="W6612">
        <v>-7.9979209999999998E-3</v>
      </c>
      <c r="X6612">
        <v>0.99859640000000005</v>
      </c>
      <c r="Y6612">
        <v>-4.9769710000000002E-2</v>
      </c>
      <c r="Z6612">
        <v>1.2165749999999999E-3</v>
      </c>
      <c r="AA6612">
        <v>0.99875999999999998</v>
      </c>
      <c r="AB6612">
        <v>22</v>
      </c>
      <c r="AC6612">
        <v>28.6096</v>
      </c>
      <c r="AD6612">
        <v>-1.11036437338459</v>
      </c>
      <c r="AE6612">
        <v>1.2424900000000001</v>
      </c>
      <c r="AF6612">
        <v>-1.4292826380855901</v>
      </c>
      <c r="AG6612">
        <v>-1.11036437338459</v>
      </c>
      <c r="AH6612">
        <v>28.557833887460401</v>
      </c>
      <c r="AI6612">
        <v>92.223829478130895</v>
      </c>
      <c r="AJ6612">
        <v>92.865188920079802</v>
      </c>
      <c r="AK6612">
        <v>28.6151294640614</v>
      </c>
      <c r="AL6612">
        <v>90.458252024471605</v>
      </c>
      <c r="AM6612">
        <v>86.998741736413606</v>
      </c>
      <c r="AN6612">
        <v>0.99999995477942205</v>
      </c>
    </row>
    <row r="6613" spans="1:40" x14ac:dyDescent="0.25">
      <c r="A6613" t="str">
        <f>"20190312155006424"</f>
        <v>20190312155006424</v>
      </c>
      <c r="B6613" t="str">
        <f>"1552377006412495"</f>
        <v>1552377006412495</v>
      </c>
      <c r="C6613" t="s">
        <v>40</v>
      </c>
      <c r="D6613">
        <v>4.4554799999999997</v>
      </c>
      <c r="E6613">
        <v>0.46161049999999998</v>
      </c>
      <c r="F6613" t="s">
        <v>75</v>
      </c>
      <c r="G6613">
        <v>-222.8235</v>
      </c>
      <c r="H6613" s="1">
        <v>-3.4715640000000001E-7</v>
      </c>
      <c r="I6613">
        <v>-60.463790000000003</v>
      </c>
      <c r="J6613">
        <v>-251.3715</v>
      </c>
      <c r="K6613">
        <v>1.1103609999999999</v>
      </c>
      <c r="L6613">
        <v>-61.718350000000001</v>
      </c>
      <c r="M6613">
        <v>0.99988699999999997</v>
      </c>
      <c r="N6613">
        <v>0</v>
      </c>
      <c r="O6613">
        <v>-6.2674740000000003E-3</v>
      </c>
      <c r="P6613">
        <v>0.99807259999999998</v>
      </c>
      <c r="Q6613">
        <v>-2.1532519999999999E-2</v>
      </c>
      <c r="R6613">
        <v>-5.8205050000000001E-2</v>
      </c>
      <c r="S6613">
        <v>3.0111690000000002</v>
      </c>
      <c r="T6613">
        <v>-0.1166418</v>
      </c>
      <c r="U6613">
        <v>0.13174439999999901</v>
      </c>
      <c r="V6613">
        <v>5.1954809999999997E-2</v>
      </c>
      <c r="W6613">
        <v>-7.8412959999999993E-3</v>
      </c>
      <c r="X6613">
        <v>0.99861869999999997</v>
      </c>
      <c r="Y6613">
        <v>-4.9929229999999998E-2</v>
      </c>
      <c r="Z6613">
        <v>1.2088159999999999E-3</v>
      </c>
      <c r="AA6613">
        <v>0.99875199999999997</v>
      </c>
      <c r="AB6613">
        <v>22</v>
      </c>
      <c r="AC6613">
        <v>28.547999999999998</v>
      </c>
      <c r="AD6613">
        <v>-1.1103613471564</v>
      </c>
      <c r="AE6613">
        <v>1.2545599999999899</v>
      </c>
      <c r="AF6613">
        <v>-1.4313148095544901</v>
      </c>
      <c r="AG6613">
        <v>-1.1103613471564</v>
      </c>
      <c r="AH6613">
        <v>28.4965494649805</v>
      </c>
      <c r="AI6613">
        <v>92.228581215917799</v>
      </c>
      <c r="AJ6613">
        <v>92.875416129404499</v>
      </c>
      <c r="AK6613">
        <v>28.554069689194701</v>
      </c>
      <c r="AL6613">
        <v>90.449277749226496</v>
      </c>
      <c r="AM6613">
        <v>87.021776322322495</v>
      </c>
      <c r="AN6613">
        <v>1.0000000480973901</v>
      </c>
    </row>
    <row r="6614" spans="1:40" x14ac:dyDescent="0.25">
      <c r="A6614" t="str">
        <f>"20190312155006434"</f>
        <v>20190312155006434</v>
      </c>
      <c r="B6614" t="str">
        <f>"1552377006432015"</f>
        <v>1552377006432015</v>
      </c>
      <c r="C6614" t="s">
        <v>40</v>
      </c>
      <c r="D6614">
        <v>4.4638900000000001</v>
      </c>
      <c r="E6614">
        <v>0.4615977</v>
      </c>
      <c r="F6614" t="s">
        <v>75</v>
      </c>
      <c r="G6614">
        <v>-222.7002</v>
      </c>
      <c r="H6614" s="1">
        <v>-2.9000570000000001E-7</v>
      </c>
      <c r="I6614">
        <v>-60.444710000000001</v>
      </c>
      <c r="J6614">
        <v>-251.26679999999999</v>
      </c>
      <c r="K6614">
        <v>1.1103609999999999</v>
      </c>
      <c r="L6614">
        <v>-61.71866</v>
      </c>
      <c r="M6614">
        <v>0.99988900000000003</v>
      </c>
      <c r="N6614">
        <v>0</v>
      </c>
      <c r="O6614">
        <v>-5.9652919999999996E-3</v>
      </c>
      <c r="P6614">
        <v>0.99811899999999998</v>
      </c>
      <c r="Q6614">
        <v>-2.1769790000000001E-2</v>
      </c>
      <c r="R6614">
        <v>-5.7313240000000001E-2</v>
      </c>
      <c r="S6614">
        <v>3.011063</v>
      </c>
      <c r="T6614">
        <v>-0.1166103</v>
      </c>
      <c r="U6614">
        <v>0.1337585</v>
      </c>
      <c r="V6614">
        <v>5.1364849999999997E-2</v>
      </c>
      <c r="W6614">
        <v>-8.0800339999999998E-3</v>
      </c>
      <c r="X6614">
        <v>0.99864730000000002</v>
      </c>
      <c r="Y6614">
        <v>-5.0295699999999999E-2</v>
      </c>
      <c r="Z6614">
        <v>1.203911E-3</v>
      </c>
      <c r="AA6614">
        <v>0.9987336</v>
      </c>
      <c r="AB6614">
        <v>22</v>
      </c>
      <c r="AC6614">
        <v>28.566599999999902</v>
      </c>
      <c r="AD6614">
        <v>-1.1103612900057001</v>
      </c>
      <c r="AE6614">
        <v>1.2739499999999899</v>
      </c>
      <c r="AF6614">
        <v>-1.4421767851734499</v>
      </c>
      <c r="AG6614">
        <v>-1.1103612900057001</v>
      </c>
      <c r="AH6614">
        <v>28.5154952907378</v>
      </c>
      <c r="AI6614">
        <v>92.227063040250101</v>
      </c>
      <c r="AJ6614">
        <v>92.895278441039693</v>
      </c>
      <c r="AK6614">
        <v>28.573523544535501</v>
      </c>
      <c r="AL6614">
        <v>90.462956869177404</v>
      </c>
      <c r="AM6614">
        <v>87.055619130055106</v>
      </c>
      <c r="AN6614">
        <v>1.00000003228112</v>
      </c>
    </row>
    <row r="6615" spans="1:40" x14ac:dyDescent="0.25">
      <c r="A6615" t="str">
        <f>"20190312155006446"</f>
        <v>20190312155006446</v>
      </c>
      <c r="B6615" t="str">
        <f>"1552377006442338"</f>
        <v>1552377006442338</v>
      </c>
      <c r="C6615" t="s">
        <v>40</v>
      </c>
      <c r="D6615">
        <v>4.4638609999999996</v>
      </c>
      <c r="E6615">
        <v>0.46159990000000001</v>
      </c>
      <c r="F6615" t="s">
        <v>75</v>
      </c>
      <c r="G6615">
        <v>-223.0016</v>
      </c>
      <c r="H6615" s="1">
        <v>-4.1752159999999998E-7</v>
      </c>
      <c r="I6615">
        <v>-60.436630000000001</v>
      </c>
      <c r="J6615">
        <v>-251.15969999999999</v>
      </c>
      <c r="K6615">
        <v>1.1103609999999999</v>
      </c>
      <c r="L6615">
        <v>-61.71893</v>
      </c>
      <c r="M6615">
        <v>0.99989059999999996</v>
      </c>
      <c r="N6615">
        <v>0</v>
      </c>
      <c r="O6615">
        <v>-5.6558390000000002E-3</v>
      </c>
      <c r="P6615">
        <v>0.99816510000000003</v>
      </c>
      <c r="Q6615">
        <v>-2.1565620000000001E-2</v>
      </c>
      <c r="R6615">
        <v>-5.6582760000000003E-2</v>
      </c>
      <c r="S6615">
        <v>3.01091</v>
      </c>
      <c r="T6615">
        <v>-0.1182798</v>
      </c>
      <c r="U6615">
        <v>0.1365662</v>
      </c>
      <c r="V6615">
        <v>5.0942660000000001E-2</v>
      </c>
      <c r="W6615">
        <v>-7.87724699999999E-3</v>
      </c>
      <c r="X6615">
        <v>0.99867050000000002</v>
      </c>
      <c r="Y6615">
        <v>-5.091681E-2</v>
      </c>
      <c r="Z6615">
        <v>1.2212130000000001E-3</v>
      </c>
      <c r="AA6615">
        <v>0.99870219999999998</v>
      </c>
      <c r="AB6615">
        <v>22</v>
      </c>
      <c r="AC6615">
        <v>28.158099999999902</v>
      </c>
      <c r="AD6615">
        <v>-1.1103614175215999</v>
      </c>
      <c r="AE6615">
        <v>1.28229999999999</v>
      </c>
      <c r="AF6615">
        <v>-1.43931857795274</v>
      </c>
      <c r="AG6615">
        <v>-1.1103614175215999</v>
      </c>
      <c r="AH6615">
        <v>28.106781630075499</v>
      </c>
      <c r="AI6615">
        <v>92.259342118908506</v>
      </c>
      <c r="AJ6615">
        <v>92.931495620877698</v>
      </c>
      <c r="AK6615">
        <v>28.165505748115201</v>
      </c>
      <c r="AL6615">
        <v>90.451337681073099</v>
      </c>
      <c r="AM6615">
        <v>87.079845933901595</v>
      </c>
      <c r="AN6615">
        <v>0.99999998659921197</v>
      </c>
    </row>
    <row r="6616" spans="1:40" x14ac:dyDescent="0.25">
      <c r="A6616" t="str">
        <f>"20190312155006456"</f>
        <v>20190312155006456</v>
      </c>
      <c r="B6616" t="str">
        <f>"1552377006452097"</f>
        <v>1552377006452097</v>
      </c>
      <c r="C6616" t="s">
        <v>40</v>
      </c>
      <c r="D6616">
        <v>4.4576909999999996</v>
      </c>
      <c r="E6616">
        <v>0.46160909999999999</v>
      </c>
      <c r="F6616" t="s">
        <v>75</v>
      </c>
      <c r="G6616">
        <v>-222.81100000000001</v>
      </c>
      <c r="H6616" s="1">
        <v>-3.302755E-7</v>
      </c>
      <c r="I6616">
        <v>-60.412109999999998</v>
      </c>
      <c r="J6616">
        <v>-251.04570000000001</v>
      </c>
      <c r="K6616">
        <v>1.110365</v>
      </c>
      <c r="L6616">
        <v>-61.719209999999997</v>
      </c>
      <c r="M6616">
        <v>0.99989269999999997</v>
      </c>
      <c r="N6616">
        <v>0</v>
      </c>
      <c r="O6616">
        <v>-5.3269559999999999E-3</v>
      </c>
      <c r="P6616">
        <v>0.99821510000000002</v>
      </c>
      <c r="Q6616">
        <v>-2.131067E-2</v>
      </c>
      <c r="R6616">
        <v>-5.579307E-2</v>
      </c>
      <c r="S6616">
        <v>3.010834</v>
      </c>
      <c r="T6616">
        <v>-0.11792809999999999</v>
      </c>
      <c r="U6616">
        <v>0.1387939</v>
      </c>
      <c r="V6616">
        <v>5.048126E-2</v>
      </c>
      <c r="W6616">
        <v>-7.62364599999999E-3</v>
      </c>
      <c r="X6616">
        <v>0.99869589999999997</v>
      </c>
      <c r="Y6616">
        <v>-5.1327079999999997E-2</v>
      </c>
      <c r="Z6616">
        <v>1.2127500000000001E-3</v>
      </c>
      <c r="AA6616">
        <v>0.99868120000000005</v>
      </c>
      <c r="AB6616">
        <v>22</v>
      </c>
      <c r="AC6616">
        <v>28.2347</v>
      </c>
      <c r="AD6616">
        <v>-1.1103653302754899</v>
      </c>
      <c r="AE6616">
        <v>1.3070999999999899</v>
      </c>
      <c r="AF6616">
        <v>-1.4552546425678901</v>
      </c>
      <c r="AG6616">
        <v>-1.1103653302754899</v>
      </c>
      <c r="AH6616">
        <v>28.183841158218101</v>
      </c>
      <c r="AI6616">
        <v>92.253129882754706</v>
      </c>
      <c r="AJ6616">
        <v>92.955806024267105</v>
      </c>
      <c r="AK6616">
        <v>28.2432218359213</v>
      </c>
      <c r="AL6616">
        <v>90.436806976320199</v>
      </c>
      <c r="AM6616">
        <v>87.106322789509505</v>
      </c>
      <c r="AN6616">
        <v>0.99999998913316501</v>
      </c>
    </row>
    <row r="6617" spans="1:40" x14ac:dyDescent="0.25">
      <c r="A6617" t="str">
        <f>"20190312155006467"</f>
        <v>20190312155006467</v>
      </c>
      <c r="B6617" t="str">
        <f>"1552377006461857"</f>
        <v>1552377006461857</v>
      </c>
      <c r="C6617" t="s">
        <v>40</v>
      </c>
      <c r="D6617">
        <v>4.4767010000000003</v>
      </c>
      <c r="E6617">
        <v>0.4616307</v>
      </c>
      <c r="F6617" t="s">
        <v>75</v>
      </c>
      <c r="G6617">
        <v>-222.67490000000001</v>
      </c>
      <c r="H6617" s="1">
        <v>-2.6691899999999998E-7</v>
      </c>
      <c r="I6617">
        <v>-60.389760000000003</v>
      </c>
      <c r="J6617">
        <v>-250.93530000000001</v>
      </c>
      <c r="K6617">
        <v>1.1103670000000001</v>
      </c>
      <c r="L6617">
        <v>-61.7194199999999</v>
      </c>
      <c r="M6617">
        <v>0.99989419999999996</v>
      </c>
      <c r="N6617">
        <v>0</v>
      </c>
      <c r="O6617">
        <v>-5.0078479999999996E-3</v>
      </c>
      <c r="P6617">
        <v>0.99826950000000003</v>
      </c>
      <c r="Q6617">
        <v>-2.0975710000000002E-2</v>
      </c>
      <c r="R6617">
        <v>-5.4939109999999999E-2</v>
      </c>
      <c r="S6617">
        <v>3.010742</v>
      </c>
      <c r="T6617">
        <v>-0.11783299999999999</v>
      </c>
      <c r="U6617">
        <v>0.14108280000000001</v>
      </c>
      <c r="V6617">
        <v>4.994519E-2</v>
      </c>
      <c r="W6617">
        <v>-7.28994E-3</v>
      </c>
      <c r="X6617">
        <v>0.99872539999999999</v>
      </c>
      <c r="Y6617">
        <v>-5.1767300000000002E-2</v>
      </c>
      <c r="Z6617">
        <v>1.2079160000000001E-3</v>
      </c>
      <c r="AA6617">
        <v>0.99865839999999995</v>
      </c>
      <c r="AB6617">
        <v>22</v>
      </c>
      <c r="AC6617">
        <v>28.260400000000001</v>
      </c>
      <c r="AD6617">
        <v>-1.1103672669189999</v>
      </c>
      <c r="AE6617">
        <v>1.3296599999999901</v>
      </c>
      <c r="AF6617">
        <v>-1.46891767974534</v>
      </c>
      <c r="AG6617">
        <v>-1.1103672669189999</v>
      </c>
      <c r="AH6617">
        <v>28.209933346890502</v>
      </c>
      <c r="AI6617">
        <v>92.251001195310295</v>
      </c>
      <c r="AJ6617">
        <v>92.980752919211199</v>
      </c>
      <c r="AK6617">
        <v>28.269965936543301</v>
      </c>
      <c r="AL6617">
        <v>90.417686475732197</v>
      </c>
      <c r="AM6617">
        <v>87.137084319646704</v>
      </c>
      <c r="AN6617">
        <v>1.0000000449172399</v>
      </c>
    </row>
    <row r="6618" spans="1:40" x14ac:dyDescent="0.25">
      <c r="A6618" t="str">
        <f>"20190312155006478"</f>
        <v>20190312155006478</v>
      </c>
      <c r="B6618" t="str">
        <f>"1552377006472594"</f>
        <v>1552377006472594</v>
      </c>
      <c r="C6618" t="s">
        <v>40</v>
      </c>
      <c r="D6618">
        <v>4.4720839999999997</v>
      </c>
      <c r="E6618">
        <v>0.46163090000000001</v>
      </c>
      <c r="F6618" t="s">
        <v>75</v>
      </c>
      <c r="G6618">
        <v>-222.34909999999999</v>
      </c>
      <c r="H6618" s="1">
        <v>-1.316965E-7</v>
      </c>
      <c r="I6618">
        <v>-60.356929999999998</v>
      </c>
      <c r="J6618">
        <v>-250.82859999999999</v>
      </c>
      <c r="K6618">
        <v>1.110368</v>
      </c>
      <c r="L6618">
        <v>-61.7196</v>
      </c>
      <c r="M6618">
        <v>0.9998958</v>
      </c>
      <c r="N6618">
        <v>0</v>
      </c>
      <c r="O6618">
        <v>-4.699707E-3</v>
      </c>
      <c r="P6618">
        <v>0.99830980000000002</v>
      </c>
      <c r="Q6618">
        <v>-2.0861890000000001E-2</v>
      </c>
      <c r="R6618">
        <v>-5.4245269999999998E-2</v>
      </c>
      <c r="S6618">
        <v>3.0106350000000002</v>
      </c>
      <c r="T6618">
        <v>-0.1169413</v>
      </c>
      <c r="U6618">
        <v>0.1434937</v>
      </c>
      <c r="V6618">
        <v>4.9558820000000003E-2</v>
      </c>
      <c r="W6618">
        <v>-7.1772440000000002E-3</v>
      </c>
      <c r="X6618">
        <v>0.99874540000000001</v>
      </c>
      <c r="Y6618">
        <v>-5.2259630000000001E-2</v>
      </c>
      <c r="Z6618">
        <v>1.1963950000000001E-3</v>
      </c>
      <c r="AA6618">
        <v>0.99863279999999999</v>
      </c>
      <c r="AB6618">
        <v>22</v>
      </c>
      <c r="AC6618">
        <v>28.479500000000002</v>
      </c>
      <c r="AD6618">
        <v>-1.1103681316964999</v>
      </c>
      <c r="AE6618">
        <v>1.3626699999999901</v>
      </c>
      <c r="AF6618">
        <v>-1.4942465225850201</v>
      </c>
      <c r="AG6618">
        <v>-1.1103681316964999</v>
      </c>
      <c r="AH6618">
        <v>28.4296637441246</v>
      </c>
      <c r="AI6618">
        <v>92.233565965184496</v>
      </c>
      <c r="AJ6618">
        <v>93.008664276114601</v>
      </c>
      <c r="AK6618">
        <v>28.4905505503515</v>
      </c>
      <c r="AL6618">
        <v>90.411229327891505</v>
      </c>
      <c r="AM6618">
        <v>87.159251866602801</v>
      </c>
      <c r="AN6618">
        <v>0.99999998174619298</v>
      </c>
    </row>
    <row r="6619" spans="1:40" x14ac:dyDescent="0.25">
      <c r="A6619" t="str">
        <f>"20190312155006490"</f>
        <v>20190312155006490</v>
      </c>
      <c r="B6619" t="str">
        <f>"1552377006482354"</f>
        <v>1552377006482354</v>
      </c>
      <c r="C6619" t="s">
        <v>40</v>
      </c>
      <c r="D6619">
        <v>4.4485599999999996</v>
      </c>
      <c r="E6619">
        <v>0.46165869999999998</v>
      </c>
      <c r="F6619" t="s">
        <v>75</v>
      </c>
      <c r="G6619">
        <v>-222.22890000000001</v>
      </c>
      <c r="H6619" s="1">
        <v>-8.4615350000000006E-8</v>
      </c>
      <c r="I6619">
        <v>-60.3367199999999</v>
      </c>
      <c r="J6619">
        <v>-250.7193</v>
      </c>
      <c r="K6619">
        <v>1.1103639999999999</v>
      </c>
      <c r="L6619">
        <v>-61.719760000000001</v>
      </c>
      <c r="M6619">
        <v>0.99989709999999998</v>
      </c>
      <c r="N6619">
        <v>0</v>
      </c>
      <c r="O6619">
        <v>-4.3838169999999999E-3</v>
      </c>
      <c r="P6619">
        <v>0.99835680000000004</v>
      </c>
      <c r="Q6619">
        <v>-2.0600340000000002E-2</v>
      </c>
      <c r="R6619">
        <v>-5.3477980000000001E-2</v>
      </c>
      <c r="S6619">
        <v>3.010529</v>
      </c>
      <c r="T6619">
        <v>-0.1168821</v>
      </c>
      <c r="U6619">
        <v>0.1455688</v>
      </c>
      <c r="V6619">
        <v>4.9106419999999998E-2</v>
      </c>
      <c r="W6619">
        <v>-6.9168220000000004E-3</v>
      </c>
      <c r="X6619">
        <v>0.99876960000000004</v>
      </c>
      <c r="Y6619">
        <v>-5.2632610000000003E-2</v>
      </c>
      <c r="Z6619">
        <v>1.1907910000000001E-3</v>
      </c>
      <c r="AA6619">
        <v>0.99861319999999998</v>
      </c>
      <c r="AB6619">
        <v>22</v>
      </c>
      <c r="AC6619">
        <v>28.490399999999902</v>
      </c>
      <c r="AD6619">
        <v>-1.11036408461535</v>
      </c>
      <c r="AE6619">
        <v>1.38304</v>
      </c>
      <c r="AF6619">
        <v>-1.50565347616387</v>
      </c>
      <c r="AG6619">
        <v>-1.11036408461535</v>
      </c>
      <c r="AH6619">
        <v>28.440964754240898</v>
      </c>
      <c r="AI6619">
        <v>92.232626621186498</v>
      </c>
      <c r="AJ6619">
        <v>93.030387131707201</v>
      </c>
      <c r="AK6619">
        <v>28.502427562273802</v>
      </c>
      <c r="AL6619">
        <v>90.396307868975995</v>
      </c>
      <c r="AM6619">
        <v>87.185209964368198</v>
      </c>
      <c r="AN6619">
        <v>0.99999999839797804</v>
      </c>
    </row>
    <row r="6620" spans="1:40" x14ac:dyDescent="0.25">
      <c r="A6620" t="str">
        <f>"20190312155006500"</f>
        <v>20190312155006500</v>
      </c>
      <c r="B6620" t="str">
        <f>"1552377006492113"</f>
        <v>1552377006492113</v>
      </c>
      <c r="C6620" t="s">
        <v>40</v>
      </c>
      <c r="D6620">
        <v>4.4312199999999997</v>
      </c>
      <c r="E6620">
        <v>0.46165869999999998</v>
      </c>
      <c r="F6620" t="s">
        <v>75</v>
      </c>
      <c r="G6620">
        <v>-221.97450000000001</v>
      </c>
      <c r="H6620" s="1">
        <v>1.8460580000000001E-8</v>
      </c>
      <c r="I6620">
        <v>-60.309420000000003</v>
      </c>
      <c r="J6620">
        <v>-250.61150000000001</v>
      </c>
      <c r="K6620">
        <v>1.110365</v>
      </c>
      <c r="L6620">
        <v>-61.719880000000003</v>
      </c>
      <c r="M6620">
        <v>0.99989839999999997</v>
      </c>
      <c r="N6620">
        <v>0</v>
      </c>
      <c r="O6620">
        <v>-4.0723390000000003E-3</v>
      </c>
      <c r="P6620">
        <v>0.99837670000000001</v>
      </c>
      <c r="Q6620">
        <v>-2.0731380000000001E-2</v>
      </c>
      <c r="R6620">
        <v>-5.3050050000000001E-2</v>
      </c>
      <c r="S6620">
        <v>3.0104519999999999</v>
      </c>
      <c r="T6620">
        <v>-0.1162889</v>
      </c>
      <c r="U6620">
        <v>0.14770510000000001</v>
      </c>
      <c r="V6620">
        <v>4.8989860000000003E-2</v>
      </c>
      <c r="W6620">
        <v>-7.048978E-3</v>
      </c>
      <c r="X6620">
        <v>0.99877439999999995</v>
      </c>
      <c r="Y6620">
        <v>-5.3030069999999999E-2</v>
      </c>
      <c r="Z6620">
        <v>1.1804090000000001E-3</v>
      </c>
      <c r="AA6620">
        <v>0.99859219999999904</v>
      </c>
      <c r="AB6620">
        <v>22</v>
      </c>
      <c r="AC6620">
        <v>28.636999999999901</v>
      </c>
      <c r="AD6620">
        <v>-1.1103649815394101</v>
      </c>
      <c r="AE6620">
        <v>1.41046</v>
      </c>
      <c r="AF6620">
        <v>-1.5247919218766599</v>
      </c>
      <c r="AG6620">
        <v>-1.1103649815394101</v>
      </c>
      <c r="AH6620">
        <v>28.5881424963288</v>
      </c>
      <c r="AI6620">
        <v>92.221099259266097</v>
      </c>
      <c r="AJ6620">
        <v>93.053064355324906</v>
      </c>
      <c r="AK6620">
        <v>28.650301781790098</v>
      </c>
      <c r="AL6620">
        <v>90.403880034691795</v>
      </c>
      <c r="AM6620">
        <v>87.191893974549501</v>
      </c>
      <c r="AN6620">
        <v>0.99999999828451103</v>
      </c>
    </row>
    <row r="6621" spans="1:40" x14ac:dyDescent="0.25">
      <c r="A6621" t="str">
        <f>"20190312155006512"</f>
        <v>20190312155006512</v>
      </c>
      <c r="B6621" t="str">
        <f>"1552377006501873"</f>
        <v>1552377006501873</v>
      </c>
      <c r="C6621" t="s">
        <v>40</v>
      </c>
      <c r="D6621">
        <v>4.3716569999999999</v>
      </c>
      <c r="E6621">
        <v>0.46106449999999999</v>
      </c>
      <c r="F6621" t="s">
        <v>75</v>
      </c>
      <c r="G6621">
        <v>-221.93700000000001</v>
      </c>
      <c r="H6621" s="1">
        <v>3.2579119999999903E-8</v>
      </c>
      <c r="I6621">
        <v>-60.300449999999998</v>
      </c>
      <c r="J6621">
        <v>-250.4984</v>
      </c>
      <c r="K6621">
        <v>1.110363</v>
      </c>
      <c r="L6621">
        <v>-61.719970000000004</v>
      </c>
      <c r="M6621">
        <v>0.99989989999999995</v>
      </c>
      <c r="N6621">
        <v>0</v>
      </c>
      <c r="O6621">
        <v>-3.7451260000000001E-3</v>
      </c>
      <c r="P6621">
        <v>0.99840609999999996</v>
      </c>
      <c r="Q6621">
        <v>-2.0713249999999999E-2</v>
      </c>
      <c r="R6621">
        <v>-5.2504330000000002E-2</v>
      </c>
      <c r="S6621">
        <v>3.0103759999999999</v>
      </c>
      <c r="T6621">
        <v>-0.11657089999999901</v>
      </c>
      <c r="U6621">
        <v>0.14901729999999899</v>
      </c>
      <c r="V6621">
        <v>4.8770590000000003E-2</v>
      </c>
      <c r="W6621">
        <v>-7.0320130000000002E-3</v>
      </c>
      <c r="X6621">
        <v>0.99878529999999999</v>
      </c>
      <c r="Y6621">
        <v>-5.313872E-2</v>
      </c>
      <c r="Z6621">
        <v>1.172729E-3</v>
      </c>
      <c r="AA6621">
        <v>0.99858650000000004</v>
      </c>
      <c r="AB6621">
        <v>22</v>
      </c>
      <c r="AC6621">
        <v>28.5613999999999</v>
      </c>
      <c r="AD6621">
        <v>-1.1103629674208799</v>
      </c>
      <c r="AE6621">
        <v>1.4195199999999899</v>
      </c>
      <c r="AF6621">
        <v>-1.5241881060264</v>
      </c>
      <c r="AG6621">
        <v>-1.1103629674208799</v>
      </c>
      <c r="AH6621">
        <v>28.512895520082498</v>
      </c>
      <c r="AI6621">
        <v>92.226936758727007</v>
      </c>
      <c r="AJ6621">
        <v>93.059896353022296</v>
      </c>
      <c r="AK6621">
        <v>28.575186197838001</v>
      </c>
      <c r="AL6621">
        <v>90.402907967838601</v>
      </c>
      <c r="AM6621">
        <v>87.204473041004206</v>
      </c>
      <c r="AN6621">
        <v>1.0000000475759301</v>
      </c>
    </row>
    <row r="6622" spans="1:40" x14ac:dyDescent="0.25">
      <c r="A6622" t="str">
        <f>"20190312155006524"</f>
        <v>20190312155006524</v>
      </c>
      <c r="B6622" t="str">
        <f>"1552377006512610"</f>
        <v>1552377006512610</v>
      </c>
      <c r="C6622" t="s">
        <v>40</v>
      </c>
      <c r="D6622">
        <v>4.2995710000000003</v>
      </c>
      <c r="E6622">
        <v>0.46106449999999999</v>
      </c>
      <c r="F6622" t="s">
        <v>75</v>
      </c>
      <c r="G6622">
        <v>-221.2465</v>
      </c>
      <c r="H6622" s="1">
        <v>3.090869E-7</v>
      </c>
      <c r="I6622">
        <v>-60.211269999999899</v>
      </c>
      <c r="J6622">
        <v>-250.38069999999999</v>
      </c>
      <c r="K6622">
        <v>1.110355</v>
      </c>
      <c r="L6622">
        <v>-61.720030000000001</v>
      </c>
      <c r="M6622">
        <v>0.99990109999999999</v>
      </c>
      <c r="N6622">
        <v>0</v>
      </c>
      <c r="O6622">
        <v>-3.4048009999999998E-3</v>
      </c>
      <c r="P6622">
        <v>0.99843309999999996</v>
      </c>
      <c r="Q6622">
        <v>-2.0825449999999999E-2</v>
      </c>
      <c r="R6622">
        <v>-5.1944709999999998E-2</v>
      </c>
      <c r="S6622">
        <v>3.0105740000000001</v>
      </c>
      <c r="T6622">
        <v>-0.1142774</v>
      </c>
      <c r="U6622">
        <v>0.15527340000000001</v>
      </c>
      <c r="V6622">
        <v>4.8550870000000003E-2</v>
      </c>
      <c r="W6622">
        <v>-7.1454550000000002E-3</v>
      </c>
      <c r="X6622">
        <v>0.99879519999999999</v>
      </c>
      <c r="Y6622">
        <v>-5.4865999999999998E-2</v>
      </c>
      <c r="Z6622">
        <v>1.1693789999999999E-3</v>
      </c>
      <c r="AA6622">
        <v>0.99849299999999996</v>
      </c>
      <c r="AB6622">
        <v>22</v>
      </c>
      <c r="AC6622">
        <v>29.1342</v>
      </c>
      <c r="AD6622">
        <v>-1.1103546909130999</v>
      </c>
      <c r="AE6622">
        <v>1.5087600000000001</v>
      </c>
      <c r="AF6622">
        <v>-1.6056306958853099</v>
      </c>
      <c r="AG6622">
        <v>-1.1103546909130999</v>
      </c>
      <c r="AH6622">
        <v>29.086757966277698</v>
      </c>
      <c r="AI6622">
        <v>92.182821273034406</v>
      </c>
      <c r="AJ6622">
        <v>93.1596023766038</v>
      </c>
      <c r="AK6622">
        <v>29.152194196321201</v>
      </c>
      <c r="AL6622">
        <v>90.409407878481801</v>
      </c>
      <c r="AM6622">
        <v>87.217075074031996</v>
      </c>
      <c r="AN6622">
        <v>1.0000000480239699</v>
      </c>
    </row>
    <row r="6623" spans="1:40" x14ac:dyDescent="0.25">
      <c r="A6623" t="str">
        <f>"20190312155006535"</f>
        <v>20190312155006535</v>
      </c>
      <c r="B6623" t="str">
        <f>"1552377006532130"</f>
        <v>1552377006532130</v>
      </c>
      <c r="C6623" t="s">
        <v>40</v>
      </c>
      <c r="D6623">
        <v>4.3994109999999997</v>
      </c>
      <c r="E6623">
        <v>0.41886430000000002</v>
      </c>
      <c r="F6623" t="s">
        <v>75</v>
      </c>
      <c r="G6623">
        <v>-221.209</v>
      </c>
      <c r="H6623" s="1">
        <v>3.2250279999999998E-7</v>
      </c>
      <c r="I6623">
        <v>-60.199170000000002</v>
      </c>
      <c r="J6623">
        <v>-250.27600000000001</v>
      </c>
      <c r="K6623">
        <v>1.1103510000000001</v>
      </c>
      <c r="L6623">
        <v>-61.720030000000001</v>
      </c>
      <c r="M6623">
        <v>0.99990219999999996</v>
      </c>
      <c r="N6623">
        <v>0</v>
      </c>
      <c r="O6623">
        <v>-3.1014910000000001E-3</v>
      </c>
      <c r="P6623">
        <v>0.99845379999999995</v>
      </c>
      <c r="Q6623">
        <v>-2.1074679999999998E-2</v>
      </c>
      <c r="R6623">
        <v>-5.1441489999999999E-2</v>
      </c>
      <c r="S6623">
        <v>3.0104829999999998</v>
      </c>
      <c r="T6623">
        <v>-0.1145872</v>
      </c>
      <c r="U6623">
        <v>0.15695190000000001</v>
      </c>
      <c r="V6623">
        <v>4.835072E-2</v>
      </c>
      <c r="W6623">
        <v>-7.404061E-3</v>
      </c>
      <c r="X6623">
        <v>0.998803</v>
      </c>
      <c r="Y6623">
        <v>-5.5119689999999999E-2</v>
      </c>
      <c r="Z6623">
        <v>1.165854E-3</v>
      </c>
      <c r="AA6623">
        <v>0.99847909999999995</v>
      </c>
      <c r="AB6623">
        <v>22</v>
      </c>
      <c r="AC6623">
        <v>29.066999999999901</v>
      </c>
      <c r="AD6623">
        <v>-1.1103506774971901</v>
      </c>
      <c r="AE6623">
        <v>1.5208600000000001</v>
      </c>
      <c r="AF6623">
        <v>-1.6086711151327</v>
      </c>
      <c r="AG6623">
        <v>-1.1103506774971901</v>
      </c>
      <c r="AH6623">
        <v>29.019912061926199</v>
      </c>
      <c r="AI6623">
        <v>92.187808555213294</v>
      </c>
      <c r="AJ6623">
        <v>93.172850094472395</v>
      </c>
      <c r="AK6623">
        <v>29.085666529505801</v>
      </c>
      <c r="AL6623">
        <v>90.424225313074899</v>
      </c>
      <c r="AM6623">
        <v>87.228551312489202</v>
      </c>
      <c r="AN6623">
        <v>1.0000000225264001</v>
      </c>
    </row>
    <row r="6624" spans="1:40" x14ac:dyDescent="0.25">
      <c r="A6624" t="str">
        <f>"20190312155006547"</f>
        <v>20190312155006547</v>
      </c>
      <c r="B6624" t="str">
        <f>"1552377006542396"</f>
        <v>1552377006542396</v>
      </c>
      <c r="C6624" t="s">
        <v>40</v>
      </c>
      <c r="D6624">
        <v>4.4669699999999999</v>
      </c>
      <c r="E6624">
        <v>0.41705130000000001</v>
      </c>
      <c r="F6624" t="s">
        <v>77</v>
      </c>
      <c r="G6624">
        <v>-157.3501</v>
      </c>
      <c r="H6624">
        <v>0.29151199999999999</v>
      </c>
      <c r="I6624">
        <v>-46.66337</v>
      </c>
      <c r="J6624">
        <v>-250.16249999999999</v>
      </c>
      <c r="K6624">
        <v>1.1103449999999999</v>
      </c>
      <c r="L6624">
        <v>-61.720030000000001</v>
      </c>
      <c r="M6624">
        <v>0.99990330000000005</v>
      </c>
      <c r="N6624">
        <v>0</v>
      </c>
      <c r="O6624">
        <v>-2.7716730000000001E-3</v>
      </c>
      <c r="P6624">
        <v>0.99847109999999994</v>
      </c>
      <c r="Q6624">
        <v>-2.1263549999999999E-2</v>
      </c>
      <c r="R6624">
        <v>-5.1025279999999999E-2</v>
      </c>
      <c r="S6624">
        <v>3.0293730000000001</v>
      </c>
      <c r="T6624">
        <v>-2.6694659999999999E-2</v>
      </c>
      <c r="U6624">
        <v>0.49084470000000002</v>
      </c>
      <c r="V6624">
        <v>4.8264050000000003E-2</v>
      </c>
      <c r="W6624">
        <v>-7.6084830000000001E-3</v>
      </c>
      <c r="X6624">
        <v>0.99880559999999996</v>
      </c>
      <c r="Y6624">
        <v>-0.16267190000000001</v>
      </c>
      <c r="Z6624">
        <v>7.3633949999999998E-4</v>
      </c>
      <c r="AA6624">
        <v>0.98667990000000005</v>
      </c>
      <c r="AB6624">
        <v>22</v>
      </c>
      <c r="AC6624">
        <v>92.812399999999997</v>
      </c>
      <c r="AD6624">
        <v>-0.81883300000000003</v>
      </c>
      <c r="AE6624">
        <v>15.056660000000001</v>
      </c>
      <c r="AF6624">
        <v>-15.3127103558559</v>
      </c>
      <c r="AG6624">
        <v>-0.81883300000000003</v>
      </c>
      <c r="AH6624">
        <v>92.763272275415503</v>
      </c>
      <c r="AI6624">
        <v>90.498991383264297</v>
      </c>
      <c r="AJ6624">
        <v>99.373456012835206</v>
      </c>
      <c r="AK6624">
        <v>94.022200937688694</v>
      </c>
      <c r="AL6624">
        <v>90.435938184829595</v>
      </c>
      <c r="AM6624">
        <v>87.233518676358102</v>
      </c>
      <c r="AN6624">
        <v>0.99999996706366101</v>
      </c>
    </row>
    <row r="6625" spans="1:40" x14ac:dyDescent="0.25">
      <c r="A6625" t="str">
        <f>"20190312155006557"</f>
        <v>20190312155006557</v>
      </c>
      <c r="B6625" t="str">
        <f>"1552377006552155"</f>
        <v>1552377006552155</v>
      </c>
      <c r="C6625" t="s">
        <v>40</v>
      </c>
      <c r="D6625">
        <v>4.4805720000000004</v>
      </c>
      <c r="E6625">
        <v>0.41582520000000001</v>
      </c>
      <c r="F6625" t="s">
        <v>65</v>
      </c>
      <c r="G6625">
        <v>-197.5635</v>
      </c>
      <c r="H6625" s="1">
        <v>-9.6460009999999999E-6</v>
      </c>
      <c r="I6625">
        <v>-52.895499999999998</v>
      </c>
      <c r="J6625">
        <v>-250.05869999999999</v>
      </c>
      <c r="K6625">
        <v>1.110341</v>
      </c>
      <c r="L6625">
        <v>-61.719970000000004</v>
      </c>
      <c r="M6625">
        <v>0.99990480000000004</v>
      </c>
      <c r="N6625">
        <v>0</v>
      </c>
      <c r="O6625">
        <v>-2.466579E-3</v>
      </c>
      <c r="P6625">
        <v>0.99850110000000003</v>
      </c>
      <c r="Q6625">
        <v>-2.122624E-2</v>
      </c>
      <c r="R6625">
        <v>-5.0452120000000003E-2</v>
      </c>
      <c r="S6625">
        <v>3.0292050000000001</v>
      </c>
      <c r="T6625">
        <v>-6.3945890000000005E-2</v>
      </c>
      <c r="U6625">
        <v>0.50820920000000003</v>
      </c>
      <c r="V6625">
        <v>4.7995669999999997E-2</v>
      </c>
      <c r="W6625">
        <v>-7.6115879999999999E-3</v>
      </c>
      <c r="X6625">
        <v>0.99881850000000005</v>
      </c>
      <c r="Y6625">
        <v>-0.167852799999999</v>
      </c>
      <c r="Z6625">
        <v>1.8108930000000001E-3</v>
      </c>
      <c r="AA6625">
        <v>0.98581039999999998</v>
      </c>
      <c r="AB6625">
        <v>22</v>
      </c>
      <c r="AC6625">
        <v>52.495199999999897</v>
      </c>
      <c r="AD6625">
        <v>-1.110350646001</v>
      </c>
      <c r="AE6625">
        <v>8.8244699999999892</v>
      </c>
      <c r="AF6625">
        <v>-8.95004456793027</v>
      </c>
      <c r="AG6625">
        <v>-1.110350646001</v>
      </c>
      <c r="AH6625">
        <v>52.450451354065301</v>
      </c>
      <c r="AI6625">
        <v>91.195468321254694</v>
      </c>
      <c r="AJ6625">
        <v>99.683574239711405</v>
      </c>
      <c r="AK6625">
        <v>53.220165572555103</v>
      </c>
      <c r="AL6625">
        <v>90.436116097214807</v>
      </c>
      <c r="AM6625">
        <v>87.248913916949505</v>
      </c>
      <c r="AN6625">
        <v>0.99999995827643895</v>
      </c>
    </row>
    <row r="6626" spans="1:40" x14ac:dyDescent="0.25">
      <c r="A6626" t="str">
        <f>"20190312155006568"</f>
        <v>20190312155006568</v>
      </c>
      <c r="B6626" t="str">
        <f>"1552377006561916"</f>
        <v>1552377006561916</v>
      </c>
      <c r="C6626" t="s">
        <v>40</v>
      </c>
      <c r="D6626">
        <v>4.4038370000000002</v>
      </c>
      <c r="E6626">
        <v>0.41496519999999998</v>
      </c>
      <c r="F6626" t="s">
        <v>76</v>
      </c>
      <c r="G6626">
        <v>-210.31139999999999</v>
      </c>
      <c r="H6626" s="1">
        <v>-5.4100209999999998E-7</v>
      </c>
      <c r="I6626">
        <v>-54.88805</v>
      </c>
      <c r="J6626">
        <v>-249.9477</v>
      </c>
      <c r="K6626">
        <v>1.110328</v>
      </c>
      <c r="L6626">
        <v>-61.719880000000003</v>
      </c>
      <c r="M6626">
        <v>0.99990610000000002</v>
      </c>
      <c r="N6626">
        <v>0</v>
      </c>
      <c r="O6626">
        <v>-2.1416040000000001E-3</v>
      </c>
      <c r="P6626">
        <v>0.99852569999999996</v>
      </c>
      <c r="Q6626">
        <v>-2.113808E-2</v>
      </c>
      <c r="R6626">
        <v>-4.9993019999999999E-2</v>
      </c>
      <c r="S6626">
        <v>3.0289920000000001</v>
      </c>
      <c r="T6626">
        <v>-8.4614869999999995E-2</v>
      </c>
      <c r="U6626">
        <v>0.52062989999999998</v>
      </c>
      <c r="V6626">
        <v>4.7861050000000002E-2</v>
      </c>
      <c r="W6626">
        <v>-7.5775649999999996E-3</v>
      </c>
      <c r="X6626">
        <v>0.99882530000000003</v>
      </c>
      <c r="Y6626">
        <v>-0.17144279999999901</v>
      </c>
      <c r="Z6626">
        <v>2.4361309999999998E-3</v>
      </c>
      <c r="AA6626">
        <v>0.98519100000000004</v>
      </c>
      <c r="AB6626">
        <v>22</v>
      </c>
      <c r="AC6626">
        <v>39.636299999999999</v>
      </c>
      <c r="AD6626">
        <v>-1.1103285410021</v>
      </c>
      <c r="AE6626">
        <v>6.8318300000000001</v>
      </c>
      <c r="AF6626">
        <v>-6.9114402741899399</v>
      </c>
      <c r="AG6626">
        <v>-1.1103285410021</v>
      </c>
      <c r="AH6626">
        <v>39.591404735513898</v>
      </c>
      <c r="AI6626">
        <v>91.582501625337201</v>
      </c>
      <c r="AJ6626">
        <v>99.902294783208106</v>
      </c>
      <c r="AK6626">
        <v>40.205474317111701</v>
      </c>
      <c r="AL6626">
        <v>90.434166631229203</v>
      </c>
      <c r="AM6626">
        <v>87.256637106842803</v>
      </c>
      <c r="AN6626">
        <v>1.0000000397592601</v>
      </c>
    </row>
    <row r="6627" spans="1:40" x14ac:dyDescent="0.25">
      <c r="A6627" t="str">
        <f>"20190312155006581"</f>
        <v>20190312155006581</v>
      </c>
      <c r="B6627" t="str">
        <f>"1552377006572651"</f>
        <v>1552377006572651</v>
      </c>
      <c r="C6627" t="s">
        <v>40</v>
      </c>
      <c r="D6627">
        <v>4.3388790000000004</v>
      </c>
      <c r="E6627">
        <v>0.41496490000000003</v>
      </c>
      <c r="F6627" t="s">
        <v>76</v>
      </c>
      <c r="G6627">
        <v>-215.37</v>
      </c>
      <c r="H6627" s="1">
        <v>-2.1079429999999999E-6</v>
      </c>
      <c r="I6627">
        <v>-55.675249999999998</v>
      </c>
      <c r="J6627">
        <v>-249.82320000000001</v>
      </c>
      <c r="K6627">
        <v>1.110309</v>
      </c>
      <c r="L6627">
        <v>-61.719700000000003</v>
      </c>
      <c r="M6627">
        <v>0.99990800000000002</v>
      </c>
      <c r="N6627">
        <v>0</v>
      </c>
      <c r="O6627">
        <v>-1.7807649999999999E-3</v>
      </c>
      <c r="P6627">
        <v>0.9985581</v>
      </c>
      <c r="Q6627">
        <v>-2.0900720000000001E-2</v>
      </c>
      <c r="R6627">
        <v>-4.9448279999999997E-2</v>
      </c>
      <c r="S6627">
        <v>3.02887</v>
      </c>
      <c r="T6627">
        <v>-9.7260479999999996E-2</v>
      </c>
      <c r="U6627">
        <v>0.52947999999999995</v>
      </c>
      <c r="V6627">
        <v>4.7676509999999998E-2</v>
      </c>
      <c r="W6627">
        <v>-7.4274579999999996E-3</v>
      </c>
      <c r="X6627">
        <v>0.99883520000000003</v>
      </c>
      <c r="Y6627">
        <v>-0.17386599999999999</v>
      </c>
      <c r="Z6627">
        <v>2.8265579999999998E-3</v>
      </c>
      <c r="AA6627">
        <v>0.98476529999999995</v>
      </c>
      <c r="AB6627">
        <v>22</v>
      </c>
      <c r="AC6627">
        <v>34.453200000000002</v>
      </c>
      <c r="AD6627">
        <v>-1.1103111079429999</v>
      </c>
      <c r="AE6627">
        <v>6.0444500000000003</v>
      </c>
      <c r="AF6627">
        <v>-6.0996533363776297</v>
      </c>
      <c r="AG6627">
        <v>-1.1103111079429999</v>
      </c>
      <c r="AH6627">
        <v>34.4077133065326</v>
      </c>
      <c r="AI6627">
        <v>91.819894596458198</v>
      </c>
      <c r="AJ6627">
        <v>100.052712988656</v>
      </c>
      <c r="AK6627">
        <v>34.961826276167898</v>
      </c>
      <c r="AL6627">
        <v>90.425565914486398</v>
      </c>
      <c r="AM6627">
        <v>87.267225793454301</v>
      </c>
      <c r="AN6627">
        <v>0.99999998674858004</v>
      </c>
    </row>
    <row r="6628" spans="1:40" x14ac:dyDescent="0.25">
      <c r="A6628" t="str">
        <f>"20190312155006591"</f>
        <v>20190312155006591</v>
      </c>
      <c r="B6628" t="str">
        <f>"1552377006582412"</f>
        <v>1552377006582412</v>
      </c>
      <c r="C6628" t="s">
        <v>40</v>
      </c>
      <c r="D6628">
        <v>4.4832589999999897</v>
      </c>
      <c r="E6628">
        <v>0.41514240000000002</v>
      </c>
      <c r="F6628" t="s">
        <v>76</v>
      </c>
      <c r="G6628">
        <v>-217.20670000000001</v>
      </c>
      <c r="H6628" s="1">
        <v>-2.8389419999999999E-6</v>
      </c>
      <c r="I6628">
        <v>-55.996180000000003</v>
      </c>
      <c r="J6628">
        <v>-249.727</v>
      </c>
      <c r="K6628">
        <v>1.110284</v>
      </c>
      <c r="L6628">
        <v>-61.719540000000002</v>
      </c>
      <c r="M6628">
        <v>0.99990959999999995</v>
      </c>
      <c r="N6628">
        <v>0</v>
      </c>
      <c r="O6628">
        <v>-1.501173E-3</v>
      </c>
      <c r="P6628">
        <v>0.99858579999999997</v>
      </c>
      <c r="Q6628">
        <v>-2.0848200000000001E-2</v>
      </c>
      <c r="R6628">
        <v>-4.8907310000000002E-2</v>
      </c>
      <c r="S6628">
        <v>3.0285030000000002</v>
      </c>
      <c r="T6628">
        <v>-0.10309459999999999</v>
      </c>
      <c r="U6628">
        <v>0.53143309999999999</v>
      </c>
      <c r="V6628">
        <v>4.7414690000000002E-2</v>
      </c>
      <c r="W6628">
        <v>-7.4594750000000001E-3</v>
      </c>
      <c r="X6628">
        <v>0.99884740000000005</v>
      </c>
      <c r="Y6628">
        <v>-0.17421610000000001</v>
      </c>
      <c r="Z6628">
        <v>2.9926729999999999E-3</v>
      </c>
      <c r="AA6628">
        <v>0.98470290000000005</v>
      </c>
      <c r="AB6628">
        <v>22</v>
      </c>
      <c r="AC6628">
        <v>32.520299999999899</v>
      </c>
      <c r="AD6628">
        <v>-1.110286838942</v>
      </c>
      <c r="AE6628">
        <v>5.7233599999999996</v>
      </c>
      <c r="AF6628">
        <v>-5.7656577811868601</v>
      </c>
      <c r="AG6628">
        <v>-1.110286838942</v>
      </c>
      <c r="AH6628">
        <v>32.474954247058903</v>
      </c>
      <c r="AI6628">
        <v>91.927996614323007</v>
      </c>
      <c r="AJ6628">
        <v>100.06748421967001</v>
      </c>
      <c r="AK6628">
        <v>33.001487843172399</v>
      </c>
      <c r="AL6628">
        <v>90.427400414650805</v>
      </c>
      <c r="AM6628">
        <v>87.282243660362298</v>
      </c>
      <c r="AN6628">
        <v>0.99999996254091505</v>
      </c>
    </row>
    <row r="6629" spans="1:40" x14ac:dyDescent="0.25">
      <c r="A6629" t="str">
        <f>"20190312155006601"</f>
        <v>20190312155006601</v>
      </c>
      <c r="B6629" t="str">
        <f>"1552377006592171"</f>
        <v>1552377006592171</v>
      </c>
      <c r="C6629" t="s">
        <v>40</v>
      </c>
      <c r="D6629">
        <v>4.4665460000000001</v>
      </c>
      <c r="E6629">
        <v>0.41519590000000001</v>
      </c>
      <c r="F6629" t="s">
        <v>76</v>
      </c>
      <c r="G6629">
        <v>-218.31030000000001</v>
      </c>
      <c r="H6629" s="1">
        <v>-3.2758980000000002E-6</v>
      </c>
      <c r="I6629">
        <v>-56.201999999999998</v>
      </c>
      <c r="J6629">
        <v>-249.61429999999999</v>
      </c>
      <c r="K6629">
        <v>1.1102540000000001</v>
      </c>
      <c r="L6629">
        <v>-61.719329999999999</v>
      </c>
      <c r="M6629">
        <v>0.99991160000000001</v>
      </c>
      <c r="N6629">
        <v>0</v>
      </c>
      <c r="O6629">
        <v>-1.1739980000000001E-3</v>
      </c>
      <c r="P6629">
        <v>0.99861759999999999</v>
      </c>
      <c r="Q6629">
        <v>-2.059503E-2</v>
      </c>
      <c r="R6629">
        <v>-4.8363539999999997E-2</v>
      </c>
      <c r="S6629">
        <v>3.028076</v>
      </c>
      <c r="T6629">
        <v>-0.1070145</v>
      </c>
      <c r="U6629">
        <v>0.53179929999999997</v>
      </c>
      <c r="V6629">
        <v>4.7197679999999999E-2</v>
      </c>
      <c r="W6629">
        <v>-7.3176300000000003E-3</v>
      </c>
      <c r="X6629">
        <v>0.99885869999999999</v>
      </c>
      <c r="Y6629">
        <v>-0.17402570000000001</v>
      </c>
      <c r="Z6629">
        <v>3.0919849999999998E-3</v>
      </c>
      <c r="AA6629">
        <v>0.98473630000000001</v>
      </c>
      <c r="AB6629">
        <v>22</v>
      </c>
      <c r="AC6629">
        <v>31.303999999999899</v>
      </c>
      <c r="AD6629">
        <v>-1.1102572758980001</v>
      </c>
      <c r="AE6629">
        <v>5.5173300000000003</v>
      </c>
      <c r="AF6629">
        <v>-5.5473125002014303</v>
      </c>
      <c r="AG6629">
        <v>-1.1102572758980001</v>
      </c>
      <c r="AH6629">
        <v>31.2593639120735</v>
      </c>
      <c r="AI6629">
        <v>92.002885710057001</v>
      </c>
      <c r="AJ6629">
        <v>100.062993318368</v>
      </c>
      <c r="AK6629">
        <v>31.767171409822101</v>
      </c>
      <c r="AL6629">
        <v>90.419273083933604</v>
      </c>
      <c r="AM6629">
        <v>87.294694465728995</v>
      </c>
      <c r="AN6629">
        <v>0.99999993563594203</v>
      </c>
    </row>
    <row r="6630" spans="1:40" x14ac:dyDescent="0.25">
      <c r="A6630" t="str">
        <f>"20190312155006613"</f>
        <v>20190312155006613</v>
      </c>
      <c r="B6630" t="str">
        <f>"1552377006601931"</f>
        <v>1552377006601931</v>
      </c>
      <c r="C6630" t="s">
        <v>40</v>
      </c>
      <c r="D6630">
        <v>4.3923370000000004</v>
      </c>
      <c r="E6630">
        <v>0.41472740000000002</v>
      </c>
      <c r="F6630" t="s">
        <v>76</v>
      </c>
      <c r="G6630">
        <v>-219.52809999999999</v>
      </c>
      <c r="H6630" s="1">
        <v>-3.7597249999999998E-6</v>
      </c>
      <c r="I6630">
        <v>-56.419559999999997</v>
      </c>
      <c r="J6630">
        <v>-249.50309999999999</v>
      </c>
      <c r="K6630">
        <v>1.1102209999999999</v>
      </c>
      <c r="L6630">
        <v>-61.719090000000001</v>
      </c>
      <c r="M6630">
        <v>0.99991359999999996</v>
      </c>
      <c r="N6630">
        <v>0</v>
      </c>
      <c r="O6630">
        <v>-8.4766520000000001E-4</v>
      </c>
      <c r="P6630">
        <v>0.99866379999999999</v>
      </c>
      <c r="Q6630">
        <v>-2.0159699999999999E-2</v>
      </c>
      <c r="R6630">
        <v>-4.7587129999999998E-2</v>
      </c>
      <c r="S6630">
        <v>3.0276640000000001</v>
      </c>
      <c r="T6630">
        <v>-0.11172840000000001</v>
      </c>
      <c r="U6630">
        <v>0.53332519999999894</v>
      </c>
      <c r="V6630">
        <v>4.6746610000000001E-2</v>
      </c>
      <c r="W6630">
        <v>-7.0175250000000002E-3</v>
      </c>
      <c r="X6630">
        <v>0.99888209999999999</v>
      </c>
      <c r="Y6630">
        <v>-0.1741991</v>
      </c>
      <c r="Z6630">
        <v>3.219614E-3</v>
      </c>
      <c r="AA6630">
        <v>0.98470519999999995</v>
      </c>
      <c r="AB6630">
        <v>22</v>
      </c>
      <c r="AC6630">
        <v>29.974999999999898</v>
      </c>
      <c r="AD6630">
        <v>-1.1102247597249999</v>
      </c>
      <c r="AE6630">
        <v>5.2995299999999999</v>
      </c>
      <c r="AF6630">
        <v>-5.3178649080881097</v>
      </c>
      <c r="AG6630">
        <v>-1.1102247597249999</v>
      </c>
      <c r="AH6630">
        <v>29.930681053461299</v>
      </c>
      <c r="AI6630">
        <v>92.091583089537806</v>
      </c>
      <c r="AJ6630">
        <v>100.074761803204</v>
      </c>
      <c r="AK6630">
        <v>30.419696818374302</v>
      </c>
      <c r="AL6630">
        <v>90.402077877152493</v>
      </c>
      <c r="AM6630">
        <v>87.320573989136093</v>
      </c>
      <c r="AN6630">
        <v>0.99999997045201305</v>
      </c>
    </row>
    <row r="6631" spans="1:40" x14ac:dyDescent="0.25">
      <c r="A6631" t="str">
        <f>"20190312155006624"</f>
        <v>20190312155006624</v>
      </c>
      <c r="B6631" t="str">
        <f>"1552377006612668"</f>
        <v>1552377006612668</v>
      </c>
      <c r="C6631" t="s">
        <v>40</v>
      </c>
      <c r="D6631">
        <v>4.4343599999999999</v>
      </c>
      <c r="E6631">
        <v>0.41461890000000001</v>
      </c>
      <c r="F6631" t="s">
        <v>76</v>
      </c>
      <c r="G6631">
        <v>-219.29239999999999</v>
      </c>
      <c r="H6631" s="1">
        <v>-3.673369E-6</v>
      </c>
      <c r="I6631">
        <v>-56.33643</v>
      </c>
      <c r="J6631">
        <v>-249.39879999999999</v>
      </c>
      <c r="K6631">
        <v>1.11019</v>
      </c>
      <c r="L6631">
        <v>-61.718870000000003</v>
      </c>
      <c r="M6631">
        <v>0.99991549999999996</v>
      </c>
      <c r="N6631">
        <v>0</v>
      </c>
      <c r="O6631">
        <v>-5.4078540000000003E-4</v>
      </c>
      <c r="P6631">
        <v>0.99869319999999895</v>
      </c>
      <c r="Q6631">
        <v>-2.0077299999999999E-2</v>
      </c>
      <c r="R6631">
        <v>-4.6999119999999998E-2</v>
      </c>
      <c r="S6631">
        <v>3.027466</v>
      </c>
      <c r="T6631">
        <v>-0.1112576</v>
      </c>
      <c r="U6631">
        <v>0.53939820000000005</v>
      </c>
      <c r="V6631">
        <v>4.6465279999999998E-2</v>
      </c>
      <c r="W6631">
        <v>-7.0687519999999898E-3</v>
      </c>
      <c r="X6631">
        <v>0.99889490000000003</v>
      </c>
      <c r="Y6631">
        <v>-0.17582300000000001</v>
      </c>
      <c r="Z6631">
        <v>3.2241119999999999E-3</v>
      </c>
      <c r="AA6631">
        <v>0.98441650000000003</v>
      </c>
      <c r="AB6631">
        <v>22</v>
      </c>
      <c r="AC6631">
        <v>30.106400000000001</v>
      </c>
      <c r="AD6631">
        <v>-1.1101936733689901</v>
      </c>
      <c r="AE6631">
        <v>5.3824399999999804</v>
      </c>
      <c r="AF6631">
        <v>-5.3916171640922199</v>
      </c>
      <c r="AG6631">
        <v>-1.1101936733689901</v>
      </c>
      <c r="AH6631">
        <v>30.063869502208298</v>
      </c>
      <c r="AI6631">
        <v>92.081667382931897</v>
      </c>
      <c r="AJ6631">
        <v>100.167272386009</v>
      </c>
      <c r="AK6631">
        <v>30.563676399974</v>
      </c>
      <c r="AL6631">
        <v>90.405013026794293</v>
      </c>
      <c r="AM6631">
        <v>87.336710075697894</v>
      </c>
      <c r="AN6631">
        <v>1.0000000053731599</v>
      </c>
    </row>
    <row r="6632" spans="1:40" x14ac:dyDescent="0.25">
      <c r="A6632" t="str">
        <f>"20190312155006636"</f>
        <v>20190312155006636</v>
      </c>
      <c r="B6632" t="str">
        <f>"1552377006632187"</f>
        <v>1552377006632187</v>
      </c>
      <c r="C6632" t="s">
        <v>40</v>
      </c>
      <c r="D6632">
        <v>4.3759379999999997</v>
      </c>
      <c r="E6632">
        <v>0.41434399999999899</v>
      </c>
      <c r="F6632" t="s">
        <v>75</v>
      </c>
      <c r="G6632">
        <v>-220.27420000000001</v>
      </c>
      <c r="H6632" s="1">
        <v>-4.1789019999999998E-7</v>
      </c>
      <c r="I6632">
        <v>-56.501049999999999</v>
      </c>
      <c r="J6632">
        <v>-249.2886</v>
      </c>
      <c r="K6632">
        <v>1.1101529999999999</v>
      </c>
      <c r="L6632">
        <v>-61.718539999999997</v>
      </c>
      <c r="M6632">
        <v>0.99991810000000003</v>
      </c>
      <c r="N6632">
        <v>0</v>
      </c>
      <c r="O6632">
        <v>-2.1474950000000001E-4</v>
      </c>
      <c r="P6632">
        <v>0.99872539999999999</v>
      </c>
      <c r="Q6632">
        <v>-1.977959E-2</v>
      </c>
      <c r="R6632">
        <v>-4.6441610000000001E-2</v>
      </c>
      <c r="S6632">
        <v>3.027145</v>
      </c>
      <c r="T6632">
        <v>-0.1153907</v>
      </c>
      <c r="U6632">
        <v>0.54232789999999997</v>
      </c>
      <c r="V6632">
        <v>4.6233160000000002E-2</v>
      </c>
      <c r="W6632">
        <v>-6.9414109999999998E-3</v>
      </c>
      <c r="X6632">
        <v>0.99890659999999998</v>
      </c>
      <c r="Y6632">
        <v>-0.17643429999999999</v>
      </c>
      <c r="Z6632">
        <v>3.3430959999999998E-3</v>
      </c>
      <c r="AA6632">
        <v>0.98430680000000004</v>
      </c>
      <c r="AB6632">
        <v>22</v>
      </c>
      <c r="AC6632">
        <v>29.014399999999899</v>
      </c>
      <c r="AD6632">
        <v>-1.1101534178901999</v>
      </c>
      <c r="AE6632">
        <v>5.2174899999999997</v>
      </c>
      <c r="AF6632">
        <v>-5.2163237688692599</v>
      </c>
      <c r="AG6632">
        <v>-1.1101534178901999</v>
      </c>
      <c r="AH6632">
        <v>28.972192319170201</v>
      </c>
      <c r="AI6632">
        <v>92.159688169603996</v>
      </c>
      <c r="AJ6632">
        <v>100.206519756102</v>
      </c>
      <c r="AK6632">
        <v>29.458961319977099</v>
      </c>
      <c r="AL6632">
        <v>90.397716731422605</v>
      </c>
      <c r="AM6632">
        <v>87.350026676264505</v>
      </c>
      <c r="AN6632">
        <v>1.0000000418968999</v>
      </c>
    </row>
    <row r="6633" spans="1:40" x14ac:dyDescent="0.25">
      <c r="A6633" t="str">
        <f>"20190312155006646"</f>
        <v>20190312155006646</v>
      </c>
      <c r="B6633" t="str">
        <f>"1552377006641948"</f>
        <v>1552377006641948</v>
      </c>
      <c r="C6633" t="s">
        <v>40</v>
      </c>
      <c r="D6633">
        <v>4.358536</v>
      </c>
      <c r="E6633">
        <v>0.41447899999999999</v>
      </c>
      <c r="F6633" t="s">
        <v>76</v>
      </c>
      <c r="G6633">
        <v>-219.05959999999999</v>
      </c>
      <c r="H6633" s="1">
        <v>-3.5860379999999998E-6</v>
      </c>
      <c r="I6633">
        <v>-56.265680000000003</v>
      </c>
      <c r="J6633">
        <v>-249.17840000000001</v>
      </c>
      <c r="K6633">
        <v>1.110114</v>
      </c>
      <c r="L6633">
        <v>-61.718229999999998</v>
      </c>
      <c r="M6633">
        <v>0.99992020000000004</v>
      </c>
      <c r="N6633">
        <v>0</v>
      </c>
      <c r="O6633">
        <v>1.1160800000000001E-4</v>
      </c>
      <c r="P6633">
        <v>0.9987606</v>
      </c>
      <c r="Q6633">
        <v>-1.9535250000000001E-2</v>
      </c>
      <c r="R6633">
        <v>-4.5780109999999999E-2</v>
      </c>
      <c r="S6633">
        <v>3.0270079999999999</v>
      </c>
      <c r="T6633">
        <v>-0.1111665</v>
      </c>
      <c r="U6633">
        <v>0.54602050000000002</v>
      </c>
      <c r="V6633">
        <v>4.5897470000000003E-2</v>
      </c>
      <c r="W6633">
        <v>-6.8734709999999999E-3</v>
      </c>
      <c r="X6633">
        <v>0.99892250000000005</v>
      </c>
      <c r="Y6633">
        <v>-0.17729249999999999</v>
      </c>
      <c r="Z6633">
        <v>3.2243340000000001E-3</v>
      </c>
      <c r="AA6633">
        <v>0.9841529</v>
      </c>
      <c r="AB6633">
        <v>22</v>
      </c>
      <c r="AC6633">
        <v>30.1188</v>
      </c>
      <c r="AD6633">
        <v>-1.1101175860379999</v>
      </c>
      <c r="AE6633">
        <v>5.4525499999999996</v>
      </c>
      <c r="AF6633">
        <v>-5.4420297581555603</v>
      </c>
      <c r="AG6633">
        <v>-1.1101175860379999</v>
      </c>
      <c r="AH6633">
        <v>30.079841415281098</v>
      </c>
      <c r="AI6633">
        <v>92.0798473849066</v>
      </c>
      <c r="AJ6633">
        <v>100.254995418519</v>
      </c>
      <c r="AK6633">
        <v>30.588313266866201</v>
      </c>
      <c r="AL6633">
        <v>90.393823983232906</v>
      </c>
      <c r="AM6633">
        <v>87.369282303468395</v>
      </c>
      <c r="AN6633">
        <v>0.99999999168111897</v>
      </c>
    </row>
    <row r="6634" spans="1:40" x14ac:dyDescent="0.25">
      <c r="A6634" t="str">
        <f>"20190312155006657"</f>
        <v>20190312155006657</v>
      </c>
      <c r="B6634" t="str">
        <f>"1552377006652684"</f>
        <v>1552377006652684</v>
      </c>
      <c r="C6634" t="s">
        <v>40</v>
      </c>
      <c r="D6634">
        <v>4.0588340000000001</v>
      </c>
      <c r="E6634">
        <v>0.41294960000000003</v>
      </c>
      <c r="F6634" t="s">
        <v>76</v>
      </c>
      <c r="G6634">
        <v>-217.65170000000001</v>
      </c>
      <c r="H6634" s="1">
        <v>-3.0251270000000002E-6</v>
      </c>
      <c r="I6634">
        <v>-56.022770000000001</v>
      </c>
      <c r="J6634">
        <v>-249.0643</v>
      </c>
      <c r="K6634">
        <v>1.1100719999999999</v>
      </c>
      <c r="L6634">
        <v>-61.717829999999999</v>
      </c>
      <c r="M6634">
        <v>0.99992259999999999</v>
      </c>
      <c r="N6634">
        <v>0</v>
      </c>
      <c r="O6634">
        <v>4.4767059999999999E-4</v>
      </c>
      <c r="P6634">
        <v>0.99879790000000002</v>
      </c>
      <c r="Q6634">
        <v>-1.9467310000000002E-2</v>
      </c>
      <c r="R6634">
        <v>-4.4989059999999997E-2</v>
      </c>
      <c r="S6634">
        <v>3.0267029999999999</v>
      </c>
      <c r="T6634">
        <v>-0.10657610000000001</v>
      </c>
      <c r="U6634">
        <v>0.54678340000000003</v>
      </c>
      <c r="V6634">
        <v>4.5442160000000002E-2</v>
      </c>
      <c r="W6634">
        <v>-7.0124069999999896E-3</v>
      </c>
      <c r="X6634">
        <v>0.99894240000000001</v>
      </c>
      <c r="Y6634">
        <v>-0.17722879999999999</v>
      </c>
      <c r="Z6634">
        <v>3.078665E-3</v>
      </c>
      <c r="AA6634">
        <v>0.98416479999999995</v>
      </c>
      <c r="AB6634">
        <v>22</v>
      </c>
      <c r="AC6634">
        <v>31.412600000000001</v>
      </c>
      <c r="AD6634">
        <v>-1.110075025127</v>
      </c>
      <c r="AE6634">
        <v>5.6950600000000096</v>
      </c>
      <c r="AF6634">
        <v>-5.6741354156418504</v>
      </c>
      <c r="AG6634">
        <v>-1.110075025127</v>
      </c>
      <c r="AH6634">
        <v>31.377209305832199</v>
      </c>
      <c r="AI6634">
        <v>91.993874570074297</v>
      </c>
      <c r="AJ6634">
        <v>100.250374295228</v>
      </c>
      <c r="AK6634">
        <v>31.905443784696899</v>
      </c>
      <c r="AL6634">
        <v>90.401784601727996</v>
      </c>
      <c r="AM6634">
        <v>87.395395126307406</v>
      </c>
      <c r="AN6634">
        <v>1.00000004113757</v>
      </c>
    </row>
    <row r="6635" spans="1:40" x14ac:dyDescent="0.25">
      <c r="A6635" t="str">
        <f>"20190312155006815"</f>
        <v>20190312155006815</v>
      </c>
      <c r="B6635" t="str">
        <f>"1552377006812748"</f>
        <v>1552377006812748</v>
      </c>
      <c r="C6635" t="s">
        <v>40</v>
      </c>
      <c r="D6635">
        <v>4.0351540000000004</v>
      </c>
      <c r="E6635">
        <v>0.41294960000000003</v>
      </c>
      <c r="F6635" t="s">
        <v>76</v>
      </c>
      <c r="G6635">
        <v>-217.09450000000001</v>
      </c>
      <c r="H6635" s="1">
        <v>-2.827353E-6</v>
      </c>
      <c r="I6635">
        <v>-55.790149999999997</v>
      </c>
      <c r="J6635">
        <v>-247.48650000000001</v>
      </c>
      <c r="K6635">
        <v>1.1095649999999999</v>
      </c>
      <c r="L6635">
        <v>-61.709560000000003</v>
      </c>
      <c r="M6635">
        <v>0.99994680000000002</v>
      </c>
      <c r="N6635">
        <v>0</v>
      </c>
      <c r="O6635">
        <v>4.4705959999999899E-3</v>
      </c>
      <c r="P6635">
        <v>0.99913989999999997</v>
      </c>
      <c r="Q6635">
        <v>-1.542548E-2</v>
      </c>
      <c r="R6635">
        <v>-3.8494599999999997E-2</v>
      </c>
      <c r="S6635">
        <v>3.0268549999999999</v>
      </c>
      <c r="T6635">
        <v>-0.10510029999999999</v>
      </c>
      <c r="U6635">
        <v>0.56121829999999995</v>
      </c>
      <c r="V6635">
        <v>4.2964950000000002E-2</v>
      </c>
      <c r="W6635">
        <v>-6.1028069999999896E-3</v>
      </c>
      <c r="X6635">
        <v>0.99905790000000005</v>
      </c>
      <c r="Y6635">
        <v>-0.1778072</v>
      </c>
      <c r="Z6635">
        <v>2.9061159999999998E-3</v>
      </c>
      <c r="AA6635">
        <v>0.98406110000000002</v>
      </c>
      <c r="AB6635">
        <v>23</v>
      </c>
      <c r="AC6635">
        <v>30.391999999999999</v>
      </c>
      <c r="AD6635">
        <v>-1.1095678273530001</v>
      </c>
      <c r="AE6635">
        <v>5.9194099999999903</v>
      </c>
      <c r="AF6635">
        <v>-5.7760572365835596</v>
      </c>
      <c r="AG6635">
        <v>-1.1095678273530001</v>
      </c>
      <c r="AH6635">
        <v>30.379149014697699</v>
      </c>
      <c r="AI6635">
        <v>92.054959337358994</v>
      </c>
      <c r="AJ6635">
        <v>100.765282598037</v>
      </c>
      <c r="AK6635">
        <v>30.943281545773299</v>
      </c>
      <c r="AL6635">
        <v>90.349667269029894</v>
      </c>
      <c r="AM6635">
        <v>87.537485701266704</v>
      </c>
      <c r="AN6635">
        <v>0.99999995936709496</v>
      </c>
    </row>
    <row r="6636" spans="1:40" x14ac:dyDescent="0.25">
      <c r="A6636" t="str">
        <f>"20190312155006827"</f>
        <v>20190312155006827</v>
      </c>
      <c r="B6636" t="str">
        <f>"1552377006822508"</f>
        <v>1552377006822508</v>
      </c>
      <c r="C6636" t="s">
        <v>40</v>
      </c>
      <c r="D6636">
        <v>4.5334089999999998</v>
      </c>
      <c r="E6636">
        <v>0.41172520000000001</v>
      </c>
      <c r="F6636" t="s">
        <v>76</v>
      </c>
      <c r="G6636">
        <v>-211.88140000000001</v>
      </c>
      <c r="H6636" s="1">
        <v>-1.080022E-6</v>
      </c>
      <c r="I6636">
        <v>-54.870170000000002</v>
      </c>
      <c r="J6636">
        <v>-247.37100000000001</v>
      </c>
      <c r="K6636">
        <v>1.1095280000000001</v>
      </c>
      <c r="L6636">
        <v>-61.708829999999999</v>
      </c>
      <c r="M6636">
        <v>0.99994780000000005</v>
      </c>
      <c r="N6636">
        <v>0</v>
      </c>
      <c r="O6636">
        <v>4.691527E-3</v>
      </c>
      <c r="P6636">
        <v>0.99915860000000001</v>
      </c>
      <c r="Q6636">
        <v>-1.5199320000000001E-2</v>
      </c>
      <c r="R6636">
        <v>-3.8096430000000001E-2</v>
      </c>
      <c r="S6636">
        <v>3.0234990000000002</v>
      </c>
      <c r="T6636">
        <v>-9.422171E-2</v>
      </c>
      <c r="U6636">
        <v>0.58077999999999996</v>
      </c>
      <c r="V6636">
        <v>4.278734E-2</v>
      </c>
      <c r="W6636">
        <v>-6.0914230000000003E-3</v>
      </c>
      <c r="X6636">
        <v>0.9990656</v>
      </c>
      <c r="Y6636">
        <v>-0.18394659999999999</v>
      </c>
      <c r="Z6636">
        <v>2.6947099999999999E-3</v>
      </c>
      <c r="AA6636">
        <v>0.98293260000000005</v>
      </c>
      <c r="AB6636">
        <v>23</v>
      </c>
      <c r="AC6636">
        <v>35.489599999999903</v>
      </c>
      <c r="AD6636">
        <v>-1.1095290800219999</v>
      </c>
      <c r="AE6636">
        <v>6.8386600000000097</v>
      </c>
      <c r="AF6636">
        <v>-6.6657955218644096</v>
      </c>
      <c r="AG6636">
        <v>-1.1095290800219999</v>
      </c>
      <c r="AH6636">
        <v>35.487850250144199</v>
      </c>
      <c r="AI6636">
        <v>91.760012754932703</v>
      </c>
      <c r="AJ6636">
        <v>100.63809525999901</v>
      </c>
      <c r="AK6636">
        <v>36.125495153636002</v>
      </c>
      <c r="AL6636">
        <v>90.349014998886503</v>
      </c>
      <c r="AM6636">
        <v>87.5476717522033</v>
      </c>
      <c r="AN6636">
        <v>0.99999996750089903</v>
      </c>
    </row>
    <row r="6637" spans="1:40" x14ac:dyDescent="0.25">
      <c r="A6637" t="str">
        <f>"20190312155006836"</f>
        <v>20190312155006836</v>
      </c>
      <c r="B6637" t="str">
        <f>"1552377006832268"</f>
        <v>1552377006832268</v>
      </c>
      <c r="C6637" t="s">
        <v>40</v>
      </c>
      <c r="D6637">
        <v>4.3392049999999998</v>
      </c>
      <c r="E6637">
        <v>0.41126889999999999</v>
      </c>
      <c r="F6637" t="s">
        <v>65</v>
      </c>
      <c r="G6637">
        <v>-202.66319999999999</v>
      </c>
      <c r="H6637" s="1">
        <v>-5.8581389999999999E-6</v>
      </c>
      <c r="I6637">
        <v>-52.971029999999999</v>
      </c>
      <c r="J6637">
        <v>-247.26929999999999</v>
      </c>
      <c r="K6637">
        <v>1.1094949999999999</v>
      </c>
      <c r="L6637">
        <v>-61.708159999999999</v>
      </c>
      <c r="M6637">
        <v>0.99994859999999997</v>
      </c>
      <c r="N6637">
        <v>0</v>
      </c>
      <c r="O6637">
        <v>4.8661959999999997E-3</v>
      </c>
      <c r="P6637">
        <v>0.99916660000000002</v>
      </c>
      <c r="Q6637">
        <v>-1.5016649999999999E-2</v>
      </c>
      <c r="R6637">
        <v>-3.7958800000000001E-2</v>
      </c>
      <c r="S6637">
        <v>3.0239259999999999</v>
      </c>
      <c r="T6637">
        <v>-7.5046180000000004E-2</v>
      </c>
      <c r="U6637">
        <v>0.59100339999999996</v>
      </c>
      <c r="V6637">
        <v>4.2823989999999999E-2</v>
      </c>
      <c r="W6637">
        <v>-6.0944780000000004E-3</v>
      </c>
      <c r="X6637">
        <v>0.99906399999999995</v>
      </c>
      <c r="Y6637">
        <v>-0.18698110000000001</v>
      </c>
      <c r="Z6637">
        <v>2.1785039999999999E-3</v>
      </c>
      <c r="AA6637">
        <v>0.98236109999999999</v>
      </c>
      <c r="AB6637">
        <v>23</v>
      </c>
      <c r="AC6637">
        <v>44.606099999999998</v>
      </c>
      <c r="AD6637">
        <v>-1.109500858139</v>
      </c>
      <c r="AE6637">
        <v>8.7371299999999898</v>
      </c>
      <c r="AF6637">
        <v>-8.5148825808413093</v>
      </c>
      <c r="AG6637">
        <v>-1.109500858139</v>
      </c>
      <c r="AH6637">
        <v>44.621503636489898</v>
      </c>
      <c r="AI6637">
        <v>91.399113975305198</v>
      </c>
      <c r="AJ6637">
        <v>100.803562601677</v>
      </c>
      <c r="AK6637">
        <v>45.440211314440504</v>
      </c>
      <c r="AL6637">
        <v>90.349190044610594</v>
      </c>
      <c r="AM6637">
        <v>87.545569823374805</v>
      </c>
      <c r="AN6637">
        <v>0.99999995643880502</v>
      </c>
    </row>
    <row r="6638" spans="1:40" x14ac:dyDescent="0.25">
      <c r="A6638" t="str">
        <f>"20190312155006847"</f>
        <v>20190312155006847</v>
      </c>
      <c r="B6638" t="str">
        <f>"1552377006842028"</f>
        <v>1552377006842028</v>
      </c>
      <c r="C6638" t="s">
        <v>40</v>
      </c>
      <c r="D6638">
        <v>4.3863640000000004</v>
      </c>
      <c r="E6638">
        <v>0.41085890000000003</v>
      </c>
      <c r="F6638" t="s">
        <v>65</v>
      </c>
      <c r="G6638">
        <v>-185.4135</v>
      </c>
      <c r="H6638" s="1">
        <v>-3.014397E-6</v>
      </c>
      <c r="I6638">
        <v>-49.554079999999999</v>
      </c>
      <c r="J6638">
        <v>-247.1523</v>
      </c>
      <c r="K6638">
        <v>1.1094569999999999</v>
      </c>
      <c r="L6638">
        <v>-61.707369999999997</v>
      </c>
      <c r="M6638">
        <v>0.99994950000000005</v>
      </c>
      <c r="N6638">
        <v>0</v>
      </c>
      <c r="O6638">
        <v>5.0611429999999997E-3</v>
      </c>
      <c r="P6638">
        <v>0.99916110000000002</v>
      </c>
      <c r="Q6638">
        <v>-1.4855129999999999E-2</v>
      </c>
      <c r="R6638">
        <v>-3.8164730000000001E-2</v>
      </c>
      <c r="S6638">
        <v>3.0242610000000001</v>
      </c>
      <c r="T6638">
        <v>-5.4245710000000003E-2</v>
      </c>
      <c r="U6638">
        <v>0.5942383</v>
      </c>
      <c r="V6638">
        <v>4.3224289999999999E-2</v>
      </c>
      <c r="W6638">
        <v>-6.1443869999999899E-3</v>
      </c>
      <c r="X6638">
        <v>0.99904649999999995</v>
      </c>
      <c r="Y6638">
        <v>-0.18780659999999999</v>
      </c>
      <c r="Z6638">
        <v>1.578341E-3</v>
      </c>
      <c r="AA6638">
        <v>0.98220469999999904</v>
      </c>
      <c r="AB6638">
        <v>23</v>
      </c>
      <c r="AC6638">
        <v>61.738799999999998</v>
      </c>
      <c r="AD6638">
        <v>-1.1094600143969999</v>
      </c>
      <c r="AE6638">
        <v>12.153289999999901</v>
      </c>
      <c r="AF6638">
        <v>-11.836973754600301</v>
      </c>
      <c r="AG6638">
        <v>-1.1094600143969999</v>
      </c>
      <c r="AH6638">
        <v>61.780314664709501</v>
      </c>
      <c r="AI6638">
        <v>91.010440064655995</v>
      </c>
      <c r="AJ6638">
        <v>100.846299863806</v>
      </c>
      <c r="AK6638">
        <v>62.913846880167497</v>
      </c>
      <c r="AL6638">
        <v>90.352049657668204</v>
      </c>
      <c r="AM6638">
        <v>87.522611990551894</v>
      </c>
      <c r="AN6638">
        <v>1.0000000009499299</v>
      </c>
    </row>
    <row r="6639" spans="1:40" x14ac:dyDescent="0.25">
      <c r="A6639" t="str">
        <f>"20190312155006858"</f>
        <v>20190312155006858</v>
      </c>
      <c r="B6639" t="str">
        <f>"1552377006852763"</f>
        <v>1552377006852763</v>
      </c>
      <c r="C6639" t="s">
        <v>40</v>
      </c>
      <c r="D6639">
        <v>4.2986750000000002</v>
      </c>
      <c r="E6639">
        <v>0.41075430000000002</v>
      </c>
      <c r="F6639" t="s">
        <v>77</v>
      </c>
      <c r="G6639">
        <v>-157.3501</v>
      </c>
      <c r="H6639">
        <v>0.15778539999999999</v>
      </c>
      <c r="I6639">
        <v>-44.013649999999998</v>
      </c>
      <c r="J6639">
        <v>-247.03700000000001</v>
      </c>
      <c r="K6639">
        <v>1.1094219999999999</v>
      </c>
      <c r="L6639">
        <v>-61.706600000000002</v>
      </c>
      <c r="M6639">
        <v>0.99995029999999996</v>
      </c>
      <c r="N6639">
        <v>0</v>
      </c>
      <c r="O6639">
        <v>5.2342860000000003E-3</v>
      </c>
      <c r="P6639">
        <v>0.99916110000000002</v>
      </c>
      <c r="Q6639">
        <v>-1.47287999999999E-2</v>
      </c>
      <c r="R6639">
        <v>-3.8216899999999998E-2</v>
      </c>
      <c r="S6639">
        <v>3.0248110000000001</v>
      </c>
      <c r="T6639">
        <v>-3.2055849999999997E-2</v>
      </c>
      <c r="U6639">
        <v>0.5959778</v>
      </c>
      <c r="V6639">
        <v>4.3449179999999997E-2</v>
      </c>
      <c r="W6639">
        <v>-6.2198740000000002E-3</v>
      </c>
      <c r="X6639">
        <v>0.99903629999999999</v>
      </c>
      <c r="Y6639">
        <v>-0.1881649</v>
      </c>
      <c r="Z6639">
        <v>9.3259590000000002E-4</v>
      </c>
      <c r="AA6639">
        <v>0.98213700000000004</v>
      </c>
      <c r="AB6639">
        <v>23</v>
      </c>
      <c r="AC6639">
        <v>89.686899999999994</v>
      </c>
      <c r="AD6639">
        <v>-0.95163660000000005</v>
      </c>
      <c r="AE6639">
        <v>17.69295</v>
      </c>
      <c r="AF6639">
        <v>-17.2213775655941</v>
      </c>
      <c r="AG6639">
        <v>-0.95163660000000005</v>
      </c>
      <c r="AH6639">
        <v>89.768556499455599</v>
      </c>
      <c r="AI6639">
        <v>90.596493398945</v>
      </c>
      <c r="AJ6639">
        <v>100.859793067612</v>
      </c>
      <c r="AK6639">
        <v>91.410476387945593</v>
      </c>
      <c r="AL6639">
        <v>90.356374818825799</v>
      </c>
      <c r="AM6639">
        <v>87.509713274987405</v>
      </c>
      <c r="AN6639">
        <v>1.0000000233964601</v>
      </c>
    </row>
    <row r="6640" spans="1:40" x14ac:dyDescent="0.25">
      <c r="A6640" t="str">
        <f>"20190312155006870"</f>
        <v>20190312155006870</v>
      </c>
      <c r="B6640" t="str">
        <f>"1552377006862524"</f>
        <v>1552377006862524</v>
      </c>
      <c r="C6640" t="s">
        <v>40</v>
      </c>
      <c r="D6640">
        <v>4.3276629999999896</v>
      </c>
      <c r="E6640">
        <v>0.41073409999999999</v>
      </c>
      <c r="F6640" t="s">
        <v>77</v>
      </c>
      <c r="G6640">
        <v>-157.3501</v>
      </c>
      <c r="H6640">
        <v>0.66681579999999996</v>
      </c>
      <c r="I6640">
        <v>-44.03736</v>
      </c>
      <c r="J6640">
        <v>-246.92509999999999</v>
      </c>
      <c r="K6640">
        <v>1.1093850000000001</v>
      </c>
      <c r="L6640">
        <v>-61.705840000000002</v>
      </c>
      <c r="M6640">
        <v>0.99995100000000003</v>
      </c>
      <c r="N6640">
        <v>0</v>
      </c>
      <c r="O6640">
        <v>5.3926030000000002E-3</v>
      </c>
      <c r="P6640">
        <v>0.99915670000000001</v>
      </c>
      <c r="Q6640">
        <v>-1.435235E-2</v>
      </c>
      <c r="R6640">
        <v>-3.8476249999999997E-2</v>
      </c>
      <c r="S6640">
        <v>3.0251160000000001</v>
      </c>
      <c r="T6640">
        <v>-1.4929649999999999E-2</v>
      </c>
      <c r="U6640">
        <v>0.5959778</v>
      </c>
      <c r="V6640">
        <v>4.3866389999999998E-2</v>
      </c>
      <c r="W6640">
        <v>-6.0350489999999998E-3</v>
      </c>
      <c r="X6640">
        <v>0.9990192</v>
      </c>
      <c r="Y6640">
        <v>-0.18799840000000001</v>
      </c>
      <c r="Z6640">
        <v>4.331316E-4</v>
      </c>
      <c r="AA6640">
        <v>0.98216919999999996</v>
      </c>
      <c r="AB6640">
        <v>23</v>
      </c>
      <c r="AC6640">
        <v>89.574999999999903</v>
      </c>
      <c r="AD6640">
        <v>-0.4425692</v>
      </c>
      <c r="AE6640">
        <v>17.668479999999999</v>
      </c>
      <c r="AF6640">
        <v>-17.184760229553401</v>
      </c>
      <c r="AG6640">
        <v>-0.4425692</v>
      </c>
      <c r="AH6640">
        <v>89.666872953036702</v>
      </c>
      <c r="AI6640">
        <v>90.277738141355002</v>
      </c>
      <c r="AJ6640">
        <v>100.849247652012</v>
      </c>
      <c r="AK6640">
        <v>91.299835469841099</v>
      </c>
      <c r="AL6640">
        <v>90.3457849282956</v>
      </c>
      <c r="AM6640">
        <v>87.485788471696395</v>
      </c>
      <c r="AN6640">
        <v>1.00000002197835</v>
      </c>
    </row>
    <row r="6641" spans="1:40" x14ac:dyDescent="0.25">
      <c r="A6641" t="str">
        <f>"20190312155006881"</f>
        <v>20190312155006881</v>
      </c>
      <c r="B6641" t="str">
        <f>"1552377006872284"</f>
        <v>1552377006872284</v>
      </c>
      <c r="C6641" t="s">
        <v>40</v>
      </c>
      <c r="D6641">
        <v>4.3144629999999999</v>
      </c>
      <c r="E6641">
        <v>0.41055409999999998</v>
      </c>
      <c r="F6641" t="s">
        <v>77</v>
      </c>
      <c r="G6641">
        <v>-157.3501</v>
      </c>
      <c r="H6641">
        <v>1.1929510000000001</v>
      </c>
      <c r="I6641">
        <v>-44.100459999999998</v>
      </c>
      <c r="J6641">
        <v>-246.80670000000001</v>
      </c>
      <c r="K6641">
        <v>1.1093500000000001</v>
      </c>
      <c r="L6641">
        <v>-61.70505</v>
      </c>
      <c r="M6641">
        <v>0.99995179999999995</v>
      </c>
      <c r="N6641">
        <v>0</v>
      </c>
      <c r="O6641">
        <v>5.546395E-3</v>
      </c>
      <c r="P6641">
        <v>0.99915739999999997</v>
      </c>
      <c r="Q6641">
        <v>-1.4368219999999999E-2</v>
      </c>
      <c r="R6641">
        <v>-3.8448980000000001E-2</v>
      </c>
      <c r="S6641">
        <v>3.0254669999999999</v>
      </c>
      <c r="T6641">
        <v>2.8218029999999999E-3</v>
      </c>
      <c r="U6641">
        <v>0.59463500000000002</v>
      </c>
      <c r="V6641">
        <v>4.399264E-2</v>
      </c>
      <c r="W6641">
        <v>-6.2476739999999999E-3</v>
      </c>
      <c r="X6641">
        <v>0.99901229999999996</v>
      </c>
      <c r="Y6641">
        <v>-0.18740809999999999</v>
      </c>
      <c r="Z6641" s="1">
        <v>-8.1444650000000006E-5</v>
      </c>
      <c r="AA6641">
        <v>0.98228210000000005</v>
      </c>
      <c r="AB6641">
        <v>23</v>
      </c>
      <c r="AC6641">
        <v>89.456599999999995</v>
      </c>
      <c r="AD6641">
        <v>8.3600999999999995E-2</v>
      </c>
      <c r="AE6641">
        <v>17.604589999999899</v>
      </c>
      <c r="AF6641">
        <v>-17.108126892346899</v>
      </c>
      <c r="AG6641">
        <v>8.3600999999999995E-2</v>
      </c>
      <c r="AH6641">
        <v>89.552793862763806</v>
      </c>
      <c r="AI6641">
        <v>89.947462306320901</v>
      </c>
      <c r="AJ6641">
        <v>100.81544357107001</v>
      </c>
      <c r="AK6641">
        <v>91.172352626871003</v>
      </c>
      <c r="AL6641">
        <v>90.357967687700494</v>
      </c>
      <c r="AM6641">
        <v>87.478544358759706</v>
      </c>
      <c r="AN6641">
        <v>0.99999998067793405</v>
      </c>
    </row>
    <row r="6642" spans="1:40" x14ac:dyDescent="0.25">
      <c r="A6642" t="str">
        <f>"20190312155006892"</f>
        <v>20190312155006892</v>
      </c>
      <c r="B6642" t="str">
        <f>"1552377006882044"</f>
        <v>1552377006882044</v>
      </c>
      <c r="C6642" t="s">
        <v>40</v>
      </c>
      <c r="D6642">
        <v>4.4613050000000003</v>
      </c>
      <c r="E6642">
        <v>0.41070099999999998</v>
      </c>
      <c r="F6642" t="s">
        <v>77</v>
      </c>
      <c r="G6642">
        <v>-157.3501</v>
      </c>
      <c r="H6642">
        <v>1.226985</v>
      </c>
      <c r="I6642">
        <v>-44.079169999999998</v>
      </c>
      <c r="J6642">
        <v>-246.68620000000001</v>
      </c>
      <c r="K6642">
        <v>1.109305</v>
      </c>
      <c r="L6642">
        <v>-61.704189999999997</v>
      </c>
      <c r="M6642">
        <v>0.99995239999999996</v>
      </c>
      <c r="N6642">
        <v>0</v>
      </c>
      <c r="O6642">
        <v>5.6869939999999999E-3</v>
      </c>
      <c r="P6642">
        <v>0.99914720000000001</v>
      </c>
      <c r="Q6642">
        <v>-1.44143E-2</v>
      </c>
      <c r="R6642">
        <v>-3.8690740000000001E-2</v>
      </c>
      <c r="S6642">
        <v>3.0255429999999999</v>
      </c>
      <c r="T6642">
        <v>3.9778950000000004E-3</v>
      </c>
      <c r="U6642">
        <v>0.59613039999999995</v>
      </c>
      <c r="V6642">
        <v>4.4374730000000001E-2</v>
      </c>
      <c r="W6642">
        <v>-6.4874140000000004E-3</v>
      </c>
      <c r="X6642">
        <v>0.99899389999999999</v>
      </c>
      <c r="Y6642">
        <v>-0.1877326</v>
      </c>
      <c r="Z6642">
        <v>-1.148324E-4</v>
      </c>
      <c r="AA6642">
        <v>0.98222019999999999</v>
      </c>
      <c r="AB6642">
        <v>23</v>
      </c>
      <c r="AC6642">
        <v>89.336100000000002</v>
      </c>
      <c r="AD6642">
        <v>0.11767999999999899</v>
      </c>
      <c r="AE6642">
        <v>17.625019999999999</v>
      </c>
      <c r="AF6642">
        <v>-17.116636545768699</v>
      </c>
      <c r="AG6642">
        <v>0.11767999999999899</v>
      </c>
      <c r="AH6642">
        <v>89.434742407383496</v>
      </c>
      <c r="AI6642">
        <v>89.925953058354295</v>
      </c>
      <c r="AJ6642">
        <v>100.834641413391</v>
      </c>
      <c r="AK6642">
        <v>91.058037781940897</v>
      </c>
      <c r="AL6642">
        <v>90.371704046605103</v>
      </c>
      <c r="AM6642">
        <v>87.456626568558605</v>
      </c>
      <c r="AN6642">
        <v>1.0000000077200899</v>
      </c>
    </row>
    <row r="6643" spans="1:40" x14ac:dyDescent="0.25">
      <c r="A6643" t="str">
        <f>"20190312155006903"</f>
        <v>20190312155006903</v>
      </c>
      <c r="B6643" t="str">
        <f>"1552377006892780"</f>
        <v>1552377006892780</v>
      </c>
      <c r="C6643" t="s">
        <v>40</v>
      </c>
      <c r="D6643">
        <v>4.4890230000000004</v>
      </c>
      <c r="E6643">
        <v>0.41094370000000002</v>
      </c>
      <c r="F6643" t="s">
        <v>77</v>
      </c>
      <c r="G6643">
        <v>-157.3501</v>
      </c>
      <c r="H6643">
        <v>1.2890010000000001</v>
      </c>
      <c r="I6643">
        <v>-44.161160000000002</v>
      </c>
      <c r="J6643">
        <v>-246.5737</v>
      </c>
      <c r="K6643">
        <v>1.1092709999999999</v>
      </c>
      <c r="L6643">
        <v>-61.703429999999997</v>
      </c>
      <c r="M6643">
        <v>0.99995319999999999</v>
      </c>
      <c r="N6643">
        <v>0</v>
      </c>
      <c r="O6643">
        <v>5.8107280000000002E-3</v>
      </c>
      <c r="P6643">
        <v>0.99914119999999995</v>
      </c>
      <c r="Q6643">
        <v>-1.427717E-2</v>
      </c>
      <c r="R6643">
        <v>-3.8896060000000003E-2</v>
      </c>
      <c r="S6643">
        <v>3.0256349999999999</v>
      </c>
      <c r="T6643">
        <v>6.0852769999999896E-3</v>
      </c>
      <c r="U6643">
        <v>0.59414669999999903</v>
      </c>
      <c r="V6643">
        <v>4.4703560000000003E-2</v>
      </c>
      <c r="W6643">
        <v>-6.5280160000000002E-3</v>
      </c>
      <c r="X6643">
        <v>0.99897899999999995</v>
      </c>
      <c r="Y6643">
        <v>-0.18698529999999999</v>
      </c>
      <c r="Z6643">
        <v>-1.7468240000000001E-4</v>
      </c>
      <c r="AA6643">
        <v>0.98236270000000003</v>
      </c>
      <c r="AB6643">
        <v>23</v>
      </c>
      <c r="AC6643">
        <v>89.223600000000005</v>
      </c>
      <c r="AD6643">
        <v>0.17973</v>
      </c>
      <c r="AE6643">
        <v>17.542269999999998</v>
      </c>
      <c r="AF6643">
        <v>-17.0234377389217</v>
      </c>
      <c r="AG6643">
        <v>0.17973</v>
      </c>
      <c r="AH6643">
        <v>89.323681047607593</v>
      </c>
      <c r="AI6643">
        <v>89.886752449258793</v>
      </c>
      <c r="AJ6643">
        <v>100.790118204903</v>
      </c>
      <c r="AK6643">
        <v>90.931566197985305</v>
      </c>
      <c r="AL6643">
        <v>90.374030409687506</v>
      </c>
      <c r="AM6643">
        <v>87.437766271533903</v>
      </c>
      <c r="AN6643">
        <v>1.0000000328552801</v>
      </c>
    </row>
    <row r="6644" spans="1:40" x14ac:dyDescent="0.25">
      <c r="A6644" t="str">
        <f>"20190312155006914"</f>
        <v>20190312155006914</v>
      </c>
      <c r="B6644" t="str">
        <f>"1552377006912300"</f>
        <v>1552377006912300</v>
      </c>
      <c r="C6644" t="s">
        <v>40</v>
      </c>
      <c r="D6644">
        <v>4.4488909999999997</v>
      </c>
      <c r="E6644">
        <v>0.41128019999999998</v>
      </c>
      <c r="F6644" t="s">
        <v>77</v>
      </c>
      <c r="G6644">
        <v>-157.3501</v>
      </c>
      <c r="H6644">
        <v>1.3366469999999999</v>
      </c>
      <c r="I6644">
        <v>-44.261220000000002</v>
      </c>
      <c r="J6644">
        <v>-246.4563</v>
      </c>
      <c r="K6644">
        <v>1.10924</v>
      </c>
      <c r="L6644">
        <v>-61.702640000000002</v>
      </c>
      <c r="M6644">
        <v>0.99995389999999995</v>
      </c>
      <c r="N6644">
        <v>0</v>
      </c>
      <c r="O6644">
        <v>5.9212229999999998E-3</v>
      </c>
      <c r="P6644">
        <v>0.99913419999999997</v>
      </c>
      <c r="Q6644">
        <v>-1.4584939999999999E-2</v>
      </c>
      <c r="R6644">
        <v>-3.896691E-2</v>
      </c>
      <c r="S6644">
        <v>3.0257109999999998</v>
      </c>
      <c r="T6644">
        <v>7.70998E-3</v>
      </c>
      <c r="U6644">
        <v>0.59149169999999995</v>
      </c>
      <c r="V6644">
        <v>4.4884350000000003E-2</v>
      </c>
      <c r="W6644">
        <v>-7.0126019999999997E-3</v>
      </c>
      <c r="X6644">
        <v>0.99896759999999996</v>
      </c>
      <c r="Y6644">
        <v>-0.1860416</v>
      </c>
      <c r="Z6644">
        <v>-2.1986379999999999E-4</v>
      </c>
      <c r="AA6644">
        <v>0.98254189999999997</v>
      </c>
      <c r="AB6644">
        <v>23</v>
      </c>
      <c r="AC6644">
        <v>89.106200000000001</v>
      </c>
      <c r="AD6644">
        <v>0.227406999999999</v>
      </c>
      <c r="AE6644">
        <v>17.441420000000001</v>
      </c>
      <c r="AF6644">
        <v>-16.913375374579701</v>
      </c>
      <c r="AG6644">
        <v>0.227406999999999</v>
      </c>
      <c r="AH6644">
        <v>89.207355731356699</v>
      </c>
      <c r="AI6644">
        <v>89.856498586947495</v>
      </c>
      <c r="AJ6644">
        <v>100.735635334275</v>
      </c>
      <c r="AK6644">
        <v>90.796840788024696</v>
      </c>
      <c r="AL6644">
        <v>90.401795781703498</v>
      </c>
      <c r="AM6644">
        <v>87.427388668720994</v>
      </c>
      <c r="AN6644">
        <v>1.00000002365574</v>
      </c>
    </row>
    <row r="6645" spans="1:40" x14ac:dyDescent="0.25">
      <c r="A6645" t="str">
        <f>"20190312155006925"</f>
        <v>20190312155006925</v>
      </c>
      <c r="B6645" t="str">
        <f>"1552377006922060"</f>
        <v>1552377006922060</v>
      </c>
      <c r="C6645" t="s">
        <v>40</v>
      </c>
      <c r="D6645">
        <v>4.4869130000000004</v>
      </c>
      <c r="E6645">
        <v>0.41139920000000002</v>
      </c>
      <c r="F6645" t="s">
        <v>77</v>
      </c>
      <c r="G6645">
        <v>-157.3501</v>
      </c>
      <c r="H6645">
        <v>1.4425709999999901</v>
      </c>
      <c r="I6645">
        <v>-44.37415</v>
      </c>
      <c r="J6645">
        <v>-246.34100000000001</v>
      </c>
      <c r="K6645">
        <v>1.1092059999999999</v>
      </c>
      <c r="L6645">
        <v>-61.701810000000002</v>
      </c>
      <c r="M6645">
        <v>0.99995460000000003</v>
      </c>
      <c r="N6645">
        <v>0</v>
      </c>
      <c r="O6645">
        <v>6.0257330000000001E-3</v>
      </c>
      <c r="P6645">
        <v>0.99912880000000004</v>
      </c>
      <c r="Q6645">
        <v>-1.4497319999999999E-2</v>
      </c>
      <c r="R6645">
        <v>-3.9135490000000002E-2</v>
      </c>
      <c r="S6645">
        <v>3.0257109999999998</v>
      </c>
      <c r="T6645">
        <v>1.131797E-2</v>
      </c>
      <c r="U6645">
        <v>0.58840939999999997</v>
      </c>
      <c r="V6645">
        <v>4.5157170000000003E-2</v>
      </c>
      <c r="W6645">
        <v>-7.0964899999999996E-3</v>
      </c>
      <c r="X6645">
        <v>0.99895469999999997</v>
      </c>
      <c r="Y6645">
        <v>-0.1849739</v>
      </c>
      <c r="Z6645">
        <v>-3.2041699999999998E-4</v>
      </c>
      <c r="AA6645">
        <v>0.98274340000000004</v>
      </c>
      <c r="AB6645">
        <v>23</v>
      </c>
      <c r="AC6645">
        <v>88.990899999999897</v>
      </c>
      <c r="AD6645">
        <v>0.33336499999999902</v>
      </c>
      <c r="AE6645">
        <v>17.327659999999899</v>
      </c>
      <c r="AF6645">
        <v>-16.790868369910701</v>
      </c>
      <c r="AG6645">
        <v>0.33336499999999902</v>
      </c>
      <c r="AH6645">
        <v>89.0924944275949</v>
      </c>
      <c r="AI6645">
        <v>89.7893213802177</v>
      </c>
      <c r="AJ6645">
        <v>100.67309049179499</v>
      </c>
      <c r="AK6645">
        <v>90.661551697342603</v>
      </c>
      <c r="AL6645">
        <v>90.406602334525601</v>
      </c>
      <c r="AM6645">
        <v>87.411739418842402</v>
      </c>
      <c r="AN6645">
        <v>1.0000000114123999</v>
      </c>
    </row>
    <row r="6646" spans="1:40" x14ac:dyDescent="0.25">
      <c r="A6646" t="str">
        <f>"20190312155006936"</f>
        <v>20190312155006936</v>
      </c>
      <c r="B6646" t="str">
        <f>"1552377006932796"</f>
        <v>1552377006932796</v>
      </c>
      <c r="C6646" t="s">
        <v>40</v>
      </c>
      <c r="D6646">
        <v>4.4520309999999998</v>
      </c>
      <c r="E6646">
        <v>0.41143049999999998</v>
      </c>
      <c r="F6646" t="s">
        <v>77</v>
      </c>
      <c r="G6646">
        <v>-157.3501</v>
      </c>
      <c r="H6646">
        <v>1.4852369999999999</v>
      </c>
      <c r="I6646">
        <v>-44.44097</v>
      </c>
      <c r="J6646">
        <v>-246.22200000000001</v>
      </c>
      <c r="K6646">
        <v>1.109178</v>
      </c>
      <c r="L6646">
        <v>-61.700989999999997</v>
      </c>
      <c r="M6646">
        <v>0.99995520000000004</v>
      </c>
      <c r="N6646">
        <v>0</v>
      </c>
      <c r="O6646">
        <v>6.1166329999999998E-3</v>
      </c>
      <c r="P6646">
        <v>0.99911669999999997</v>
      </c>
      <c r="Q6646">
        <v>-1.469055E-2</v>
      </c>
      <c r="R6646">
        <v>-3.9370719999999998E-2</v>
      </c>
      <c r="S6646">
        <v>3.0257719999999999</v>
      </c>
      <c r="T6646">
        <v>1.2784719999999999E-2</v>
      </c>
      <c r="U6646">
        <v>0.5868835</v>
      </c>
      <c r="V6646">
        <v>4.5483040000000002E-2</v>
      </c>
      <c r="W6646">
        <v>-7.4543209999999999E-3</v>
      </c>
      <c r="X6646">
        <v>0.99893730000000003</v>
      </c>
      <c r="Y6646">
        <v>-0.18440290000000001</v>
      </c>
      <c r="Z6646">
        <v>-3.6037560000000001E-4</v>
      </c>
      <c r="AA6646">
        <v>0.98285069999999997</v>
      </c>
      <c r="AB6646">
        <v>23</v>
      </c>
      <c r="AC6646">
        <v>88.871899999999997</v>
      </c>
      <c r="AD6646">
        <v>0.37605899999999998</v>
      </c>
      <c r="AE6646">
        <v>17.260020000000001</v>
      </c>
      <c r="AF6646">
        <v>-16.715797699750802</v>
      </c>
      <c r="AG6646">
        <v>0.37605899999999998</v>
      </c>
      <c r="AH6646">
        <v>88.974278158626902</v>
      </c>
      <c r="AI6646">
        <v>89.761998670079606</v>
      </c>
      <c r="AJ6646">
        <v>100.64025779995799</v>
      </c>
      <c r="AK6646">
        <v>90.531660135883797</v>
      </c>
      <c r="AL6646">
        <v>90.427105087307396</v>
      </c>
      <c r="AM6646">
        <v>87.393041950284896</v>
      </c>
      <c r="AN6646">
        <v>1.0000000015802499</v>
      </c>
    </row>
    <row r="6647" spans="1:40" x14ac:dyDescent="0.25">
      <c r="A6647" t="str">
        <f>"20190312155006948"</f>
        <v>20190312155006948</v>
      </c>
      <c r="B6647" t="str">
        <f>"1552377006942556"</f>
        <v>1552377006942556</v>
      </c>
      <c r="C6647" t="s">
        <v>40</v>
      </c>
      <c r="D6647">
        <v>4.4369550000000002</v>
      </c>
      <c r="E6647">
        <v>0.4114814</v>
      </c>
      <c r="F6647" t="s">
        <v>77</v>
      </c>
      <c r="G6647">
        <v>-157.3501</v>
      </c>
      <c r="H6647">
        <v>1.513889</v>
      </c>
      <c r="I6647">
        <v>-44.493769999999998</v>
      </c>
      <c r="J6647">
        <v>-246.1044</v>
      </c>
      <c r="K6647">
        <v>1.109148</v>
      </c>
      <c r="L6647">
        <v>-61.700200000000002</v>
      </c>
      <c r="M6647">
        <v>0.99995579999999995</v>
      </c>
      <c r="N6647">
        <v>0</v>
      </c>
      <c r="O6647">
        <v>6.2026829999999996E-3</v>
      </c>
      <c r="P6647">
        <v>0.99911139999999998</v>
      </c>
      <c r="Q6647">
        <v>-1.444643E-2</v>
      </c>
      <c r="R6647">
        <v>-3.9602150000000003E-2</v>
      </c>
      <c r="S6647">
        <v>3.0259399999999999</v>
      </c>
      <c r="T6647">
        <v>1.3779039999999999E-2</v>
      </c>
      <c r="U6647">
        <v>0.58587650000000002</v>
      </c>
      <c r="V6647">
        <v>4.5799850000000003E-2</v>
      </c>
      <c r="W6647">
        <v>-7.3688209999999898E-3</v>
      </c>
      <c r="X6647">
        <v>0.99892349999999996</v>
      </c>
      <c r="Y6647">
        <v>-0.18399260000000001</v>
      </c>
      <c r="Z6647">
        <v>-3.8708070000000001E-4</v>
      </c>
      <c r="AA6647">
        <v>0.98292760000000001</v>
      </c>
      <c r="AB6647">
        <v>23</v>
      </c>
      <c r="AC6647">
        <v>88.754300000000001</v>
      </c>
      <c r="AD6647">
        <v>0.40474099999999902</v>
      </c>
      <c r="AE6647">
        <v>17.206430000000001</v>
      </c>
      <c r="AF6647">
        <v>-16.655236643035199</v>
      </c>
      <c r="AG6647">
        <v>0.40474099999999902</v>
      </c>
      <c r="AH6647">
        <v>88.857540329984204</v>
      </c>
      <c r="AI6647">
        <v>89.743489820791595</v>
      </c>
      <c r="AJ6647">
        <v>100.616196758353</v>
      </c>
      <c r="AK6647">
        <v>90.405880319851804</v>
      </c>
      <c r="AL6647">
        <v>90.422206146411298</v>
      </c>
      <c r="AM6647">
        <v>87.374872404147396</v>
      </c>
      <c r="AN6647">
        <v>1.0000000423176001</v>
      </c>
    </row>
    <row r="6648" spans="1:40" x14ac:dyDescent="0.25">
      <c r="A6648" t="str">
        <f>"20190312155006958"</f>
        <v>20190312155006958</v>
      </c>
      <c r="B6648" t="str">
        <f>"1552377006952316"</f>
        <v>1552377006952316</v>
      </c>
      <c r="C6648" t="s">
        <v>40</v>
      </c>
      <c r="D6648">
        <v>4.4711610000000004</v>
      </c>
      <c r="E6648">
        <v>0.41146959999999999</v>
      </c>
      <c r="F6648" t="s">
        <v>77</v>
      </c>
      <c r="G6648">
        <v>-157.3501</v>
      </c>
      <c r="H6648">
        <v>1.5831090000000001</v>
      </c>
      <c r="I6648">
        <v>-44.550609999999999</v>
      </c>
      <c r="J6648">
        <v>-245.98920000000001</v>
      </c>
      <c r="K6648">
        <v>1.1091249999999999</v>
      </c>
      <c r="L6648">
        <v>-61.699339999999999</v>
      </c>
      <c r="M6648">
        <v>0.99995639999999997</v>
      </c>
      <c r="N6648">
        <v>0</v>
      </c>
      <c r="O6648">
        <v>6.2773739999999996E-3</v>
      </c>
      <c r="P6648">
        <v>0.99910379999999999</v>
      </c>
      <c r="Q6648">
        <v>-1.4533539999999999E-2</v>
      </c>
      <c r="R6648">
        <v>-3.975857E-2</v>
      </c>
      <c r="S6648">
        <v>3.0260929999999999</v>
      </c>
      <c r="T6648">
        <v>1.6159059999999999E-2</v>
      </c>
      <c r="U6648">
        <v>0.58471680000000004</v>
      </c>
      <c r="V6648">
        <v>4.6030889999999998E-2</v>
      </c>
      <c r="W6648">
        <v>-7.6017790000000003E-3</v>
      </c>
      <c r="X6648">
        <v>0.99891110000000005</v>
      </c>
      <c r="Y6648">
        <v>-0.18354619999999999</v>
      </c>
      <c r="Z6648">
        <v>-4.5235689999999999E-4</v>
      </c>
      <c r="AA6648">
        <v>0.98301099999999997</v>
      </c>
      <c r="AB6648">
        <v>24</v>
      </c>
      <c r="AC6648">
        <v>88.639099999999999</v>
      </c>
      <c r="AD6648">
        <v>0.47398400000000002</v>
      </c>
      <c r="AE6648">
        <v>17.14873</v>
      </c>
      <c r="AF6648">
        <v>-16.591500722683499</v>
      </c>
      <c r="AG6648">
        <v>0.47398400000000002</v>
      </c>
      <c r="AH6648">
        <v>88.742559068935506</v>
      </c>
      <c r="AI6648">
        <v>89.699191798205703</v>
      </c>
      <c r="AJ6648">
        <v>100.589883117996</v>
      </c>
      <c r="AK6648">
        <v>90.281472889882494</v>
      </c>
      <c r="AL6648">
        <v>90.435554045063299</v>
      </c>
      <c r="AM6648">
        <v>87.361615755830698</v>
      </c>
      <c r="AN6648">
        <v>1.0000000077906801</v>
      </c>
    </row>
    <row r="6649" spans="1:40" x14ac:dyDescent="0.25">
      <c r="A6649" t="str">
        <f>"20190312155006969"</f>
        <v>20190312155006969</v>
      </c>
      <c r="B6649" t="str">
        <f>"1552377006962076"</f>
        <v>1552377006962076</v>
      </c>
      <c r="C6649" t="s">
        <v>40</v>
      </c>
      <c r="D6649">
        <v>4.4326230000000004</v>
      </c>
      <c r="E6649">
        <v>0.41146700000000003</v>
      </c>
      <c r="F6649" t="s">
        <v>77</v>
      </c>
      <c r="G6649">
        <v>-157.3501</v>
      </c>
      <c r="H6649">
        <v>1.6435500000000001</v>
      </c>
      <c r="I6649">
        <v>-44.588540000000002</v>
      </c>
      <c r="J6649">
        <v>-245.87139999999999</v>
      </c>
      <c r="K6649">
        <v>1.109103</v>
      </c>
      <c r="L6649">
        <v>-61.698549999999997</v>
      </c>
      <c r="M6649">
        <v>0.99995690000000004</v>
      </c>
      <c r="N6649">
        <v>0</v>
      </c>
      <c r="O6649">
        <v>6.3493780000000001E-3</v>
      </c>
      <c r="P6649">
        <v>0.99910160000000003</v>
      </c>
      <c r="Q6649">
        <v>-1.457576E-2</v>
      </c>
      <c r="R6649">
        <v>-3.9798380000000001E-2</v>
      </c>
      <c r="S6649">
        <v>3.0261689999999999</v>
      </c>
      <c r="T6649">
        <v>1.8244739999999999E-2</v>
      </c>
      <c r="U6649">
        <v>0.58416749999999995</v>
      </c>
      <c r="V6649">
        <v>4.614244E-2</v>
      </c>
      <c r="W6649">
        <v>-7.7876959999999898E-3</v>
      </c>
      <c r="X6649">
        <v>0.99890449999999997</v>
      </c>
      <c r="Y6649">
        <v>-0.18329809999999999</v>
      </c>
      <c r="Z6649">
        <v>-5.0956769999999996E-4</v>
      </c>
      <c r="AA6649">
        <v>0.98305730000000002</v>
      </c>
      <c r="AB6649">
        <v>24</v>
      </c>
      <c r="AC6649">
        <v>88.521299999999997</v>
      </c>
      <c r="AD6649">
        <v>0.53444699999999901</v>
      </c>
      <c r="AE6649">
        <v>17.1100099999999</v>
      </c>
      <c r="AF6649">
        <v>-16.5470155606052</v>
      </c>
      <c r="AG6649">
        <v>0.53444699999999901</v>
      </c>
      <c r="AH6649">
        <v>88.625041804472204</v>
      </c>
      <c r="AI6649">
        <v>89.660355214519996</v>
      </c>
      <c r="AJ6649">
        <v>100.575818917522</v>
      </c>
      <c r="AK6649">
        <v>90.158124383791204</v>
      </c>
      <c r="AL6649">
        <v>90.446206629282401</v>
      </c>
      <c r="AM6649">
        <v>87.355213585309997</v>
      </c>
      <c r="AN6649">
        <v>0.99999998654919597</v>
      </c>
    </row>
    <row r="6650" spans="1:40" x14ac:dyDescent="0.25">
      <c r="A6650" t="str">
        <f>"20190312155006981"</f>
        <v>20190312155006981</v>
      </c>
      <c r="B6650" t="str">
        <f>"1552377006972812"</f>
        <v>1552377006972812</v>
      </c>
      <c r="C6650" t="s">
        <v>40</v>
      </c>
      <c r="D6650">
        <v>4.4518959999999996</v>
      </c>
      <c r="E6650">
        <v>0.41151520000000003</v>
      </c>
      <c r="F6650" t="s">
        <v>77</v>
      </c>
      <c r="G6650">
        <v>-157.3501</v>
      </c>
      <c r="H6650">
        <v>1.728334</v>
      </c>
      <c r="I6650">
        <v>-44.617359999999998</v>
      </c>
      <c r="J6650">
        <v>-245.7475</v>
      </c>
      <c r="K6650">
        <v>1.1090869999999999</v>
      </c>
      <c r="L6650">
        <v>-61.697659999999999</v>
      </c>
      <c r="M6650">
        <v>0.9999574</v>
      </c>
      <c r="N6650">
        <v>0</v>
      </c>
      <c r="O6650">
        <v>6.4198959999999996E-3</v>
      </c>
      <c r="P6650">
        <v>0.99909519999999996</v>
      </c>
      <c r="Q6650">
        <v>-1.447213E-2</v>
      </c>
      <c r="R6650">
        <v>-3.9997909999999998E-2</v>
      </c>
      <c r="S6650">
        <v>3.0262760000000002</v>
      </c>
      <c r="T6650">
        <v>2.1168949999999999E-2</v>
      </c>
      <c r="U6650">
        <v>0.58395390000000003</v>
      </c>
      <c r="V6650">
        <v>4.6412210000000002E-2</v>
      </c>
      <c r="W6650">
        <v>-7.8284280000000001E-3</v>
      </c>
      <c r="X6650">
        <v>0.99889170000000005</v>
      </c>
      <c r="Y6650">
        <v>-0.18315439999999999</v>
      </c>
      <c r="Z6650">
        <v>-5.9023449999999998E-4</v>
      </c>
      <c r="AA6650">
        <v>0.98308399999999996</v>
      </c>
      <c r="AB6650">
        <v>24</v>
      </c>
      <c r="AC6650">
        <v>88.397400000000005</v>
      </c>
      <c r="AD6650">
        <v>0.61924699999999899</v>
      </c>
      <c r="AE6650">
        <v>17.080300000000001</v>
      </c>
      <c r="AF6650">
        <v>-16.5116522777999</v>
      </c>
      <c r="AG6650">
        <v>0.61924699999999899</v>
      </c>
      <c r="AH6650">
        <v>88.501047647088001</v>
      </c>
      <c r="AI6650">
        <v>89.605904653107501</v>
      </c>
      <c r="AJ6650">
        <v>100.568178618034</v>
      </c>
      <c r="AK6650">
        <v>90.030292471046195</v>
      </c>
      <c r="AL6650">
        <v>90.448540464803003</v>
      </c>
      <c r="AM6650">
        <v>87.339739051672694</v>
      </c>
      <c r="AN6650">
        <v>1.0000000029254601</v>
      </c>
    </row>
    <row r="6651" spans="1:40" x14ac:dyDescent="0.25">
      <c r="A6651" t="str">
        <f>"20190312155006994"</f>
        <v>20190312155006994</v>
      </c>
      <c r="B6651" t="str">
        <f>"1552377006982572"</f>
        <v>1552377006982572</v>
      </c>
      <c r="C6651" t="s">
        <v>40</v>
      </c>
      <c r="D6651">
        <v>4.4216240000000004</v>
      </c>
      <c r="E6651">
        <v>0.4116475</v>
      </c>
      <c r="F6651" t="s">
        <v>77</v>
      </c>
      <c r="G6651">
        <v>-157.3501</v>
      </c>
      <c r="H6651">
        <v>1.7943</v>
      </c>
      <c r="I6651">
        <v>-44.674840000000003</v>
      </c>
      <c r="J6651">
        <v>-245.62180000000001</v>
      </c>
      <c r="K6651">
        <v>1.1090690000000001</v>
      </c>
      <c r="L6651">
        <v>-61.696779999999997</v>
      </c>
      <c r="M6651">
        <v>0.99995789999999996</v>
      </c>
      <c r="N6651">
        <v>0</v>
      </c>
      <c r="O6651">
        <v>6.4870140000000001E-3</v>
      </c>
      <c r="P6651">
        <v>0.99909210000000004</v>
      </c>
      <c r="Q6651">
        <v>-1.4513409999999999E-2</v>
      </c>
      <c r="R6651">
        <v>-4.0056809999999998E-2</v>
      </c>
      <c r="S6651">
        <v>3.0263819999999999</v>
      </c>
      <c r="T6651">
        <v>2.3458360000000001E-2</v>
      </c>
      <c r="U6651">
        <v>0.58279419999999904</v>
      </c>
      <c r="V6651">
        <v>4.6538160000000002E-2</v>
      </c>
      <c r="W6651">
        <v>-8.0101489999999994E-3</v>
      </c>
      <c r="X6651">
        <v>0.99888440000000001</v>
      </c>
      <c r="Y6651">
        <v>-0.18271780000000001</v>
      </c>
      <c r="Z6651">
        <v>-6.5187519999999996E-4</v>
      </c>
      <c r="AA6651">
        <v>0.98316519999999996</v>
      </c>
      <c r="AB6651">
        <v>24</v>
      </c>
      <c r="AC6651">
        <v>88.271699999999996</v>
      </c>
      <c r="AD6651">
        <v>0.68523099999999904</v>
      </c>
      <c r="AE6651">
        <v>17.021940000000001</v>
      </c>
      <c r="AF6651">
        <v>-16.447994390517</v>
      </c>
      <c r="AG6651">
        <v>0.68523099999999904</v>
      </c>
      <c r="AH6651">
        <v>88.375131918265495</v>
      </c>
      <c r="AI6651">
        <v>89.563256229705203</v>
      </c>
      <c r="AJ6651">
        <v>100.54301203259401</v>
      </c>
      <c r="AK6651">
        <v>89.895328035247104</v>
      </c>
      <c r="AL6651">
        <v>90.458952637288803</v>
      </c>
      <c r="AM6651">
        <v>87.332510780496605</v>
      </c>
      <c r="AN6651">
        <v>1.0000000036932699</v>
      </c>
    </row>
    <row r="6652" spans="1:40" x14ac:dyDescent="0.25">
      <c r="A6652" t="str">
        <f>"20190312155007005"</f>
        <v>20190312155007005</v>
      </c>
      <c r="B6652" t="str">
        <f>"1552377006992332"</f>
        <v>1552377006992332</v>
      </c>
      <c r="C6652" t="s">
        <v>40</v>
      </c>
      <c r="D6652">
        <v>4.4086230000000004</v>
      </c>
      <c r="E6652">
        <v>0.41170040000000002</v>
      </c>
      <c r="F6652" t="s">
        <v>77</v>
      </c>
      <c r="G6652">
        <v>-157.3501</v>
      </c>
      <c r="H6652">
        <v>1.838876</v>
      </c>
      <c r="I6652">
        <v>-44.734740000000002</v>
      </c>
      <c r="J6652">
        <v>-245.49979999999999</v>
      </c>
      <c r="K6652">
        <v>1.1090519999999999</v>
      </c>
      <c r="L6652">
        <v>-61.695950000000003</v>
      </c>
      <c r="M6652">
        <v>0.99995840000000003</v>
      </c>
      <c r="N6652">
        <v>0</v>
      </c>
      <c r="O6652">
        <v>6.5505959999999997E-3</v>
      </c>
      <c r="P6652">
        <v>0.99908850000000005</v>
      </c>
      <c r="Q6652">
        <v>-1.443842E-2</v>
      </c>
      <c r="R6652">
        <v>-4.0175620000000002E-2</v>
      </c>
      <c r="S6652">
        <v>3.0263979999999999</v>
      </c>
      <c r="T6652">
        <v>2.50206E-2</v>
      </c>
      <c r="U6652">
        <v>0.58154300000000003</v>
      </c>
      <c r="V6652">
        <v>4.6720369999999997E-2</v>
      </c>
      <c r="W6652">
        <v>-8.0692999999999997E-3</v>
      </c>
      <c r="X6652">
        <v>0.99887539999999997</v>
      </c>
      <c r="Y6652">
        <v>-0.1822616</v>
      </c>
      <c r="Z6652">
        <v>-6.9292050000000003E-4</v>
      </c>
      <c r="AA6652">
        <v>0.98324979999999995</v>
      </c>
      <c r="AB6652">
        <v>24</v>
      </c>
      <c r="AC6652">
        <v>88.149699999999996</v>
      </c>
      <c r="AD6652">
        <v>0.72982399999999903</v>
      </c>
      <c r="AE6652">
        <v>16.961210000000001</v>
      </c>
      <c r="AF6652">
        <v>-16.382318488610402</v>
      </c>
      <c r="AG6652">
        <v>0.72982399999999903</v>
      </c>
      <c r="AH6652">
        <v>88.253083318175598</v>
      </c>
      <c r="AI6652">
        <v>89.534151319411095</v>
      </c>
      <c r="AJ6652">
        <v>100.516052415228</v>
      </c>
      <c r="AK6652">
        <v>89.7636881890338</v>
      </c>
      <c r="AL6652">
        <v>90.462341857809307</v>
      </c>
      <c r="AM6652">
        <v>87.322057889438497</v>
      </c>
      <c r="AN6652">
        <v>0.99999998565029302</v>
      </c>
    </row>
    <row r="6653" spans="1:40" x14ac:dyDescent="0.25">
      <c r="A6653" t="str">
        <f>"20190312155007016"</f>
        <v>20190312155007016</v>
      </c>
      <c r="B6653" t="str">
        <f>"1552377007012828"</f>
        <v>1552377007012828</v>
      </c>
      <c r="C6653" t="s">
        <v>40</v>
      </c>
      <c r="D6653">
        <v>4.4206339999999997</v>
      </c>
      <c r="E6653">
        <v>0.41180080000000002</v>
      </c>
      <c r="F6653" t="s">
        <v>77</v>
      </c>
      <c r="G6653">
        <v>-157.3501</v>
      </c>
      <c r="H6653">
        <v>1.9219550000000001</v>
      </c>
      <c r="I6653">
        <v>-44.783749999999998</v>
      </c>
      <c r="J6653">
        <v>-245.38229999999999</v>
      </c>
      <c r="K6653">
        <v>1.1090329999999999</v>
      </c>
      <c r="L6653">
        <v>-61.695099999999996</v>
      </c>
      <c r="M6653">
        <v>0.99995869999999998</v>
      </c>
      <c r="N6653">
        <v>0</v>
      </c>
      <c r="O6653">
        <v>6.6092719999999898E-3</v>
      </c>
      <c r="P6653">
        <v>0.99907860000000004</v>
      </c>
      <c r="Q6653">
        <v>-1.446301E-2</v>
      </c>
      <c r="R6653">
        <v>-4.0408140000000002E-2</v>
      </c>
      <c r="S6653">
        <v>3.0265049999999998</v>
      </c>
      <c r="T6653">
        <v>2.7909400000000001E-2</v>
      </c>
      <c r="U6653">
        <v>0.58065800000000001</v>
      </c>
      <c r="V6653">
        <v>4.7011520000000001E-2</v>
      </c>
      <c r="W6653">
        <v>-8.2182100000000001E-3</v>
      </c>
      <c r="X6653">
        <v>0.99886050000000004</v>
      </c>
      <c r="Y6653">
        <v>-0.18191879999999999</v>
      </c>
      <c r="Z6653">
        <v>-7.7081179999999902E-4</v>
      </c>
      <c r="AA6653">
        <v>0.98331329999999995</v>
      </c>
      <c r="AB6653">
        <v>24</v>
      </c>
      <c r="AC6653">
        <v>88.032199999999904</v>
      </c>
      <c r="AD6653">
        <v>0.81292199999999903</v>
      </c>
      <c r="AE6653">
        <v>16.911349999999999</v>
      </c>
      <c r="AF6653">
        <v>-16.327797764289102</v>
      </c>
      <c r="AG6653">
        <v>0.81292199999999903</v>
      </c>
      <c r="AH6653">
        <v>88.134802969640006</v>
      </c>
      <c r="AI6653">
        <v>89.480381641580493</v>
      </c>
      <c r="AJ6653">
        <v>100.495586309429</v>
      </c>
      <c r="AK6653">
        <v>89.638168859626305</v>
      </c>
      <c r="AL6653">
        <v>90.470874067375206</v>
      </c>
      <c r="AM6653">
        <v>87.305353988874401</v>
      </c>
      <c r="AN6653">
        <v>0.99999996022428095</v>
      </c>
    </row>
    <row r="6654" spans="1:40" x14ac:dyDescent="0.25">
      <c r="A6654" t="str">
        <f>"20190312155007028"</f>
        <v>20190312155007028</v>
      </c>
      <c r="B6654" t="str">
        <f>"1552377007022588"</f>
        <v>1552377007022588</v>
      </c>
      <c r="C6654" t="s">
        <v>40</v>
      </c>
      <c r="D6654">
        <v>4.4200030000000003</v>
      </c>
      <c r="E6654">
        <v>0.41182020000000003</v>
      </c>
      <c r="F6654" t="s">
        <v>77</v>
      </c>
      <c r="G6654">
        <v>-157.3501</v>
      </c>
      <c r="H6654">
        <v>1.9960230000000001</v>
      </c>
      <c r="I6654">
        <v>-44.854930000000003</v>
      </c>
      <c r="J6654">
        <v>-245.2604</v>
      </c>
      <c r="K6654">
        <v>1.1090180000000001</v>
      </c>
      <c r="L6654">
        <v>-61.694240000000001</v>
      </c>
      <c r="M6654">
        <v>0.99995919999999905</v>
      </c>
      <c r="N6654">
        <v>0</v>
      </c>
      <c r="O6654">
        <v>6.669983E-3</v>
      </c>
      <c r="P6654">
        <v>0.99907840000000003</v>
      </c>
      <c r="Q6654">
        <v>-1.4398940000000001E-2</v>
      </c>
      <c r="R6654">
        <v>-4.0443199999999999E-2</v>
      </c>
      <c r="S6654">
        <v>3.026627</v>
      </c>
      <c r="T6654">
        <v>3.0494810000000001E-2</v>
      </c>
      <c r="U6654">
        <v>0.57897949999999998</v>
      </c>
      <c r="V6654">
        <v>4.7107059999999999E-2</v>
      </c>
      <c r="W6654">
        <v>-8.2828590000000001E-3</v>
      </c>
      <c r="X6654">
        <v>0.99885550000000001</v>
      </c>
      <c r="Y6654">
        <v>-0.1813244</v>
      </c>
      <c r="Z6654">
        <v>-8.3865000000000003E-4</v>
      </c>
      <c r="AA6654">
        <v>0.98342300000000005</v>
      </c>
      <c r="AB6654">
        <v>24</v>
      </c>
      <c r="AC6654">
        <v>87.910300000000007</v>
      </c>
      <c r="AD6654">
        <v>0.88700499999999904</v>
      </c>
      <c r="AE6654">
        <v>16.839310000000001</v>
      </c>
      <c r="AF6654">
        <v>-16.250968428803102</v>
      </c>
      <c r="AG6654">
        <v>0.88700499999999904</v>
      </c>
      <c r="AH6654">
        <v>88.012021386357304</v>
      </c>
      <c r="AI6654">
        <v>89.432177582900493</v>
      </c>
      <c r="AJ6654">
        <v>100.46154290530799</v>
      </c>
      <c r="AK6654">
        <v>89.504171194736003</v>
      </c>
      <c r="AL6654">
        <v>90.474578291772701</v>
      </c>
      <c r="AM6654">
        <v>87.299872346558303</v>
      </c>
      <c r="AN6654">
        <v>0.99999999536765305</v>
      </c>
    </row>
    <row r="6655" spans="1:40" x14ac:dyDescent="0.25">
      <c r="A6655" t="str">
        <f>"20190312155007038"</f>
        <v>20190312155007038</v>
      </c>
      <c r="B6655" t="str">
        <f>"1552377007032349"</f>
        <v>1552377007032349</v>
      </c>
      <c r="C6655" t="s">
        <v>40</v>
      </c>
      <c r="D6655">
        <v>4.4103510000000004</v>
      </c>
      <c r="E6655">
        <v>0.41186200000000001</v>
      </c>
      <c r="F6655" t="s">
        <v>77</v>
      </c>
      <c r="G6655">
        <v>-157.3501</v>
      </c>
      <c r="H6655">
        <v>2.055984</v>
      </c>
      <c r="I6655">
        <v>-44.887309999999999</v>
      </c>
      <c r="J6655">
        <v>-245.136</v>
      </c>
      <c r="K6655">
        <v>1.1090040000000001</v>
      </c>
      <c r="L6655">
        <v>-61.693330000000003</v>
      </c>
      <c r="M6655">
        <v>0.9999595</v>
      </c>
      <c r="N6655">
        <v>0</v>
      </c>
      <c r="O6655">
        <v>6.7315359999999998E-3</v>
      </c>
      <c r="P6655">
        <v>0.9990793</v>
      </c>
      <c r="Q6655">
        <v>-1.395799E-2</v>
      </c>
      <c r="R6655">
        <v>-4.0570389999999998E-2</v>
      </c>
      <c r="S6655">
        <v>3.0266570000000002</v>
      </c>
      <c r="T6655">
        <v>3.2602310000000002E-2</v>
      </c>
      <c r="U6655">
        <v>0.57864380000000004</v>
      </c>
      <c r="V6655">
        <v>4.729585E-2</v>
      </c>
      <c r="W6655">
        <v>-7.9718719999999996E-3</v>
      </c>
      <c r="X6655">
        <v>0.99884910000000005</v>
      </c>
      <c r="Y6655">
        <v>-0.1811556</v>
      </c>
      <c r="Z6655">
        <v>-8.9504859999999995E-4</v>
      </c>
      <c r="AA6655">
        <v>0.98345400000000005</v>
      </c>
      <c r="AB6655">
        <v>24</v>
      </c>
      <c r="AC6655">
        <v>87.785899999999998</v>
      </c>
      <c r="AD6655">
        <v>0.94698000000000004</v>
      </c>
      <c r="AE6655">
        <v>16.80602</v>
      </c>
      <c r="AF6655">
        <v>-16.2128747703822</v>
      </c>
      <c r="AG6655">
        <v>0.94698000000000004</v>
      </c>
      <c r="AH6655">
        <v>87.887177667969695</v>
      </c>
      <c r="AI6655">
        <v>89.392907340000306</v>
      </c>
      <c r="AJ6655">
        <v>100.452059739394</v>
      </c>
      <c r="AK6655">
        <v>89.375108827244304</v>
      </c>
      <c r="AL6655">
        <v>90.456759464631602</v>
      </c>
      <c r="AM6655">
        <v>87.289049867030897</v>
      </c>
      <c r="AN6655">
        <v>0.99999998637060805</v>
      </c>
    </row>
    <row r="6656" spans="1:40" x14ac:dyDescent="0.25">
      <c r="A6656" t="str">
        <f>"20190312155007049"</f>
        <v>20190312155007049</v>
      </c>
      <c r="B6656" t="str">
        <f>"1552377007042108"</f>
        <v>1552377007042108</v>
      </c>
      <c r="C6656" t="s">
        <v>40</v>
      </c>
      <c r="D6656">
        <v>4.4453889999999996</v>
      </c>
      <c r="E6656">
        <v>0.41203859999999998</v>
      </c>
      <c r="F6656" t="s">
        <v>77</v>
      </c>
      <c r="G6656">
        <v>-157.3501</v>
      </c>
      <c r="H6656">
        <v>2.1340439999999998</v>
      </c>
      <c r="I6656">
        <v>-44.93177</v>
      </c>
      <c r="J6656">
        <v>-245.01759999999999</v>
      </c>
      <c r="K6656">
        <v>1.108989</v>
      </c>
      <c r="L6656">
        <v>-61.692500000000003</v>
      </c>
      <c r="M6656">
        <v>0.99995990000000001</v>
      </c>
      <c r="N6656">
        <v>0</v>
      </c>
      <c r="O6656">
        <v>6.790735E-3</v>
      </c>
      <c r="P6656">
        <v>0.99907610000000002</v>
      </c>
      <c r="Q6656">
        <v>-1.3929779999999999E-2</v>
      </c>
      <c r="R6656">
        <v>-4.0660490000000001E-2</v>
      </c>
      <c r="S6656">
        <v>3.0267179999999998</v>
      </c>
      <c r="T6656">
        <v>3.5341020000000001E-2</v>
      </c>
      <c r="U6656">
        <v>0.57791139999999996</v>
      </c>
      <c r="V6656">
        <v>4.7444979999999998E-2</v>
      </c>
      <c r="W6656">
        <v>-8.0661350000000003E-3</v>
      </c>
      <c r="X6656">
        <v>0.99884130000000004</v>
      </c>
      <c r="Y6656">
        <v>-0.18086240000000001</v>
      </c>
      <c r="Z6656">
        <v>-9.6785250000000001E-4</v>
      </c>
      <c r="AA6656">
        <v>0.98350789999999999</v>
      </c>
      <c r="AB6656">
        <v>24</v>
      </c>
      <c r="AC6656">
        <v>87.667499999999905</v>
      </c>
      <c r="AD6656">
        <v>1.0250549999999901</v>
      </c>
      <c r="AE6656">
        <v>16.760729999999999</v>
      </c>
      <c r="AF6656">
        <v>-16.162874831652001</v>
      </c>
      <c r="AG6656">
        <v>1.0250549999999901</v>
      </c>
      <c r="AH6656">
        <v>87.767722106359201</v>
      </c>
      <c r="AI6656">
        <v>89.341927328166804</v>
      </c>
      <c r="AJ6656">
        <v>100.43440460415</v>
      </c>
      <c r="AK6656">
        <v>89.249438677875006</v>
      </c>
      <c r="AL6656">
        <v>90.462160496910002</v>
      </c>
      <c r="AM6656">
        <v>87.280493494223194</v>
      </c>
      <c r="AN6656">
        <v>1.0000000156233599</v>
      </c>
    </row>
    <row r="6657" spans="1:40" x14ac:dyDescent="0.25">
      <c r="A6657" t="str">
        <f>"20190312155007059"</f>
        <v>20190312155007059</v>
      </c>
      <c r="B6657" t="str">
        <f>"1552377007052845"</f>
        <v>1552377007052845</v>
      </c>
      <c r="C6657" t="s">
        <v>40</v>
      </c>
      <c r="D6657">
        <v>4.6306770000000004</v>
      </c>
      <c r="E6657">
        <v>0.4127093</v>
      </c>
      <c r="F6657" t="s">
        <v>77</v>
      </c>
      <c r="G6657">
        <v>-157.3501</v>
      </c>
      <c r="H6657">
        <v>2.1452070000000001</v>
      </c>
      <c r="I6657">
        <v>-45.00217</v>
      </c>
      <c r="J6657">
        <v>-244.90389999999999</v>
      </c>
      <c r="K6657">
        <v>1.108976</v>
      </c>
      <c r="L6657">
        <v>-61.691650000000003</v>
      </c>
      <c r="M6657">
        <v>0.99996010000000002</v>
      </c>
      <c r="N6657">
        <v>0</v>
      </c>
      <c r="O6657">
        <v>6.8478849999999997E-3</v>
      </c>
      <c r="P6657">
        <v>0.99907299999999999</v>
      </c>
      <c r="Q6657">
        <v>-1.343806E-2</v>
      </c>
      <c r="R6657">
        <v>-4.0901010000000002E-2</v>
      </c>
      <c r="S6657">
        <v>3.0267179999999998</v>
      </c>
      <c r="T6657">
        <v>3.5774710000000001E-2</v>
      </c>
      <c r="U6657">
        <v>0.57623290000000005</v>
      </c>
      <c r="V6657">
        <v>4.7742569999999998E-2</v>
      </c>
      <c r="W6657">
        <v>-7.6903240000000001E-3</v>
      </c>
      <c r="X6657">
        <v>0.99883010000000005</v>
      </c>
      <c r="Y6657">
        <v>-0.18027969999999999</v>
      </c>
      <c r="Z6657">
        <v>-9.7569699999999998E-4</v>
      </c>
      <c r="AA6657">
        <v>0.98361489999999996</v>
      </c>
      <c r="AB6657">
        <v>24</v>
      </c>
      <c r="AC6657">
        <v>87.553799999999995</v>
      </c>
      <c r="AD6657">
        <v>1.0362309999999999</v>
      </c>
      <c r="AE6657">
        <v>16.68948</v>
      </c>
      <c r="AF6657">
        <v>-16.0873460120605</v>
      </c>
      <c r="AG6657">
        <v>1.0362309999999999</v>
      </c>
      <c r="AH6657">
        <v>87.654188840911104</v>
      </c>
      <c r="AI6657">
        <v>89.333817725577504</v>
      </c>
      <c r="AJ6657">
        <v>100.39986841471099</v>
      </c>
      <c r="AK6657">
        <v>89.124257628073494</v>
      </c>
      <c r="AL6657">
        <v>90.440627437735699</v>
      </c>
      <c r="AM6657">
        <v>87.263431094683199</v>
      </c>
      <c r="AN6657">
        <v>1.0000000313697099</v>
      </c>
    </row>
    <row r="6658" spans="1:40" x14ac:dyDescent="0.25">
      <c r="A6658" t="str">
        <f>"20190312155007070"</f>
        <v>20190312155007070</v>
      </c>
      <c r="B6658" t="str">
        <f>"1552377007062604"</f>
        <v>1552377007062604</v>
      </c>
      <c r="C6658" t="s">
        <v>40</v>
      </c>
      <c r="D6658">
        <v>4.7419840000000004</v>
      </c>
      <c r="E6658">
        <v>0.4127093</v>
      </c>
      <c r="F6658" t="s">
        <v>77</v>
      </c>
      <c r="G6658">
        <v>-157.3501</v>
      </c>
      <c r="H6658">
        <v>2.1412930000000001</v>
      </c>
      <c r="I6658">
        <v>-45.196280000000002</v>
      </c>
      <c r="J6658">
        <v>-244.78710000000001</v>
      </c>
      <c r="K6658">
        <v>1.1089629999999999</v>
      </c>
      <c r="L6658">
        <v>-61.690800000000003</v>
      </c>
      <c r="M6658">
        <v>0.99996039999999997</v>
      </c>
      <c r="N6658">
        <v>0</v>
      </c>
      <c r="O6658">
        <v>6.9075359999999997E-3</v>
      </c>
      <c r="P6658">
        <v>0.99907239999999997</v>
      </c>
      <c r="Q6658">
        <v>-1.303123E-2</v>
      </c>
      <c r="R6658">
        <v>-4.1045440000000002E-2</v>
      </c>
      <c r="S6658">
        <v>3.0266109999999999</v>
      </c>
      <c r="T6658">
        <v>3.5684939999999998E-2</v>
      </c>
      <c r="U6658">
        <v>0.57022090000000003</v>
      </c>
      <c r="V6658">
        <v>4.794665E-2</v>
      </c>
      <c r="W6658">
        <v>-7.4006080000000004E-3</v>
      </c>
      <c r="X6658">
        <v>0.99882249999999995</v>
      </c>
      <c r="Y6658">
        <v>-0.178341</v>
      </c>
      <c r="Z6658">
        <v>-9.6143539999999999E-4</v>
      </c>
      <c r="AA6658">
        <v>0.98396830000000002</v>
      </c>
      <c r="AB6658">
        <v>24</v>
      </c>
      <c r="AC6658">
        <v>87.436999999999998</v>
      </c>
      <c r="AD6658">
        <v>1.03233</v>
      </c>
      <c r="AE6658">
        <v>16.494520000000001</v>
      </c>
      <c r="AF6658">
        <v>-15.8880041399776</v>
      </c>
      <c r="AG6658">
        <v>1.03233</v>
      </c>
      <c r="AH6658">
        <v>87.537069309465096</v>
      </c>
      <c r="AI6658">
        <v>89.335199029887406</v>
      </c>
      <c r="AJ6658">
        <v>100.28721489425099</v>
      </c>
      <c r="AK6658">
        <v>88.973214419121405</v>
      </c>
      <c r="AL6658">
        <v>90.424027467092202</v>
      </c>
      <c r="AM6658">
        <v>87.251730396234393</v>
      </c>
      <c r="AN6658">
        <v>1.0000000183756199</v>
      </c>
    </row>
    <row r="6659" spans="1:40" x14ac:dyDescent="0.25">
      <c r="A6659" t="str">
        <f>"20190312155007082"</f>
        <v>20190312155007082</v>
      </c>
      <c r="B6659" t="str">
        <f>"1552377007072364"</f>
        <v>1552377007072364</v>
      </c>
      <c r="C6659" t="s">
        <v>40</v>
      </c>
      <c r="D6659">
        <v>4.7703629999999997</v>
      </c>
      <c r="E6659">
        <v>0.46518680000000001</v>
      </c>
      <c r="F6659" t="s">
        <v>77</v>
      </c>
      <c r="G6659">
        <v>-157.3501</v>
      </c>
      <c r="H6659">
        <v>2.1745719999999999</v>
      </c>
      <c r="I6659">
        <v>-45.230980000000002</v>
      </c>
      <c r="J6659">
        <v>-244.6593</v>
      </c>
      <c r="K6659">
        <v>1.1089519999999999</v>
      </c>
      <c r="L6659">
        <v>-61.68985</v>
      </c>
      <c r="M6659">
        <v>0.99996050000000003</v>
      </c>
      <c r="N6659">
        <v>0</v>
      </c>
      <c r="O6659">
        <v>6.9738830000000002E-3</v>
      </c>
      <c r="P6659">
        <v>0.99906709999999999</v>
      </c>
      <c r="Q6659">
        <v>-1.2870639999999999E-2</v>
      </c>
      <c r="R6659">
        <v>-4.1220680000000003E-2</v>
      </c>
      <c r="S6659">
        <v>3.026672</v>
      </c>
      <c r="T6659">
        <v>3.688574E-2</v>
      </c>
      <c r="U6659">
        <v>0.56976319999999903</v>
      </c>
      <c r="V6659">
        <v>4.8188259999999997E-2</v>
      </c>
      <c r="W6659">
        <v>-7.3662479999999997E-3</v>
      </c>
      <c r="X6659">
        <v>0.99881109999999995</v>
      </c>
      <c r="Y6659">
        <v>-0.1781277</v>
      </c>
      <c r="Z6659">
        <v>-9.9168920000000009E-4</v>
      </c>
      <c r="AA6659">
        <v>0.98400690000000002</v>
      </c>
      <c r="AB6659">
        <v>24</v>
      </c>
      <c r="AC6659">
        <v>87.309200000000004</v>
      </c>
      <c r="AD6659">
        <v>1.06562</v>
      </c>
      <c r="AE6659">
        <v>16.458870000000001</v>
      </c>
      <c r="AF6659">
        <v>-15.847296672153799</v>
      </c>
      <c r="AG6659">
        <v>1.06562</v>
      </c>
      <c r="AH6659">
        <v>87.409286649040695</v>
      </c>
      <c r="AI6659">
        <v>89.312735629797203</v>
      </c>
      <c r="AJ6659">
        <v>100.276099846189</v>
      </c>
      <c r="AK6659">
        <v>88.840619934204696</v>
      </c>
      <c r="AL6659">
        <v>90.422058741719596</v>
      </c>
      <c r="AM6659">
        <v>87.237871390426804</v>
      </c>
      <c r="AN6659">
        <v>0.99999999174731702</v>
      </c>
    </row>
    <row r="6660" spans="1:40" x14ac:dyDescent="0.25">
      <c r="A6660" t="str">
        <f>"20190312155007093"</f>
        <v>20190312155007093</v>
      </c>
      <c r="B6660" t="str">
        <f>"1552377007082124"</f>
        <v>1552377007082124</v>
      </c>
      <c r="C6660" t="s">
        <v>40</v>
      </c>
      <c r="D6660">
        <v>4.6754300000000004</v>
      </c>
      <c r="E6660">
        <v>0.47701169999999998</v>
      </c>
      <c r="F6660" t="s">
        <v>76</v>
      </c>
      <c r="G6660">
        <v>-211.2199</v>
      </c>
      <c r="H6660" s="1">
        <v>4.3053659999999999E-7</v>
      </c>
      <c r="I6660">
        <v>-59.949039999999997</v>
      </c>
      <c r="J6660">
        <v>-244.5318</v>
      </c>
      <c r="K6660">
        <v>1.1089359999999999</v>
      </c>
      <c r="L6660">
        <v>-61.688870000000001</v>
      </c>
      <c r="M6660">
        <v>0.99996079999999998</v>
      </c>
      <c r="N6660">
        <v>0</v>
      </c>
      <c r="O6660">
        <v>7.0417650000000002E-3</v>
      </c>
      <c r="P6660">
        <v>0.99906450000000002</v>
      </c>
      <c r="Q6660">
        <v>-1.279753E-2</v>
      </c>
      <c r="R6660">
        <v>-4.130868E-2</v>
      </c>
      <c r="S6660">
        <v>3.0079799999999999</v>
      </c>
      <c r="T6660">
        <v>-9.9753620000000001E-2</v>
      </c>
      <c r="U6660">
        <v>0.15658569999999999</v>
      </c>
      <c r="V6660">
        <v>4.8344079999999998E-2</v>
      </c>
      <c r="W6660">
        <v>-7.4181459999999996E-3</v>
      </c>
      <c r="X6660">
        <v>0.9988032</v>
      </c>
      <c r="Y6660">
        <v>-4.493196E-2</v>
      </c>
      <c r="Z6660">
        <v>5.1103550000000002E-4</v>
      </c>
      <c r="AA6660">
        <v>0.99898989999999999</v>
      </c>
      <c r="AB6660">
        <v>24</v>
      </c>
      <c r="AC6660">
        <v>33.311900000000001</v>
      </c>
      <c r="AD6660">
        <v>-1.1089355694634</v>
      </c>
      <c r="AE6660">
        <v>1.73982999999999</v>
      </c>
      <c r="AF6660">
        <v>-1.5035472296810699</v>
      </c>
      <c r="AG6660">
        <v>-1.1089355694634</v>
      </c>
      <c r="AH6660">
        <v>33.286538281975801</v>
      </c>
      <c r="AI6660">
        <v>91.906151652554499</v>
      </c>
      <c r="AJ6660">
        <v>92.586282555137899</v>
      </c>
      <c r="AK6660">
        <v>33.338926544904602</v>
      </c>
      <c r="AL6660">
        <v>90.425032353449396</v>
      </c>
      <c r="AM6660">
        <v>87.228931876023694</v>
      </c>
      <c r="AN6660">
        <v>1.0000000056456799</v>
      </c>
    </row>
    <row r="6661" spans="1:40" x14ac:dyDescent="0.25">
      <c r="A6661" t="str">
        <f>"20190312155007104"</f>
        <v>20190312155007104</v>
      </c>
      <c r="B6661" t="str">
        <f>"1552377007092860"</f>
        <v>1552377007092860</v>
      </c>
      <c r="C6661" t="s">
        <v>40</v>
      </c>
      <c r="D6661">
        <v>4.6846690000000004</v>
      </c>
      <c r="E6661">
        <v>0.48741459999999998</v>
      </c>
      <c r="F6661" t="s">
        <v>75</v>
      </c>
      <c r="G6661">
        <v>-223.1217</v>
      </c>
      <c r="H6661" s="1">
        <v>-6.4527170000000003E-7</v>
      </c>
      <c r="I6661">
        <v>-61.229199999999999</v>
      </c>
      <c r="J6661">
        <v>-244.4118</v>
      </c>
      <c r="K6661">
        <v>1.108922</v>
      </c>
      <c r="L6661">
        <v>-61.687959999999997</v>
      </c>
      <c r="M6661">
        <v>0.99996099999999999</v>
      </c>
      <c r="N6661">
        <v>0</v>
      </c>
      <c r="O6661">
        <v>7.1062809999999999E-3</v>
      </c>
      <c r="P6661">
        <v>0.99906499999999998</v>
      </c>
      <c r="Q6661">
        <v>-1.2726990000000001E-2</v>
      </c>
      <c r="R6661">
        <v>-4.1317630000000001E-2</v>
      </c>
      <c r="S6661">
        <v>3.003479</v>
      </c>
      <c r="T6661">
        <v>-0.15556529999999999</v>
      </c>
      <c r="U6661">
        <v>6.4483639999999995E-2</v>
      </c>
      <c r="V6661">
        <v>4.8417460000000002E-2</v>
      </c>
      <c r="W6661">
        <v>-7.4650480000000002E-3</v>
      </c>
      <c r="X6661">
        <v>0.99879929999999995</v>
      </c>
      <c r="Y6661">
        <v>-1.434972E-2</v>
      </c>
      <c r="Z6661" s="1">
        <v>3.553403E-6</v>
      </c>
      <c r="AA6661">
        <v>0.99989709999999998</v>
      </c>
      <c r="AB6661">
        <v>25</v>
      </c>
      <c r="AC6661">
        <v>21.290099999999899</v>
      </c>
      <c r="AD6661">
        <v>-1.1089226452717</v>
      </c>
      <c r="AE6661">
        <v>0.458759999999998</v>
      </c>
      <c r="AF6661">
        <v>-0.3066214299176</v>
      </c>
      <c r="AG6661">
        <v>-1.1089226452717</v>
      </c>
      <c r="AH6661">
        <v>21.2352384264873</v>
      </c>
      <c r="AI6661">
        <v>92.989009157439298</v>
      </c>
      <c r="AJ6661">
        <v>90.827251980959105</v>
      </c>
      <c r="AK6661">
        <v>21.266383734999302</v>
      </c>
      <c r="AL6661">
        <v>90.427719712835398</v>
      </c>
      <c r="AM6661">
        <v>87.224721507749095</v>
      </c>
      <c r="AN6661">
        <v>1.0000000095274899</v>
      </c>
    </row>
    <row r="6662" spans="1:40" x14ac:dyDescent="0.25">
      <c r="A6662" t="str">
        <f>"20190312155007116"</f>
        <v>20190312155007116</v>
      </c>
      <c r="B6662" t="str">
        <f>"1552377007102620"</f>
        <v>1552377007102620</v>
      </c>
      <c r="C6662" t="s">
        <v>40</v>
      </c>
      <c r="D6662">
        <v>4.6279690000000002</v>
      </c>
      <c r="E6662">
        <v>0.48741459999999998</v>
      </c>
      <c r="F6662" t="s">
        <v>75</v>
      </c>
      <c r="G6662">
        <v>-228.85640000000001</v>
      </c>
      <c r="H6662" s="1">
        <v>-3.2079670000000002E-6</v>
      </c>
      <c r="I6662">
        <v>-61.7705699999999</v>
      </c>
      <c r="J6662">
        <v>-244.28749999999999</v>
      </c>
      <c r="K6662">
        <v>1.1089089999999999</v>
      </c>
      <c r="L6662">
        <v>-61.687010000000001</v>
      </c>
      <c r="M6662">
        <v>0.99996110000000005</v>
      </c>
      <c r="N6662">
        <v>0</v>
      </c>
      <c r="O6662">
        <v>7.1749700000000001E-3</v>
      </c>
      <c r="P6662">
        <v>0.99906859999999997</v>
      </c>
      <c r="Q6662">
        <v>-1.297329E-2</v>
      </c>
      <c r="R6662">
        <v>-4.115655E-2</v>
      </c>
      <c r="S6662">
        <v>2.9994350000000001</v>
      </c>
      <c r="T6662">
        <v>-0.21382519999999999</v>
      </c>
      <c r="U6662">
        <v>-1.5930179999999999E-2</v>
      </c>
      <c r="V6662">
        <v>4.8325100000000003E-2</v>
      </c>
      <c r="W6662">
        <v>-7.8329960000000001E-3</v>
      </c>
      <c r="X6662">
        <v>0.99880089999999999</v>
      </c>
      <c r="Y6662">
        <v>1.2436040000000001E-2</v>
      </c>
      <c r="Z6662">
        <v>-9.5355560000000002E-4</v>
      </c>
      <c r="AA6662">
        <v>0.99992219999999998</v>
      </c>
      <c r="AB6662">
        <v>25</v>
      </c>
      <c r="AC6662">
        <v>15.431099999999899</v>
      </c>
      <c r="AD6662">
        <v>-1.108912207967</v>
      </c>
      <c r="AE6662">
        <v>-8.3559999999991405E-2</v>
      </c>
      <c r="AF6662">
        <v>0.19327888977850299</v>
      </c>
      <c r="AG6662">
        <v>-1.108912207967</v>
      </c>
      <c r="AH6662">
        <v>15.350831255242401</v>
      </c>
      <c r="AI6662">
        <v>94.131424982124301</v>
      </c>
      <c r="AJ6662">
        <v>89.278639746410903</v>
      </c>
      <c r="AK6662">
        <v>15.392045453452299</v>
      </c>
      <c r="AL6662">
        <v>90.448802221691494</v>
      </c>
      <c r="AM6662">
        <v>87.230011740516105</v>
      </c>
      <c r="AN6662">
        <v>0.99999995447857704</v>
      </c>
    </row>
    <row r="6663" spans="1:40" x14ac:dyDescent="0.25">
      <c r="A6663" t="str">
        <f>"20190312155007127"</f>
        <v>20190312155007127</v>
      </c>
      <c r="B6663" t="str">
        <f>"1552377007112380"</f>
        <v>1552377007112380</v>
      </c>
      <c r="C6663" t="s">
        <v>40</v>
      </c>
      <c r="D6663">
        <v>4.6456379999999999</v>
      </c>
      <c r="E6663">
        <v>0.53699439999999998</v>
      </c>
      <c r="F6663" t="s">
        <v>41</v>
      </c>
      <c r="G6663">
        <v>-243.45320000000001</v>
      </c>
      <c r="H6663">
        <v>1.0492049999999999</v>
      </c>
      <c r="I6663">
        <v>-61.691540000000003</v>
      </c>
      <c r="J6663">
        <v>-244.16849999999999</v>
      </c>
      <c r="K6663">
        <v>1.1088899999999999</v>
      </c>
      <c r="L6663">
        <v>-61.686100000000003</v>
      </c>
      <c r="M6663">
        <v>0.99996130000000005</v>
      </c>
      <c r="N6663">
        <v>0</v>
      </c>
      <c r="O6663">
        <v>7.2411339999999998E-3</v>
      </c>
      <c r="P6663">
        <v>0.99908490000000005</v>
      </c>
      <c r="Q6663">
        <v>-1.2766410000000001E-2</v>
      </c>
      <c r="R6663">
        <v>-4.0822270000000001E-2</v>
      </c>
      <c r="S6663">
        <v>2.99939</v>
      </c>
      <c r="T6663">
        <v>-0.21455569999999999</v>
      </c>
      <c r="U6663">
        <v>-1.544189E-2</v>
      </c>
      <c r="V6663">
        <v>4.8057059999999999E-2</v>
      </c>
      <c r="W6663">
        <v>-7.7424089999999996E-3</v>
      </c>
      <c r="X6663">
        <v>0.9988146</v>
      </c>
      <c r="Y6663">
        <v>1.233924E-2</v>
      </c>
      <c r="Z6663">
        <v>-9.5808839999999998E-4</v>
      </c>
      <c r="AA6663">
        <v>0.99992340000000002</v>
      </c>
      <c r="AB6663">
        <v>25</v>
      </c>
      <c r="AC6663">
        <v>0.71529999999998495</v>
      </c>
      <c r="AD6663">
        <v>-5.9684999999999898E-2</v>
      </c>
      <c r="AE6663">
        <v>-5.4400000000001097E-3</v>
      </c>
      <c r="AF6663">
        <v>1.05460842175229E-2</v>
      </c>
      <c r="AG6663">
        <v>-5.9684999999999898E-2</v>
      </c>
      <c r="AH6663">
        <v>0.71029682659869298</v>
      </c>
      <c r="AI6663">
        <v>94.802653807524095</v>
      </c>
      <c r="AJ6663">
        <v>89.149367281345206</v>
      </c>
      <c r="AK6663">
        <v>0.71287804075697003</v>
      </c>
      <c r="AL6663">
        <v>90.443611784187993</v>
      </c>
      <c r="AM6663">
        <v>87.245389752225805</v>
      </c>
      <c r="AN6663">
        <v>1.00000001554306</v>
      </c>
    </row>
    <row r="6664" spans="1:40" x14ac:dyDescent="0.25">
      <c r="A6664" t="str">
        <f>"20190312155007137"</f>
        <v>20190312155007137</v>
      </c>
      <c r="B6664" t="str">
        <f>"1552377007132876"</f>
        <v>1552377007132876</v>
      </c>
      <c r="C6664" t="s">
        <v>40</v>
      </c>
      <c r="D6664">
        <v>4.6313719999999998</v>
      </c>
      <c r="E6664">
        <v>0.53750589999999998</v>
      </c>
      <c r="F6664" t="s">
        <v>41</v>
      </c>
      <c r="G6664">
        <v>-243.2921</v>
      </c>
      <c r="H6664">
        <v>0.9246548</v>
      </c>
      <c r="I6664">
        <v>-61.80151</v>
      </c>
      <c r="J6664">
        <v>-244.03829999999999</v>
      </c>
      <c r="K6664">
        <v>1.1088720000000001</v>
      </c>
      <c r="L6664">
        <v>-61.685090000000002</v>
      </c>
      <c r="M6664">
        <v>0.9999614</v>
      </c>
      <c r="N6664">
        <v>0</v>
      </c>
      <c r="O6664">
        <v>7.3146469999999996E-3</v>
      </c>
      <c r="P6664">
        <v>0.99909389999999998</v>
      </c>
      <c r="Q6664">
        <v>-1.298123E-2</v>
      </c>
      <c r="R6664">
        <v>-4.0533779999999998E-2</v>
      </c>
      <c r="S6664">
        <v>2.978729</v>
      </c>
      <c r="T6664">
        <v>-0.62615010000000004</v>
      </c>
      <c r="U6664">
        <v>-0.39187620000000001</v>
      </c>
      <c r="V6664">
        <v>4.784219E-2</v>
      </c>
      <c r="W6664">
        <v>-8.0840269999999902E-3</v>
      </c>
      <c r="X6664">
        <v>0.99882219999999999</v>
      </c>
      <c r="Y6664">
        <v>0.13463229999999901</v>
      </c>
      <c r="Z6664">
        <v>-1.545407E-2</v>
      </c>
      <c r="AA6664">
        <v>0.99077510000000002</v>
      </c>
      <c r="AB6664">
        <v>25</v>
      </c>
      <c r="AC6664">
        <v>0.74619999999998698</v>
      </c>
      <c r="AD6664">
        <v>-0.184217199999999</v>
      </c>
      <c r="AE6664">
        <v>-0.116419999999997</v>
      </c>
      <c r="AF6664">
        <v>0.11503098228850001</v>
      </c>
      <c r="AG6664">
        <v>-0.184217199999999</v>
      </c>
      <c r="AH6664">
        <v>0.703472952790545</v>
      </c>
      <c r="AI6664">
        <v>104.490243535053</v>
      </c>
      <c r="AJ6664">
        <v>80.7132573761468</v>
      </c>
      <c r="AK6664">
        <v>0.73623521986519103</v>
      </c>
      <c r="AL6664">
        <v>90.463185670434896</v>
      </c>
      <c r="AM6664">
        <v>87.257708000620795</v>
      </c>
      <c r="AN6664">
        <v>1.0000000069246799</v>
      </c>
    </row>
    <row r="6665" spans="1:40" x14ac:dyDescent="0.25">
      <c r="A6665" t="str">
        <f>"20190312155007149"</f>
        <v>20190312155007149</v>
      </c>
      <c r="B6665" t="str">
        <f>"1552377007142636"</f>
        <v>1552377007142636</v>
      </c>
      <c r="C6665" t="s">
        <v>40</v>
      </c>
      <c r="D6665">
        <v>4.6296929999999996</v>
      </c>
      <c r="E6665">
        <v>0.53748689999999999</v>
      </c>
      <c r="F6665" t="s">
        <v>41</v>
      </c>
      <c r="G6665">
        <v>-243.2851</v>
      </c>
      <c r="H6665">
        <v>0.94138509999999997</v>
      </c>
      <c r="I6665">
        <v>-61.784709999999997</v>
      </c>
      <c r="J6665">
        <v>-243.9177</v>
      </c>
      <c r="K6665">
        <v>1.1088579999999999</v>
      </c>
      <c r="L6665">
        <v>-61.684139999999999</v>
      </c>
      <c r="M6665">
        <v>0.9999614</v>
      </c>
      <c r="N6665">
        <v>0</v>
      </c>
      <c r="O6665">
        <v>7.3832979999999999E-3</v>
      </c>
      <c r="P6665">
        <v>0.99911050000000001</v>
      </c>
      <c r="Q6665">
        <v>-1.301882E-2</v>
      </c>
      <c r="R6665">
        <v>-4.0115150000000002E-2</v>
      </c>
      <c r="S6665">
        <v>2.9781339999999998</v>
      </c>
      <c r="T6665">
        <v>-0.66224669999999997</v>
      </c>
      <c r="U6665">
        <v>-0.39346310000000001</v>
      </c>
      <c r="V6665">
        <v>4.749213E-2</v>
      </c>
      <c r="W6665">
        <v>-8.2378369999999996E-3</v>
      </c>
      <c r="X6665">
        <v>0.99883759999999999</v>
      </c>
      <c r="Y6665">
        <v>0.13487859999999999</v>
      </c>
      <c r="Z6665">
        <v>-1.6369120000000001E-2</v>
      </c>
      <c r="AA6665">
        <v>0.99072689999999997</v>
      </c>
      <c r="AB6665">
        <v>25</v>
      </c>
      <c r="AC6665">
        <v>0.63259999999999605</v>
      </c>
      <c r="AD6665">
        <v>-0.16747289999999901</v>
      </c>
      <c r="AE6665">
        <v>-0.100569999999997</v>
      </c>
      <c r="AF6665">
        <v>9.8504401906119907E-2</v>
      </c>
      <c r="AG6665">
        <v>-0.16747289999999901</v>
      </c>
      <c r="AH6665">
        <v>0.59141232522292597</v>
      </c>
      <c r="AI6665">
        <v>105.606459475173</v>
      </c>
      <c r="AJ6665">
        <v>80.543740682669394</v>
      </c>
      <c r="AK6665">
        <v>0.62251010261270401</v>
      </c>
      <c r="AL6665">
        <v>90.471998650909896</v>
      </c>
      <c r="AM6665">
        <v>87.277784890280202</v>
      </c>
      <c r="AN6665">
        <v>0.99999995777206596</v>
      </c>
    </row>
    <row r="6666" spans="1:40" x14ac:dyDescent="0.25">
      <c r="A6666" t="str">
        <f>"20190312155007159"</f>
        <v>20190312155007159</v>
      </c>
      <c r="B6666" t="str">
        <f>"1552377007152396"</f>
        <v>1552377007152396</v>
      </c>
      <c r="C6666" t="s">
        <v>40</v>
      </c>
      <c r="D6666">
        <v>4.6060610000000004</v>
      </c>
      <c r="E6666">
        <v>0.53725710000000004</v>
      </c>
      <c r="F6666" t="s">
        <v>41</v>
      </c>
      <c r="G6666">
        <v>-243.07060000000001</v>
      </c>
      <c r="H6666">
        <v>0.91848050000000003</v>
      </c>
      <c r="I6666">
        <v>-61.795630000000003</v>
      </c>
      <c r="J6666">
        <v>-243.7962</v>
      </c>
      <c r="K6666">
        <v>1.108841</v>
      </c>
      <c r="L6666">
        <v>-61.683169999999997</v>
      </c>
      <c r="M6666">
        <v>0.9999614</v>
      </c>
      <c r="N6666">
        <v>0</v>
      </c>
      <c r="O6666">
        <v>7.4527730000000002E-3</v>
      </c>
      <c r="P6666">
        <v>0.99913180000000001</v>
      </c>
      <c r="Q6666">
        <v>-1.29751E-2</v>
      </c>
      <c r="R6666">
        <v>-3.9593400000000001E-2</v>
      </c>
      <c r="S6666">
        <v>2.9782410000000001</v>
      </c>
      <c r="T6666">
        <v>-0.66933869999999995</v>
      </c>
      <c r="U6666">
        <v>-0.39163209999999998</v>
      </c>
      <c r="V6666">
        <v>4.7040140000000001E-2</v>
      </c>
      <c r="W6666">
        <v>-8.3092640000000002E-3</v>
      </c>
      <c r="X6666">
        <v>0.99885849999999998</v>
      </c>
      <c r="Y6666">
        <v>0.13428409999999999</v>
      </c>
      <c r="Z6666">
        <v>-1.648995E-2</v>
      </c>
      <c r="AA6666">
        <v>0.99080570000000001</v>
      </c>
      <c r="AB6666">
        <v>25</v>
      </c>
      <c r="AC6666">
        <v>0.72559999999998503</v>
      </c>
      <c r="AD6666">
        <v>-0.19036049999999999</v>
      </c>
      <c r="AE6666">
        <v>-0.112460000000005</v>
      </c>
      <c r="AF6666">
        <v>0.110441611093268</v>
      </c>
      <c r="AG6666">
        <v>-0.19036049999999999</v>
      </c>
      <c r="AH6666">
        <v>0.67909784003825002</v>
      </c>
      <c r="AI6666">
        <v>105.465639042945</v>
      </c>
      <c r="AJ6666">
        <v>80.762862885596405</v>
      </c>
      <c r="AK6666">
        <v>0.713868577376637</v>
      </c>
      <c r="AL6666">
        <v>90.476091207735493</v>
      </c>
      <c r="AM6666">
        <v>87.303710552901194</v>
      </c>
      <c r="AN6666">
        <v>1.0000000608308399</v>
      </c>
    </row>
    <row r="6667" spans="1:40" x14ac:dyDescent="0.25">
      <c r="A6667" t="str">
        <f>"20190312155007170"</f>
        <v>20190312155007170</v>
      </c>
      <c r="B6667" t="str">
        <f>"1552377007162156"</f>
        <v>1552377007162156</v>
      </c>
      <c r="C6667" t="s">
        <v>40</v>
      </c>
      <c r="D6667">
        <v>4.6184669999999999</v>
      </c>
      <c r="E6667">
        <v>0.5372285</v>
      </c>
      <c r="F6667" t="s">
        <v>41</v>
      </c>
      <c r="G6667">
        <v>-243.06020000000001</v>
      </c>
      <c r="H6667">
        <v>0.94282639999999995</v>
      </c>
      <c r="I6667">
        <v>-61.779179999999997</v>
      </c>
      <c r="J6667">
        <v>-243.67080000000001</v>
      </c>
      <c r="K6667">
        <v>1.108824</v>
      </c>
      <c r="L6667">
        <v>-61.682189999999999</v>
      </c>
      <c r="M6667">
        <v>0.9999614</v>
      </c>
      <c r="N6667">
        <v>0</v>
      </c>
      <c r="O6667">
        <v>7.524808E-3</v>
      </c>
      <c r="P6667">
        <v>0.99915030000000005</v>
      </c>
      <c r="Q6667">
        <v>-1.304611E-2</v>
      </c>
      <c r="R6667">
        <v>-3.9099700000000001E-2</v>
      </c>
      <c r="S6667">
        <v>2.9785159999999999</v>
      </c>
      <c r="T6667">
        <v>-0.67185509999999904</v>
      </c>
      <c r="U6667">
        <v>-0.38815309999999997</v>
      </c>
      <c r="V6667">
        <v>4.6618519999999997E-2</v>
      </c>
      <c r="W6667">
        <v>-8.4972169999999996E-3</v>
      </c>
      <c r="X6667">
        <v>0.9988766</v>
      </c>
      <c r="Y6667">
        <v>0.13320479999999901</v>
      </c>
      <c r="Z6667">
        <v>-1.644642E-2</v>
      </c>
      <c r="AA6667">
        <v>0.9909521</v>
      </c>
      <c r="AB6667">
        <v>25</v>
      </c>
      <c r="AC6667">
        <v>0.61060000000000503</v>
      </c>
      <c r="AD6667">
        <v>-0.165997599999999</v>
      </c>
      <c r="AE6667">
        <v>-9.6989999999998106E-2</v>
      </c>
      <c r="AF6667">
        <v>9.4751426879975398E-2</v>
      </c>
      <c r="AG6667">
        <v>-0.165997599999999</v>
      </c>
      <c r="AH6667">
        <v>0.56884545473831805</v>
      </c>
      <c r="AI6667">
        <v>106.058415740303</v>
      </c>
      <c r="AJ6667">
        <v>80.543180511723605</v>
      </c>
      <c r="AK6667">
        <v>0.60009848148282796</v>
      </c>
      <c r="AL6667">
        <v>90.486860542496899</v>
      </c>
      <c r="AM6667">
        <v>87.327890514843702</v>
      </c>
      <c r="AN6667">
        <v>0.99999997556564701</v>
      </c>
    </row>
    <row r="6668" spans="1:40" x14ac:dyDescent="0.25">
      <c r="A6668" t="str">
        <f>"20190312155007182"</f>
        <v>20190312155007182</v>
      </c>
      <c r="B6668" t="str">
        <f>"1552377007172892"</f>
        <v>1552377007172892</v>
      </c>
      <c r="C6668" t="s">
        <v>40</v>
      </c>
      <c r="D6668">
        <v>4.6264770000000004</v>
      </c>
      <c r="E6668">
        <v>0.53728409999999904</v>
      </c>
      <c r="F6668" t="s">
        <v>41</v>
      </c>
      <c r="G6668">
        <v>-242.84360000000001</v>
      </c>
      <c r="H6668">
        <v>0.9218229</v>
      </c>
      <c r="I6668">
        <v>-61.789479999999998</v>
      </c>
      <c r="J6668">
        <v>-243.53909999999999</v>
      </c>
      <c r="K6668">
        <v>1.10880499999999</v>
      </c>
      <c r="L6668">
        <v>-61.6811199999999</v>
      </c>
      <c r="M6668">
        <v>0.99996130000000005</v>
      </c>
      <c r="N6668">
        <v>0</v>
      </c>
      <c r="O6668">
        <v>7.6005999999999999E-3</v>
      </c>
      <c r="P6668">
        <v>0.99915860000000001</v>
      </c>
      <c r="Q6668">
        <v>-1.3169449999999999E-2</v>
      </c>
      <c r="R6668">
        <v>-3.8843809999999999E-2</v>
      </c>
      <c r="S6668">
        <v>2.9786380000000001</v>
      </c>
      <c r="T6668">
        <v>-0.67336960000000001</v>
      </c>
      <c r="U6668">
        <v>-0.386322</v>
      </c>
      <c r="V6668">
        <v>4.6438460000000001E-2</v>
      </c>
      <c r="W6668">
        <v>-8.7417859999999997E-3</v>
      </c>
      <c r="X6668">
        <v>0.99888290000000002</v>
      </c>
      <c r="Y6668">
        <v>0.13267139999999999</v>
      </c>
      <c r="Z6668">
        <v>-1.6440119999999999E-2</v>
      </c>
      <c r="AA6668">
        <v>0.99102369999999995</v>
      </c>
      <c r="AB6668">
        <v>25</v>
      </c>
      <c r="AC6668">
        <v>0.69549999999998102</v>
      </c>
      <c r="AD6668">
        <v>-0.18698210000000001</v>
      </c>
      <c r="AE6668">
        <v>-0.108360000000011</v>
      </c>
      <c r="AF6668">
        <v>0.10615248480490901</v>
      </c>
      <c r="AG6668">
        <v>-0.18698210000000001</v>
      </c>
      <c r="AH6668">
        <v>0.64886884497629105</v>
      </c>
      <c r="AI6668">
        <v>105.874997382852</v>
      </c>
      <c r="AJ6668">
        <v>80.708931967367803</v>
      </c>
      <c r="AK6668">
        <v>0.683565237363291</v>
      </c>
      <c r="AL6668">
        <v>90.500873823384893</v>
      </c>
      <c r="AM6668">
        <v>87.338213198135193</v>
      </c>
      <c r="AN6668">
        <v>0.99999999865102496</v>
      </c>
    </row>
    <row r="6669" spans="1:40" x14ac:dyDescent="0.25">
      <c r="A6669" t="str">
        <f>"20190312155007195"</f>
        <v>20190312155007195</v>
      </c>
      <c r="B6669" t="str">
        <f>"1552377007182652"</f>
        <v>1552377007182652</v>
      </c>
      <c r="C6669" t="s">
        <v>40</v>
      </c>
      <c r="D6669">
        <v>4.6178179999999998</v>
      </c>
      <c r="E6669">
        <v>0.53729459999999996</v>
      </c>
      <c r="F6669" t="s">
        <v>41</v>
      </c>
      <c r="G6669">
        <v>-242.83189999999999</v>
      </c>
      <c r="H6669">
        <v>0.94858050000000005</v>
      </c>
      <c r="I6669">
        <v>-61.772750000000002</v>
      </c>
      <c r="J6669">
        <v>-243.40360000000001</v>
      </c>
      <c r="K6669">
        <v>1.1087880000000001</v>
      </c>
      <c r="L6669">
        <v>-61.679989999999997</v>
      </c>
      <c r="M6669">
        <v>0.99996130000000005</v>
      </c>
      <c r="N6669">
        <v>0</v>
      </c>
      <c r="O6669">
        <v>7.67847199999999E-3</v>
      </c>
      <c r="P6669">
        <v>0.999166</v>
      </c>
      <c r="Q6669">
        <v>-1.337956E-2</v>
      </c>
      <c r="R6669">
        <v>-3.8585840000000003E-2</v>
      </c>
      <c r="S6669">
        <v>2.9786220000000001</v>
      </c>
      <c r="T6669">
        <v>-0.67485980000000001</v>
      </c>
      <c r="U6669">
        <v>-0.38589479999999998</v>
      </c>
      <c r="V6669">
        <v>4.6258250000000001E-2</v>
      </c>
      <c r="W6669">
        <v>-9.074515E-3</v>
      </c>
      <c r="X6669">
        <v>0.99888829999999995</v>
      </c>
      <c r="Y6669">
        <v>0.13259399999999999</v>
      </c>
      <c r="Z6669">
        <v>-1.6484579999999999E-2</v>
      </c>
      <c r="AA6669">
        <v>0.99103330000000001</v>
      </c>
      <c r="AB6669">
        <v>25</v>
      </c>
      <c r="AC6669">
        <v>0.57170000000002097</v>
      </c>
      <c r="AD6669">
        <v>-0.160207499999999</v>
      </c>
      <c r="AE6669">
        <v>-9.2759999999998399E-2</v>
      </c>
      <c r="AF6669">
        <v>9.0242244571945407E-2</v>
      </c>
      <c r="AG6669">
        <v>-0.160207499999999</v>
      </c>
      <c r="AH6669">
        <v>0.53038845620576702</v>
      </c>
      <c r="AI6669">
        <v>106.58234743000099</v>
      </c>
      <c r="AJ6669">
        <v>80.343953761630601</v>
      </c>
      <c r="AK6669">
        <v>0.56135730175884402</v>
      </c>
      <c r="AL6669">
        <v>90.519938544493996</v>
      </c>
      <c r="AM6669">
        <v>87.348542124095204</v>
      </c>
      <c r="AN6669">
        <v>1.00000000419621</v>
      </c>
    </row>
    <row r="6670" spans="1:40" x14ac:dyDescent="0.25">
      <c r="A6670" t="str">
        <f>"20190312155007207"</f>
        <v>20190312155007207</v>
      </c>
      <c r="B6670" t="str">
        <f>"1552377007192412"</f>
        <v>1552377007192412</v>
      </c>
      <c r="C6670" t="s">
        <v>40</v>
      </c>
      <c r="D6670">
        <v>4.6539440000000001</v>
      </c>
      <c r="E6670">
        <v>0.53749469999999899</v>
      </c>
      <c r="F6670" t="s">
        <v>41</v>
      </c>
      <c r="G6670">
        <v>-242.61320000000001</v>
      </c>
      <c r="H6670">
        <v>0.92926370000000003</v>
      </c>
      <c r="I6670">
        <v>-61.782499999999999</v>
      </c>
      <c r="J6670">
        <v>-243.2714</v>
      </c>
      <c r="K6670">
        <v>1.1087689999999999</v>
      </c>
      <c r="L6670">
        <v>-61.678919999999998</v>
      </c>
      <c r="M6670">
        <v>0.99996130000000005</v>
      </c>
      <c r="N6670">
        <v>0</v>
      </c>
      <c r="O6670">
        <v>7.75466E-3</v>
      </c>
      <c r="P6670">
        <v>0.9991698</v>
      </c>
      <c r="Q6670">
        <v>-1.3463559999999999E-2</v>
      </c>
      <c r="R6670">
        <v>-3.8451680000000002E-2</v>
      </c>
      <c r="S6670">
        <v>2.978561</v>
      </c>
      <c r="T6670">
        <v>-0.6764791</v>
      </c>
      <c r="U6670">
        <v>-0.38528440000000003</v>
      </c>
      <c r="V6670">
        <v>4.6200539999999998E-2</v>
      </c>
      <c r="W6670">
        <v>-9.2775940000000001E-3</v>
      </c>
      <c r="X6670">
        <v>0.99888909999999997</v>
      </c>
      <c r="Y6670">
        <v>0.13245699999999999</v>
      </c>
      <c r="Z6670">
        <v>-1.6525410000000001E-2</v>
      </c>
      <c r="AA6670">
        <v>0.99105100000000002</v>
      </c>
      <c r="AB6670">
        <v>25</v>
      </c>
      <c r="AC6670">
        <v>0.65819999999999301</v>
      </c>
      <c r="AD6670">
        <v>-0.17950530000000001</v>
      </c>
      <c r="AE6670">
        <v>-0.10358000000000001</v>
      </c>
      <c r="AF6670">
        <v>0.10132678903395</v>
      </c>
      <c r="AG6670">
        <v>-0.17950530000000001</v>
      </c>
      <c r="AH6670">
        <v>0.61289341579946799</v>
      </c>
      <c r="AI6670">
        <v>106.117146569515</v>
      </c>
      <c r="AJ6670">
        <v>80.612471405564506</v>
      </c>
      <c r="AK6670">
        <v>0.646627876010894</v>
      </c>
      <c r="AL6670">
        <v>90.531574606791096</v>
      </c>
      <c r="AM6670">
        <v>87.351847386301799</v>
      </c>
      <c r="AN6670">
        <v>0.99999999887276503</v>
      </c>
    </row>
    <row r="6671" spans="1:40" x14ac:dyDescent="0.25">
      <c r="A6671" t="str">
        <f>"20190312155007218"</f>
        <v>20190312155007218</v>
      </c>
      <c r="B6671" t="str">
        <f>"1552377007212908"</f>
        <v>1552377007212908</v>
      </c>
      <c r="C6671" t="s">
        <v>40</v>
      </c>
      <c r="D6671">
        <v>4.6468449999999999</v>
      </c>
      <c r="E6671">
        <v>0.53757790000000005</v>
      </c>
      <c r="F6671" t="s">
        <v>41</v>
      </c>
      <c r="G6671">
        <v>-242.39269999999999</v>
      </c>
      <c r="H6671">
        <v>0.90879500000000002</v>
      </c>
      <c r="I6671">
        <v>-61.79316</v>
      </c>
      <c r="J6671">
        <v>-243.13149999999999</v>
      </c>
      <c r="K6671">
        <v>1.1087419999999999</v>
      </c>
      <c r="L6671">
        <v>-61.677759999999999</v>
      </c>
      <c r="M6671">
        <v>0.99996119999999999</v>
      </c>
      <c r="N6671">
        <v>0</v>
      </c>
      <c r="O6671">
        <v>7.835023E-3</v>
      </c>
      <c r="P6671">
        <v>0.99918189999999996</v>
      </c>
      <c r="Q6671">
        <v>-1.353993E-2</v>
      </c>
      <c r="R6671">
        <v>-3.8110600000000001E-2</v>
      </c>
      <c r="S6671">
        <v>2.9784700000000002</v>
      </c>
      <c r="T6671">
        <v>-0.67783579999999999</v>
      </c>
      <c r="U6671">
        <v>-0.38659670000000002</v>
      </c>
      <c r="V6671">
        <v>4.5940000000000002E-2</v>
      </c>
      <c r="W6671">
        <v>-9.4784540000000007E-3</v>
      </c>
      <c r="X6671">
        <v>0.99889919999999999</v>
      </c>
      <c r="Y6671">
        <v>0.1329418</v>
      </c>
      <c r="Z6671">
        <v>-1.6630019999999999E-2</v>
      </c>
      <c r="AA6671">
        <v>0.99098430000000004</v>
      </c>
      <c r="AB6671">
        <v>25</v>
      </c>
      <c r="AC6671">
        <v>0.73879999999999701</v>
      </c>
      <c r="AD6671">
        <v>-0.19994700000000001</v>
      </c>
      <c r="AE6671">
        <v>-0.115400000000001</v>
      </c>
      <c r="AF6671">
        <v>0.113098458340121</v>
      </c>
      <c r="AG6671">
        <v>-0.19994700000000001</v>
      </c>
      <c r="AH6671">
        <v>0.68863557821660404</v>
      </c>
      <c r="AI6671">
        <v>105.98774929807099</v>
      </c>
      <c r="AJ6671">
        <v>80.673257798346697</v>
      </c>
      <c r="AK6671">
        <v>0.72594009647740798</v>
      </c>
      <c r="AL6671">
        <v>90.543083559842202</v>
      </c>
      <c r="AM6671">
        <v>87.366786695709095</v>
      </c>
      <c r="AN6671">
        <v>0.99999996822543402</v>
      </c>
    </row>
    <row r="6672" spans="1:40" x14ac:dyDescent="0.25">
      <c r="A6672" t="str">
        <f>"20190312155007230"</f>
        <v>20190312155007230</v>
      </c>
      <c r="B6672" t="str">
        <f>"1552377007222668"</f>
        <v>1552377007222668</v>
      </c>
      <c r="C6672" t="s">
        <v>40</v>
      </c>
      <c r="D6672">
        <v>4.6311140000000002</v>
      </c>
      <c r="E6672">
        <v>0.53755240000000004</v>
      </c>
      <c r="F6672" t="s">
        <v>41</v>
      </c>
      <c r="G6672">
        <v>-242.381</v>
      </c>
      <c r="H6672">
        <v>0.93727609999999995</v>
      </c>
      <c r="I6672">
        <v>-61.77525</v>
      </c>
      <c r="J6672">
        <v>-243.0059</v>
      </c>
      <c r="K6672">
        <v>1.1087260000000001</v>
      </c>
      <c r="L6672">
        <v>-61.676670000000001</v>
      </c>
      <c r="M6672">
        <v>0.99996099999999999</v>
      </c>
      <c r="N6672">
        <v>0</v>
      </c>
      <c r="O6672">
        <v>7.9070659999999904E-3</v>
      </c>
      <c r="P6672">
        <v>0.99917549999999999</v>
      </c>
      <c r="Q6672">
        <v>-1.3728560000000001E-2</v>
      </c>
      <c r="R6672">
        <v>-3.8212169999999997E-2</v>
      </c>
      <c r="S6672">
        <v>2.9785159999999999</v>
      </c>
      <c r="T6672">
        <v>-0.68047669999999905</v>
      </c>
      <c r="U6672">
        <v>-0.38613890000000001</v>
      </c>
      <c r="V6672">
        <v>4.611349E-2</v>
      </c>
      <c r="W6672">
        <v>-9.777661E-3</v>
      </c>
      <c r="X6672">
        <v>0.99888840000000001</v>
      </c>
      <c r="Y6672">
        <v>0.13283499999999901</v>
      </c>
      <c r="Z6672">
        <v>-1.669731E-2</v>
      </c>
      <c r="AA6672">
        <v>0.99099749999999998</v>
      </c>
      <c r="AB6672">
        <v>25</v>
      </c>
      <c r="AC6672">
        <v>0.62490000000002499</v>
      </c>
      <c r="AD6672">
        <v>-0.17144989999999999</v>
      </c>
      <c r="AE6672">
        <v>-9.8580000000005399E-2</v>
      </c>
      <c r="AF6672">
        <v>9.6435148254520098E-2</v>
      </c>
      <c r="AG6672">
        <v>-0.17144989999999999</v>
      </c>
      <c r="AH6672">
        <v>0.58139862490246297</v>
      </c>
      <c r="AI6672">
        <v>106.220635449293</v>
      </c>
      <c r="AJ6672">
        <v>80.582233761835298</v>
      </c>
      <c r="AK6672">
        <v>0.61377452461580395</v>
      </c>
      <c r="AL6672">
        <v>90.560227609746306</v>
      </c>
      <c r="AM6672">
        <v>87.356828042435097</v>
      </c>
      <c r="AN6672">
        <v>1.0000000461345799</v>
      </c>
    </row>
    <row r="6673" spans="1:40" x14ac:dyDescent="0.25">
      <c r="A6673" t="str">
        <f>"20190312155007239"</f>
        <v>20190312155007239</v>
      </c>
      <c r="B6673" t="str">
        <f>"1552377007232428"</f>
        <v>1552377007232428</v>
      </c>
      <c r="C6673" t="s">
        <v>40</v>
      </c>
      <c r="D6673">
        <v>4.6067799999999997</v>
      </c>
      <c r="E6673">
        <v>0.53760430000000003</v>
      </c>
      <c r="F6673" t="s">
        <v>41</v>
      </c>
      <c r="G6673">
        <v>-242.16</v>
      </c>
      <c r="H6673">
        <v>0.91513429999999996</v>
      </c>
      <c r="I6673">
        <v>-61.786610000000003</v>
      </c>
      <c r="J6673">
        <v>-242.8948</v>
      </c>
      <c r="K6673">
        <v>1.108708</v>
      </c>
      <c r="L6673">
        <v>-61.675750000000001</v>
      </c>
      <c r="M6673">
        <v>0.99996090000000004</v>
      </c>
      <c r="N6673">
        <v>0</v>
      </c>
      <c r="O6673">
        <v>7.9707289999999993E-3</v>
      </c>
      <c r="P6673">
        <v>0.99917219999999995</v>
      </c>
      <c r="Q6673">
        <v>-1.3614289999999999E-2</v>
      </c>
      <c r="R6673">
        <v>-3.8340119999999998E-2</v>
      </c>
      <c r="S6673">
        <v>2.9783629999999999</v>
      </c>
      <c r="T6673">
        <v>-0.6816238</v>
      </c>
      <c r="U6673">
        <v>-0.38650509999999999</v>
      </c>
      <c r="V6673">
        <v>4.630505E-2</v>
      </c>
      <c r="W6673">
        <v>-9.7597410000000006E-3</v>
      </c>
      <c r="X6673">
        <v>0.99887969999999904</v>
      </c>
      <c r="Y6673">
        <v>0.13300619999999999</v>
      </c>
      <c r="Z6673">
        <v>-1.6759050000000001E-2</v>
      </c>
      <c r="AA6673">
        <v>0.99097349999999995</v>
      </c>
      <c r="AB6673">
        <v>26</v>
      </c>
      <c r="AC6673">
        <v>0.734800000000007</v>
      </c>
      <c r="AD6673">
        <v>-0.19357369999999999</v>
      </c>
      <c r="AE6673">
        <v>-0.110859999999995</v>
      </c>
      <c r="AF6673">
        <v>0.109297093690191</v>
      </c>
      <c r="AG6673">
        <v>-0.19357369999999999</v>
      </c>
      <c r="AH6673">
        <v>0.68725925947118605</v>
      </c>
      <c r="AI6673">
        <v>105.544691259461</v>
      </c>
      <c r="AJ6673">
        <v>80.963737666211898</v>
      </c>
      <c r="AK6673">
        <v>0.72231705071228602</v>
      </c>
      <c r="AL6673">
        <v>90.559200827980305</v>
      </c>
      <c r="AM6673">
        <v>87.345840629318701</v>
      </c>
      <c r="AN6673">
        <v>1.0000000326359799</v>
      </c>
    </row>
    <row r="6674" spans="1:40" x14ac:dyDescent="0.25">
      <c r="A6674" t="str">
        <f>"20190312155007250"</f>
        <v>20190312155007250</v>
      </c>
      <c r="B6674" t="str">
        <f>"1552377007242188"</f>
        <v>1552377007242188</v>
      </c>
      <c r="C6674" t="s">
        <v>40</v>
      </c>
      <c r="D6674">
        <v>4.6349619999999998</v>
      </c>
      <c r="E6674">
        <v>0.53770379999999995</v>
      </c>
      <c r="F6674" t="s">
        <v>41</v>
      </c>
      <c r="G6674">
        <v>-242.15029999999999</v>
      </c>
      <c r="H6674">
        <v>0.93841580000000002</v>
      </c>
      <c r="I6674">
        <v>-61.772770000000001</v>
      </c>
      <c r="J6674">
        <v>-242.76499999999999</v>
      </c>
      <c r="K6674">
        <v>1.1086929999999999</v>
      </c>
      <c r="L6674">
        <v>-61.67465</v>
      </c>
      <c r="M6674">
        <v>0.99996070000000004</v>
      </c>
      <c r="N6674">
        <v>0</v>
      </c>
      <c r="O6674">
        <v>8.0450239999999996E-3</v>
      </c>
      <c r="P6674">
        <v>0.99916609999999995</v>
      </c>
      <c r="Q6674">
        <v>-1.393409E-2</v>
      </c>
      <c r="R6674">
        <v>-3.8384139999999997E-2</v>
      </c>
      <c r="S6674">
        <v>2.9783330000000001</v>
      </c>
      <c r="T6674">
        <v>-0.68111959999999905</v>
      </c>
      <c r="U6674">
        <v>-0.38739010000000001</v>
      </c>
      <c r="V6674">
        <v>4.6423079999999999E-2</v>
      </c>
      <c r="W6674">
        <v>-1.0190650000000001E-2</v>
      </c>
      <c r="X6674">
        <v>0.99886989999999998</v>
      </c>
      <c r="Y6674">
        <v>0.13336500000000001</v>
      </c>
      <c r="Z6674">
        <v>-1.6803869999999999E-2</v>
      </c>
      <c r="AA6674">
        <v>0.99092449999999999</v>
      </c>
      <c r="AB6674">
        <v>26</v>
      </c>
      <c r="AC6674">
        <v>0.61469999999999902</v>
      </c>
      <c r="AD6674">
        <v>-0.17027719999999899</v>
      </c>
      <c r="AE6674">
        <v>-9.8119999999994406E-2</v>
      </c>
      <c r="AF6674">
        <v>9.5887164622802001E-2</v>
      </c>
      <c r="AG6674">
        <v>-0.17027719999999899</v>
      </c>
      <c r="AH6674">
        <v>0.57115293391511901</v>
      </c>
      <c r="AI6674">
        <v>106.384091299293</v>
      </c>
      <c r="AJ6674">
        <v>80.469855023340699</v>
      </c>
      <c r="AK6674">
        <v>0.60365913154618001</v>
      </c>
      <c r="AL6674">
        <v>90.583891333497704</v>
      </c>
      <c r="AM6674">
        <v>87.339058909580999</v>
      </c>
      <c r="AN6674">
        <v>1.00000001441505</v>
      </c>
    </row>
    <row r="6675" spans="1:40" x14ac:dyDescent="0.25">
      <c r="A6675" t="str">
        <f>"20190312155007260"</f>
        <v>20190312155007260</v>
      </c>
      <c r="B6675" t="str">
        <f>"1552377007252924"</f>
        <v>1552377007252924</v>
      </c>
      <c r="C6675" t="s">
        <v>40</v>
      </c>
      <c r="D6675">
        <v>4.6212400000000002</v>
      </c>
      <c r="E6675">
        <v>0.53793359999999901</v>
      </c>
      <c r="F6675" t="s">
        <v>41</v>
      </c>
      <c r="G6675">
        <v>-241.92760000000001</v>
      </c>
      <c r="H6675">
        <v>0.91682830000000004</v>
      </c>
      <c r="I6675">
        <v>-61.783869999999901</v>
      </c>
      <c r="J6675">
        <v>-242.64320000000001</v>
      </c>
      <c r="K6675">
        <v>1.108676</v>
      </c>
      <c r="L6675">
        <v>-61.673580000000001</v>
      </c>
      <c r="M6675">
        <v>0.99996059999999998</v>
      </c>
      <c r="N6675">
        <v>0</v>
      </c>
      <c r="O6675">
        <v>8.1143510000000005E-3</v>
      </c>
      <c r="P6675">
        <v>0.99916320000000003</v>
      </c>
      <c r="Q6675">
        <v>-1.386424E-2</v>
      </c>
      <c r="R6675">
        <v>-3.8486989999999999E-2</v>
      </c>
      <c r="S6675">
        <v>2.9780730000000002</v>
      </c>
      <c r="T6675">
        <v>-0.68238520000000003</v>
      </c>
      <c r="U6675">
        <v>-0.38833620000000002</v>
      </c>
      <c r="V6675">
        <v>4.6595310000000001E-2</v>
      </c>
      <c r="W6675">
        <v>-1.022355E-2</v>
      </c>
      <c r="X6675">
        <v>0.99886160000000002</v>
      </c>
      <c r="Y6675">
        <v>0.1337295</v>
      </c>
      <c r="Z6675">
        <v>-1.6892089999999998E-2</v>
      </c>
      <c r="AA6675">
        <v>0.99087389999999997</v>
      </c>
      <c r="AB6675">
        <v>26</v>
      </c>
      <c r="AC6675">
        <v>0.71559999999999402</v>
      </c>
      <c r="AD6675">
        <v>-0.19184769999999901</v>
      </c>
      <c r="AE6675">
        <v>-0.11028999999999101</v>
      </c>
      <c r="AF6675">
        <v>0.108477234239511</v>
      </c>
      <c r="AG6675">
        <v>-0.19184769999999901</v>
      </c>
      <c r="AH6675">
        <v>0.66779778854115901</v>
      </c>
      <c r="AI6675">
        <v>105.831600113127</v>
      </c>
      <c r="AJ6675">
        <v>80.773449594725193</v>
      </c>
      <c r="AK6675">
        <v>0.70322594997909904</v>
      </c>
      <c r="AL6675">
        <v>90.585776430304605</v>
      </c>
      <c r="AM6675">
        <v>87.329178904068996</v>
      </c>
      <c r="AN6675">
        <v>1.0000000699215701</v>
      </c>
    </row>
    <row r="6676" spans="1:40" x14ac:dyDescent="0.25">
      <c r="A6676" t="str">
        <f>"20190312155007272"</f>
        <v>20190312155007272</v>
      </c>
      <c r="B6676" t="str">
        <f>"1552377007262685"</f>
        <v>1552377007262685</v>
      </c>
      <c r="C6676" t="s">
        <v>40</v>
      </c>
      <c r="D6676">
        <v>4.6054529999999998</v>
      </c>
      <c r="E6676">
        <v>0.53795269999999995</v>
      </c>
      <c r="F6676" t="s">
        <v>41</v>
      </c>
      <c r="G6676">
        <v>-241.91720000000001</v>
      </c>
      <c r="H6676">
        <v>0.94142720000000002</v>
      </c>
      <c r="I6676">
        <v>-61.768830000000001</v>
      </c>
      <c r="J6676">
        <v>-242.51400000000001</v>
      </c>
      <c r="K6676">
        <v>1.1086579999999999</v>
      </c>
      <c r="L6676">
        <v>-61.672490000000003</v>
      </c>
      <c r="M6676">
        <v>0.99996039999999997</v>
      </c>
      <c r="N6676">
        <v>0</v>
      </c>
      <c r="O6676">
        <v>8.1877319999999996E-3</v>
      </c>
      <c r="P6676">
        <v>0.99915600000000004</v>
      </c>
      <c r="Q6676">
        <v>-1.4071820000000001E-2</v>
      </c>
      <c r="R6676">
        <v>-3.8591790000000001E-2</v>
      </c>
      <c r="S6676">
        <v>2.9779659999999999</v>
      </c>
      <c r="T6676">
        <v>-0.68609629999999999</v>
      </c>
      <c r="U6676">
        <v>-0.39059450000000001</v>
      </c>
      <c r="V6676">
        <v>4.6773750000000003E-2</v>
      </c>
      <c r="W6676">
        <v>-1.053774E-2</v>
      </c>
      <c r="X6676">
        <v>0.99884989999999996</v>
      </c>
      <c r="Y6676">
        <v>0.1344854</v>
      </c>
      <c r="Z6676">
        <v>-1.7083649999999999E-2</v>
      </c>
      <c r="AA6676">
        <v>0.99076830000000005</v>
      </c>
      <c r="AB6676">
        <v>26</v>
      </c>
      <c r="AC6676">
        <v>0.596800000000001</v>
      </c>
      <c r="AD6676">
        <v>-0.16723080000000001</v>
      </c>
      <c r="AE6676">
        <v>-9.6339999999997802E-2</v>
      </c>
      <c r="AF6676">
        <v>9.4027775135472502E-2</v>
      </c>
      <c r="AG6676">
        <v>-0.16723080000000001</v>
      </c>
      <c r="AH6676">
        <v>0.55362509342924104</v>
      </c>
      <c r="AI6676">
        <v>106.58355630051101</v>
      </c>
      <c r="AJ6676">
        <v>80.360855770543097</v>
      </c>
      <c r="AK6676">
        <v>0.58592500120758095</v>
      </c>
      <c r="AL6676">
        <v>90.603779217276397</v>
      </c>
      <c r="AM6676">
        <v>87.318934344576405</v>
      </c>
      <c r="AN6676">
        <v>0.99999997519168904</v>
      </c>
    </row>
    <row r="6677" spans="1:40" x14ac:dyDescent="0.25">
      <c r="A6677" t="str">
        <f>"20190312155007284"</f>
        <v>20190312155007284</v>
      </c>
      <c r="B6677" t="str">
        <f>"1552377007272444"</f>
        <v>1552377007272444</v>
      </c>
      <c r="C6677" t="s">
        <v>40</v>
      </c>
      <c r="D6677">
        <v>4.5950989999999896</v>
      </c>
      <c r="E6677">
        <v>0.53813789999999995</v>
      </c>
      <c r="F6677" t="s">
        <v>41</v>
      </c>
      <c r="G6677">
        <v>-241.69380000000001</v>
      </c>
      <c r="H6677">
        <v>0.91843929999999996</v>
      </c>
      <c r="I6677">
        <v>-61.7804</v>
      </c>
      <c r="J6677">
        <v>-242.3734</v>
      </c>
      <c r="K6677">
        <v>1.1086389999999999</v>
      </c>
      <c r="L6677">
        <v>-61.671259999999997</v>
      </c>
      <c r="M6677">
        <v>0.99995999999999996</v>
      </c>
      <c r="N6677">
        <v>0</v>
      </c>
      <c r="O6677">
        <v>8.2680329999999993E-3</v>
      </c>
      <c r="P6677">
        <v>0.99914709999999995</v>
      </c>
      <c r="Q6677">
        <v>-1.436572E-2</v>
      </c>
      <c r="R6677">
        <v>-3.8713839999999999E-2</v>
      </c>
      <c r="S6677">
        <v>2.9776919999999998</v>
      </c>
      <c r="T6677">
        <v>-0.69052789999999997</v>
      </c>
      <c r="U6677">
        <v>-0.39105220000000002</v>
      </c>
      <c r="V6677">
        <v>4.697585E-2</v>
      </c>
      <c r="W6677">
        <v>-1.0946259999999999E-2</v>
      </c>
      <c r="X6677">
        <v>0.99883599999999995</v>
      </c>
      <c r="Y6677">
        <v>0.13467179999999901</v>
      </c>
      <c r="Z6677">
        <v>-1.7232109999999998E-2</v>
      </c>
      <c r="AA6677">
        <v>0.99074039999999997</v>
      </c>
      <c r="AB6677">
        <v>26</v>
      </c>
      <c r="AC6677">
        <v>0.67959999999999299</v>
      </c>
      <c r="AD6677">
        <v>-0.1901997</v>
      </c>
      <c r="AE6677">
        <v>-0.109140000000003</v>
      </c>
      <c r="AF6677">
        <v>0.10661440126859301</v>
      </c>
      <c r="AG6677">
        <v>-0.1901997</v>
      </c>
      <c r="AH6677">
        <v>0.63052853189994096</v>
      </c>
      <c r="AI6677">
        <v>106.56402278346</v>
      </c>
      <c r="AJ6677">
        <v>80.402784326611297</v>
      </c>
      <c r="AK6677">
        <v>0.66716473676135302</v>
      </c>
      <c r="AL6677">
        <v>90.627187054349506</v>
      </c>
      <c r="AM6677">
        <v>87.3073295934729</v>
      </c>
      <c r="AN6677">
        <v>0.999999952993604</v>
      </c>
    </row>
    <row r="6678" spans="1:40" x14ac:dyDescent="0.25">
      <c r="A6678" t="str">
        <f>"20190312155007294"</f>
        <v>20190312155007294</v>
      </c>
      <c r="B6678" t="str">
        <f>"1552377007282204"</f>
        <v>1552377007282204</v>
      </c>
      <c r="C6678" t="s">
        <v>40</v>
      </c>
      <c r="D6678">
        <v>4.611275</v>
      </c>
      <c r="E6678">
        <v>0.53829680000000002</v>
      </c>
      <c r="F6678" t="s">
        <v>41</v>
      </c>
      <c r="G6678">
        <v>-241.6815</v>
      </c>
      <c r="H6678">
        <v>0.94706250000000003</v>
      </c>
      <c r="I6678">
        <v>-61.762810000000002</v>
      </c>
      <c r="J6678">
        <v>-242.24930000000001</v>
      </c>
      <c r="K6678">
        <v>1.1086210000000001</v>
      </c>
      <c r="L6678">
        <v>-61.670169999999999</v>
      </c>
      <c r="M6678">
        <v>0.99995979999999995</v>
      </c>
      <c r="N6678">
        <v>0</v>
      </c>
      <c r="O6678">
        <v>8.3385270000000001E-3</v>
      </c>
      <c r="P6678">
        <v>0.99915509999999996</v>
      </c>
      <c r="Q6678">
        <v>-1.4354479999999999E-2</v>
      </c>
      <c r="R6678">
        <v>-3.8510639999999999E-2</v>
      </c>
      <c r="S6678">
        <v>2.977325</v>
      </c>
      <c r="T6678">
        <v>-0.69519659999999905</v>
      </c>
      <c r="U6678">
        <v>-0.39306639999999998</v>
      </c>
      <c r="V6678">
        <v>4.6843170000000003E-2</v>
      </c>
      <c r="W6678">
        <v>-1.103354E-2</v>
      </c>
      <c r="X6678">
        <v>0.99884130000000004</v>
      </c>
      <c r="Y6678">
        <v>0.13534599999999999</v>
      </c>
      <c r="Z6678">
        <v>-1.7440460000000001E-2</v>
      </c>
      <c r="AA6678">
        <v>0.99064490000000005</v>
      </c>
      <c r="AB6678">
        <v>26</v>
      </c>
      <c r="AC6678">
        <v>0.56780000000000497</v>
      </c>
      <c r="AD6678">
        <v>-0.16155849999999899</v>
      </c>
      <c r="AE6678">
        <v>-9.2639999999995795E-2</v>
      </c>
      <c r="AF6678">
        <v>9.0253954415122198E-2</v>
      </c>
      <c r="AG6678">
        <v>-0.16155849999999899</v>
      </c>
      <c r="AH6678">
        <v>0.52556174594313099</v>
      </c>
      <c r="AI6678">
        <v>106.85505942605501</v>
      </c>
      <c r="AJ6678">
        <v>80.255725687031401</v>
      </c>
      <c r="AK6678">
        <v>0.55719123647865199</v>
      </c>
      <c r="AL6678">
        <v>90.632188113850205</v>
      </c>
      <c r="AM6678">
        <v>87.314937933261206</v>
      </c>
      <c r="AN6678">
        <v>0.99999998208313501</v>
      </c>
    </row>
    <row r="6679" spans="1:40" x14ac:dyDescent="0.25">
      <c r="A6679" t="str">
        <f>"20190312155007306"</f>
        <v>20190312155007306</v>
      </c>
      <c r="B6679" t="str">
        <f>"1552377007292940"</f>
        <v>1552377007292940</v>
      </c>
      <c r="C6679" t="s">
        <v>40</v>
      </c>
      <c r="D6679">
        <v>4.619993</v>
      </c>
      <c r="E6679">
        <v>0.53836790000000001</v>
      </c>
      <c r="F6679" t="s">
        <v>41</v>
      </c>
      <c r="G6679">
        <v>-241.4573</v>
      </c>
      <c r="H6679">
        <v>0.92271840000000005</v>
      </c>
      <c r="I6679">
        <v>-61.774990000000003</v>
      </c>
      <c r="J6679">
        <v>-242.11949999999999</v>
      </c>
      <c r="K6679">
        <v>1.108606</v>
      </c>
      <c r="L6679">
        <v>-61.66901</v>
      </c>
      <c r="M6679">
        <v>0.9999595</v>
      </c>
      <c r="N6679">
        <v>0</v>
      </c>
      <c r="O6679">
        <v>8.4120610000000002E-3</v>
      </c>
      <c r="P6679">
        <v>0.99916150000000004</v>
      </c>
      <c r="Q6679">
        <v>-1.458799E-2</v>
      </c>
      <c r="R6679">
        <v>-3.8254459999999997E-2</v>
      </c>
      <c r="S6679">
        <v>2.977341</v>
      </c>
      <c r="T6679">
        <v>-0.69891059999999905</v>
      </c>
      <c r="U6679">
        <v>-0.39373780000000003</v>
      </c>
      <c r="V6679">
        <v>4.6660600000000003E-2</v>
      </c>
      <c r="W6679">
        <v>-1.136961E-2</v>
      </c>
      <c r="X6679">
        <v>0.99884609999999996</v>
      </c>
      <c r="Y6679">
        <v>0.13558919999999999</v>
      </c>
      <c r="Z6679">
        <v>-1.757587E-2</v>
      </c>
      <c r="AA6679">
        <v>0.99060919999999997</v>
      </c>
      <c r="AB6679">
        <v>26</v>
      </c>
      <c r="AC6679">
        <v>0.66219999999998402</v>
      </c>
      <c r="AD6679">
        <v>-0.18588759999999899</v>
      </c>
      <c r="AE6679">
        <v>-0.105980000000002</v>
      </c>
      <c r="AF6679">
        <v>0.103587939123404</v>
      </c>
      <c r="AG6679">
        <v>-0.18588759999999899</v>
      </c>
      <c r="AH6679">
        <v>0.61410268607046903</v>
      </c>
      <c r="AI6679">
        <v>106.619378939884</v>
      </c>
      <c r="AJ6679">
        <v>80.425377168544102</v>
      </c>
      <c r="AK6679">
        <v>0.64992828066222696</v>
      </c>
      <c r="AL6679">
        <v>90.651444699767595</v>
      </c>
      <c r="AM6679">
        <v>87.325400499229502</v>
      </c>
      <c r="AN6679">
        <v>1.0000000055545599</v>
      </c>
    </row>
    <row r="6680" spans="1:40" x14ac:dyDescent="0.25">
      <c r="A6680" t="str">
        <f>"20190312155007317"</f>
        <v>20190312155007317</v>
      </c>
      <c r="B6680" t="str">
        <f>"1552377007312461"</f>
        <v>1552377007312461</v>
      </c>
      <c r="C6680" t="s">
        <v>40</v>
      </c>
      <c r="D6680">
        <v>4.5893759999999997</v>
      </c>
      <c r="E6680">
        <v>0.53862379999999999</v>
      </c>
      <c r="F6680" t="s">
        <v>41</v>
      </c>
      <c r="G6680">
        <v>-241.2302</v>
      </c>
      <c r="H6680">
        <v>0.8986828</v>
      </c>
      <c r="I6680">
        <v>-61.786679999999997</v>
      </c>
      <c r="J6680">
        <v>-241.98580000000001</v>
      </c>
      <c r="K6680">
        <v>1.1085860000000001</v>
      </c>
      <c r="L6680">
        <v>-61.667819999999899</v>
      </c>
      <c r="M6680">
        <v>0.99995919999999905</v>
      </c>
      <c r="N6680">
        <v>0</v>
      </c>
      <c r="O6680">
        <v>8.4877359999999992E-3</v>
      </c>
      <c r="P6680">
        <v>0.99917049999999996</v>
      </c>
      <c r="Q6680">
        <v>-1.452473E-2</v>
      </c>
      <c r="R6680">
        <v>-3.8045290000000002E-2</v>
      </c>
      <c r="S6680">
        <v>2.9771879999999999</v>
      </c>
      <c r="T6680">
        <v>-0.70278660000000004</v>
      </c>
      <c r="U6680">
        <v>-0.39355469999999998</v>
      </c>
      <c r="V6680">
        <v>4.6527159999999998E-2</v>
      </c>
      <c r="W6680">
        <v>-1.140876E-2</v>
      </c>
      <c r="X6680">
        <v>0.99885190000000001</v>
      </c>
      <c r="Y6680">
        <v>0.13556670000000001</v>
      </c>
      <c r="Z6680">
        <v>-1.7686670000000002E-2</v>
      </c>
      <c r="AA6680">
        <v>0.9906104</v>
      </c>
      <c r="AB6680">
        <v>26</v>
      </c>
      <c r="AC6680">
        <v>0.75560000000001504</v>
      </c>
      <c r="AD6680">
        <v>-0.20990320000000001</v>
      </c>
      <c r="AE6680">
        <v>-0.118860000000012</v>
      </c>
      <c r="AF6680">
        <v>0.116496052320908</v>
      </c>
      <c r="AG6680">
        <v>-0.20990320000000001</v>
      </c>
      <c r="AH6680">
        <v>0.70171918536015598</v>
      </c>
      <c r="AI6680">
        <v>106.440709797164</v>
      </c>
      <c r="AJ6680">
        <v>80.573998983246597</v>
      </c>
      <c r="AK6680">
        <v>0.741647152410846</v>
      </c>
      <c r="AL6680">
        <v>90.653687960818502</v>
      </c>
      <c r="AM6680">
        <v>87.333053724391803</v>
      </c>
      <c r="AN6680">
        <v>1.0000000272780001</v>
      </c>
    </row>
    <row r="6681" spans="1:40" x14ac:dyDescent="0.25">
      <c r="A6681" t="str">
        <f>"20190312155007329"</f>
        <v>20190312155007329</v>
      </c>
      <c r="B6681" t="str">
        <f>"1552377007322220"</f>
        <v>1552377007322220</v>
      </c>
      <c r="C6681" t="s">
        <v>40</v>
      </c>
      <c r="D6681">
        <v>4.5810909999999998</v>
      </c>
      <c r="E6681">
        <v>0.53856269999999995</v>
      </c>
      <c r="F6681" t="s">
        <v>41</v>
      </c>
      <c r="G6681">
        <v>-241.21950000000001</v>
      </c>
      <c r="H6681">
        <v>0.92607019999999995</v>
      </c>
      <c r="I6681">
        <v>-61.769579999999998</v>
      </c>
      <c r="J6681">
        <v>-241.8518</v>
      </c>
      <c r="K6681">
        <v>1.1085700000000001</v>
      </c>
      <c r="L6681">
        <v>-61.666600000000003</v>
      </c>
      <c r="M6681">
        <v>0.99995889999999998</v>
      </c>
      <c r="N6681">
        <v>0</v>
      </c>
      <c r="O6681">
        <v>8.5636410000000003E-3</v>
      </c>
      <c r="P6681">
        <v>0.99917639999999996</v>
      </c>
      <c r="Q6681">
        <v>-1.447712E-2</v>
      </c>
      <c r="R6681">
        <v>-3.7908030000000002E-2</v>
      </c>
      <c r="S6681">
        <v>2.9771269999999999</v>
      </c>
      <c r="T6681">
        <v>-0.70907349999999902</v>
      </c>
      <c r="U6681">
        <v>-0.39489750000000001</v>
      </c>
      <c r="V6681">
        <v>4.6465779999999998E-2</v>
      </c>
      <c r="W6681">
        <v>-1.146203E-2</v>
      </c>
      <c r="X6681">
        <v>0.99885409999999997</v>
      </c>
      <c r="Y6681">
        <v>0.1360006</v>
      </c>
      <c r="Z6681">
        <v>-1.790901E-2</v>
      </c>
      <c r="AA6681">
        <v>0.99054690000000001</v>
      </c>
      <c r="AB6681">
        <v>26</v>
      </c>
      <c r="AC6681">
        <v>0.63229999999998598</v>
      </c>
      <c r="AD6681">
        <v>-0.18249979999999999</v>
      </c>
      <c r="AE6681">
        <v>-0.102980000000002</v>
      </c>
      <c r="AF6681">
        <v>0.100254967785895</v>
      </c>
      <c r="AG6681">
        <v>-0.18249979999999999</v>
      </c>
      <c r="AH6681">
        <v>0.58400103157427896</v>
      </c>
      <c r="AI6681">
        <v>107.11850392066</v>
      </c>
      <c r="AJ6681">
        <v>80.259030692396607</v>
      </c>
      <c r="AK6681">
        <v>0.62001164541128795</v>
      </c>
      <c r="AL6681">
        <v>90.656740337565594</v>
      </c>
      <c r="AM6681">
        <v>87.336572826630999</v>
      </c>
      <c r="AN6681">
        <v>0.99999997996476897</v>
      </c>
    </row>
    <row r="6682" spans="1:40" x14ac:dyDescent="0.25">
      <c r="A6682" t="str">
        <f>"20190312155007338"</f>
        <v>20190312155007338</v>
      </c>
      <c r="B6682" t="str">
        <f>"1552377007332956"</f>
        <v>1552377007332956</v>
      </c>
      <c r="C6682" t="s">
        <v>40</v>
      </c>
      <c r="D6682">
        <v>4.5665579999999997</v>
      </c>
      <c r="E6682">
        <v>0.53861199999999998</v>
      </c>
      <c r="F6682" t="s">
        <v>41</v>
      </c>
      <c r="G6682">
        <v>-240.9905</v>
      </c>
      <c r="H6682">
        <v>0.90319340000000004</v>
      </c>
      <c r="I6682">
        <v>-61.780700000000003</v>
      </c>
      <c r="J6682">
        <v>-241.72559999999999</v>
      </c>
      <c r="K6682">
        <v>1.1085579999999999</v>
      </c>
      <c r="L6682">
        <v>-61.665439999999997</v>
      </c>
      <c r="M6682">
        <v>0.99995849999999997</v>
      </c>
      <c r="N6682">
        <v>0</v>
      </c>
      <c r="O6682">
        <v>8.6349369999999901E-3</v>
      </c>
      <c r="P6682">
        <v>0.99919550000000001</v>
      </c>
      <c r="Q6682">
        <v>-1.4556889999999999E-2</v>
      </c>
      <c r="R6682">
        <v>-3.7374589999999999E-2</v>
      </c>
      <c r="S6682">
        <v>2.9772340000000002</v>
      </c>
      <c r="T6682">
        <v>-0.70995039999999998</v>
      </c>
      <c r="U6682">
        <v>-0.3942871</v>
      </c>
      <c r="V6682">
        <v>4.6003639999999998E-2</v>
      </c>
      <c r="W6682">
        <v>-1.163311E-2</v>
      </c>
      <c r="X6682">
        <v>0.99887349999999997</v>
      </c>
      <c r="Y6682">
        <v>0.13585939999999999</v>
      </c>
      <c r="Z6682">
        <v>-1.7930339999999999E-2</v>
      </c>
      <c r="AA6682">
        <v>0.99056580000000005</v>
      </c>
      <c r="AB6682">
        <v>26</v>
      </c>
      <c r="AC6682">
        <v>0.73509999999998799</v>
      </c>
      <c r="AD6682">
        <v>-0.20536459999999901</v>
      </c>
      <c r="AE6682">
        <v>-0.115259999999999</v>
      </c>
      <c r="AF6682">
        <v>0.112995852316637</v>
      </c>
      <c r="AG6682">
        <v>-0.20536459999999901</v>
      </c>
      <c r="AH6682">
        <v>0.68211728164334495</v>
      </c>
      <c r="AI6682">
        <v>106.54255528678</v>
      </c>
      <c r="AJ6682">
        <v>80.594108036365697</v>
      </c>
      <c r="AK6682">
        <v>0.72126740359621799</v>
      </c>
      <c r="AL6682">
        <v>90.666543162267203</v>
      </c>
      <c r="AM6682">
        <v>87.363076341454899</v>
      </c>
      <c r="AN6682">
        <v>0.99999996657188495</v>
      </c>
    </row>
    <row r="6683" spans="1:40" x14ac:dyDescent="0.25">
      <c r="A6683" t="str">
        <f>"20190312155007350"</f>
        <v>20190312155007350</v>
      </c>
      <c r="B6683" t="str">
        <f>"1552377007342716"</f>
        <v>1552377007342716</v>
      </c>
      <c r="C6683" t="s">
        <v>40</v>
      </c>
      <c r="D6683">
        <v>4.5617960000000002</v>
      </c>
      <c r="E6683">
        <v>0.53862049999999995</v>
      </c>
      <c r="F6683" t="s">
        <v>41</v>
      </c>
      <c r="G6683">
        <v>-240.97970000000001</v>
      </c>
      <c r="H6683">
        <v>0.93023990000000001</v>
      </c>
      <c r="I6683">
        <v>-61.763950000000001</v>
      </c>
      <c r="J6683">
        <v>-241.5951</v>
      </c>
      <c r="K6683">
        <v>1.108549</v>
      </c>
      <c r="L6683">
        <v>-61.664250000000003</v>
      </c>
      <c r="M6683">
        <v>0.99995820000000002</v>
      </c>
      <c r="N6683">
        <v>0</v>
      </c>
      <c r="O6683">
        <v>8.7085540000000003E-3</v>
      </c>
      <c r="P6683">
        <v>0.99921289999999996</v>
      </c>
      <c r="Q6683">
        <v>-1.433803E-2</v>
      </c>
      <c r="R6683">
        <v>-3.6993150000000002E-2</v>
      </c>
      <c r="S6683">
        <v>2.977341</v>
      </c>
      <c r="T6683">
        <v>-0.71183509999999905</v>
      </c>
      <c r="U6683">
        <v>-0.39306639999999998</v>
      </c>
      <c r="V6683">
        <v>4.5695850000000003E-2</v>
      </c>
      <c r="W6683">
        <v>-1.1505720000000001E-2</v>
      </c>
      <c r="X6683">
        <v>0.99888909999999997</v>
      </c>
      <c r="Y6683">
        <v>0.1355152</v>
      </c>
      <c r="Z6683">
        <v>-1.7953360000000002E-2</v>
      </c>
      <c r="AA6683">
        <v>0.99061259999999995</v>
      </c>
      <c r="AB6683">
        <v>26</v>
      </c>
      <c r="AC6683">
        <v>0.61539999999999395</v>
      </c>
      <c r="AD6683">
        <v>-0.1783091</v>
      </c>
      <c r="AE6683">
        <v>-9.9699999999998498E-2</v>
      </c>
      <c r="AF6683">
        <v>9.7111288129828402E-2</v>
      </c>
      <c r="AG6683">
        <v>-0.1783091</v>
      </c>
      <c r="AH6683">
        <v>0.568039873580374</v>
      </c>
      <c r="AI6683">
        <v>107.192768758863</v>
      </c>
      <c r="AJ6683">
        <v>80.298583443433202</v>
      </c>
      <c r="AK6683">
        <v>0.60323630146257901</v>
      </c>
      <c r="AL6683">
        <v>90.6592437663559</v>
      </c>
      <c r="AM6683">
        <v>87.380735027462507</v>
      </c>
      <c r="AN6683">
        <v>0.99999996319937401</v>
      </c>
    </row>
    <row r="6684" spans="1:40" x14ac:dyDescent="0.25">
      <c r="A6684" t="str">
        <f>"20190312155007361"</f>
        <v>20190312155007361</v>
      </c>
      <c r="B6684" t="str">
        <f>"1552377007352476"</f>
        <v>1552377007352476</v>
      </c>
      <c r="C6684" t="s">
        <v>40</v>
      </c>
      <c r="D6684">
        <v>4.525525</v>
      </c>
      <c r="E6684">
        <v>0.53862239999999995</v>
      </c>
      <c r="F6684" t="s">
        <v>41</v>
      </c>
      <c r="G6684">
        <v>-240.74979999999999</v>
      </c>
      <c r="H6684">
        <v>0.90631779999999995</v>
      </c>
      <c r="I6684">
        <v>-61.775689999999997</v>
      </c>
      <c r="J6684">
        <v>-241.45859999999999</v>
      </c>
      <c r="K6684">
        <v>1.1085370000000001</v>
      </c>
      <c r="L6684">
        <v>-61.662990000000001</v>
      </c>
      <c r="M6684">
        <v>0.99995769999999995</v>
      </c>
      <c r="N6684">
        <v>0</v>
      </c>
      <c r="O6684">
        <v>8.7855650000000004E-3</v>
      </c>
      <c r="P6684">
        <v>0.99922979999999995</v>
      </c>
      <c r="Q6684">
        <v>-1.430654E-2</v>
      </c>
      <c r="R6684">
        <v>-3.6541949999999997E-2</v>
      </c>
      <c r="S6684">
        <v>2.9776310000000001</v>
      </c>
      <c r="T6684">
        <v>-0.7123507</v>
      </c>
      <c r="U6684">
        <v>-0.39212039999999998</v>
      </c>
      <c r="V6684">
        <v>4.5321939999999998E-2</v>
      </c>
      <c r="W6684">
        <v>-1.156635E-2</v>
      </c>
      <c r="X6684">
        <v>0.9989055</v>
      </c>
      <c r="Y6684">
        <v>0.1352691</v>
      </c>
      <c r="Z6684">
        <v>-1.795387E-2</v>
      </c>
      <c r="AA6684">
        <v>0.99064620000000003</v>
      </c>
      <c r="AB6684">
        <v>27</v>
      </c>
      <c r="AC6684">
        <v>0.70879999999999599</v>
      </c>
      <c r="AD6684">
        <v>-0.20221919999999999</v>
      </c>
      <c r="AE6684">
        <v>-0.11270000000000301</v>
      </c>
      <c r="AF6684">
        <v>0.110176223339843</v>
      </c>
      <c r="AG6684">
        <v>-0.20221919999999999</v>
      </c>
      <c r="AH6684">
        <v>0.655725814336654</v>
      </c>
      <c r="AI6684">
        <v>106.91592207092</v>
      </c>
      <c r="AJ6684">
        <v>80.462150187929097</v>
      </c>
      <c r="AK6684">
        <v>0.69498758882841905</v>
      </c>
      <c r="AL6684">
        <v>90.662717797614405</v>
      </c>
      <c r="AM6684">
        <v>87.402180485860598</v>
      </c>
      <c r="AN6684">
        <v>1.0000000283139601</v>
      </c>
    </row>
    <row r="6685" spans="1:40" x14ac:dyDescent="0.25">
      <c r="A6685" t="str">
        <f>"20190312155007372"</f>
        <v>20190312155007372</v>
      </c>
      <c r="B6685" t="str">
        <f>"1552377007362236"</f>
        <v>1552377007362236</v>
      </c>
      <c r="C6685" t="s">
        <v>40</v>
      </c>
      <c r="D6685">
        <v>4.5441859999999998</v>
      </c>
      <c r="E6685">
        <v>0.53873130000000002</v>
      </c>
      <c r="F6685" t="s">
        <v>41</v>
      </c>
      <c r="G6685">
        <v>-240.73769999999999</v>
      </c>
      <c r="H6685">
        <v>0.93592070000000005</v>
      </c>
      <c r="I6685">
        <v>-61.757759999999998</v>
      </c>
      <c r="J6685">
        <v>-241.32339999999999</v>
      </c>
      <c r="K6685">
        <v>1.108525</v>
      </c>
      <c r="L6685">
        <v>-61.661709999999999</v>
      </c>
      <c r="M6685">
        <v>0.99995730000000005</v>
      </c>
      <c r="N6685">
        <v>0</v>
      </c>
      <c r="O6685">
        <v>8.8616719999999993E-3</v>
      </c>
      <c r="P6685">
        <v>0.99924829999999998</v>
      </c>
      <c r="Q6685">
        <v>-1.4062079999999999E-2</v>
      </c>
      <c r="R6685">
        <v>-3.6122519999999998E-2</v>
      </c>
      <c r="S6685">
        <v>2.9778289999999998</v>
      </c>
      <c r="T6685">
        <v>-0.71300479999999999</v>
      </c>
      <c r="U6685">
        <v>-0.39093020000000001</v>
      </c>
      <c r="V6685">
        <v>4.4978879999999999E-2</v>
      </c>
      <c r="W6685">
        <v>-1.140937E-2</v>
      </c>
      <c r="X6685">
        <v>0.9989228</v>
      </c>
      <c r="Y6685">
        <v>0.1349466</v>
      </c>
      <c r="Z6685">
        <v>-1.794919E-2</v>
      </c>
      <c r="AA6685">
        <v>0.99069030000000002</v>
      </c>
      <c r="AB6685">
        <v>27</v>
      </c>
      <c r="AC6685">
        <v>0.585700000000002</v>
      </c>
      <c r="AD6685">
        <v>-0.17260429999999899</v>
      </c>
      <c r="AE6685">
        <v>-9.6049999999998206E-2</v>
      </c>
      <c r="AF6685">
        <v>9.3342362011015506E-2</v>
      </c>
      <c r="AG6685">
        <v>-0.17260429999999899</v>
      </c>
      <c r="AH6685">
        <v>0.53922261189523502</v>
      </c>
      <c r="AI6685">
        <v>107.50567143257901</v>
      </c>
      <c r="AJ6685">
        <v>80.179113555704006</v>
      </c>
      <c r="AK6685">
        <v>0.57381710161287802</v>
      </c>
      <c r="AL6685">
        <v>90.653722920325606</v>
      </c>
      <c r="AM6685">
        <v>87.421862383542702</v>
      </c>
      <c r="AN6685">
        <v>1.00000001686484</v>
      </c>
    </row>
    <row r="6686" spans="1:40" x14ac:dyDescent="0.25">
      <c r="A6686" t="str">
        <f>"20190312155007383"</f>
        <v>20190312155007383</v>
      </c>
      <c r="B6686" t="str">
        <f>"1552377007372973"</f>
        <v>1552377007372973</v>
      </c>
      <c r="C6686" t="s">
        <v>40</v>
      </c>
      <c r="D6686">
        <v>4.5256910000000001</v>
      </c>
      <c r="E6686">
        <v>0.53883990000000004</v>
      </c>
      <c r="F6686" t="s">
        <v>41</v>
      </c>
      <c r="G6686">
        <v>-240.50620000000001</v>
      </c>
      <c r="H6686">
        <v>0.91260680000000005</v>
      </c>
      <c r="I6686">
        <v>-61.768940000000001</v>
      </c>
      <c r="J6686">
        <v>-241.18629999999999</v>
      </c>
      <c r="K6686">
        <v>1.1085179999999999</v>
      </c>
      <c r="L6686">
        <v>-61.660429999999998</v>
      </c>
      <c r="M6686">
        <v>0.99995679999999998</v>
      </c>
      <c r="N6686">
        <v>0</v>
      </c>
      <c r="O6686">
        <v>8.9386680000000003E-3</v>
      </c>
      <c r="P6686">
        <v>0.99926539999999997</v>
      </c>
      <c r="Q6686">
        <v>-1.3914080000000001E-2</v>
      </c>
      <c r="R6686">
        <v>-3.5707219999999998E-2</v>
      </c>
      <c r="S6686">
        <v>2.9781040000000001</v>
      </c>
      <c r="T6686">
        <v>-0.71397259999999996</v>
      </c>
      <c r="U6686">
        <v>-0.39065549999999999</v>
      </c>
      <c r="V6686">
        <v>4.4640510000000001E-2</v>
      </c>
      <c r="W6686">
        <v>-1.1348169999999999E-2</v>
      </c>
      <c r="X6686">
        <v>0.99893869999999896</v>
      </c>
      <c r="Y6686">
        <v>0.13491</v>
      </c>
      <c r="Z6686">
        <v>-1.7985210000000001E-2</v>
      </c>
      <c r="AA6686">
        <v>0.99069459999999998</v>
      </c>
      <c r="AB6686">
        <v>27</v>
      </c>
      <c r="AC6686">
        <v>0.68009999999998105</v>
      </c>
      <c r="AD6686">
        <v>-0.19591119999999901</v>
      </c>
      <c r="AE6686">
        <v>-0.108509999999995</v>
      </c>
      <c r="AF6686">
        <v>0.1060068026918</v>
      </c>
      <c r="AG6686">
        <v>-0.19591119999999901</v>
      </c>
      <c r="AH6686">
        <v>0.62826378790137904</v>
      </c>
      <c r="AI6686">
        <v>107.09178672886399</v>
      </c>
      <c r="AJ6686">
        <v>80.422704239100298</v>
      </c>
      <c r="AK6686">
        <v>0.66658384895717904</v>
      </c>
      <c r="AL6686">
        <v>90.650216175810201</v>
      </c>
      <c r="AM6686">
        <v>87.441272160853899</v>
      </c>
      <c r="AN6686">
        <v>1.00000004122654</v>
      </c>
    </row>
    <row r="6687" spans="1:40" x14ac:dyDescent="0.25">
      <c r="A6687" t="str">
        <f>"20190312155007396"</f>
        <v>20190312155007396</v>
      </c>
      <c r="B6687" t="str">
        <f>"1552377007382733"</f>
        <v>1552377007382733</v>
      </c>
      <c r="C6687" t="s">
        <v>40</v>
      </c>
      <c r="D6687">
        <v>4.526751</v>
      </c>
      <c r="E6687">
        <v>0.53893049999999998</v>
      </c>
      <c r="F6687" t="s">
        <v>41</v>
      </c>
      <c r="G6687">
        <v>-240.49379999999999</v>
      </c>
      <c r="H6687">
        <v>0.94219949999999997</v>
      </c>
      <c r="I6687">
        <v>-61.751220000000004</v>
      </c>
      <c r="J6687">
        <v>-241.04830000000001</v>
      </c>
      <c r="K6687">
        <v>1.108506</v>
      </c>
      <c r="L6687">
        <v>-61.659089999999999</v>
      </c>
      <c r="M6687">
        <v>0.99995630000000002</v>
      </c>
      <c r="N6687">
        <v>0</v>
      </c>
      <c r="O6687">
        <v>9.0161330000000008E-3</v>
      </c>
      <c r="P6687">
        <v>0.99927860000000002</v>
      </c>
      <c r="Q6687">
        <v>-1.38301E-2</v>
      </c>
      <c r="R6687">
        <v>-3.5370899999999997E-2</v>
      </c>
      <c r="S6687">
        <v>2.9782869999999999</v>
      </c>
      <c r="T6687">
        <v>-0.71529419999999899</v>
      </c>
      <c r="U6687">
        <v>-0.39028930000000001</v>
      </c>
      <c r="V6687">
        <v>4.438156E-2</v>
      </c>
      <c r="W6687">
        <v>-1.134714E-2</v>
      </c>
      <c r="X6687">
        <v>0.99895020000000001</v>
      </c>
      <c r="Y6687">
        <v>0.13484450000000001</v>
      </c>
      <c r="Z6687">
        <v>-1.8027209999999998E-2</v>
      </c>
      <c r="AA6687">
        <v>0.99070270000000005</v>
      </c>
      <c r="AB6687">
        <v>27</v>
      </c>
      <c r="AC6687">
        <v>0.55450000000001798</v>
      </c>
      <c r="AD6687">
        <v>-0.166306499999999</v>
      </c>
      <c r="AE6687">
        <v>-9.2129999999997297E-2</v>
      </c>
      <c r="AF6687">
        <v>8.9308011683796595E-2</v>
      </c>
      <c r="AG6687">
        <v>-0.166306499999999</v>
      </c>
      <c r="AH6687">
        <v>0.50908345417644896</v>
      </c>
      <c r="AI6687">
        <v>107.83633615682599</v>
      </c>
      <c r="AJ6687">
        <v>80.049905597717398</v>
      </c>
      <c r="AK6687">
        <v>0.54295463549857204</v>
      </c>
      <c r="AL6687">
        <v>90.650157189842702</v>
      </c>
      <c r="AM6687">
        <v>87.456124482628198</v>
      </c>
      <c r="AN6687">
        <v>0.99999999126712602</v>
      </c>
    </row>
    <row r="6688" spans="1:40" x14ac:dyDescent="0.25">
      <c r="A6688" t="str">
        <f>"20190312155007407"</f>
        <v>20190312155007407</v>
      </c>
      <c r="B6688" t="str">
        <f>"1552377007392492"</f>
        <v>1552377007392492</v>
      </c>
      <c r="C6688" t="s">
        <v>40</v>
      </c>
      <c r="D6688">
        <v>4.5057400000000003</v>
      </c>
      <c r="E6688">
        <v>0.53904289999999999</v>
      </c>
      <c r="F6688" t="s">
        <v>41</v>
      </c>
      <c r="G6688">
        <v>-240.26089999999999</v>
      </c>
      <c r="H6688">
        <v>0.91903210000000002</v>
      </c>
      <c r="I6688">
        <v>-61.762419999999999</v>
      </c>
      <c r="J6688">
        <v>-240.90979999999999</v>
      </c>
      <c r="K6688">
        <v>1.1084940000000001</v>
      </c>
      <c r="L6688">
        <v>-61.657780000000002</v>
      </c>
      <c r="M6688">
        <v>0.99995579999999995</v>
      </c>
      <c r="N6688">
        <v>0</v>
      </c>
      <c r="O6688">
        <v>9.093772E-3</v>
      </c>
      <c r="P6688">
        <v>0.99929230000000002</v>
      </c>
      <c r="Q6688">
        <v>-1.3772950000000001E-2</v>
      </c>
      <c r="R6688">
        <v>-3.500677E-2</v>
      </c>
      <c r="S6688">
        <v>2.9784389999999998</v>
      </c>
      <c r="T6688">
        <v>-0.7167386</v>
      </c>
      <c r="U6688">
        <v>-0.39019779999999998</v>
      </c>
      <c r="V6688">
        <v>4.4095130000000003E-2</v>
      </c>
      <c r="W6688">
        <v>-1.1371839999999999E-2</v>
      </c>
      <c r="X6688">
        <v>0.99896260000000003</v>
      </c>
      <c r="Y6688">
        <v>0.1348664</v>
      </c>
      <c r="Z6688">
        <v>-1.80827E-2</v>
      </c>
      <c r="AA6688">
        <v>0.99069879999999999</v>
      </c>
      <c r="AB6688">
        <v>27</v>
      </c>
      <c r="AC6688">
        <v>0.64889999999999703</v>
      </c>
      <c r="AD6688">
        <v>-0.18946189999999999</v>
      </c>
      <c r="AE6688">
        <v>-0.104639999999996</v>
      </c>
      <c r="AF6688">
        <v>0.102056916500552</v>
      </c>
      <c r="AG6688">
        <v>-0.18946189999999999</v>
      </c>
      <c r="AH6688">
        <v>0.59821685141772696</v>
      </c>
      <c r="AI6688">
        <v>107.33838268121799</v>
      </c>
      <c r="AJ6688">
        <v>80.318441744255196</v>
      </c>
      <c r="AK6688">
        <v>0.63574745542341704</v>
      </c>
      <c r="AL6688">
        <v>90.651572489239001</v>
      </c>
      <c r="AM6688">
        <v>87.472552136272597</v>
      </c>
      <c r="AN6688">
        <v>0.99999998771673104</v>
      </c>
    </row>
    <row r="6689" spans="1:40" x14ac:dyDescent="0.25">
      <c r="A6689" t="str">
        <f>"20190312155007418"</f>
        <v>20190312155007418</v>
      </c>
      <c r="B6689" t="str">
        <f>"1552377007412988"</f>
        <v>1552377007412988</v>
      </c>
      <c r="C6689" t="s">
        <v>40</v>
      </c>
      <c r="D6689">
        <v>4.5085379999999997</v>
      </c>
      <c r="E6689">
        <v>0.5391802</v>
      </c>
      <c r="F6689" t="s">
        <v>41</v>
      </c>
      <c r="G6689">
        <v>-240.0256</v>
      </c>
      <c r="H6689">
        <v>0.89532639999999997</v>
      </c>
      <c r="I6689">
        <v>-61.77366</v>
      </c>
      <c r="J6689">
        <v>-240.76689999999999</v>
      </c>
      <c r="K6689">
        <v>1.108481</v>
      </c>
      <c r="L6689">
        <v>-61.656399999999998</v>
      </c>
      <c r="M6689">
        <v>0.99995529999999999</v>
      </c>
      <c r="N6689">
        <v>0</v>
      </c>
      <c r="O6689">
        <v>9.1739070000000002E-3</v>
      </c>
      <c r="P6689">
        <v>0.99930450000000004</v>
      </c>
      <c r="Q6689">
        <v>-1.3605000000000001E-2</v>
      </c>
      <c r="R6689">
        <v>-3.4719E-2</v>
      </c>
      <c r="S6689">
        <v>2.978561</v>
      </c>
      <c r="T6689">
        <v>-0.71807609999999999</v>
      </c>
      <c r="U6689">
        <v>-0.3901367</v>
      </c>
      <c r="V6689">
        <v>4.3887740000000001E-2</v>
      </c>
      <c r="W6689">
        <v>-1.128315E-2</v>
      </c>
      <c r="X6689">
        <v>0.99897279999999999</v>
      </c>
      <c r="Y6689">
        <v>0.13490269999999999</v>
      </c>
      <c r="Z6689">
        <v>-1.8138100000000001E-2</v>
      </c>
      <c r="AA6689">
        <v>0.99069280000000004</v>
      </c>
      <c r="AB6689">
        <v>27</v>
      </c>
      <c r="AC6689">
        <v>0.74129999999999496</v>
      </c>
      <c r="AD6689">
        <v>-0.2131546</v>
      </c>
      <c r="AE6689">
        <v>-0.117260000000001</v>
      </c>
      <c r="AF6689">
        <v>0.114796033686004</v>
      </c>
      <c r="AG6689">
        <v>-0.2131546</v>
      </c>
      <c r="AH6689">
        <v>0.68494416761237498</v>
      </c>
      <c r="AI6689">
        <v>107.062256328045</v>
      </c>
      <c r="AJ6689">
        <v>80.4857044534251</v>
      </c>
      <c r="AK6689">
        <v>0.72647197165300703</v>
      </c>
      <c r="AL6689">
        <v>90.646490560716003</v>
      </c>
      <c r="AM6689">
        <v>87.484449677216404</v>
      </c>
      <c r="AN6689">
        <v>1.0000000491680301</v>
      </c>
    </row>
    <row r="6690" spans="1:40" x14ac:dyDescent="0.25">
      <c r="A6690" t="str">
        <f>"20190312155007429"</f>
        <v>20190312155007429</v>
      </c>
      <c r="B6690" t="str">
        <f>"1552377007422748"</f>
        <v>1552377007422748</v>
      </c>
      <c r="C6690" t="s">
        <v>40</v>
      </c>
      <c r="D6690">
        <v>4.4191029999999998</v>
      </c>
      <c r="E6690">
        <v>0.53910269999999905</v>
      </c>
      <c r="F6690" t="s">
        <v>41</v>
      </c>
      <c r="G6690">
        <v>-240.01339999999999</v>
      </c>
      <c r="H6690">
        <v>0.92649479999999995</v>
      </c>
      <c r="I6690">
        <v>-61.755229999999997</v>
      </c>
      <c r="J6690">
        <v>-240.63679999999999</v>
      </c>
      <c r="K6690">
        <v>1.108471</v>
      </c>
      <c r="L6690">
        <v>-61.655149999999999</v>
      </c>
      <c r="M6690">
        <v>0.99995480000000003</v>
      </c>
      <c r="N6690">
        <v>0</v>
      </c>
      <c r="O6690">
        <v>9.2466400000000004E-3</v>
      </c>
      <c r="P6690">
        <v>0.99930810000000003</v>
      </c>
      <c r="Q6690">
        <v>-1.3759189999999999E-2</v>
      </c>
      <c r="R6690">
        <v>-3.4555599999999999E-2</v>
      </c>
      <c r="S6690">
        <v>2.978729</v>
      </c>
      <c r="T6690">
        <v>-0.7194123</v>
      </c>
      <c r="U6690">
        <v>-0.39041140000000002</v>
      </c>
      <c r="V6690">
        <v>4.3797120000000002E-2</v>
      </c>
      <c r="W6690">
        <v>-1.150692E-2</v>
      </c>
      <c r="X6690">
        <v>0.99897420000000003</v>
      </c>
      <c r="Y6690">
        <v>0.13503709999999999</v>
      </c>
      <c r="Z6690">
        <v>-1.8203009999999999E-2</v>
      </c>
      <c r="AA6690">
        <v>0.99067329999999998</v>
      </c>
      <c r="AB6690">
        <v>27</v>
      </c>
      <c r="AC6690">
        <v>0.62340000000000295</v>
      </c>
      <c r="AD6690">
        <v>-0.18197619999999901</v>
      </c>
      <c r="AE6690">
        <v>-0.100080000000005</v>
      </c>
      <c r="AF6690">
        <v>9.7722295830124997E-2</v>
      </c>
      <c r="AG6690">
        <v>-0.18197619999999901</v>
      </c>
      <c r="AH6690">
        <v>0.57470700816743003</v>
      </c>
      <c r="AI6690">
        <v>107.33633190053899</v>
      </c>
      <c r="AJ6690">
        <v>80.349812879723402</v>
      </c>
      <c r="AK6690">
        <v>0.61069888628153601</v>
      </c>
      <c r="AL6690">
        <v>90.659312485363799</v>
      </c>
      <c r="AM6690">
        <v>87.489640681525898</v>
      </c>
      <c r="AN6690">
        <v>1.0000000245969101</v>
      </c>
    </row>
    <row r="6691" spans="1:40" x14ac:dyDescent="0.25">
      <c r="A6691" t="str">
        <f>"20190312155007439"</f>
        <v>20190312155007439</v>
      </c>
      <c r="B6691" t="str">
        <f>"1552377007432509"</f>
        <v>1552377007432509</v>
      </c>
      <c r="C6691" t="s">
        <v>40</v>
      </c>
      <c r="D6691">
        <v>4.4549830000000004</v>
      </c>
      <c r="E6691">
        <v>0.53906109999999996</v>
      </c>
      <c r="F6691" t="s">
        <v>41</v>
      </c>
      <c r="G6691">
        <v>-239.7775</v>
      </c>
      <c r="H6691">
        <v>0.90086149999999998</v>
      </c>
      <c r="I6691">
        <v>-61.767710000000001</v>
      </c>
      <c r="J6691">
        <v>-240.50110000000001</v>
      </c>
      <c r="K6691">
        <v>1.1084609999999999</v>
      </c>
      <c r="L6691">
        <v>-61.653840000000002</v>
      </c>
      <c r="M6691">
        <v>0.99995420000000002</v>
      </c>
      <c r="N6691">
        <v>0</v>
      </c>
      <c r="O6691">
        <v>9.3225270000000006E-3</v>
      </c>
      <c r="P6691">
        <v>0.9993107</v>
      </c>
      <c r="Q6691">
        <v>-1.38408E-2</v>
      </c>
      <c r="R6691">
        <v>-3.4448449999999999E-2</v>
      </c>
      <c r="S6691">
        <v>2.9787140000000001</v>
      </c>
      <c r="T6691">
        <v>-0.71964790000000001</v>
      </c>
      <c r="U6691">
        <v>-0.38961790000000002</v>
      </c>
      <c r="V6691">
        <v>4.3765699999999998E-2</v>
      </c>
      <c r="W6691">
        <v>-1.165685E-2</v>
      </c>
      <c r="X6691">
        <v>0.99897380000000002</v>
      </c>
      <c r="Y6691">
        <v>0.13485359999999999</v>
      </c>
      <c r="Z6691">
        <v>-1.820544E-2</v>
      </c>
      <c r="AA6691">
        <v>0.99069830000000003</v>
      </c>
      <c r="AB6691">
        <v>27</v>
      </c>
      <c r="AC6691">
        <v>0.72360000000000402</v>
      </c>
      <c r="AD6691">
        <v>-0.20759949999999999</v>
      </c>
      <c r="AE6691">
        <v>-0.113869999999998</v>
      </c>
      <c r="AF6691">
        <v>0.111643480314584</v>
      </c>
      <c r="AG6691">
        <v>-0.20759949999999999</v>
      </c>
      <c r="AH6691">
        <v>0.66878889402948405</v>
      </c>
      <c r="AI6691">
        <v>107.02324471441599</v>
      </c>
      <c r="AJ6691">
        <v>80.5227857535194</v>
      </c>
      <c r="AK6691">
        <v>0.70911240566935796</v>
      </c>
      <c r="AL6691">
        <v>90.667903443464994</v>
      </c>
      <c r="AM6691">
        <v>87.491438305607701</v>
      </c>
      <c r="AN6691">
        <v>0.999999985867426</v>
      </c>
    </row>
    <row r="6692" spans="1:40" x14ac:dyDescent="0.25">
      <c r="A6692" t="str">
        <f>"20190312155007451"</f>
        <v>20190312155007451</v>
      </c>
      <c r="B6692" t="str">
        <f>"1552377007442269"</f>
        <v>1552377007442269</v>
      </c>
      <c r="C6692" t="s">
        <v>40</v>
      </c>
      <c r="D6692">
        <v>4.5275220000000003</v>
      </c>
      <c r="E6692">
        <v>0.53913800000000001</v>
      </c>
      <c r="F6692" t="s">
        <v>41</v>
      </c>
      <c r="G6692">
        <v>-239.7655</v>
      </c>
      <c r="H6692">
        <v>0.93079350000000005</v>
      </c>
      <c r="I6692">
        <v>-61.750140000000002</v>
      </c>
      <c r="J6692">
        <v>-240.36760000000001</v>
      </c>
      <c r="K6692">
        <v>1.108452</v>
      </c>
      <c r="L6692">
        <v>-61.652500000000003</v>
      </c>
      <c r="M6692">
        <v>0.99995369999999995</v>
      </c>
      <c r="N6692">
        <v>0</v>
      </c>
      <c r="O6692">
        <v>9.3969759999999996E-3</v>
      </c>
      <c r="P6692">
        <v>0.99930980000000003</v>
      </c>
      <c r="Q6692">
        <v>-1.378628E-2</v>
      </c>
      <c r="R6692">
        <v>-3.4499439999999999E-2</v>
      </c>
      <c r="S6692">
        <v>2.9786679999999999</v>
      </c>
      <c r="T6692">
        <v>-0.71944830000000004</v>
      </c>
      <c r="U6692">
        <v>-0.38931270000000001</v>
      </c>
      <c r="V6692">
        <v>4.3891260000000001E-2</v>
      </c>
      <c r="W6692">
        <v>-1.166551E-2</v>
      </c>
      <c r="X6692">
        <v>0.99896819999999997</v>
      </c>
      <c r="Y6692">
        <v>0.13483010000000001</v>
      </c>
      <c r="Z6692">
        <v>-1.8215789999999999E-2</v>
      </c>
      <c r="AA6692">
        <v>0.99070130000000001</v>
      </c>
      <c r="AB6692">
        <v>27</v>
      </c>
      <c r="AC6692">
        <v>0.60210000000000696</v>
      </c>
      <c r="AD6692">
        <v>-0.1776585</v>
      </c>
      <c r="AE6692">
        <v>-9.7639999999998395E-2</v>
      </c>
      <c r="AF6692">
        <v>9.5216208215105999E-2</v>
      </c>
      <c r="AG6692">
        <v>-0.1776585</v>
      </c>
      <c r="AH6692">
        <v>0.55414636925636696</v>
      </c>
      <c r="AI6692">
        <v>107.53487653101</v>
      </c>
      <c r="AJ6692">
        <v>80.250356834720293</v>
      </c>
      <c r="AK6692">
        <v>0.58966674273620601</v>
      </c>
      <c r="AL6692">
        <v>90.668399652076701</v>
      </c>
      <c r="AM6692">
        <v>87.484236608109995</v>
      </c>
      <c r="AN6692">
        <v>0.99999999571959297</v>
      </c>
    </row>
    <row r="6693" spans="1:40" x14ac:dyDescent="0.25">
      <c r="A6693" t="str">
        <f>"20190312155007461"</f>
        <v>20190312155007461</v>
      </c>
      <c r="B6693" t="str">
        <f>"1552377007452029"</f>
        <v>1552377007452029</v>
      </c>
      <c r="C6693" t="s">
        <v>40</v>
      </c>
      <c r="D6693">
        <v>4.4299600000000003</v>
      </c>
      <c r="E6693">
        <v>0.53911980000000004</v>
      </c>
      <c r="F6693" t="s">
        <v>41</v>
      </c>
      <c r="G6693">
        <v>-239.52799999999999</v>
      </c>
      <c r="H6693">
        <v>0.90547440000000001</v>
      </c>
      <c r="I6693">
        <v>-61.762610000000002</v>
      </c>
      <c r="J6693">
        <v>-240.22470000000001</v>
      </c>
      <c r="K6693">
        <v>1.108444</v>
      </c>
      <c r="L6693">
        <v>-61.651090000000003</v>
      </c>
      <c r="M6693">
        <v>0.99995319999999999</v>
      </c>
      <c r="N6693">
        <v>0</v>
      </c>
      <c r="O6693">
        <v>9.4769069999999997E-3</v>
      </c>
      <c r="P6693">
        <v>0.99930660000000004</v>
      </c>
      <c r="Q6693">
        <v>-1.4025589999999999E-2</v>
      </c>
      <c r="R6693">
        <v>-3.4493990000000002E-2</v>
      </c>
      <c r="S6693">
        <v>2.9786679999999999</v>
      </c>
      <c r="T6693">
        <v>-0.72006669999999995</v>
      </c>
      <c r="U6693">
        <v>-0.39031979999999999</v>
      </c>
      <c r="V6693">
        <v>4.396568E-2</v>
      </c>
      <c r="W6693">
        <v>-1.196905E-2</v>
      </c>
      <c r="X6693">
        <v>0.99896130000000005</v>
      </c>
      <c r="Y6693">
        <v>0.13521859999999999</v>
      </c>
      <c r="Z6693">
        <v>-1.8295700000000002E-2</v>
      </c>
      <c r="AA6693">
        <v>0.99064680000000005</v>
      </c>
      <c r="AB6693">
        <v>28</v>
      </c>
      <c r="AC6693">
        <v>0.69670000000002097</v>
      </c>
      <c r="AD6693">
        <v>-0.2029696</v>
      </c>
      <c r="AE6693">
        <v>-0.111519999999991</v>
      </c>
      <c r="AF6693">
        <v>0.109090051624535</v>
      </c>
      <c r="AG6693">
        <v>-0.2029696</v>
      </c>
      <c r="AH6693">
        <v>0.64244747923663204</v>
      </c>
      <c r="AI6693">
        <v>107.30041798698799</v>
      </c>
      <c r="AJ6693">
        <v>80.362878260280397</v>
      </c>
      <c r="AK6693">
        <v>0.68252183955175105</v>
      </c>
      <c r="AL6693">
        <v>90.685792452765895</v>
      </c>
      <c r="AM6693">
        <v>87.479959106093801</v>
      </c>
      <c r="AN6693">
        <v>0.999999959036726</v>
      </c>
    </row>
    <row r="6694" spans="1:40" x14ac:dyDescent="0.25">
      <c r="A6694" t="str">
        <f>"20190312155007474"</f>
        <v>20190312155007474</v>
      </c>
      <c r="B6694" t="str">
        <f>"1552377007462764"</f>
        <v>1552377007462764</v>
      </c>
      <c r="C6694" t="s">
        <v>40</v>
      </c>
      <c r="D6694">
        <v>4.456512</v>
      </c>
      <c r="E6694">
        <v>0.53911200000000004</v>
      </c>
      <c r="F6694" t="s">
        <v>41</v>
      </c>
      <c r="G6694">
        <v>-239.51519999999999</v>
      </c>
      <c r="H6694">
        <v>0.93680070000000004</v>
      </c>
      <c r="I6694">
        <v>-61.744079999999997</v>
      </c>
      <c r="J6694">
        <v>-240.07919999999999</v>
      </c>
      <c r="K6694">
        <v>1.1084320000000001</v>
      </c>
      <c r="L6694">
        <v>-61.649659999999997</v>
      </c>
      <c r="M6694">
        <v>0.99995239999999996</v>
      </c>
      <c r="N6694">
        <v>0</v>
      </c>
      <c r="O6694">
        <v>9.5581429999999998E-3</v>
      </c>
      <c r="P6694">
        <v>0.99931420000000004</v>
      </c>
      <c r="Q6694">
        <v>-1.3847709999999999E-2</v>
      </c>
      <c r="R6694">
        <v>-3.4342619999999997E-2</v>
      </c>
      <c r="S6694">
        <v>2.978485</v>
      </c>
      <c r="T6694">
        <v>-0.72055530000000001</v>
      </c>
      <c r="U6694">
        <v>-0.39004519999999998</v>
      </c>
      <c r="V6694">
        <v>4.389556E-2</v>
      </c>
      <c r="W6694">
        <v>-1.185044E-2</v>
      </c>
      <c r="X6694">
        <v>0.99896589999999996</v>
      </c>
      <c r="Y6694">
        <v>0.135209</v>
      </c>
      <c r="Z6694">
        <v>-1.8327119999999999E-2</v>
      </c>
      <c r="AA6694">
        <v>0.99064759999999996</v>
      </c>
      <c r="AB6694">
        <v>28</v>
      </c>
      <c r="AC6694">
        <v>0.56399999999999295</v>
      </c>
      <c r="AD6694">
        <v>-0.17163129999999899</v>
      </c>
      <c r="AE6694">
        <v>-9.4420000000006596E-2</v>
      </c>
      <c r="AF6694">
        <v>9.1558831168331398E-2</v>
      </c>
      <c r="AG6694">
        <v>-0.17163129999999899</v>
      </c>
      <c r="AH6694">
        <v>0.51654147735552602</v>
      </c>
      <c r="AI6694">
        <v>108.116554931184</v>
      </c>
      <c r="AJ6694">
        <v>79.948518261784898</v>
      </c>
      <c r="AK6694">
        <v>0.55195599510579596</v>
      </c>
      <c r="AL6694">
        <v>90.678996048656998</v>
      </c>
      <c r="AM6694">
        <v>87.483984671643498</v>
      </c>
      <c r="AN6694">
        <v>1.00000006123935</v>
      </c>
    </row>
    <row r="6695" spans="1:40" x14ac:dyDescent="0.25">
      <c r="A6695" t="str">
        <f>"20190312155007485"</f>
        <v>20190312155007485</v>
      </c>
      <c r="B6695" t="str">
        <f>"1552377007472524"</f>
        <v>1552377007472524</v>
      </c>
      <c r="C6695" t="s">
        <v>40</v>
      </c>
      <c r="D6695">
        <v>4.4891379999999996</v>
      </c>
      <c r="E6695">
        <v>0.53911419999999999</v>
      </c>
      <c r="F6695" t="s">
        <v>41</v>
      </c>
      <c r="G6695">
        <v>-239.27529999999999</v>
      </c>
      <c r="H6695">
        <v>0.91416050000000004</v>
      </c>
      <c r="I6695">
        <v>-61.754930000000002</v>
      </c>
      <c r="J6695">
        <v>-239.94239999999999</v>
      </c>
      <c r="K6695">
        <v>1.1084270000000001</v>
      </c>
      <c r="L6695">
        <v>-61.64828</v>
      </c>
      <c r="M6695">
        <v>0.99995179999999995</v>
      </c>
      <c r="N6695">
        <v>0</v>
      </c>
      <c r="O6695">
        <v>9.6345449999999996E-3</v>
      </c>
      <c r="P6695">
        <v>0.99931829999999999</v>
      </c>
      <c r="Q6695">
        <v>-1.3885979999999999E-2</v>
      </c>
      <c r="R6695">
        <v>-3.4210310000000001E-2</v>
      </c>
      <c r="S6695">
        <v>2.9786830000000002</v>
      </c>
      <c r="T6695">
        <v>-0.71983189999999997</v>
      </c>
      <c r="U6695">
        <v>-0.3893433</v>
      </c>
      <c r="V6695">
        <v>4.3839639999999999E-2</v>
      </c>
      <c r="W6695">
        <v>-1.19428E-2</v>
      </c>
      <c r="X6695">
        <v>0.99896719999999894</v>
      </c>
      <c r="Y6695">
        <v>0.13505729999999999</v>
      </c>
      <c r="Z6695">
        <v>-1.8308459999999999E-2</v>
      </c>
      <c r="AA6695">
        <v>0.99066869999999996</v>
      </c>
      <c r="AB6695">
        <v>28</v>
      </c>
      <c r="AC6695">
        <v>0.66710000000000402</v>
      </c>
      <c r="AD6695">
        <v>-0.19426650000000001</v>
      </c>
      <c r="AE6695">
        <v>-0.106649999999994</v>
      </c>
      <c r="AF6695">
        <v>0.10443641147204701</v>
      </c>
      <c r="AG6695">
        <v>-0.19426650000000001</v>
      </c>
      <c r="AH6695">
        <v>0.61517282295834097</v>
      </c>
      <c r="AI6695">
        <v>107.293302454458</v>
      </c>
      <c r="AJ6695">
        <v>80.364896914816498</v>
      </c>
      <c r="AK6695">
        <v>0.65351667091968202</v>
      </c>
      <c r="AL6695">
        <v>90.684288299127104</v>
      </c>
      <c r="AM6695">
        <v>87.487189061247804</v>
      </c>
      <c r="AN6695">
        <v>1.0000000055914999</v>
      </c>
    </row>
    <row r="6696" spans="1:40" x14ac:dyDescent="0.25">
      <c r="A6696" t="str">
        <f>"20190312155007495"</f>
        <v>20190312155007495</v>
      </c>
      <c r="B6696" t="str">
        <f>"1552377007492044"</f>
        <v>1552377007492044</v>
      </c>
      <c r="C6696" t="s">
        <v>40</v>
      </c>
      <c r="D6696">
        <v>4.5143230000000001</v>
      </c>
      <c r="E6696">
        <v>0.50831170000000003</v>
      </c>
      <c r="F6696" t="s">
        <v>41</v>
      </c>
      <c r="G6696">
        <v>-239.0342</v>
      </c>
      <c r="H6696">
        <v>0.88869629999999999</v>
      </c>
      <c r="I6696">
        <v>-61.766860000000001</v>
      </c>
      <c r="J6696">
        <v>-239.8023</v>
      </c>
      <c r="K6696">
        <v>1.1084210000000001</v>
      </c>
      <c r="L6696">
        <v>-61.646850000000001</v>
      </c>
      <c r="M6696">
        <v>0.99995109999999998</v>
      </c>
      <c r="N6696">
        <v>0</v>
      </c>
      <c r="O6696">
        <v>9.7127289999999998E-3</v>
      </c>
      <c r="P6696">
        <v>0.99931789999999998</v>
      </c>
      <c r="Q6696">
        <v>-1.392345E-2</v>
      </c>
      <c r="R6696">
        <v>-3.4202879999999998E-2</v>
      </c>
      <c r="S6696">
        <v>2.978729</v>
      </c>
      <c r="T6696">
        <v>-0.72066569999999996</v>
      </c>
      <c r="U6696">
        <v>-0.38891599999999998</v>
      </c>
      <c r="V6696">
        <v>4.3910270000000001E-2</v>
      </c>
      <c r="W6696">
        <v>-1.2028769999999999E-2</v>
      </c>
      <c r="X6696">
        <v>0.99896309999999999</v>
      </c>
      <c r="Y6696">
        <v>0.13498360000000001</v>
      </c>
      <c r="Z6696">
        <v>-1.8338799999999999E-2</v>
      </c>
      <c r="AA6696">
        <v>0.99067810000000001</v>
      </c>
      <c r="AB6696">
        <v>28</v>
      </c>
      <c r="AC6696">
        <v>0.768100000000004</v>
      </c>
      <c r="AD6696">
        <v>-0.219724699999999</v>
      </c>
      <c r="AE6696">
        <v>-0.12001000000000001</v>
      </c>
      <c r="AF6696">
        <v>0.11803579148347</v>
      </c>
      <c r="AG6696">
        <v>-0.219724699999999</v>
      </c>
      <c r="AH6696">
        <v>0.71016861744499904</v>
      </c>
      <c r="AI6696">
        <v>106.97276063933199</v>
      </c>
      <c r="AJ6696">
        <v>80.563242350014406</v>
      </c>
      <c r="AK6696">
        <v>0.75269572674817298</v>
      </c>
      <c r="AL6696">
        <v>90.689214347992404</v>
      </c>
      <c r="AM6696">
        <v>87.483135559236999</v>
      </c>
      <c r="AN6696">
        <v>1.00000003914039</v>
      </c>
    </row>
    <row r="6697" spans="1:40" x14ac:dyDescent="0.25">
      <c r="A6697" t="str">
        <f>"20190312155007506"</f>
        <v>20190312155007506</v>
      </c>
      <c r="B6697" t="str">
        <f>"1552377007502781"</f>
        <v>1552377007502781</v>
      </c>
      <c r="C6697" t="s">
        <v>40</v>
      </c>
      <c r="D6697">
        <v>4.4802010000000001</v>
      </c>
      <c r="E6697">
        <v>0.50831170000000003</v>
      </c>
      <c r="F6697" t="s">
        <v>41</v>
      </c>
      <c r="G6697">
        <v>-239.00020000000001</v>
      </c>
      <c r="H6697">
        <v>0.96989320000000001</v>
      </c>
      <c r="I6697">
        <v>-61.687359999999998</v>
      </c>
      <c r="J6697">
        <v>-239.66849999999999</v>
      </c>
      <c r="K6697">
        <v>1.1084149999999999</v>
      </c>
      <c r="L6697">
        <v>-61.645479999999999</v>
      </c>
      <c r="M6697">
        <v>0.99995049999999996</v>
      </c>
      <c r="N6697">
        <v>0</v>
      </c>
      <c r="O6697">
        <v>9.7872730000000008E-3</v>
      </c>
      <c r="P6697">
        <v>0.99932399999999999</v>
      </c>
      <c r="Q6697">
        <v>-1.3974439999999999E-2</v>
      </c>
      <c r="R6697">
        <v>-3.4009940000000002E-2</v>
      </c>
      <c r="S6697">
        <v>2.9896850000000001</v>
      </c>
      <c r="T6697">
        <v>-0.51631709999999997</v>
      </c>
      <c r="U6697">
        <v>-0.151001</v>
      </c>
      <c r="V6697">
        <v>4.3791799999999999E-2</v>
      </c>
      <c r="W6697">
        <v>-1.2124950000000001E-2</v>
      </c>
      <c r="X6697">
        <v>0.9989671</v>
      </c>
      <c r="Y6697">
        <v>5.9196720000000001E-2</v>
      </c>
      <c r="Z6697">
        <v>-6.7477839999999997E-3</v>
      </c>
      <c r="AA6697">
        <v>0.99822350000000004</v>
      </c>
      <c r="AB6697">
        <v>28</v>
      </c>
      <c r="AC6697">
        <v>0.66829999999998702</v>
      </c>
      <c r="AD6697">
        <v>-0.1385218</v>
      </c>
      <c r="AE6697">
        <v>-4.1879999999991903E-2</v>
      </c>
      <c r="AF6697">
        <v>4.6431798855144299E-2</v>
      </c>
      <c r="AG6697">
        <v>-0.1385218</v>
      </c>
      <c r="AH6697">
        <v>0.64045015286903095</v>
      </c>
      <c r="AI6697">
        <v>102.17341424691701</v>
      </c>
      <c r="AJ6697">
        <v>85.853385682261006</v>
      </c>
      <c r="AK6697">
        <v>0.65690227532725898</v>
      </c>
      <c r="AL6697">
        <v>90.694725483902602</v>
      </c>
      <c r="AM6697">
        <v>87.489927405776498</v>
      </c>
      <c r="AN6697">
        <v>1.0000000015210699</v>
      </c>
    </row>
    <row r="6698" spans="1:40" x14ac:dyDescent="0.25">
      <c r="A6698" t="str">
        <f>"20190312155007518"</f>
        <v>20190312155007518</v>
      </c>
      <c r="B6698" t="str">
        <f>"1552377007512541"</f>
        <v>1552377007512541</v>
      </c>
      <c r="C6698" t="s">
        <v>40</v>
      </c>
      <c r="D6698">
        <v>4.4558920000000004</v>
      </c>
      <c r="E6698">
        <v>0.47330139999999998</v>
      </c>
      <c r="F6698" t="s">
        <v>41</v>
      </c>
      <c r="G6698">
        <v>-238.7567</v>
      </c>
      <c r="H6698">
        <v>0.95091150000000002</v>
      </c>
      <c r="I6698">
        <v>-61.69153</v>
      </c>
      <c r="J6698">
        <v>-239.51730000000001</v>
      </c>
      <c r="K6698">
        <v>1.108406</v>
      </c>
      <c r="L6698">
        <v>-61.643920000000001</v>
      </c>
      <c r="M6698">
        <v>0.99994970000000005</v>
      </c>
      <c r="N6698">
        <v>0</v>
      </c>
      <c r="O6698">
        <v>9.8713519999999999E-3</v>
      </c>
      <c r="P6698">
        <v>0.99932480000000001</v>
      </c>
      <c r="Q6698">
        <v>-1.384283E-2</v>
      </c>
      <c r="R6698">
        <v>-3.4035299999999998E-2</v>
      </c>
      <c r="S6698">
        <v>2.9896699999999998</v>
      </c>
      <c r="T6698">
        <v>-0.51646380000000003</v>
      </c>
      <c r="U6698">
        <v>-0.1505127</v>
      </c>
      <c r="V6698">
        <v>4.3901309999999999E-2</v>
      </c>
      <c r="W6698">
        <v>-1.203857E-2</v>
      </c>
      <c r="X6698">
        <v>0.99896339999999995</v>
      </c>
      <c r="Y6698">
        <v>5.9117620000000003E-2</v>
      </c>
      <c r="Z6698">
        <v>-6.7573659999999999E-3</v>
      </c>
      <c r="AA6698">
        <v>0.99822809999999995</v>
      </c>
      <c r="AB6698">
        <v>28</v>
      </c>
      <c r="AC6698">
        <v>0.76060000000001005</v>
      </c>
      <c r="AD6698">
        <v>-0.15749449999999901</v>
      </c>
      <c r="AE6698">
        <v>-4.7610000000013003E-2</v>
      </c>
      <c r="AF6698">
        <v>5.2858314511148599E-2</v>
      </c>
      <c r="AG6698">
        <v>-0.15749449999999901</v>
      </c>
      <c r="AH6698">
        <v>0.72895979134548705</v>
      </c>
      <c r="AI6698">
        <v>102.16060142959201</v>
      </c>
      <c r="AJ6698">
        <v>85.852628618226305</v>
      </c>
      <c r="AK6698">
        <v>0.74765025001110397</v>
      </c>
      <c r="AL6698">
        <v>90.689775870559899</v>
      </c>
      <c r="AM6698">
        <v>87.483649226200896</v>
      </c>
      <c r="AN6698">
        <v>1.00000006336345</v>
      </c>
    </row>
    <row r="6699" spans="1:40" x14ac:dyDescent="0.25">
      <c r="A6699" t="str">
        <f>"20190312155007529"</f>
        <v>20190312155007529</v>
      </c>
      <c r="B6699" t="str">
        <f>"1552377007522301"</f>
        <v>1552377007522301</v>
      </c>
      <c r="C6699" t="s">
        <v>40</v>
      </c>
      <c r="D6699">
        <v>4.5334180000000002</v>
      </c>
      <c r="E6699">
        <v>0.46576709999999899</v>
      </c>
      <c r="F6699" t="s">
        <v>75</v>
      </c>
      <c r="G6699">
        <v>-221.8081</v>
      </c>
      <c r="H6699" s="1">
        <v>-2.141991E-8</v>
      </c>
      <c r="I6699">
        <v>-60.957979999999999</v>
      </c>
      <c r="J6699">
        <v>-239.39019999999999</v>
      </c>
      <c r="K6699">
        <v>1.108401</v>
      </c>
      <c r="L6699">
        <v>-61.642609999999998</v>
      </c>
      <c r="M6699">
        <v>0.99994910000000004</v>
      </c>
      <c r="N6699">
        <v>0</v>
      </c>
      <c r="O6699">
        <v>9.9420129999999995E-3</v>
      </c>
      <c r="P6699">
        <v>0.99932180000000004</v>
      </c>
      <c r="Q6699">
        <v>-1.3780840000000001E-2</v>
      </c>
      <c r="R6699">
        <v>-3.4154339999999998E-2</v>
      </c>
      <c r="S6699">
        <v>3.003403</v>
      </c>
      <c r="T6699">
        <v>-0.1879808</v>
      </c>
      <c r="U6699">
        <v>0.11633300000000001</v>
      </c>
      <c r="V6699">
        <v>4.4090890000000001E-2</v>
      </c>
      <c r="W6699">
        <v>-1.2012419999999999E-2</v>
      </c>
      <c r="X6699">
        <v>0.99895529999999999</v>
      </c>
      <c r="Y6699">
        <v>-2.873152E-2</v>
      </c>
      <c r="Z6699">
        <v>2.765415E-4</v>
      </c>
      <c r="AA6699">
        <v>0.99958709999999995</v>
      </c>
      <c r="AB6699">
        <v>28</v>
      </c>
      <c r="AC6699">
        <v>17.582099999999901</v>
      </c>
      <c r="AD6699">
        <v>-1.1084010214199</v>
      </c>
      <c r="AE6699">
        <v>0.68462999999999097</v>
      </c>
      <c r="AF6699">
        <v>-0.50777946433960697</v>
      </c>
      <c r="AG6699">
        <v>-1.1084010214199</v>
      </c>
      <c r="AH6699">
        <v>17.518520527432202</v>
      </c>
      <c r="AI6699">
        <v>93.618776325223806</v>
      </c>
      <c r="AJ6699">
        <v>91.660270149380395</v>
      </c>
      <c r="AK6699">
        <v>17.5608927528971</v>
      </c>
      <c r="AL6699">
        <v>90.688277522590298</v>
      </c>
      <c r="AM6699">
        <v>87.4727764058497</v>
      </c>
      <c r="AN6699">
        <v>0.99999999810666895</v>
      </c>
    </row>
    <row r="6700" spans="1:40" x14ac:dyDescent="0.25">
      <c r="A6700" t="str">
        <f>"20190312155007539"</f>
        <v>20190312155007539</v>
      </c>
      <c r="B6700" t="str">
        <f>"1552377007532060"</f>
        <v>1552377007532060</v>
      </c>
      <c r="C6700" t="s">
        <v>40</v>
      </c>
      <c r="D6700">
        <v>4.508273</v>
      </c>
      <c r="E6700">
        <v>0.4622387</v>
      </c>
      <c r="F6700" t="s">
        <v>76</v>
      </c>
      <c r="G6700">
        <v>-219.3775</v>
      </c>
      <c r="H6700" s="1">
        <v>-3.0165089999999999E-6</v>
      </c>
      <c r="I6700">
        <v>-60.476030000000002</v>
      </c>
      <c r="J6700">
        <v>-239.24770000000001</v>
      </c>
      <c r="K6700">
        <v>1.1083940000000001</v>
      </c>
      <c r="L6700">
        <v>-61.641080000000002</v>
      </c>
      <c r="M6700">
        <v>0.99994830000000001</v>
      </c>
      <c r="N6700">
        <v>0</v>
      </c>
      <c r="O6700">
        <v>1.002138E-2</v>
      </c>
      <c r="P6700">
        <v>0.99933530000000004</v>
      </c>
      <c r="Q6700">
        <v>-1.3649720000000001E-2</v>
      </c>
      <c r="R6700">
        <v>-3.3805710000000003E-2</v>
      </c>
      <c r="S6700">
        <v>3.0057529999999999</v>
      </c>
      <c r="T6700">
        <v>-0.16647339999999999</v>
      </c>
      <c r="U6700">
        <v>0.17520139999999901</v>
      </c>
      <c r="V6700">
        <v>4.382167E-2</v>
      </c>
      <c r="W6700">
        <v>-1.1917789999999999E-2</v>
      </c>
      <c r="X6700">
        <v>0.99896830000000003</v>
      </c>
      <c r="Y6700">
        <v>-4.8124409999999999E-2</v>
      </c>
      <c r="Z6700">
        <v>7.7644399999999896E-4</v>
      </c>
      <c r="AA6700">
        <v>0.99884099999999998</v>
      </c>
      <c r="AB6700">
        <v>28</v>
      </c>
      <c r="AC6700">
        <v>19.870200000000001</v>
      </c>
      <c r="AD6700">
        <v>-1.108397016509</v>
      </c>
      <c r="AE6700">
        <v>1.1650499999999999</v>
      </c>
      <c r="AF6700">
        <v>-0.96287853104531196</v>
      </c>
      <c r="AG6700">
        <v>-1.108397016509</v>
      </c>
      <c r="AH6700">
        <v>19.819418470242699</v>
      </c>
      <c r="AI6700">
        <v>93.197157733949396</v>
      </c>
      <c r="AJ6700">
        <v>92.781390030591993</v>
      </c>
      <c r="AK6700">
        <v>19.873727066414901</v>
      </c>
      <c r="AL6700">
        <v>90.682855220924296</v>
      </c>
      <c r="AM6700">
        <v>87.488220512822295</v>
      </c>
      <c r="AN6700">
        <v>1.00000001844248</v>
      </c>
    </row>
    <row r="6701" spans="1:40" x14ac:dyDescent="0.25">
      <c r="A6701" t="str">
        <f>"20190312155007551"</f>
        <v>20190312155007551</v>
      </c>
      <c r="B6701" t="str">
        <f>"1552377007542796"</f>
        <v>1552377007542796</v>
      </c>
      <c r="C6701" t="s">
        <v>40</v>
      </c>
      <c r="D6701">
        <v>4.4729109999999999</v>
      </c>
      <c r="E6701">
        <v>0.46053270000000002</v>
      </c>
      <c r="F6701" t="s">
        <v>76</v>
      </c>
      <c r="G6701">
        <v>-213.0273</v>
      </c>
      <c r="H6701" s="1">
        <v>-3.5862589999999998E-7</v>
      </c>
      <c r="I6701">
        <v>-59.871229999999997</v>
      </c>
      <c r="J6701">
        <v>-239.1028</v>
      </c>
      <c r="K6701">
        <v>1.10839</v>
      </c>
      <c r="L6701">
        <v>-61.639589999999998</v>
      </c>
      <c r="M6701">
        <v>0.99994760000000005</v>
      </c>
      <c r="N6701">
        <v>0</v>
      </c>
      <c r="O6701">
        <v>1.010175E-2</v>
      </c>
      <c r="P6701">
        <v>0.99933059999999996</v>
      </c>
      <c r="Q6701">
        <v>-1.390895E-2</v>
      </c>
      <c r="R6701">
        <v>-3.3838279999999998E-2</v>
      </c>
      <c r="S6701">
        <v>3.0071409999999998</v>
      </c>
      <c r="T6701">
        <v>-0.12711829999999999</v>
      </c>
      <c r="U6701">
        <v>0.2029724</v>
      </c>
      <c r="V6701">
        <v>4.3934550000000003E-2</v>
      </c>
      <c r="W6701">
        <v>-1.2209019999999999E-2</v>
      </c>
      <c r="X6701">
        <v>0.99895979999999995</v>
      </c>
      <c r="Y6701">
        <v>-5.721942E-2</v>
      </c>
      <c r="Z6701">
        <v>7.8117589999999895E-4</v>
      </c>
      <c r="AA6701">
        <v>0.99836130000000001</v>
      </c>
      <c r="AB6701">
        <v>28</v>
      </c>
      <c r="AC6701">
        <v>26.075500000000002</v>
      </c>
      <c r="AD6701">
        <v>-1.1083903586258901</v>
      </c>
      <c r="AE6701">
        <v>1.7683599999999999</v>
      </c>
      <c r="AF6701">
        <v>-1.50215948716127</v>
      </c>
      <c r="AG6701">
        <v>-1.1083903586258901</v>
      </c>
      <c r="AH6701">
        <v>26.045188975464299</v>
      </c>
      <c r="AI6701">
        <v>92.432795656706006</v>
      </c>
      <c r="AJ6701">
        <v>93.3008843501364</v>
      </c>
      <c r="AK6701">
        <v>26.1120064544954</v>
      </c>
      <c r="AL6701">
        <v>90.699542702309998</v>
      </c>
      <c r="AM6701">
        <v>87.481737352486405</v>
      </c>
      <c r="AN6701">
        <v>0.99999999343455104</v>
      </c>
    </row>
    <row r="6702" spans="1:40" x14ac:dyDescent="0.25">
      <c r="A6702" t="str">
        <f>"20190312155007563"</f>
        <v>20190312155007563</v>
      </c>
      <c r="B6702" t="str">
        <f>"1552377007552557"</f>
        <v>1552377007552557</v>
      </c>
      <c r="C6702" t="s">
        <v>40</v>
      </c>
      <c r="D6702">
        <v>4.4998040000000001</v>
      </c>
      <c r="E6702">
        <v>0.4597193</v>
      </c>
      <c r="F6702" t="s">
        <v>76</v>
      </c>
      <c r="G6702">
        <v>-210.64590000000001</v>
      </c>
      <c r="H6702" s="1">
        <v>5.9757409999999997E-7</v>
      </c>
      <c r="I6702">
        <v>-59.59498</v>
      </c>
      <c r="J6702">
        <v>-238.9547</v>
      </c>
      <c r="K6702">
        <v>1.108385</v>
      </c>
      <c r="L6702">
        <v>-61.638030000000001</v>
      </c>
      <c r="M6702">
        <v>0.99994689999999997</v>
      </c>
      <c r="N6702">
        <v>0</v>
      </c>
      <c r="O6702">
        <v>1.018379E-2</v>
      </c>
      <c r="P6702">
        <v>0.99932989999999999</v>
      </c>
      <c r="Q6702">
        <v>-1.3967790000000001E-2</v>
      </c>
      <c r="R6702">
        <v>-3.383568E-2</v>
      </c>
      <c r="S6702">
        <v>3.0077060000000002</v>
      </c>
      <c r="T6702">
        <v>-0.11714910000000001</v>
      </c>
      <c r="U6702">
        <v>0.21609500000000001</v>
      </c>
      <c r="V6702">
        <v>4.4013999999999998E-2</v>
      </c>
      <c r="W6702">
        <v>-1.229681E-2</v>
      </c>
      <c r="X6702">
        <v>0.99895520000000004</v>
      </c>
      <c r="Y6702">
        <v>-6.1462379999999997E-2</v>
      </c>
      <c r="Z6702">
        <v>7.9902330000000004E-4</v>
      </c>
      <c r="AA6702">
        <v>0.99810909999999997</v>
      </c>
      <c r="AB6702">
        <v>28</v>
      </c>
      <c r="AC6702">
        <v>28.308799999999898</v>
      </c>
      <c r="AD6702">
        <v>-1.1083844024259</v>
      </c>
      <c r="AE6702">
        <v>2.04305</v>
      </c>
      <c r="AF6702">
        <v>-1.7519809780398801</v>
      </c>
      <c r="AG6702">
        <v>-1.1083844024259</v>
      </c>
      <c r="AH6702">
        <v>28.2850022208812</v>
      </c>
      <c r="AI6702">
        <v>92.239773018116693</v>
      </c>
      <c r="AJ6702">
        <v>93.544388497536403</v>
      </c>
      <c r="AK6702">
        <v>28.360876290520601</v>
      </c>
      <c r="AL6702">
        <v>90.704573094611405</v>
      </c>
      <c r="AM6702">
        <v>87.477177673781</v>
      </c>
      <c r="AN6702">
        <v>0.99999996766960697</v>
      </c>
    </row>
    <row r="6703" spans="1:40" x14ac:dyDescent="0.25">
      <c r="A6703" t="str">
        <f>"20190312155007574"</f>
        <v>20190312155007574</v>
      </c>
      <c r="B6703" t="str">
        <f>"1552377007562316"</f>
        <v>1552377007562316</v>
      </c>
      <c r="C6703" t="s">
        <v>40</v>
      </c>
      <c r="D6703">
        <v>4.5804460000000002</v>
      </c>
      <c r="E6703">
        <v>0.45863759999999998</v>
      </c>
      <c r="F6703" t="s">
        <v>65</v>
      </c>
      <c r="G6703">
        <v>-209.59129999999999</v>
      </c>
      <c r="H6703" s="1">
        <v>-4.7539090000000001E-7</v>
      </c>
      <c r="I6703">
        <v>-59.466560000000001</v>
      </c>
      <c r="J6703">
        <v>-238.81200000000001</v>
      </c>
      <c r="K6703">
        <v>1.108385</v>
      </c>
      <c r="L6703">
        <v>-61.636470000000003</v>
      </c>
      <c r="M6703">
        <v>0.99994609999999995</v>
      </c>
      <c r="N6703">
        <v>0</v>
      </c>
      <c r="O6703">
        <v>1.026266E-2</v>
      </c>
      <c r="P6703">
        <v>0.99933479999999997</v>
      </c>
      <c r="Q6703">
        <v>-1.4249049999999999E-2</v>
      </c>
      <c r="R6703">
        <v>-3.3575069999999999E-2</v>
      </c>
      <c r="S6703">
        <v>3.0079500000000001</v>
      </c>
      <c r="T6703">
        <v>-0.1135417</v>
      </c>
      <c r="U6703">
        <v>0.22244259999999999</v>
      </c>
      <c r="V6703">
        <v>4.3832240000000001E-2</v>
      </c>
      <c r="W6703">
        <v>-1.259792E-2</v>
      </c>
      <c r="X6703">
        <v>0.9989595</v>
      </c>
      <c r="Y6703">
        <v>-6.34739E-2</v>
      </c>
      <c r="Z6703">
        <v>8.0924359999999995E-4</v>
      </c>
      <c r="AA6703">
        <v>0.99798319999999996</v>
      </c>
      <c r="AB6703">
        <v>28</v>
      </c>
      <c r="AC6703">
        <v>29.220700000000001</v>
      </c>
      <c r="AD6703">
        <v>-1.1083854753908999</v>
      </c>
      <c r="AE6703">
        <v>2.16990999999999</v>
      </c>
      <c r="AF6703">
        <v>-1.86724139365232</v>
      </c>
      <c r="AG6703">
        <v>-1.1083854753908999</v>
      </c>
      <c r="AH6703">
        <v>29.1996481897169</v>
      </c>
      <c r="AI6703">
        <v>92.169412145100495</v>
      </c>
      <c r="AJ6703">
        <v>93.658933732117006</v>
      </c>
      <c r="AK6703">
        <v>29.280276009413999</v>
      </c>
      <c r="AL6703">
        <v>90.721826720703405</v>
      </c>
      <c r="AM6703">
        <v>87.487593331955296</v>
      </c>
      <c r="AN6703">
        <v>1.00000002774599</v>
      </c>
    </row>
    <row r="6704" spans="1:40" x14ac:dyDescent="0.25">
      <c r="A6704" t="str">
        <f>"20190312155007585"</f>
        <v>20190312155007585</v>
      </c>
      <c r="B6704" t="str">
        <f>"1552377007582813"</f>
        <v>1552377007582813</v>
      </c>
      <c r="C6704" t="s">
        <v>40</v>
      </c>
      <c r="D6704">
        <v>4.5801299999999996</v>
      </c>
      <c r="E6704">
        <v>0.4571809</v>
      </c>
      <c r="F6704" t="s">
        <v>76</v>
      </c>
      <c r="G6704">
        <v>-210.70519999999999</v>
      </c>
      <c r="H6704" s="1">
        <v>5.4362839999999997E-7</v>
      </c>
      <c r="I6704">
        <v>-59.468169999999901</v>
      </c>
      <c r="J6704">
        <v>-238.66589999999999</v>
      </c>
      <c r="K6704">
        <v>1.108374</v>
      </c>
      <c r="L6704">
        <v>-61.634920000000001</v>
      </c>
      <c r="M6704">
        <v>0.99994519999999998</v>
      </c>
      <c r="N6704">
        <v>0</v>
      </c>
      <c r="O6704">
        <v>1.0343669999999999E-2</v>
      </c>
      <c r="P6704">
        <v>0.99933609999999995</v>
      </c>
      <c r="Q6704">
        <v>-1.412917E-2</v>
      </c>
      <c r="R6704">
        <v>-3.3581359999999998E-2</v>
      </c>
      <c r="S6704">
        <v>3.0081180000000001</v>
      </c>
      <c r="T6704">
        <v>-0.1186243</v>
      </c>
      <c r="U6704">
        <v>0.2320557</v>
      </c>
      <c r="V6704">
        <v>4.391954E-2</v>
      </c>
      <c r="W6704">
        <v>-1.2496139999999999E-2</v>
      </c>
      <c r="X6704">
        <v>0.99895690000000004</v>
      </c>
      <c r="Y6704">
        <v>-6.655403E-2</v>
      </c>
      <c r="Z6704">
        <v>9.0272490000000002E-4</v>
      </c>
      <c r="AA6704">
        <v>0.99778239999999996</v>
      </c>
      <c r="AB6704">
        <v>29</v>
      </c>
      <c r="AC6704">
        <v>27.960699999999999</v>
      </c>
      <c r="AD6704">
        <v>-1.1083734563715999</v>
      </c>
      <c r="AE6704">
        <v>2.16675</v>
      </c>
      <c r="AF6704">
        <v>-1.87448953562642</v>
      </c>
      <c r="AG6704">
        <v>-1.1083734563715999</v>
      </c>
      <c r="AH6704">
        <v>27.937977741331299</v>
      </c>
      <c r="AI6704">
        <v>92.266792525264606</v>
      </c>
      <c r="AJ6704">
        <v>93.838488698988797</v>
      </c>
      <c r="AK6704">
        <v>28.0227194078855</v>
      </c>
      <c r="AL6704">
        <v>90.715994728822807</v>
      </c>
      <c r="AM6704">
        <v>87.482589297520505</v>
      </c>
      <c r="AN6704">
        <v>0.99999998378316002</v>
      </c>
    </row>
    <row r="6705" spans="1:40" x14ac:dyDescent="0.25">
      <c r="A6705" t="str">
        <f>"20190312155007596"</f>
        <v>20190312155007596</v>
      </c>
      <c r="B6705" t="str">
        <f>"1552377007592573"</f>
        <v>1552377007592573</v>
      </c>
      <c r="C6705" t="s">
        <v>40</v>
      </c>
      <c r="D6705">
        <v>4.5830390000000003</v>
      </c>
      <c r="E6705">
        <v>0.45688420000000002</v>
      </c>
      <c r="F6705" t="s">
        <v>76</v>
      </c>
      <c r="G6705">
        <v>-211.91130000000001</v>
      </c>
      <c r="H6705" s="1">
        <v>4.8276210000000002E-8</v>
      </c>
      <c r="I6705">
        <v>-59.466099999999997</v>
      </c>
      <c r="J6705">
        <v>-238.52590000000001</v>
      </c>
      <c r="K6705">
        <v>1.1083730000000001</v>
      </c>
      <c r="L6705">
        <v>-61.633420000000001</v>
      </c>
      <c r="M6705">
        <v>0.99994430000000001</v>
      </c>
      <c r="N6705">
        <v>0</v>
      </c>
      <c r="O6705">
        <v>1.042117E-2</v>
      </c>
      <c r="P6705">
        <v>0.99933740000000004</v>
      </c>
      <c r="Q6705">
        <v>-1.4077849999999999E-2</v>
      </c>
      <c r="R6705">
        <v>-3.356481E-2</v>
      </c>
      <c r="S6705">
        <v>3.0084230000000001</v>
      </c>
      <c r="T6705">
        <v>-0.1246309</v>
      </c>
      <c r="U6705">
        <v>0.243866</v>
      </c>
      <c r="V6705">
        <v>4.3980369999999998E-2</v>
      </c>
      <c r="W6705">
        <v>-1.2453469999999999E-2</v>
      </c>
      <c r="X6705">
        <v>0.99895480000000003</v>
      </c>
      <c r="Y6705">
        <v>-7.0353499999999999E-2</v>
      </c>
      <c r="Z6705">
        <v>1.0234930000000001E-3</v>
      </c>
      <c r="AA6705">
        <v>0.99752160000000001</v>
      </c>
      <c r="AB6705">
        <v>29</v>
      </c>
      <c r="AC6705">
        <v>26.614599999999999</v>
      </c>
      <c r="AD6705">
        <v>-1.1083729517237899</v>
      </c>
      <c r="AE6705">
        <v>2.1673199999999899</v>
      </c>
      <c r="AF6705">
        <v>-1.88659622419312</v>
      </c>
      <c r="AG6705">
        <v>-1.1083729517237899</v>
      </c>
      <c r="AH6705">
        <v>26.589928879062398</v>
      </c>
      <c r="AI6705">
        <v>92.3809533349513</v>
      </c>
      <c r="AJ6705">
        <v>94.0584223309083</v>
      </c>
      <c r="AK6705">
        <v>26.6798061032469</v>
      </c>
      <c r="AL6705">
        <v>90.7135496966701</v>
      </c>
      <c r="AM6705">
        <v>87.479101803630499</v>
      </c>
      <c r="AN6705">
        <v>1.0000000271517</v>
      </c>
    </row>
    <row r="6706" spans="1:40" x14ac:dyDescent="0.25">
      <c r="A6706" t="str">
        <f>"20190312155007609"</f>
        <v>20190312155007609</v>
      </c>
      <c r="B6706" t="str">
        <f>"1552377007602332"</f>
        <v>1552377007602332</v>
      </c>
      <c r="C6706" t="s">
        <v>40</v>
      </c>
      <c r="D6706">
        <v>4.5445890000000002</v>
      </c>
      <c r="E6706">
        <v>0.45657809999999999</v>
      </c>
      <c r="F6706" t="s">
        <v>76</v>
      </c>
      <c r="G6706">
        <v>-212.13460000000001</v>
      </c>
      <c r="H6706" s="1">
        <v>-4.6426859999999998E-8</v>
      </c>
      <c r="I6706">
        <v>-59.4724199999999</v>
      </c>
      <c r="J6706">
        <v>-238.3725</v>
      </c>
      <c r="K6706">
        <v>1.108374</v>
      </c>
      <c r="L6706">
        <v>-61.631709999999998</v>
      </c>
      <c r="M6706">
        <v>0.99994349999999999</v>
      </c>
      <c r="N6706">
        <v>0</v>
      </c>
      <c r="O6706">
        <v>1.050587E-2</v>
      </c>
      <c r="P6706">
        <v>0.99934999999999996</v>
      </c>
      <c r="Q6706">
        <v>-1.414256E-2</v>
      </c>
      <c r="R6706">
        <v>-3.3161179999999998E-2</v>
      </c>
      <c r="S6706">
        <v>3.0084840000000002</v>
      </c>
      <c r="T6706">
        <v>-0.1263493</v>
      </c>
      <c r="U6706">
        <v>0.2463379</v>
      </c>
      <c r="V6706">
        <v>4.366167E-2</v>
      </c>
      <c r="W6706">
        <v>-1.252524E-2</v>
      </c>
      <c r="X6706">
        <v>0.99896779999999996</v>
      </c>
      <c r="Y6706">
        <v>-7.1079589999999998E-2</v>
      </c>
      <c r="Z6706">
        <v>1.0492030000000001E-3</v>
      </c>
      <c r="AA6706">
        <v>0.99747010000000003</v>
      </c>
      <c r="AB6706">
        <v>29</v>
      </c>
      <c r="AC6706">
        <v>26.2379</v>
      </c>
      <c r="AD6706">
        <v>-1.1083740464268601</v>
      </c>
      <c r="AE6706">
        <v>2.1592899999999999</v>
      </c>
      <c r="AF6706">
        <v>-1.8801858989183</v>
      </c>
      <c r="AG6706">
        <v>-1.1083740464268601</v>
      </c>
      <c r="AH6706">
        <v>26.2126755922847</v>
      </c>
      <c r="AI6706">
        <v>92.415049184176198</v>
      </c>
      <c r="AJ6706">
        <v>94.102692073496996</v>
      </c>
      <c r="AK6706">
        <v>26.303382933524802</v>
      </c>
      <c r="AL6706">
        <v>90.7176621949029</v>
      </c>
      <c r="AM6706">
        <v>87.497378493328497</v>
      </c>
      <c r="AN6706">
        <v>0.99999994425054095</v>
      </c>
    </row>
    <row r="6707" spans="1:40" x14ac:dyDescent="0.25">
      <c r="A6707" t="str">
        <f>"20190312155007619"</f>
        <v>20190312155007619</v>
      </c>
      <c r="B6707" t="str">
        <f>"1552377007613069"</f>
        <v>1552377007613069</v>
      </c>
      <c r="C6707" t="s">
        <v>40</v>
      </c>
      <c r="D6707">
        <v>4.517423</v>
      </c>
      <c r="E6707">
        <v>0.4564935</v>
      </c>
      <c r="F6707" t="s">
        <v>76</v>
      </c>
      <c r="G6707">
        <v>-212.65530000000001</v>
      </c>
      <c r="H6707" s="1">
        <v>-2.6599070000000001E-7</v>
      </c>
      <c r="I6707">
        <v>-59.493749999999999</v>
      </c>
      <c r="J6707">
        <v>-238.2236</v>
      </c>
      <c r="K6707">
        <v>1.1083689999999999</v>
      </c>
      <c r="L6707">
        <v>-61.630099999999999</v>
      </c>
      <c r="M6707">
        <v>0.99994260000000001</v>
      </c>
      <c r="N6707">
        <v>0</v>
      </c>
      <c r="O6707">
        <v>1.0588190000000001E-2</v>
      </c>
      <c r="P6707">
        <v>0.99935629999999998</v>
      </c>
      <c r="Q6707">
        <v>-1.394595E-2</v>
      </c>
      <c r="R6707">
        <v>-3.3055069999999999E-2</v>
      </c>
      <c r="S6707">
        <v>3.0083920000000002</v>
      </c>
      <c r="T6707">
        <v>-0.1296573</v>
      </c>
      <c r="U6707">
        <v>0.25009160000000002</v>
      </c>
      <c r="V6707">
        <v>4.36379E-2</v>
      </c>
      <c r="W6707">
        <v>-1.232898E-2</v>
      </c>
      <c r="X6707">
        <v>0.99897130000000001</v>
      </c>
      <c r="Y6707">
        <v>-7.2232279999999996E-2</v>
      </c>
      <c r="Z6707">
        <v>1.097872E-3</v>
      </c>
      <c r="AA6707">
        <v>0.99738720000000003</v>
      </c>
      <c r="AB6707">
        <v>29</v>
      </c>
      <c r="AC6707">
        <v>25.568299999999901</v>
      </c>
      <c r="AD6707">
        <v>-1.1083692659907001</v>
      </c>
      <c r="AE6707">
        <v>2.1363500000000002</v>
      </c>
      <c r="AF6707">
        <v>-1.86203305037533</v>
      </c>
      <c r="AG6707">
        <v>-1.1083692659907001</v>
      </c>
      <c r="AH6707">
        <v>25.5418222676733</v>
      </c>
      <c r="AI6707">
        <v>92.478182535227702</v>
      </c>
      <c r="AJ6707">
        <v>94.1695629725141</v>
      </c>
      <c r="AK6707">
        <v>25.63357825712</v>
      </c>
      <c r="AL6707">
        <v>90.706416442126397</v>
      </c>
      <c r="AM6707">
        <v>87.498747975568094</v>
      </c>
      <c r="AN6707">
        <v>0.99999996414396897</v>
      </c>
    </row>
    <row r="6708" spans="1:40" x14ac:dyDescent="0.25">
      <c r="A6708" t="str">
        <f>"20190312155007631"</f>
        <v>20190312155007631</v>
      </c>
      <c r="B6708" t="str">
        <f>"1552377007622829"</f>
        <v>1552377007622829</v>
      </c>
      <c r="C6708" t="s">
        <v>40</v>
      </c>
      <c r="D6708">
        <v>4.5002060000000004</v>
      </c>
      <c r="E6708">
        <v>0.45627529999999999</v>
      </c>
      <c r="F6708" t="s">
        <v>76</v>
      </c>
      <c r="G6708">
        <v>-212.17089999999999</v>
      </c>
      <c r="H6708" s="1">
        <v>-6.4841519999999998E-8</v>
      </c>
      <c r="I6708">
        <v>-59.4563699999999</v>
      </c>
      <c r="J6708">
        <v>-238.08090000000001</v>
      </c>
      <c r="K6708">
        <v>1.1083700000000001</v>
      </c>
      <c r="L6708">
        <v>-61.628509999999999</v>
      </c>
      <c r="M6708">
        <v>0.99994179999999999</v>
      </c>
      <c r="N6708">
        <v>0</v>
      </c>
      <c r="O6708">
        <v>1.066698E-2</v>
      </c>
      <c r="P6708">
        <v>0.99935569999999896</v>
      </c>
      <c r="Q6708">
        <v>-1.404386E-2</v>
      </c>
      <c r="R6708">
        <v>-3.3034889999999997E-2</v>
      </c>
      <c r="S6708">
        <v>3.0084689999999998</v>
      </c>
      <c r="T6708">
        <v>-0.12799050000000001</v>
      </c>
      <c r="U6708">
        <v>0.25100709999999998</v>
      </c>
      <c r="V6708">
        <v>4.3696279999999997E-2</v>
      </c>
      <c r="W6708">
        <v>-1.2423200000000001E-2</v>
      </c>
      <c r="X6708">
        <v>0.99896759999999996</v>
      </c>
      <c r="Y6708">
        <v>-7.2454359999999995E-2</v>
      </c>
      <c r="Z6708">
        <v>1.0851000000000001E-3</v>
      </c>
      <c r="AA6708">
        <v>0.99737109999999995</v>
      </c>
      <c r="AB6708">
        <v>29</v>
      </c>
      <c r="AC6708">
        <v>25.91</v>
      </c>
      <c r="AD6708">
        <v>-1.10837006484152</v>
      </c>
      <c r="AE6708">
        <v>2.1721400000000002</v>
      </c>
      <c r="AF6708">
        <v>-1.8921961825029701</v>
      </c>
      <c r="AG6708">
        <v>-1.10837006484152</v>
      </c>
      <c r="AH6708">
        <v>25.8846595158691</v>
      </c>
      <c r="AI6708">
        <v>92.445365943631003</v>
      </c>
      <c r="AJ6708">
        <v>94.180945764192501</v>
      </c>
      <c r="AK6708">
        <v>25.977384180209299</v>
      </c>
      <c r="AL6708">
        <v>90.711815250497494</v>
      </c>
      <c r="AM6708">
        <v>87.495396724408906</v>
      </c>
      <c r="AN6708">
        <v>0.99999998331691897</v>
      </c>
    </row>
    <row r="6709" spans="1:40" x14ac:dyDescent="0.25">
      <c r="A6709" t="str">
        <f>"20190312155007641"</f>
        <v>20190312155007641</v>
      </c>
      <c r="B6709" t="str">
        <f>"1552377007632588"</f>
        <v>1552377007632588</v>
      </c>
      <c r="C6709" t="s">
        <v>40</v>
      </c>
      <c r="D6709">
        <v>4.531606</v>
      </c>
      <c r="E6709">
        <v>0.45623449999999999</v>
      </c>
      <c r="F6709" t="s">
        <v>76</v>
      </c>
      <c r="G6709">
        <v>-211.80240000000001</v>
      </c>
      <c r="H6709" s="1">
        <v>8.7006009999999896E-8</v>
      </c>
      <c r="I6709">
        <v>-59.421039999999998</v>
      </c>
      <c r="J6709">
        <v>-237.93440000000001</v>
      </c>
      <c r="K6709">
        <v>1.1083689999999999</v>
      </c>
      <c r="L6709">
        <v>-61.626890000000003</v>
      </c>
      <c r="M6709">
        <v>0.99994099999999997</v>
      </c>
      <c r="N6709">
        <v>0</v>
      </c>
      <c r="O6709">
        <v>1.07478E-2</v>
      </c>
      <c r="P6709">
        <v>0.99936409999999998</v>
      </c>
      <c r="Q6709">
        <v>-1.410697E-2</v>
      </c>
      <c r="R6709">
        <v>-3.2753980000000002E-2</v>
      </c>
      <c r="S6709">
        <v>3.0085139999999999</v>
      </c>
      <c r="T6709">
        <v>-0.12689210000000001</v>
      </c>
      <c r="U6709">
        <v>0.2527161</v>
      </c>
      <c r="V6709">
        <v>4.3496350000000003E-2</v>
      </c>
      <c r="W6709">
        <v>-1.2478680000000001E-2</v>
      </c>
      <c r="X6709">
        <v>0.99897559999999996</v>
      </c>
      <c r="Y6709">
        <v>-7.2935680000000003E-2</v>
      </c>
      <c r="Z6709">
        <v>1.0824820000000001E-3</v>
      </c>
      <c r="AA6709">
        <v>0.997336</v>
      </c>
      <c r="AB6709">
        <v>29</v>
      </c>
      <c r="AC6709">
        <v>26.132000000000001</v>
      </c>
      <c r="AD6709">
        <v>-1.10836891299399</v>
      </c>
      <c r="AE6709">
        <v>2.2058499999999901</v>
      </c>
      <c r="AF6709">
        <v>-1.92142860046342</v>
      </c>
      <c r="AG6709">
        <v>-1.10836891299399</v>
      </c>
      <c r="AH6709">
        <v>26.107564315868199</v>
      </c>
      <c r="AI6709">
        <v>92.424422512660001</v>
      </c>
      <c r="AJ6709">
        <v>94.209187264649501</v>
      </c>
      <c r="AK6709">
        <v>26.2016275071066</v>
      </c>
      <c r="AL6709">
        <v>90.714994290890999</v>
      </c>
      <c r="AM6709">
        <v>87.506861850459799</v>
      </c>
      <c r="AN6709">
        <v>0.99999994965661099</v>
      </c>
    </row>
    <row r="6710" spans="1:40" x14ac:dyDescent="0.25">
      <c r="A6710" t="str">
        <f>"20190312155007653"</f>
        <v>20190312155007653</v>
      </c>
      <c r="B6710" t="str">
        <f>"1552377007642349"</f>
        <v>1552377007642349</v>
      </c>
      <c r="C6710" t="s">
        <v>40</v>
      </c>
      <c r="D6710">
        <v>4.5252720000000002</v>
      </c>
      <c r="E6710">
        <v>0.45624890000000001</v>
      </c>
      <c r="F6710" t="s">
        <v>76</v>
      </c>
      <c r="G6710">
        <v>-211.32069999999999</v>
      </c>
      <c r="H6710" s="1">
        <v>2.8654379999999999E-7</v>
      </c>
      <c r="I6710">
        <v>-59.380980000000001</v>
      </c>
      <c r="J6710">
        <v>-237.79230000000001</v>
      </c>
      <c r="K6710">
        <v>1.1083750000000001</v>
      </c>
      <c r="L6710">
        <v>-61.625269999999901</v>
      </c>
      <c r="M6710">
        <v>0.99994019999999995</v>
      </c>
      <c r="N6710">
        <v>0</v>
      </c>
      <c r="O6710">
        <v>1.082612E-2</v>
      </c>
      <c r="P6710">
        <v>0.99936899999999995</v>
      </c>
      <c r="Q6710">
        <v>-1.398955E-2</v>
      </c>
      <c r="R6710">
        <v>-3.2653790000000002E-2</v>
      </c>
      <c r="S6710">
        <v>3.0084689999999998</v>
      </c>
      <c r="T6710">
        <v>-0.12529219999999999</v>
      </c>
      <c r="U6710">
        <v>0.25387569999999998</v>
      </c>
      <c r="V6710">
        <v>4.3474430000000001E-2</v>
      </c>
      <c r="W6710">
        <v>-1.234888E-2</v>
      </c>
      <c r="X6710">
        <v>0.99897820000000004</v>
      </c>
      <c r="Y6710">
        <v>-7.3241749999999994E-2</v>
      </c>
      <c r="Z6710">
        <v>1.071951E-3</v>
      </c>
      <c r="AA6710">
        <v>0.99731360000000002</v>
      </c>
      <c r="AB6710">
        <v>29</v>
      </c>
      <c r="AC6710">
        <v>26.471599999999999</v>
      </c>
      <c r="AD6710">
        <v>-1.1083747134561901</v>
      </c>
      <c r="AE6710">
        <v>2.2442899999999799</v>
      </c>
      <c r="AF6710">
        <v>-1.95417195584434</v>
      </c>
      <c r="AG6710">
        <v>-1.1083747134561901</v>
      </c>
      <c r="AH6710">
        <v>26.448309346102899</v>
      </c>
      <c r="AI6710">
        <v>92.393185876902606</v>
      </c>
      <c r="AJ6710">
        <v>94.225703828433794</v>
      </c>
      <c r="AK6710">
        <v>26.543555711426301</v>
      </c>
      <c r="AL6710">
        <v>90.707556702005505</v>
      </c>
      <c r="AM6710">
        <v>87.508123161449106</v>
      </c>
      <c r="AN6710">
        <v>0.99999998248815902</v>
      </c>
    </row>
    <row r="6711" spans="1:40" x14ac:dyDescent="0.25">
      <c r="A6711" t="str">
        <f>"20190312155007663"</f>
        <v>20190312155007663</v>
      </c>
      <c r="B6711" t="str">
        <f>"1552377007652109"</f>
        <v>1552377007652109</v>
      </c>
      <c r="C6711" t="s">
        <v>40</v>
      </c>
      <c r="D6711">
        <v>4.5904999999999996</v>
      </c>
      <c r="E6711">
        <v>0.4559937</v>
      </c>
      <c r="F6711" t="s">
        <v>76</v>
      </c>
      <c r="G6711">
        <v>-210.75059999999999</v>
      </c>
      <c r="H6711" s="1">
        <v>4.9465920000000002E-7</v>
      </c>
      <c r="I6711">
        <v>-59.34216</v>
      </c>
      <c r="J6711">
        <v>-237.64689999999999</v>
      </c>
      <c r="K6711">
        <v>1.108376</v>
      </c>
      <c r="L6711">
        <v>-61.623660000000001</v>
      </c>
      <c r="M6711">
        <v>0.99993920000000003</v>
      </c>
      <c r="N6711">
        <v>0</v>
      </c>
      <c r="O6711">
        <v>1.0906570000000001E-2</v>
      </c>
      <c r="P6711">
        <v>0.99937399999999998</v>
      </c>
      <c r="Q6711">
        <v>-1.394283E-2</v>
      </c>
      <c r="R6711">
        <v>-3.2519119999999999E-2</v>
      </c>
      <c r="S6711">
        <v>3.0084840000000002</v>
      </c>
      <c r="T6711">
        <v>-0.1233107</v>
      </c>
      <c r="U6711">
        <v>0.2539978</v>
      </c>
      <c r="V6711">
        <v>4.3420149999999998E-2</v>
      </c>
      <c r="W6711">
        <v>-1.2287380000000001E-2</v>
      </c>
      <c r="X6711">
        <v>0.99898140000000002</v>
      </c>
      <c r="Y6711">
        <v>-7.3203030000000002E-2</v>
      </c>
      <c r="Z6711">
        <v>1.050924E-3</v>
      </c>
      <c r="AA6711">
        <v>0.99731650000000005</v>
      </c>
      <c r="AB6711">
        <v>29</v>
      </c>
      <c r="AC6711">
        <v>26.8963</v>
      </c>
      <c r="AD6711">
        <v>-1.1083755053408</v>
      </c>
      <c r="AE6711">
        <v>2.2814999999999999</v>
      </c>
      <c r="AF6711">
        <v>-1.9846712431576801</v>
      </c>
      <c r="AG6711">
        <v>-1.1083755053408</v>
      </c>
      <c r="AH6711">
        <v>26.874271776522999</v>
      </c>
      <c r="AI6711">
        <v>92.355304420232102</v>
      </c>
      <c r="AJ6711">
        <v>94.223639450080199</v>
      </c>
      <c r="AK6711">
        <v>26.970241002309901</v>
      </c>
      <c r="AL6711">
        <v>90.704032687211907</v>
      </c>
      <c r="AM6711">
        <v>87.511238441995104</v>
      </c>
      <c r="AN6711">
        <v>1.00000006333962</v>
      </c>
    </row>
    <row r="6712" spans="1:40" x14ac:dyDescent="0.25">
      <c r="A6712" t="str">
        <f>"20190312155007675"</f>
        <v>20190312155007675</v>
      </c>
      <c r="B6712" t="str">
        <f>"1552377007662845"</f>
        <v>1552377007662845</v>
      </c>
      <c r="C6712" t="s">
        <v>40</v>
      </c>
      <c r="D6712">
        <v>4.5869099999999996</v>
      </c>
      <c r="E6712">
        <v>0.4557774</v>
      </c>
      <c r="F6712" t="s">
        <v>76</v>
      </c>
      <c r="G6712">
        <v>-210.59970000000001</v>
      </c>
      <c r="H6712" s="1">
        <v>5.3962899999999899E-7</v>
      </c>
      <c r="I6712">
        <v>-59.318150000000003</v>
      </c>
      <c r="J6712">
        <v>-237.4957</v>
      </c>
      <c r="K6712">
        <v>1.1083799999999999</v>
      </c>
      <c r="L6712">
        <v>-61.62189</v>
      </c>
      <c r="M6712">
        <v>0.9999382</v>
      </c>
      <c r="N6712">
        <v>0</v>
      </c>
      <c r="O6712">
        <v>1.098989E-2</v>
      </c>
      <c r="P6712">
        <v>0.99938090000000002</v>
      </c>
      <c r="Q6712">
        <v>-1.392492E-2</v>
      </c>
      <c r="R6712">
        <v>-3.2313950000000001E-2</v>
      </c>
      <c r="S6712">
        <v>3.008499</v>
      </c>
      <c r="T6712">
        <v>-0.1232864</v>
      </c>
      <c r="U6712">
        <v>0.25643919999999998</v>
      </c>
      <c r="V6712">
        <v>4.3298320000000001E-2</v>
      </c>
      <c r="W6712">
        <v>-1.224519E-2</v>
      </c>
      <c r="X6712">
        <v>0.99898710000000002</v>
      </c>
      <c r="Y6712">
        <v>-7.392253E-2</v>
      </c>
      <c r="Z6712">
        <v>1.0619799999999999E-3</v>
      </c>
      <c r="AA6712">
        <v>0.99726340000000002</v>
      </c>
      <c r="AB6712">
        <v>29</v>
      </c>
      <c r="AC6712">
        <v>26.895999999999901</v>
      </c>
      <c r="AD6712">
        <v>-1.108379460371</v>
      </c>
      <c r="AE6712">
        <v>2.3037399999999901</v>
      </c>
      <c r="AF6712">
        <v>-2.00463679782152</v>
      </c>
      <c r="AG6712">
        <v>-1.108379460371</v>
      </c>
      <c r="AH6712">
        <v>26.874386591014002</v>
      </c>
      <c r="AI6712">
        <v>92.355173806175998</v>
      </c>
      <c r="AJ6712">
        <v>94.265954520056894</v>
      </c>
      <c r="AK6712">
        <v>26.971832128400699</v>
      </c>
      <c r="AL6712">
        <v>90.701615270756903</v>
      </c>
      <c r="AM6712">
        <v>87.518226908415699</v>
      </c>
      <c r="AN6712">
        <v>0.99999995757968296</v>
      </c>
    </row>
    <row r="6713" spans="1:40" x14ac:dyDescent="0.25">
      <c r="A6713" t="str">
        <f>"20190312155007686"</f>
        <v>20190312155007686</v>
      </c>
      <c r="B6713" t="str">
        <f>"1552377007682365"</f>
        <v>1552377007682365</v>
      </c>
      <c r="C6713" t="s">
        <v>40</v>
      </c>
      <c r="D6713">
        <v>4.6055640000000002</v>
      </c>
      <c r="E6713">
        <v>0.45536159999999998</v>
      </c>
      <c r="F6713" t="s">
        <v>76</v>
      </c>
      <c r="G6713">
        <v>-210.50919999999999</v>
      </c>
      <c r="H6713" s="1">
        <v>5.6573519999999898E-7</v>
      </c>
      <c r="I6713">
        <v>-59.300460000000001</v>
      </c>
      <c r="J6713">
        <v>-237.35499999999999</v>
      </c>
      <c r="K6713">
        <v>1.108379</v>
      </c>
      <c r="L6713">
        <v>-61.6203</v>
      </c>
      <c r="M6713">
        <v>0.99993739999999998</v>
      </c>
      <c r="N6713">
        <v>0</v>
      </c>
      <c r="O6713">
        <v>1.1067530000000001E-2</v>
      </c>
      <c r="P6713">
        <v>0.99938709999999997</v>
      </c>
      <c r="Q6713">
        <v>-1.38878E-2</v>
      </c>
      <c r="R6713">
        <v>-3.2134450000000002E-2</v>
      </c>
      <c r="S6713">
        <v>3.008499</v>
      </c>
      <c r="T6713">
        <v>-0.12356350000000001</v>
      </c>
      <c r="U6713">
        <v>0.25878909999999999</v>
      </c>
      <c r="V6713">
        <v>4.319655E-2</v>
      </c>
      <c r="W6713">
        <v>-1.2183670000000001E-2</v>
      </c>
      <c r="X6713">
        <v>0.99899230000000006</v>
      </c>
      <c r="Y6713">
        <v>-7.4617580000000003E-2</v>
      </c>
      <c r="Z6713">
        <v>1.0753900000000001E-3</v>
      </c>
      <c r="AA6713">
        <v>0.99721159999999998</v>
      </c>
      <c r="AB6713">
        <v>29</v>
      </c>
      <c r="AC6713">
        <v>26.845800000000001</v>
      </c>
      <c r="AD6713">
        <v>-1.1083784342648</v>
      </c>
      <c r="AE6713">
        <v>2.3198399999999899</v>
      </c>
      <c r="AF6713">
        <v>-2.0191644533070798</v>
      </c>
      <c r="AG6713">
        <v>-1.1083784342648</v>
      </c>
      <c r="AH6713">
        <v>26.824444568301299</v>
      </c>
      <c r="AI6713">
        <v>92.359432058138694</v>
      </c>
      <c r="AJ6713">
        <v>94.304724337490498</v>
      </c>
      <c r="AK6713">
        <v>26.923156468752101</v>
      </c>
      <c r="AL6713">
        <v>90.698090141945002</v>
      </c>
      <c r="AM6713">
        <v>87.524065765280795</v>
      </c>
      <c r="AN6713">
        <v>0.99999999960292996</v>
      </c>
    </row>
    <row r="6714" spans="1:40" x14ac:dyDescent="0.25">
      <c r="A6714" t="str">
        <f>"20190312155007697"</f>
        <v>20190312155007697</v>
      </c>
      <c r="B6714" t="str">
        <f>"1552377007692124"</f>
        <v>1552377007692124</v>
      </c>
      <c r="C6714" t="s">
        <v>40</v>
      </c>
      <c r="D6714">
        <v>4.5840839999999998</v>
      </c>
      <c r="E6714">
        <v>0.45519130000000002</v>
      </c>
      <c r="F6714" t="s">
        <v>76</v>
      </c>
      <c r="G6714">
        <v>-210.35429999999999</v>
      </c>
      <c r="H6714" s="1">
        <v>6.084348E-7</v>
      </c>
      <c r="I6714">
        <v>-59.26294</v>
      </c>
      <c r="J6714">
        <v>-237.202</v>
      </c>
      <c r="K6714">
        <v>1.108384</v>
      </c>
      <c r="L6714">
        <v>-61.61853</v>
      </c>
      <c r="M6714">
        <v>0.99993639999999995</v>
      </c>
      <c r="N6714">
        <v>0</v>
      </c>
      <c r="O6714">
        <v>1.1151970000000001E-2</v>
      </c>
      <c r="P6714">
        <v>0.99939650000000002</v>
      </c>
      <c r="Q6714">
        <v>-1.3602629999999999E-2</v>
      </c>
      <c r="R6714">
        <v>-3.1965260000000002E-2</v>
      </c>
      <c r="S6714">
        <v>3.008575</v>
      </c>
      <c r="T6714">
        <v>-0.1235019</v>
      </c>
      <c r="U6714">
        <v>0.26266479999999998</v>
      </c>
      <c r="V6714">
        <v>4.3111789999999997E-2</v>
      </c>
      <c r="W6714">
        <v>-1.1861450000000001E-2</v>
      </c>
      <c r="X6714">
        <v>0.99899979999999999</v>
      </c>
      <c r="Y6714">
        <v>-7.5805380000000006E-2</v>
      </c>
      <c r="Z6714">
        <v>1.095635E-3</v>
      </c>
      <c r="AA6714">
        <v>0.99712199999999995</v>
      </c>
      <c r="AB6714">
        <v>30</v>
      </c>
      <c r="AC6714">
        <v>26.8477</v>
      </c>
      <c r="AD6714">
        <v>-1.1083833915651999</v>
      </c>
      <c r="AE6714">
        <v>2.3555899999999999</v>
      </c>
      <c r="AF6714">
        <v>-2.0525667243438499</v>
      </c>
      <c r="AG6714">
        <v>-1.1083833915651999</v>
      </c>
      <c r="AH6714">
        <v>26.826926052651</v>
      </c>
      <c r="AI6714">
        <v>92.359004441204803</v>
      </c>
      <c r="AJ6714">
        <v>94.3752582557441</v>
      </c>
      <c r="AK6714">
        <v>26.928154510381699</v>
      </c>
      <c r="AL6714">
        <v>90.679626988016096</v>
      </c>
      <c r="AM6714">
        <v>87.528936528474603</v>
      </c>
      <c r="AN6714">
        <v>0.99999996041657202</v>
      </c>
    </row>
    <row r="6715" spans="1:40" x14ac:dyDescent="0.25">
      <c r="A6715" t="str">
        <f>"20190312155007708"</f>
        <v>20190312155007708</v>
      </c>
      <c r="B6715" t="str">
        <f>"1552377007702860"</f>
        <v>1552377007702860</v>
      </c>
      <c r="C6715" t="s">
        <v>40</v>
      </c>
      <c r="D6715">
        <v>4.5979780000000003</v>
      </c>
      <c r="E6715">
        <v>0.4550245</v>
      </c>
      <c r="F6715" t="s">
        <v>76</v>
      </c>
      <c r="G6715">
        <v>-210.1361</v>
      </c>
      <c r="H6715" s="1">
        <v>6.7626400000000005E-7</v>
      </c>
      <c r="I6715">
        <v>-59.23874</v>
      </c>
      <c r="J6715">
        <v>-237.0522</v>
      </c>
      <c r="K6715">
        <v>1.108392</v>
      </c>
      <c r="L6715">
        <v>-61.616790000000002</v>
      </c>
      <c r="M6715">
        <v>0.99993529999999997</v>
      </c>
      <c r="N6715">
        <v>0</v>
      </c>
      <c r="O6715">
        <v>1.1234610000000001E-2</v>
      </c>
      <c r="P6715">
        <v>0.99939279999999997</v>
      </c>
      <c r="Q6715">
        <v>-1.383421E-2</v>
      </c>
      <c r="R6715">
        <v>-3.197974E-2</v>
      </c>
      <c r="S6715">
        <v>3.008591</v>
      </c>
      <c r="T6715">
        <v>-0.1232058</v>
      </c>
      <c r="U6715">
        <v>0.26452639999999999</v>
      </c>
      <c r="V6715">
        <v>4.320889E-2</v>
      </c>
      <c r="W6715">
        <v>-1.205408E-2</v>
      </c>
      <c r="X6715">
        <v>0.99899329999999997</v>
      </c>
      <c r="Y6715">
        <v>-7.6334669999999993E-2</v>
      </c>
      <c r="Z6715">
        <v>1.100412E-3</v>
      </c>
      <c r="AA6715">
        <v>0.99708160000000001</v>
      </c>
      <c r="AB6715">
        <v>30</v>
      </c>
      <c r="AC6715">
        <v>26.9161</v>
      </c>
      <c r="AD6715">
        <v>-1.1083913237359999</v>
      </c>
      <c r="AE6715">
        <v>2.37805</v>
      </c>
      <c r="AF6715">
        <v>-2.0720211366201799</v>
      </c>
      <c r="AG6715">
        <v>-1.1083913237359999</v>
      </c>
      <c r="AH6715">
        <v>26.895862401603399</v>
      </c>
      <c r="AI6715">
        <v>92.352887164057506</v>
      </c>
      <c r="AJ6715">
        <v>94.405288631815907</v>
      </c>
      <c r="AK6715">
        <v>26.9983187854933</v>
      </c>
      <c r="AL6715">
        <v>90.690664663070905</v>
      </c>
      <c r="AM6715">
        <v>87.523361819398602</v>
      </c>
      <c r="AN6715">
        <v>0.99999996123228296</v>
      </c>
    </row>
    <row r="6716" spans="1:40" x14ac:dyDescent="0.25">
      <c r="A6716" t="str">
        <f>"20190312155007718"</f>
        <v>20190312155007718</v>
      </c>
      <c r="B6716" t="str">
        <f>"1552377007712621"</f>
        <v>1552377007712621</v>
      </c>
      <c r="C6716" t="s">
        <v>40</v>
      </c>
      <c r="D6716">
        <v>4.5434780000000003</v>
      </c>
      <c r="E6716">
        <v>0.4550633</v>
      </c>
      <c r="F6716" t="s">
        <v>76</v>
      </c>
      <c r="G6716">
        <v>-210.19069999999999</v>
      </c>
      <c r="H6716" s="1">
        <v>6.5895980000000003E-7</v>
      </c>
      <c r="I6716">
        <v>-59.243519999999997</v>
      </c>
      <c r="J6716">
        <v>-236.90899999999999</v>
      </c>
      <c r="K6716">
        <v>1.108398</v>
      </c>
      <c r="L6716">
        <v>-61.615110000000001</v>
      </c>
      <c r="M6716">
        <v>0.9999344</v>
      </c>
      <c r="N6716">
        <v>0</v>
      </c>
      <c r="O6716">
        <v>1.1313500000000001E-2</v>
      </c>
      <c r="P6716">
        <v>0.99940209999999996</v>
      </c>
      <c r="Q6716">
        <v>-1.3532249999999999E-2</v>
      </c>
      <c r="R6716">
        <v>-3.182136E-2</v>
      </c>
      <c r="S6716">
        <v>3.008591</v>
      </c>
      <c r="T6716">
        <v>-0.12414409999999999</v>
      </c>
      <c r="U6716">
        <v>0.26580809999999999</v>
      </c>
      <c r="V6716">
        <v>4.312933E-2</v>
      </c>
      <c r="W6716">
        <v>-1.170915E-2</v>
      </c>
      <c r="X6716">
        <v>0.99900089999999997</v>
      </c>
      <c r="Y6716">
        <v>-7.6676499999999995E-2</v>
      </c>
      <c r="Z6716">
        <v>1.112554E-3</v>
      </c>
      <c r="AA6716">
        <v>0.99705540000000004</v>
      </c>
      <c r="AB6716">
        <v>30</v>
      </c>
      <c r="AC6716">
        <v>26.718299999999999</v>
      </c>
      <c r="AD6716">
        <v>-1.1083973410401999</v>
      </c>
      <c r="AE6716">
        <v>2.3715899999999901</v>
      </c>
      <c r="AF6716">
        <v>-2.06563314444166</v>
      </c>
      <c r="AG6716">
        <v>-1.1083973410401999</v>
      </c>
      <c r="AH6716">
        <v>26.6978340579169</v>
      </c>
      <c r="AI6716">
        <v>92.370272120024495</v>
      </c>
      <c r="AJ6716">
        <v>94.424207003923001</v>
      </c>
      <c r="AK6716">
        <v>26.800554627415998</v>
      </c>
      <c r="AL6716">
        <v>90.670900193897694</v>
      </c>
      <c r="AM6716">
        <v>87.527935143696496</v>
      </c>
      <c r="AN6716">
        <v>1.0000000207503901</v>
      </c>
    </row>
    <row r="6717" spans="1:40" x14ac:dyDescent="0.25">
      <c r="A6717" t="str">
        <f>"20190312155007730"</f>
        <v>20190312155007730</v>
      </c>
      <c r="B6717" t="str">
        <f>"1552377007722381"</f>
        <v>1552377007722381</v>
      </c>
      <c r="C6717" t="s">
        <v>40</v>
      </c>
      <c r="D6717">
        <v>4.5437269999999996</v>
      </c>
      <c r="E6717">
        <v>0.45509539999999998</v>
      </c>
      <c r="F6717" t="s">
        <v>65</v>
      </c>
      <c r="G6717">
        <v>-209.70910000000001</v>
      </c>
      <c r="H6717" s="1">
        <v>-4.685452E-7</v>
      </c>
      <c r="I6717">
        <v>-59.210900000000002</v>
      </c>
      <c r="J6717">
        <v>-236.7629</v>
      </c>
      <c r="K6717">
        <v>1.1084050000000001</v>
      </c>
      <c r="L6717">
        <v>-61.613370000000003</v>
      </c>
      <c r="M6717">
        <v>0.99993350000000003</v>
      </c>
      <c r="N6717">
        <v>0</v>
      </c>
      <c r="O6717">
        <v>1.1394110000000001E-2</v>
      </c>
      <c r="P6717">
        <v>0.99940399999999996</v>
      </c>
      <c r="Q6717">
        <v>-1.358556E-2</v>
      </c>
      <c r="R6717">
        <v>-3.1736489999999999E-2</v>
      </c>
      <c r="S6717">
        <v>3.008591</v>
      </c>
      <c r="T6717">
        <v>-0.1226001</v>
      </c>
      <c r="U6717">
        <v>0.26593020000000001</v>
      </c>
      <c r="V6717">
        <v>4.3125150000000001E-2</v>
      </c>
      <c r="W6717">
        <v>-1.17144E-2</v>
      </c>
      <c r="X6717">
        <v>0.99900100000000003</v>
      </c>
      <c r="Y6717">
        <v>-7.6637699999999906E-2</v>
      </c>
      <c r="Z6717">
        <v>1.0946619999999999E-3</v>
      </c>
      <c r="AA6717">
        <v>0.99705840000000001</v>
      </c>
      <c r="AB6717">
        <v>30</v>
      </c>
      <c r="AC6717">
        <v>27.053799999999899</v>
      </c>
      <c r="AD6717">
        <v>-1.1084054685451901</v>
      </c>
      <c r="AE6717">
        <v>2.4024699999999899</v>
      </c>
      <c r="AF6717">
        <v>-2.0905778468065401</v>
      </c>
      <c r="AG6717">
        <v>-1.1084054685451901</v>
      </c>
      <c r="AH6717">
        <v>27.034393652101802</v>
      </c>
      <c r="AI6717">
        <v>92.340821322363993</v>
      </c>
      <c r="AJ6717">
        <v>94.421899705844396</v>
      </c>
      <c r="AK6717">
        <v>27.1377508012927</v>
      </c>
      <c r="AL6717">
        <v>90.671201030042198</v>
      </c>
      <c r="AM6717">
        <v>87.528174680737706</v>
      </c>
      <c r="AN6717">
        <v>1.00000000186544</v>
      </c>
    </row>
    <row r="6718" spans="1:40" x14ac:dyDescent="0.25">
      <c r="A6718" t="str">
        <f>"20190312155007741"</f>
        <v>20190312155007741</v>
      </c>
      <c r="B6718" t="str">
        <f>"1552377007732141"</f>
        <v>1552377007732141</v>
      </c>
      <c r="C6718" t="s">
        <v>40</v>
      </c>
      <c r="D6718">
        <v>4.5428899999999999</v>
      </c>
      <c r="E6718">
        <v>0.45512029999999998</v>
      </c>
      <c r="F6718" t="s">
        <v>65</v>
      </c>
      <c r="G6718">
        <v>-209.50110000000001</v>
      </c>
      <c r="H6718" s="1">
        <v>-6.0265230000000004E-7</v>
      </c>
      <c r="I6718">
        <v>-59.203690000000002</v>
      </c>
      <c r="J6718">
        <v>-236.60640000000001</v>
      </c>
      <c r="K6718">
        <v>1.1084149999999999</v>
      </c>
      <c r="L6718">
        <v>-61.611510000000003</v>
      </c>
      <c r="M6718">
        <v>0.99993240000000005</v>
      </c>
      <c r="N6718">
        <v>0</v>
      </c>
      <c r="O6718">
        <v>1.1480249999999999E-2</v>
      </c>
      <c r="P6718">
        <v>0.99940580000000001</v>
      </c>
      <c r="Q6718">
        <v>-1.3713299999999901E-2</v>
      </c>
      <c r="R6718">
        <v>-3.1628120000000003E-2</v>
      </c>
      <c r="S6718">
        <v>3.008591</v>
      </c>
      <c r="T6718">
        <v>-0.1223229</v>
      </c>
      <c r="U6718">
        <v>0.26593020000000001</v>
      </c>
      <c r="V6718">
        <v>4.310278E-2</v>
      </c>
      <c r="W6718">
        <v>-1.1785500000000001E-2</v>
      </c>
      <c r="X6718">
        <v>0.99900109999999998</v>
      </c>
      <c r="Y6718">
        <v>-7.6552190000000006E-2</v>
      </c>
      <c r="Z6718">
        <v>1.0869619999999999E-3</v>
      </c>
      <c r="AA6718">
        <v>0.99706499999999998</v>
      </c>
      <c r="AB6718">
        <v>30</v>
      </c>
      <c r="AC6718">
        <v>27.1053</v>
      </c>
      <c r="AD6718">
        <v>-1.1084156026523</v>
      </c>
      <c r="AE6718">
        <v>2.4078199999999899</v>
      </c>
      <c r="AF6718">
        <v>-2.0930125721354602</v>
      </c>
      <c r="AG6718">
        <v>-1.1084156026523</v>
      </c>
      <c r="AH6718">
        <v>27.086216328707401</v>
      </c>
      <c r="AI6718">
        <v>92.336379466189399</v>
      </c>
      <c r="AJ6718">
        <v>94.418592636843599</v>
      </c>
      <c r="AK6718">
        <v>27.189564207262599</v>
      </c>
      <c r="AL6718">
        <v>90.675275060877198</v>
      </c>
      <c r="AM6718">
        <v>87.529455530859593</v>
      </c>
      <c r="AN6718">
        <v>0.999999972727593</v>
      </c>
    </row>
    <row r="6719" spans="1:40" x14ac:dyDescent="0.25">
      <c r="A6719" t="str">
        <f>"20190312155007753"</f>
        <v>20190312155007753</v>
      </c>
      <c r="B6719" t="str">
        <f>"1552377007742876"</f>
        <v>1552377007742876</v>
      </c>
      <c r="C6719" t="s">
        <v>40</v>
      </c>
      <c r="D6719">
        <v>4.5269159999999999</v>
      </c>
      <c r="E6719">
        <v>0.45508369999999998</v>
      </c>
      <c r="F6719" t="s">
        <v>65</v>
      </c>
      <c r="G6719">
        <v>-209.42330000000001</v>
      </c>
      <c r="H6719" s="1">
        <v>-6.5100290000000003E-7</v>
      </c>
      <c r="I6719">
        <v>-59.207900000000002</v>
      </c>
      <c r="J6719">
        <v>-236.44820000000001</v>
      </c>
      <c r="K6719">
        <v>1.1084210000000001</v>
      </c>
      <c r="L6719">
        <v>-61.6096199999999</v>
      </c>
      <c r="M6719">
        <v>0.99993120000000002</v>
      </c>
      <c r="N6719">
        <v>0</v>
      </c>
      <c r="O6719">
        <v>1.15677E-2</v>
      </c>
      <c r="P6719">
        <v>0.99940969999999996</v>
      </c>
      <c r="Q6719">
        <v>-1.3736979999999999E-2</v>
      </c>
      <c r="R6719">
        <v>-3.1491650000000003E-2</v>
      </c>
      <c r="S6719">
        <v>3.0085299999999999</v>
      </c>
      <c r="T6719">
        <v>-0.1226752</v>
      </c>
      <c r="U6719">
        <v>0.26602170000000003</v>
      </c>
      <c r="V6719">
        <v>4.3053689999999999E-2</v>
      </c>
      <c r="W6719">
        <v>-1.1743389999999999E-2</v>
      </c>
      <c r="X6719">
        <v>0.9990038</v>
      </c>
      <c r="Y6719">
        <v>-7.6496670000000003E-2</v>
      </c>
      <c r="Z6719">
        <v>1.085424E-3</v>
      </c>
      <c r="AA6719">
        <v>0.99706919999999999</v>
      </c>
      <c r="AB6719">
        <v>30</v>
      </c>
      <c r="AC6719">
        <v>27.024899999999999</v>
      </c>
      <c r="AD6719">
        <v>-1.1084216510028999</v>
      </c>
      <c r="AE6719">
        <v>2.4017199999999899</v>
      </c>
      <c r="AF6719">
        <v>-2.0854620703067401</v>
      </c>
      <c r="AG6719">
        <v>-1.1084216510028999</v>
      </c>
      <c r="AH6719">
        <v>27.0058006336867</v>
      </c>
      <c r="AI6719">
        <v>92.343350473248805</v>
      </c>
      <c r="AJ6719">
        <v>94.415773711566104</v>
      </c>
      <c r="AK6719">
        <v>27.108873426786602</v>
      </c>
      <c r="AL6719">
        <v>90.672862109882203</v>
      </c>
      <c r="AM6719">
        <v>87.5322724288351</v>
      </c>
      <c r="AN6719">
        <v>1.00000005992287</v>
      </c>
    </row>
    <row r="6720" spans="1:40" x14ac:dyDescent="0.25">
      <c r="A6720" t="str">
        <f>"20190312155007765"</f>
        <v>20190312155007765</v>
      </c>
      <c r="B6720" t="str">
        <f>"1552377007752638"</f>
        <v>1552377007752638</v>
      </c>
      <c r="C6720" t="s">
        <v>40</v>
      </c>
      <c r="D6720">
        <v>4.5390100000000002</v>
      </c>
      <c r="E6720">
        <v>0.45508890000000002</v>
      </c>
      <c r="F6720" t="s">
        <v>65</v>
      </c>
      <c r="G6720">
        <v>-209.28980000000001</v>
      </c>
      <c r="H6720" s="1">
        <v>-7.37445E-7</v>
      </c>
      <c r="I6720">
        <v>-59.20185</v>
      </c>
      <c r="J6720">
        <v>-236.2901</v>
      </c>
      <c r="K6720">
        <v>1.1084309999999999</v>
      </c>
      <c r="L6720">
        <v>-61.607729999999997</v>
      </c>
      <c r="M6720">
        <v>0.99992999999999999</v>
      </c>
      <c r="N6720">
        <v>0</v>
      </c>
      <c r="O6720">
        <v>1.165478E-2</v>
      </c>
      <c r="P6720">
        <v>0.99941469999999999</v>
      </c>
      <c r="Q6720">
        <v>-1.368927E-2</v>
      </c>
      <c r="R6720">
        <v>-3.1351230000000001E-2</v>
      </c>
      <c r="S6720">
        <v>3.008499</v>
      </c>
      <c r="T6720">
        <v>-0.1227868</v>
      </c>
      <c r="U6720">
        <v>0.26672360000000001</v>
      </c>
      <c r="V6720">
        <v>4.3000400000000001E-2</v>
      </c>
      <c r="W6720">
        <v>-1.162647E-2</v>
      </c>
      <c r="X6720">
        <v>0.99900739999999999</v>
      </c>
      <c r="Y6720">
        <v>-7.6641390000000004E-2</v>
      </c>
      <c r="Z6720">
        <v>1.085812E-3</v>
      </c>
      <c r="AA6720">
        <v>0.99705820000000001</v>
      </c>
      <c r="AB6720">
        <v>30</v>
      </c>
      <c r="AC6720">
        <v>27.0002999999999</v>
      </c>
      <c r="AD6720">
        <v>-1.1084317374449999</v>
      </c>
      <c r="AE6720">
        <v>2.4058799999999998</v>
      </c>
      <c r="AF6720">
        <v>-2.0875429316425</v>
      </c>
      <c r="AG6720">
        <v>-1.1084317374449999</v>
      </c>
      <c r="AH6720">
        <v>26.981392301570601</v>
      </c>
      <c r="AI6720">
        <v>92.345462845746894</v>
      </c>
      <c r="AJ6720">
        <v>94.4241450601087</v>
      </c>
      <c r="AK6720">
        <v>27.084718697806</v>
      </c>
      <c r="AL6720">
        <v>90.666162672123903</v>
      </c>
      <c r="AM6720">
        <v>87.535331977277295</v>
      </c>
      <c r="AN6720">
        <v>0.99999999722979005</v>
      </c>
    </row>
    <row r="6721" spans="1:40" x14ac:dyDescent="0.25">
      <c r="A6721" t="str">
        <f>"20190312155007775"</f>
        <v>20190312155007775</v>
      </c>
      <c r="B6721" t="str">
        <f>"1552377007762397"</f>
        <v>1552377007762397</v>
      </c>
      <c r="C6721" t="s">
        <v>40</v>
      </c>
      <c r="D6721">
        <v>4.5403799999999999</v>
      </c>
      <c r="E6721">
        <v>0.4551057</v>
      </c>
      <c r="F6721" t="s">
        <v>65</v>
      </c>
      <c r="G6721">
        <v>-208.99520000000001</v>
      </c>
      <c r="H6721" s="1">
        <v>-9.2928359999999995E-7</v>
      </c>
      <c r="I6721">
        <v>-59.184759999999997</v>
      </c>
      <c r="J6721">
        <v>-236.14769999999999</v>
      </c>
      <c r="K6721">
        <v>1.1084430000000001</v>
      </c>
      <c r="L6721">
        <v>-61.605989999999998</v>
      </c>
      <c r="M6721">
        <v>0.99992899999999996</v>
      </c>
      <c r="N6721">
        <v>0</v>
      </c>
      <c r="O6721">
        <v>1.1733270000000001E-2</v>
      </c>
      <c r="P6721">
        <v>0.99940839999999997</v>
      </c>
      <c r="Q6721">
        <v>-1.3984079999999999E-2</v>
      </c>
      <c r="R6721">
        <v>-3.1425700000000001E-2</v>
      </c>
      <c r="S6721">
        <v>3.0084689999999998</v>
      </c>
      <c r="T6721">
        <v>-0.12217210000000001</v>
      </c>
      <c r="U6721">
        <v>0.2670593</v>
      </c>
      <c r="V6721">
        <v>4.315335E-2</v>
      </c>
      <c r="W6721">
        <v>-1.1844240000000001E-2</v>
      </c>
      <c r="X6721">
        <v>0.99899819999999995</v>
      </c>
      <c r="Y6721">
        <v>-7.6674980000000004E-2</v>
      </c>
      <c r="Z6721">
        <v>1.0778889999999901E-3</v>
      </c>
      <c r="AA6721">
        <v>0.99705549999999998</v>
      </c>
      <c r="AB6721">
        <v>30</v>
      </c>
      <c r="AC6721">
        <v>27.1524999999999</v>
      </c>
      <c r="AD6721">
        <v>-1.1084439292835999</v>
      </c>
      <c r="AE6721">
        <v>2.42123</v>
      </c>
      <c r="AF6721">
        <v>-2.0990046098982802</v>
      </c>
      <c r="AG6721">
        <v>-1.1084439292835999</v>
      </c>
      <c r="AH6721">
        <v>27.134177258896202</v>
      </c>
      <c r="AI6721">
        <v>92.332298822762198</v>
      </c>
      <c r="AJ6721">
        <v>94.423390986584394</v>
      </c>
      <c r="AK6721">
        <v>27.237805414789602</v>
      </c>
      <c r="AL6721">
        <v>90.678640864987003</v>
      </c>
      <c r="AM6721">
        <v>87.526553410352093</v>
      </c>
      <c r="AN6721">
        <v>0.99999995062031799</v>
      </c>
    </row>
    <row r="6722" spans="1:40" x14ac:dyDescent="0.25">
      <c r="A6722" t="str">
        <f>"20190312155007786"</f>
        <v>20190312155007786</v>
      </c>
      <c r="B6722" t="str">
        <f>"1552377007772157"</f>
        <v>1552377007772157</v>
      </c>
      <c r="C6722" t="s">
        <v>40</v>
      </c>
      <c r="D6722">
        <v>4.5372690000000002</v>
      </c>
      <c r="E6722">
        <v>0.45511990000000002</v>
      </c>
      <c r="F6722" t="s">
        <v>65</v>
      </c>
      <c r="G6722">
        <v>-208.91829999999999</v>
      </c>
      <c r="H6722" s="1">
        <v>-9.7614470000000001E-7</v>
      </c>
      <c r="I6722">
        <v>-59.19218</v>
      </c>
      <c r="J6722">
        <v>-235.99690000000001</v>
      </c>
      <c r="K6722">
        <v>1.108452</v>
      </c>
      <c r="L6722">
        <v>-61.604129999999998</v>
      </c>
      <c r="M6722">
        <v>0.99992780000000003</v>
      </c>
      <c r="N6722">
        <v>0</v>
      </c>
      <c r="O6722">
        <v>1.181652E-2</v>
      </c>
      <c r="P6722">
        <v>0.99940600000000002</v>
      </c>
      <c r="Q6722">
        <v>-1.4095379999999999E-2</v>
      </c>
      <c r="R6722">
        <v>-3.1448169999999998E-2</v>
      </c>
      <c r="S6722">
        <v>3.0084689999999998</v>
      </c>
      <c r="T6722">
        <v>-0.1224679</v>
      </c>
      <c r="U6722">
        <v>0.26669310000000002</v>
      </c>
      <c r="V6722">
        <v>4.3258980000000002E-2</v>
      </c>
      <c r="W6722">
        <v>-1.1871639999999999E-2</v>
      </c>
      <c r="X6722">
        <v>0.99899329999999997</v>
      </c>
      <c r="Y6722">
        <v>-7.6471510000000006E-2</v>
      </c>
      <c r="Z6722">
        <v>1.07299E-3</v>
      </c>
      <c r="AA6722">
        <v>0.99707120000000005</v>
      </c>
      <c r="AB6722">
        <v>30</v>
      </c>
      <c r="AC6722">
        <v>27.078600000000002</v>
      </c>
      <c r="AD6722">
        <v>-1.1084529761447</v>
      </c>
      <c r="AE6722">
        <v>2.4119499999999898</v>
      </c>
      <c r="AF6722">
        <v>-2.0883342587452298</v>
      </c>
      <c r="AG6722">
        <v>-1.1084529761447</v>
      </c>
      <c r="AH6722">
        <v>27.060223928294601</v>
      </c>
      <c r="AI6722">
        <v>92.338717618497597</v>
      </c>
      <c r="AJ6722">
        <v>94.412973217374798</v>
      </c>
      <c r="AK6722">
        <v>27.163312151245801</v>
      </c>
      <c r="AL6722">
        <v>90.680210884096198</v>
      </c>
      <c r="AM6722">
        <v>87.520494352317897</v>
      </c>
      <c r="AN6722">
        <v>0.999999944315908</v>
      </c>
    </row>
    <row r="6723" spans="1:40" x14ac:dyDescent="0.25">
      <c r="A6723" t="str">
        <f>"20190312155007798"</f>
        <v>20190312155007798</v>
      </c>
      <c r="B6723" t="str">
        <f>"1552377007792653"</f>
        <v>1552377007792653</v>
      </c>
      <c r="C6723" t="s">
        <v>40</v>
      </c>
      <c r="D6723">
        <v>4.5140079999999996</v>
      </c>
      <c r="E6723">
        <v>0.45514090000000001</v>
      </c>
      <c r="F6723" t="s">
        <v>65</v>
      </c>
      <c r="G6723">
        <v>-208.78899999999999</v>
      </c>
      <c r="H6723" s="1">
        <v>-1.057951E-6</v>
      </c>
      <c r="I6723">
        <v>-59.193579999999997</v>
      </c>
      <c r="J6723">
        <v>-235.83940000000001</v>
      </c>
      <c r="K6723">
        <v>1.108468</v>
      </c>
      <c r="L6723">
        <v>-61.602170000000001</v>
      </c>
      <c r="M6723">
        <v>0.99992650000000005</v>
      </c>
      <c r="N6723">
        <v>0</v>
      </c>
      <c r="O6723">
        <v>1.190338E-2</v>
      </c>
      <c r="P6723">
        <v>0.99940379999999995</v>
      </c>
      <c r="Q6723">
        <v>-1.431408E-2</v>
      </c>
      <c r="R6723">
        <v>-3.1420360000000001E-2</v>
      </c>
      <c r="S6723">
        <v>3.0084379999999999</v>
      </c>
      <c r="T6723">
        <v>-0.1225644</v>
      </c>
      <c r="U6723">
        <v>0.26654050000000001</v>
      </c>
      <c r="V6723">
        <v>4.3318009999999997E-2</v>
      </c>
      <c r="W6723">
        <v>-1.1989440000000001E-2</v>
      </c>
      <c r="X6723">
        <v>0.99898940000000003</v>
      </c>
      <c r="Y6723">
        <v>-7.6335710000000001E-2</v>
      </c>
      <c r="Z6723">
        <v>1.067559E-3</v>
      </c>
      <c r="AA6723">
        <v>0.99708160000000001</v>
      </c>
      <c r="AB6723">
        <v>30</v>
      </c>
      <c r="AC6723">
        <v>27.0504</v>
      </c>
      <c r="AD6723">
        <v>-1.1084690579509999</v>
      </c>
      <c r="AE6723">
        <v>2.4085899999999798</v>
      </c>
      <c r="AF6723">
        <v>-2.0829571438490402</v>
      </c>
      <c r="AG6723">
        <v>-1.1084690579509999</v>
      </c>
      <c r="AH6723">
        <v>27.032118961702</v>
      </c>
      <c r="AI6723">
        <v>92.341201654967406</v>
      </c>
      <c r="AJ6723">
        <v>94.406213588776197</v>
      </c>
      <c r="AK6723">
        <v>27.134901320534698</v>
      </c>
      <c r="AL6723">
        <v>90.686960763275593</v>
      </c>
      <c r="AM6723">
        <v>87.517105438368901</v>
      </c>
      <c r="AN6723">
        <v>1.0000000089871099</v>
      </c>
    </row>
    <row r="6724" spans="1:40" x14ac:dyDescent="0.25">
      <c r="A6724" t="str">
        <f>"20190312155007810"</f>
        <v>20190312155007810</v>
      </c>
      <c r="B6724" t="str">
        <f>"1552377007802413"</f>
        <v>1552377007802413</v>
      </c>
      <c r="C6724" t="s">
        <v>40</v>
      </c>
      <c r="D6724">
        <v>4.5247799999999998</v>
      </c>
      <c r="E6724">
        <v>0.4551365</v>
      </c>
      <c r="F6724" t="s">
        <v>65</v>
      </c>
      <c r="G6724">
        <v>-208.608</v>
      </c>
      <c r="H6724" s="1">
        <v>-1.1739089999999999E-6</v>
      </c>
      <c r="I6724">
        <v>-59.190339999999999</v>
      </c>
      <c r="J6724">
        <v>-235.68870000000001</v>
      </c>
      <c r="K6724">
        <v>1.1084830000000001</v>
      </c>
      <c r="L6724">
        <v>-61.60031</v>
      </c>
      <c r="M6724">
        <v>0.99992530000000002</v>
      </c>
      <c r="N6724">
        <v>0</v>
      </c>
      <c r="O6724">
        <v>1.198654E-2</v>
      </c>
      <c r="P6724">
        <v>0.99939730000000004</v>
      </c>
      <c r="Q6724">
        <v>-1.460475E-2</v>
      </c>
      <c r="R6724">
        <v>-3.1495990000000001E-2</v>
      </c>
      <c r="S6724">
        <v>3.0084080000000002</v>
      </c>
      <c r="T6724">
        <v>-0.1224587</v>
      </c>
      <c r="U6724">
        <v>0.26644899999999999</v>
      </c>
      <c r="V6724">
        <v>4.347678E-2</v>
      </c>
      <c r="W6724">
        <v>-1.2176380000000001E-2</v>
      </c>
      <c r="X6724">
        <v>0.99898019999999998</v>
      </c>
      <c r="Y6724">
        <v>-7.6223810000000003E-2</v>
      </c>
      <c r="Z6724">
        <v>1.061003E-3</v>
      </c>
      <c r="AA6724">
        <v>0.99709020000000004</v>
      </c>
      <c r="AB6724">
        <v>30</v>
      </c>
      <c r="AC6724">
        <v>27.0807</v>
      </c>
      <c r="AD6724">
        <v>-1.1084841739089999</v>
      </c>
      <c r="AE6724">
        <v>2.4099699999999999</v>
      </c>
      <c r="AF6724">
        <v>-2.0817315486611601</v>
      </c>
      <c r="AG6724">
        <v>-1.1084841739089999</v>
      </c>
      <c r="AH6724">
        <v>27.0626551065127</v>
      </c>
      <c r="AI6724">
        <v>92.338618391289202</v>
      </c>
      <c r="AJ6724">
        <v>94.398681883727704</v>
      </c>
      <c r="AK6724">
        <v>27.165228598680201</v>
      </c>
      <c r="AL6724">
        <v>90.697672447256807</v>
      </c>
      <c r="AM6724">
        <v>87.507993616262894</v>
      </c>
      <c r="AN6724">
        <v>0.99999996731055496</v>
      </c>
    </row>
    <row r="6725" spans="1:40" x14ac:dyDescent="0.25">
      <c r="A6725" t="str">
        <f>"20190312155007821"</f>
        <v>20190312155007821</v>
      </c>
      <c r="B6725" t="str">
        <f>"1552377007812173"</f>
        <v>1552377007812173</v>
      </c>
      <c r="C6725" t="s">
        <v>40</v>
      </c>
      <c r="D6725">
        <v>4.5384989999999998</v>
      </c>
      <c r="E6725">
        <v>0.45513579999999998</v>
      </c>
      <c r="F6725" t="s">
        <v>65</v>
      </c>
      <c r="G6725">
        <v>-208.82939999999999</v>
      </c>
      <c r="H6725" s="1">
        <v>-1.0245469999999999E-6</v>
      </c>
      <c r="I6725">
        <v>-59.22278</v>
      </c>
      <c r="J6725">
        <v>-235.52279999999999</v>
      </c>
      <c r="K6725">
        <v>1.1085119999999999</v>
      </c>
      <c r="L6725">
        <v>-61.5982699999999</v>
      </c>
      <c r="M6725">
        <v>0.99992389999999998</v>
      </c>
      <c r="N6725">
        <v>0</v>
      </c>
      <c r="O6725">
        <v>1.207808E-2</v>
      </c>
      <c r="P6725">
        <v>0.99939460000000002</v>
      </c>
      <c r="Q6725">
        <v>-1.481418E-2</v>
      </c>
      <c r="R6725">
        <v>-3.1486060000000003E-2</v>
      </c>
      <c r="S6725">
        <v>3.0083920000000002</v>
      </c>
      <c r="T6725">
        <v>-0.1241564</v>
      </c>
      <c r="U6725">
        <v>0.26629639999999999</v>
      </c>
      <c r="V6725">
        <v>4.3558119999999999E-2</v>
      </c>
      <c r="W6725">
        <v>-1.225947E-2</v>
      </c>
      <c r="X6725">
        <v>0.99897570000000002</v>
      </c>
      <c r="Y6725">
        <v>-7.608152E-2</v>
      </c>
      <c r="Z6725">
        <v>1.0690109999999999E-3</v>
      </c>
      <c r="AA6725">
        <v>0.99710100000000002</v>
      </c>
      <c r="AB6725">
        <v>30</v>
      </c>
      <c r="AC6725">
        <v>26.6934</v>
      </c>
      <c r="AD6725">
        <v>-1.1085130245469901</v>
      </c>
      <c r="AE6725">
        <v>2.3754899999999801</v>
      </c>
      <c r="AF6725">
        <v>-2.0494041718163798</v>
      </c>
      <c r="AG6725">
        <v>-1.1085130245469901</v>
      </c>
      <c r="AH6725">
        <v>26.674504487193701</v>
      </c>
      <c r="AI6725">
        <v>92.372688336823501</v>
      </c>
      <c r="AJ6725">
        <v>94.393408026268901</v>
      </c>
      <c r="AK6725">
        <v>26.7760723076101</v>
      </c>
      <c r="AL6725">
        <v>90.702433467313</v>
      </c>
      <c r="AM6725">
        <v>87.503326023802501</v>
      </c>
      <c r="AN6725">
        <v>1.0000000268065501</v>
      </c>
    </row>
    <row r="6726" spans="1:40" x14ac:dyDescent="0.25">
      <c r="A6726" t="str">
        <f>"20190312155007833"</f>
        <v>20190312155007833</v>
      </c>
      <c r="B6726" t="str">
        <f>"1552377007822909"</f>
        <v>1552377007822909</v>
      </c>
      <c r="C6726" t="s">
        <v>40</v>
      </c>
      <c r="D6726">
        <v>4.53085</v>
      </c>
      <c r="E6726">
        <v>0.45517669999999999</v>
      </c>
      <c r="F6726" t="s">
        <v>65</v>
      </c>
      <c r="G6726">
        <v>-208.726</v>
      </c>
      <c r="H6726" s="1">
        <v>-1.0893549999999999E-6</v>
      </c>
      <c r="I6726">
        <v>-59.226239999999997</v>
      </c>
      <c r="J6726">
        <v>-235.36940000000001</v>
      </c>
      <c r="K6726">
        <v>1.108533</v>
      </c>
      <c r="L6726">
        <v>-61.596339999999998</v>
      </c>
      <c r="M6726">
        <v>0.99992239999999999</v>
      </c>
      <c r="N6726">
        <v>0</v>
      </c>
      <c r="O6726">
        <v>1.2162920000000001E-2</v>
      </c>
      <c r="P6726">
        <v>0.99939180000000005</v>
      </c>
      <c r="Q6726">
        <v>-1.505773E-2</v>
      </c>
      <c r="R6726">
        <v>-3.1456770000000002E-2</v>
      </c>
      <c r="S6726">
        <v>3.008362</v>
      </c>
      <c r="T6726">
        <v>-0.124447699999999</v>
      </c>
      <c r="U6726">
        <v>0.26629639999999999</v>
      </c>
      <c r="V6726">
        <v>4.3613739999999998E-2</v>
      </c>
      <c r="W6726">
        <v>-1.236958E-2</v>
      </c>
      <c r="X6726">
        <v>0.99897190000000002</v>
      </c>
      <c r="Y6726">
        <v>-7.5997690000000007E-2</v>
      </c>
      <c r="Z6726">
        <v>1.066298E-3</v>
      </c>
      <c r="AA6726">
        <v>0.99710739999999998</v>
      </c>
      <c r="AB6726">
        <v>30</v>
      </c>
      <c r="AC6726">
        <v>26.6434</v>
      </c>
      <c r="AD6726">
        <v>-1.108534089355</v>
      </c>
      <c r="AE6726">
        <v>2.3700999999999999</v>
      </c>
      <c r="AF6726">
        <v>-2.0423542266182202</v>
      </c>
      <c r="AG6726">
        <v>-1.108534089355</v>
      </c>
      <c r="AH6726">
        <v>26.624529071570301</v>
      </c>
      <c r="AI6726">
        <v>92.377203844638302</v>
      </c>
      <c r="AJ6726">
        <v>94.386539898470204</v>
      </c>
      <c r="AK6726">
        <v>26.7257480138001</v>
      </c>
      <c r="AL6726">
        <v>90.708742795112101</v>
      </c>
      <c r="AM6726">
        <v>87.500132528953401</v>
      </c>
      <c r="AN6726">
        <v>1.0000000109078799</v>
      </c>
    </row>
    <row r="6727" spans="1:40" x14ac:dyDescent="0.25">
      <c r="A6727" t="str">
        <f>"20190312155007844"</f>
        <v>20190312155007844</v>
      </c>
      <c r="B6727" t="str">
        <f>"1552377007832669"</f>
        <v>1552377007832669</v>
      </c>
      <c r="C6727" t="s">
        <v>40</v>
      </c>
      <c r="D6727">
        <v>4.516635</v>
      </c>
      <c r="E6727">
        <v>0.45516640000000003</v>
      </c>
      <c r="F6727" t="s">
        <v>65</v>
      </c>
      <c r="G6727">
        <v>-208.80539999999999</v>
      </c>
      <c r="H6727" s="1">
        <v>-1.033319E-6</v>
      </c>
      <c r="I6727">
        <v>-59.247059999999998</v>
      </c>
      <c r="J6727">
        <v>-235.2046</v>
      </c>
      <c r="K6727">
        <v>1.1085590000000001</v>
      </c>
      <c r="L6727">
        <v>-61.594239999999999</v>
      </c>
      <c r="M6727">
        <v>0.99992099999999995</v>
      </c>
      <c r="N6727">
        <v>0</v>
      </c>
      <c r="O6727">
        <v>1.225387E-2</v>
      </c>
      <c r="P6727">
        <v>0.99938890000000002</v>
      </c>
      <c r="Q6727">
        <v>-1.535832E-2</v>
      </c>
      <c r="R6727">
        <v>-3.140395E-2</v>
      </c>
      <c r="S6727">
        <v>3.0083310000000001</v>
      </c>
      <c r="T6727">
        <v>-0.1255395</v>
      </c>
      <c r="U6727">
        <v>0.26605220000000002</v>
      </c>
      <c r="V6727">
        <v>4.3651839999999997E-2</v>
      </c>
      <c r="W6727">
        <v>-1.251853E-2</v>
      </c>
      <c r="X6727">
        <v>0.99896839999999998</v>
      </c>
      <c r="Y6727">
        <v>-7.5826859999999996E-2</v>
      </c>
      <c r="Z6727">
        <v>1.068318E-3</v>
      </c>
      <c r="AA6727">
        <v>0.99712040000000002</v>
      </c>
      <c r="AB6727">
        <v>31</v>
      </c>
      <c r="AC6727">
        <v>26.3992</v>
      </c>
      <c r="AD6727">
        <v>-1.108560033319</v>
      </c>
      <c r="AE6727">
        <v>2.3471799999999998</v>
      </c>
      <c r="AF6727">
        <v>-2.0199761614416301</v>
      </c>
      <c r="AG6727">
        <v>-1.108560033319</v>
      </c>
      <c r="AH6727">
        <v>26.379828186518399</v>
      </c>
      <c r="AI6727">
        <v>92.399310335530302</v>
      </c>
      <c r="AJ6727">
        <v>94.378751012012799</v>
      </c>
      <c r="AK6727">
        <v>26.480267071736499</v>
      </c>
      <c r="AL6727">
        <v>90.717277648214605</v>
      </c>
      <c r="AM6727">
        <v>87.497942718949204</v>
      </c>
      <c r="AN6727">
        <v>1.00000003046365</v>
      </c>
    </row>
    <row r="6728" spans="1:40" x14ac:dyDescent="0.25">
      <c r="A6728" t="str">
        <f>"20190312155007858"</f>
        <v>20190312155007858</v>
      </c>
      <c r="B6728" t="str">
        <f>"1552377007852188"</f>
        <v>1552377007852188</v>
      </c>
      <c r="C6728" t="s">
        <v>40</v>
      </c>
      <c r="D6728">
        <v>4.4794660000000004</v>
      </c>
      <c r="E6728">
        <v>0.45516889999999999</v>
      </c>
      <c r="F6728" t="s">
        <v>65</v>
      </c>
      <c r="G6728">
        <v>-208.7621</v>
      </c>
      <c r="H6728" s="1">
        <v>-1.0591040000000001E-6</v>
      </c>
      <c r="I6728">
        <v>-59.253509999999999</v>
      </c>
      <c r="J6728">
        <v>-235.02950000000001</v>
      </c>
      <c r="K6728">
        <v>1.1085910000000001</v>
      </c>
      <c r="L6728">
        <v>-61.592010000000002</v>
      </c>
      <c r="M6728">
        <v>0.99991920000000001</v>
      </c>
      <c r="N6728">
        <v>0</v>
      </c>
      <c r="O6728">
        <v>1.235059E-2</v>
      </c>
      <c r="P6728">
        <v>0.99938879999999997</v>
      </c>
      <c r="Q6728">
        <v>-1.55686E-2</v>
      </c>
      <c r="R6728">
        <v>-3.130488E-2</v>
      </c>
      <c r="S6728">
        <v>3.0082550000000001</v>
      </c>
      <c r="T6728">
        <v>-0.1261166</v>
      </c>
      <c r="U6728">
        <v>0.26629639999999999</v>
      </c>
      <c r="V6728">
        <v>4.3649260000000002E-2</v>
      </c>
      <c r="W6728">
        <v>-1.2537589999999999E-2</v>
      </c>
      <c r="X6728">
        <v>0.99896819999999997</v>
      </c>
      <c r="Y6728">
        <v>-7.5812519999999994E-2</v>
      </c>
      <c r="Z6728">
        <v>1.0689040000000001E-3</v>
      </c>
      <c r="AA6728">
        <v>0.99712149999999999</v>
      </c>
      <c r="AB6728">
        <v>31</v>
      </c>
      <c r="AC6728">
        <v>26.267399999999999</v>
      </c>
      <c r="AD6728">
        <v>-1.1085920591039999</v>
      </c>
      <c r="AE6728">
        <v>2.33849999999999</v>
      </c>
      <c r="AF6728">
        <v>-2.0103496309659801</v>
      </c>
      <c r="AG6728">
        <v>-1.1085920591039999</v>
      </c>
      <c r="AH6728">
        <v>26.2478937595708</v>
      </c>
      <c r="AI6728">
        <v>92.411422467635404</v>
      </c>
      <c r="AJ6728">
        <v>94.379784114058396</v>
      </c>
      <c r="AK6728">
        <v>26.348100667902902</v>
      </c>
      <c r="AL6728">
        <v>90.718369844343798</v>
      </c>
      <c r="AM6728">
        <v>87.498089912457004</v>
      </c>
      <c r="AN6728">
        <v>0.99999995683639598</v>
      </c>
    </row>
    <row r="6729" spans="1:40" x14ac:dyDescent="0.25">
      <c r="A6729" t="str">
        <f>"20190312155007869"</f>
        <v>20190312155007869</v>
      </c>
      <c r="B6729" t="str">
        <f>"1552377007862925"</f>
        <v>1552377007862925</v>
      </c>
      <c r="C6729" t="s">
        <v>40</v>
      </c>
      <c r="D6729">
        <v>4.4763390000000003</v>
      </c>
      <c r="E6729">
        <v>0.45514090000000001</v>
      </c>
      <c r="F6729" t="s">
        <v>65</v>
      </c>
      <c r="G6729">
        <v>-208.8716</v>
      </c>
      <c r="H6729" s="1">
        <v>-9.840544E-7</v>
      </c>
      <c r="I6729">
        <v>-59.274019999999901</v>
      </c>
      <c r="J6729">
        <v>-234.8638</v>
      </c>
      <c r="K6729">
        <v>1.1086229999999999</v>
      </c>
      <c r="L6729">
        <v>-61.5899</v>
      </c>
      <c r="M6729">
        <v>0.99991750000000001</v>
      </c>
      <c r="N6729">
        <v>0</v>
      </c>
      <c r="O6729">
        <v>1.2442170000000001E-2</v>
      </c>
      <c r="P6729">
        <v>0.99939169999999999</v>
      </c>
      <c r="Q6729">
        <v>-1.5713020000000001E-2</v>
      </c>
      <c r="R6729">
        <v>-3.113873E-2</v>
      </c>
      <c r="S6729">
        <v>3.0081790000000002</v>
      </c>
      <c r="T6729">
        <v>-0.12748889999999999</v>
      </c>
      <c r="U6729">
        <v>0.266571</v>
      </c>
      <c r="V6729">
        <v>4.3574769999999999E-2</v>
      </c>
      <c r="W6729">
        <v>-1.248847E-2</v>
      </c>
      <c r="X6729">
        <v>0.99897210000000003</v>
      </c>
      <c r="Y6729">
        <v>-7.5812599999999994E-2</v>
      </c>
      <c r="Z6729">
        <v>1.076678E-3</v>
      </c>
      <c r="AA6729">
        <v>0.99712149999999999</v>
      </c>
      <c r="AB6729">
        <v>31</v>
      </c>
      <c r="AC6729">
        <v>25.9922</v>
      </c>
      <c r="AD6729">
        <v>-1.1086239840544001</v>
      </c>
      <c r="AE6729">
        <v>2.3158799999999999</v>
      </c>
      <c r="AF6729">
        <v>-1.98871033145677</v>
      </c>
      <c r="AG6729">
        <v>-1.1086239840544001</v>
      </c>
      <c r="AH6729">
        <v>25.9721261514212</v>
      </c>
      <c r="AI6729">
        <v>92.437069624595495</v>
      </c>
      <c r="AJ6729">
        <v>94.378648016957499</v>
      </c>
      <c r="AK6729">
        <v>26.071734747534499</v>
      </c>
      <c r="AL6729">
        <v>90.715555231786396</v>
      </c>
      <c r="AM6729">
        <v>87.502363894409299</v>
      </c>
      <c r="AN6729">
        <v>0.99999998952095104</v>
      </c>
    </row>
    <row r="6730" spans="1:40" x14ac:dyDescent="0.25">
      <c r="A6730" t="str">
        <f>"20190312155007880"</f>
        <v>20190312155007880</v>
      </c>
      <c r="B6730" t="str">
        <f>"1552377007872685"</f>
        <v>1552377007872685</v>
      </c>
      <c r="C6730" t="s">
        <v>40</v>
      </c>
      <c r="D6730">
        <v>4.4727509999999997</v>
      </c>
      <c r="E6730">
        <v>0.45514159999999998</v>
      </c>
      <c r="F6730" t="s">
        <v>65</v>
      </c>
      <c r="G6730">
        <v>-208.86770000000001</v>
      </c>
      <c r="H6730" s="1">
        <v>-9.8501559999999994E-7</v>
      </c>
      <c r="I6730">
        <v>-59.279890000000002</v>
      </c>
      <c r="J6730">
        <v>-234.7159</v>
      </c>
      <c r="K6730">
        <v>1.1086549999999999</v>
      </c>
      <c r="L6730">
        <v>-61.587980000000002</v>
      </c>
      <c r="M6730">
        <v>0.99991589999999997</v>
      </c>
      <c r="N6730">
        <v>0</v>
      </c>
      <c r="O6730">
        <v>1.252378E-2</v>
      </c>
      <c r="P6730">
        <v>0.99938700000000003</v>
      </c>
      <c r="Q6730">
        <v>-1.5996509999999999E-2</v>
      </c>
      <c r="R6730">
        <v>-3.114074E-2</v>
      </c>
      <c r="S6730">
        <v>3.0081479999999998</v>
      </c>
      <c r="T6730">
        <v>-0.1282846</v>
      </c>
      <c r="U6730">
        <v>0.26730350000000003</v>
      </c>
      <c r="V6730">
        <v>4.3658349999999999E-2</v>
      </c>
      <c r="W6730">
        <v>-1.258135E-2</v>
      </c>
      <c r="X6730">
        <v>0.9989673</v>
      </c>
      <c r="Y6730">
        <v>-7.5972230000000002E-2</v>
      </c>
      <c r="Z6730">
        <v>1.083316E-3</v>
      </c>
      <c r="AA6730">
        <v>0.99710940000000003</v>
      </c>
      <c r="AB6730">
        <v>31</v>
      </c>
      <c r="AC6730">
        <v>25.848199999999899</v>
      </c>
      <c r="AD6730">
        <v>-1.1086559850155999</v>
      </c>
      <c r="AE6730">
        <v>2.30809</v>
      </c>
      <c r="AF6730">
        <v>-1.9805752525853499</v>
      </c>
      <c r="AG6730">
        <v>-1.1086559850155999</v>
      </c>
      <c r="AH6730">
        <v>25.827940715032501</v>
      </c>
      <c r="AI6730">
        <v>92.450707792749</v>
      </c>
      <c r="AJ6730">
        <v>94.385055489089495</v>
      </c>
      <c r="AK6730">
        <v>25.927481906338201</v>
      </c>
      <c r="AL6730">
        <v>90.720877271403893</v>
      </c>
      <c r="AM6730">
        <v>87.497567297917399</v>
      </c>
      <c r="AN6730">
        <v>1.0000000041809101</v>
      </c>
    </row>
    <row r="6731" spans="1:40" x14ac:dyDescent="0.25">
      <c r="A6731" t="str">
        <f>"20190312155007891"</f>
        <v>20190312155007891</v>
      </c>
      <c r="B6731" t="str">
        <f>"1552377007882445"</f>
        <v>1552377007882445</v>
      </c>
      <c r="C6731" t="s">
        <v>40</v>
      </c>
      <c r="D6731">
        <v>4.4881609999999998</v>
      </c>
      <c r="E6731">
        <v>0.45514159999999998</v>
      </c>
      <c r="F6731" t="s">
        <v>65</v>
      </c>
      <c r="G6731">
        <v>-208.8707</v>
      </c>
      <c r="H6731" s="1">
        <v>-9.8006560000000009E-7</v>
      </c>
      <c r="I6731">
        <v>-59.291339999999998</v>
      </c>
      <c r="J6731">
        <v>-234.56569999999999</v>
      </c>
      <c r="K6731">
        <v>1.108687</v>
      </c>
      <c r="L6731">
        <v>-61.586030000000001</v>
      </c>
      <c r="M6731">
        <v>0.99991410000000003</v>
      </c>
      <c r="N6731">
        <v>0</v>
      </c>
      <c r="O6731">
        <v>1.2606900000000001E-2</v>
      </c>
      <c r="P6731">
        <v>0.99938709999999997</v>
      </c>
      <c r="Q6731">
        <v>-1.6292999999999998E-2</v>
      </c>
      <c r="R6731">
        <v>-3.0989450000000002E-2</v>
      </c>
      <c r="S6731">
        <v>3.0081020000000001</v>
      </c>
      <c r="T6731">
        <v>-0.12903539999999999</v>
      </c>
      <c r="U6731">
        <v>0.26730350000000003</v>
      </c>
      <c r="V6731">
        <v>4.358998E-2</v>
      </c>
      <c r="W6731">
        <v>-1.267208E-2</v>
      </c>
      <c r="X6731">
        <v>0.99896910000000005</v>
      </c>
      <c r="Y6731">
        <v>-7.589013E-2</v>
      </c>
      <c r="Z6731">
        <v>1.084354E-3</v>
      </c>
      <c r="AA6731">
        <v>0.99711559999999999</v>
      </c>
      <c r="AB6731">
        <v>31</v>
      </c>
      <c r="AC6731">
        <v>25.695</v>
      </c>
      <c r="AD6731">
        <v>-1.1086879800656</v>
      </c>
      <c r="AE6731">
        <v>2.2946900000000001</v>
      </c>
      <c r="AF6731">
        <v>-1.96693828650304</v>
      </c>
      <c r="AG6731">
        <v>-1.1086879800656</v>
      </c>
      <c r="AH6731">
        <v>25.674465859546299</v>
      </c>
      <c r="AI6731">
        <v>92.465424136109306</v>
      </c>
      <c r="AJ6731">
        <v>94.380911190013904</v>
      </c>
      <c r="AK6731">
        <v>25.773556844818</v>
      </c>
      <c r="AL6731">
        <v>90.726076160100604</v>
      </c>
      <c r="AM6731">
        <v>87.501485692400195</v>
      </c>
      <c r="AN6731">
        <v>0.99999996536136704</v>
      </c>
    </row>
    <row r="6732" spans="1:40" x14ac:dyDescent="0.25">
      <c r="A6732" t="str">
        <f>"20190312155007900"</f>
        <v>20190312155007900</v>
      </c>
      <c r="B6732" t="str">
        <f>"1552377007892205"</f>
        <v>1552377007892205</v>
      </c>
      <c r="C6732" t="s">
        <v>40</v>
      </c>
      <c r="D6732">
        <v>4.4456110000000004</v>
      </c>
      <c r="E6732">
        <v>0.43258479999999999</v>
      </c>
      <c r="F6732" t="s">
        <v>65</v>
      </c>
      <c r="G6732">
        <v>-208.9023</v>
      </c>
      <c r="H6732" s="1">
        <v>-9.5712550000000008E-7</v>
      </c>
      <c r="I6732">
        <v>-59.301850000000002</v>
      </c>
      <c r="J6732">
        <v>-234.43260000000001</v>
      </c>
      <c r="K6732">
        <v>1.108717</v>
      </c>
      <c r="L6732">
        <v>-61.58426</v>
      </c>
      <c r="M6732">
        <v>0.99991240000000003</v>
      </c>
      <c r="N6732">
        <v>0</v>
      </c>
      <c r="O6732">
        <v>1.268042E-2</v>
      </c>
      <c r="P6732">
        <v>0.99938939999999998</v>
      </c>
      <c r="Q6732">
        <v>-1.641776E-2</v>
      </c>
      <c r="R6732">
        <v>-3.0847340000000001E-2</v>
      </c>
      <c r="S6732">
        <v>3.008041</v>
      </c>
      <c r="T6732">
        <v>-0.12995110000000001</v>
      </c>
      <c r="U6732">
        <v>0.26773069999999999</v>
      </c>
      <c r="V6732">
        <v>4.3521610000000002E-2</v>
      </c>
      <c r="W6732">
        <v>-1.260589E-2</v>
      </c>
      <c r="X6732">
        <v>0.998973</v>
      </c>
      <c r="Y6732">
        <v>-7.5958289999999998E-2</v>
      </c>
      <c r="Z6732">
        <v>1.0903589999999999E-3</v>
      </c>
      <c r="AA6732">
        <v>0.99711039999999995</v>
      </c>
      <c r="AB6732">
        <v>31</v>
      </c>
      <c r="AC6732">
        <v>25.5303</v>
      </c>
      <c r="AD6732">
        <v>-1.1087179571254999</v>
      </c>
      <c r="AE6732">
        <v>2.2824099999999898</v>
      </c>
      <c r="AF6732">
        <v>-1.9548317503503301</v>
      </c>
      <c r="AG6732">
        <v>-1.1087179571254999</v>
      </c>
      <c r="AH6732">
        <v>25.509461341558801</v>
      </c>
      <c r="AI6732">
        <v>92.481414583330903</v>
      </c>
      <c r="AJ6732">
        <v>94.382104863320905</v>
      </c>
      <c r="AK6732">
        <v>25.608265084091698</v>
      </c>
      <c r="AL6732">
        <v>90.722283390507798</v>
      </c>
      <c r="AM6732">
        <v>87.505409333560706</v>
      </c>
      <c r="AN6732">
        <v>1.00000004686434</v>
      </c>
    </row>
    <row r="6733" spans="1:40" x14ac:dyDescent="0.25">
      <c r="A6733" t="str">
        <f>"20190312155007908"</f>
        <v>20190312155007908</v>
      </c>
      <c r="B6733" t="str">
        <f>"1552377007902940"</f>
        <v>1552377007902940</v>
      </c>
      <c r="C6733" t="s">
        <v>40</v>
      </c>
      <c r="D6733">
        <v>4.3923240000000003</v>
      </c>
      <c r="E6733">
        <v>0.42696820000000002</v>
      </c>
      <c r="F6733" t="s">
        <v>65</v>
      </c>
      <c r="G6733">
        <v>-204.66</v>
      </c>
      <c r="H6733" s="1">
        <v>-4.0421970000000002E-6</v>
      </c>
      <c r="I6733">
        <v>-57.163989999999998</v>
      </c>
      <c r="J6733">
        <v>-234.31319999999999</v>
      </c>
      <c r="K6733">
        <v>1.1087469999999999</v>
      </c>
      <c r="L6733">
        <v>-61.582700000000003</v>
      </c>
      <c r="M6733">
        <v>0.99991079999999999</v>
      </c>
      <c r="N6733">
        <v>0</v>
      </c>
      <c r="O6733">
        <v>1.274661E-2</v>
      </c>
      <c r="P6733">
        <v>0.99939169999999999</v>
      </c>
      <c r="Q6733">
        <v>-1.6758160000000001E-2</v>
      </c>
      <c r="R6733">
        <v>-3.058425E-2</v>
      </c>
      <c r="S6733">
        <v>3.013779</v>
      </c>
      <c r="T6733">
        <v>-0.1122319</v>
      </c>
      <c r="U6733">
        <v>0.44744869999999998</v>
      </c>
      <c r="V6733">
        <v>4.3324719999999997E-2</v>
      </c>
      <c r="W6733">
        <v>-1.2766E-2</v>
      </c>
      <c r="X6733">
        <v>0.99897939999999996</v>
      </c>
      <c r="Y6733">
        <v>-0.1341552</v>
      </c>
      <c r="Z6733">
        <v>2.0116660000000001E-3</v>
      </c>
      <c r="AA6733">
        <v>0.99095829999999996</v>
      </c>
      <c r="AB6733">
        <v>31</v>
      </c>
      <c r="AC6733">
        <v>29.653199999999998</v>
      </c>
      <c r="AD6733">
        <v>-1.1087510421969999</v>
      </c>
      <c r="AE6733">
        <v>4.4187099999999901</v>
      </c>
      <c r="AF6733">
        <v>-4.0348518106845104</v>
      </c>
      <c r="AG6733">
        <v>-1.1087510421969999</v>
      </c>
      <c r="AH6733">
        <v>29.666540348598598</v>
      </c>
      <c r="AI6733">
        <v>92.120856547097105</v>
      </c>
      <c r="AJ6733">
        <v>97.745094202297807</v>
      </c>
      <c r="AK6733">
        <v>29.960189823543999</v>
      </c>
      <c r="AL6733">
        <v>90.731457847036907</v>
      </c>
      <c r="AM6733">
        <v>87.516696490082694</v>
      </c>
      <c r="AN6733">
        <v>0.99999992187171605</v>
      </c>
    </row>
    <row r="6734" spans="1:40" x14ac:dyDescent="0.25">
      <c r="A6734" t="str">
        <f>"20190312155007919"</f>
        <v>20190312155007919</v>
      </c>
      <c r="B6734" t="str">
        <f>"1552377007912701"</f>
        <v>1552377007912701</v>
      </c>
      <c r="C6734" t="s">
        <v>40</v>
      </c>
      <c r="D6734">
        <v>4.5278530000000003</v>
      </c>
      <c r="E6734">
        <v>0.42105320000000002</v>
      </c>
      <c r="F6734" t="s">
        <v>65</v>
      </c>
      <c r="G6734">
        <v>-199.37389999999999</v>
      </c>
      <c r="H6734" s="1">
        <v>-8.8029600000000008E-6</v>
      </c>
      <c r="I6734">
        <v>-55.877420000000001</v>
      </c>
      <c r="J6734">
        <v>-234.1651</v>
      </c>
      <c r="K6734">
        <v>1.1087819999999999</v>
      </c>
      <c r="L6734">
        <v>-61.580750000000002</v>
      </c>
      <c r="M6734">
        <v>0.99990889999999999</v>
      </c>
      <c r="N6734">
        <v>0</v>
      </c>
      <c r="O6734">
        <v>1.282842E-2</v>
      </c>
      <c r="P6734">
        <v>0.99939080000000002</v>
      </c>
      <c r="Q6734">
        <v>-1.7222310000000001E-2</v>
      </c>
      <c r="R6734">
        <v>-3.0355210000000001E-2</v>
      </c>
      <c r="S6734">
        <v>3.0152890000000001</v>
      </c>
      <c r="T6734">
        <v>-9.5686549999999995E-2</v>
      </c>
      <c r="U6734">
        <v>0.49237059999999999</v>
      </c>
      <c r="V6734">
        <v>4.3177569999999998E-2</v>
      </c>
      <c r="W6734">
        <v>-1.2995659999999999E-2</v>
      </c>
      <c r="X6734">
        <v>0.99898290000000001</v>
      </c>
      <c r="Y6734">
        <v>-0.1484164</v>
      </c>
      <c r="Z6734">
        <v>1.934631E-3</v>
      </c>
      <c r="AA6734">
        <v>0.98892310000000005</v>
      </c>
      <c r="AB6734">
        <v>31</v>
      </c>
      <c r="AC6734">
        <v>34.791200000000003</v>
      </c>
      <c r="AD6734">
        <v>-1.10879080296</v>
      </c>
      <c r="AE6734">
        <v>5.7033300000000002</v>
      </c>
      <c r="AF6734">
        <v>-5.2513464721068699</v>
      </c>
      <c r="AG6734">
        <v>-1.10879080296</v>
      </c>
      <c r="AH6734">
        <v>34.8270547124229</v>
      </c>
      <c r="AI6734">
        <v>91.803143898990498</v>
      </c>
      <c r="AJ6734">
        <v>98.574666011588505</v>
      </c>
      <c r="AK6734">
        <v>35.238186626966701</v>
      </c>
      <c r="AL6734">
        <v>90.7446174213608</v>
      </c>
      <c r="AM6734">
        <v>87.525129047209205</v>
      </c>
      <c r="AN6734">
        <v>1.0000000121111701</v>
      </c>
    </row>
    <row r="6735" spans="1:40" x14ac:dyDescent="0.25">
      <c r="A6735" t="str">
        <f>"20190312155007931"</f>
        <v>20190312155007931</v>
      </c>
      <c r="B6735" t="str">
        <f>"1552377007922461"</f>
        <v>1552377007922461</v>
      </c>
      <c r="C6735" t="s">
        <v>40</v>
      </c>
      <c r="D6735">
        <v>4.471419</v>
      </c>
      <c r="E6735">
        <v>0.41547269999999997</v>
      </c>
      <c r="F6735" t="s">
        <v>65</v>
      </c>
      <c r="G6735">
        <v>-208.16970000000001</v>
      </c>
      <c r="H6735" s="1">
        <v>-2.0581229999999998E-6</v>
      </c>
      <c r="I6735">
        <v>-56.914259999999999</v>
      </c>
      <c r="J6735">
        <v>-234.011</v>
      </c>
      <c r="K6735">
        <v>1.1088209999999901</v>
      </c>
      <c r="L6735">
        <v>-61.578670000000002</v>
      </c>
      <c r="M6735">
        <v>0.99990659999999998</v>
      </c>
      <c r="N6735">
        <v>0</v>
      </c>
      <c r="O6735">
        <v>1.291379E-2</v>
      </c>
      <c r="P6735">
        <v>0.99938800000000005</v>
      </c>
      <c r="Q6735">
        <v>-1.746934E-2</v>
      </c>
      <c r="R6735">
        <v>-3.030834E-2</v>
      </c>
      <c r="S6735">
        <v>3.0160369999999999</v>
      </c>
      <c r="T6735">
        <v>-0.1286428</v>
      </c>
      <c r="U6735">
        <v>0.54141240000000002</v>
      </c>
      <c r="V6735">
        <v>4.3215950000000003E-2</v>
      </c>
      <c r="W6735">
        <v>-1.2985979999999999E-2</v>
      </c>
      <c r="X6735">
        <v>0.99898140000000002</v>
      </c>
      <c r="Y6735">
        <v>-0.16382859999999999</v>
      </c>
      <c r="Z6735">
        <v>2.9186059999999998E-3</v>
      </c>
      <c r="AA6735">
        <v>0.98648449999999999</v>
      </c>
      <c r="AB6735">
        <v>31</v>
      </c>
      <c r="AC6735">
        <v>25.841299999999901</v>
      </c>
      <c r="AD6735">
        <v>-1.1088230581230001</v>
      </c>
      <c r="AE6735">
        <v>4.6644099999999904</v>
      </c>
      <c r="AF6735">
        <v>-4.3226010228063396</v>
      </c>
      <c r="AG6735">
        <v>-1.1088230581230001</v>
      </c>
      <c r="AH6735">
        <v>25.853282399489501</v>
      </c>
      <c r="AI6735">
        <v>92.422274172852696</v>
      </c>
      <c r="AJ6735">
        <v>99.491905338852007</v>
      </c>
      <c r="AK6735">
        <v>26.235597553788399</v>
      </c>
      <c r="AL6735">
        <v>90.744062726364405</v>
      </c>
      <c r="AM6735">
        <v>87.522928189674801</v>
      </c>
      <c r="AN6735">
        <v>1.0000000457784599</v>
      </c>
    </row>
    <row r="6736" spans="1:40" x14ac:dyDescent="0.25">
      <c r="A6736" t="str">
        <f>"20190312155007941"</f>
        <v>20190312155007941</v>
      </c>
      <c r="B6736" t="str">
        <f>"1552377007932221"</f>
        <v>1552377007932221</v>
      </c>
      <c r="C6736" t="s">
        <v>40</v>
      </c>
      <c r="D6736">
        <v>4.5443179999999996</v>
      </c>
      <c r="E6736">
        <v>0.41163549999999899</v>
      </c>
      <c r="F6736" t="s">
        <v>65</v>
      </c>
      <c r="G6736">
        <v>-208.68819999999999</v>
      </c>
      <c r="H6736" s="1">
        <v>-1.796319E-6</v>
      </c>
      <c r="I6736">
        <v>-56.659390000000002</v>
      </c>
      <c r="J6736">
        <v>-233.85300000000001</v>
      </c>
      <c r="K6736">
        <v>1.1088610000000001</v>
      </c>
      <c r="L6736">
        <v>-61.576540000000001</v>
      </c>
      <c r="M6736">
        <v>0.99990429999999997</v>
      </c>
      <c r="N6736">
        <v>0</v>
      </c>
      <c r="O6736">
        <v>1.3001169999999999E-2</v>
      </c>
      <c r="P6736">
        <v>0.99938939999999998</v>
      </c>
      <c r="Q6736">
        <v>-1.7819640000000001E-2</v>
      </c>
      <c r="R6736">
        <v>-3.005998E-2</v>
      </c>
      <c r="S6736">
        <v>3.0173030000000001</v>
      </c>
      <c r="T6736">
        <v>-0.1321205</v>
      </c>
      <c r="U6736">
        <v>0.58615109999999904</v>
      </c>
      <c r="V6736">
        <v>4.3054799999999997E-2</v>
      </c>
      <c r="W6736">
        <v>-1.306291E-2</v>
      </c>
      <c r="X6736">
        <v>0.99898730000000002</v>
      </c>
      <c r="Y6736">
        <v>-0.17776739999999999</v>
      </c>
      <c r="Z6736">
        <v>3.2905920000000002E-3</v>
      </c>
      <c r="AA6736">
        <v>0.98406700000000003</v>
      </c>
      <c r="AB6736">
        <v>31</v>
      </c>
      <c r="AC6736">
        <v>25.1647999999999</v>
      </c>
      <c r="AD6736">
        <v>-1.1088627963189901</v>
      </c>
      <c r="AE6736">
        <v>4.9171500000000004</v>
      </c>
      <c r="AF6736">
        <v>-4.5809913745040296</v>
      </c>
      <c r="AG6736">
        <v>-1.1088627963189901</v>
      </c>
      <c r="AH6736">
        <v>25.179510904921099</v>
      </c>
      <c r="AI6736">
        <v>92.480907062748003</v>
      </c>
      <c r="AJ6736">
        <v>100.31123075884901</v>
      </c>
      <c r="AK6736">
        <v>25.616846567940101</v>
      </c>
      <c r="AL6736">
        <v>90.748470905770702</v>
      </c>
      <c r="AM6736">
        <v>87.5321681756852</v>
      </c>
      <c r="AN6736">
        <v>0.99999999049099897</v>
      </c>
    </row>
    <row r="6737" spans="1:40" x14ac:dyDescent="0.25">
      <c r="A6737" t="str">
        <f>"20190312155007954"</f>
        <v>20190312155007954</v>
      </c>
      <c r="B6737" t="str">
        <f>"1552377007942957"</f>
        <v>1552377007942957</v>
      </c>
      <c r="C6737" t="s">
        <v>40</v>
      </c>
      <c r="D6737">
        <v>4.4832710000000002</v>
      </c>
      <c r="E6737">
        <v>0.40866039999999998</v>
      </c>
      <c r="F6737" t="s">
        <v>76</v>
      </c>
      <c r="G6737">
        <v>-211.40729999999999</v>
      </c>
      <c r="H6737" s="1">
        <v>-3.5751090000000001E-7</v>
      </c>
      <c r="I6737">
        <v>-56.979349999999997</v>
      </c>
      <c r="J6737">
        <v>-233.6927</v>
      </c>
      <c r="K6737">
        <v>1.108911</v>
      </c>
      <c r="L6737">
        <v>-61.574370000000002</v>
      </c>
      <c r="M6737">
        <v>0.9999017</v>
      </c>
      <c r="N6737">
        <v>0</v>
      </c>
      <c r="O6737">
        <v>1.3089719999999999E-2</v>
      </c>
      <c r="P6737">
        <v>0.99938859999999996</v>
      </c>
      <c r="Q6737">
        <v>-1.825301E-2</v>
      </c>
      <c r="R6737">
        <v>-2.982396E-2</v>
      </c>
      <c r="S6737">
        <v>3.0177610000000001</v>
      </c>
      <c r="T6737">
        <v>-0.14908350000000001</v>
      </c>
      <c r="U6737">
        <v>0.61807250000000002</v>
      </c>
      <c r="V6737">
        <v>4.290745E-2</v>
      </c>
      <c r="W6737">
        <v>-1.3202159999999999E-2</v>
      </c>
      <c r="X6737">
        <v>0.99899179999999999</v>
      </c>
      <c r="Y6737">
        <v>-0.1876015</v>
      </c>
      <c r="Z6737">
        <v>3.9442139999999997E-3</v>
      </c>
      <c r="AA6737">
        <v>0.98223729999999998</v>
      </c>
      <c r="AB6737">
        <v>31</v>
      </c>
      <c r="AC6737">
        <v>22.285399999999999</v>
      </c>
      <c r="AD6737">
        <v>-1.1089113575109</v>
      </c>
      <c r="AE6737">
        <v>4.5950199999999901</v>
      </c>
      <c r="AF6737">
        <v>-4.2927176136511296</v>
      </c>
      <c r="AG6737">
        <v>-1.1089113575109</v>
      </c>
      <c r="AH6737">
        <v>22.2906976704495</v>
      </c>
      <c r="AI6737">
        <v>92.7966826301856</v>
      </c>
      <c r="AJ6737">
        <v>100.900510131449</v>
      </c>
      <c r="AK6737">
        <v>22.727347217498799</v>
      </c>
      <c r="AL6737">
        <v>90.756450038125607</v>
      </c>
      <c r="AM6737">
        <v>87.540614716934698</v>
      </c>
      <c r="AN6737">
        <v>0.99999998138070301</v>
      </c>
    </row>
    <row r="6738" spans="1:40" x14ac:dyDescent="0.25">
      <c r="A6738" t="str">
        <f>"20190312155007964"</f>
        <v>20190312155007964</v>
      </c>
      <c r="B6738" t="str">
        <f>"1552377007952495"</f>
        <v>1552377007952495</v>
      </c>
      <c r="C6738" t="s">
        <v>40</v>
      </c>
      <c r="D6738">
        <v>4.4532540000000003</v>
      </c>
      <c r="E6738">
        <v>0.40628769999999997</v>
      </c>
      <c r="F6738" t="s">
        <v>76</v>
      </c>
      <c r="G6738">
        <v>-211.72319999999999</v>
      </c>
      <c r="H6738" s="1">
        <v>-4.8702769999999996E-7</v>
      </c>
      <c r="I6738">
        <v>-56.896599999999999</v>
      </c>
      <c r="J6738">
        <v>-233.54849999999999</v>
      </c>
      <c r="K6738">
        <v>1.108951</v>
      </c>
      <c r="L6738">
        <v>-61.572420000000001</v>
      </c>
      <c r="M6738">
        <v>0.99989930000000005</v>
      </c>
      <c r="N6738">
        <v>0</v>
      </c>
      <c r="O6738">
        <v>1.316964E-2</v>
      </c>
      <c r="P6738">
        <v>0.99938729999999998</v>
      </c>
      <c r="Q6738">
        <v>-1.8438739999999999E-2</v>
      </c>
      <c r="R6738">
        <v>-2.9755460000000001E-2</v>
      </c>
      <c r="S6738">
        <v>3.0182340000000001</v>
      </c>
      <c r="T6738">
        <v>-0.152345799999999</v>
      </c>
      <c r="U6738">
        <v>0.64263919999999997</v>
      </c>
      <c r="V6738">
        <v>4.291884E-2</v>
      </c>
      <c r="W6738">
        <v>-1.31191E-2</v>
      </c>
      <c r="X6738">
        <v>0.9989924</v>
      </c>
      <c r="Y6738">
        <v>-0.1951302</v>
      </c>
      <c r="Z6738">
        <v>4.210297E-3</v>
      </c>
      <c r="AA6738">
        <v>0.98076830000000004</v>
      </c>
      <c r="AB6738">
        <v>31</v>
      </c>
      <c r="AC6738">
        <v>21.825299999999999</v>
      </c>
      <c r="AD6738">
        <v>-1.1089514870277</v>
      </c>
      <c r="AE6738">
        <v>4.6758199999999901</v>
      </c>
      <c r="AF6738">
        <v>-4.3771745138085203</v>
      </c>
      <c r="AG6738">
        <v>-1.1089514870277</v>
      </c>
      <c r="AH6738">
        <v>21.8310990577491</v>
      </c>
      <c r="AI6738">
        <v>92.851295539096995</v>
      </c>
      <c r="AJ6738">
        <v>101.337574656558</v>
      </c>
      <c r="AK6738">
        <v>22.293189906206099</v>
      </c>
      <c r="AL6738">
        <v>90.751690642120295</v>
      </c>
      <c r="AM6738">
        <v>87.539964138295502</v>
      </c>
      <c r="AN6738">
        <v>0.99999997643475702</v>
      </c>
    </row>
    <row r="6739" spans="1:40" x14ac:dyDescent="0.25">
      <c r="A6739" t="str">
        <f>"20190312155007975"</f>
        <v>20190312155007975</v>
      </c>
      <c r="B6739" t="str">
        <f>"1552377007972018"</f>
        <v>1552377007972018</v>
      </c>
      <c r="C6739" t="s">
        <v>40</v>
      </c>
      <c r="D6739">
        <v>4.4314739999999997</v>
      </c>
      <c r="E6739">
        <v>0.4035511</v>
      </c>
      <c r="F6739" t="s">
        <v>76</v>
      </c>
      <c r="G6739">
        <v>-211.92789999999999</v>
      </c>
      <c r="H6739" s="1">
        <v>-5.7370610000000001E-7</v>
      </c>
      <c r="I6739">
        <v>-56.832569999999997</v>
      </c>
      <c r="J6739">
        <v>-233.3914</v>
      </c>
      <c r="K6739">
        <v>1.1089979999999999</v>
      </c>
      <c r="L6739">
        <v>-61.570279999999997</v>
      </c>
      <c r="M6739">
        <v>0.99989640000000002</v>
      </c>
      <c r="N6739">
        <v>0</v>
      </c>
      <c r="O6739">
        <v>1.325691E-2</v>
      </c>
      <c r="P6739">
        <v>0.99938950000000004</v>
      </c>
      <c r="Q6739">
        <v>-1.8582479999999998E-2</v>
      </c>
      <c r="R6739">
        <v>-2.9593100000000001E-2</v>
      </c>
      <c r="S6739">
        <v>3.0186920000000002</v>
      </c>
      <c r="T6739">
        <v>-0.15483279999999999</v>
      </c>
      <c r="U6739">
        <v>0.66177369999999902</v>
      </c>
      <c r="V6739">
        <v>4.284371E-2</v>
      </c>
      <c r="W6739">
        <v>-1.2944999999999899E-2</v>
      </c>
      <c r="X6739">
        <v>0.99899789999999999</v>
      </c>
      <c r="Y6739">
        <v>-0.20093630000000001</v>
      </c>
      <c r="Z6739">
        <v>4.4181339999999998E-3</v>
      </c>
      <c r="AA6739">
        <v>0.97959430000000003</v>
      </c>
      <c r="AB6739">
        <v>31</v>
      </c>
      <c r="AC6739">
        <v>21.4635</v>
      </c>
      <c r="AD6739">
        <v>-1.1089985737061001</v>
      </c>
      <c r="AE6739">
        <v>4.7377099999999999</v>
      </c>
      <c r="AF6739">
        <v>-4.4414430972994001</v>
      </c>
      <c r="AG6739">
        <v>-1.1089985737061001</v>
      </c>
      <c r="AH6739">
        <v>21.469767502223199</v>
      </c>
      <c r="AI6739">
        <v>92.895721616188794</v>
      </c>
      <c r="AJ6739">
        <v>101.687890593441</v>
      </c>
      <c r="AK6739">
        <v>21.9523850918881</v>
      </c>
      <c r="AL6739">
        <v>90.741714596576003</v>
      </c>
      <c r="AM6739">
        <v>87.544278690721697</v>
      </c>
      <c r="AN6739">
        <v>0.99999998035798598</v>
      </c>
    </row>
    <row r="6740" spans="1:40" x14ac:dyDescent="0.25">
      <c r="A6740" t="str">
        <f>"20190312155007988"</f>
        <v>20190312155007988</v>
      </c>
      <c r="B6740" t="str">
        <f>"1552377007982752"</f>
        <v>1552377007982752</v>
      </c>
      <c r="C6740" t="s">
        <v>40</v>
      </c>
      <c r="D6740">
        <v>4.5862189999999998</v>
      </c>
      <c r="E6740">
        <v>0.40278199999999997</v>
      </c>
      <c r="F6740" t="s">
        <v>76</v>
      </c>
      <c r="G6740">
        <v>-212.10319999999999</v>
      </c>
      <c r="H6740" s="1">
        <v>-6.5632030000000002E-7</v>
      </c>
      <c r="I6740">
        <v>-56.74635</v>
      </c>
      <c r="J6740">
        <v>-233.22</v>
      </c>
      <c r="K6740">
        <v>1.109056</v>
      </c>
      <c r="L6740">
        <v>-61.567900000000002</v>
      </c>
      <c r="M6740">
        <v>0.99989309999999998</v>
      </c>
      <c r="N6740">
        <v>0</v>
      </c>
      <c r="O6740">
        <v>1.335153E-2</v>
      </c>
      <c r="P6740">
        <v>0.99937819999999999</v>
      </c>
      <c r="Q6740">
        <v>-1.9179180000000001E-2</v>
      </c>
      <c r="R6740">
        <v>-2.9593089999999999E-2</v>
      </c>
      <c r="S6740">
        <v>3.01918</v>
      </c>
      <c r="T6740">
        <v>-0.15728320000000001</v>
      </c>
      <c r="U6740">
        <v>0.6841431</v>
      </c>
      <c r="V6740">
        <v>4.2938070000000002E-2</v>
      </c>
      <c r="W6740">
        <v>-1.318537E-2</v>
      </c>
      <c r="X6740">
        <v>0.99899070000000001</v>
      </c>
      <c r="Y6740">
        <v>-0.20770440000000001</v>
      </c>
      <c r="Z6740">
        <v>4.6528070000000001E-3</v>
      </c>
      <c r="AA6740">
        <v>0.97818059999999996</v>
      </c>
      <c r="AB6740">
        <v>31</v>
      </c>
      <c r="AC6740">
        <v>21.116800000000001</v>
      </c>
      <c r="AD6740">
        <v>-1.1090566563202999</v>
      </c>
      <c r="AE6740">
        <v>4.8215500000000002</v>
      </c>
      <c r="AF6740">
        <v>-4.5273044529509603</v>
      </c>
      <c r="AG6740">
        <v>-1.1090566563202999</v>
      </c>
      <c r="AH6740">
        <v>21.12391365397</v>
      </c>
      <c r="AI6740">
        <v>92.938791909742704</v>
      </c>
      <c r="AJ6740">
        <v>102.096705987709</v>
      </c>
      <c r="AK6740">
        <v>21.6320646341726</v>
      </c>
      <c r="AL6740">
        <v>90.755487962851802</v>
      </c>
      <c r="AM6740">
        <v>87.538859079001497</v>
      </c>
      <c r="AN6740">
        <v>0.99999997526192497</v>
      </c>
    </row>
    <row r="6741" spans="1:40" x14ac:dyDescent="0.25">
      <c r="A6741" t="str">
        <f>"20190312155007998"</f>
        <v>20190312155007998</v>
      </c>
      <c r="B6741" t="str">
        <f>"1552377007992512"</f>
        <v>1552377007992512</v>
      </c>
      <c r="C6741" t="s">
        <v>40</v>
      </c>
      <c r="D6741">
        <v>4.4379929999999996</v>
      </c>
      <c r="E6741">
        <v>0.40180630000000001</v>
      </c>
      <c r="F6741" t="s">
        <v>76</v>
      </c>
      <c r="G6741">
        <v>-212.2706</v>
      </c>
      <c r="H6741" s="1">
        <v>-7.0465660000000001E-7</v>
      </c>
      <c r="I6741">
        <v>-56.778700000000001</v>
      </c>
      <c r="J6741">
        <v>-233.07470000000001</v>
      </c>
      <c r="K6741">
        <v>1.1091040000000001</v>
      </c>
      <c r="L6741">
        <v>-61.565860000000001</v>
      </c>
      <c r="M6741">
        <v>0.99988999999999995</v>
      </c>
      <c r="N6741">
        <v>0</v>
      </c>
      <c r="O6741">
        <v>1.3430640000000001E-2</v>
      </c>
      <c r="P6741">
        <v>0.99937540000000002</v>
      </c>
      <c r="Q6741">
        <v>-1.9250400000000001E-2</v>
      </c>
      <c r="R6741">
        <v>-2.9639200000000001E-2</v>
      </c>
      <c r="S6741">
        <v>3.0192570000000001</v>
      </c>
      <c r="T6741">
        <v>-0.15983839999999999</v>
      </c>
      <c r="U6741">
        <v>0.6902161</v>
      </c>
      <c r="V6741">
        <v>4.306335E-2</v>
      </c>
      <c r="W6741">
        <v>-1.2933419999999999E-2</v>
      </c>
      <c r="X6741">
        <v>0.9989886</v>
      </c>
      <c r="Y6741">
        <v>-0.20948159999999999</v>
      </c>
      <c r="Z6741">
        <v>4.7694259999999898E-3</v>
      </c>
      <c r="AA6741">
        <v>0.97780100000000003</v>
      </c>
      <c r="AB6741">
        <v>31</v>
      </c>
      <c r="AC6741">
        <v>20.804099999999998</v>
      </c>
      <c r="AD6741">
        <v>-1.1091047046566</v>
      </c>
      <c r="AE6741">
        <v>4.7871600000000001</v>
      </c>
      <c r="AF6741">
        <v>-4.4951767778137004</v>
      </c>
      <c r="AG6741">
        <v>-1.1091047046566</v>
      </c>
      <c r="AH6741">
        <v>20.8103474806741</v>
      </c>
      <c r="AI6741">
        <v>92.982090706640193</v>
      </c>
      <c r="AJ6741">
        <v>102.189006001979</v>
      </c>
      <c r="AK6741">
        <v>21.319176573594198</v>
      </c>
      <c r="AL6741">
        <v>90.741051060453003</v>
      </c>
      <c r="AM6741">
        <v>87.531681917613</v>
      </c>
      <c r="AN6741">
        <v>0.99999997419803899</v>
      </c>
    </row>
    <row r="6742" spans="1:40" x14ac:dyDescent="0.25">
      <c r="A6742" t="str">
        <f>"20190312155008009"</f>
        <v>20190312155008009</v>
      </c>
      <c r="B6742" t="str">
        <f>"1552377008002272"</f>
        <v>1552377008002272</v>
      </c>
      <c r="C6742" t="s">
        <v>40</v>
      </c>
      <c r="D6742">
        <v>4.4543780000000002</v>
      </c>
      <c r="E6742">
        <v>0.40093990000000002</v>
      </c>
      <c r="F6742" t="s">
        <v>76</v>
      </c>
      <c r="G6742">
        <v>-212.09620000000001</v>
      </c>
      <c r="H6742" s="1">
        <v>-6.6179769999999903E-7</v>
      </c>
      <c r="I6742">
        <v>-56.716749999999998</v>
      </c>
      <c r="J6742">
        <v>-232.9288</v>
      </c>
      <c r="K6742">
        <v>1.109154</v>
      </c>
      <c r="L6742">
        <v>-61.563839999999999</v>
      </c>
      <c r="M6742">
        <v>0.99988679999999996</v>
      </c>
      <c r="N6742">
        <v>0</v>
      </c>
      <c r="O6742">
        <v>1.35092999999999E-2</v>
      </c>
      <c r="P6742">
        <v>0.99937069999999995</v>
      </c>
      <c r="Q6742">
        <v>-1.9506860000000001E-2</v>
      </c>
      <c r="R6742">
        <v>-2.9637520000000001E-2</v>
      </c>
      <c r="S6742">
        <v>3.019501</v>
      </c>
      <c r="T6742">
        <v>-0.15963649999999999</v>
      </c>
      <c r="U6742">
        <v>0.69793700000000003</v>
      </c>
      <c r="V6742">
        <v>4.3139959999999998E-2</v>
      </c>
      <c r="W6742">
        <v>-1.285939E-2</v>
      </c>
      <c r="X6742">
        <v>0.99898629999999999</v>
      </c>
      <c r="Y6742">
        <v>-0.2117597</v>
      </c>
      <c r="Z6742">
        <v>4.8169880000000003E-3</v>
      </c>
      <c r="AA6742">
        <v>0.97730989999999995</v>
      </c>
      <c r="AB6742">
        <v>31</v>
      </c>
      <c r="AC6742">
        <v>20.8325999999999</v>
      </c>
      <c r="AD6742">
        <v>-1.1091546617976999</v>
      </c>
      <c r="AE6742">
        <v>4.8470899999999997</v>
      </c>
      <c r="AF6742">
        <v>-4.5529644276566001</v>
      </c>
      <c r="AG6742">
        <v>-1.1091546617976999</v>
      </c>
      <c r="AH6742">
        <v>20.840140594815502</v>
      </c>
      <c r="AI6742">
        <v>92.976449937708793</v>
      </c>
      <c r="AJ6742">
        <v>102.32382580837699</v>
      </c>
      <c r="AK6742">
        <v>21.3605048899827</v>
      </c>
      <c r="AL6742">
        <v>90.736809064448195</v>
      </c>
      <c r="AM6742">
        <v>87.527290522128894</v>
      </c>
      <c r="AN6742">
        <v>1.00000002382383</v>
      </c>
    </row>
    <row r="6743" spans="1:40" x14ac:dyDescent="0.25">
      <c r="A6743" t="str">
        <f>"20190312155008020"</f>
        <v>20190312155008020</v>
      </c>
      <c r="B6743" t="str">
        <f>"1552377008012032"</f>
        <v>1552377008012032</v>
      </c>
      <c r="C6743" t="s">
        <v>40</v>
      </c>
      <c r="D6743">
        <v>4.4720079999999998</v>
      </c>
      <c r="E6743">
        <v>0.40024779999999999</v>
      </c>
      <c r="F6743" t="s">
        <v>76</v>
      </c>
      <c r="G6743">
        <v>-212.28360000000001</v>
      </c>
      <c r="H6743" s="1">
        <v>-7.1816579999999999E-7</v>
      </c>
      <c r="I6743">
        <v>-56.744610000000002</v>
      </c>
      <c r="J6743">
        <v>-232.76820000000001</v>
      </c>
      <c r="K6743">
        <v>1.109205</v>
      </c>
      <c r="L6743">
        <v>-61.561579999999999</v>
      </c>
      <c r="M6743">
        <v>0.99988299999999997</v>
      </c>
      <c r="N6743">
        <v>0</v>
      </c>
      <c r="O6743">
        <v>1.359551E-2</v>
      </c>
      <c r="P6743">
        <v>0.99936230000000004</v>
      </c>
      <c r="Q6743">
        <v>-1.9863490000000001E-2</v>
      </c>
      <c r="R6743">
        <v>-2.9674349999999999E-2</v>
      </c>
      <c r="S6743">
        <v>3.0196230000000002</v>
      </c>
      <c r="T6743">
        <v>-0.1622276</v>
      </c>
      <c r="U6743">
        <v>0.7048645</v>
      </c>
      <c r="V6743">
        <v>4.3262870000000002E-2</v>
      </c>
      <c r="W6743">
        <v>-1.2841979999999999E-2</v>
      </c>
      <c r="X6743">
        <v>0.99898120000000001</v>
      </c>
      <c r="Y6743">
        <v>-0.21378259999999999</v>
      </c>
      <c r="Z6743">
        <v>4.9426419999999997E-3</v>
      </c>
      <c r="AA6743">
        <v>0.97686870000000003</v>
      </c>
      <c r="AB6743">
        <v>31</v>
      </c>
      <c r="AC6743">
        <v>20.4846</v>
      </c>
      <c r="AD6743">
        <v>-1.1092057181657999</v>
      </c>
      <c r="AE6743">
        <v>4.8169700000000102</v>
      </c>
      <c r="AF6743">
        <v>-4.5254458453365203</v>
      </c>
      <c r="AG6743">
        <v>-1.1092057181657999</v>
      </c>
      <c r="AH6743">
        <v>20.491264471597699</v>
      </c>
      <c r="AI6743">
        <v>93.025666985735697</v>
      </c>
      <c r="AJ6743">
        <v>102.453730244127</v>
      </c>
      <c r="AK6743">
        <v>21.014326471939299</v>
      </c>
      <c r="AL6743">
        <v>90.735811468948896</v>
      </c>
      <c r="AM6743">
        <v>87.520241666917499</v>
      </c>
      <c r="AN6743">
        <v>1.0000000151621899</v>
      </c>
    </row>
    <row r="6744" spans="1:40" x14ac:dyDescent="0.25">
      <c r="A6744" t="str">
        <f>"20190312155008032"</f>
        <v>20190312155008032</v>
      </c>
      <c r="B6744" t="str">
        <f>"1552377008022768"</f>
        <v>1552377008022768</v>
      </c>
      <c r="C6744" t="s">
        <v>40</v>
      </c>
      <c r="D6744">
        <v>4.4681309999999996</v>
      </c>
      <c r="E6744">
        <v>0.3996651</v>
      </c>
      <c r="F6744" t="s">
        <v>76</v>
      </c>
      <c r="G6744">
        <v>-212.39009999999999</v>
      </c>
      <c r="H6744" s="1">
        <v>-7.4818320000000003E-7</v>
      </c>
      <c r="I6744">
        <v>-56.7680199999999</v>
      </c>
      <c r="J6744">
        <v>-232.61369999999999</v>
      </c>
      <c r="K6744">
        <v>1.1092580000000001</v>
      </c>
      <c r="L6744">
        <v>-61.55939</v>
      </c>
      <c r="M6744">
        <v>0.99987919999999997</v>
      </c>
      <c r="N6744">
        <v>0</v>
      </c>
      <c r="O6744">
        <v>1.367874E-2</v>
      </c>
      <c r="P6744">
        <v>0.99935569999999896</v>
      </c>
      <c r="Q6744">
        <v>-2.0236400000000002E-2</v>
      </c>
      <c r="R6744">
        <v>-2.9642640000000001E-2</v>
      </c>
      <c r="S6744">
        <v>3.0197449999999999</v>
      </c>
      <c r="T6744">
        <v>-0.16436829999999999</v>
      </c>
      <c r="U6744">
        <v>0.71032709999999999</v>
      </c>
      <c r="V6744">
        <v>4.3314419999999999E-2</v>
      </c>
      <c r="W6744">
        <v>-1.284712E-2</v>
      </c>
      <c r="X6744">
        <v>0.9989789</v>
      </c>
      <c r="Y6744">
        <v>-0.2153581</v>
      </c>
      <c r="Z6744">
        <v>5.0443670000000001E-3</v>
      </c>
      <c r="AA6744">
        <v>0.97652209999999995</v>
      </c>
      <c r="AB6744">
        <v>31</v>
      </c>
      <c r="AC6744">
        <v>20.223600000000001</v>
      </c>
      <c r="AD6744">
        <v>-1.1092587481831999</v>
      </c>
      <c r="AE6744">
        <v>4.7913699999999997</v>
      </c>
      <c r="AF6744">
        <v>-4.5014579614730303</v>
      </c>
      <c r="AG6744">
        <v>-1.1092587481831999</v>
      </c>
      <c r="AH6744">
        <v>20.2296234550188</v>
      </c>
      <c r="AI6744">
        <v>93.063792131745402</v>
      </c>
      <c r="AJ6744">
        <v>102.54496306042699</v>
      </c>
      <c r="AK6744">
        <v>20.7540657193037</v>
      </c>
      <c r="AL6744">
        <v>90.736105993623994</v>
      </c>
      <c r="AM6744">
        <v>87.517284889686593</v>
      </c>
      <c r="AN6744">
        <v>1.00000001505872</v>
      </c>
    </row>
    <row r="6745" spans="1:40" x14ac:dyDescent="0.25">
      <c r="A6745" t="str">
        <f>"20190312155008043"</f>
        <v>20190312155008043</v>
      </c>
      <c r="B6745" t="str">
        <f>"1552377008032529"</f>
        <v>1552377008032529</v>
      </c>
      <c r="C6745" t="s">
        <v>40</v>
      </c>
      <c r="D6745">
        <v>4.4711569999999998</v>
      </c>
      <c r="E6745">
        <v>0.39916699999999999</v>
      </c>
      <c r="F6745" t="s">
        <v>76</v>
      </c>
      <c r="G6745">
        <v>-212.47280000000001</v>
      </c>
      <c r="H6745" s="1">
        <v>-7.7048049999999996E-7</v>
      </c>
      <c r="I6745">
        <v>-56.789920000000002</v>
      </c>
      <c r="J6745">
        <v>-232.45930000000001</v>
      </c>
      <c r="K6745">
        <v>1.1093090000000001</v>
      </c>
      <c r="L6745">
        <v>-61.557189999999999</v>
      </c>
      <c r="M6745">
        <v>0.99987530000000002</v>
      </c>
      <c r="N6745">
        <v>0</v>
      </c>
      <c r="O6745">
        <v>1.376224E-2</v>
      </c>
      <c r="P6745">
        <v>0.99935469999999904</v>
      </c>
      <c r="Q6745">
        <v>-2.0470619999999998E-2</v>
      </c>
      <c r="R6745">
        <v>-2.952343E-2</v>
      </c>
      <c r="S6745">
        <v>3.0197750000000001</v>
      </c>
      <c r="T6745">
        <v>-0.16631379999999901</v>
      </c>
      <c r="U6745">
        <v>0.7150879</v>
      </c>
      <c r="V6745">
        <v>4.3278400000000002E-2</v>
      </c>
      <c r="W6745">
        <v>-1.2709160000000001E-2</v>
      </c>
      <c r="X6745">
        <v>0.99898220000000004</v>
      </c>
      <c r="Y6745">
        <v>-0.216724</v>
      </c>
      <c r="Z6745">
        <v>5.1355709999999898E-3</v>
      </c>
      <c r="AA6745">
        <v>0.97621939999999996</v>
      </c>
      <c r="AB6745">
        <v>31</v>
      </c>
      <c r="AC6745">
        <v>19.986499999999999</v>
      </c>
      <c r="AD6745">
        <v>-1.1093097704804999</v>
      </c>
      <c r="AE6745">
        <v>4.7672700000000097</v>
      </c>
      <c r="AF6745">
        <v>-4.4786969671715804</v>
      </c>
      <c r="AG6745">
        <v>-1.1093097704804999</v>
      </c>
      <c r="AH6745">
        <v>19.9919459123217</v>
      </c>
      <c r="AI6745">
        <v>93.099296730379095</v>
      </c>
      <c r="AJ6745">
        <v>102.627204332696</v>
      </c>
      <c r="AK6745">
        <v>20.517485129806499</v>
      </c>
      <c r="AL6745">
        <v>90.728200841356198</v>
      </c>
      <c r="AM6745">
        <v>87.519355104072801</v>
      </c>
      <c r="AN6745">
        <v>0.99999998928565204</v>
      </c>
    </row>
    <row r="6746" spans="1:40" x14ac:dyDescent="0.25">
      <c r="A6746" t="str">
        <f>"20190312155008055"</f>
        <v>20190312155008055</v>
      </c>
      <c r="B6746" t="str">
        <f>"1552377008052527"</f>
        <v>1552377008052527</v>
      </c>
      <c r="C6746" t="s">
        <v>40</v>
      </c>
      <c r="D6746">
        <v>4.4828289999999997</v>
      </c>
      <c r="E6746">
        <v>0.39839419999999998</v>
      </c>
      <c r="F6746" t="s">
        <v>76</v>
      </c>
      <c r="G6746">
        <v>-212.58189999999999</v>
      </c>
      <c r="H6746" s="1">
        <v>-7.9924669999999895E-7</v>
      </c>
      <c r="I6746">
        <v>-56.821339999999999</v>
      </c>
      <c r="J6746">
        <v>-232.29570000000001</v>
      </c>
      <c r="K6746">
        <v>1.109354</v>
      </c>
      <c r="L6746">
        <v>-61.554839999999999</v>
      </c>
      <c r="M6746">
        <v>0.99987099999999995</v>
      </c>
      <c r="N6746">
        <v>0</v>
      </c>
      <c r="O6746">
        <v>1.3852150000000001E-2</v>
      </c>
      <c r="P6746">
        <v>0.99935039999999997</v>
      </c>
      <c r="Q6746">
        <v>-2.089649E-2</v>
      </c>
      <c r="R6746">
        <v>-2.9368350000000001E-2</v>
      </c>
      <c r="S6746">
        <v>3.0197449999999999</v>
      </c>
      <c r="T6746">
        <v>-0.16852429999999999</v>
      </c>
      <c r="U6746">
        <v>0.71945190000000003</v>
      </c>
      <c r="V6746">
        <v>4.3213219999999997E-2</v>
      </c>
      <c r="W6746">
        <v>-1.274604E-2</v>
      </c>
      <c r="X6746">
        <v>0.9989846</v>
      </c>
      <c r="Y6746">
        <v>-0.2179643</v>
      </c>
      <c r="Z6746">
        <v>5.2320869999999998E-3</v>
      </c>
      <c r="AA6746">
        <v>0.97594270000000005</v>
      </c>
      <c r="AB6746">
        <v>31</v>
      </c>
      <c r="AC6746">
        <v>19.713799999999999</v>
      </c>
      <c r="AD6746">
        <v>-1.1093547992466899</v>
      </c>
      <c r="AE6746">
        <v>4.7335000000000003</v>
      </c>
      <c r="AF6746">
        <v>-4.4466448590835004</v>
      </c>
      <c r="AG6746">
        <v>-1.1093547992466899</v>
      </c>
      <c r="AH6746">
        <v>19.7184420295679</v>
      </c>
      <c r="AI6746">
        <v>93.141333017974304</v>
      </c>
      <c r="AJ6746">
        <v>102.708024597441</v>
      </c>
      <c r="AK6746">
        <v>20.244018243591199</v>
      </c>
      <c r="AL6746">
        <v>90.730314045700794</v>
      </c>
      <c r="AM6746">
        <v>87.523092398489894</v>
      </c>
      <c r="AN6746">
        <v>1.0000000374778</v>
      </c>
    </row>
    <row r="6747" spans="1:40" x14ac:dyDescent="0.25">
      <c r="A6747" t="str">
        <f>"20190312155008066"</f>
        <v>20190312155008066</v>
      </c>
      <c r="B6747" t="str">
        <f>"1552377008062287"</f>
        <v>1552377008062287</v>
      </c>
      <c r="C6747" t="s">
        <v>40</v>
      </c>
      <c r="D6747">
        <v>4.4851000000000001</v>
      </c>
      <c r="E6747">
        <v>0.39800990000000003</v>
      </c>
      <c r="F6747" t="s">
        <v>76</v>
      </c>
      <c r="G6747">
        <v>-212.74639999999999</v>
      </c>
      <c r="H6747" s="1">
        <v>-8.4659839999999999E-7</v>
      </c>
      <c r="I6747">
        <v>-56.853869999999901</v>
      </c>
      <c r="J6747">
        <v>-232.14920000000001</v>
      </c>
      <c r="K6747">
        <v>1.1093949999999999</v>
      </c>
      <c r="L6747">
        <v>-61.552729999999997</v>
      </c>
      <c r="M6747">
        <v>0.99986699999999995</v>
      </c>
      <c r="N6747">
        <v>0</v>
      </c>
      <c r="O6747">
        <v>1.39331E-2</v>
      </c>
      <c r="P6747">
        <v>0.99934129999999999</v>
      </c>
      <c r="Q6747">
        <v>-2.1190870000000001E-2</v>
      </c>
      <c r="R6747">
        <v>-2.946141E-2</v>
      </c>
      <c r="S6747">
        <v>3.019714</v>
      </c>
      <c r="T6747">
        <v>-0.1713586</v>
      </c>
      <c r="U6747">
        <v>0.72613530000000004</v>
      </c>
      <c r="V6747">
        <v>4.3387149999999999E-2</v>
      </c>
      <c r="W6747">
        <v>-1.2694E-2</v>
      </c>
      <c r="X6747">
        <v>0.99897769999999997</v>
      </c>
      <c r="Y6747">
        <v>-0.21991720000000001</v>
      </c>
      <c r="Z6747">
        <v>5.3687219999999898E-3</v>
      </c>
      <c r="AA6747">
        <v>0.97550369999999997</v>
      </c>
      <c r="AB6747">
        <v>31</v>
      </c>
      <c r="AC6747">
        <v>19.402799999999999</v>
      </c>
      <c r="AD6747">
        <v>-1.1093958465984</v>
      </c>
      <c r="AE6747">
        <v>4.6988600000000096</v>
      </c>
      <c r="AF6747">
        <v>-4.4144207728618401</v>
      </c>
      <c r="AG6747">
        <v>-1.1093958465984</v>
      </c>
      <c r="AH6747">
        <v>19.406459220464001</v>
      </c>
      <c r="AI6747">
        <v>93.190500073253503</v>
      </c>
      <c r="AJ6747">
        <v>102.815107372531</v>
      </c>
      <c r="AK6747">
        <v>19.933101348757901</v>
      </c>
      <c r="AL6747">
        <v>90.727332149453702</v>
      </c>
      <c r="AM6747">
        <v>87.513118365195893</v>
      </c>
      <c r="AN6747">
        <v>1.0000000137592</v>
      </c>
    </row>
    <row r="6748" spans="1:40" x14ac:dyDescent="0.25">
      <c r="A6748" t="str">
        <f>"20190312155008075"</f>
        <v>20190312155008075</v>
      </c>
      <c r="B6748" t="str">
        <f>"1552377008072047"</f>
        <v>1552377008072047</v>
      </c>
      <c r="C6748" t="s">
        <v>40</v>
      </c>
      <c r="D6748">
        <v>4.456493</v>
      </c>
      <c r="E6748">
        <v>0.39775349999999998</v>
      </c>
      <c r="F6748" t="s">
        <v>76</v>
      </c>
      <c r="G6748">
        <v>-212.6978</v>
      </c>
      <c r="H6748" s="1">
        <v>-8.2902680000000004E-7</v>
      </c>
      <c r="I6748">
        <v>-56.857750000000003</v>
      </c>
      <c r="J6748">
        <v>-231.9966</v>
      </c>
      <c r="K6748">
        <v>1.1094310000000001</v>
      </c>
      <c r="L6748">
        <v>-61.550510000000003</v>
      </c>
      <c r="M6748">
        <v>0.99986280000000005</v>
      </c>
      <c r="N6748">
        <v>0</v>
      </c>
      <c r="O6748">
        <v>1.4018009999999999E-2</v>
      </c>
      <c r="P6748">
        <v>0.99933519999999998</v>
      </c>
      <c r="Q6748">
        <v>-2.1557260000000002E-2</v>
      </c>
      <c r="R6748">
        <v>-2.9408500000000001E-2</v>
      </c>
      <c r="S6748">
        <v>3.019806</v>
      </c>
      <c r="T6748">
        <v>-0.17223229999999901</v>
      </c>
      <c r="U6748">
        <v>0.72888180000000002</v>
      </c>
      <c r="V6748">
        <v>4.3418900000000003E-2</v>
      </c>
      <c r="W6748">
        <v>-1.271979E-2</v>
      </c>
      <c r="X6748">
        <v>0.99897599999999998</v>
      </c>
      <c r="Y6748">
        <v>-0.220662</v>
      </c>
      <c r="Z6748">
        <v>5.4114840000000003E-3</v>
      </c>
      <c r="AA6748">
        <v>0.97533530000000002</v>
      </c>
      <c r="AB6748">
        <v>31</v>
      </c>
      <c r="AC6748">
        <v>19.2988</v>
      </c>
      <c r="AD6748">
        <v>-1.1094318290267999</v>
      </c>
      <c r="AE6748">
        <v>4.6927599999999901</v>
      </c>
      <c r="AF6748">
        <v>-4.4080034050553003</v>
      </c>
      <c r="AG6748">
        <v>-1.1094318290267999</v>
      </c>
      <c r="AH6748">
        <v>19.302460458966301</v>
      </c>
      <c r="AI6748">
        <v>93.207138664474897</v>
      </c>
      <c r="AJ6748">
        <v>102.863752414494</v>
      </c>
      <c r="AK6748">
        <v>19.83043904638</v>
      </c>
      <c r="AL6748">
        <v>90.728809921432997</v>
      </c>
      <c r="AM6748">
        <v>87.511296563778899</v>
      </c>
      <c r="AN6748">
        <v>1.0000000212554201</v>
      </c>
    </row>
    <row r="6749" spans="1:40" x14ac:dyDescent="0.25">
      <c r="A6749" t="str">
        <f>"20190312155008087"</f>
        <v>20190312155008087</v>
      </c>
      <c r="B6749" t="str">
        <f>"1552377008082783"</f>
        <v>1552377008082783</v>
      </c>
      <c r="C6749" t="s">
        <v>40</v>
      </c>
      <c r="D6749">
        <v>4.4566759999999999</v>
      </c>
      <c r="E6749">
        <v>0.39744299999999999</v>
      </c>
      <c r="F6749" t="s">
        <v>76</v>
      </c>
      <c r="G6749">
        <v>-212.70310000000001</v>
      </c>
      <c r="H6749" s="1">
        <v>-8.2503579999999999E-7</v>
      </c>
      <c r="I6749">
        <v>-56.879510000000003</v>
      </c>
      <c r="J6749">
        <v>-231.8417</v>
      </c>
      <c r="K6749">
        <v>1.109472</v>
      </c>
      <c r="L6749">
        <v>-61.548279999999998</v>
      </c>
      <c r="M6749">
        <v>0.99985860000000004</v>
      </c>
      <c r="N6749">
        <v>0</v>
      </c>
      <c r="O6749">
        <v>1.4103879999999999E-2</v>
      </c>
      <c r="P6749">
        <v>0.9993339</v>
      </c>
      <c r="Q6749">
        <v>-2.1911759999999999E-2</v>
      </c>
      <c r="R6749">
        <v>-2.9194939999999999E-2</v>
      </c>
      <c r="S6749">
        <v>3.0197449999999999</v>
      </c>
      <c r="T6749">
        <v>-0.1736444</v>
      </c>
      <c r="U6749">
        <v>0.73107909999999998</v>
      </c>
      <c r="V6749">
        <v>4.3290910000000002E-2</v>
      </c>
      <c r="W6749">
        <v>-1.2735399999999999E-2</v>
      </c>
      <c r="X6749">
        <v>0.99898140000000002</v>
      </c>
      <c r="Y6749">
        <v>-0.2212472</v>
      </c>
      <c r="Z6749">
        <v>5.4671429999999998E-3</v>
      </c>
      <c r="AA6749">
        <v>0.97520240000000002</v>
      </c>
      <c r="AB6749">
        <v>31</v>
      </c>
      <c r="AC6749">
        <v>19.1386</v>
      </c>
      <c r="AD6749">
        <v>-1.1094728250357999</v>
      </c>
      <c r="AE6749">
        <v>4.6687700000000003</v>
      </c>
      <c r="AF6749">
        <v>-4.3844590410828497</v>
      </c>
      <c r="AG6749">
        <v>-1.1094728250357999</v>
      </c>
      <c r="AH6749">
        <v>19.141832352438101</v>
      </c>
      <c r="AI6749">
        <v>93.233632277660703</v>
      </c>
      <c r="AJ6749">
        <v>102.901121076042</v>
      </c>
      <c r="AK6749">
        <v>19.668862621953298</v>
      </c>
      <c r="AL6749">
        <v>90.729704348751</v>
      </c>
      <c r="AM6749">
        <v>87.5186369634675</v>
      </c>
      <c r="AN6749">
        <v>1.0000000654238701</v>
      </c>
    </row>
    <row r="6750" spans="1:40" x14ac:dyDescent="0.25">
      <c r="A6750" t="str">
        <f>"20190312155008098"</f>
        <v>20190312155008098</v>
      </c>
      <c r="B6750" t="str">
        <f>"1552377008092543"</f>
        <v>1552377008092543</v>
      </c>
      <c r="C6750" t="s">
        <v>40</v>
      </c>
      <c r="D6750">
        <v>4.5604829999999996</v>
      </c>
      <c r="E6750">
        <v>0.39720179999999999</v>
      </c>
      <c r="F6750" t="s">
        <v>76</v>
      </c>
      <c r="G6750">
        <v>-212.73990000000001</v>
      </c>
      <c r="H6750" s="1">
        <v>-8.3125679999999998E-7</v>
      </c>
      <c r="I6750">
        <v>-56.903149999999997</v>
      </c>
      <c r="J6750">
        <v>-231.6936</v>
      </c>
      <c r="K6750">
        <v>1.1095010000000001</v>
      </c>
      <c r="L6750">
        <v>-61.546080000000003</v>
      </c>
      <c r="M6750">
        <v>0.99985449999999998</v>
      </c>
      <c r="N6750">
        <v>0</v>
      </c>
      <c r="O6750">
        <v>1.4185680000000001E-2</v>
      </c>
      <c r="P6750">
        <v>0.99932770000000004</v>
      </c>
      <c r="Q6750">
        <v>-2.219751E-2</v>
      </c>
      <c r="R6750">
        <v>-2.9182670000000001E-2</v>
      </c>
      <c r="S6750">
        <v>3.019577</v>
      </c>
      <c r="T6750">
        <v>-0.17538319999999999</v>
      </c>
      <c r="U6750">
        <v>0.73428340000000003</v>
      </c>
      <c r="V6750">
        <v>4.336052E-2</v>
      </c>
      <c r="W6750">
        <v>-1.271654E-2</v>
      </c>
      <c r="X6750">
        <v>0.99897860000000005</v>
      </c>
      <c r="Y6750">
        <v>-0.22214929999999999</v>
      </c>
      <c r="Z6750">
        <v>5.5425439999999999E-3</v>
      </c>
      <c r="AA6750">
        <v>0.97499690000000006</v>
      </c>
      <c r="AB6750">
        <v>31</v>
      </c>
      <c r="AC6750">
        <v>18.953700000000001</v>
      </c>
      <c r="AD6750">
        <v>-1.1095018312567999</v>
      </c>
      <c r="AE6750">
        <v>4.6429299999999998</v>
      </c>
      <c r="AF6750">
        <v>-4.3594868634083603</v>
      </c>
      <c r="AG6750">
        <v>-1.1095018312567999</v>
      </c>
      <c r="AH6750">
        <v>18.9563792754304</v>
      </c>
      <c r="AI6750">
        <v>93.264628477764404</v>
      </c>
      <c r="AJ6750">
        <v>102.951385532177</v>
      </c>
      <c r="AK6750">
        <v>19.482824108936502</v>
      </c>
      <c r="AL6750">
        <v>90.728623678393902</v>
      </c>
      <c r="AM6750">
        <v>87.514645075662699</v>
      </c>
      <c r="AN6750">
        <v>1.0000000441711001</v>
      </c>
    </row>
    <row r="6751" spans="1:40" x14ac:dyDescent="0.25">
      <c r="A6751" t="str">
        <f>"20190312155008109"</f>
        <v>20190312155008109</v>
      </c>
      <c r="B6751" t="str">
        <f>"1552377008102303"</f>
        <v>1552377008102303</v>
      </c>
      <c r="C6751" t="s">
        <v>40</v>
      </c>
      <c r="D6751">
        <v>4.4927659999999996</v>
      </c>
      <c r="E6751">
        <v>0.39694390000000002</v>
      </c>
      <c r="F6751" t="s">
        <v>76</v>
      </c>
      <c r="G6751">
        <v>-212.84809999999999</v>
      </c>
      <c r="H6751" s="1">
        <v>-8.5544039999999895E-7</v>
      </c>
      <c r="I6751">
        <v>-56.950710000000001</v>
      </c>
      <c r="J6751">
        <v>-231.54509999999999</v>
      </c>
      <c r="K6751">
        <v>1.109529</v>
      </c>
      <c r="L6751">
        <v>-61.543909999999997</v>
      </c>
      <c r="M6751">
        <v>0.99985049999999998</v>
      </c>
      <c r="N6751">
        <v>0</v>
      </c>
      <c r="O6751">
        <v>1.4267129999999999E-2</v>
      </c>
      <c r="P6751">
        <v>0.99932019999999999</v>
      </c>
      <c r="Q6751">
        <v>-2.2615260000000002E-2</v>
      </c>
      <c r="R6751">
        <v>-2.911687E-2</v>
      </c>
      <c r="S6751">
        <v>3.019577</v>
      </c>
      <c r="T6751">
        <v>-0.17777319999999999</v>
      </c>
      <c r="U6751">
        <v>0.7362976</v>
      </c>
      <c r="V6751">
        <v>4.3376100000000001E-2</v>
      </c>
      <c r="W6751">
        <v>-1.283919E-2</v>
      </c>
      <c r="X6751">
        <v>0.99897630000000004</v>
      </c>
      <c r="Y6751">
        <v>-0.22267400000000001</v>
      </c>
      <c r="Z6751">
        <v>5.6280059999999996E-3</v>
      </c>
      <c r="AA6751">
        <v>0.97487670000000004</v>
      </c>
      <c r="AB6751">
        <v>31</v>
      </c>
      <c r="AC6751">
        <v>18.696999999999999</v>
      </c>
      <c r="AD6751">
        <v>-1.1095298554403901</v>
      </c>
      <c r="AE6751">
        <v>4.5931999999999897</v>
      </c>
      <c r="AF6751">
        <v>-4.3116477061688698</v>
      </c>
      <c r="AG6751">
        <v>-1.1095298554403901</v>
      </c>
      <c r="AH6751">
        <v>18.698531698013898</v>
      </c>
      <c r="AI6751">
        <v>93.309188279868096</v>
      </c>
      <c r="AJ6751">
        <v>102.984730544454</v>
      </c>
      <c r="AK6751">
        <v>19.2212499620565</v>
      </c>
      <c r="AL6751">
        <v>90.735651619494703</v>
      </c>
      <c r="AM6751">
        <v>87.513747458596598</v>
      </c>
      <c r="AN6751">
        <v>0.99999998940637702</v>
      </c>
    </row>
    <row r="6752" spans="1:40" x14ac:dyDescent="0.25">
      <c r="A6752" t="str">
        <f>"20190312155008120"</f>
        <v>20190312155008120</v>
      </c>
      <c r="B6752" t="str">
        <f>"1552377008112063"</f>
        <v>1552377008112063</v>
      </c>
      <c r="C6752" t="s">
        <v>40</v>
      </c>
      <c r="D6752">
        <v>4.5359749999999996</v>
      </c>
      <c r="E6752">
        <v>0.3967427</v>
      </c>
      <c r="F6752" t="s">
        <v>76</v>
      </c>
      <c r="G6752">
        <v>-212.9417</v>
      </c>
      <c r="H6752" s="1">
        <v>-8.7582530000000003E-7</v>
      </c>
      <c r="I6752">
        <v>-56.993729999999999</v>
      </c>
      <c r="J6752">
        <v>-231.39109999999999</v>
      </c>
      <c r="K6752">
        <v>1.1095469999999901</v>
      </c>
      <c r="L6752">
        <v>-61.541629999999998</v>
      </c>
      <c r="M6752">
        <v>0.99984629999999997</v>
      </c>
      <c r="N6752">
        <v>0</v>
      </c>
      <c r="O6752">
        <v>1.4351239999999999E-2</v>
      </c>
      <c r="P6752">
        <v>0.99931859999999995</v>
      </c>
      <c r="Q6752">
        <v>-2.3051220000000001E-2</v>
      </c>
      <c r="R6752">
        <v>-2.883117E-2</v>
      </c>
      <c r="S6752">
        <v>3.019501</v>
      </c>
      <c r="T6752">
        <v>-0.18008640000000001</v>
      </c>
      <c r="U6752">
        <v>0.7385254</v>
      </c>
      <c r="V6752">
        <v>4.3174289999999997E-2</v>
      </c>
      <c r="W6752">
        <v>-1.298526E-2</v>
      </c>
      <c r="X6752">
        <v>0.99898310000000001</v>
      </c>
      <c r="Y6752">
        <v>-0.22326670000000001</v>
      </c>
      <c r="Z6752">
        <v>5.7132270000000004E-3</v>
      </c>
      <c r="AA6752">
        <v>0.97474070000000002</v>
      </c>
      <c r="AB6752">
        <v>31</v>
      </c>
      <c r="AC6752">
        <v>18.449400000000001</v>
      </c>
      <c r="AD6752">
        <v>-1.1095478758252999</v>
      </c>
      <c r="AE6752">
        <v>4.5478999999999896</v>
      </c>
      <c r="AF6752">
        <v>-4.2680937432178601</v>
      </c>
      <c r="AG6752">
        <v>-1.1095478758252999</v>
      </c>
      <c r="AH6752">
        <v>18.4498637762856</v>
      </c>
      <c r="AI6752">
        <v>93.3531946925781</v>
      </c>
      <c r="AJ6752">
        <v>103.025373949285</v>
      </c>
      <c r="AK6752">
        <v>18.969586027458298</v>
      </c>
      <c r="AL6752">
        <v>90.744021552211294</v>
      </c>
      <c r="AM6752">
        <v>87.525317312780899</v>
      </c>
      <c r="AN6752">
        <v>0.99999993518993802</v>
      </c>
    </row>
    <row r="6753" spans="1:40" x14ac:dyDescent="0.25">
      <c r="A6753" t="str">
        <f>"20190312155008132"</f>
        <v>20190312155008132</v>
      </c>
      <c r="B6753" t="str">
        <f>"1552377008122799"</f>
        <v>1552377008122799</v>
      </c>
      <c r="C6753" t="s">
        <v>40</v>
      </c>
      <c r="D6753">
        <v>4.5174669999999999</v>
      </c>
      <c r="E6753">
        <v>0.39652320000000002</v>
      </c>
      <c r="F6753" t="s">
        <v>76</v>
      </c>
      <c r="G6753">
        <v>-213.09710000000001</v>
      </c>
      <c r="H6753" s="1">
        <v>-9.1343620000000004E-7</v>
      </c>
      <c r="I6753">
        <v>-57.051139999999997</v>
      </c>
      <c r="J6753">
        <v>-231.23490000000001</v>
      </c>
      <c r="K6753">
        <v>1.109567</v>
      </c>
      <c r="L6753">
        <v>-61.53931</v>
      </c>
      <c r="M6753">
        <v>0.99984240000000002</v>
      </c>
      <c r="N6753">
        <v>0</v>
      </c>
      <c r="O6753">
        <v>1.4435669999999999E-2</v>
      </c>
      <c r="P6753">
        <v>0.99931939999999997</v>
      </c>
      <c r="Q6753">
        <v>-2.3222659999999999E-2</v>
      </c>
      <c r="R6753">
        <v>-2.8663879999999999E-2</v>
      </c>
      <c r="S6753">
        <v>3.019196</v>
      </c>
      <c r="T6753">
        <v>-0.1831169</v>
      </c>
      <c r="U6753">
        <v>0.74108890000000005</v>
      </c>
      <c r="V6753">
        <v>4.3091459999999998E-2</v>
      </c>
      <c r="W6753">
        <v>-1.2878860000000001E-2</v>
      </c>
      <c r="X6753">
        <v>0.99898810000000005</v>
      </c>
      <c r="Y6753">
        <v>-0.2239748</v>
      </c>
      <c r="Z6753">
        <v>5.8253000000000003E-3</v>
      </c>
      <c r="AA6753">
        <v>0.97457749999999999</v>
      </c>
      <c r="AB6753">
        <v>31</v>
      </c>
      <c r="AC6753">
        <v>18.137799999999999</v>
      </c>
      <c r="AD6753">
        <v>-1.1095679134362</v>
      </c>
      <c r="AE6753">
        <v>4.4881699999999896</v>
      </c>
      <c r="AF6753">
        <v>-4.2110074076421498</v>
      </c>
      <c r="AG6753">
        <v>-1.1095679134362</v>
      </c>
      <c r="AH6753">
        <v>18.136746040138199</v>
      </c>
      <c r="AI6753">
        <v>93.410377743446702</v>
      </c>
      <c r="AJ6753">
        <v>103.071390279623</v>
      </c>
      <c r="AK6753">
        <v>18.652219204861701</v>
      </c>
      <c r="AL6753">
        <v>90.737924736905597</v>
      </c>
      <c r="AM6753">
        <v>87.530071460197505</v>
      </c>
      <c r="AN6753">
        <v>0.99999998145072</v>
      </c>
    </row>
    <row r="6754" spans="1:40" x14ac:dyDescent="0.25">
      <c r="A6754" t="str">
        <f>"20190312155008143"</f>
        <v>20190312155008143</v>
      </c>
      <c r="B6754" t="str">
        <f>"1552377008132559"</f>
        <v>1552377008132559</v>
      </c>
      <c r="C6754" t="s">
        <v>40</v>
      </c>
      <c r="D6754">
        <v>4.5345680000000002</v>
      </c>
      <c r="E6754">
        <v>0.39626509999999998</v>
      </c>
      <c r="F6754" t="s">
        <v>76</v>
      </c>
      <c r="G6754">
        <v>-213.06960000000001</v>
      </c>
      <c r="H6754" s="1">
        <v>-8.9996680000000002E-7</v>
      </c>
      <c r="I6754">
        <v>-57.06664</v>
      </c>
      <c r="J6754">
        <v>-231.07429999999999</v>
      </c>
      <c r="K6754">
        <v>1.109586</v>
      </c>
      <c r="L6754">
        <v>-61.536869999999901</v>
      </c>
      <c r="M6754">
        <v>0.99983829999999996</v>
      </c>
      <c r="N6754">
        <v>0</v>
      </c>
      <c r="O6754">
        <v>1.452229E-2</v>
      </c>
      <c r="P6754">
        <v>0.99931420000000004</v>
      </c>
      <c r="Q6754">
        <v>-2.3405140000000001E-2</v>
      </c>
      <c r="R6754">
        <v>-2.8693639999999999E-2</v>
      </c>
      <c r="S6754">
        <v>3.0190579999999998</v>
      </c>
      <c r="T6754">
        <v>-0.18440970000000001</v>
      </c>
      <c r="U6754">
        <v>0.74334719999999999</v>
      </c>
      <c r="V6754">
        <v>4.3207809999999999E-2</v>
      </c>
      <c r="W6754">
        <v>-1.2786860000000001E-2</v>
      </c>
      <c r="X6754">
        <v>0.99898430000000005</v>
      </c>
      <c r="Y6754">
        <v>-0.224582</v>
      </c>
      <c r="Z6754">
        <v>5.8791490000000002E-3</v>
      </c>
      <c r="AA6754">
        <v>0.97443749999999996</v>
      </c>
      <c r="AB6754">
        <v>31</v>
      </c>
      <c r="AC6754">
        <v>18.0046999999999</v>
      </c>
      <c r="AD6754">
        <v>-1.1095868999667999</v>
      </c>
      <c r="AE6754">
        <v>4.4702299999999902</v>
      </c>
      <c r="AF6754">
        <v>-4.1932731876825704</v>
      </c>
      <c r="AG6754">
        <v>-1.1095868999667999</v>
      </c>
      <c r="AH6754">
        <v>18.003316995387099</v>
      </c>
      <c r="AI6754">
        <v>93.435095331650203</v>
      </c>
      <c r="AJ6754">
        <v>103.111381456446</v>
      </c>
      <c r="AK6754">
        <v>18.518481199912401</v>
      </c>
      <c r="AL6754">
        <v>90.732653058988603</v>
      </c>
      <c r="AM6754">
        <v>87.523401361469098</v>
      </c>
      <c r="AN6754">
        <v>1.00000002514007</v>
      </c>
    </row>
    <row r="6755" spans="1:40" x14ac:dyDescent="0.25">
      <c r="A6755" t="str">
        <f>"20190312155008155"</f>
        <v>20190312155008155</v>
      </c>
      <c r="B6755" t="str">
        <f>"1552377008152079"</f>
        <v>1552377008152079</v>
      </c>
      <c r="C6755" t="s">
        <v>40</v>
      </c>
      <c r="D6755">
        <v>4.572343</v>
      </c>
      <c r="E6755">
        <v>0.39626349999999999</v>
      </c>
      <c r="F6755" t="s">
        <v>76</v>
      </c>
      <c r="G6755">
        <v>-213.0581</v>
      </c>
      <c r="H6755" s="1">
        <v>-8.9011829999999995E-7</v>
      </c>
      <c r="I6755">
        <v>-57.08896</v>
      </c>
      <c r="J6755">
        <v>-230.9187</v>
      </c>
      <c r="K6755">
        <v>1.10961</v>
      </c>
      <c r="L6755">
        <v>-61.534550000000003</v>
      </c>
      <c r="M6755">
        <v>0.99983440000000001</v>
      </c>
      <c r="N6755">
        <v>0</v>
      </c>
      <c r="O6755">
        <v>1.4606350000000001E-2</v>
      </c>
      <c r="P6755">
        <v>0.99931369999999997</v>
      </c>
      <c r="Q6755">
        <v>-2.363637E-2</v>
      </c>
      <c r="R6755">
        <v>-2.8524560000000001E-2</v>
      </c>
      <c r="S6755">
        <v>3.0191189999999999</v>
      </c>
      <c r="T6755">
        <v>-0.1859423</v>
      </c>
      <c r="U6755">
        <v>0.7453613</v>
      </c>
      <c r="V6755">
        <v>4.312245E-2</v>
      </c>
      <c r="W6755">
        <v>-1.277461E-2</v>
      </c>
      <c r="X6755">
        <v>0.99898810000000005</v>
      </c>
      <c r="Y6755">
        <v>-0.22510150000000001</v>
      </c>
      <c r="Z6755">
        <v>5.9379910000000001E-3</v>
      </c>
      <c r="AA6755">
        <v>0.97431730000000005</v>
      </c>
      <c r="AB6755">
        <v>31</v>
      </c>
      <c r="AC6755">
        <v>17.860600000000002</v>
      </c>
      <c r="AD6755">
        <v>-1.1096108901182999</v>
      </c>
      <c r="AE6755">
        <v>4.4455900000000002</v>
      </c>
      <c r="AF6755">
        <v>-4.1690696974965</v>
      </c>
      <c r="AG6755">
        <v>-1.1096108901182999</v>
      </c>
      <c r="AH6755">
        <v>17.8587247026855</v>
      </c>
      <c r="AI6755">
        <v>93.462509406228804</v>
      </c>
      <c r="AJ6755">
        <v>103.14021064825801</v>
      </c>
      <c r="AK6755">
        <v>18.372436596063199</v>
      </c>
      <c r="AL6755">
        <v>90.731951161309397</v>
      </c>
      <c r="AM6755">
        <v>87.528297368760406</v>
      </c>
      <c r="AN6755">
        <v>0.99999998014813196</v>
      </c>
    </row>
    <row r="6756" spans="1:40" x14ac:dyDescent="0.25">
      <c r="A6756" t="str">
        <f>"20190312155008165"</f>
        <v>20190312155008165</v>
      </c>
      <c r="B6756" t="str">
        <f>"1552377008152079"</f>
        <v>1552377008152079</v>
      </c>
      <c r="C6756" t="s">
        <v>40</v>
      </c>
      <c r="D6756">
        <v>4.572343</v>
      </c>
      <c r="E6756">
        <v>0.39626349999999999</v>
      </c>
      <c r="F6756" t="s">
        <v>76</v>
      </c>
      <c r="G6756">
        <v>-212.94890000000001</v>
      </c>
      <c r="H6756" s="1">
        <v>-8.5140789999999998E-7</v>
      </c>
      <c r="I6756">
        <v>-57.094729999999998</v>
      </c>
      <c r="J6756">
        <v>-230.77260000000001</v>
      </c>
      <c r="K6756">
        <v>1.109626</v>
      </c>
      <c r="L6756">
        <v>-61.532319999999999</v>
      </c>
      <c r="M6756">
        <v>0.99983080000000002</v>
      </c>
      <c r="N6756">
        <v>0</v>
      </c>
      <c r="O6756">
        <v>1.4685299999999899E-2</v>
      </c>
      <c r="P6756">
        <v>0.99931680000000001</v>
      </c>
      <c r="Q6756">
        <v>-2.3752430000000001E-2</v>
      </c>
      <c r="R6756">
        <v>-2.8319589999999999E-2</v>
      </c>
      <c r="S6756">
        <v>3.0189360000000001</v>
      </c>
      <c r="T6756">
        <v>-0.186415</v>
      </c>
      <c r="U6756">
        <v>0.74588009999999905</v>
      </c>
      <c r="V6756">
        <v>4.2996569999999998E-2</v>
      </c>
      <c r="W6756">
        <v>-1.266632E-2</v>
      </c>
      <c r="X6756">
        <v>0.99899490000000002</v>
      </c>
      <c r="Y6756">
        <v>-0.22519410000000001</v>
      </c>
      <c r="Z6756">
        <v>5.9513069999999899E-3</v>
      </c>
      <c r="AA6756">
        <v>0.97429569999999999</v>
      </c>
      <c r="AB6756">
        <v>31</v>
      </c>
      <c r="AC6756">
        <v>17.823699999999999</v>
      </c>
      <c r="AD6756">
        <v>-1.1096268514079</v>
      </c>
      <c r="AE6756">
        <v>4.4375899999999904</v>
      </c>
      <c r="AF6756">
        <v>-4.1601662442971001</v>
      </c>
      <c r="AG6756">
        <v>-1.1096268514079</v>
      </c>
      <c r="AH6756">
        <v>17.821907178404999</v>
      </c>
      <c r="AI6756">
        <v>93.46970805254</v>
      </c>
      <c r="AJ6756">
        <v>103.13927008966699</v>
      </c>
      <c r="AK6756">
        <v>18.334629268279201</v>
      </c>
      <c r="AL6756">
        <v>90.7257461025807</v>
      </c>
      <c r="AM6756">
        <v>87.535520433385798</v>
      </c>
      <c r="AN6756">
        <v>0.99999997546005803</v>
      </c>
    </row>
    <row r="6757" spans="1:40" x14ac:dyDescent="0.25">
      <c r="A6757" t="str">
        <f>"20190312155008176"</f>
        <v>20190312155008176</v>
      </c>
      <c r="B6757" t="str">
        <f>"1552377008172575"</f>
        <v>1552377008172575</v>
      </c>
      <c r="C6757" t="s">
        <v>40</v>
      </c>
      <c r="D6757">
        <v>5.0243630000000001</v>
      </c>
      <c r="E6757">
        <v>0.4377065</v>
      </c>
      <c r="F6757" t="s">
        <v>76</v>
      </c>
      <c r="G6757">
        <v>-212.85419999999999</v>
      </c>
      <c r="H6757" s="1">
        <v>-8.1742919999999899E-7</v>
      </c>
      <c r="I6757">
        <v>-57.101309999999998</v>
      </c>
      <c r="J6757">
        <v>-230.62209999999999</v>
      </c>
      <c r="K6757">
        <v>1.109639</v>
      </c>
      <c r="L6757">
        <v>-61.530029999999996</v>
      </c>
      <c r="M6757">
        <v>0.99982709999999997</v>
      </c>
      <c r="N6757">
        <v>0</v>
      </c>
      <c r="O6757">
        <v>1.4766990000000001E-2</v>
      </c>
      <c r="P6757">
        <v>0.99932240000000006</v>
      </c>
      <c r="Q6757">
        <v>-2.4038259999999999E-2</v>
      </c>
      <c r="R6757">
        <v>-2.7874530000000002E-2</v>
      </c>
      <c r="S6757">
        <v>3.0187529999999998</v>
      </c>
      <c r="T6757">
        <v>-0.186941</v>
      </c>
      <c r="U6757">
        <v>0.74649049999999995</v>
      </c>
      <c r="V6757">
        <v>4.2633339999999999E-2</v>
      </c>
      <c r="W6757">
        <v>-1.274399E-2</v>
      </c>
      <c r="X6757">
        <v>0.99900949999999999</v>
      </c>
      <c r="Y6757">
        <v>-0.2253117</v>
      </c>
      <c r="Z6757">
        <v>5.9668840000000004E-3</v>
      </c>
      <c r="AA6757">
        <v>0.97426849999999998</v>
      </c>
      <c r="AB6757">
        <v>31</v>
      </c>
      <c r="AC6757">
        <v>17.767899999999901</v>
      </c>
      <c r="AD6757">
        <v>-1.1096398174291999</v>
      </c>
      <c r="AE6757">
        <v>4.4287200000000002</v>
      </c>
      <c r="AF6757">
        <v>-4.1506004389230897</v>
      </c>
      <c r="AG6757">
        <v>-1.1096398174291999</v>
      </c>
      <c r="AH6757">
        <v>17.766126321843501</v>
      </c>
      <c r="AI6757">
        <v>93.480466304931198</v>
      </c>
      <c r="AJ6757">
        <v>103.14983659651</v>
      </c>
      <c r="AK6757">
        <v>18.278239220770601</v>
      </c>
      <c r="AL6757">
        <v>90.730196610086495</v>
      </c>
      <c r="AM6757">
        <v>87.556350392590801</v>
      </c>
      <c r="AN6757">
        <v>0.99999999602546197</v>
      </c>
    </row>
    <row r="6758" spans="1:40" x14ac:dyDescent="0.25">
      <c r="A6758" t="str">
        <f>"20190312155008188"</f>
        <v>20190312155008188</v>
      </c>
      <c r="B6758" t="str">
        <f>"1552377008182337"</f>
        <v>1552377008182337</v>
      </c>
      <c r="C6758" t="s">
        <v>40</v>
      </c>
      <c r="D6758">
        <v>4.6572170000000002</v>
      </c>
      <c r="E6758">
        <v>0.4377065</v>
      </c>
      <c r="F6758" t="s">
        <v>65</v>
      </c>
      <c r="G6758">
        <v>-187.40969999999999</v>
      </c>
      <c r="H6758" s="1">
        <v>-1.196599E-5</v>
      </c>
      <c r="I6758">
        <v>-55.597790000000003</v>
      </c>
      <c r="J6758">
        <v>-230.46369999999999</v>
      </c>
      <c r="K6758">
        <v>1.109648</v>
      </c>
      <c r="L6758">
        <v>-61.527589999999996</v>
      </c>
      <c r="M6758">
        <v>0.99982360000000003</v>
      </c>
      <c r="N6758">
        <v>0</v>
      </c>
      <c r="O6758">
        <v>1.485275E-2</v>
      </c>
      <c r="P6758">
        <v>0.99932569999999998</v>
      </c>
      <c r="Q6758">
        <v>-2.388879E-2</v>
      </c>
      <c r="R6758">
        <v>-2.7891269999999999E-2</v>
      </c>
      <c r="S6758">
        <v>3.0117189999999998</v>
      </c>
      <c r="T6758">
        <v>-7.7337980000000001E-2</v>
      </c>
      <c r="U6758">
        <v>0.41345209999999999</v>
      </c>
      <c r="V6758">
        <v>4.2735639999999998E-2</v>
      </c>
      <c r="W6758">
        <v>-1.2381710000000001E-2</v>
      </c>
      <c r="X6758">
        <v>0.9990097</v>
      </c>
      <c r="Y6758">
        <v>-0.1212404</v>
      </c>
      <c r="Z6758">
        <v>1.1696689999999999E-3</v>
      </c>
      <c r="AA6758">
        <v>0.99262249999999996</v>
      </c>
      <c r="AB6758">
        <v>31</v>
      </c>
      <c r="AC6758">
        <v>43.053999999999903</v>
      </c>
      <c r="AD6758">
        <v>-1.1096599659899999</v>
      </c>
      <c r="AE6758">
        <v>5.9298000000000002</v>
      </c>
      <c r="AF6758">
        <v>-5.2861870973803899</v>
      </c>
      <c r="AG6758">
        <v>-1.1096599659899999</v>
      </c>
      <c r="AH6758">
        <v>43.1092262241038</v>
      </c>
      <c r="AI6758">
        <v>91.463548227308493</v>
      </c>
      <c r="AJ6758">
        <v>96.990886373566397</v>
      </c>
      <c r="AK6758">
        <v>43.446294489974498</v>
      </c>
      <c r="AL6758">
        <v>90.709437845943796</v>
      </c>
      <c r="AM6758">
        <v>87.550494404181293</v>
      </c>
      <c r="AN6758">
        <v>1.00000001118141</v>
      </c>
    </row>
    <row r="6759" spans="1:40" x14ac:dyDescent="0.25">
      <c r="A6759" t="str">
        <f>"20190312155008198"</f>
        <v>20190312155008198</v>
      </c>
      <c r="B6759" t="str">
        <f>"1552377008192095"</f>
        <v>1552377008192095</v>
      </c>
      <c r="C6759" t="s">
        <v>40</v>
      </c>
      <c r="D6759">
        <v>4.679386</v>
      </c>
      <c r="E6759">
        <v>0.45971050000000002</v>
      </c>
      <c r="F6759" t="s">
        <v>65</v>
      </c>
      <c r="G6759">
        <v>-186.96789999999999</v>
      </c>
      <c r="H6759" s="1">
        <v>-1.205111E-5</v>
      </c>
      <c r="I6759">
        <v>-55.556939999999997</v>
      </c>
      <c r="J6759">
        <v>-230.3143</v>
      </c>
      <c r="K6759">
        <v>1.109656</v>
      </c>
      <c r="L6759">
        <v>-61.5252699999999</v>
      </c>
      <c r="M6759">
        <v>0.99982020000000005</v>
      </c>
      <c r="N6759">
        <v>0</v>
      </c>
      <c r="O6759">
        <v>1.4934350000000001E-2</v>
      </c>
      <c r="P6759">
        <v>0.99932589999999999</v>
      </c>
      <c r="Q6759">
        <v>-2.4164990000000001E-2</v>
      </c>
      <c r="R6759">
        <v>-2.7636770000000001E-2</v>
      </c>
      <c r="S6759">
        <v>3.011749</v>
      </c>
      <c r="T6759">
        <v>-7.6835390000000003E-2</v>
      </c>
      <c r="U6759">
        <v>0.4134216</v>
      </c>
      <c r="V6759">
        <v>4.2562830000000003E-2</v>
      </c>
      <c r="W6759">
        <v>-1.247358E-2</v>
      </c>
      <c r="X6759">
        <v>0.99901589999999996</v>
      </c>
      <c r="Y6759">
        <v>-0.1211487</v>
      </c>
      <c r="Z6759">
        <v>1.158823E-3</v>
      </c>
      <c r="AA6759">
        <v>0.99263369999999995</v>
      </c>
      <c r="AB6759">
        <v>31</v>
      </c>
      <c r="AC6759">
        <v>43.346400000000003</v>
      </c>
      <c r="AD6759">
        <v>-1.1096680511100001</v>
      </c>
      <c r="AE6759">
        <v>5.9683299999999804</v>
      </c>
      <c r="AF6759">
        <v>-5.3168501716495804</v>
      </c>
      <c r="AG6759">
        <v>-1.1096680511100001</v>
      </c>
      <c r="AH6759">
        <v>43.402789169753497</v>
      </c>
      <c r="AI6759">
        <v>91.453685656233503</v>
      </c>
      <c r="AJ6759">
        <v>96.983948512854994</v>
      </c>
      <c r="AK6759">
        <v>43.741311898998802</v>
      </c>
      <c r="AL6759">
        <v>90.714702040417393</v>
      </c>
      <c r="AM6759">
        <v>87.560402594218502</v>
      </c>
      <c r="AN6759">
        <v>0.99999997657421702</v>
      </c>
    </row>
    <row r="6760" spans="1:40" x14ac:dyDescent="0.25">
      <c r="A6760" t="str">
        <f>"20190312155008209"</f>
        <v>20190312155008209</v>
      </c>
      <c r="B6760" t="str">
        <f>"1552377008202831"</f>
        <v>1552377008202831</v>
      </c>
      <c r="C6760" t="s">
        <v>40</v>
      </c>
      <c r="D6760">
        <v>4.708304</v>
      </c>
      <c r="E6760">
        <v>0.45971889999999999</v>
      </c>
      <c r="F6760" t="s">
        <v>76</v>
      </c>
      <c r="G6760">
        <v>-212.83369999999999</v>
      </c>
      <c r="H6760" s="1">
        <v>-2.325395E-7</v>
      </c>
      <c r="I6760">
        <v>-60.113810000000001</v>
      </c>
      <c r="J6760">
        <v>-230.16650000000001</v>
      </c>
      <c r="K6760">
        <v>1.1096649999999999</v>
      </c>
      <c r="L6760">
        <v>-61.523009999999999</v>
      </c>
      <c r="M6760">
        <v>0.99981699999999996</v>
      </c>
      <c r="N6760">
        <v>0</v>
      </c>
      <c r="O6760">
        <v>1.5014990000000001E-2</v>
      </c>
      <c r="P6760">
        <v>0.99932900000000002</v>
      </c>
      <c r="Q6760">
        <v>-2.4305879999999998E-2</v>
      </c>
      <c r="R6760">
        <v>-2.739807E-2</v>
      </c>
      <c r="S6760">
        <v>3.004105</v>
      </c>
      <c r="T6760">
        <v>-0.19069839999999999</v>
      </c>
      <c r="U6760">
        <v>0.24255370000000001</v>
      </c>
      <c r="V6760">
        <v>4.2404789999999998E-2</v>
      </c>
      <c r="W6760">
        <v>-1.244114E-2</v>
      </c>
      <c r="X6760">
        <v>0.99902299999999999</v>
      </c>
      <c r="Y6760">
        <v>-6.5401730000000005E-2</v>
      </c>
      <c r="Z6760">
        <v>1.119845E-3</v>
      </c>
      <c r="AA6760">
        <v>0.99785840000000003</v>
      </c>
      <c r="AB6760">
        <v>31</v>
      </c>
      <c r="AC6760">
        <v>17.332799999999999</v>
      </c>
      <c r="AD6760">
        <v>-1.1096652325395</v>
      </c>
      <c r="AE6760">
        <v>1.40919999999999</v>
      </c>
      <c r="AF6760">
        <v>-1.14411242729041</v>
      </c>
      <c r="AG6760">
        <v>-1.1096652325395</v>
      </c>
      <c r="AH6760">
        <v>17.281639204808101</v>
      </c>
      <c r="AI6760">
        <v>93.665952235726493</v>
      </c>
      <c r="AJ6760">
        <v>93.787678464754507</v>
      </c>
      <c r="AK6760">
        <v>17.354982102547599</v>
      </c>
      <c r="AL6760">
        <v>90.712843239028402</v>
      </c>
      <c r="AM6760">
        <v>87.569467430150794</v>
      </c>
      <c r="AN6760">
        <v>0.99999995135422004</v>
      </c>
    </row>
    <row r="6761" spans="1:40" x14ac:dyDescent="0.25">
      <c r="A6761" t="str">
        <f>"20190312155008221"</f>
        <v>20190312155008221</v>
      </c>
      <c r="B6761" t="str">
        <f>"1552377008212591"</f>
        <v>1552377008212591</v>
      </c>
      <c r="C6761" t="s">
        <v>40</v>
      </c>
      <c r="D6761">
        <v>4.6211690000000001</v>
      </c>
      <c r="E6761">
        <v>0.4600572</v>
      </c>
      <c r="F6761" t="s">
        <v>76</v>
      </c>
      <c r="G6761">
        <v>-212.84100000000001</v>
      </c>
      <c r="H6761" s="1">
        <v>-2.3450739999999999E-7</v>
      </c>
      <c r="I6761">
        <v>-60.120330000000003</v>
      </c>
      <c r="J6761">
        <v>-230.01179999999999</v>
      </c>
      <c r="K6761">
        <v>1.109675</v>
      </c>
      <c r="L6761">
        <v>-61.520600000000002</v>
      </c>
      <c r="M6761">
        <v>0.99981370000000003</v>
      </c>
      <c r="N6761">
        <v>0</v>
      </c>
      <c r="O6761">
        <v>1.509945E-2</v>
      </c>
      <c r="P6761">
        <v>0.99932690000000002</v>
      </c>
      <c r="Q6761">
        <v>-2.4543189999999999E-2</v>
      </c>
      <c r="R6761">
        <v>-2.7269089999999999E-2</v>
      </c>
      <c r="S6761">
        <v>3.004013</v>
      </c>
      <c r="T6761">
        <v>-0.1924005</v>
      </c>
      <c r="U6761">
        <v>0.24319460000000001</v>
      </c>
      <c r="V6761">
        <v>4.2360290000000002E-2</v>
      </c>
      <c r="W6761">
        <v>-1.250887E-2</v>
      </c>
      <c r="X6761">
        <v>0.99902409999999997</v>
      </c>
      <c r="Y6761">
        <v>-6.5529450000000003E-2</v>
      </c>
      <c r="Z6761">
        <v>1.1285290000000001E-3</v>
      </c>
      <c r="AA6761">
        <v>0.99785000000000001</v>
      </c>
      <c r="AB6761">
        <v>31</v>
      </c>
      <c r="AC6761">
        <v>17.1708</v>
      </c>
      <c r="AD6761">
        <v>-1.1096752345073999</v>
      </c>
      <c r="AE6761">
        <v>1.4002699999999899</v>
      </c>
      <c r="AF6761">
        <v>-1.1361083714956299</v>
      </c>
      <c r="AG6761">
        <v>-1.1096752345073999</v>
      </c>
      <c r="AH6761">
        <v>17.1189623066868</v>
      </c>
      <c r="AI6761">
        <v>93.700686357243001</v>
      </c>
      <c r="AJ6761">
        <v>93.796894859829393</v>
      </c>
      <c r="AK6761">
        <v>17.192469043614</v>
      </c>
      <c r="AL6761">
        <v>90.716724142909698</v>
      </c>
      <c r="AM6761">
        <v>87.572017670883795</v>
      </c>
      <c r="AN6761">
        <v>1.0000000091891801</v>
      </c>
    </row>
    <row r="6762" spans="1:40" x14ac:dyDescent="0.25">
      <c r="A6762" t="str">
        <f>"20190312155008234"</f>
        <v>20190312155008234</v>
      </c>
      <c r="B6762" t="str">
        <f>"1552377008222351"</f>
        <v>1552377008222351</v>
      </c>
      <c r="C6762" t="s">
        <v>40</v>
      </c>
      <c r="D6762">
        <v>4.6492599999999999</v>
      </c>
      <c r="E6762">
        <v>0.45952589999999999</v>
      </c>
      <c r="F6762" t="s">
        <v>76</v>
      </c>
      <c r="G6762">
        <v>-212.02090000000001</v>
      </c>
      <c r="H6762" s="1">
        <v>1.100198E-7</v>
      </c>
      <c r="I6762">
        <v>-60.079250000000002</v>
      </c>
      <c r="J6762">
        <v>-229.84719999999999</v>
      </c>
      <c r="K6762">
        <v>1.1096839999999999</v>
      </c>
      <c r="L6762">
        <v>-61.517969999999998</v>
      </c>
      <c r="M6762">
        <v>0.99981030000000004</v>
      </c>
      <c r="N6762">
        <v>0</v>
      </c>
      <c r="O6762">
        <v>1.5189340000000001E-2</v>
      </c>
      <c r="P6762">
        <v>0.99932650000000001</v>
      </c>
      <c r="Q6762">
        <v>-2.4857049999999999E-2</v>
      </c>
      <c r="R6762">
        <v>-2.699934E-2</v>
      </c>
      <c r="S6762">
        <v>3.0040589999999998</v>
      </c>
      <c r="T6762">
        <v>-0.18528929999999999</v>
      </c>
      <c r="U6762">
        <v>0.2406616</v>
      </c>
      <c r="V6762">
        <v>4.2180160000000001E-2</v>
      </c>
      <c r="W6762">
        <v>-1.2656209999999999E-2</v>
      </c>
      <c r="X6762">
        <v>0.99902990000000003</v>
      </c>
      <c r="Y6762">
        <v>-6.4611840000000004E-2</v>
      </c>
      <c r="Z6762">
        <v>1.0531589999999999E-3</v>
      </c>
      <c r="AA6762">
        <v>0.99790990000000002</v>
      </c>
      <c r="AB6762">
        <v>31</v>
      </c>
      <c r="AC6762">
        <v>17.8262999999999</v>
      </c>
      <c r="AD6762">
        <v>-1.1096838899802</v>
      </c>
      <c r="AE6762">
        <v>1.43871999999999</v>
      </c>
      <c r="AF6762">
        <v>-1.16328553426881</v>
      </c>
      <c r="AG6762">
        <v>-1.1096838899802</v>
      </c>
      <c r="AH6762">
        <v>17.7776547068075</v>
      </c>
      <c r="AI6762">
        <v>93.564174506874494</v>
      </c>
      <c r="AJ6762">
        <v>93.743827155838105</v>
      </c>
      <c r="AK6762">
        <v>17.850199955305701</v>
      </c>
      <c r="AL6762">
        <v>90.725166746586495</v>
      </c>
      <c r="AM6762">
        <v>87.582343999106399</v>
      </c>
      <c r="AN6762">
        <v>1.0000000433215901</v>
      </c>
    </row>
    <row r="6763" spans="1:40" x14ac:dyDescent="0.25">
      <c r="A6763" t="str">
        <f>"20190312155008243"</f>
        <v>20190312155008243</v>
      </c>
      <c r="B6763" t="str">
        <f>"1552377008232112"</f>
        <v>1552377008232112</v>
      </c>
      <c r="C6763" t="s">
        <v>40</v>
      </c>
      <c r="D6763">
        <v>4.6705589999999999</v>
      </c>
      <c r="E6763">
        <v>0.45930919999999997</v>
      </c>
      <c r="F6763" t="s">
        <v>76</v>
      </c>
      <c r="G6763">
        <v>-212.11</v>
      </c>
      <c r="H6763" s="1">
        <v>6.9587259999999897E-8</v>
      </c>
      <c r="I6763">
        <v>-60.0668199999999</v>
      </c>
      <c r="J6763">
        <v>-229.69649999999999</v>
      </c>
      <c r="K6763">
        <v>1.1096919999999999</v>
      </c>
      <c r="L6763">
        <v>-61.515630000000002</v>
      </c>
      <c r="M6763">
        <v>0.99980709999999995</v>
      </c>
      <c r="N6763">
        <v>0</v>
      </c>
      <c r="O6763">
        <v>1.5271710000000001E-2</v>
      </c>
      <c r="P6763">
        <v>0.99932430000000005</v>
      </c>
      <c r="Q6763">
        <v>-2.5062790000000001E-2</v>
      </c>
      <c r="R6763">
        <v>-2.6882489999999998E-2</v>
      </c>
      <c r="S6763">
        <v>3.0039829999999998</v>
      </c>
      <c r="T6763">
        <v>-0.18793589999999999</v>
      </c>
      <c r="U6763">
        <v>0.24575810000000001</v>
      </c>
      <c r="V6763">
        <v>4.2145889999999998E-2</v>
      </c>
      <c r="W6763">
        <v>-1.271563E-2</v>
      </c>
      <c r="X6763">
        <v>0.99903050000000004</v>
      </c>
      <c r="Y6763">
        <v>-6.6207920000000003E-2</v>
      </c>
      <c r="Z6763">
        <v>1.1127859999999999E-3</v>
      </c>
      <c r="AA6763">
        <v>0.99780519999999995</v>
      </c>
      <c r="AB6763">
        <v>31</v>
      </c>
      <c r="AC6763">
        <v>17.586499999999901</v>
      </c>
      <c r="AD6763">
        <v>-1.1096919304127399</v>
      </c>
      <c r="AE6763">
        <v>1.4488099999999999</v>
      </c>
      <c r="AF6763">
        <v>-1.1753963146892601</v>
      </c>
      <c r="AG6763">
        <v>-1.1096919304127399</v>
      </c>
      <c r="AH6763">
        <v>17.537222603062698</v>
      </c>
      <c r="AI6763">
        <v>93.612559017131204</v>
      </c>
      <c r="AJ6763">
        <v>93.8343973019511</v>
      </c>
      <c r="AK6763">
        <v>17.611562943315999</v>
      </c>
      <c r="AL6763">
        <v>90.728571602461798</v>
      </c>
      <c r="AM6763">
        <v>87.584307386685495</v>
      </c>
      <c r="AN6763">
        <v>0.99999995161021804</v>
      </c>
    </row>
    <row r="6764" spans="1:40" x14ac:dyDescent="0.25">
      <c r="A6764" t="str">
        <f>"20190312155008256"</f>
        <v>20190312155008256</v>
      </c>
      <c r="B6764" t="str">
        <f>"1552377008252607"</f>
        <v>1552377008252607</v>
      </c>
      <c r="C6764" t="s">
        <v>40</v>
      </c>
      <c r="D6764">
        <v>4.6761739999999996</v>
      </c>
      <c r="E6764">
        <v>0.4587599</v>
      </c>
      <c r="F6764" t="s">
        <v>76</v>
      </c>
      <c r="G6764">
        <v>-212.1575</v>
      </c>
      <c r="H6764" s="1">
        <v>4.9460480000000002E-8</v>
      </c>
      <c r="I6764">
        <v>-60.068179999999998</v>
      </c>
      <c r="J6764">
        <v>-229.54159999999999</v>
      </c>
      <c r="K6764">
        <v>1.109702</v>
      </c>
      <c r="L6764">
        <v>-61.513179999999998</v>
      </c>
      <c r="M6764">
        <v>0.99980420000000003</v>
      </c>
      <c r="N6764">
        <v>0</v>
      </c>
      <c r="O6764">
        <v>1.535623E-2</v>
      </c>
      <c r="P6764">
        <v>0.99932129999999997</v>
      </c>
      <c r="Q6764">
        <v>-2.5163680000000001E-2</v>
      </c>
      <c r="R6764">
        <v>-2.6904239999999999E-2</v>
      </c>
      <c r="S6764">
        <v>3.0039220000000002</v>
      </c>
      <c r="T6764">
        <v>-0.1900568</v>
      </c>
      <c r="U6764">
        <v>0.24789430000000001</v>
      </c>
      <c r="V6764">
        <v>4.2251900000000002E-2</v>
      </c>
      <c r="W6764">
        <v>-1.2682189999999999E-2</v>
      </c>
      <c r="X6764">
        <v>0.99902650000000004</v>
      </c>
      <c r="Y6764">
        <v>-6.6826699999999906E-2</v>
      </c>
      <c r="Z6764">
        <v>1.1395000000000001E-3</v>
      </c>
      <c r="AA6764">
        <v>0.99776390000000004</v>
      </c>
      <c r="AB6764">
        <v>31</v>
      </c>
      <c r="AC6764">
        <v>17.384099999999901</v>
      </c>
      <c r="AD6764">
        <v>-1.10970195053952</v>
      </c>
      <c r="AE6764">
        <v>1.4450000000000001</v>
      </c>
      <c r="AF6764">
        <v>-1.1731071609464701</v>
      </c>
      <c r="AG6764">
        <v>-1.10970195053952</v>
      </c>
      <c r="AH6764">
        <v>17.334092726937801</v>
      </c>
      <c r="AI6764">
        <v>93.654652028615899</v>
      </c>
      <c r="AJ6764">
        <v>93.871662396671397</v>
      </c>
      <c r="AK6764">
        <v>17.4091467193591</v>
      </c>
      <c r="AL6764">
        <v>90.726655438671102</v>
      </c>
      <c r="AM6764">
        <v>87.578228710101399</v>
      </c>
      <c r="AN6764">
        <v>1.0000000043495201</v>
      </c>
    </row>
    <row r="6765" spans="1:40" x14ac:dyDescent="0.25">
      <c r="A6765" t="str">
        <f>"20190312155008267"</f>
        <v>20190312155008267</v>
      </c>
      <c r="B6765" t="str">
        <f>"1552377008262367"</f>
        <v>1552377008262367</v>
      </c>
      <c r="C6765" t="s">
        <v>40</v>
      </c>
      <c r="D6765">
        <v>4.6908349999999999</v>
      </c>
      <c r="E6765">
        <v>0.45863409999999899</v>
      </c>
      <c r="F6765" t="s">
        <v>76</v>
      </c>
      <c r="G6765">
        <v>-212.07050000000001</v>
      </c>
      <c r="H6765" s="1">
        <v>8.28345599999999E-8</v>
      </c>
      <c r="I6765">
        <v>-60.046019999999999</v>
      </c>
      <c r="J6765">
        <v>-229.38650000000001</v>
      </c>
      <c r="K6765">
        <v>1.1097090000000001</v>
      </c>
      <c r="L6765">
        <v>-61.510710000000003</v>
      </c>
      <c r="M6765">
        <v>0.9998013</v>
      </c>
      <c r="N6765">
        <v>0</v>
      </c>
      <c r="O6765">
        <v>1.544071E-2</v>
      </c>
      <c r="P6765">
        <v>0.99931590000000003</v>
      </c>
      <c r="Q6765">
        <v>-2.5333620000000001E-2</v>
      </c>
      <c r="R6765">
        <v>-2.6946149999999999E-2</v>
      </c>
      <c r="S6765">
        <v>3.0040439999999999</v>
      </c>
      <c r="T6765">
        <v>-0.19080620000000001</v>
      </c>
      <c r="U6765">
        <v>0.25225829999999999</v>
      </c>
      <c r="V6765">
        <v>4.2378180000000001E-2</v>
      </c>
      <c r="W6765">
        <v>-1.27216E-2</v>
      </c>
      <c r="X6765">
        <v>0.99902060000000004</v>
      </c>
      <c r="Y6765">
        <v>-6.8175169999999993E-2</v>
      </c>
      <c r="Z6765">
        <v>1.1812280000000001E-3</v>
      </c>
      <c r="AA6765">
        <v>0.99767269999999997</v>
      </c>
      <c r="AB6765">
        <v>31</v>
      </c>
      <c r="AC6765">
        <v>17.315999999999999</v>
      </c>
      <c r="AD6765">
        <v>-1.10970891716544</v>
      </c>
      <c r="AE6765">
        <v>1.4646899999999901</v>
      </c>
      <c r="AF6765">
        <v>-1.19226096249868</v>
      </c>
      <c r="AG6765">
        <v>-1.10970891716544</v>
      </c>
      <c r="AH6765">
        <v>17.266144973208402</v>
      </c>
      <c r="AI6765">
        <v>93.668675510226294</v>
      </c>
      <c r="AJ6765">
        <v>93.950114933783695</v>
      </c>
      <c r="AK6765">
        <v>17.342799725516699</v>
      </c>
      <c r="AL6765">
        <v>90.728913684037707</v>
      </c>
      <c r="AM6765">
        <v>87.570984990581806</v>
      </c>
      <c r="AN6765">
        <v>0.99999995423551502</v>
      </c>
    </row>
    <row r="6766" spans="1:40" x14ac:dyDescent="0.25">
      <c r="A6766" t="str">
        <f>"20190312155008277"</f>
        <v>20190312155008277</v>
      </c>
      <c r="B6766" t="str">
        <f>"1552377008272128"</f>
        <v>1552377008272128</v>
      </c>
      <c r="C6766" t="s">
        <v>40</v>
      </c>
      <c r="D6766">
        <v>4.7281639999999996</v>
      </c>
      <c r="E6766">
        <v>0.45846310000000001</v>
      </c>
      <c r="F6766" t="s">
        <v>76</v>
      </c>
      <c r="G6766">
        <v>-212.01689999999999</v>
      </c>
      <c r="H6766" s="1">
        <v>1.059383E-7</v>
      </c>
      <c r="I6766">
        <v>-60.046579999999999</v>
      </c>
      <c r="J6766">
        <v>-229.2432</v>
      </c>
      <c r="K6766">
        <v>1.109715</v>
      </c>
      <c r="L6766">
        <v>-61.508420000000001</v>
      </c>
      <c r="M6766">
        <v>0.99979870000000004</v>
      </c>
      <c r="N6766">
        <v>0</v>
      </c>
      <c r="O6766">
        <v>1.5519E-2</v>
      </c>
      <c r="P6766">
        <v>0.99931760000000003</v>
      </c>
      <c r="Q6766">
        <v>-2.5254490000000001E-2</v>
      </c>
      <c r="R6766">
        <v>-2.6954599999999999E-2</v>
      </c>
      <c r="S6766">
        <v>3.0039980000000002</v>
      </c>
      <c r="T6766">
        <v>-0.19191929999999999</v>
      </c>
      <c r="U6766">
        <v>0.25320429999999999</v>
      </c>
      <c r="V6766">
        <v>4.2464839999999997E-2</v>
      </c>
      <c r="W6766">
        <v>-1.253405E-2</v>
      </c>
      <c r="X6766">
        <v>0.99901930000000005</v>
      </c>
      <c r="Y6766">
        <v>-6.8408750000000004E-2</v>
      </c>
      <c r="Z6766">
        <v>1.190562E-3</v>
      </c>
      <c r="AA6766">
        <v>0.9976566</v>
      </c>
      <c r="AB6766">
        <v>31</v>
      </c>
      <c r="AC6766">
        <v>17.226299999999998</v>
      </c>
      <c r="AD6766">
        <v>-1.1097148940616901</v>
      </c>
      <c r="AE6766">
        <v>1.46183999999998</v>
      </c>
      <c r="AF6766">
        <v>-1.1894067165403099</v>
      </c>
      <c r="AG6766">
        <v>-1.1097148940616901</v>
      </c>
      <c r="AH6766">
        <v>17.176143451645199</v>
      </c>
      <c r="AI6766">
        <v>93.687816432593493</v>
      </c>
      <c r="AJ6766">
        <v>93.961271578944903</v>
      </c>
      <c r="AK6766">
        <v>17.2530014593099</v>
      </c>
      <c r="AL6766">
        <v>90.718166996616304</v>
      </c>
      <c r="AM6766">
        <v>87.566020652697304</v>
      </c>
      <c r="AN6766">
        <v>0.99999996340905795</v>
      </c>
    </row>
    <row r="6767" spans="1:40" x14ac:dyDescent="0.25">
      <c r="A6767" t="str">
        <f>"20190312155008288"</f>
        <v>20190312155008288</v>
      </c>
      <c r="B6767" t="str">
        <f>"1552377008282863"</f>
        <v>1552377008282863</v>
      </c>
      <c r="C6767" t="s">
        <v>40</v>
      </c>
      <c r="D6767">
        <v>4.6704439999999998</v>
      </c>
      <c r="E6767">
        <v>0.45846409999999999</v>
      </c>
      <c r="F6767" t="s">
        <v>76</v>
      </c>
      <c r="G6767">
        <v>-211.91820000000001</v>
      </c>
      <c r="H6767" s="1">
        <v>1.471786E-7</v>
      </c>
      <c r="I6767">
        <v>-60.040520000000001</v>
      </c>
      <c r="J6767">
        <v>-229.09190000000001</v>
      </c>
      <c r="K6767">
        <v>1.1097189999999999</v>
      </c>
      <c r="L6767">
        <v>-61.505980000000001</v>
      </c>
      <c r="M6767">
        <v>0.99979589999999996</v>
      </c>
      <c r="N6767">
        <v>0</v>
      </c>
      <c r="O6767">
        <v>1.560156E-2</v>
      </c>
      <c r="P6767">
        <v>0.9993185</v>
      </c>
      <c r="Q6767">
        <v>-2.5336460000000002E-2</v>
      </c>
      <c r="R6767">
        <v>-2.6842230000000002E-2</v>
      </c>
      <c r="S6767">
        <v>3.0040589999999998</v>
      </c>
      <c r="T6767">
        <v>-0.19241849999999999</v>
      </c>
      <c r="U6767">
        <v>0.25451659999999998</v>
      </c>
      <c r="V6767">
        <v>4.2434899999999998E-2</v>
      </c>
      <c r="W6767">
        <v>-1.2505779999999999E-2</v>
      </c>
      <c r="X6767">
        <v>0.99902089999999999</v>
      </c>
      <c r="Y6767">
        <v>-6.875626E-2</v>
      </c>
      <c r="Z6767">
        <v>1.1994320000000001E-3</v>
      </c>
      <c r="AA6767">
        <v>0.99763270000000004</v>
      </c>
      <c r="AB6767">
        <v>31</v>
      </c>
      <c r="AC6767">
        <v>17.173699999999901</v>
      </c>
      <c r="AD6767">
        <v>-1.1097188528213999</v>
      </c>
      <c r="AE6767">
        <v>1.46546000000001</v>
      </c>
      <c r="AF6767">
        <v>-1.1923803460175799</v>
      </c>
      <c r="AG6767">
        <v>-1.1097188528213999</v>
      </c>
      <c r="AH6767">
        <v>17.123494151308801</v>
      </c>
      <c r="AI6767">
        <v>93.699038473591202</v>
      </c>
      <c r="AJ6767">
        <v>93.983314244931705</v>
      </c>
      <c r="AK6767">
        <v>17.200793550641201</v>
      </c>
      <c r="AL6767">
        <v>90.716547136865799</v>
      </c>
      <c r="AM6767">
        <v>87.567738568350094</v>
      </c>
      <c r="AN6767">
        <v>0.99999993695411205</v>
      </c>
    </row>
    <row r="6768" spans="1:40" x14ac:dyDescent="0.25">
      <c r="A6768" t="str">
        <f>"20190312155008299"</f>
        <v>20190312155008299</v>
      </c>
      <c r="B6768" t="str">
        <f>"1552377008292623"</f>
        <v>1552377008292623</v>
      </c>
      <c r="C6768" t="s">
        <v>40</v>
      </c>
      <c r="D6768">
        <v>4.7132329999999998</v>
      </c>
      <c r="E6768">
        <v>0.45838479999999998</v>
      </c>
      <c r="F6768" t="s">
        <v>76</v>
      </c>
      <c r="G6768">
        <v>-211.74979999999999</v>
      </c>
      <c r="H6768" s="1">
        <v>2.184162E-7</v>
      </c>
      <c r="I6768">
        <v>-60.034669999999998</v>
      </c>
      <c r="J6768">
        <v>-228.9391</v>
      </c>
      <c r="K6768">
        <v>1.1097250000000001</v>
      </c>
      <c r="L6768">
        <v>-61.503509999999999</v>
      </c>
      <c r="M6768">
        <v>0.99979340000000005</v>
      </c>
      <c r="N6768">
        <v>0</v>
      </c>
      <c r="O6768">
        <v>1.5684879999999998E-2</v>
      </c>
      <c r="P6768">
        <v>0.99931990000000004</v>
      </c>
      <c r="Q6768">
        <v>-2.525813E-2</v>
      </c>
      <c r="R6768">
        <v>-2.6867019999999998E-2</v>
      </c>
      <c r="S6768">
        <v>3.0040279999999999</v>
      </c>
      <c r="T6768">
        <v>-0.19222700000000001</v>
      </c>
      <c r="U6768">
        <v>0.25485229999999998</v>
      </c>
      <c r="V6768">
        <v>4.2542870000000003E-2</v>
      </c>
      <c r="W6768">
        <v>-1.232571E-2</v>
      </c>
      <c r="X6768">
        <v>0.99901859999999998</v>
      </c>
      <c r="Y6768">
        <v>-6.8784940000000003E-2</v>
      </c>
      <c r="Z6768">
        <v>1.1938470000000001E-3</v>
      </c>
      <c r="AA6768">
        <v>0.99763080000000004</v>
      </c>
      <c r="AB6768">
        <v>30</v>
      </c>
      <c r="AC6768">
        <v>17.189299999999999</v>
      </c>
      <c r="AD6768">
        <v>-1.1097247815838001</v>
      </c>
      <c r="AE6768">
        <v>1.4688399999999999</v>
      </c>
      <c r="AF6768">
        <v>-1.1940839271327099</v>
      </c>
      <c r="AG6768">
        <v>-1.1097247815838001</v>
      </c>
      <c r="AH6768">
        <v>17.139309010876801</v>
      </c>
      <c r="AI6768">
        <v>93.695645455619598</v>
      </c>
      <c r="AJ6768">
        <v>93.985318068291804</v>
      </c>
      <c r="AK6768">
        <v>17.216655856647101</v>
      </c>
      <c r="AL6768">
        <v>90.706229051694393</v>
      </c>
      <c r="AM6768">
        <v>87.561551853691398</v>
      </c>
      <c r="AN6768">
        <v>0.99999999103040005</v>
      </c>
    </row>
    <row r="6769" spans="1:40" x14ac:dyDescent="0.25">
      <c r="A6769" t="str">
        <f>"20190312155008310"</f>
        <v>20190312155008310</v>
      </c>
      <c r="B6769" t="str">
        <f>"1552377008302384"</f>
        <v>1552377008302384</v>
      </c>
      <c r="C6769" t="s">
        <v>40</v>
      </c>
      <c r="D6769">
        <v>4.7149890000000001</v>
      </c>
      <c r="E6769">
        <v>0.45840510000000001</v>
      </c>
      <c r="F6769" t="s">
        <v>76</v>
      </c>
      <c r="G6769">
        <v>-211.6378</v>
      </c>
      <c r="H6769" s="1">
        <v>2.6597990000000001E-7</v>
      </c>
      <c r="I6769">
        <v>-60.032150000000001</v>
      </c>
      <c r="J6769">
        <v>-228.79239999999999</v>
      </c>
      <c r="K6769">
        <v>1.109731</v>
      </c>
      <c r="L6769">
        <v>-61.501130000000003</v>
      </c>
      <c r="M6769">
        <v>0.99979079999999998</v>
      </c>
      <c r="N6769">
        <v>0</v>
      </c>
      <c r="O6769">
        <v>1.5765049999999999E-2</v>
      </c>
      <c r="P6769">
        <v>0.99931729999999996</v>
      </c>
      <c r="Q6769">
        <v>-2.534817E-2</v>
      </c>
      <c r="R6769">
        <v>-2.687575E-2</v>
      </c>
      <c r="S6769">
        <v>3.0040439999999999</v>
      </c>
      <c r="T6769">
        <v>-0.19268260000000001</v>
      </c>
      <c r="U6769">
        <v>0.25546259999999998</v>
      </c>
      <c r="V6769">
        <v>4.2631759999999998E-2</v>
      </c>
      <c r="W6769">
        <v>-1.2324079999999999E-2</v>
      </c>
      <c r="X6769">
        <v>0.99901490000000004</v>
      </c>
      <c r="Y6769">
        <v>-6.8905179999999996E-2</v>
      </c>
      <c r="Z6769">
        <v>1.1953720000000001E-3</v>
      </c>
      <c r="AA6769">
        <v>0.99762249999999997</v>
      </c>
      <c r="AB6769">
        <v>30</v>
      </c>
      <c r="AC6769">
        <v>17.154599999999899</v>
      </c>
      <c r="AD6769">
        <v>-1.1097307340200999</v>
      </c>
      <c r="AE6769">
        <v>1.46898</v>
      </c>
      <c r="AF6769">
        <v>-1.1933736482721999</v>
      </c>
      <c r="AG6769">
        <v>-1.1097307340200999</v>
      </c>
      <c r="AH6769">
        <v>17.104570200943801</v>
      </c>
      <c r="AI6769">
        <v>93.703124517979205</v>
      </c>
      <c r="AJ6769">
        <v>93.991018241397796</v>
      </c>
      <c r="AK6769">
        <v>17.182024465278701</v>
      </c>
      <c r="AL6769">
        <v>90.7061356036577</v>
      </c>
      <c r="AM6769">
        <v>87.556454037173097</v>
      </c>
      <c r="AN6769">
        <v>1.0000000601652701</v>
      </c>
    </row>
    <row r="6770" spans="1:40" x14ac:dyDescent="0.25">
      <c r="A6770" t="str">
        <f>"20190312155008321"</f>
        <v>20190312155008321</v>
      </c>
      <c r="B6770" t="str">
        <f>"1552377008312144"</f>
        <v>1552377008312144</v>
      </c>
      <c r="C6770" t="s">
        <v>40</v>
      </c>
      <c r="D6770">
        <v>4.6922079999999999</v>
      </c>
      <c r="E6770">
        <v>0.45836490000000002</v>
      </c>
      <c r="F6770" t="s">
        <v>76</v>
      </c>
      <c r="G6770">
        <v>-211.51050000000001</v>
      </c>
      <c r="H6770" s="1">
        <v>3.2065629999999999E-7</v>
      </c>
      <c r="I6770">
        <v>-60.032490000000003</v>
      </c>
      <c r="J6770">
        <v>-228.64189999999999</v>
      </c>
      <c r="K6770">
        <v>1.1097429999999999</v>
      </c>
      <c r="L6770">
        <v>-61.498690000000003</v>
      </c>
      <c r="M6770">
        <v>0.99978860000000003</v>
      </c>
      <c r="N6770">
        <v>0</v>
      </c>
      <c r="O6770">
        <v>1.5847090000000001E-2</v>
      </c>
      <c r="P6770">
        <v>0.99931610000000004</v>
      </c>
      <c r="Q6770">
        <v>-2.551457E-2</v>
      </c>
      <c r="R6770">
        <v>-2.677587E-2</v>
      </c>
      <c r="S6770">
        <v>3.0040439999999999</v>
      </c>
      <c r="T6770">
        <v>-0.1929004</v>
      </c>
      <c r="U6770">
        <v>0.25527949999999999</v>
      </c>
      <c r="V6770">
        <v>4.2613610000000003E-2</v>
      </c>
      <c r="W6770">
        <v>-1.2402450000000001E-2</v>
      </c>
      <c r="X6770">
        <v>0.99901459999999997</v>
      </c>
      <c r="Y6770">
        <v>-6.876314E-2</v>
      </c>
      <c r="Z6770">
        <v>1.1869249999999999E-3</v>
      </c>
      <c r="AA6770">
        <v>0.99763230000000003</v>
      </c>
      <c r="AB6770">
        <v>30</v>
      </c>
      <c r="AC6770">
        <v>17.1313999999999</v>
      </c>
      <c r="AD6770">
        <v>-1.1097426793437</v>
      </c>
      <c r="AE6770">
        <v>1.4661999999999999</v>
      </c>
      <c r="AF6770">
        <v>-1.18955437433626</v>
      </c>
      <c r="AG6770">
        <v>-1.1097426793437</v>
      </c>
      <c r="AH6770">
        <v>17.081329477131799</v>
      </c>
      <c r="AI6770">
        <v>93.708221720491693</v>
      </c>
      <c r="AJ6770">
        <v>93.983681872159494</v>
      </c>
      <c r="AK6770">
        <v>17.158624220204601</v>
      </c>
      <c r="AL6770">
        <v>90.7106262910292</v>
      </c>
      <c r="AM6770">
        <v>87.557492357054301</v>
      </c>
      <c r="AN6770">
        <v>0.999999955768196</v>
      </c>
    </row>
    <row r="6771" spans="1:40" x14ac:dyDescent="0.25">
      <c r="A6771" t="str">
        <f>"20190312155008333"</f>
        <v>20190312155008333</v>
      </c>
      <c r="B6771" t="str">
        <f>"1552377008322879"</f>
        <v>1552377008322879</v>
      </c>
      <c r="C6771" t="s">
        <v>40</v>
      </c>
      <c r="D6771">
        <v>4.7051049999999996</v>
      </c>
      <c r="E6771">
        <v>0.45836179999999899</v>
      </c>
      <c r="F6771" t="s">
        <v>76</v>
      </c>
      <c r="G6771">
        <v>-211.39400000000001</v>
      </c>
      <c r="H6771" s="1">
        <v>3.7005639999999998E-7</v>
      </c>
      <c r="I6771">
        <v>-60.029040000000002</v>
      </c>
      <c r="J6771">
        <v>-228.47730000000001</v>
      </c>
      <c r="K6771">
        <v>1.1097490000000001</v>
      </c>
      <c r="L6771">
        <v>-61.4959699999999</v>
      </c>
      <c r="M6771">
        <v>0.99978579999999995</v>
      </c>
      <c r="N6771">
        <v>0</v>
      </c>
      <c r="O6771">
        <v>1.5937159999999999E-2</v>
      </c>
      <c r="P6771">
        <v>0.99931789999999998</v>
      </c>
      <c r="Q6771">
        <v>-2.5615249999999999E-2</v>
      </c>
      <c r="R6771">
        <v>-2.660028E-2</v>
      </c>
      <c r="S6771">
        <v>3.0039829999999998</v>
      </c>
      <c r="T6771">
        <v>-0.1932777</v>
      </c>
      <c r="U6771">
        <v>0.25595089999999998</v>
      </c>
      <c r="V6771">
        <v>4.252819E-2</v>
      </c>
      <c r="W6771">
        <v>-1.2415259999999999E-2</v>
      </c>
      <c r="X6771">
        <v>0.99901810000000002</v>
      </c>
      <c r="Y6771">
        <v>-6.8895789999999998E-2</v>
      </c>
      <c r="Z6771">
        <v>1.187731E-3</v>
      </c>
      <c r="AA6771">
        <v>0.99762309999999998</v>
      </c>
      <c r="AB6771">
        <v>30</v>
      </c>
      <c r="AC6771">
        <v>17.083300000000001</v>
      </c>
      <c r="AD6771">
        <v>-1.1097486299435999</v>
      </c>
      <c r="AE6771">
        <v>1.4669299999999901</v>
      </c>
      <c r="AF6771">
        <v>-1.18947785852149</v>
      </c>
      <c r="AG6771">
        <v>-1.1097486299435999</v>
      </c>
      <c r="AH6771">
        <v>17.033158011976798</v>
      </c>
      <c r="AI6771">
        <v>93.7186499104685</v>
      </c>
      <c r="AJ6771">
        <v>93.994655560460103</v>
      </c>
      <c r="AK6771">
        <v>17.110665430033499</v>
      </c>
      <c r="AL6771">
        <v>90.711360292917504</v>
      </c>
      <c r="AM6771">
        <v>87.562391039963799</v>
      </c>
      <c r="AN6771">
        <v>0.99999997487657599</v>
      </c>
    </row>
    <row r="6772" spans="1:40" x14ac:dyDescent="0.25">
      <c r="A6772" t="str">
        <f>"20190312155008344"</f>
        <v>20190312155008344</v>
      </c>
      <c r="B6772" t="str">
        <f>"1552377008332639"</f>
        <v>1552377008332639</v>
      </c>
      <c r="C6772" t="s">
        <v>40</v>
      </c>
      <c r="D6772">
        <v>4.6530750000000003</v>
      </c>
      <c r="E6772">
        <v>0.4585111</v>
      </c>
      <c r="F6772" t="s">
        <v>76</v>
      </c>
      <c r="G6772">
        <v>-211.2859</v>
      </c>
      <c r="H6772" s="1">
        <v>4.162843E-7</v>
      </c>
      <c r="I6772">
        <v>-60.028320000000001</v>
      </c>
      <c r="J6772">
        <v>-228.3314</v>
      </c>
      <c r="K6772">
        <v>1.1097549999999901</v>
      </c>
      <c r="L6772">
        <v>-61.493560000000002</v>
      </c>
      <c r="M6772">
        <v>0.99978359999999999</v>
      </c>
      <c r="N6772">
        <v>0</v>
      </c>
      <c r="O6772">
        <v>1.601677E-2</v>
      </c>
      <c r="P6772">
        <v>0.99932469999999995</v>
      </c>
      <c r="Q6772">
        <v>-2.5674280000000001E-2</v>
      </c>
      <c r="R6772">
        <v>-2.62831E-2</v>
      </c>
      <c r="S6772">
        <v>3.0039220000000002</v>
      </c>
      <c r="T6772">
        <v>-0.19391069999999999</v>
      </c>
      <c r="U6772">
        <v>0.25643919999999998</v>
      </c>
      <c r="V6772">
        <v>4.229082E-2</v>
      </c>
      <c r="W6772">
        <v>-1.239932E-2</v>
      </c>
      <c r="X6772">
        <v>0.99902840000000004</v>
      </c>
      <c r="Y6772">
        <v>-6.8978319999999996E-2</v>
      </c>
      <c r="Z6772">
        <v>1.1891619999999999E-3</v>
      </c>
      <c r="AA6772">
        <v>0.99761739999999999</v>
      </c>
      <c r="AB6772">
        <v>30</v>
      </c>
      <c r="AC6772">
        <v>17.045500000000001</v>
      </c>
      <c r="AD6772">
        <v>-1.1097545837156999</v>
      </c>
      <c r="AE6772">
        <v>1.4652400000000001</v>
      </c>
      <c r="AF6772">
        <v>-1.18701956562911</v>
      </c>
      <c r="AG6772">
        <v>-1.1097545837156999</v>
      </c>
      <c r="AH6772">
        <v>16.9952738018264</v>
      </c>
      <c r="AI6772">
        <v>93.726932918977994</v>
      </c>
      <c r="AJ6772">
        <v>93.995283862438001</v>
      </c>
      <c r="AK6772">
        <v>17.0727824997659</v>
      </c>
      <c r="AL6772">
        <v>90.710446909801604</v>
      </c>
      <c r="AM6772">
        <v>87.576005179115697</v>
      </c>
      <c r="AN6772">
        <v>1.0000000002996401</v>
      </c>
    </row>
    <row r="6773" spans="1:40" x14ac:dyDescent="0.25">
      <c r="A6773" t="str">
        <f>"20190312155008355"</f>
        <v>20190312155008355</v>
      </c>
      <c r="B6773" t="str">
        <f>"1552377008352160"</f>
        <v>1552377008352160</v>
      </c>
      <c r="C6773" t="s">
        <v>40</v>
      </c>
      <c r="D6773">
        <v>4.6277460000000001</v>
      </c>
      <c r="E6773">
        <v>0.45868130000000001</v>
      </c>
      <c r="F6773" t="s">
        <v>76</v>
      </c>
      <c r="G6773">
        <v>-210.9854</v>
      </c>
      <c r="H6773" s="1">
        <v>5.4275259999999896E-7</v>
      </c>
      <c r="I6773">
        <v>-60.014609999999998</v>
      </c>
      <c r="J6773">
        <v>-228.1841</v>
      </c>
      <c r="K6773">
        <v>1.1097649999999999</v>
      </c>
      <c r="L6773">
        <v>-61.491120000000002</v>
      </c>
      <c r="M6773">
        <v>0.99978140000000004</v>
      </c>
      <c r="N6773">
        <v>0</v>
      </c>
      <c r="O6773">
        <v>1.6097449999999999E-2</v>
      </c>
      <c r="P6773">
        <v>0.99933050000000001</v>
      </c>
      <c r="Q6773">
        <v>-2.5803340000000001E-2</v>
      </c>
      <c r="R6773">
        <v>-2.5933419999999999E-2</v>
      </c>
      <c r="S6773">
        <v>3.0038450000000001</v>
      </c>
      <c r="T6773">
        <v>-0.1921786</v>
      </c>
      <c r="U6773">
        <v>0.25610349999999998</v>
      </c>
      <c r="V6773">
        <v>4.2021910000000003E-2</v>
      </c>
      <c r="W6773">
        <v>-1.246153E-2</v>
      </c>
      <c r="X6773">
        <v>0.99903900000000001</v>
      </c>
      <c r="Y6773">
        <v>-6.8791759999999993E-2</v>
      </c>
      <c r="Z6773">
        <v>1.1674999999999999E-3</v>
      </c>
      <c r="AA6773">
        <v>0.99763040000000003</v>
      </c>
      <c r="AB6773">
        <v>30</v>
      </c>
      <c r="AC6773">
        <v>17.198699999999999</v>
      </c>
      <c r="AD6773">
        <v>-1.1097644572473999</v>
      </c>
      <c r="AE6773">
        <v>1.47650999999999</v>
      </c>
      <c r="AF6773">
        <v>-1.1945017350304601</v>
      </c>
      <c r="AG6773">
        <v>-1.1097644572473999</v>
      </c>
      <c r="AH6773">
        <v>17.149360394298299</v>
      </c>
      <c r="AI6773">
        <v>93.693621296829704</v>
      </c>
      <c r="AJ6773">
        <v>93.9843789136265</v>
      </c>
      <c r="AK6773">
        <v>17.2266936316603</v>
      </c>
      <c r="AL6773">
        <v>90.714011536525405</v>
      </c>
      <c r="AM6773">
        <v>87.591425684538507</v>
      </c>
      <c r="AN6773">
        <v>1.0000000270854901</v>
      </c>
    </row>
    <row r="6774" spans="1:40" x14ac:dyDescent="0.25">
      <c r="A6774" t="str">
        <f>"20190312155008366"</f>
        <v>20190312155008366</v>
      </c>
      <c r="B6774" t="str">
        <f>"1552377008362896"</f>
        <v>1552377008362896</v>
      </c>
      <c r="C6774" t="s">
        <v>40</v>
      </c>
      <c r="D6774">
        <v>4.6547429999999999</v>
      </c>
      <c r="E6774">
        <v>0.45875349999999998</v>
      </c>
      <c r="F6774" t="s">
        <v>76</v>
      </c>
      <c r="G6774">
        <v>-210.64580000000001</v>
      </c>
      <c r="H6774" s="1">
        <v>6.8543779999999898E-7</v>
      </c>
      <c r="I6774">
        <v>-59.997689999999999</v>
      </c>
      <c r="J6774">
        <v>-228.02930000000001</v>
      </c>
      <c r="K6774">
        <v>1.1097709999999901</v>
      </c>
      <c r="L6774">
        <v>-61.488529999999997</v>
      </c>
      <c r="M6774">
        <v>0.99977910000000003</v>
      </c>
      <c r="N6774">
        <v>0</v>
      </c>
      <c r="O6774">
        <v>1.6181919999999999E-2</v>
      </c>
      <c r="P6774">
        <v>0.99933830000000001</v>
      </c>
      <c r="Q6774">
        <v>-2.5865059999999999E-2</v>
      </c>
      <c r="R6774">
        <v>-2.5575669999999998E-2</v>
      </c>
      <c r="S6774">
        <v>3.0037539999999998</v>
      </c>
      <c r="T6774">
        <v>-0.19006780000000001</v>
      </c>
      <c r="U6774">
        <v>0.25576779999999999</v>
      </c>
      <c r="V6774">
        <v>4.1748720000000003E-2</v>
      </c>
      <c r="W6774">
        <v>-1.245482E-2</v>
      </c>
      <c r="X6774">
        <v>0.99905049999999995</v>
      </c>
      <c r="Y6774">
        <v>-6.8602199999999905E-2</v>
      </c>
      <c r="Z6774">
        <v>1.143432E-3</v>
      </c>
      <c r="AA6774">
        <v>0.99764339999999996</v>
      </c>
      <c r="AB6774">
        <v>30</v>
      </c>
      <c r="AC6774">
        <v>17.383499999999898</v>
      </c>
      <c r="AD6774">
        <v>-1.10977031456219</v>
      </c>
      <c r="AE6774">
        <v>1.49083999999999</v>
      </c>
      <c r="AF6774">
        <v>-1.20444803902373</v>
      </c>
      <c r="AG6774">
        <v>-1.10977031456219</v>
      </c>
      <c r="AH6774">
        <v>17.335214709030399</v>
      </c>
      <c r="AI6774">
        <v>93.654191995731694</v>
      </c>
      <c r="AJ6774">
        <v>93.974514529941004</v>
      </c>
      <c r="AK6774">
        <v>17.412408053970498</v>
      </c>
      <c r="AL6774">
        <v>90.713627078585901</v>
      </c>
      <c r="AM6774">
        <v>87.607093396315307</v>
      </c>
      <c r="AN6774">
        <v>0.99999998985656002</v>
      </c>
    </row>
    <row r="6775" spans="1:40" x14ac:dyDescent="0.25">
      <c r="A6775" t="str">
        <f>"20190312155008377"</f>
        <v>20190312155008377</v>
      </c>
      <c r="B6775" t="str">
        <f>"1552377008372655"</f>
        <v>1552377008372655</v>
      </c>
      <c r="C6775" t="s">
        <v>40</v>
      </c>
      <c r="D6775">
        <v>4.6805680000000001</v>
      </c>
      <c r="E6775">
        <v>0.45880149999999997</v>
      </c>
      <c r="F6775" t="s">
        <v>76</v>
      </c>
      <c r="G6775">
        <v>-210.40289999999999</v>
      </c>
      <c r="H6775" s="1">
        <v>7.8400280000000002E-7</v>
      </c>
      <c r="I6775">
        <v>-59.984839999999998</v>
      </c>
      <c r="J6775">
        <v>-227.87450000000001</v>
      </c>
      <c r="K6775">
        <v>1.109777</v>
      </c>
      <c r="L6775">
        <v>-61.485959999999999</v>
      </c>
      <c r="M6775">
        <v>0.99977700000000003</v>
      </c>
      <c r="N6775">
        <v>0</v>
      </c>
      <c r="O6775">
        <v>1.626644E-2</v>
      </c>
      <c r="P6775">
        <v>0.99934120000000004</v>
      </c>
      <c r="Q6775">
        <v>-2.5853379999999999E-2</v>
      </c>
      <c r="R6775">
        <v>-2.5477099999999999E-2</v>
      </c>
      <c r="S6775">
        <v>3.0036320000000001</v>
      </c>
      <c r="T6775">
        <v>-0.18911020000000001</v>
      </c>
      <c r="U6775">
        <v>0.2562256</v>
      </c>
      <c r="V6775">
        <v>4.1734489999999999E-2</v>
      </c>
      <c r="W6775">
        <v>-1.23821E-2</v>
      </c>
      <c r="X6775">
        <v>0.99905200000000005</v>
      </c>
      <c r="Y6775">
        <v>-6.8673280000000003E-2</v>
      </c>
      <c r="Z6775">
        <v>1.1346469999999999E-3</v>
      </c>
      <c r="AA6775">
        <v>0.99763860000000004</v>
      </c>
      <c r="AB6775">
        <v>30</v>
      </c>
      <c r="AC6775">
        <v>17.471599999999999</v>
      </c>
      <c r="AD6775">
        <v>-1.1097762159972</v>
      </c>
      <c r="AE6775">
        <v>1.50111999999999</v>
      </c>
      <c r="AF6775">
        <v>-1.2118413247564801</v>
      </c>
      <c r="AG6775">
        <v>-1.1097762159972</v>
      </c>
      <c r="AH6775">
        <v>17.423923820520599</v>
      </c>
      <c r="AI6775">
        <v>93.635639285694296</v>
      </c>
      <c r="AJ6775">
        <v>93.978539050480407</v>
      </c>
      <c r="AK6775">
        <v>17.501236640571602</v>
      </c>
      <c r="AL6775">
        <v>90.709460207059706</v>
      </c>
      <c r="AM6775">
        <v>87.607911655357398</v>
      </c>
      <c r="AN6775">
        <v>0.99999999137998496</v>
      </c>
    </row>
    <row r="6776" spans="1:40" x14ac:dyDescent="0.25">
      <c r="A6776" t="str">
        <f>"20190312155008388"</f>
        <v>20190312155008388</v>
      </c>
      <c r="B6776" t="str">
        <f>"1552377008382416"</f>
        <v>1552377008382416</v>
      </c>
      <c r="C6776" t="s">
        <v>40</v>
      </c>
      <c r="D6776">
        <v>4.6503209999999999</v>
      </c>
      <c r="E6776">
        <v>0.4588199</v>
      </c>
      <c r="F6776" t="s">
        <v>76</v>
      </c>
      <c r="G6776">
        <v>-210.15129999999999</v>
      </c>
      <c r="H6776" s="1">
        <v>8.6696880000000003E-7</v>
      </c>
      <c r="I6776">
        <v>-59.974930000000001</v>
      </c>
      <c r="J6776">
        <v>-227.73240000000001</v>
      </c>
      <c r="K6776">
        <v>1.1097760000000001</v>
      </c>
      <c r="L6776">
        <v>-61.483519999999999</v>
      </c>
      <c r="M6776">
        <v>0.99977499999999997</v>
      </c>
      <c r="N6776">
        <v>0</v>
      </c>
      <c r="O6776">
        <v>1.6344339999999999E-2</v>
      </c>
      <c r="P6776">
        <v>0.99934460000000003</v>
      </c>
      <c r="Q6776">
        <v>-2.6020720000000001E-2</v>
      </c>
      <c r="R6776">
        <v>-2.5168289999999999E-2</v>
      </c>
      <c r="S6776">
        <v>3.0036619999999998</v>
      </c>
      <c r="T6776">
        <v>-0.18808030000000001</v>
      </c>
      <c r="U6776">
        <v>0.256073</v>
      </c>
      <c r="V6776">
        <v>4.1503749999999999E-2</v>
      </c>
      <c r="W6776">
        <v>-1.249581E-2</v>
      </c>
      <c r="X6776">
        <v>0.99906019999999895</v>
      </c>
      <c r="Y6776">
        <v>-6.8545899999999896E-2</v>
      </c>
      <c r="Z6776">
        <v>1.1196310000000001E-3</v>
      </c>
      <c r="AA6776">
        <v>0.99764730000000001</v>
      </c>
      <c r="AB6776">
        <v>30</v>
      </c>
      <c r="AC6776">
        <v>17.581099999999999</v>
      </c>
      <c r="AD6776">
        <v>-1.1097751330312</v>
      </c>
      <c r="AE6776">
        <v>1.5085899999999901</v>
      </c>
      <c r="AF6776">
        <v>-1.21620012922966</v>
      </c>
      <c r="AG6776">
        <v>-1.1097751330312</v>
      </c>
      <c r="AH6776">
        <v>17.534055843678601</v>
      </c>
      <c r="AI6776">
        <v>93.612907753872804</v>
      </c>
      <c r="AJ6776">
        <v>93.967804452575905</v>
      </c>
      <c r="AK6776">
        <v>17.611185591250599</v>
      </c>
      <c r="AL6776">
        <v>90.715975811795005</v>
      </c>
      <c r="AM6776">
        <v>87.621141205798196</v>
      </c>
      <c r="AN6776">
        <v>0.99999999487782898</v>
      </c>
    </row>
    <row r="6777" spans="1:40" x14ac:dyDescent="0.25">
      <c r="A6777" t="str">
        <f>"20190312155008399"</f>
        <v>20190312155008399</v>
      </c>
      <c r="B6777" t="str">
        <f>"1552377008392176"</f>
        <v>1552377008392176</v>
      </c>
      <c r="C6777" t="s">
        <v>40</v>
      </c>
      <c r="D6777">
        <v>4.6739439999999997</v>
      </c>
      <c r="E6777">
        <v>0.45886169999999998</v>
      </c>
      <c r="F6777" t="s">
        <v>65</v>
      </c>
      <c r="G6777">
        <v>-209.9169</v>
      </c>
      <c r="H6777" s="1">
        <v>-1.371102E-7</v>
      </c>
      <c r="I6777">
        <v>-59.960099999999997</v>
      </c>
      <c r="J6777">
        <v>-227.5787</v>
      </c>
      <c r="K6777">
        <v>1.1097809999999999</v>
      </c>
      <c r="L6777">
        <v>-61.480930000000001</v>
      </c>
      <c r="M6777">
        <v>0.99977280000000002</v>
      </c>
      <c r="N6777">
        <v>0</v>
      </c>
      <c r="O6777">
        <v>1.6428379999999999E-2</v>
      </c>
      <c r="P6777">
        <v>0.99935309999999999</v>
      </c>
      <c r="Q6777">
        <v>-2.6022150000000001E-2</v>
      </c>
      <c r="R6777">
        <v>-2.482881E-2</v>
      </c>
      <c r="S6777">
        <v>3.0035400000000001</v>
      </c>
      <c r="T6777">
        <v>-0.1870986</v>
      </c>
      <c r="U6777">
        <v>0.25683590000000001</v>
      </c>
      <c r="V6777">
        <v>4.1248369999999999E-2</v>
      </c>
      <c r="W6777">
        <v>-1.2444240000000001E-2</v>
      </c>
      <c r="X6777">
        <v>0.99907140000000005</v>
      </c>
      <c r="Y6777">
        <v>-6.8717940000000005E-2</v>
      </c>
      <c r="Z6777">
        <v>1.1139559999999999E-3</v>
      </c>
      <c r="AA6777">
        <v>0.99763550000000001</v>
      </c>
      <c r="AB6777">
        <v>30</v>
      </c>
      <c r="AC6777">
        <v>17.661799999999999</v>
      </c>
      <c r="AD6777">
        <v>-1.1097811371102</v>
      </c>
      <c r="AE6777">
        <v>1.5208300000000099</v>
      </c>
      <c r="AF6777">
        <v>-1.22563967592239</v>
      </c>
      <c r="AG6777">
        <v>-1.1097811371102</v>
      </c>
      <c r="AH6777">
        <v>17.6153651016044</v>
      </c>
      <c r="AI6777">
        <v>93.596241022690506</v>
      </c>
      <c r="AJ6777">
        <v>93.9801042024461</v>
      </c>
      <c r="AK6777">
        <v>17.6927921609423</v>
      </c>
      <c r="AL6777">
        <v>90.713020853045194</v>
      </c>
      <c r="AM6777">
        <v>87.6357885624179</v>
      </c>
      <c r="AN6777">
        <v>0.99999997471739699</v>
      </c>
    </row>
    <row r="6778" spans="1:40" x14ac:dyDescent="0.25">
      <c r="A6778" t="str">
        <f>"20190312155008410"</f>
        <v>20190312155008410</v>
      </c>
      <c r="B6778" t="str">
        <f>"1552377008401935"</f>
        <v>1552377008401935</v>
      </c>
      <c r="C6778" t="s">
        <v>40</v>
      </c>
      <c r="D6778">
        <v>4.6681920000000003</v>
      </c>
      <c r="E6778">
        <v>0.45888060000000003</v>
      </c>
      <c r="F6778" t="s">
        <v>65</v>
      </c>
      <c r="G6778">
        <v>-209.6662</v>
      </c>
      <c r="H6778" s="1">
        <v>-3.0044610000000001E-7</v>
      </c>
      <c r="I6778">
        <v>-59.945180000000001</v>
      </c>
      <c r="J6778">
        <v>-227.4307</v>
      </c>
      <c r="K6778">
        <v>1.1097870000000001</v>
      </c>
      <c r="L6778">
        <v>-61.4784199999999</v>
      </c>
      <c r="M6778">
        <v>0.99977099999999997</v>
      </c>
      <c r="N6778">
        <v>0</v>
      </c>
      <c r="O6778">
        <v>1.6509349999999999E-2</v>
      </c>
      <c r="P6778">
        <v>0.99935160000000001</v>
      </c>
      <c r="Q6778">
        <v>-2.6379380000000001E-2</v>
      </c>
      <c r="R6778">
        <v>-2.4506150000000001E-2</v>
      </c>
      <c r="S6778">
        <v>3.0034939999999999</v>
      </c>
      <c r="T6778">
        <v>-0.18608269999999999</v>
      </c>
      <c r="U6778">
        <v>0.25750729999999999</v>
      </c>
      <c r="V6778">
        <v>4.1006800000000003E-2</v>
      </c>
      <c r="W6778">
        <v>-1.275398E-2</v>
      </c>
      <c r="X6778">
        <v>0.9990774</v>
      </c>
      <c r="Y6778">
        <v>-6.8860759999999993E-2</v>
      </c>
      <c r="Z6778">
        <v>1.107336E-3</v>
      </c>
      <c r="AA6778">
        <v>0.9976256</v>
      </c>
      <c r="AB6778">
        <v>30</v>
      </c>
      <c r="AC6778">
        <v>17.764499999999899</v>
      </c>
      <c r="AD6778">
        <v>-1.1097873004461001</v>
      </c>
      <c r="AE6778">
        <v>1.53323999999998</v>
      </c>
      <c r="AF6778">
        <v>-1.23493940777635</v>
      </c>
      <c r="AG6778">
        <v>-1.1097873004461001</v>
      </c>
      <c r="AH6778">
        <v>17.7187526140602</v>
      </c>
      <c r="AI6778">
        <v>93.575302258936802</v>
      </c>
      <c r="AJ6778">
        <v>93.986882148673004</v>
      </c>
      <c r="AK6778">
        <v>17.796373152734699</v>
      </c>
      <c r="AL6778">
        <v>90.730769085007694</v>
      </c>
      <c r="AM6778">
        <v>87.649633030656105</v>
      </c>
      <c r="AN6778">
        <v>0.99999993642141805</v>
      </c>
    </row>
    <row r="6779" spans="1:40" x14ac:dyDescent="0.25">
      <c r="A6779" t="str">
        <f>"20190312155008422"</f>
        <v>20190312155008422</v>
      </c>
      <c r="B6779" t="str">
        <f>"1552377008412672"</f>
        <v>1552377008412672</v>
      </c>
      <c r="C6779" t="s">
        <v>40</v>
      </c>
      <c r="D6779">
        <v>4.644164</v>
      </c>
      <c r="E6779">
        <v>0.45891910000000002</v>
      </c>
      <c r="F6779" t="s">
        <v>65</v>
      </c>
      <c r="G6779">
        <v>-209.56389999999999</v>
      </c>
      <c r="H6779" s="1">
        <v>-3.663662E-7</v>
      </c>
      <c r="I6779">
        <v>-59.941630000000004</v>
      </c>
      <c r="J6779">
        <v>-227.2758</v>
      </c>
      <c r="K6779">
        <v>1.1097900000000001</v>
      </c>
      <c r="L6779">
        <v>-61.4758</v>
      </c>
      <c r="M6779">
        <v>0.99976889999999996</v>
      </c>
      <c r="N6779">
        <v>0</v>
      </c>
      <c r="O6779">
        <v>1.659426E-2</v>
      </c>
      <c r="P6779">
        <v>0.99935680000000005</v>
      </c>
      <c r="Q6779">
        <v>-2.6351929999999999E-2</v>
      </c>
      <c r="R6779">
        <v>-2.4328120000000002E-2</v>
      </c>
      <c r="S6779">
        <v>3.0033569999999998</v>
      </c>
      <c r="T6779">
        <v>-0.18655250000000001</v>
      </c>
      <c r="U6779">
        <v>0.25833129999999999</v>
      </c>
      <c r="V6779">
        <v>4.0913659999999998E-2</v>
      </c>
      <c r="W6779">
        <v>-1.2679879999999999E-2</v>
      </c>
      <c r="X6779">
        <v>0.99908220000000003</v>
      </c>
      <c r="Y6779">
        <v>-6.9050890000000004E-2</v>
      </c>
      <c r="Z6779">
        <v>1.1107949999999999E-3</v>
      </c>
      <c r="AA6779">
        <v>0.99761250000000001</v>
      </c>
      <c r="AB6779">
        <v>30</v>
      </c>
      <c r="AC6779">
        <v>17.7119</v>
      </c>
      <c r="AD6779">
        <v>-1.1097903663662001</v>
      </c>
      <c r="AE6779">
        <v>1.53416999999999</v>
      </c>
      <c r="AF6779">
        <v>-1.23520208306737</v>
      </c>
      <c r="AG6779">
        <v>-1.1097903663662001</v>
      </c>
      <c r="AH6779">
        <v>17.666080761263999</v>
      </c>
      <c r="AI6779">
        <v>93.585888891755204</v>
      </c>
      <c r="AJ6779">
        <v>93.999578412670601</v>
      </c>
      <c r="AK6779">
        <v>17.743950188917701</v>
      </c>
      <c r="AL6779">
        <v>90.726523096360694</v>
      </c>
      <c r="AM6779">
        <v>87.654976778440798</v>
      </c>
      <c r="AN6779">
        <v>0.99999997464412405</v>
      </c>
    </row>
    <row r="6780" spans="1:40" x14ac:dyDescent="0.25">
      <c r="A6780" t="str">
        <f>"20190312155008435"</f>
        <v>20190312155008435</v>
      </c>
      <c r="B6780" t="str">
        <f>"1552377008422432"</f>
        <v>1552377008422432</v>
      </c>
      <c r="C6780" t="s">
        <v>40</v>
      </c>
      <c r="D6780">
        <v>4.6647129999999999</v>
      </c>
      <c r="E6780">
        <v>0.45894990000000002</v>
      </c>
      <c r="F6780" t="s">
        <v>65</v>
      </c>
      <c r="G6780">
        <v>-209.3193</v>
      </c>
      <c r="H6780" s="1">
        <v>-5.2497009999999896E-7</v>
      </c>
      <c r="I6780">
        <v>-59.93</v>
      </c>
      <c r="J6780">
        <v>-227.1155</v>
      </c>
      <c r="K6780">
        <v>1.1097980000000001</v>
      </c>
      <c r="L6780">
        <v>-61.473050000000001</v>
      </c>
      <c r="M6780">
        <v>0.99976690000000001</v>
      </c>
      <c r="N6780">
        <v>0</v>
      </c>
      <c r="O6780">
        <v>1.6681870000000001E-2</v>
      </c>
      <c r="P6780">
        <v>0.99936539999999996</v>
      </c>
      <c r="Q6780">
        <v>-2.642744E-2</v>
      </c>
      <c r="R6780">
        <v>-2.3884760000000001E-2</v>
      </c>
      <c r="S6780">
        <v>3.0033259999999999</v>
      </c>
      <c r="T6780">
        <v>-0.18561910000000001</v>
      </c>
      <c r="U6780">
        <v>0.25854490000000002</v>
      </c>
      <c r="V6780">
        <v>4.0558110000000001E-2</v>
      </c>
      <c r="W6780">
        <v>-1.271194E-2</v>
      </c>
      <c r="X6780">
        <v>0.99909630000000005</v>
      </c>
      <c r="Y6780">
        <v>-6.9035959999999993E-2</v>
      </c>
      <c r="Z6780">
        <v>1.099397E-3</v>
      </c>
      <c r="AA6780">
        <v>0.99761350000000004</v>
      </c>
      <c r="AB6780">
        <v>30</v>
      </c>
      <c r="AC6780">
        <v>17.796199999999999</v>
      </c>
      <c r="AD6780">
        <v>-1.1097985249700999</v>
      </c>
      <c r="AE6780">
        <v>1.54305</v>
      </c>
      <c r="AF6780">
        <v>-1.2411427165592599</v>
      </c>
      <c r="AG6780">
        <v>-1.1097985249700999</v>
      </c>
      <c r="AH6780">
        <v>17.750948882981699</v>
      </c>
      <c r="AI6780">
        <v>93.568815077400401</v>
      </c>
      <c r="AJ6780">
        <v>93.999599945729301</v>
      </c>
      <c r="AK6780">
        <v>17.8288607110809</v>
      </c>
      <c r="AL6780">
        <v>90.728360139476806</v>
      </c>
      <c r="AM6780">
        <v>87.675365936513302</v>
      </c>
      <c r="AN6780">
        <v>0.99999998518951205</v>
      </c>
    </row>
    <row r="6781" spans="1:40" x14ac:dyDescent="0.25">
      <c r="A6781" t="str">
        <f>"20190312155008445"</f>
        <v>20190312155008445</v>
      </c>
      <c r="B6781" t="str">
        <f>"1552377008432192"</f>
        <v>1552377008432192</v>
      </c>
      <c r="C6781" t="s">
        <v>40</v>
      </c>
      <c r="D6781">
        <v>4.6769449999999999</v>
      </c>
      <c r="E6781">
        <v>0.45897139999999997</v>
      </c>
      <c r="F6781" t="s">
        <v>65</v>
      </c>
      <c r="G6781">
        <v>-209.1216</v>
      </c>
      <c r="H6781" s="1">
        <v>-6.5388699999999996E-7</v>
      </c>
      <c r="I6781">
        <v>-59.917749999999998</v>
      </c>
      <c r="J6781">
        <v>-226.96600000000001</v>
      </c>
      <c r="K6781">
        <v>1.109804</v>
      </c>
      <c r="L6781">
        <v>-61.470489999999998</v>
      </c>
      <c r="M6781">
        <v>0.99976489999999996</v>
      </c>
      <c r="N6781">
        <v>0</v>
      </c>
      <c r="O6781">
        <v>1.6763670000000001E-2</v>
      </c>
      <c r="P6781">
        <v>0.99936820000000004</v>
      </c>
      <c r="Q6781">
        <v>-2.6365690000000001E-2</v>
      </c>
      <c r="R6781">
        <v>-2.3842249999999999E-2</v>
      </c>
      <c r="S6781">
        <v>3.0032040000000002</v>
      </c>
      <c r="T6781">
        <v>-0.18522659999999999</v>
      </c>
      <c r="U6781">
        <v>0.25958249999999999</v>
      </c>
      <c r="V6781">
        <v>4.0597189999999998E-2</v>
      </c>
      <c r="W6781">
        <v>-1.261112E-2</v>
      </c>
      <c r="X6781">
        <v>0.99909599999999998</v>
      </c>
      <c r="Y6781">
        <v>-6.9299970000000002E-2</v>
      </c>
      <c r="Z6781">
        <v>1.100195E-3</v>
      </c>
      <c r="AA6781">
        <v>0.99759529999999996</v>
      </c>
      <c r="AB6781">
        <v>30</v>
      </c>
      <c r="AC6781">
        <v>17.844399999999901</v>
      </c>
      <c r="AD6781">
        <v>-1.1098046538869999</v>
      </c>
      <c r="AE6781">
        <v>1.55274</v>
      </c>
      <c r="AF6781">
        <v>-1.2485626652825701</v>
      </c>
      <c r="AG6781">
        <v>-1.1098046538869999</v>
      </c>
      <c r="AH6781">
        <v>17.799592244778399</v>
      </c>
      <c r="AI6781">
        <v>93.559050942499098</v>
      </c>
      <c r="AJ6781">
        <v>94.012473122917001</v>
      </c>
      <c r="AK6781">
        <v>17.877809126940001</v>
      </c>
      <c r="AL6781">
        <v>90.722583108937599</v>
      </c>
      <c r="AM6781">
        <v>87.673127784940206</v>
      </c>
      <c r="AN6781">
        <v>0.99999999469977496</v>
      </c>
    </row>
    <row r="6782" spans="1:40" x14ac:dyDescent="0.25">
      <c r="A6782" t="str">
        <f>"20190312155008456"</f>
        <v>20190312155008456</v>
      </c>
      <c r="B6782" t="str">
        <f>"1552377008452688"</f>
        <v>1552377008452688</v>
      </c>
      <c r="C6782" t="s">
        <v>40</v>
      </c>
      <c r="D6782">
        <v>4.6526350000000001</v>
      </c>
      <c r="E6782">
        <v>0.459032</v>
      </c>
      <c r="F6782" t="s">
        <v>65</v>
      </c>
      <c r="G6782">
        <v>-208.92349999999999</v>
      </c>
      <c r="H6782" s="1">
        <v>-7.8154169999999896E-7</v>
      </c>
      <c r="I6782">
        <v>-59.911189999999998</v>
      </c>
      <c r="J6782">
        <v>-226.8133</v>
      </c>
      <c r="K6782">
        <v>1.1098190000000001</v>
      </c>
      <c r="L6782">
        <v>-61.467829999999999</v>
      </c>
      <c r="M6782">
        <v>0.99976299999999996</v>
      </c>
      <c r="N6782">
        <v>0</v>
      </c>
      <c r="O6782">
        <v>1.6847350000000001E-2</v>
      </c>
      <c r="P6782">
        <v>0.99937730000000002</v>
      </c>
      <c r="Q6782">
        <v>-2.61985E-2</v>
      </c>
      <c r="R6782">
        <v>-2.3641479999999999E-2</v>
      </c>
      <c r="S6782">
        <v>3.0032350000000001</v>
      </c>
      <c r="T6782">
        <v>-0.1847308</v>
      </c>
      <c r="U6782">
        <v>0.259552</v>
      </c>
      <c r="V6782">
        <v>4.0480130000000003E-2</v>
      </c>
      <c r="W6782">
        <v>-1.240893E-2</v>
      </c>
      <c r="X6782">
        <v>0.99910330000000003</v>
      </c>
      <c r="Y6782">
        <v>-6.9206420000000005E-2</v>
      </c>
      <c r="Z6782">
        <v>1.0892439999999901E-3</v>
      </c>
      <c r="AA6782">
        <v>0.99760170000000004</v>
      </c>
      <c r="AB6782">
        <v>30</v>
      </c>
      <c r="AC6782">
        <v>17.889800000000001</v>
      </c>
      <c r="AD6782">
        <v>-1.1098197815416999</v>
      </c>
      <c r="AE6782">
        <v>1.55664</v>
      </c>
      <c r="AF6782">
        <v>-1.2502193126988099</v>
      </c>
      <c r="AG6782">
        <v>-1.1098197815416999</v>
      </c>
      <c r="AH6782">
        <v>17.8453261718902</v>
      </c>
      <c r="AI6782">
        <v>93.550022916074994</v>
      </c>
      <c r="AJ6782">
        <v>94.007516466908697</v>
      </c>
      <c r="AK6782">
        <v>17.923459890838501</v>
      </c>
      <c r="AL6782">
        <v>90.710997555384594</v>
      </c>
      <c r="AM6782">
        <v>87.679846797430997</v>
      </c>
      <c r="AN6782">
        <v>1.00000001326972</v>
      </c>
    </row>
    <row r="6783" spans="1:40" x14ac:dyDescent="0.25">
      <c r="A6783" t="str">
        <f>"20190312155008468"</f>
        <v>20190312155008468</v>
      </c>
      <c r="B6783" t="str">
        <f>"1552377008462448"</f>
        <v>1552377008462448</v>
      </c>
      <c r="C6783" t="s">
        <v>40</v>
      </c>
      <c r="D6783">
        <v>4.6299320000000002</v>
      </c>
      <c r="E6783">
        <v>0.45908660000000001</v>
      </c>
      <c r="F6783" t="s">
        <v>65</v>
      </c>
      <c r="G6783">
        <v>-208.6079</v>
      </c>
      <c r="H6783" s="1">
        <v>-9.867725E-7</v>
      </c>
      <c r="I6783">
        <v>-59.893889999999999</v>
      </c>
      <c r="J6783">
        <v>-226.6645</v>
      </c>
      <c r="K6783">
        <v>1.109826</v>
      </c>
      <c r="L6783">
        <v>-61.465209999999999</v>
      </c>
      <c r="M6783">
        <v>0.99976109999999896</v>
      </c>
      <c r="N6783">
        <v>0</v>
      </c>
      <c r="O6783">
        <v>1.6928720000000001E-2</v>
      </c>
      <c r="P6783">
        <v>0.99937619999999905</v>
      </c>
      <c r="Q6783">
        <v>-2.6194350000000002E-2</v>
      </c>
      <c r="R6783">
        <v>-2.368669E-2</v>
      </c>
      <c r="S6783">
        <v>3.0032350000000001</v>
      </c>
      <c r="T6783">
        <v>-0.18307970000000001</v>
      </c>
      <c r="U6783">
        <v>0.25964359999999997</v>
      </c>
      <c r="V6783">
        <v>4.0606650000000001E-2</v>
      </c>
      <c r="W6783">
        <v>-1.237185E-2</v>
      </c>
      <c r="X6783">
        <v>0.99909859999999995</v>
      </c>
      <c r="Y6783">
        <v>-6.9157380000000004E-2</v>
      </c>
      <c r="Z6783">
        <v>1.0730900000000001E-3</v>
      </c>
      <c r="AA6783">
        <v>0.99760519999999997</v>
      </c>
      <c r="AB6783">
        <v>30</v>
      </c>
      <c r="AC6783">
        <v>18.0566</v>
      </c>
      <c r="AD6783">
        <v>-1.1098269867724999</v>
      </c>
      <c r="AE6783">
        <v>1.5713200000000001</v>
      </c>
      <c r="AF6783">
        <v>-1.2606637020243801</v>
      </c>
      <c r="AG6783">
        <v>-1.1098269867724999</v>
      </c>
      <c r="AH6783">
        <v>18.013076664261298</v>
      </c>
      <c r="AI6783">
        <v>93.517086495732002</v>
      </c>
      <c r="AJ6783">
        <v>94.003376351857298</v>
      </c>
      <c r="AK6783">
        <v>18.091211120948302</v>
      </c>
      <c r="AL6783">
        <v>90.708872882999799</v>
      </c>
      <c r="AM6783">
        <v>87.672592220989202</v>
      </c>
      <c r="AN6783">
        <v>0.99999998760930198</v>
      </c>
    </row>
    <row r="6784" spans="1:40" x14ac:dyDescent="0.25">
      <c r="A6784" t="str">
        <f>"20190312155008478"</f>
        <v>20190312155008478</v>
      </c>
      <c r="B6784" t="str">
        <f>"1552377008472208"</f>
        <v>1552377008472208</v>
      </c>
      <c r="C6784" t="s">
        <v>40</v>
      </c>
      <c r="D6784">
        <v>4.6813659999999997</v>
      </c>
      <c r="E6784">
        <v>0.45911069999999998</v>
      </c>
      <c r="F6784" t="s">
        <v>65</v>
      </c>
      <c r="G6784">
        <v>-208.36779999999999</v>
      </c>
      <c r="H6784" s="1">
        <v>-1.141241E-6</v>
      </c>
      <c r="I6784">
        <v>-59.88691</v>
      </c>
      <c r="J6784">
        <v>-226.51660000000001</v>
      </c>
      <c r="K6784">
        <v>1.1098319999999999</v>
      </c>
      <c r="L6784">
        <v>-61.462649999999996</v>
      </c>
      <c r="M6784">
        <v>0.99975959999999997</v>
      </c>
      <c r="N6784">
        <v>0</v>
      </c>
      <c r="O6784">
        <v>1.7009389999999999E-2</v>
      </c>
      <c r="P6784">
        <v>0.99937830000000005</v>
      </c>
      <c r="Q6784">
        <v>-2.6263620000000001E-2</v>
      </c>
      <c r="R6784">
        <v>-2.3523619999999999E-2</v>
      </c>
      <c r="S6784">
        <v>3.00325</v>
      </c>
      <c r="T6784">
        <v>-0.1821681</v>
      </c>
      <c r="U6784">
        <v>0.25906370000000001</v>
      </c>
      <c r="V6784">
        <v>4.0524419999999998E-2</v>
      </c>
      <c r="W6784">
        <v>-1.241163E-2</v>
      </c>
      <c r="X6784">
        <v>0.99910149999999998</v>
      </c>
      <c r="Y6784">
        <v>-6.8886840000000005E-2</v>
      </c>
      <c r="Z6784">
        <v>1.0546990000000001E-3</v>
      </c>
      <c r="AA6784">
        <v>0.99762390000000001</v>
      </c>
      <c r="AB6784">
        <v>30</v>
      </c>
      <c r="AC6784">
        <v>18.148800000000001</v>
      </c>
      <c r="AD6784">
        <v>-1.1098331412410001</v>
      </c>
      <c r="AE6784">
        <v>1.5757399999999899</v>
      </c>
      <c r="AF6784">
        <v>-1.2620980573830201</v>
      </c>
      <c r="AG6784">
        <v>-1.1098331412410001</v>
      </c>
      <c r="AH6784">
        <v>18.105777936395899</v>
      </c>
      <c r="AI6784">
        <v>93.499211000494498</v>
      </c>
      <c r="AJ6784">
        <v>93.987462369908798</v>
      </c>
      <c r="AK6784">
        <v>18.183613936451898</v>
      </c>
      <c r="AL6784">
        <v>90.711152245299004</v>
      </c>
      <c r="AM6784">
        <v>87.6773068769904</v>
      </c>
      <c r="AN6784">
        <v>1.0000000422389199</v>
      </c>
    </row>
    <row r="6785" spans="1:40" x14ac:dyDescent="0.25">
      <c r="A6785" t="str">
        <f>"20190312155008490"</f>
        <v>20190312155008490</v>
      </c>
      <c r="B6785" t="str">
        <f>"1552377008481968"</f>
        <v>1552377008481968</v>
      </c>
      <c r="C6785" t="s">
        <v>40</v>
      </c>
      <c r="D6785">
        <v>4.659783</v>
      </c>
      <c r="E6785">
        <v>0.45916699999999999</v>
      </c>
      <c r="F6785" t="s">
        <v>65</v>
      </c>
      <c r="G6785">
        <v>-208.1816</v>
      </c>
      <c r="H6785" s="1">
        <v>-1.2615590000000001E-6</v>
      </c>
      <c r="I6785">
        <v>-59.879359999999998</v>
      </c>
      <c r="J6785">
        <v>-226.36449999999999</v>
      </c>
      <c r="K6785">
        <v>1.109842</v>
      </c>
      <c r="L6785">
        <v>-61.459960000000002</v>
      </c>
      <c r="M6785">
        <v>0.99975760000000002</v>
      </c>
      <c r="N6785">
        <v>0</v>
      </c>
      <c r="O6785">
        <v>1.709275E-2</v>
      </c>
      <c r="P6785">
        <v>0.99937279999999995</v>
      </c>
      <c r="Q6785">
        <v>-2.641019E-2</v>
      </c>
      <c r="R6785">
        <v>-2.359789E-2</v>
      </c>
      <c r="S6785">
        <v>3.0032040000000002</v>
      </c>
      <c r="T6785">
        <v>-0.18178730000000001</v>
      </c>
      <c r="U6785">
        <v>0.25933840000000002</v>
      </c>
      <c r="V6785">
        <v>4.0681809999999999E-2</v>
      </c>
      <c r="W6785">
        <v>-1.252969E-2</v>
      </c>
      <c r="X6785">
        <v>0.99909360000000003</v>
      </c>
      <c r="Y6785">
        <v>-6.8896059999999995E-2</v>
      </c>
      <c r="Z6785">
        <v>1.0477570000000001E-3</v>
      </c>
      <c r="AA6785">
        <v>0.99762329999999999</v>
      </c>
      <c r="AB6785">
        <v>30</v>
      </c>
      <c r="AC6785">
        <v>18.182899999999901</v>
      </c>
      <c r="AD6785">
        <v>-1.1098432615589999</v>
      </c>
      <c r="AE6785">
        <v>1.58059999999999</v>
      </c>
      <c r="AF6785">
        <v>-1.26486629588654</v>
      </c>
      <c r="AG6785">
        <v>-1.1098432615589999</v>
      </c>
      <c r="AH6785">
        <v>18.140186180369799</v>
      </c>
      <c r="AI6785">
        <v>93.492616996462601</v>
      </c>
      <c r="AJ6785">
        <v>93.988624562956403</v>
      </c>
      <c r="AK6785">
        <v>18.218067775430399</v>
      </c>
      <c r="AL6785">
        <v>90.717917132375803</v>
      </c>
      <c r="AM6785">
        <v>87.6682774500824</v>
      </c>
      <c r="AN6785">
        <v>1.0000000121786601</v>
      </c>
    </row>
    <row r="6786" spans="1:40" x14ac:dyDescent="0.25">
      <c r="A6786" t="str">
        <f>"20190312155008501"</f>
        <v>20190312155008501</v>
      </c>
      <c r="B6786" t="str">
        <f>"1552377008492704"</f>
        <v>1552377008492704</v>
      </c>
      <c r="C6786" t="s">
        <v>40</v>
      </c>
      <c r="D6786">
        <v>4.6718869999999999</v>
      </c>
      <c r="E6786">
        <v>0.45919979999999999</v>
      </c>
      <c r="F6786" t="s">
        <v>65</v>
      </c>
      <c r="G6786">
        <v>-208.06530000000001</v>
      </c>
      <c r="H6786" s="1">
        <v>-1.334496E-6</v>
      </c>
      <c r="I6786">
        <v>-59.883270000000003</v>
      </c>
      <c r="J6786">
        <v>-226.21190000000001</v>
      </c>
      <c r="K6786">
        <v>1.1098479999999999</v>
      </c>
      <c r="L6786">
        <v>-61.457279999999997</v>
      </c>
      <c r="M6786">
        <v>0.99975570000000002</v>
      </c>
      <c r="N6786">
        <v>0</v>
      </c>
      <c r="O6786">
        <v>1.7176480000000001E-2</v>
      </c>
      <c r="P6786">
        <v>0.99937569999999998</v>
      </c>
      <c r="Q6786">
        <v>-2.6369340000000002E-2</v>
      </c>
      <c r="R6786">
        <v>-2.350969E-2</v>
      </c>
      <c r="S6786">
        <v>3.003174</v>
      </c>
      <c r="T6786">
        <v>-0.18214140000000001</v>
      </c>
      <c r="U6786">
        <v>0.2587585</v>
      </c>
      <c r="V6786">
        <v>4.0677360000000003E-2</v>
      </c>
      <c r="W6786">
        <v>-1.246237E-2</v>
      </c>
      <c r="X6786">
        <v>0.99909460000000005</v>
      </c>
      <c r="Y6786">
        <v>-6.8622450000000002E-2</v>
      </c>
      <c r="Z6786">
        <v>1.0364770000000001E-3</v>
      </c>
      <c r="AA6786">
        <v>0.99764219999999904</v>
      </c>
      <c r="AB6786">
        <v>30</v>
      </c>
      <c r="AC6786">
        <v>18.146599999999999</v>
      </c>
      <c r="AD6786">
        <v>-1.1098493344960001</v>
      </c>
      <c r="AE6786">
        <v>1.5740099999999999</v>
      </c>
      <c r="AF6786">
        <v>-1.2573846616964801</v>
      </c>
      <c r="AG6786">
        <v>-1.1098493344960001</v>
      </c>
      <c r="AH6786">
        <v>18.1037483260227</v>
      </c>
      <c r="AI6786">
        <v>93.499714304386202</v>
      </c>
      <c r="AJ6786">
        <v>93.9730626186374</v>
      </c>
      <c r="AK6786">
        <v>18.181267425147301</v>
      </c>
      <c r="AL6786">
        <v>90.714059695901895</v>
      </c>
      <c r="AM6786">
        <v>87.668534556243202</v>
      </c>
      <c r="AN6786">
        <v>0.99999998901587295</v>
      </c>
    </row>
    <row r="6787" spans="1:40" x14ac:dyDescent="0.25">
      <c r="A6787" t="str">
        <f>"20190312155008512"</f>
        <v>20190312155008512</v>
      </c>
      <c r="B6787" t="str">
        <f>"1552377008502464"</f>
        <v>1552377008502464</v>
      </c>
      <c r="C6787" t="s">
        <v>40</v>
      </c>
      <c r="D6787">
        <v>4.659656</v>
      </c>
      <c r="E6787">
        <v>0.45924039999999999</v>
      </c>
      <c r="F6787" t="s">
        <v>65</v>
      </c>
      <c r="G6787">
        <v>-207.85830000000001</v>
      </c>
      <c r="H6787" s="1">
        <v>-1.4680420000000001E-6</v>
      </c>
      <c r="I6787">
        <v>-59.875720000000001</v>
      </c>
      <c r="J6787">
        <v>-226.0718</v>
      </c>
      <c r="K6787">
        <v>1.1098539999999999</v>
      </c>
      <c r="L6787">
        <v>-61.454799999999999</v>
      </c>
      <c r="M6787">
        <v>0.99975409999999998</v>
      </c>
      <c r="N6787">
        <v>0</v>
      </c>
      <c r="O6787">
        <v>1.7253210000000001E-2</v>
      </c>
      <c r="P6787">
        <v>0.99937290000000001</v>
      </c>
      <c r="Q6787">
        <v>-2.6540890000000001E-2</v>
      </c>
      <c r="R6787">
        <v>-2.3438919999999999E-2</v>
      </c>
      <c r="S6787">
        <v>3.003174</v>
      </c>
      <c r="T6787">
        <v>-0.18160280000000001</v>
      </c>
      <c r="U6787">
        <v>0.25878909999999999</v>
      </c>
      <c r="V6787">
        <v>4.0683219999999999E-2</v>
      </c>
      <c r="W6787">
        <v>-1.261177E-2</v>
      </c>
      <c r="X6787">
        <v>0.99909250000000005</v>
      </c>
      <c r="Y6787">
        <v>-6.8556740000000005E-2</v>
      </c>
      <c r="Z6787">
        <v>1.02681E-3</v>
      </c>
      <c r="AA6787">
        <v>0.9976467</v>
      </c>
      <c r="AB6787">
        <v>30</v>
      </c>
      <c r="AC6787">
        <v>18.2134999999999</v>
      </c>
      <c r="AD6787">
        <v>-1.1098554680419901</v>
      </c>
      <c r="AE6787">
        <v>1.57908</v>
      </c>
      <c r="AF6787">
        <v>-1.2599296324162199</v>
      </c>
      <c r="AG6787">
        <v>-1.1098554680419901</v>
      </c>
      <c r="AH6787">
        <v>18.171066214341302</v>
      </c>
      <c r="AI6787">
        <v>93.486828435113694</v>
      </c>
      <c r="AJ6787">
        <v>93.966376903866205</v>
      </c>
      <c r="AK6787">
        <v>18.248475256978502</v>
      </c>
      <c r="AL6787">
        <v>90.722620348632205</v>
      </c>
      <c r="AM6787">
        <v>87.668194159112204</v>
      </c>
      <c r="AN6787">
        <v>1.00000000234417</v>
      </c>
    </row>
    <row r="6788" spans="1:40" x14ac:dyDescent="0.25">
      <c r="A6788" t="str">
        <f>"20190312155008522"</f>
        <v>20190312155008522</v>
      </c>
      <c r="B6788" t="str">
        <f>"1552377008512225"</f>
        <v>1552377008512225</v>
      </c>
      <c r="C6788" t="s">
        <v>40</v>
      </c>
      <c r="D6788">
        <v>4.6924580000000002</v>
      </c>
      <c r="E6788">
        <v>0.45926129999999998</v>
      </c>
      <c r="F6788" t="s">
        <v>65</v>
      </c>
      <c r="G6788">
        <v>-207.76580000000001</v>
      </c>
      <c r="H6788" s="1">
        <v>-1.526103E-6</v>
      </c>
      <c r="I6788">
        <v>-59.878599999999999</v>
      </c>
      <c r="J6788">
        <v>-225.9179</v>
      </c>
      <c r="K6788">
        <v>1.1098600000000001</v>
      </c>
      <c r="L6788">
        <v>-61.452030000000001</v>
      </c>
      <c r="M6788">
        <v>0.99975239999999999</v>
      </c>
      <c r="N6788">
        <v>0</v>
      </c>
      <c r="O6788">
        <v>1.7337390000000001E-2</v>
      </c>
      <c r="P6788">
        <v>0.99937030000000004</v>
      </c>
      <c r="Q6788">
        <v>-2.6518659999999999E-2</v>
      </c>
      <c r="R6788">
        <v>-2.357445E-2</v>
      </c>
      <c r="S6788">
        <v>3.0031129999999999</v>
      </c>
      <c r="T6788">
        <v>-0.18207190000000001</v>
      </c>
      <c r="U6788">
        <v>0.25857540000000001</v>
      </c>
      <c r="V6788">
        <v>4.0902929999999997E-2</v>
      </c>
      <c r="W6788">
        <v>-1.256642E-2</v>
      </c>
      <c r="X6788">
        <v>0.99908410000000003</v>
      </c>
      <c r="Y6788">
        <v>-6.8403969999999995E-2</v>
      </c>
      <c r="Z6788">
        <v>1.019776E-3</v>
      </c>
      <c r="AA6788">
        <v>0.99765720000000002</v>
      </c>
      <c r="AB6788">
        <v>30</v>
      </c>
      <c r="AC6788">
        <v>18.152099999999901</v>
      </c>
      <c r="AD6788">
        <v>-1.109861526103</v>
      </c>
      <c r="AE6788">
        <v>1.5734300000000001</v>
      </c>
      <c r="AF6788">
        <v>-1.25380057310661</v>
      </c>
      <c r="AG6788">
        <v>-1.109861526103</v>
      </c>
      <c r="AH6788">
        <v>18.109457735579699</v>
      </c>
      <c r="AI6788">
        <v>93.498704960997401</v>
      </c>
      <c r="AJ6788">
        <v>93.960528729238703</v>
      </c>
      <c r="AK6788">
        <v>18.1867058028933</v>
      </c>
      <c r="AL6788">
        <v>90.720021779551104</v>
      </c>
      <c r="AM6788">
        <v>87.655595550462806</v>
      </c>
      <c r="AN6788">
        <v>1.0000000017335</v>
      </c>
    </row>
    <row r="6789" spans="1:40" x14ac:dyDescent="0.25">
      <c r="A6789" t="str">
        <f>"20190312155008534"</f>
        <v>20190312155008534</v>
      </c>
      <c r="B6789" t="str">
        <f>"1552377008521984"</f>
        <v>1552377008521984</v>
      </c>
      <c r="C6789" t="s">
        <v>40</v>
      </c>
      <c r="D6789">
        <v>4.6709040000000002</v>
      </c>
      <c r="E6789">
        <v>0.45928859999999999</v>
      </c>
      <c r="F6789" t="s">
        <v>65</v>
      </c>
      <c r="G6789">
        <v>-207.59440000000001</v>
      </c>
      <c r="H6789" s="1">
        <v>-1.635238E-6</v>
      </c>
      <c r="I6789">
        <v>-59.877879999999998</v>
      </c>
      <c r="J6789">
        <v>-225.76300000000001</v>
      </c>
      <c r="K6789">
        <v>1.1098650000000001</v>
      </c>
      <c r="L6789">
        <v>-61.449249999999999</v>
      </c>
      <c r="M6789">
        <v>0.99975060000000004</v>
      </c>
      <c r="N6789">
        <v>0</v>
      </c>
      <c r="O6789">
        <v>1.7422170000000001E-2</v>
      </c>
      <c r="P6789">
        <v>0.99936599999999998</v>
      </c>
      <c r="Q6789">
        <v>-2.6720500000000001E-2</v>
      </c>
      <c r="R6789">
        <v>-2.3529499999999998E-2</v>
      </c>
      <c r="S6789">
        <v>3.0031430000000001</v>
      </c>
      <c r="T6789">
        <v>-0.18190120000000001</v>
      </c>
      <c r="U6789">
        <v>0.25799559999999999</v>
      </c>
      <c r="V6789">
        <v>4.0942480000000003E-2</v>
      </c>
      <c r="W6789">
        <v>-1.274759E-2</v>
      </c>
      <c r="X6789">
        <v>0.99908019999999997</v>
      </c>
      <c r="Y6789">
        <v>-6.8128129999999995E-2</v>
      </c>
      <c r="Z6789">
        <v>1.0053690000000001E-3</v>
      </c>
      <c r="AA6789">
        <v>0.99767609999999995</v>
      </c>
      <c r="AB6789">
        <v>30</v>
      </c>
      <c r="AC6789">
        <v>18.168600000000001</v>
      </c>
      <c r="AD6789">
        <v>-1.10986663523799</v>
      </c>
      <c r="AE6789">
        <v>1.5713699999999899</v>
      </c>
      <c r="AF6789">
        <v>-1.24993445453408</v>
      </c>
      <c r="AG6789">
        <v>-1.10986663523799</v>
      </c>
      <c r="AH6789">
        <v>18.1260835770432</v>
      </c>
      <c r="AI6789">
        <v>93.495586216714301</v>
      </c>
      <c r="AJ6789">
        <v>93.9447449247034</v>
      </c>
      <c r="AK6789">
        <v>18.2029955208092</v>
      </c>
      <c r="AL6789">
        <v>90.730402876420101</v>
      </c>
      <c r="AM6789">
        <v>87.6533220737645</v>
      </c>
      <c r="AN6789">
        <v>1.00000001687569</v>
      </c>
    </row>
    <row r="6790" spans="1:40" x14ac:dyDescent="0.25">
      <c r="A6790" t="str">
        <f>"20190312155008545"</f>
        <v>20190312155008545</v>
      </c>
      <c r="B6790" t="str">
        <f>"1552377008542480"</f>
        <v>1552377008542480</v>
      </c>
      <c r="C6790" t="s">
        <v>40</v>
      </c>
      <c r="D6790">
        <v>4.6738119999999999</v>
      </c>
      <c r="E6790">
        <v>0.45930359999999998</v>
      </c>
      <c r="F6790" t="s">
        <v>65</v>
      </c>
      <c r="G6790">
        <v>-207.49520000000001</v>
      </c>
      <c r="H6790" s="1">
        <v>-1.697537E-6</v>
      </c>
      <c r="I6790">
        <v>-59.880619999999901</v>
      </c>
      <c r="J6790">
        <v>-225.61879999999999</v>
      </c>
      <c r="K6790">
        <v>1.109869</v>
      </c>
      <c r="L6790">
        <v>-61.446689999999997</v>
      </c>
      <c r="M6790">
        <v>0.99974890000000005</v>
      </c>
      <c r="N6790">
        <v>0</v>
      </c>
      <c r="O6790">
        <v>1.7501070000000001E-2</v>
      </c>
      <c r="P6790">
        <v>0.99936179999999997</v>
      </c>
      <c r="Q6790">
        <v>-2.6958389999999999E-2</v>
      </c>
      <c r="R6790">
        <v>-2.3439829999999998E-2</v>
      </c>
      <c r="S6790">
        <v>3.0031129999999999</v>
      </c>
      <c r="T6790">
        <v>-0.18245549999999999</v>
      </c>
      <c r="U6790">
        <v>0.25787349999999998</v>
      </c>
      <c r="V6790">
        <v>4.0931629999999997E-2</v>
      </c>
      <c r="W6790">
        <v>-1.2966800000000001E-2</v>
      </c>
      <c r="X6790">
        <v>0.99907780000000002</v>
      </c>
      <c r="Y6790">
        <v>-6.8009780000000006E-2</v>
      </c>
      <c r="Z6790">
        <v>1.0000740000000001E-3</v>
      </c>
      <c r="AA6790">
        <v>0.99768420000000002</v>
      </c>
      <c r="AB6790">
        <v>30</v>
      </c>
      <c r="AC6790">
        <v>18.1235999999999</v>
      </c>
      <c r="AD6790">
        <v>-1.1098706975370001</v>
      </c>
      <c r="AE6790">
        <v>1.5660700000000101</v>
      </c>
      <c r="AF6790">
        <v>-1.24398600855313</v>
      </c>
      <c r="AG6790">
        <v>-1.1098706975370001</v>
      </c>
      <c r="AH6790">
        <v>18.080929541763702</v>
      </c>
      <c r="AI6790">
        <v>93.504344484433105</v>
      </c>
      <c r="AJ6790">
        <v>93.935804522016795</v>
      </c>
      <c r="AK6790">
        <v>18.157624493555002</v>
      </c>
      <c r="AL6790">
        <v>90.742963739787598</v>
      </c>
      <c r="AM6790">
        <v>87.653937632932596</v>
      </c>
      <c r="AN6790">
        <v>0.99999999334476797</v>
      </c>
    </row>
    <row r="6791" spans="1:40" x14ac:dyDescent="0.25">
      <c r="A6791" t="str">
        <f>"20190312155008556"</f>
        <v>20190312155008556</v>
      </c>
      <c r="B6791" t="str">
        <f>"1552377008552239"</f>
        <v>1552377008552239</v>
      </c>
      <c r="C6791" t="s">
        <v>40</v>
      </c>
      <c r="D6791">
        <v>4.6806150000000004</v>
      </c>
      <c r="E6791">
        <v>0.45929140000000002</v>
      </c>
      <c r="F6791" t="s">
        <v>65</v>
      </c>
      <c r="G6791">
        <v>-207.3854</v>
      </c>
      <c r="H6791" s="1">
        <v>-1.7674739999999999E-6</v>
      </c>
      <c r="I6791">
        <v>-59.880049999999997</v>
      </c>
      <c r="J6791">
        <v>-225.47049999999999</v>
      </c>
      <c r="K6791">
        <v>1.1098749999999999</v>
      </c>
      <c r="L6791">
        <v>-61.444000000000003</v>
      </c>
      <c r="M6791">
        <v>0.99974730000000001</v>
      </c>
      <c r="N6791">
        <v>0</v>
      </c>
      <c r="O6791">
        <v>1.7582299999999999E-2</v>
      </c>
      <c r="P6791">
        <v>0.99935289999999999</v>
      </c>
      <c r="Q6791">
        <v>-2.7286250000000001E-2</v>
      </c>
      <c r="R6791">
        <v>-2.3438779999999999E-2</v>
      </c>
      <c r="S6791">
        <v>3.0030519999999998</v>
      </c>
      <c r="T6791">
        <v>-0.18279670000000001</v>
      </c>
      <c r="U6791">
        <v>0.25802609999999998</v>
      </c>
      <c r="V6791">
        <v>4.1011720000000002E-2</v>
      </c>
      <c r="W6791">
        <v>-1.327793E-2</v>
      </c>
      <c r="X6791">
        <v>0.99907040000000003</v>
      </c>
      <c r="Y6791">
        <v>-6.7980620000000005E-2</v>
      </c>
      <c r="Z6791">
        <v>9.9614499999999993E-4</v>
      </c>
      <c r="AA6791">
        <v>0.99768610000000002</v>
      </c>
      <c r="AB6791">
        <v>30</v>
      </c>
      <c r="AC6791">
        <v>18.085099999999901</v>
      </c>
      <c r="AD6791">
        <v>-1.109876767474</v>
      </c>
      <c r="AE6791">
        <v>1.56394999999999</v>
      </c>
      <c r="AF6791">
        <v>-1.24105991337358</v>
      </c>
      <c r="AG6791">
        <v>-1.109876767474</v>
      </c>
      <c r="AH6791">
        <v>18.042356975457398</v>
      </c>
      <c r="AI6791">
        <v>93.511840433795996</v>
      </c>
      <c r="AJ6791">
        <v>93.934943985566306</v>
      </c>
      <c r="AK6791">
        <v>18.119014911892901</v>
      </c>
      <c r="AL6791">
        <v>90.760791732919003</v>
      </c>
      <c r="AM6791">
        <v>87.649334898323303</v>
      </c>
      <c r="AN6791">
        <v>0.99999996437930105</v>
      </c>
    </row>
    <row r="6792" spans="1:40" x14ac:dyDescent="0.25">
      <c r="A6792" t="str">
        <f>"20190312155008567"</f>
        <v>20190312155008567</v>
      </c>
      <c r="B6792" t="str">
        <f>"1552377008561999"</f>
        <v>1552377008561999</v>
      </c>
      <c r="C6792" t="s">
        <v>40</v>
      </c>
      <c r="D6792">
        <v>4.6972139999999998</v>
      </c>
      <c r="E6792">
        <v>0.45930850000000001</v>
      </c>
      <c r="F6792" t="s">
        <v>65</v>
      </c>
      <c r="G6792">
        <v>-207.3271</v>
      </c>
      <c r="H6792" s="1">
        <v>-1.803377E-6</v>
      </c>
      <c r="I6792">
        <v>-59.884500000000003</v>
      </c>
      <c r="J6792">
        <v>-225.32089999999999</v>
      </c>
      <c r="K6792">
        <v>1.1098790000000001</v>
      </c>
      <c r="L6792">
        <v>-61.441279999999999</v>
      </c>
      <c r="M6792">
        <v>0.99974569999999996</v>
      </c>
      <c r="N6792">
        <v>0</v>
      </c>
      <c r="O6792">
        <v>1.766438E-2</v>
      </c>
      <c r="P6792">
        <v>0.99935839999999998</v>
      </c>
      <c r="Q6792">
        <v>-2.71209E-2</v>
      </c>
      <c r="R6792">
        <v>-2.3396819999999999E-2</v>
      </c>
      <c r="S6792">
        <v>3.0029750000000002</v>
      </c>
      <c r="T6792">
        <v>-0.183699</v>
      </c>
      <c r="U6792">
        <v>0.25811770000000001</v>
      </c>
      <c r="V6792">
        <v>4.1051709999999998E-2</v>
      </c>
      <c r="W6792">
        <v>-1.3096129999999999E-2</v>
      </c>
      <c r="X6792">
        <v>0.99907120000000005</v>
      </c>
      <c r="Y6792">
        <v>-6.7930420000000005E-2</v>
      </c>
      <c r="Z6792">
        <v>9.9454030000000002E-4</v>
      </c>
      <c r="AA6792">
        <v>0.99768950000000001</v>
      </c>
      <c r="AB6792">
        <v>30</v>
      </c>
      <c r="AC6792">
        <v>17.993799999999901</v>
      </c>
      <c r="AD6792">
        <v>-1.109880803377</v>
      </c>
      <c r="AE6792">
        <v>1.5567800000000001</v>
      </c>
      <c r="AF6792">
        <v>-1.2339965377334401</v>
      </c>
      <c r="AG6792">
        <v>-1.109880803377</v>
      </c>
      <c r="AH6792">
        <v>17.950706660631599</v>
      </c>
      <c r="AI6792">
        <v>93.529748494715705</v>
      </c>
      <c r="AJ6792">
        <v>93.932532382142597</v>
      </c>
      <c r="AK6792">
        <v>18.0272696898029</v>
      </c>
      <c r="AL6792">
        <v>90.750374421955499</v>
      </c>
      <c r="AM6792">
        <v>87.647047251991694</v>
      </c>
      <c r="AN6792">
        <v>1.00000000709217</v>
      </c>
    </row>
    <row r="6793" spans="1:40" x14ac:dyDescent="0.25">
      <c r="A6793" t="str">
        <f>"20190312155008578"</f>
        <v>20190312155008578</v>
      </c>
      <c r="B6793" t="str">
        <f>"1552377008572736"</f>
        <v>1552377008572736</v>
      </c>
      <c r="C6793" t="s">
        <v>40</v>
      </c>
      <c r="D6793">
        <v>4.6779929999999998</v>
      </c>
      <c r="E6793">
        <v>0.45932089999999998</v>
      </c>
      <c r="F6793" t="s">
        <v>65</v>
      </c>
      <c r="G6793">
        <v>-207.12790000000001</v>
      </c>
      <c r="H6793" s="1">
        <v>-1.931912E-6</v>
      </c>
      <c r="I6793">
        <v>-59.87735</v>
      </c>
      <c r="J6793">
        <v>-225.17400000000001</v>
      </c>
      <c r="K6793">
        <v>1.1098840000000001</v>
      </c>
      <c r="L6793">
        <v>-61.438630000000003</v>
      </c>
      <c r="M6793">
        <v>0.99974410000000002</v>
      </c>
      <c r="N6793">
        <v>0</v>
      </c>
      <c r="O6793">
        <v>1.7744799999999901E-2</v>
      </c>
      <c r="P6793">
        <v>0.9993649</v>
      </c>
      <c r="Q6793">
        <v>-2.7167009999999998E-2</v>
      </c>
      <c r="R6793">
        <v>-2.3067460000000001E-2</v>
      </c>
      <c r="S6793">
        <v>3.0029910000000002</v>
      </c>
      <c r="T6793">
        <v>-0.1832001</v>
      </c>
      <c r="U6793">
        <v>0.25814819999999999</v>
      </c>
      <c r="V6793">
        <v>4.0802930000000001E-2</v>
      </c>
      <c r="W6793">
        <v>-1.312778E-2</v>
      </c>
      <c r="X6793">
        <v>0.999081</v>
      </c>
      <c r="Y6793">
        <v>-6.786056E-2</v>
      </c>
      <c r="Z6793">
        <v>9.8482330000000001E-4</v>
      </c>
      <c r="AA6793">
        <v>0.99769430000000003</v>
      </c>
      <c r="AB6793">
        <v>30</v>
      </c>
      <c r="AC6793">
        <v>18.046099999999999</v>
      </c>
      <c r="AD6793">
        <v>-1.109885931912</v>
      </c>
      <c r="AE6793">
        <v>1.56128</v>
      </c>
      <c r="AF6793">
        <v>-1.2361370980975499</v>
      </c>
      <c r="AG6793">
        <v>-1.109885931912</v>
      </c>
      <c r="AH6793">
        <v>18.003371842761702</v>
      </c>
      <c r="AI6793">
        <v>93.519484882824798</v>
      </c>
      <c r="AJ6793">
        <v>93.9278449287021</v>
      </c>
      <c r="AK6793">
        <v>18.079858390371701</v>
      </c>
      <c r="AL6793">
        <v>90.752187971184298</v>
      </c>
      <c r="AM6793">
        <v>87.661313559659405</v>
      </c>
      <c r="AN6793">
        <v>1.00000003113265</v>
      </c>
    </row>
    <row r="6794" spans="1:40" x14ac:dyDescent="0.25">
      <c r="A6794" t="str">
        <f>"20190312155008590"</f>
        <v>20190312155008590</v>
      </c>
      <c r="B6794" t="str">
        <f>"1552377008582495"</f>
        <v>1552377008582495</v>
      </c>
      <c r="C6794" t="s">
        <v>40</v>
      </c>
      <c r="D6794">
        <v>4.6930610000000001</v>
      </c>
      <c r="E6794">
        <v>0.45933350000000001</v>
      </c>
      <c r="F6794" t="s">
        <v>65</v>
      </c>
      <c r="G6794">
        <v>-206.9597</v>
      </c>
      <c r="H6794" s="1">
        <v>-2.041444E-6</v>
      </c>
      <c r="I6794">
        <v>-59.867449999999998</v>
      </c>
      <c r="J6794">
        <v>-225.0256</v>
      </c>
      <c r="K6794">
        <v>1.109882</v>
      </c>
      <c r="L6794">
        <v>-61.435879999999997</v>
      </c>
      <c r="M6794">
        <v>0.99974229999999997</v>
      </c>
      <c r="N6794">
        <v>0</v>
      </c>
      <c r="O6794">
        <v>1.7826229999999998E-2</v>
      </c>
      <c r="P6794">
        <v>0.99937220000000004</v>
      </c>
      <c r="Q6794">
        <v>-2.7117280000000001E-2</v>
      </c>
      <c r="R6794">
        <v>-2.28002E-2</v>
      </c>
      <c r="S6794">
        <v>3.0029140000000001</v>
      </c>
      <c r="T6794">
        <v>-0.18298210000000001</v>
      </c>
      <c r="U6794">
        <v>0.25903320000000002</v>
      </c>
      <c r="V6794">
        <v>4.0617279999999999E-2</v>
      </c>
      <c r="W6794">
        <v>-1.3064330000000001E-2</v>
      </c>
      <c r="X6794">
        <v>0.99908940000000002</v>
      </c>
      <c r="Y6794">
        <v>-6.8073300000000003E-2</v>
      </c>
      <c r="Z6794">
        <v>9.8518350000000011E-4</v>
      </c>
      <c r="AA6794">
        <v>0.99767980000000001</v>
      </c>
      <c r="AB6794">
        <v>30</v>
      </c>
      <c r="AC6794">
        <v>18.065899999999999</v>
      </c>
      <c r="AD6794">
        <v>-1.1098840414440001</v>
      </c>
      <c r="AE6794">
        <v>1.56843</v>
      </c>
      <c r="AF6794">
        <v>-1.2414514688690099</v>
      </c>
      <c r="AG6794">
        <v>-1.1098840414440001</v>
      </c>
      <c r="AH6794">
        <v>18.023473677558201</v>
      </c>
      <c r="AI6794">
        <v>93.515511036531095</v>
      </c>
      <c r="AJ6794">
        <v>93.940292538538699</v>
      </c>
      <c r="AK6794">
        <v>18.100238886286601</v>
      </c>
      <c r="AL6794">
        <v>90.748552239647495</v>
      </c>
      <c r="AM6794">
        <v>87.671962209263697</v>
      </c>
      <c r="AN6794">
        <v>1.0000000346726501</v>
      </c>
    </row>
    <row r="6795" spans="1:40" x14ac:dyDescent="0.25">
      <c r="A6795" t="str">
        <f>"20190312155008600"</f>
        <v>20190312155008600</v>
      </c>
      <c r="B6795" t="str">
        <f>"1552377008592256"</f>
        <v>1552377008592256</v>
      </c>
      <c r="C6795" t="s">
        <v>40</v>
      </c>
      <c r="D6795">
        <v>4.6744960000000004</v>
      </c>
      <c r="E6795">
        <v>0.45926479999999997</v>
      </c>
      <c r="F6795" t="s">
        <v>65</v>
      </c>
      <c r="G6795">
        <v>-206.80709999999999</v>
      </c>
      <c r="H6795" s="1">
        <v>-2.1403289999999998E-6</v>
      </c>
      <c r="I6795">
        <v>-59.860239999999997</v>
      </c>
      <c r="J6795">
        <v>-224.87819999999999</v>
      </c>
      <c r="K6795">
        <v>1.1098859999999999</v>
      </c>
      <c r="L6795">
        <v>-61.433169999999997</v>
      </c>
      <c r="M6795">
        <v>0.99974070000000004</v>
      </c>
      <c r="N6795">
        <v>0</v>
      </c>
      <c r="O6795">
        <v>1.7907200000000002E-2</v>
      </c>
      <c r="P6795">
        <v>0.99938059999999995</v>
      </c>
      <c r="Q6795">
        <v>-2.6902849999999999E-2</v>
      </c>
      <c r="R6795">
        <v>-2.2682000000000001E-2</v>
      </c>
      <c r="S6795">
        <v>3.0028380000000001</v>
      </c>
      <c r="T6795">
        <v>-0.18293570000000001</v>
      </c>
      <c r="U6795">
        <v>0.25970460000000001</v>
      </c>
      <c r="V6795">
        <v>4.0580079999999998E-2</v>
      </c>
      <c r="W6795">
        <v>-1.2837370000000001E-2</v>
      </c>
      <c r="X6795">
        <v>0.99909380000000003</v>
      </c>
      <c r="Y6795">
        <v>-6.8215999999999999E-2</v>
      </c>
      <c r="Z6795">
        <v>9.8436789999999997E-4</v>
      </c>
      <c r="AA6795">
        <v>0.9976701</v>
      </c>
      <c r="AB6795">
        <v>30</v>
      </c>
      <c r="AC6795">
        <v>18.071100000000001</v>
      </c>
      <c r="AD6795">
        <v>-1.109888140329</v>
      </c>
      <c r="AE6795">
        <v>1.5729299999999899</v>
      </c>
      <c r="AF6795">
        <v>-1.2443842025429499</v>
      </c>
      <c r="AG6795">
        <v>-1.109888140329</v>
      </c>
      <c r="AH6795">
        <v>18.028875040357399</v>
      </c>
      <c r="AI6795">
        <v>93.514439224228099</v>
      </c>
      <c r="AJ6795">
        <v>93.948391905565501</v>
      </c>
      <c r="AK6795">
        <v>18.1058189250971</v>
      </c>
      <c r="AL6795">
        <v>90.735547338705004</v>
      </c>
      <c r="AM6795">
        <v>87.674102270015396</v>
      </c>
      <c r="AN6795">
        <v>0.99999998107988097</v>
      </c>
    </row>
    <row r="6796" spans="1:40" x14ac:dyDescent="0.25">
      <c r="A6796" t="str">
        <f>"20190312155008612"</f>
        <v>20190312155008612</v>
      </c>
      <c r="B6796" t="str">
        <f>"1552377008602016"</f>
        <v>1552377008602016</v>
      </c>
      <c r="C6796" t="s">
        <v>40</v>
      </c>
      <c r="D6796">
        <v>4.6966599999999996</v>
      </c>
      <c r="E6796">
        <v>0.45926479999999997</v>
      </c>
      <c r="F6796" t="s">
        <v>65</v>
      </c>
      <c r="G6796">
        <v>-206.5378</v>
      </c>
      <c r="H6796" s="1">
        <v>-2.3166310000000002E-6</v>
      </c>
      <c r="I6796">
        <v>-59.841030000000003</v>
      </c>
      <c r="J6796">
        <v>-224.7226</v>
      </c>
      <c r="K6796">
        <v>1.10989</v>
      </c>
      <c r="L6796">
        <v>-61.430300000000003</v>
      </c>
      <c r="M6796">
        <v>0.99973889999999999</v>
      </c>
      <c r="N6796">
        <v>0</v>
      </c>
      <c r="O6796">
        <v>1.7992459999999998E-2</v>
      </c>
      <c r="P6796">
        <v>0.99939009999999995</v>
      </c>
      <c r="Q6796">
        <v>-2.6821419999999999E-2</v>
      </c>
      <c r="R6796">
        <v>-2.236281E-2</v>
      </c>
      <c r="S6796">
        <v>3.0028990000000002</v>
      </c>
      <c r="T6796">
        <v>-0.18172340000000001</v>
      </c>
      <c r="U6796">
        <v>0.2606812</v>
      </c>
      <c r="V6796">
        <v>4.0346130000000001E-2</v>
      </c>
      <c r="W6796">
        <v>-1.2743880000000001E-2</v>
      </c>
      <c r="X6796">
        <v>0.99910449999999995</v>
      </c>
      <c r="Y6796">
        <v>-6.8452159999999998E-2</v>
      </c>
      <c r="Z6796">
        <v>9.7980570000000006E-4</v>
      </c>
      <c r="AA6796">
        <v>0.99765389999999998</v>
      </c>
      <c r="AB6796">
        <v>30</v>
      </c>
      <c r="AC6796">
        <v>18.184799999999999</v>
      </c>
      <c r="AD6796">
        <v>-1.109892316631</v>
      </c>
      <c r="AE6796">
        <v>1.58926999999999</v>
      </c>
      <c r="AF6796">
        <v>-1.2571433738495601</v>
      </c>
      <c r="AG6796">
        <v>-1.109892316631</v>
      </c>
      <c r="AH6796">
        <v>18.1433787934515</v>
      </c>
      <c r="AI6796">
        <v>93.4922634303379</v>
      </c>
      <c r="AJ6796">
        <v>93.963653653201206</v>
      </c>
      <c r="AK6796">
        <v>18.220715256531399</v>
      </c>
      <c r="AL6796">
        <v>90.730190297344095</v>
      </c>
      <c r="AM6796">
        <v>87.687521544508499</v>
      </c>
      <c r="AN6796">
        <v>1.00000000930184</v>
      </c>
    </row>
    <row r="6797" spans="1:40" x14ac:dyDescent="0.25">
      <c r="A6797" t="str">
        <f>"20190312155008623"</f>
        <v>20190312155008623</v>
      </c>
      <c r="B6797" t="str">
        <f>"1552377008612751"</f>
        <v>1552377008612751</v>
      </c>
      <c r="C6797" t="s">
        <v>40</v>
      </c>
      <c r="D6797">
        <v>4.6565479999999999</v>
      </c>
      <c r="E6797">
        <v>0.43109140000000001</v>
      </c>
      <c r="F6797" t="s">
        <v>65</v>
      </c>
      <c r="G6797">
        <v>-206.3586</v>
      </c>
      <c r="H6797" s="1">
        <v>-2.4333609999999998E-6</v>
      </c>
      <c r="I6797">
        <v>-59.830469999999998</v>
      </c>
      <c r="J6797">
        <v>-224.57249999999999</v>
      </c>
      <c r="K6797">
        <v>1.1098939999999999</v>
      </c>
      <c r="L6797">
        <v>-61.427520000000001</v>
      </c>
      <c r="M6797">
        <v>0.9997374</v>
      </c>
      <c r="N6797">
        <v>0</v>
      </c>
      <c r="O6797">
        <v>1.8074750000000001E-2</v>
      </c>
      <c r="P6797">
        <v>0.99939659999999997</v>
      </c>
      <c r="Q6797">
        <v>-2.6689839999999999E-2</v>
      </c>
      <c r="R6797">
        <v>-2.2238250000000001E-2</v>
      </c>
      <c r="S6797">
        <v>3.0028079999999999</v>
      </c>
      <c r="T6797">
        <v>-0.1814848</v>
      </c>
      <c r="U6797">
        <v>0.26159670000000002</v>
      </c>
      <c r="V6797">
        <v>4.0303680000000001E-2</v>
      </c>
      <c r="W6797">
        <v>-1.2601319999999999E-2</v>
      </c>
      <c r="X6797">
        <v>0.999108</v>
      </c>
      <c r="Y6797">
        <v>-6.8674529999999998E-2</v>
      </c>
      <c r="Z6797">
        <v>9.8028289999999994E-4</v>
      </c>
      <c r="AA6797">
        <v>0.99763860000000004</v>
      </c>
      <c r="AB6797">
        <v>30</v>
      </c>
      <c r="AC6797">
        <v>18.213899999999899</v>
      </c>
      <c r="AD6797">
        <v>-1.109896433361</v>
      </c>
      <c r="AE6797">
        <v>1.5970499999999901</v>
      </c>
      <c r="AF6797">
        <v>-1.2628909911992601</v>
      </c>
      <c r="AG6797">
        <v>-1.109896433361</v>
      </c>
      <c r="AH6797">
        <v>18.172826957981499</v>
      </c>
      <c r="AI6797">
        <v>93.486582265599395</v>
      </c>
      <c r="AJ6797">
        <v>93.975285716250994</v>
      </c>
      <c r="AK6797">
        <v>18.250435704201099</v>
      </c>
      <c r="AL6797">
        <v>90.722021570673903</v>
      </c>
      <c r="AM6797">
        <v>87.689960054761201</v>
      </c>
      <c r="AN6797">
        <v>0.99999998777564203</v>
      </c>
    </row>
    <row r="6798" spans="1:40" x14ac:dyDescent="0.25">
      <c r="A6798" t="str">
        <f>"20190312155008636"</f>
        <v>20190312155008636</v>
      </c>
      <c r="B6798" t="str">
        <f>"1552377008632272"</f>
        <v>1552377008632272</v>
      </c>
      <c r="C6798" t="s">
        <v>40</v>
      </c>
      <c r="D6798">
        <v>4.8194850000000002</v>
      </c>
      <c r="E6798">
        <v>0.41393089999999999</v>
      </c>
      <c r="F6798" t="s">
        <v>65</v>
      </c>
      <c r="G6798">
        <v>-198.29820000000001</v>
      </c>
      <c r="H6798" s="1">
        <v>-8.2195649999999993E-6</v>
      </c>
      <c r="I6798">
        <v>-57.194780000000002</v>
      </c>
      <c r="J6798">
        <v>-224.4187</v>
      </c>
      <c r="K6798">
        <v>1.1098969999999999</v>
      </c>
      <c r="L6798">
        <v>-61.424619999999997</v>
      </c>
      <c r="M6798">
        <v>0.99973579999999995</v>
      </c>
      <c r="N6798">
        <v>0</v>
      </c>
      <c r="O6798">
        <v>1.81592E-2</v>
      </c>
      <c r="P6798">
        <v>0.99940600000000002</v>
      </c>
      <c r="Q6798">
        <v>-2.667336E-2</v>
      </c>
      <c r="R6798">
        <v>-2.1830280000000001E-2</v>
      </c>
      <c r="S6798">
        <v>3.0091709999999998</v>
      </c>
      <c r="T6798">
        <v>-0.1271158</v>
      </c>
      <c r="U6798">
        <v>0.48477170000000003</v>
      </c>
      <c r="V6798">
        <v>3.9980460000000002E-2</v>
      </c>
      <c r="W6798">
        <v>-1.257495E-2</v>
      </c>
      <c r="X6798">
        <v>0.99912129999999999</v>
      </c>
      <c r="Y6798">
        <v>-0.14098479999999999</v>
      </c>
      <c r="Z6798">
        <v>2.195813E-3</v>
      </c>
      <c r="AA6798">
        <v>0.99000929999999998</v>
      </c>
      <c r="AB6798">
        <v>30</v>
      </c>
      <c r="AC6798">
        <v>26.1205</v>
      </c>
      <c r="AD6798">
        <v>-1.1099052195650001</v>
      </c>
      <c r="AE6798">
        <v>4.2298399999999896</v>
      </c>
      <c r="AF6798">
        <v>-3.7481733372672199</v>
      </c>
      <c r="AG6798">
        <v>-1.1099052195650001</v>
      </c>
      <c r="AH6798">
        <v>26.1470069241693</v>
      </c>
      <c r="AI6798">
        <v>92.406102720159097</v>
      </c>
      <c r="AJ6798">
        <v>98.157774078020694</v>
      </c>
      <c r="AK6798">
        <v>26.4375994382087</v>
      </c>
      <c r="AL6798">
        <v>90.720510574516595</v>
      </c>
      <c r="AM6798">
        <v>87.708496328710794</v>
      </c>
      <c r="AN6798">
        <v>0.99999996933150104</v>
      </c>
    </row>
    <row r="6799" spans="1:40" x14ac:dyDescent="0.25">
      <c r="A6799" t="str">
        <f>"20190312155008646"</f>
        <v>20190312155008646</v>
      </c>
      <c r="B6799" t="str">
        <f>"1552377008642031"</f>
        <v>1552377008642031</v>
      </c>
      <c r="C6799" t="s">
        <v>40</v>
      </c>
      <c r="D6799">
        <v>4.775201</v>
      </c>
      <c r="E6799">
        <v>0.4081823</v>
      </c>
      <c r="F6799" t="s">
        <v>65</v>
      </c>
      <c r="G6799">
        <v>-205.13050000000001</v>
      </c>
      <c r="H6799" s="1">
        <v>-3.7386020000000001E-6</v>
      </c>
      <c r="I6799">
        <v>-57.422840000000001</v>
      </c>
      <c r="J6799">
        <v>-224.27189999999999</v>
      </c>
      <c r="K6799">
        <v>1.1099019999999999</v>
      </c>
      <c r="L6799">
        <v>-61.421909999999997</v>
      </c>
      <c r="M6799">
        <v>0.99973429999999996</v>
      </c>
      <c r="N6799">
        <v>0</v>
      </c>
      <c r="O6799">
        <v>1.8239829999999999E-2</v>
      </c>
      <c r="P6799">
        <v>0.99939889999999998</v>
      </c>
      <c r="Q6799">
        <v>-2.6938070000000001E-2</v>
      </c>
      <c r="R6799">
        <v>-2.1826269999999998E-2</v>
      </c>
      <c r="S6799">
        <v>3.010818</v>
      </c>
      <c r="T6799">
        <v>-0.17325170000000001</v>
      </c>
      <c r="U6799">
        <v>0.62466429999999995</v>
      </c>
      <c r="V6799">
        <v>4.005703E-2</v>
      </c>
      <c r="W6799">
        <v>-1.283072E-2</v>
      </c>
      <c r="X6799">
        <v>0.99911499999999998</v>
      </c>
      <c r="Y6799">
        <v>-0.18498780000000001</v>
      </c>
      <c r="Z6799">
        <v>4.2248299999999997E-3</v>
      </c>
      <c r="AA6799">
        <v>0.98273180000000004</v>
      </c>
      <c r="AB6799">
        <v>30</v>
      </c>
      <c r="AC6799">
        <v>19.141399999999901</v>
      </c>
      <c r="AD6799">
        <v>-1.1099057386019999</v>
      </c>
      <c r="AE6799">
        <v>3.9990699999999899</v>
      </c>
      <c r="AF6799">
        <v>-3.6375154321387799</v>
      </c>
      <c r="AG6799">
        <v>-1.1099057386019999</v>
      </c>
      <c r="AH6799">
        <v>19.149472833975398</v>
      </c>
      <c r="AI6799">
        <v>93.2590124733171</v>
      </c>
      <c r="AJ6799">
        <v>100.755413095702</v>
      </c>
      <c r="AK6799">
        <v>19.5234658574443</v>
      </c>
      <c r="AL6799">
        <v>90.735166285200194</v>
      </c>
      <c r="AM6799">
        <v>87.704097904366193</v>
      </c>
      <c r="AN6799">
        <v>0.99999998812656898</v>
      </c>
    </row>
    <row r="6800" spans="1:40" x14ac:dyDescent="0.25">
      <c r="A6800" t="str">
        <f>"20190312155008657"</f>
        <v>20190312155008657</v>
      </c>
      <c r="B6800" t="str">
        <f>"1552377008652768"</f>
        <v>1552377008652768</v>
      </c>
      <c r="C6800" t="s">
        <v>40</v>
      </c>
      <c r="D6800">
        <v>4.777012</v>
      </c>
      <c r="E6800">
        <v>0.40380070000000001</v>
      </c>
      <c r="F6800" t="s">
        <v>65</v>
      </c>
      <c r="G6800">
        <v>-205.79220000000001</v>
      </c>
      <c r="H6800" s="1">
        <v>-3.4025360000000002E-6</v>
      </c>
      <c r="I6800">
        <v>-57.306249999999999</v>
      </c>
      <c r="J6800">
        <v>-224.1233</v>
      </c>
      <c r="K6800">
        <v>1.109909</v>
      </c>
      <c r="L6800">
        <v>-61.4191</v>
      </c>
      <c r="M6800">
        <v>0.99973259999999997</v>
      </c>
      <c r="N6800">
        <v>0</v>
      </c>
      <c r="O6800">
        <v>1.8321420000000001E-2</v>
      </c>
      <c r="P6800">
        <v>0.99940280000000004</v>
      </c>
      <c r="Q6800">
        <v>-2.6837670000000001E-2</v>
      </c>
      <c r="R6800">
        <v>-2.1775180000000002E-2</v>
      </c>
      <c r="S6800">
        <v>3.0115810000000001</v>
      </c>
      <c r="T6800">
        <v>-0.18087780000000001</v>
      </c>
      <c r="U6800">
        <v>0.67071530000000001</v>
      </c>
      <c r="V6800">
        <v>4.0087409999999997E-2</v>
      </c>
      <c r="W6800">
        <v>-1.272233E-2</v>
      </c>
      <c r="X6800">
        <v>0.99911519999999998</v>
      </c>
      <c r="Y6800">
        <v>-0.19915430000000001</v>
      </c>
      <c r="Z6800">
        <v>4.817516E-3</v>
      </c>
      <c r="AA6800">
        <v>0.9799563</v>
      </c>
      <c r="AB6800">
        <v>30</v>
      </c>
      <c r="AC6800">
        <v>18.3310999999999</v>
      </c>
      <c r="AD6800">
        <v>-1.1099124025360001</v>
      </c>
      <c r="AE6800">
        <v>4.1128499999999999</v>
      </c>
      <c r="AF6800">
        <v>-3.7631395765373501</v>
      </c>
      <c r="AG6800">
        <v>-1.1099124025360001</v>
      </c>
      <c r="AH6800">
        <v>18.339372164865701</v>
      </c>
      <c r="AI6800">
        <v>93.392838053608401</v>
      </c>
      <c r="AJ6800">
        <v>101.595824226505</v>
      </c>
      <c r="AK6800">
        <v>18.754351399482101</v>
      </c>
      <c r="AL6800">
        <v>90.728955465040201</v>
      </c>
      <c r="AM6800">
        <v>87.702358974223301</v>
      </c>
      <c r="AN6800">
        <v>1.0000000204960799</v>
      </c>
    </row>
    <row r="6801" spans="1:40" x14ac:dyDescent="0.25">
      <c r="A6801" t="str">
        <f>"20190312155008669"</f>
        <v>20190312155008669</v>
      </c>
      <c r="B6801" t="str">
        <f>"1552377008662528"</f>
        <v>1552377008662528</v>
      </c>
      <c r="C6801" t="s">
        <v>40</v>
      </c>
      <c r="D6801">
        <v>4.7736130000000001</v>
      </c>
      <c r="E6801">
        <v>0.40048299999999998</v>
      </c>
      <c r="F6801" t="s">
        <v>65</v>
      </c>
      <c r="G6801">
        <v>-205.70009999999999</v>
      </c>
      <c r="H6801" s="1">
        <v>-3.4982849999999998E-6</v>
      </c>
      <c r="I6801">
        <v>-57.101619999999997</v>
      </c>
      <c r="J6801">
        <v>-223.97470000000001</v>
      </c>
      <c r="K6801">
        <v>1.109912</v>
      </c>
      <c r="L6801">
        <v>-61.416289999999996</v>
      </c>
      <c r="M6801">
        <v>0.99973089999999998</v>
      </c>
      <c r="N6801">
        <v>0</v>
      </c>
      <c r="O6801">
        <v>1.8403019999999999E-2</v>
      </c>
      <c r="P6801">
        <v>0.99941349999999995</v>
      </c>
      <c r="Q6801">
        <v>-2.657752E-2</v>
      </c>
      <c r="R6801">
        <v>-2.1598570000000001E-2</v>
      </c>
      <c r="S6801">
        <v>3.0122990000000001</v>
      </c>
      <c r="T6801">
        <v>-0.18147730000000001</v>
      </c>
      <c r="U6801">
        <v>0.70593260000000002</v>
      </c>
      <c r="V6801">
        <v>3.9992550000000002E-2</v>
      </c>
      <c r="W6801">
        <v>-1.24545E-2</v>
      </c>
      <c r="X6801">
        <v>0.99912239999999997</v>
      </c>
      <c r="Y6801">
        <v>-0.2098816</v>
      </c>
      <c r="Z6801">
        <v>5.1398700000000004E-3</v>
      </c>
      <c r="AA6801">
        <v>0.97771330000000001</v>
      </c>
      <c r="AB6801">
        <v>30</v>
      </c>
      <c r="AC6801">
        <v>18.2746</v>
      </c>
      <c r="AD6801">
        <v>-1.1099154982849999</v>
      </c>
      <c r="AE6801">
        <v>4.3146699999999996</v>
      </c>
      <c r="AF6801">
        <v>-3.9637483755788101</v>
      </c>
      <c r="AG6801">
        <v>-1.1099154982849999</v>
      </c>
      <c r="AH6801">
        <v>18.287020245000601</v>
      </c>
      <c r="AI6801">
        <v>93.394622889224493</v>
      </c>
      <c r="AJ6801">
        <v>102.22979309121899</v>
      </c>
      <c r="AK6801">
        <v>18.744554490285999</v>
      </c>
      <c r="AL6801">
        <v>90.713608703586701</v>
      </c>
      <c r="AM6801">
        <v>87.7078066431895</v>
      </c>
      <c r="AN6801">
        <v>1.00000004440375</v>
      </c>
    </row>
    <row r="6802" spans="1:40" x14ac:dyDescent="0.25">
      <c r="A6802" t="str">
        <f>"20190312155008679"</f>
        <v>20190312155008679</v>
      </c>
      <c r="B6802" t="str">
        <f>"1552377008672288"</f>
        <v>1552377008672288</v>
      </c>
      <c r="C6802" t="s">
        <v>40</v>
      </c>
      <c r="D6802">
        <v>4.7547079999999999</v>
      </c>
      <c r="E6802">
        <v>0.39841860000000001</v>
      </c>
      <c r="F6802" t="s">
        <v>65</v>
      </c>
      <c r="G6802">
        <v>-205.9692</v>
      </c>
      <c r="H6802" s="1">
        <v>-3.365883E-6</v>
      </c>
      <c r="I6802">
        <v>-57.0349199999999</v>
      </c>
      <c r="J6802">
        <v>-223.83449999999999</v>
      </c>
      <c r="K6802">
        <v>1.1099159999999999</v>
      </c>
      <c r="L6802">
        <v>-61.413640000000001</v>
      </c>
      <c r="M6802">
        <v>0.99972930000000004</v>
      </c>
      <c r="N6802">
        <v>0</v>
      </c>
      <c r="O6802">
        <v>1.847998E-2</v>
      </c>
      <c r="P6802">
        <v>0.99941310000000005</v>
      </c>
      <c r="Q6802">
        <v>-2.6486369999999999E-2</v>
      </c>
      <c r="R6802">
        <v>-2.1722700000000001E-2</v>
      </c>
      <c r="S6802">
        <v>3.01268</v>
      </c>
      <c r="T6802">
        <v>-0.18571109999999999</v>
      </c>
      <c r="U6802">
        <v>0.73309329999999995</v>
      </c>
      <c r="V6802">
        <v>4.0193640000000003E-2</v>
      </c>
      <c r="W6802">
        <v>-1.235695E-2</v>
      </c>
      <c r="X6802">
        <v>0.99911550000000005</v>
      </c>
      <c r="Y6802">
        <v>-0.2180811</v>
      </c>
      <c r="Z6802">
        <v>5.4977219999999896E-3</v>
      </c>
      <c r="AA6802">
        <v>0.97591510000000004</v>
      </c>
      <c r="AB6802">
        <v>30</v>
      </c>
      <c r="AC6802">
        <v>17.865299999999898</v>
      </c>
      <c r="AD6802">
        <v>-1.109919365883</v>
      </c>
      <c r="AE6802">
        <v>4.3787200000000004</v>
      </c>
      <c r="AF6802">
        <v>-4.0331039848862797</v>
      </c>
      <c r="AG6802">
        <v>-1.109919365883</v>
      </c>
      <c r="AH6802">
        <v>17.878080283084302</v>
      </c>
      <c r="AI6802">
        <v>93.465647098450006</v>
      </c>
      <c r="AJ6802">
        <v>102.712518001558</v>
      </c>
      <c r="AK6802">
        <v>18.3609259940798</v>
      </c>
      <c r="AL6802">
        <v>90.708019099978401</v>
      </c>
      <c r="AM6802">
        <v>87.696277561648898</v>
      </c>
      <c r="AN6802">
        <v>1.000000002625</v>
      </c>
    </row>
    <row r="6803" spans="1:40" x14ac:dyDescent="0.25">
      <c r="A6803" t="str">
        <f>"20190312155008690"</f>
        <v>20190312155008690</v>
      </c>
      <c r="B6803" t="str">
        <f>"1552377008682048"</f>
        <v>1552377008682048</v>
      </c>
      <c r="C6803" t="s">
        <v>40</v>
      </c>
      <c r="D6803">
        <v>4.7267729999999997</v>
      </c>
      <c r="E6803">
        <v>0.3967697</v>
      </c>
      <c r="F6803" t="s">
        <v>65</v>
      </c>
      <c r="G6803">
        <v>-206.0891</v>
      </c>
      <c r="H6803" s="1">
        <v>-3.308009E-6</v>
      </c>
      <c r="I6803">
        <v>-57.000120000000003</v>
      </c>
      <c r="J6803">
        <v>-223.6884</v>
      </c>
      <c r="K6803">
        <v>1.1099220000000001</v>
      </c>
      <c r="L6803">
        <v>-61.41086</v>
      </c>
      <c r="M6803">
        <v>0.99972780000000006</v>
      </c>
      <c r="N6803">
        <v>0</v>
      </c>
      <c r="O6803">
        <v>1.8560279999999998E-2</v>
      </c>
      <c r="P6803">
        <v>0.99941219999999997</v>
      </c>
      <c r="Q6803">
        <v>-2.6473719999999999E-2</v>
      </c>
      <c r="R6803">
        <v>-2.1789650000000001E-2</v>
      </c>
      <c r="S6803">
        <v>3.0130620000000001</v>
      </c>
      <c r="T6803">
        <v>-0.18845799999999999</v>
      </c>
      <c r="U6803">
        <v>0.74938959999999999</v>
      </c>
      <c r="V6803">
        <v>4.0340590000000003E-2</v>
      </c>
      <c r="W6803">
        <v>-1.2338119999999999E-2</v>
      </c>
      <c r="X6803">
        <v>0.99910980000000005</v>
      </c>
      <c r="Y6803">
        <v>-0.22292999999999999</v>
      </c>
      <c r="Z6803">
        <v>5.7189659999999998E-3</v>
      </c>
      <c r="AA6803">
        <v>0.97481770000000001</v>
      </c>
      <c r="AB6803">
        <v>30</v>
      </c>
      <c r="AC6803">
        <v>17.599299999999999</v>
      </c>
      <c r="AD6803">
        <v>-1.1099253080089999</v>
      </c>
      <c r="AE6803">
        <v>4.4107399999999997</v>
      </c>
      <c r="AF6803">
        <v>-4.0680754492922597</v>
      </c>
      <c r="AG6803">
        <v>-1.1099253080089999</v>
      </c>
      <c r="AH6803">
        <v>17.6122299491376</v>
      </c>
      <c r="AI6803">
        <v>93.513746158547505</v>
      </c>
      <c r="AJ6803">
        <v>103.006089810571</v>
      </c>
      <c r="AK6803">
        <v>18.1099921543824</v>
      </c>
      <c r="AL6803">
        <v>90.706940145406406</v>
      </c>
      <c r="AM6803">
        <v>87.687850982518299</v>
      </c>
      <c r="AN6803">
        <v>0.99999999243136095</v>
      </c>
    </row>
    <row r="6804" spans="1:40" x14ac:dyDescent="0.25">
      <c r="A6804" t="str">
        <f>"20190312155008701"</f>
        <v>20190312155008701</v>
      </c>
      <c r="B6804" t="str">
        <f>"1552377008692784"</f>
        <v>1552377008692784</v>
      </c>
      <c r="C6804" t="s">
        <v>40</v>
      </c>
      <c r="D6804">
        <v>4.7284870000000003</v>
      </c>
      <c r="E6804">
        <v>0.395339</v>
      </c>
      <c r="F6804" t="s">
        <v>65</v>
      </c>
      <c r="G6804">
        <v>-206.18119999999999</v>
      </c>
      <c r="H6804" s="1">
        <v>-3.2618759999999998E-6</v>
      </c>
      <c r="I6804">
        <v>-56.981219999999901</v>
      </c>
      <c r="J6804">
        <v>-223.53700000000001</v>
      </c>
      <c r="K6804">
        <v>1.109926</v>
      </c>
      <c r="L6804">
        <v>-61.40793</v>
      </c>
      <c r="M6804">
        <v>0.99972620000000001</v>
      </c>
      <c r="N6804">
        <v>0</v>
      </c>
      <c r="O6804">
        <v>1.864422E-2</v>
      </c>
      <c r="P6804">
        <v>0.99941179999999996</v>
      </c>
      <c r="Q6804">
        <v>-2.6274820000000001E-2</v>
      </c>
      <c r="R6804">
        <v>-2.2049869999999999E-2</v>
      </c>
      <c r="S6804">
        <v>3.0133209999999999</v>
      </c>
      <c r="T6804">
        <v>-0.1910385</v>
      </c>
      <c r="U6804">
        <v>0.76242069999999995</v>
      </c>
      <c r="V6804">
        <v>4.0684529999999997E-2</v>
      </c>
      <c r="W6804">
        <v>-1.2133390000000001E-2</v>
      </c>
      <c r="X6804">
        <v>0.99909840000000005</v>
      </c>
      <c r="Y6804">
        <v>-0.2267758</v>
      </c>
      <c r="Z6804">
        <v>5.9083360000000001E-3</v>
      </c>
      <c r="AA6804">
        <v>0.97392900000000004</v>
      </c>
      <c r="AB6804">
        <v>30</v>
      </c>
      <c r="AC6804">
        <v>17.355799999999999</v>
      </c>
      <c r="AD6804">
        <v>-1.1099292618759999</v>
      </c>
      <c r="AE6804">
        <v>4.4267100000000097</v>
      </c>
      <c r="AF6804">
        <v>-4.0866300910864304</v>
      </c>
      <c r="AG6804">
        <v>-1.1099292618759999</v>
      </c>
      <c r="AH6804">
        <v>17.368628133797799</v>
      </c>
      <c r="AI6804">
        <v>93.559530950192197</v>
      </c>
      <c r="AJ6804">
        <v>103.24018877087499</v>
      </c>
      <c r="AK6804">
        <v>17.877408417270502</v>
      </c>
      <c r="AL6804">
        <v>90.695209075007497</v>
      </c>
      <c r="AM6804">
        <v>87.668132913141804</v>
      </c>
      <c r="AN6804">
        <v>1.0000000315083799</v>
      </c>
    </row>
    <row r="6805" spans="1:40" x14ac:dyDescent="0.25">
      <c r="A6805" t="str">
        <f>"20190312155008713"</f>
        <v>20190312155008713</v>
      </c>
      <c r="B6805" t="str">
        <f>"1552377008702544"</f>
        <v>1552377008702544</v>
      </c>
      <c r="C6805" t="s">
        <v>40</v>
      </c>
      <c r="D6805">
        <v>4.7450749999999999</v>
      </c>
      <c r="E6805">
        <v>0.39409719999999998</v>
      </c>
      <c r="F6805" t="s">
        <v>65</v>
      </c>
      <c r="G6805">
        <v>-206.06100000000001</v>
      </c>
      <c r="H6805" s="1">
        <v>-3.3399489999999999E-6</v>
      </c>
      <c r="I6805">
        <v>-56.925510000000003</v>
      </c>
      <c r="J6805">
        <v>-223.38570000000001</v>
      </c>
      <c r="K6805">
        <v>1.109931</v>
      </c>
      <c r="L6805">
        <v>-61.405029999999996</v>
      </c>
      <c r="M6805">
        <v>0.99972439999999996</v>
      </c>
      <c r="N6805">
        <v>0</v>
      </c>
      <c r="O6805">
        <v>1.872936E-2</v>
      </c>
      <c r="P6805">
        <v>0.99940819999999997</v>
      </c>
      <c r="Q6805">
        <v>-2.637072E-2</v>
      </c>
      <c r="R6805">
        <v>-2.2092609999999999E-2</v>
      </c>
      <c r="S6805">
        <v>3.0138090000000002</v>
      </c>
      <c r="T6805">
        <v>-0.19141159999999999</v>
      </c>
      <c r="U6805">
        <v>0.77301030000000004</v>
      </c>
      <c r="V6805">
        <v>4.0812319999999999E-2</v>
      </c>
      <c r="W6805">
        <v>-1.222405E-2</v>
      </c>
      <c r="X6805">
        <v>0.99909199999999998</v>
      </c>
      <c r="Y6805">
        <v>-0.22986119999999999</v>
      </c>
      <c r="Z6805">
        <v>6.0074289999999999E-3</v>
      </c>
      <c r="AA6805">
        <v>0.97320490000000004</v>
      </c>
      <c r="AB6805">
        <v>30</v>
      </c>
      <c r="AC6805">
        <v>17.3247</v>
      </c>
      <c r="AD6805">
        <v>-1.109934339949</v>
      </c>
      <c r="AE6805">
        <v>4.4795199999999999</v>
      </c>
      <c r="AF6805">
        <v>-4.1382996926280304</v>
      </c>
      <c r="AG6805">
        <v>-1.109934339949</v>
      </c>
      <c r="AH6805">
        <v>17.3388593412988</v>
      </c>
      <c r="AI6805">
        <v>93.562943427495895</v>
      </c>
      <c r="AJ6805">
        <v>103.423765153628</v>
      </c>
      <c r="AK6805">
        <v>17.8603897449733</v>
      </c>
      <c r="AL6805">
        <v>90.700403953509607</v>
      </c>
      <c r="AM6805">
        <v>87.660801680548005</v>
      </c>
      <c r="AN6805">
        <v>0.99999994866309105</v>
      </c>
    </row>
    <row r="6806" spans="1:40" x14ac:dyDescent="0.25">
      <c r="A6806" t="str">
        <f>"20190312155008724"</f>
        <v>20190312155008724</v>
      </c>
      <c r="B6806" t="str">
        <f>"1552377008712304"</f>
        <v>1552377008712304</v>
      </c>
      <c r="C6806" t="s">
        <v>40</v>
      </c>
      <c r="D6806">
        <v>4.6747860000000001</v>
      </c>
      <c r="E6806">
        <v>0.39305129999999999</v>
      </c>
      <c r="F6806" t="s">
        <v>65</v>
      </c>
      <c r="G6806">
        <v>-206.0547</v>
      </c>
      <c r="H6806" s="1">
        <v>-3.3483249999999998E-6</v>
      </c>
      <c r="I6806">
        <v>-56.903239999999997</v>
      </c>
      <c r="J6806">
        <v>-223.23589999999999</v>
      </c>
      <c r="K6806">
        <v>1.109936</v>
      </c>
      <c r="L6806">
        <v>-61.402160000000002</v>
      </c>
      <c r="M6806">
        <v>0.99972280000000002</v>
      </c>
      <c r="N6806">
        <v>0</v>
      </c>
      <c r="O6806">
        <v>1.8814330000000001E-2</v>
      </c>
      <c r="P6806">
        <v>0.99940890000000004</v>
      </c>
      <c r="Q6806">
        <v>-2.61581E-2</v>
      </c>
      <c r="R6806">
        <v>-2.2307319999999999E-2</v>
      </c>
      <c r="S6806">
        <v>3.014008</v>
      </c>
      <c r="T6806">
        <v>-0.1930269</v>
      </c>
      <c r="U6806">
        <v>0.78289790000000004</v>
      </c>
      <c r="V6806">
        <v>4.1111920000000003E-2</v>
      </c>
      <c r="W6806">
        <v>-1.200647E-2</v>
      </c>
      <c r="X6806">
        <v>0.99908240000000004</v>
      </c>
      <c r="Y6806">
        <v>-0.23274359999999999</v>
      </c>
      <c r="Z6806">
        <v>6.1405770000000004E-3</v>
      </c>
      <c r="AA6806">
        <v>0.97251869999999996</v>
      </c>
      <c r="AB6806">
        <v>30</v>
      </c>
      <c r="AC6806">
        <v>17.181199999999901</v>
      </c>
      <c r="AD6806">
        <v>-1.109939348325</v>
      </c>
      <c r="AE6806">
        <v>4.4989199999999903</v>
      </c>
      <c r="AF6806">
        <v>-4.1585964538277302</v>
      </c>
      <c r="AG6806">
        <v>-1.109939348325</v>
      </c>
      <c r="AH6806">
        <v>17.195651176756702</v>
      </c>
      <c r="AI6806">
        <v>93.589977455417795</v>
      </c>
      <c r="AJ6806">
        <v>103.595374641796</v>
      </c>
      <c r="AK6806">
        <v>17.726147613495801</v>
      </c>
      <c r="AL6806">
        <v>90.687936591188503</v>
      </c>
      <c r="AM6806">
        <v>87.643626480759806</v>
      </c>
      <c r="AN6806">
        <v>0.99999999363885295</v>
      </c>
    </row>
    <row r="6807" spans="1:40" x14ac:dyDescent="0.25">
      <c r="A6807" t="str">
        <f>"20190312155008734"</f>
        <v>20190312155008734</v>
      </c>
      <c r="B6807" t="str">
        <f>"1552377008732800"</f>
        <v>1552377008732800</v>
      </c>
      <c r="C6807" t="s">
        <v>40</v>
      </c>
      <c r="D6807">
        <v>4.7394220000000002</v>
      </c>
      <c r="E6807">
        <v>0.39131090000000002</v>
      </c>
      <c r="F6807" t="s">
        <v>65</v>
      </c>
      <c r="G6807">
        <v>-205.94479999999999</v>
      </c>
      <c r="H6807" s="1">
        <v>-3.4164430000000001E-6</v>
      </c>
      <c r="I6807">
        <v>-56.867159999999998</v>
      </c>
      <c r="J6807">
        <v>-223.0917</v>
      </c>
      <c r="K6807">
        <v>1.109942</v>
      </c>
      <c r="L6807">
        <v>-61.399349999999998</v>
      </c>
      <c r="M6807">
        <v>0.99972119999999998</v>
      </c>
      <c r="N6807">
        <v>0</v>
      </c>
      <c r="O6807">
        <v>1.8898310000000001E-2</v>
      </c>
      <c r="P6807">
        <v>0.99940739999999995</v>
      </c>
      <c r="Q6807">
        <v>-2.6290790000000001E-2</v>
      </c>
      <c r="R6807">
        <v>-2.2212949999999999E-2</v>
      </c>
      <c r="S6807">
        <v>3.0143740000000001</v>
      </c>
      <c r="T6807">
        <v>-0.19349620000000001</v>
      </c>
      <c r="U6807">
        <v>0.79058839999999997</v>
      </c>
      <c r="V6807">
        <v>4.1101749999999999E-2</v>
      </c>
      <c r="W6807">
        <v>-1.213503E-2</v>
      </c>
      <c r="X6807">
        <v>0.99908129999999995</v>
      </c>
      <c r="Y6807">
        <v>-0.23494979999999999</v>
      </c>
      <c r="Z6807">
        <v>6.2170940000000003E-3</v>
      </c>
      <c r="AA6807">
        <v>0.97198759999999995</v>
      </c>
      <c r="AB6807">
        <v>30</v>
      </c>
      <c r="AC6807">
        <v>17.146899999999999</v>
      </c>
      <c r="AD6807">
        <v>-1.109945416443</v>
      </c>
      <c r="AE6807">
        <v>4.5321899999999999</v>
      </c>
      <c r="AF6807">
        <v>-4.1908867068291702</v>
      </c>
      <c r="AG6807">
        <v>-1.109945416443</v>
      </c>
      <c r="AH6807">
        <v>17.1622794776627</v>
      </c>
      <c r="AI6807">
        <v>93.595023964551103</v>
      </c>
      <c r="AJ6807">
        <v>103.722604418236</v>
      </c>
      <c r="AK6807">
        <v>17.701393930602201</v>
      </c>
      <c r="AL6807">
        <v>90.695303049157204</v>
      </c>
      <c r="AM6807">
        <v>87.644206137507595</v>
      </c>
      <c r="AN6807">
        <v>1.00000002840792</v>
      </c>
    </row>
    <row r="6808" spans="1:40" x14ac:dyDescent="0.25">
      <c r="A6808" t="str">
        <f>"20190312155008747"</f>
        <v>20190312155008747</v>
      </c>
      <c r="B6808" t="str">
        <f>"1552377008742562"</f>
        <v>1552377008742562</v>
      </c>
      <c r="C6808" t="s">
        <v>40</v>
      </c>
      <c r="D6808">
        <v>4.718439</v>
      </c>
      <c r="E6808">
        <v>0.39060099999999998</v>
      </c>
      <c r="F6808" t="s">
        <v>65</v>
      </c>
      <c r="G6808">
        <v>-205.96940000000001</v>
      </c>
      <c r="H6808" s="1">
        <v>-3.4116289999999998E-6</v>
      </c>
      <c r="I6808">
        <v>-56.82826</v>
      </c>
      <c r="J6808">
        <v>-222.9426</v>
      </c>
      <c r="K6808">
        <v>1.1099479999999999</v>
      </c>
      <c r="L6808">
        <v>-61.396450000000002</v>
      </c>
      <c r="M6808">
        <v>0.99971960000000004</v>
      </c>
      <c r="N6808">
        <v>0</v>
      </c>
      <c r="O6808">
        <v>1.8985809999999999E-2</v>
      </c>
      <c r="P6808">
        <v>0.99940169999999995</v>
      </c>
      <c r="Q6808">
        <v>-2.655221E-2</v>
      </c>
      <c r="R6808">
        <v>-2.2166160000000001E-2</v>
      </c>
      <c r="S6808">
        <v>3.014526</v>
      </c>
      <c r="T6808">
        <v>-0.19541510000000001</v>
      </c>
      <c r="U6808">
        <v>0.80477909999999997</v>
      </c>
      <c r="V6808">
        <v>4.1142270000000002E-2</v>
      </c>
      <c r="W6808">
        <v>-1.239235E-2</v>
      </c>
      <c r="X6808">
        <v>0.99907639999999998</v>
      </c>
      <c r="Y6808">
        <v>-0.23911109999999999</v>
      </c>
      <c r="Z6808">
        <v>6.4014880000000003E-3</v>
      </c>
      <c r="AA6808">
        <v>0.97097109999999998</v>
      </c>
      <c r="AB6808">
        <v>30</v>
      </c>
      <c r="AC6808">
        <v>16.973199999999899</v>
      </c>
      <c r="AD6808">
        <v>-1.1099514116289999</v>
      </c>
      <c r="AE6808">
        <v>4.5681900000000004</v>
      </c>
      <c r="AF6808">
        <v>-4.2282238597411297</v>
      </c>
      <c r="AG6808">
        <v>-1.1099514116289999</v>
      </c>
      <c r="AH6808">
        <v>16.9891340815912</v>
      </c>
      <c r="AI6808">
        <v>93.627642142638805</v>
      </c>
      <c r="AJ6808">
        <v>103.975729990803</v>
      </c>
      <c r="AK6808">
        <v>17.542535335194401</v>
      </c>
      <c r="AL6808">
        <v>90.710047559786602</v>
      </c>
      <c r="AM6808">
        <v>87.6418747553966</v>
      </c>
      <c r="AN6808">
        <v>0.99999995487811599</v>
      </c>
    </row>
    <row r="6809" spans="1:40" x14ac:dyDescent="0.25">
      <c r="A6809" t="str">
        <f>"20190312155008758"</f>
        <v>20190312155008758</v>
      </c>
      <c r="B6809" t="str">
        <f>"1552377008752320"</f>
        <v>1552377008752320</v>
      </c>
      <c r="C6809" t="s">
        <v>40</v>
      </c>
      <c r="D6809">
        <v>4.7215629999999997</v>
      </c>
      <c r="E6809">
        <v>0.3900554</v>
      </c>
      <c r="F6809" t="s">
        <v>65</v>
      </c>
      <c r="G6809">
        <v>-206.005</v>
      </c>
      <c r="H6809" s="1">
        <v>-3.3889740000000002E-6</v>
      </c>
      <c r="I6809">
        <v>-56.842449999999999</v>
      </c>
      <c r="J6809">
        <v>-222.7867</v>
      </c>
      <c r="K6809">
        <v>1.1099479999999999</v>
      </c>
      <c r="L6809">
        <v>-61.393369999999997</v>
      </c>
      <c r="M6809">
        <v>0.99971770000000004</v>
      </c>
      <c r="N6809">
        <v>0</v>
      </c>
      <c r="O6809">
        <v>1.908054E-2</v>
      </c>
      <c r="P6809">
        <v>0.9994111</v>
      </c>
      <c r="Q6809">
        <v>-2.6248299999999999E-2</v>
      </c>
      <c r="R6809">
        <v>-2.2104410000000001E-2</v>
      </c>
      <c r="S6809">
        <v>3.014526</v>
      </c>
      <c r="T6809">
        <v>-0.197548</v>
      </c>
      <c r="U6809">
        <v>0.81051640000000003</v>
      </c>
      <c r="V6809">
        <v>4.1175249999999997E-2</v>
      </c>
      <c r="W6809">
        <v>-1.208452E-2</v>
      </c>
      <c r="X6809">
        <v>0.99907889999999999</v>
      </c>
      <c r="Y6809">
        <v>-0.24073069999999999</v>
      </c>
      <c r="Z6809">
        <v>6.5156679999999996E-3</v>
      </c>
      <c r="AA6809">
        <v>0.97057009999999999</v>
      </c>
      <c r="AB6809">
        <v>30</v>
      </c>
      <c r="AC6809">
        <v>16.781700000000001</v>
      </c>
      <c r="AD6809">
        <v>-1.109951388974</v>
      </c>
      <c r="AE6809">
        <v>4.5509199999999899</v>
      </c>
      <c r="AF6809">
        <v>-4.2126890312531797</v>
      </c>
      <c r="AG6809">
        <v>-1.109951388974</v>
      </c>
      <c r="AH6809">
        <v>16.7970406331772</v>
      </c>
      <c r="AI6809">
        <v>93.667362783139495</v>
      </c>
      <c r="AJ6809">
        <v>104.07934758123299</v>
      </c>
      <c r="AK6809">
        <v>17.352789833122898</v>
      </c>
      <c r="AL6809">
        <v>90.692408817345694</v>
      </c>
      <c r="AM6809">
        <v>87.639992497059595</v>
      </c>
      <c r="AN6809">
        <v>1.0000000426307001</v>
      </c>
    </row>
    <row r="6810" spans="1:40" x14ac:dyDescent="0.25">
      <c r="A6810" t="str">
        <f>"20190312155008769"</f>
        <v>20190312155008769</v>
      </c>
      <c r="B6810" t="str">
        <f>"1552377008762081"</f>
        <v>1552377008762081</v>
      </c>
      <c r="C6810" t="s">
        <v>40</v>
      </c>
      <c r="D6810">
        <v>4.7367540000000004</v>
      </c>
      <c r="E6810">
        <v>0.38956390000000002</v>
      </c>
      <c r="F6810" t="s">
        <v>65</v>
      </c>
      <c r="G6810">
        <v>-205.80959999999999</v>
      </c>
      <c r="H6810" s="1">
        <v>-3.5045789999999999E-6</v>
      </c>
      <c r="I6810">
        <v>-56.803100000000001</v>
      </c>
      <c r="J6810">
        <v>-222.63759999999999</v>
      </c>
      <c r="K6810">
        <v>1.109952</v>
      </c>
      <c r="L6810">
        <v>-61.390439999999998</v>
      </c>
      <c r="M6810">
        <v>0.99971589999999999</v>
      </c>
      <c r="N6810">
        <v>0</v>
      </c>
      <c r="O6810">
        <v>1.9172350000000001E-2</v>
      </c>
      <c r="P6810">
        <v>0.99941690000000005</v>
      </c>
      <c r="Q6810">
        <v>-2.614462E-2</v>
      </c>
      <c r="R6810">
        <v>-2.1960549999999999E-2</v>
      </c>
      <c r="S6810">
        <v>3.014618</v>
      </c>
      <c r="T6810">
        <v>-0.19709409999999999</v>
      </c>
      <c r="U6810">
        <v>0.81509399999999999</v>
      </c>
      <c r="V6810">
        <v>4.1123439999999997E-2</v>
      </c>
      <c r="W6810">
        <v>-1.1977359999999999E-2</v>
      </c>
      <c r="X6810">
        <v>0.99908229999999998</v>
      </c>
      <c r="Y6810">
        <v>-0.2420078</v>
      </c>
      <c r="Z6810">
        <v>6.5343689999999999E-3</v>
      </c>
      <c r="AA6810">
        <v>0.97025229999999996</v>
      </c>
      <c r="AB6810">
        <v>30</v>
      </c>
      <c r="AC6810">
        <v>16.827999999999999</v>
      </c>
      <c r="AD6810">
        <v>-1.1099555045789999</v>
      </c>
      <c r="AE6810">
        <v>4.5873400000000002</v>
      </c>
      <c r="AF6810">
        <v>-4.2466346682272</v>
      </c>
      <c r="AG6810">
        <v>-1.1099555045789999</v>
      </c>
      <c r="AH6810">
        <v>16.844650512276999</v>
      </c>
      <c r="AI6810">
        <v>93.655912395728706</v>
      </c>
      <c r="AJ6810">
        <v>104.149745112115</v>
      </c>
      <c r="AK6810">
        <v>17.4071295194897</v>
      </c>
      <c r="AL6810">
        <v>90.686268574157793</v>
      </c>
      <c r="AM6810">
        <v>87.642966708613898</v>
      </c>
      <c r="AN6810">
        <v>1.00000001832164</v>
      </c>
    </row>
    <row r="6811" spans="1:40" x14ac:dyDescent="0.25">
      <c r="A6811" t="str">
        <f>"20190312155008779"</f>
        <v>20190312155008779</v>
      </c>
      <c r="B6811" t="str">
        <f>"1552377008772815"</f>
        <v>1552377008772815</v>
      </c>
      <c r="C6811" t="s">
        <v>40</v>
      </c>
      <c r="D6811">
        <v>4.7355729999999996</v>
      </c>
      <c r="E6811">
        <v>0.3890168</v>
      </c>
      <c r="F6811" t="s">
        <v>65</v>
      </c>
      <c r="G6811">
        <v>-205.64060000000001</v>
      </c>
      <c r="H6811" s="1">
        <v>-3.6043139999999999E-6</v>
      </c>
      <c r="I6811">
        <v>-56.770209999999999</v>
      </c>
      <c r="J6811">
        <v>-222.49680000000001</v>
      </c>
      <c r="K6811">
        <v>1.109958</v>
      </c>
      <c r="L6811">
        <v>-61.387659999999997</v>
      </c>
      <c r="M6811">
        <v>0.99971399999999999</v>
      </c>
      <c r="N6811">
        <v>0</v>
      </c>
      <c r="O6811">
        <v>1.9261190000000001E-2</v>
      </c>
      <c r="P6811">
        <v>0.99941860000000005</v>
      </c>
      <c r="Q6811">
        <v>-2.6283669999999999E-2</v>
      </c>
      <c r="R6811">
        <v>-2.1718930000000001E-2</v>
      </c>
      <c r="S6811">
        <v>3.0146329999999999</v>
      </c>
      <c r="T6811">
        <v>-0.19686500000000001</v>
      </c>
      <c r="U6811">
        <v>0.81945800000000002</v>
      </c>
      <c r="V6811">
        <v>4.0970779999999998E-2</v>
      </c>
      <c r="W6811">
        <v>-1.2113499999999999E-2</v>
      </c>
      <c r="X6811">
        <v>0.9990869</v>
      </c>
      <c r="Y6811">
        <v>-0.24322759999999999</v>
      </c>
      <c r="Z6811">
        <v>6.5589400000000001E-3</v>
      </c>
      <c r="AA6811">
        <v>0.96994709999999995</v>
      </c>
      <c r="AB6811">
        <v>30</v>
      </c>
      <c r="AC6811">
        <v>16.856200000000001</v>
      </c>
      <c r="AD6811">
        <v>-1.1099616043139999</v>
      </c>
      <c r="AE6811">
        <v>4.6174499999999901</v>
      </c>
      <c r="AF6811">
        <v>-4.2746487183742898</v>
      </c>
      <c r="AG6811">
        <v>-1.1099616043139999</v>
      </c>
      <c r="AH6811">
        <v>16.873959216711299</v>
      </c>
      <c r="AI6811">
        <v>93.648542890928994</v>
      </c>
      <c r="AJ6811">
        <v>104.21557391175099</v>
      </c>
      <c r="AK6811">
        <v>17.4423374602083</v>
      </c>
      <c r="AL6811">
        <v>90.694069408621701</v>
      </c>
      <c r="AM6811">
        <v>87.6517175636221</v>
      </c>
      <c r="AN6811">
        <v>0.99999998772383403</v>
      </c>
    </row>
    <row r="6812" spans="1:40" x14ac:dyDescent="0.25">
      <c r="A6812" t="str">
        <f>"20190312155008791"</f>
        <v>20190312155008791</v>
      </c>
      <c r="B6812" t="str">
        <f>"1552377008782576"</f>
        <v>1552377008782576</v>
      </c>
      <c r="C6812" t="s">
        <v>40</v>
      </c>
      <c r="D6812">
        <v>4.7445639999999996</v>
      </c>
      <c r="E6812">
        <v>0.38858320000000002</v>
      </c>
      <c r="F6812" t="s">
        <v>65</v>
      </c>
      <c r="G6812">
        <v>-205.441</v>
      </c>
      <c r="H6812" s="1">
        <v>-3.7240179999999999E-6</v>
      </c>
      <c r="I6812">
        <v>-56.7226</v>
      </c>
      <c r="J6812">
        <v>-222.3519</v>
      </c>
      <c r="K6812">
        <v>1.109964</v>
      </c>
      <c r="L6812">
        <v>-61.384770000000003</v>
      </c>
      <c r="M6812">
        <v>0.99971220000000005</v>
      </c>
      <c r="N6812">
        <v>0</v>
      </c>
      <c r="O6812">
        <v>1.93551E-2</v>
      </c>
      <c r="P6812">
        <v>0.99941469999999999</v>
      </c>
      <c r="Q6812">
        <v>-2.629341E-2</v>
      </c>
      <c r="R6812">
        <v>-2.1880360000000001E-2</v>
      </c>
      <c r="S6812">
        <v>3.0145110000000002</v>
      </c>
      <c r="T6812">
        <v>-0.1961792</v>
      </c>
      <c r="U6812">
        <v>0.82452389999999998</v>
      </c>
      <c r="V6812">
        <v>4.1225970000000001E-2</v>
      </c>
      <c r="W6812">
        <v>-1.2120570000000001E-2</v>
      </c>
      <c r="X6812">
        <v>0.99907630000000003</v>
      </c>
      <c r="Y6812">
        <v>-0.24466399999999999</v>
      </c>
      <c r="Z6812">
        <v>6.5748489999999998E-3</v>
      </c>
      <c r="AA6812">
        <v>0.96958569999999999</v>
      </c>
      <c r="AB6812">
        <v>30</v>
      </c>
      <c r="AC6812">
        <v>16.910900000000002</v>
      </c>
      <c r="AD6812">
        <v>-1.1099677240179999</v>
      </c>
      <c r="AE6812">
        <v>4.6621699999999899</v>
      </c>
      <c r="AF6812">
        <v>-4.3166683296954398</v>
      </c>
      <c r="AG6812">
        <v>-1.1099677240179999</v>
      </c>
      <c r="AH6812">
        <v>16.930192129779002</v>
      </c>
      <c r="AI6812">
        <v>93.635056894475795</v>
      </c>
      <c r="AJ6812">
        <v>104.303865591288</v>
      </c>
      <c r="AK6812">
        <v>17.507057416030499</v>
      </c>
      <c r="AL6812">
        <v>90.694474531129103</v>
      </c>
      <c r="AM6812">
        <v>87.637082571857206</v>
      </c>
      <c r="AN6812">
        <v>0.99999997102062699</v>
      </c>
    </row>
    <row r="6813" spans="1:40" x14ac:dyDescent="0.25">
      <c r="A6813" t="str">
        <f>"20190312155008802"</f>
        <v>20190312155008802</v>
      </c>
      <c r="B6813" t="str">
        <f>"1552377008792337"</f>
        <v>1552377008792337</v>
      </c>
      <c r="C6813" t="s">
        <v>40</v>
      </c>
      <c r="D6813">
        <v>4.9914699999999996</v>
      </c>
      <c r="E6813">
        <v>0.38817960000000001</v>
      </c>
      <c r="F6813" t="s">
        <v>65</v>
      </c>
      <c r="G6813">
        <v>-205.3492</v>
      </c>
      <c r="H6813" s="1">
        <v>-3.7754349999999998E-6</v>
      </c>
      <c r="I6813">
        <v>-56.7172699999999</v>
      </c>
      <c r="J6813">
        <v>-222.20320000000001</v>
      </c>
      <c r="K6813">
        <v>1.109972</v>
      </c>
      <c r="L6813">
        <v>-61.381810000000002</v>
      </c>
      <c r="M6813">
        <v>0.99971030000000005</v>
      </c>
      <c r="N6813">
        <v>0</v>
      </c>
      <c r="O6813">
        <v>1.9453600000000001E-2</v>
      </c>
      <c r="P6813">
        <v>0.99941869999999999</v>
      </c>
      <c r="Q6813">
        <v>-2.6388129999999999E-2</v>
      </c>
      <c r="R6813">
        <v>-2.158527E-2</v>
      </c>
      <c r="S6813">
        <v>3.014694</v>
      </c>
      <c r="T6813">
        <v>-0.19680420000000001</v>
      </c>
      <c r="U6813">
        <v>0.82757569999999903</v>
      </c>
      <c r="V6813">
        <v>4.1029549999999998E-2</v>
      </c>
      <c r="W6813">
        <v>-1.221267E-2</v>
      </c>
      <c r="X6813">
        <v>0.99908330000000001</v>
      </c>
      <c r="Y6813">
        <v>-0.2454624</v>
      </c>
      <c r="Z6813">
        <v>6.6137679999999999E-3</v>
      </c>
      <c r="AA6813">
        <v>0.96938349999999995</v>
      </c>
      <c r="AB6813">
        <v>30</v>
      </c>
      <c r="AC6813">
        <v>16.853999999999999</v>
      </c>
      <c r="AD6813">
        <v>-1.1099757754349999</v>
      </c>
      <c r="AE6813">
        <v>4.6645399999999997</v>
      </c>
      <c r="AF6813">
        <v>-4.3183557219608897</v>
      </c>
      <c r="AG6813">
        <v>-1.1099757754349999</v>
      </c>
      <c r="AH6813">
        <v>16.873582072987499</v>
      </c>
      <c r="AI6813">
        <v>93.6464126011834</v>
      </c>
      <c r="AJ6813">
        <v>104.355253330228</v>
      </c>
      <c r="AK6813">
        <v>17.452736585913701</v>
      </c>
      <c r="AL6813">
        <v>90.699751838139306</v>
      </c>
      <c r="AM6813">
        <v>87.648344415432703</v>
      </c>
      <c r="AN6813">
        <v>1.0000000068103101</v>
      </c>
    </row>
    <row r="6814" spans="1:40" x14ac:dyDescent="0.25">
      <c r="A6814" t="str">
        <f>"20190312155008814"</f>
        <v>20190312155008814</v>
      </c>
      <c r="B6814" t="str">
        <f>"1552377008802096"</f>
        <v>1552377008802096</v>
      </c>
      <c r="C6814" t="s">
        <v>40</v>
      </c>
      <c r="D6814">
        <v>4.7561</v>
      </c>
      <c r="E6814">
        <v>0.38776640000000001</v>
      </c>
      <c r="F6814" t="s">
        <v>65</v>
      </c>
      <c r="G6814">
        <v>-205.11869999999999</v>
      </c>
      <c r="H6814" s="1">
        <v>-3.9122249999999996E-6</v>
      </c>
      <c r="I6814">
        <v>-56.668840000000003</v>
      </c>
      <c r="J6814">
        <v>-222.05170000000001</v>
      </c>
      <c r="K6814">
        <v>1.109979</v>
      </c>
      <c r="L6814">
        <v>-61.378749999999997</v>
      </c>
      <c r="M6814">
        <v>0.99970820000000005</v>
      </c>
      <c r="N6814">
        <v>0</v>
      </c>
      <c r="O6814">
        <v>1.9559630000000001E-2</v>
      </c>
      <c r="P6814">
        <v>0.99941690000000005</v>
      </c>
      <c r="Q6814">
        <v>-2.6487009999999998E-2</v>
      </c>
      <c r="R6814">
        <v>-2.1543349999999999E-2</v>
      </c>
      <c r="S6814">
        <v>3.0145569999999999</v>
      </c>
      <c r="T6814">
        <v>-0.19585549999999999</v>
      </c>
      <c r="U6814">
        <v>0.83160400000000001</v>
      </c>
      <c r="V6814">
        <v>4.1093789999999998E-2</v>
      </c>
      <c r="W6814">
        <v>-1.2309189999999999E-2</v>
      </c>
      <c r="X6814">
        <v>0.99907950000000001</v>
      </c>
      <c r="Y6814">
        <v>-0.2465773</v>
      </c>
      <c r="Z6814">
        <v>6.6098729999999996E-3</v>
      </c>
      <c r="AA6814">
        <v>0.96910059999999998</v>
      </c>
      <c r="AB6814">
        <v>30</v>
      </c>
      <c r="AC6814">
        <v>16.933</v>
      </c>
      <c r="AD6814">
        <v>-1.109982912225</v>
      </c>
      <c r="AE6814">
        <v>4.70990999999999</v>
      </c>
      <c r="AF6814">
        <v>-4.3603812453424204</v>
      </c>
      <c r="AG6814">
        <v>-1.109982912225</v>
      </c>
      <c r="AH6814">
        <v>16.9542725120135</v>
      </c>
      <c r="AI6814">
        <v>93.6280297629649</v>
      </c>
      <c r="AJ6814">
        <v>104.423027397463</v>
      </c>
      <c r="AK6814">
        <v>17.541161394895699</v>
      </c>
      <c r="AL6814">
        <v>90.705282425033403</v>
      </c>
      <c r="AM6814">
        <v>87.6446576214137</v>
      </c>
      <c r="AN6814">
        <v>1.0000000315276301</v>
      </c>
    </row>
    <row r="6815" spans="1:40" x14ac:dyDescent="0.25">
      <c r="A6815" t="str">
        <f>"20190312155008824"</f>
        <v>20190312155008824</v>
      </c>
      <c r="B6815" t="str">
        <f>"1552377008822592"</f>
        <v>1552377008822592</v>
      </c>
      <c r="C6815" t="s">
        <v>40</v>
      </c>
      <c r="D6815">
        <v>4.7804060000000002</v>
      </c>
      <c r="E6815">
        <v>0.3871288</v>
      </c>
      <c r="F6815" t="s">
        <v>65</v>
      </c>
      <c r="G6815">
        <v>-205.0669</v>
      </c>
      <c r="H6815" s="1">
        <v>-3.9394230000000003E-6</v>
      </c>
      <c r="I6815">
        <v>-56.67398</v>
      </c>
      <c r="J6815">
        <v>-221.90479999999999</v>
      </c>
      <c r="K6815">
        <v>1.1099870000000001</v>
      </c>
      <c r="L6815">
        <v>-61.375790000000002</v>
      </c>
      <c r="M6815">
        <v>0.99970619999999999</v>
      </c>
      <c r="N6815">
        <v>0</v>
      </c>
      <c r="O6815">
        <v>1.9664060000000001E-2</v>
      </c>
      <c r="P6815">
        <v>0.9994094</v>
      </c>
      <c r="Q6815">
        <v>-2.6681170000000001E-2</v>
      </c>
      <c r="R6815">
        <v>-2.1658750000000001E-2</v>
      </c>
      <c r="S6815">
        <v>3.014526</v>
      </c>
      <c r="T6815">
        <v>-0.19700429999999999</v>
      </c>
      <c r="U6815">
        <v>0.83502199999999904</v>
      </c>
      <c r="V6815">
        <v>4.1313460000000003E-2</v>
      </c>
      <c r="W6815">
        <v>-1.2501200000000001E-2</v>
      </c>
      <c r="X6815">
        <v>0.99906799999999996</v>
      </c>
      <c r="Y6815">
        <v>-0.24749260000000001</v>
      </c>
      <c r="Z6815">
        <v>6.670296E-3</v>
      </c>
      <c r="AA6815">
        <v>0.96886680000000003</v>
      </c>
      <c r="AB6815">
        <v>30</v>
      </c>
      <c r="AC6815">
        <v>16.837899999999902</v>
      </c>
      <c r="AD6815">
        <v>-1.1099909394230001</v>
      </c>
      <c r="AE6815">
        <v>4.7018099999999903</v>
      </c>
      <c r="AF6815">
        <v>-4.3522204812399696</v>
      </c>
      <c r="AG6815">
        <v>-1.1099909394230001</v>
      </c>
      <c r="AH6815">
        <v>16.859143871305701</v>
      </c>
      <c r="AI6815">
        <v>93.647622112005294</v>
      </c>
      <c r="AJ6815">
        <v>104.47498957348699</v>
      </c>
      <c r="AK6815">
        <v>17.447195622113899</v>
      </c>
      <c r="AL6815">
        <v>90.716284674195194</v>
      </c>
      <c r="AM6815">
        <v>87.632054026648902</v>
      </c>
      <c r="AN6815">
        <v>0.99999997530130502</v>
      </c>
    </row>
    <row r="6816" spans="1:40" x14ac:dyDescent="0.25">
      <c r="A6816" t="str">
        <f>"20190312155008837"</f>
        <v>20190312155008837</v>
      </c>
      <c r="B6816" t="str">
        <f>"1552377008832352"</f>
        <v>1552377008832352</v>
      </c>
      <c r="C6816" t="s">
        <v>40</v>
      </c>
      <c r="D6816">
        <v>4.8656030000000001</v>
      </c>
      <c r="E6816">
        <v>0.38692840000000001</v>
      </c>
      <c r="F6816" t="s">
        <v>65</v>
      </c>
      <c r="G6816">
        <v>-205.05670000000001</v>
      </c>
      <c r="H6816" s="1">
        <v>-3.943162E-6</v>
      </c>
      <c r="I6816">
        <v>-56.682189999999999</v>
      </c>
      <c r="J6816">
        <v>-221.74860000000001</v>
      </c>
      <c r="K6816">
        <v>1.109996</v>
      </c>
      <c r="L6816">
        <v>-61.37256</v>
      </c>
      <c r="M6816">
        <v>0.99970369999999997</v>
      </c>
      <c r="N6816">
        <v>0</v>
      </c>
      <c r="O6816">
        <v>1.978516E-2</v>
      </c>
      <c r="P6816">
        <v>0.99941210000000003</v>
      </c>
      <c r="Q6816">
        <v>-2.6624189999999999E-2</v>
      </c>
      <c r="R6816">
        <v>-2.160482E-2</v>
      </c>
      <c r="S6816">
        <v>3.0146790000000001</v>
      </c>
      <c r="T6816">
        <v>-0.1986146</v>
      </c>
      <c r="U6816">
        <v>0.83984380000000003</v>
      </c>
      <c r="V6816">
        <v>4.1380670000000001E-2</v>
      </c>
      <c r="W6816">
        <v>-1.244202E-2</v>
      </c>
      <c r="X6816">
        <v>0.99906600000000001</v>
      </c>
      <c r="Y6816">
        <v>-0.2487916</v>
      </c>
      <c r="Z6816">
        <v>6.7571119999999896E-3</v>
      </c>
      <c r="AA6816">
        <v>0.96853350000000005</v>
      </c>
      <c r="AB6816">
        <v>30</v>
      </c>
      <c r="AC6816">
        <v>16.6919</v>
      </c>
      <c r="AD6816">
        <v>-1.109999943162</v>
      </c>
      <c r="AE6816">
        <v>4.6903699999999899</v>
      </c>
      <c r="AF6816">
        <v>-4.34137328043282</v>
      </c>
      <c r="AG6816">
        <v>-1.109999943162</v>
      </c>
      <c r="AH6816">
        <v>16.712942341538199</v>
      </c>
      <c r="AI6816">
        <v>93.678040550436705</v>
      </c>
      <c r="AJ6816">
        <v>104.561397397568</v>
      </c>
      <c r="AK6816">
        <v>17.303238527670299</v>
      </c>
      <c r="AL6816">
        <v>90.712893615681807</v>
      </c>
      <c r="AM6816">
        <v>87.628201432857196</v>
      </c>
      <c r="AN6816">
        <v>1.0000000180336599</v>
      </c>
    </row>
    <row r="6817" spans="1:40" x14ac:dyDescent="0.25">
      <c r="A6817" t="str">
        <f>"20190312155008848"</f>
        <v>20190312155008848</v>
      </c>
      <c r="B6817" t="str">
        <f>"1552377008842112"</f>
        <v>1552377008842112</v>
      </c>
      <c r="C6817" t="s">
        <v>40</v>
      </c>
      <c r="D6817">
        <v>4.7330160000000001</v>
      </c>
      <c r="E6817">
        <v>0.38657550000000002</v>
      </c>
      <c r="F6817" t="s">
        <v>65</v>
      </c>
      <c r="G6817">
        <v>-205.09110000000001</v>
      </c>
      <c r="H6817" s="1">
        <v>-3.915599E-6</v>
      </c>
      <c r="I6817">
        <v>-56.721789999999999</v>
      </c>
      <c r="J6817">
        <v>-221.6</v>
      </c>
      <c r="K6817">
        <v>1.1100019999999999</v>
      </c>
      <c r="L6817">
        <v>-61.369540000000001</v>
      </c>
      <c r="M6817">
        <v>0.99970139999999996</v>
      </c>
      <c r="N6817">
        <v>0</v>
      </c>
      <c r="O6817">
        <v>1.9904129999999999E-2</v>
      </c>
      <c r="P6817">
        <v>0.99940890000000004</v>
      </c>
      <c r="Q6817">
        <v>-2.665298E-2</v>
      </c>
      <c r="R6817">
        <v>-2.172402E-2</v>
      </c>
      <c r="S6817">
        <v>3.0146030000000001</v>
      </c>
      <c r="T6817">
        <v>-0.20088259999999999</v>
      </c>
      <c r="U6817">
        <v>0.84167479999999995</v>
      </c>
      <c r="V6817">
        <v>4.1618849999999999E-2</v>
      </c>
      <c r="W6817">
        <v>-1.24688E-2</v>
      </c>
      <c r="X6817">
        <v>0.99905569999999999</v>
      </c>
      <c r="Y6817">
        <v>-0.24921740000000001</v>
      </c>
      <c r="Z6817">
        <v>6.8398790000000001E-3</v>
      </c>
      <c r="AA6817">
        <v>0.96842340000000005</v>
      </c>
      <c r="AB6817">
        <v>30</v>
      </c>
      <c r="AC6817">
        <v>16.508899999999901</v>
      </c>
      <c r="AD6817">
        <v>-1.1100059155990001</v>
      </c>
      <c r="AE6817">
        <v>4.6477499999999896</v>
      </c>
      <c r="AF6817">
        <v>-4.30018816874734</v>
      </c>
      <c r="AG6817">
        <v>-1.1100059155990001</v>
      </c>
      <c r="AH6817">
        <v>16.528911394463702</v>
      </c>
      <c r="AI6817">
        <v>93.7185354862483</v>
      </c>
      <c r="AJ6817">
        <v>104.582889014024</v>
      </c>
      <c r="AK6817">
        <v>17.1151582903966</v>
      </c>
      <c r="AL6817">
        <v>90.714428167360495</v>
      </c>
      <c r="AM6817">
        <v>87.614540929579604</v>
      </c>
      <c r="AN6817">
        <v>0.999999945675624</v>
      </c>
    </row>
    <row r="6818" spans="1:40" x14ac:dyDescent="0.25">
      <c r="A6818" t="str">
        <f>"20190312155008859"</f>
        <v>20190312155008859</v>
      </c>
      <c r="B6818" t="str">
        <f>"1552377008852848"</f>
        <v>1552377008852848</v>
      </c>
      <c r="C6818" t="s">
        <v>40</v>
      </c>
      <c r="D6818">
        <v>4.7685430000000002</v>
      </c>
      <c r="E6818">
        <v>0.38621699999999998</v>
      </c>
      <c r="F6818" t="s">
        <v>65</v>
      </c>
      <c r="G6818">
        <v>-205.0026</v>
      </c>
      <c r="H6818" s="1">
        <v>-3.963888E-6</v>
      </c>
      <c r="I6818">
        <v>-56.722329999999999</v>
      </c>
      <c r="J6818">
        <v>-221.45050000000001</v>
      </c>
      <c r="K6818">
        <v>1.110009</v>
      </c>
      <c r="L6818">
        <v>-61.366419999999998</v>
      </c>
      <c r="M6818">
        <v>0.9996988</v>
      </c>
      <c r="N6818">
        <v>0</v>
      </c>
      <c r="O6818">
        <v>2.003344E-2</v>
      </c>
      <c r="P6818">
        <v>0.99940419999999996</v>
      </c>
      <c r="Q6818">
        <v>-2.6887339999999999E-2</v>
      </c>
      <c r="R6818">
        <v>-2.165328E-2</v>
      </c>
      <c r="S6818">
        <v>3.0147400000000002</v>
      </c>
      <c r="T6818">
        <v>-0.20162070000000001</v>
      </c>
      <c r="U6818">
        <v>0.84411619999999998</v>
      </c>
      <c r="V6818">
        <v>4.1677649999999997E-2</v>
      </c>
      <c r="W6818">
        <v>-1.2701199999999999E-2</v>
      </c>
      <c r="X6818">
        <v>0.99905040000000001</v>
      </c>
      <c r="Y6818">
        <v>-0.24980379999999999</v>
      </c>
      <c r="Z6818">
        <v>6.8746839999999998E-3</v>
      </c>
      <c r="AA6818">
        <v>0.96827209999999997</v>
      </c>
      <c r="AB6818">
        <v>29</v>
      </c>
      <c r="AC6818">
        <v>16.447900000000001</v>
      </c>
      <c r="AD6818">
        <v>-1.1100129638879901</v>
      </c>
      <c r="AE6818">
        <v>4.6440899999999896</v>
      </c>
      <c r="AF6818">
        <v>-4.2954975618516702</v>
      </c>
      <c r="AG6818">
        <v>-1.1100129638879901</v>
      </c>
      <c r="AH6818">
        <v>16.468179443759801</v>
      </c>
      <c r="AI6818">
        <v>93.731621365968607</v>
      </c>
      <c r="AJ6818">
        <v>104.61908479425399</v>
      </c>
      <c r="AK6818">
        <v>17.0553323707205</v>
      </c>
      <c r="AL6818">
        <v>90.727744704601207</v>
      </c>
      <c r="AM6818">
        <v>87.611161945465795</v>
      </c>
      <c r="AN6818">
        <v>1.00000002436556</v>
      </c>
    </row>
    <row r="6819" spans="1:40" x14ac:dyDescent="0.25">
      <c r="A6819" t="str">
        <f>"20190312155008871"</f>
        <v>20190312155008871</v>
      </c>
      <c r="B6819" t="str">
        <f>"1552377008862608"</f>
        <v>1552377008862608</v>
      </c>
      <c r="C6819" t="s">
        <v>40</v>
      </c>
      <c r="D6819">
        <v>4.7719809999999896</v>
      </c>
      <c r="E6819">
        <v>0.38587700000000003</v>
      </c>
      <c r="F6819" t="s">
        <v>65</v>
      </c>
      <c r="G6819">
        <v>-204.96260000000001</v>
      </c>
      <c r="H6819" s="1">
        <v>-3.9833270000000002E-6</v>
      </c>
      <c r="I6819">
        <v>-56.733260000000001</v>
      </c>
      <c r="J6819">
        <v>-221.30350000000001</v>
      </c>
      <c r="K6819">
        <v>1.1100190000000001</v>
      </c>
      <c r="L6819">
        <v>-61.363340000000001</v>
      </c>
      <c r="M6819">
        <v>0.99969600000000003</v>
      </c>
      <c r="N6819">
        <v>0</v>
      </c>
      <c r="O6819">
        <v>2.0168249999999999E-2</v>
      </c>
      <c r="P6819">
        <v>0.99939100000000003</v>
      </c>
      <c r="Q6819">
        <v>-2.731689E-2</v>
      </c>
      <c r="R6819">
        <v>-2.171559E-2</v>
      </c>
      <c r="S6819">
        <v>3.0146790000000001</v>
      </c>
      <c r="T6819">
        <v>-0.20295740000000001</v>
      </c>
      <c r="U6819">
        <v>0.84713749999999999</v>
      </c>
      <c r="V6819">
        <v>4.187507E-2</v>
      </c>
      <c r="W6819">
        <v>-1.312898E-2</v>
      </c>
      <c r="X6819">
        <v>0.99903660000000005</v>
      </c>
      <c r="Y6819">
        <v>-0.25057030000000002</v>
      </c>
      <c r="Z6819">
        <v>6.9357899999999998E-3</v>
      </c>
      <c r="AA6819">
        <v>0.96807350000000003</v>
      </c>
      <c r="AB6819">
        <v>29</v>
      </c>
      <c r="AC6819">
        <v>16.340900000000001</v>
      </c>
      <c r="AD6819">
        <v>-1.1100229833269999</v>
      </c>
      <c r="AE6819">
        <v>4.6300800000000004</v>
      </c>
      <c r="AF6819">
        <v>-4.2812504394790896</v>
      </c>
      <c r="AG6819">
        <v>-1.1100229833269999</v>
      </c>
      <c r="AH6819">
        <v>16.361080220358101</v>
      </c>
      <c r="AI6819">
        <v>93.7552463412988</v>
      </c>
      <c r="AJ6819">
        <v>104.663957633137</v>
      </c>
      <c r="AK6819">
        <v>16.948339220290801</v>
      </c>
      <c r="AL6819">
        <v>90.752256748038207</v>
      </c>
      <c r="AM6819">
        <v>87.5998265092081</v>
      </c>
      <c r="AN6819">
        <v>1.0000000098714501</v>
      </c>
    </row>
    <row r="6820" spans="1:40" x14ac:dyDescent="0.25">
      <c r="A6820" t="str">
        <f>"20190312155008882"</f>
        <v>20190312155008882</v>
      </c>
      <c r="B6820" t="str">
        <f>"1552377008872368"</f>
        <v>1552377008872368</v>
      </c>
      <c r="C6820" t="s">
        <v>40</v>
      </c>
      <c r="D6820">
        <v>4.8463339999999997</v>
      </c>
      <c r="E6820">
        <v>0.38564559999999998</v>
      </c>
      <c r="F6820" t="s">
        <v>65</v>
      </c>
      <c r="G6820">
        <v>-205.10079999999999</v>
      </c>
      <c r="H6820" s="1">
        <v>-3.893673E-6</v>
      </c>
      <c r="I6820">
        <v>-56.79665</v>
      </c>
      <c r="J6820">
        <v>-221.14709999999999</v>
      </c>
      <c r="K6820">
        <v>1.1100300000000001</v>
      </c>
      <c r="L6820">
        <v>-61.360050000000001</v>
      </c>
      <c r="M6820">
        <v>0.99969300000000005</v>
      </c>
      <c r="N6820">
        <v>0</v>
      </c>
      <c r="O6820">
        <v>2.031985E-2</v>
      </c>
      <c r="P6820">
        <v>0.99938340000000003</v>
      </c>
      <c r="Q6820">
        <v>-2.7728160000000002E-2</v>
      </c>
      <c r="R6820">
        <v>-2.1548129999999999E-2</v>
      </c>
      <c r="S6820">
        <v>3.0146329999999999</v>
      </c>
      <c r="T6820">
        <v>-0.20652889999999999</v>
      </c>
      <c r="U6820">
        <v>0.84967039999999905</v>
      </c>
      <c r="V6820">
        <v>4.1859519999999997E-2</v>
      </c>
      <c r="W6820">
        <v>-1.3538390000000001E-2</v>
      </c>
      <c r="X6820">
        <v>0.99903180000000003</v>
      </c>
      <c r="Y6820">
        <v>-0.25116309999999997</v>
      </c>
      <c r="Z6820">
        <v>7.0666289999999996E-3</v>
      </c>
      <c r="AA6820">
        <v>0.96791899999999997</v>
      </c>
      <c r="AB6820">
        <v>29</v>
      </c>
      <c r="AC6820">
        <v>16.046299999999999</v>
      </c>
      <c r="AD6820">
        <v>-1.1100338936730001</v>
      </c>
      <c r="AE6820">
        <v>4.5633999999999997</v>
      </c>
      <c r="AF6820">
        <v>-4.2176931180184098</v>
      </c>
      <c r="AG6820">
        <v>-1.1100338936730001</v>
      </c>
      <c r="AH6820">
        <v>16.064599196543899</v>
      </c>
      <c r="AI6820">
        <v>93.823568860416998</v>
      </c>
      <c r="AJ6820">
        <v>104.7107590896</v>
      </c>
      <c r="AK6820">
        <v>16.6460943716081</v>
      </c>
      <c r="AL6820">
        <v>90.775716288826402</v>
      </c>
      <c r="AM6820">
        <v>87.600705240003506</v>
      </c>
      <c r="AN6820">
        <v>1.00000002241483</v>
      </c>
    </row>
    <row r="6821" spans="1:40" x14ac:dyDescent="0.25">
      <c r="A6821" t="str">
        <f>"20190312155008892"</f>
        <v>20190312155008892</v>
      </c>
      <c r="B6821" t="str">
        <f>"1552377008882128"</f>
        <v>1552377008882128</v>
      </c>
      <c r="C6821" t="s">
        <v>40</v>
      </c>
      <c r="D6821">
        <v>4.7736210000000003</v>
      </c>
      <c r="E6821">
        <v>0.3853471</v>
      </c>
      <c r="F6821" t="s">
        <v>65</v>
      </c>
      <c r="G6821">
        <v>-205.10220000000001</v>
      </c>
      <c r="H6821" s="1">
        <v>-3.8866549999999998E-6</v>
      </c>
      <c r="I6821">
        <v>-56.824849999999998</v>
      </c>
      <c r="J6821">
        <v>-221.01589999999999</v>
      </c>
      <c r="K6821">
        <v>1.1100429999999999</v>
      </c>
      <c r="L6821">
        <v>-61.357239999999997</v>
      </c>
      <c r="M6821">
        <v>0.99969019999999997</v>
      </c>
      <c r="N6821">
        <v>0</v>
      </c>
      <c r="O6821">
        <v>2.0461210000000001E-2</v>
      </c>
      <c r="P6821">
        <v>0.99936610000000003</v>
      </c>
      <c r="Q6821">
        <v>-2.8465230000000001E-2</v>
      </c>
      <c r="R6821">
        <v>-2.1381250000000001E-2</v>
      </c>
      <c r="S6821">
        <v>3.0144350000000002</v>
      </c>
      <c r="T6821">
        <v>-0.2085477</v>
      </c>
      <c r="U6821">
        <v>0.8520508</v>
      </c>
      <c r="V6821">
        <v>4.1834429999999999E-2</v>
      </c>
      <c r="W6821">
        <v>-1.427383E-2</v>
      </c>
      <c r="X6821">
        <v>0.99902259999999998</v>
      </c>
      <c r="Y6821">
        <v>-0.25174000000000002</v>
      </c>
      <c r="Z6821">
        <v>7.1452410000000001E-3</v>
      </c>
      <c r="AA6821">
        <v>0.96776850000000003</v>
      </c>
      <c r="AB6821">
        <v>29</v>
      </c>
      <c r="AC6821">
        <v>15.913699999999899</v>
      </c>
      <c r="AD6821">
        <v>-1.110046886655</v>
      </c>
      <c r="AE6821">
        <v>4.5323900000000004</v>
      </c>
      <c r="AF6821">
        <v>-4.1869510120460296</v>
      </c>
      <c r="AG6821">
        <v>-1.110046886655</v>
      </c>
      <c r="AH6821">
        <v>15.9314147969805</v>
      </c>
      <c r="AI6821">
        <v>93.855231875698607</v>
      </c>
      <c r="AJ6821">
        <v>104.724972783876</v>
      </c>
      <c r="AK6821">
        <v>16.5097771124051</v>
      </c>
      <c r="AL6821">
        <v>90.817857983145004</v>
      </c>
      <c r="AM6821">
        <v>87.6021196078933</v>
      </c>
      <c r="AN6821">
        <v>1.0000000085335199</v>
      </c>
    </row>
    <row r="6822" spans="1:40" x14ac:dyDescent="0.25">
      <c r="A6822" t="str">
        <f>"20190312155008902"</f>
        <v>20190312155008902</v>
      </c>
      <c r="B6822" t="str">
        <f>"1552377008892864"</f>
        <v>1552377008892864</v>
      </c>
      <c r="C6822" t="s">
        <v>40</v>
      </c>
      <c r="D6822">
        <v>4.9627929999999996</v>
      </c>
      <c r="E6822">
        <v>0.38514520000000002</v>
      </c>
      <c r="F6822" t="s">
        <v>65</v>
      </c>
      <c r="G6822">
        <v>-205.251</v>
      </c>
      <c r="H6822" s="1">
        <v>-3.791838E-6</v>
      </c>
      <c r="I6822">
        <v>-56.885460000000002</v>
      </c>
      <c r="J6822">
        <v>-220.886</v>
      </c>
      <c r="K6822">
        <v>1.110053</v>
      </c>
      <c r="L6822">
        <v>-61.354460000000003</v>
      </c>
      <c r="M6822">
        <v>0.99968710000000005</v>
      </c>
      <c r="N6822">
        <v>0</v>
      </c>
      <c r="O6822">
        <v>2.060592E-2</v>
      </c>
      <c r="P6822">
        <v>0.99936720000000001</v>
      </c>
      <c r="Q6822">
        <v>-2.8667379999999999E-2</v>
      </c>
      <c r="R6822">
        <v>-2.1060280000000001E-2</v>
      </c>
      <c r="S6822">
        <v>3.01416</v>
      </c>
      <c r="T6822">
        <v>-0.21223520000000001</v>
      </c>
      <c r="U6822">
        <v>0.85498050000000003</v>
      </c>
      <c r="V6822">
        <v>4.165874E-2</v>
      </c>
      <c r="W6822">
        <v>-1.447415E-2</v>
      </c>
      <c r="X6822">
        <v>0.99902709999999995</v>
      </c>
      <c r="Y6822">
        <v>-0.25247439999999999</v>
      </c>
      <c r="Z6822">
        <v>7.2863469999999899E-3</v>
      </c>
      <c r="AA6822">
        <v>0.96757610000000005</v>
      </c>
      <c r="AB6822">
        <v>29</v>
      </c>
      <c r="AC6822">
        <v>15.635</v>
      </c>
      <c r="AD6822">
        <v>-1.110056791838</v>
      </c>
      <c r="AE6822">
        <v>4.4690000000000003</v>
      </c>
      <c r="AF6822">
        <v>-4.1266148736628301</v>
      </c>
      <c r="AG6822">
        <v>-1.110056791838</v>
      </c>
      <c r="AH6822">
        <v>15.6508435457598</v>
      </c>
      <c r="AI6822">
        <v>93.923340629756197</v>
      </c>
      <c r="AJ6822">
        <v>104.770853156277</v>
      </c>
      <c r="AK6822">
        <v>16.223750493967</v>
      </c>
      <c r="AL6822">
        <v>90.829336625859796</v>
      </c>
      <c r="AM6822">
        <v>87.612188930823507</v>
      </c>
      <c r="AN6822">
        <v>1.0000000490855001</v>
      </c>
    </row>
    <row r="6823" spans="1:40" x14ac:dyDescent="0.25">
      <c r="A6823" t="str">
        <f>"20190312155008914"</f>
        <v>20190312155008914</v>
      </c>
      <c r="B6823" t="str">
        <f>"1552377008902624"</f>
        <v>1552377008902624</v>
      </c>
      <c r="C6823" t="s">
        <v>40</v>
      </c>
      <c r="D6823">
        <v>4.8310519999999997</v>
      </c>
      <c r="E6823">
        <v>0.38514520000000002</v>
      </c>
      <c r="F6823" t="s">
        <v>65</v>
      </c>
      <c r="G6823">
        <v>-205.0789</v>
      </c>
      <c r="H6823" s="1">
        <v>-3.8922720000000001E-6</v>
      </c>
      <c r="I6823">
        <v>-56.857039999999998</v>
      </c>
      <c r="J6823">
        <v>-220.7319</v>
      </c>
      <c r="K6823">
        <v>1.1100749999999999</v>
      </c>
      <c r="L6823">
        <v>-61.351069999999901</v>
      </c>
      <c r="M6823">
        <v>0.99968310000000005</v>
      </c>
      <c r="N6823">
        <v>0</v>
      </c>
      <c r="O6823">
        <v>2.0801940000000001E-2</v>
      </c>
      <c r="P6823">
        <v>0.99936579999999997</v>
      </c>
      <c r="Q6823">
        <v>-2.9068900000000002E-2</v>
      </c>
      <c r="R6823">
        <v>-2.0578989999999998E-2</v>
      </c>
      <c r="S6823">
        <v>3.0139010000000002</v>
      </c>
      <c r="T6823">
        <v>-0.21165220000000001</v>
      </c>
      <c r="U6823">
        <v>0.85751339999999998</v>
      </c>
      <c r="V6823">
        <v>4.1374139999999997E-2</v>
      </c>
      <c r="W6823">
        <v>-1.487319E-2</v>
      </c>
      <c r="X6823">
        <v>0.99903299999999995</v>
      </c>
      <c r="Y6823">
        <v>-0.25306089999999998</v>
      </c>
      <c r="Z6823">
        <v>7.2728719999999997E-3</v>
      </c>
      <c r="AA6823">
        <v>0.96742300000000003</v>
      </c>
      <c r="AB6823">
        <v>29</v>
      </c>
      <c r="AC6823">
        <v>15.652999999999899</v>
      </c>
      <c r="AD6823">
        <v>-1.110078892272</v>
      </c>
      <c r="AE6823">
        <v>4.49402999999998</v>
      </c>
      <c r="AF6823">
        <v>-4.1481381121059204</v>
      </c>
      <c r="AG6823">
        <v>-1.110078892272</v>
      </c>
      <c r="AH6823">
        <v>15.6702962815862</v>
      </c>
      <c r="AI6823">
        <v>93.917554116191695</v>
      </c>
      <c r="AJ6823">
        <v>104.82688490132099</v>
      </c>
      <c r="AK6823">
        <v>16.2480001999282</v>
      </c>
      <c r="AL6823">
        <v>90.852202450749701</v>
      </c>
      <c r="AM6823">
        <v>87.628497039479896</v>
      </c>
      <c r="AN6823">
        <v>0.99999998316525696</v>
      </c>
    </row>
    <row r="6824" spans="1:40" x14ac:dyDescent="0.25">
      <c r="A6824" t="str">
        <f>"20190312155008926"</f>
        <v>20190312155008926</v>
      </c>
      <c r="B6824" t="str">
        <f>"1552377008922145"</f>
        <v>1552377008922145</v>
      </c>
      <c r="C6824" t="s">
        <v>40</v>
      </c>
      <c r="D6824">
        <v>4.8159130000000001</v>
      </c>
      <c r="E6824">
        <v>0.41996840000000002</v>
      </c>
      <c r="F6824" t="s">
        <v>65</v>
      </c>
      <c r="G6824">
        <v>-204.9853</v>
      </c>
      <c r="H6824" s="1">
        <v>-3.9423530000000003E-6</v>
      </c>
      <c r="I6824">
        <v>-56.862000000000002</v>
      </c>
      <c r="J6824">
        <v>-220.583</v>
      </c>
      <c r="K6824">
        <v>1.110096</v>
      </c>
      <c r="L6824">
        <v>-61.347810000000003</v>
      </c>
      <c r="M6824">
        <v>0.99967890000000004</v>
      </c>
      <c r="N6824">
        <v>0</v>
      </c>
      <c r="O6824">
        <v>2.099995E-2</v>
      </c>
      <c r="P6824">
        <v>0.99936720000000001</v>
      </c>
      <c r="Q6824">
        <v>-2.9131460000000001E-2</v>
      </c>
      <c r="R6824">
        <v>-2.04218E-2</v>
      </c>
      <c r="S6824">
        <v>3.0134120000000002</v>
      </c>
      <c r="T6824">
        <v>-0.2124345</v>
      </c>
      <c r="U6824">
        <v>0.85906979999999999</v>
      </c>
      <c r="V6824">
        <v>4.1415779999999999E-2</v>
      </c>
      <c r="W6824">
        <v>-1.4933129999999999E-2</v>
      </c>
      <c r="X6824">
        <v>0.99903039999999999</v>
      </c>
      <c r="Y6824">
        <v>-0.2533685</v>
      </c>
      <c r="Z6824">
        <v>7.2972940000000002E-3</v>
      </c>
      <c r="AA6824">
        <v>0.96734229999999999</v>
      </c>
      <c r="AB6824">
        <v>29</v>
      </c>
      <c r="AC6824">
        <v>15.5977</v>
      </c>
      <c r="AD6824">
        <v>-1.110099942353</v>
      </c>
      <c r="AE6824">
        <v>4.4858099999999999</v>
      </c>
      <c r="AF6824">
        <v>-4.1378783622713398</v>
      </c>
      <c r="AG6824">
        <v>-1.110099942353</v>
      </c>
      <c r="AH6824">
        <v>15.6154168660686</v>
      </c>
      <c r="AI6824">
        <v>93.931088273280295</v>
      </c>
      <c r="AJ6824">
        <v>104.841517005087</v>
      </c>
      <c r="AK6824">
        <v>16.192455129598599</v>
      </c>
      <c r="AL6824">
        <v>90.855637124597393</v>
      </c>
      <c r="AM6824">
        <v>87.626106855914102</v>
      </c>
      <c r="AN6824">
        <v>1.00000000266438</v>
      </c>
    </row>
    <row r="6825" spans="1:40" x14ac:dyDescent="0.25">
      <c r="A6825" t="str">
        <f>"20190312155008935"</f>
        <v>20190312155008935</v>
      </c>
      <c r="B6825" t="str">
        <f>"1552377008932880"</f>
        <v>1552377008932880</v>
      </c>
      <c r="C6825" t="s">
        <v>40</v>
      </c>
      <c r="D6825">
        <v>4.7740169999999997</v>
      </c>
      <c r="E6825">
        <v>0.42536449999999998</v>
      </c>
      <c r="F6825" t="s">
        <v>65</v>
      </c>
      <c r="G6825">
        <v>-203.16220000000001</v>
      </c>
      <c r="H6825" s="1">
        <v>-4.6237570000000004E-6</v>
      </c>
      <c r="I6825">
        <v>-57.98301</v>
      </c>
      <c r="J6825">
        <v>-220.4401</v>
      </c>
      <c r="K6825">
        <v>1.110125</v>
      </c>
      <c r="L6825">
        <v>-61.344569999999997</v>
      </c>
      <c r="M6825">
        <v>0.99967419999999996</v>
      </c>
      <c r="N6825">
        <v>0</v>
      </c>
      <c r="O6825">
        <v>2.1225109999999998E-2</v>
      </c>
      <c r="P6825">
        <v>0.99937120000000002</v>
      </c>
      <c r="Q6825">
        <v>-2.9357600000000001E-2</v>
      </c>
      <c r="R6825">
        <v>-1.9892130000000001E-2</v>
      </c>
      <c r="S6825">
        <v>3.0081790000000002</v>
      </c>
      <c r="T6825">
        <v>-0.191689</v>
      </c>
      <c r="U6825">
        <v>0.58102419999999899</v>
      </c>
      <c r="V6825">
        <v>4.1112370000000002E-2</v>
      </c>
      <c r="W6825">
        <v>-1.5156299999999999E-2</v>
      </c>
      <c r="X6825">
        <v>0.99903960000000003</v>
      </c>
      <c r="Y6825">
        <v>-0.1684707</v>
      </c>
      <c r="Z6825">
        <v>3.9751120000000003E-3</v>
      </c>
      <c r="AA6825">
        <v>0.98569859999999998</v>
      </c>
      <c r="AB6825">
        <v>29</v>
      </c>
      <c r="AC6825">
        <v>17.277899999999899</v>
      </c>
      <c r="AD6825">
        <v>-1.110129623757</v>
      </c>
      <c r="AE6825">
        <v>3.3615599999999901</v>
      </c>
      <c r="AF6825">
        <v>-2.98217822942736</v>
      </c>
      <c r="AG6825">
        <v>-1.110129623757</v>
      </c>
      <c r="AH6825">
        <v>17.276642613813099</v>
      </c>
      <c r="AI6825">
        <v>93.623114838202895</v>
      </c>
      <c r="AJ6825">
        <v>99.793507363051404</v>
      </c>
      <c r="AK6825">
        <v>17.567246647640498</v>
      </c>
      <c r="AL6825">
        <v>90.868425246100898</v>
      </c>
      <c r="AM6825">
        <v>87.643499880563994</v>
      </c>
      <c r="AN6825">
        <v>1.00000003138243</v>
      </c>
    </row>
    <row r="6826" spans="1:40" x14ac:dyDescent="0.25">
      <c r="A6826" t="str">
        <f>"20190312155008947"</f>
        <v>20190312155008947</v>
      </c>
      <c r="B6826" t="str">
        <f>"1552377008942640"</f>
        <v>1552377008942640</v>
      </c>
      <c r="C6826" t="s">
        <v>40</v>
      </c>
      <c r="D6826">
        <v>4.7572099999999997</v>
      </c>
      <c r="E6826">
        <v>0.4279848</v>
      </c>
      <c r="F6826" t="s">
        <v>65</v>
      </c>
      <c r="G6826">
        <v>-202.9281</v>
      </c>
      <c r="H6826" s="1">
        <v>-4.6944359999999996E-6</v>
      </c>
      <c r="I6826">
        <v>-58.20223</v>
      </c>
      <c r="J6826">
        <v>-220.29650000000001</v>
      </c>
      <c r="K6826">
        <v>1.1101570000000001</v>
      </c>
      <c r="L6826">
        <v>-61.34131</v>
      </c>
      <c r="M6826">
        <v>0.99966909999999998</v>
      </c>
      <c r="N6826">
        <v>0</v>
      </c>
      <c r="O6826">
        <v>2.1460239999999998E-2</v>
      </c>
      <c r="P6826">
        <v>0.99936159999999996</v>
      </c>
      <c r="Q6826">
        <v>-2.966384E-2</v>
      </c>
      <c r="R6826">
        <v>-1.9912969999999999E-2</v>
      </c>
      <c r="S6826">
        <v>3.007034</v>
      </c>
      <c r="T6826">
        <v>-0.1906235</v>
      </c>
      <c r="U6826">
        <v>0.53958130000000004</v>
      </c>
      <c r="V6826">
        <v>4.1369400000000001E-2</v>
      </c>
      <c r="W6826">
        <v>-1.545943E-2</v>
      </c>
      <c r="X6826">
        <v>0.99902429999999998</v>
      </c>
      <c r="Y6826">
        <v>-0.15519330000000001</v>
      </c>
      <c r="Z6826">
        <v>3.5275630000000001E-3</v>
      </c>
      <c r="AA6826">
        <v>0.98787780000000003</v>
      </c>
      <c r="AB6826">
        <v>29</v>
      </c>
      <c r="AC6826">
        <v>17.368400000000001</v>
      </c>
      <c r="AD6826">
        <v>-1.110161694436</v>
      </c>
      <c r="AE6826">
        <v>3.1390799999999901</v>
      </c>
      <c r="AF6826">
        <v>-2.75469092067316</v>
      </c>
      <c r="AG6826">
        <v>-1.110161694436</v>
      </c>
      <c r="AH6826">
        <v>17.363077291999499</v>
      </c>
      <c r="AI6826">
        <v>93.613331700133998</v>
      </c>
      <c r="AJ6826">
        <v>99.014967086727395</v>
      </c>
      <c r="AK6826">
        <v>17.615255720658201</v>
      </c>
      <c r="AL6826">
        <v>90.885795390221105</v>
      </c>
      <c r="AM6826">
        <v>87.628747792658302</v>
      </c>
      <c r="AN6826">
        <v>0.999999986611387</v>
      </c>
    </row>
    <row r="6827" spans="1:40" x14ac:dyDescent="0.25">
      <c r="A6827" t="str">
        <f>"20190312155008958"</f>
        <v>20190312155008958</v>
      </c>
      <c r="B6827" t="str">
        <f>"1552377008952400"</f>
        <v>1552377008952400</v>
      </c>
      <c r="C6827" t="s">
        <v>40</v>
      </c>
      <c r="D6827">
        <v>4.7578610000000001</v>
      </c>
      <c r="E6827">
        <v>0.429531</v>
      </c>
      <c r="F6827" t="s">
        <v>65</v>
      </c>
      <c r="G6827">
        <v>-202.87889999999999</v>
      </c>
      <c r="H6827" s="1">
        <v>-4.6896540000000002E-6</v>
      </c>
      <c r="I6827">
        <v>-58.336860000000001</v>
      </c>
      <c r="J6827">
        <v>-220.14850000000001</v>
      </c>
      <c r="K6827">
        <v>1.1101939999999999</v>
      </c>
      <c r="L6827">
        <v>-61.337859999999999</v>
      </c>
      <c r="M6827">
        <v>0.99966319999999997</v>
      </c>
      <c r="N6827">
        <v>0</v>
      </c>
      <c r="O6827">
        <v>2.1734429999999999E-2</v>
      </c>
      <c r="P6827">
        <v>0.9993725</v>
      </c>
      <c r="Q6827">
        <v>-2.9504579999999999E-2</v>
      </c>
      <c r="R6827">
        <v>-1.9604449999999999E-2</v>
      </c>
      <c r="S6827">
        <v>3.006561</v>
      </c>
      <c r="T6827">
        <v>-0.19163169999999999</v>
      </c>
      <c r="U6827">
        <v>0.51861570000000001</v>
      </c>
      <c r="V6827">
        <v>4.1336119999999997E-2</v>
      </c>
      <c r="W6827">
        <v>-1.5296550000000001E-2</v>
      </c>
      <c r="X6827">
        <v>0.99902820000000003</v>
      </c>
      <c r="Y6827">
        <v>-0.14827470000000001</v>
      </c>
      <c r="Z6827">
        <v>3.3128620000000002E-3</v>
      </c>
      <c r="AA6827">
        <v>0.98894070000000001</v>
      </c>
      <c r="AB6827">
        <v>29</v>
      </c>
      <c r="AC6827">
        <v>17.269600000000001</v>
      </c>
      <c r="AD6827">
        <v>-1.1101986896539999</v>
      </c>
      <c r="AE6827">
        <v>3.0009999999999999</v>
      </c>
      <c r="AF6827">
        <v>-2.6144203192689002</v>
      </c>
      <c r="AG6827">
        <v>-1.1101986896539999</v>
      </c>
      <c r="AH6827">
        <v>17.261505255787199</v>
      </c>
      <c r="AI6827">
        <v>93.638607531192605</v>
      </c>
      <c r="AJ6827">
        <v>98.612535544816197</v>
      </c>
      <c r="AK6827">
        <v>17.493635940875301</v>
      </c>
      <c r="AL6827">
        <v>90.876461936518595</v>
      </c>
      <c r="AM6827">
        <v>87.630662432685298</v>
      </c>
      <c r="AN6827">
        <v>1.00000000182689</v>
      </c>
    </row>
    <row r="6828" spans="1:40" x14ac:dyDescent="0.25">
      <c r="A6828" t="str">
        <f>"20190312155008969"</f>
        <v>20190312155008969</v>
      </c>
      <c r="B6828" t="str">
        <f>"1552377008963136"</f>
        <v>1552377008963136</v>
      </c>
      <c r="C6828" t="s">
        <v>40</v>
      </c>
      <c r="D6828">
        <v>4.7137190000000002</v>
      </c>
      <c r="E6828">
        <v>0.43061969999999999</v>
      </c>
      <c r="F6828" t="s">
        <v>65</v>
      </c>
      <c r="G6828">
        <v>-202.33160000000001</v>
      </c>
      <c r="H6828" s="1">
        <v>-4.969491E-6</v>
      </c>
      <c r="I6828">
        <v>-58.332470000000001</v>
      </c>
      <c r="J6828">
        <v>-220.0067</v>
      </c>
      <c r="K6828">
        <v>1.1102350000000001</v>
      </c>
      <c r="L6828">
        <v>-61.334530000000001</v>
      </c>
      <c r="M6828">
        <v>0.99965700000000002</v>
      </c>
      <c r="N6828">
        <v>0</v>
      </c>
      <c r="O6828">
        <v>2.201757E-2</v>
      </c>
      <c r="P6828">
        <v>0.99937980000000004</v>
      </c>
      <c r="Q6828">
        <v>-2.9296989999999998E-2</v>
      </c>
      <c r="R6828">
        <v>-1.954753E-2</v>
      </c>
      <c r="S6828">
        <v>3.0063170000000001</v>
      </c>
      <c r="T6828">
        <v>-0.1873283</v>
      </c>
      <c r="U6828">
        <v>0.50711059999999997</v>
      </c>
      <c r="V6828">
        <v>4.1563339999999997E-2</v>
      </c>
      <c r="W6828">
        <v>-1.508514E-2</v>
      </c>
      <c r="X6828">
        <v>0.99902199999999997</v>
      </c>
      <c r="Y6828">
        <v>-0.144348</v>
      </c>
      <c r="Z6828">
        <v>3.1010339999999999E-3</v>
      </c>
      <c r="AA6828">
        <v>0.98952209999999996</v>
      </c>
      <c r="AB6828">
        <v>29</v>
      </c>
      <c r="AC6828">
        <v>17.675099999999901</v>
      </c>
      <c r="AD6828">
        <v>-1.1102399694909999</v>
      </c>
      <c r="AE6828">
        <v>3.0020600000000099</v>
      </c>
      <c r="AF6828">
        <v>-2.6021511188194402</v>
      </c>
      <c r="AG6828">
        <v>-1.1102399694909999</v>
      </c>
      <c r="AH6828">
        <v>17.669158929812198</v>
      </c>
      <c r="AI6828">
        <v>93.557179860269002</v>
      </c>
      <c r="AJ6828">
        <v>98.377773853876405</v>
      </c>
      <c r="AK6828">
        <v>17.894216957497498</v>
      </c>
      <c r="AL6828">
        <v>90.864347626906195</v>
      </c>
      <c r="AM6828">
        <v>87.617638647858698</v>
      </c>
      <c r="AN6828">
        <v>1.00000001458238</v>
      </c>
    </row>
    <row r="6829" spans="1:40" x14ac:dyDescent="0.25">
      <c r="A6829" t="str">
        <f>"20190312155008980"</f>
        <v>20190312155008980</v>
      </c>
      <c r="B6829" t="str">
        <f>"1552377008972896"</f>
        <v>1552377008972896</v>
      </c>
      <c r="C6829" t="s">
        <v>40</v>
      </c>
      <c r="D6829">
        <v>4.7582740000000001</v>
      </c>
      <c r="E6829">
        <v>0.4311642</v>
      </c>
      <c r="F6829" t="s">
        <v>65</v>
      </c>
      <c r="G6829">
        <v>-201.73089999999999</v>
      </c>
      <c r="H6829" s="1">
        <v>-5.2818199999999997E-6</v>
      </c>
      <c r="I6829">
        <v>-58.304189999999998</v>
      </c>
      <c r="J6829">
        <v>-219.863</v>
      </c>
      <c r="K6829">
        <v>1.110277</v>
      </c>
      <c r="L6829">
        <v>-61.331049999999998</v>
      </c>
      <c r="M6829">
        <v>0.99965000000000004</v>
      </c>
      <c r="N6829">
        <v>0</v>
      </c>
      <c r="O6829">
        <v>2.2332890000000001E-2</v>
      </c>
      <c r="P6829">
        <v>0.99938839999999995</v>
      </c>
      <c r="Q6829">
        <v>-2.9038100000000001E-2</v>
      </c>
      <c r="R6829">
        <v>-1.9486059999999999E-2</v>
      </c>
      <c r="S6829">
        <v>3.006256</v>
      </c>
      <c r="T6829">
        <v>-0.18262780000000001</v>
      </c>
      <c r="U6829">
        <v>0.49847409999999998</v>
      </c>
      <c r="V6829">
        <v>4.1818340000000002E-2</v>
      </c>
      <c r="W6829">
        <v>-1.482198E-2</v>
      </c>
      <c r="X6829">
        <v>0.99901530000000005</v>
      </c>
      <c r="Y6829">
        <v>-0.14129050000000001</v>
      </c>
      <c r="Z6829">
        <v>2.912974E-3</v>
      </c>
      <c r="AA6829">
        <v>0.98996390000000001</v>
      </c>
      <c r="AB6829">
        <v>29</v>
      </c>
      <c r="AC6829">
        <v>18.132100000000001</v>
      </c>
      <c r="AD6829">
        <v>-1.11028228182</v>
      </c>
      <c r="AE6829">
        <v>3.0268599999999899</v>
      </c>
      <c r="AF6829">
        <v>-2.6115953598230601</v>
      </c>
      <c r="AG6829">
        <v>-1.11028228182</v>
      </c>
      <c r="AH6829">
        <v>18.129050527974702</v>
      </c>
      <c r="AI6829">
        <v>93.468883816349006</v>
      </c>
      <c r="AJ6829">
        <v>98.197396960841701</v>
      </c>
      <c r="AK6829">
        <v>18.349812808708201</v>
      </c>
      <c r="AL6829">
        <v>90.849267981505307</v>
      </c>
      <c r="AM6829">
        <v>87.6030232895978</v>
      </c>
      <c r="AN6829">
        <v>1.0000000171427801</v>
      </c>
    </row>
    <row r="6830" spans="1:40" x14ac:dyDescent="0.25">
      <c r="A6830" t="str">
        <f>"20190312155008992"</f>
        <v>20190312155008992</v>
      </c>
      <c r="B6830" t="str">
        <f>"1552377008982656"</f>
        <v>1552377008982656</v>
      </c>
      <c r="C6830" t="s">
        <v>40</v>
      </c>
      <c r="D6830">
        <v>4.7844519999999999</v>
      </c>
      <c r="E6830">
        <v>0.4315602</v>
      </c>
      <c r="F6830" t="s">
        <v>65</v>
      </c>
      <c r="G6830">
        <v>-201.3725</v>
      </c>
      <c r="H6830" s="1">
        <v>-5.4673860000000004E-6</v>
      </c>
      <c r="I6830">
        <v>-58.290979999999998</v>
      </c>
      <c r="J6830">
        <v>-219.71520000000001</v>
      </c>
      <c r="K6830">
        <v>1.1103259999999999</v>
      </c>
      <c r="L6830">
        <v>-61.327390000000001</v>
      </c>
      <c r="M6830">
        <v>0.99964180000000002</v>
      </c>
      <c r="N6830">
        <v>0</v>
      </c>
      <c r="O6830">
        <v>2.269527E-2</v>
      </c>
      <c r="P6830">
        <v>0.99940450000000003</v>
      </c>
      <c r="Q6830">
        <v>-2.8507569999999999E-2</v>
      </c>
      <c r="R6830">
        <v>-1.9448750000000001E-2</v>
      </c>
      <c r="S6830">
        <v>3.0062259999999998</v>
      </c>
      <c r="T6830">
        <v>-0.18051210000000001</v>
      </c>
      <c r="U6830">
        <v>0.4942627</v>
      </c>
      <c r="V6830">
        <v>4.2144399999999999E-2</v>
      </c>
      <c r="W6830">
        <v>-1.4286409999999999E-2</v>
      </c>
      <c r="X6830">
        <v>0.99900940000000005</v>
      </c>
      <c r="Y6830">
        <v>-0.1395914</v>
      </c>
      <c r="Z6830">
        <v>2.8074369999999999E-3</v>
      </c>
      <c r="AA6830">
        <v>0.99020520000000001</v>
      </c>
      <c r="AB6830">
        <v>29</v>
      </c>
      <c r="AC6830">
        <v>18.342700000000001</v>
      </c>
      <c r="AD6830">
        <v>-1.1103314673860001</v>
      </c>
      <c r="AE6830">
        <v>3.0364099999999898</v>
      </c>
      <c r="AF6830">
        <v>-2.6099849168943901</v>
      </c>
      <c r="AG6830">
        <v>-1.1103314673860001</v>
      </c>
      <c r="AH6830">
        <v>18.341479327779801</v>
      </c>
      <c r="AI6830">
        <v>93.429798561401398</v>
      </c>
      <c r="AJ6830">
        <v>98.098793177573597</v>
      </c>
      <c r="AK6830">
        <v>18.559491403733499</v>
      </c>
      <c r="AL6830">
        <v>90.818578830923698</v>
      </c>
      <c r="AM6830">
        <v>87.584341729019997</v>
      </c>
      <c r="AN6830">
        <v>1.0000000166252001</v>
      </c>
    </row>
    <row r="6831" spans="1:40" x14ac:dyDescent="0.25">
      <c r="A6831" t="str">
        <f>"20190312155009002"</f>
        <v>20190312155009002</v>
      </c>
      <c r="B6831" t="str">
        <f>"1552377008992417"</f>
        <v>1552377008992417</v>
      </c>
      <c r="C6831" t="s">
        <v>40</v>
      </c>
      <c r="D6831">
        <v>4.7381830000000003</v>
      </c>
      <c r="E6831">
        <v>0.43193110000000001</v>
      </c>
      <c r="F6831" t="s">
        <v>65</v>
      </c>
      <c r="G6831">
        <v>-201.2037</v>
      </c>
      <c r="H6831" s="1">
        <v>-5.5508780000000003E-6</v>
      </c>
      <c r="I6831">
        <v>-58.302250000000001</v>
      </c>
      <c r="J6831">
        <v>-219.57169999999999</v>
      </c>
      <c r="K6831">
        <v>1.1103769999999999</v>
      </c>
      <c r="L6831">
        <v>-61.323790000000002</v>
      </c>
      <c r="M6831">
        <v>0.9996332</v>
      </c>
      <c r="N6831">
        <v>0</v>
      </c>
      <c r="O6831">
        <v>2.3071149999999999E-2</v>
      </c>
      <c r="P6831">
        <v>0.99941829999999998</v>
      </c>
      <c r="Q6831">
        <v>-2.8155909999999999E-2</v>
      </c>
      <c r="R6831">
        <v>-1.9242499999999999E-2</v>
      </c>
      <c r="S6831">
        <v>3.006195</v>
      </c>
      <c r="T6831">
        <v>-0.18031349999999999</v>
      </c>
      <c r="U6831">
        <v>0.49127199999999999</v>
      </c>
      <c r="V6831">
        <v>4.2315180000000001E-2</v>
      </c>
      <c r="W6831">
        <v>-1.392966E-2</v>
      </c>
      <c r="X6831">
        <v>0.99900719999999998</v>
      </c>
      <c r="Y6831">
        <v>-0.13826469999999999</v>
      </c>
      <c r="Z6831">
        <v>2.7427559999999998E-3</v>
      </c>
      <c r="AA6831">
        <v>0.99039149999999998</v>
      </c>
      <c r="AB6831">
        <v>29</v>
      </c>
      <c r="AC6831">
        <v>18.367999999999899</v>
      </c>
      <c r="AD6831">
        <v>-1.1103825508780001</v>
      </c>
      <c r="AE6831">
        <v>3.0215399999999999</v>
      </c>
      <c r="AF6831">
        <v>-2.5877145588310499</v>
      </c>
      <c r="AG6831">
        <v>-1.1103825508780001</v>
      </c>
      <c r="AH6831">
        <v>18.3674729195133</v>
      </c>
      <c r="AI6831">
        <v>93.425784155966397</v>
      </c>
      <c r="AJ6831">
        <v>98.019376537421195</v>
      </c>
      <c r="AK6831">
        <v>18.58206870874</v>
      </c>
      <c r="AL6831">
        <v>90.798136542379595</v>
      </c>
      <c r="AM6831">
        <v>87.574559189155394</v>
      </c>
      <c r="AN6831">
        <v>0.99999999776899395</v>
      </c>
    </row>
    <row r="6832" spans="1:40" x14ac:dyDescent="0.25">
      <c r="A6832" t="str">
        <f>"20190312155009014"</f>
        <v>20190312155009014</v>
      </c>
      <c r="B6832" t="str">
        <f>"1552377009002177"</f>
        <v>1552377009002177</v>
      </c>
      <c r="C6832" t="s">
        <v>40</v>
      </c>
      <c r="D6832">
        <v>4.7355309999999999</v>
      </c>
      <c r="E6832">
        <v>0.432253</v>
      </c>
      <c r="F6832" t="s">
        <v>65</v>
      </c>
      <c r="G6832">
        <v>-200.92840000000001</v>
      </c>
      <c r="H6832" s="1">
        <v>-5.6836519999999998E-6</v>
      </c>
      <c r="I6832">
        <v>-58.291589999999999</v>
      </c>
      <c r="J6832">
        <v>-219.41679999999999</v>
      </c>
      <c r="K6832">
        <v>1.110439</v>
      </c>
      <c r="L6832">
        <v>-61.319760000000002</v>
      </c>
      <c r="M6832">
        <v>0.99962229999999996</v>
      </c>
      <c r="N6832">
        <v>0</v>
      </c>
      <c r="O6832">
        <v>2.354287E-2</v>
      </c>
      <c r="P6832">
        <v>0.99942900000000001</v>
      </c>
      <c r="Q6832">
        <v>-2.8056859999999999E-2</v>
      </c>
      <c r="R6832">
        <v>-1.8845460000000001E-2</v>
      </c>
      <c r="S6832">
        <v>3.006119</v>
      </c>
      <c r="T6832">
        <v>-0.179041899999999</v>
      </c>
      <c r="U6832">
        <v>0.48892210000000003</v>
      </c>
      <c r="V6832">
        <v>4.2391570000000003E-2</v>
      </c>
      <c r="W6832">
        <v>-1.382421E-2</v>
      </c>
      <c r="X6832">
        <v>0.99900540000000004</v>
      </c>
      <c r="Y6832">
        <v>-0.137052799999999</v>
      </c>
      <c r="Z6832">
        <v>2.66E-3</v>
      </c>
      <c r="AA6832">
        <v>0.9905602</v>
      </c>
      <c r="AB6832">
        <v>29</v>
      </c>
      <c r="AC6832">
        <v>18.488399999999899</v>
      </c>
      <c r="AD6832">
        <v>-1.1104446836520001</v>
      </c>
      <c r="AE6832">
        <v>3.02816999999999</v>
      </c>
      <c r="AF6832">
        <v>-2.58294246550525</v>
      </c>
      <c r="AG6832">
        <v>-1.1104446836520001</v>
      </c>
      <c r="AH6832">
        <v>18.489616465336699</v>
      </c>
      <c r="AI6832">
        <v>93.403951955701203</v>
      </c>
      <c r="AJ6832">
        <v>97.952578276090094</v>
      </c>
      <c r="AK6832">
        <v>18.7021548547437</v>
      </c>
      <c r="AL6832">
        <v>90.792094141315403</v>
      </c>
      <c r="AM6832">
        <v>87.570181502645099</v>
      </c>
      <c r="AN6832">
        <v>0.99999997160917398</v>
      </c>
    </row>
    <row r="6833" spans="1:40" x14ac:dyDescent="0.25">
      <c r="A6833" t="str">
        <f>"20190312155009026"</f>
        <v>20190312155009026</v>
      </c>
      <c r="B6833" t="str">
        <f>"1552377009022672"</f>
        <v>1552377009022672</v>
      </c>
      <c r="C6833" t="s">
        <v>40</v>
      </c>
      <c r="D6833">
        <v>4.758572</v>
      </c>
      <c r="E6833">
        <v>0.43296119999999999</v>
      </c>
      <c r="F6833" t="s">
        <v>65</v>
      </c>
      <c r="G6833">
        <v>-200.77670000000001</v>
      </c>
      <c r="H6833" s="1">
        <v>-5.740389E-6</v>
      </c>
      <c r="I6833">
        <v>-58.295999999999999</v>
      </c>
      <c r="J6833">
        <v>-219.27529999999999</v>
      </c>
      <c r="K6833">
        <v>1.1104969999999901</v>
      </c>
      <c r="L6833">
        <v>-61.316040000000001</v>
      </c>
      <c r="M6833">
        <v>0.99961149999999999</v>
      </c>
      <c r="N6833">
        <v>0</v>
      </c>
      <c r="O6833">
        <v>2.3992309999999999E-2</v>
      </c>
      <c r="P6833">
        <v>0.99944619999999995</v>
      </c>
      <c r="Q6833">
        <v>-2.7873820000000001E-2</v>
      </c>
      <c r="R6833">
        <v>-1.8175859999999999E-2</v>
      </c>
      <c r="S6833">
        <v>3.00589</v>
      </c>
      <c r="T6833">
        <v>-0.17906929999999999</v>
      </c>
      <c r="U6833">
        <v>0.48760989999999999</v>
      </c>
      <c r="V6833">
        <v>4.217336E-2</v>
      </c>
      <c r="W6833">
        <v>-1.3635319999999999E-2</v>
      </c>
      <c r="X6833">
        <v>0.99901719999999905</v>
      </c>
      <c r="Y6833">
        <v>-0.13620009999999999</v>
      </c>
      <c r="Z6833">
        <v>2.6089360000000001E-3</v>
      </c>
      <c r="AA6833">
        <v>0.9906779</v>
      </c>
      <c r="AB6833">
        <v>29</v>
      </c>
      <c r="AC6833">
        <v>18.4985999999999</v>
      </c>
      <c r="AD6833">
        <v>-1.11050274038899</v>
      </c>
      <c r="AE6833">
        <v>3.0200399999999901</v>
      </c>
      <c r="AF6833">
        <v>-2.5662933538089798</v>
      </c>
      <c r="AG6833">
        <v>-1.11050274038899</v>
      </c>
      <c r="AH6833">
        <v>18.500796617465401</v>
      </c>
      <c r="AI6833">
        <v>93.4025334598916</v>
      </c>
      <c r="AJ6833">
        <v>97.897252259592904</v>
      </c>
      <c r="AK6833">
        <v>18.710920698753299</v>
      </c>
      <c r="AL6833">
        <v>90.781270545632395</v>
      </c>
      <c r="AM6833">
        <v>87.582702601844304</v>
      </c>
      <c r="AN6833">
        <v>0.99999994007051396</v>
      </c>
    </row>
    <row r="6834" spans="1:40" x14ac:dyDescent="0.25">
      <c r="A6834" t="str">
        <f>"20190312155009036"</f>
        <v>20190312155009036</v>
      </c>
      <c r="B6834" t="str">
        <f>"1552377009032432"</f>
        <v>1552377009032432</v>
      </c>
      <c r="C6834" t="s">
        <v>40</v>
      </c>
      <c r="D6834">
        <v>4.728275</v>
      </c>
      <c r="E6834">
        <v>0.43324030000000002</v>
      </c>
      <c r="F6834" t="s">
        <v>65</v>
      </c>
      <c r="G6834">
        <v>-200.1001</v>
      </c>
      <c r="H6834" s="1">
        <v>-6.0069349999999999E-6</v>
      </c>
      <c r="I6834">
        <v>-58.228909999999999</v>
      </c>
      <c r="J6834">
        <v>-219.13249999999999</v>
      </c>
      <c r="K6834">
        <v>1.110563</v>
      </c>
      <c r="L6834">
        <v>-61.312069999999999</v>
      </c>
      <c r="M6834">
        <v>0.9995984</v>
      </c>
      <c r="N6834">
        <v>0</v>
      </c>
      <c r="O6834">
        <v>2.4526550000000001E-2</v>
      </c>
      <c r="P6834">
        <v>0.99946400000000002</v>
      </c>
      <c r="Q6834">
        <v>-2.7627929999999998E-2</v>
      </c>
      <c r="R6834">
        <v>-1.756976E-2</v>
      </c>
      <c r="S6834">
        <v>3.0055999999999998</v>
      </c>
      <c r="T6834">
        <v>-0.174064</v>
      </c>
      <c r="U6834">
        <v>0.4838867</v>
      </c>
      <c r="V6834">
        <v>4.2103359999999999E-2</v>
      </c>
      <c r="W6834">
        <v>-1.338201E-2</v>
      </c>
      <c r="X6834">
        <v>0.99902360000000001</v>
      </c>
      <c r="Y6834">
        <v>-0.13450390000000001</v>
      </c>
      <c r="Z6834">
        <v>2.4571710000000002E-3</v>
      </c>
      <c r="AA6834">
        <v>0.99091010000000002</v>
      </c>
      <c r="AB6834">
        <v>29</v>
      </c>
      <c r="AC6834">
        <v>19.032399999999999</v>
      </c>
      <c r="AD6834">
        <v>-1.110569006935</v>
      </c>
      <c r="AE6834">
        <v>3.0831599999999901</v>
      </c>
      <c r="AF6834">
        <v>-2.6067374801255898</v>
      </c>
      <c r="AG6834">
        <v>-1.110569006935</v>
      </c>
      <c r="AH6834">
        <v>19.0391318132294</v>
      </c>
      <c r="AI6834">
        <v>93.307541942675599</v>
      </c>
      <c r="AJ6834">
        <v>97.796162312539195</v>
      </c>
      <c r="AK6834">
        <v>19.248817730213499</v>
      </c>
      <c r="AL6834">
        <v>90.766755609387701</v>
      </c>
      <c r="AM6834">
        <v>87.586725563952399</v>
      </c>
      <c r="AN6834">
        <v>0.99999996223594401</v>
      </c>
    </row>
    <row r="6835" spans="1:40" x14ac:dyDescent="0.25">
      <c r="A6835" t="str">
        <f>"20190312155009049"</f>
        <v>20190312155009049</v>
      </c>
      <c r="B6835" t="str">
        <f>"1552377009042192"</f>
        <v>1552377009042192</v>
      </c>
      <c r="C6835" t="s">
        <v>40</v>
      </c>
      <c r="D6835">
        <v>4.7495560000000001</v>
      </c>
      <c r="E6835">
        <v>0.43352000000000002</v>
      </c>
      <c r="F6835" t="s">
        <v>65</v>
      </c>
      <c r="G6835">
        <v>-199.74870000000001</v>
      </c>
      <c r="H6835" s="1">
        <v>-8.0320280000000003E-6</v>
      </c>
      <c r="I6835">
        <v>-58.19388</v>
      </c>
      <c r="J6835">
        <v>-218.97839999999999</v>
      </c>
      <c r="K6835">
        <v>1.1106389999999999</v>
      </c>
      <c r="L6835">
        <v>-61.307740000000003</v>
      </c>
      <c r="M6835">
        <v>0.99958349999999996</v>
      </c>
      <c r="N6835">
        <v>0</v>
      </c>
      <c r="O6835">
        <v>2.5130989999999999E-2</v>
      </c>
      <c r="P6835">
        <v>0.99948459999999995</v>
      </c>
      <c r="Q6835">
        <v>-2.7620059999999998E-2</v>
      </c>
      <c r="R6835">
        <v>-1.6372649999999999E-2</v>
      </c>
      <c r="S6835">
        <v>3.0053559999999999</v>
      </c>
      <c r="T6835">
        <v>-0.17218829999999999</v>
      </c>
      <c r="U6835">
        <v>0.48345949999999999</v>
      </c>
      <c r="V6835">
        <v>4.1513479999999998E-2</v>
      </c>
      <c r="W6835">
        <v>-1.3366619999999999E-2</v>
      </c>
      <c r="X6835">
        <v>0.99904850000000001</v>
      </c>
      <c r="Y6835">
        <v>-0.13378590000000001</v>
      </c>
      <c r="Z6835">
        <v>2.3761939999999999E-3</v>
      </c>
      <c r="AA6835">
        <v>0.99100739999999998</v>
      </c>
      <c r="AB6835">
        <v>29</v>
      </c>
      <c r="AC6835">
        <v>19.229699999999902</v>
      </c>
      <c r="AD6835">
        <v>-1.110647032028</v>
      </c>
      <c r="AE6835">
        <v>3.1138599999999901</v>
      </c>
      <c r="AF6835">
        <v>-2.6210462817526201</v>
      </c>
      <c r="AG6835">
        <v>-1.110647032028</v>
      </c>
      <c r="AH6835">
        <v>19.239347864961701</v>
      </c>
      <c r="AI6835">
        <v>93.273724678818297</v>
      </c>
      <c r="AJ6835">
        <v>97.757853301163294</v>
      </c>
      <c r="AK6835">
        <v>19.448802706332501</v>
      </c>
      <c r="AL6835">
        <v>90.765873742140997</v>
      </c>
      <c r="AM6835">
        <v>87.620556321377705</v>
      </c>
      <c r="AN6835">
        <v>0.99999997045209199</v>
      </c>
    </row>
    <row r="6836" spans="1:40" x14ac:dyDescent="0.25">
      <c r="A6836" t="str">
        <f>"20190312155009059"</f>
        <v>20190312155009059</v>
      </c>
      <c r="B6836" t="str">
        <f>"1552377009052928"</f>
        <v>1552377009052928</v>
      </c>
      <c r="C6836" t="s">
        <v>40</v>
      </c>
      <c r="D6836">
        <v>4.7190629999999896</v>
      </c>
      <c r="E6836">
        <v>0.4337358</v>
      </c>
      <c r="F6836" t="s">
        <v>65</v>
      </c>
      <c r="G6836">
        <v>-199.5753</v>
      </c>
      <c r="H6836" s="1">
        <v>-8.0183349999999999E-6</v>
      </c>
      <c r="I6836">
        <v>-58.177320000000002</v>
      </c>
      <c r="J6836">
        <v>-218.83240000000001</v>
      </c>
      <c r="K6836">
        <v>1.110716</v>
      </c>
      <c r="L6836">
        <v>-61.303440000000002</v>
      </c>
      <c r="M6836">
        <v>0.99956739999999999</v>
      </c>
      <c r="N6836">
        <v>0</v>
      </c>
      <c r="O6836">
        <v>2.576647E-2</v>
      </c>
      <c r="P6836">
        <v>0.99951670000000004</v>
      </c>
      <c r="Q6836">
        <v>-2.722157E-2</v>
      </c>
      <c r="R6836">
        <v>-1.502269E-2</v>
      </c>
      <c r="S6836">
        <v>3.0047299999999999</v>
      </c>
      <c r="T6836">
        <v>-0.17199300000000001</v>
      </c>
      <c r="U6836">
        <v>0.48477170000000003</v>
      </c>
      <c r="V6836">
        <v>4.0801539999999997E-2</v>
      </c>
      <c r="W6836">
        <v>-1.2960609999999999E-2</v>
      </c>
      <c r="X6836">
        <v>0.99908319999999995</v>
      </c>
      <c r="Y6836">
        <v>-0.1336117</v>
      </c>
      <c r="Z6836">
        <v>2.332892E-3</v>
      </c>
      <c r="AA6836">
        <v>0.991031</v>
      </c>
      <c r="AB6836">
        <v>29</v>
      </c>
      <c r="AC6836">
        <v>19.257100000000001</v>
      </c>
      <c r="AD6836">
        <v>-1.110724018335</v>
      </c>
      <c r="AE6836">
        <v>3.1261199999999998</v>
      </c>
      <c r="AF6836">
        <v>-2.6203508686451098</v>
      </c>
      <c r="AG6836">
        <v>-1.110724018335</v>
      </c>
      <c r="AH6836">
        <v>19.268804257521001</v>
      </c>
      <c r="AI6836">
        <v>93.269063568083496</v>
      </c>
      <c r="AJ6836">
        <v>97.744107638428801</v>
      </c>
      <c r="AK6836">
        <v>19.4778531680053</v>
      </c>
      <c r="AL6836">
        <v>90.742609050251801</v>
      </c>
      <c r="AM6836">
        <v>87.661398285255999</v>
      </c>
      <c r="AN6836">
        <v>0.99999999180009103</v>
      </c>
    </row>
    <row r="6837" spans="1:40" x14ac:dyDescent="0.25">
      <c r="A6837" t="str">
        <f>"20190312155009071"</f>
        <v>20190312155009071</v>
      </c>
      <c r="B6837" t="str">
        <f>"1552377009062688"</f>
        <v>1552377009062688</v>
      </c>
      <c r="C6837" t="s">
        <v>40</v>
      </c>
      <c r="D6837">
        <v>4.7208540000000001</v>
      </c>
      <c r="E6837">
        <v>0.43383670000000002</v>
      </c>
      <c r="F6837" t="s">
        <v>65</v>
      </c>
      <c r="G6837">
        <v>-199.3167</v>
      </c>
      <c r="H6837" s="1">
        <v>-8.0027090000000001E-6</v>
      </c>
      <c r="I6837">
        <v>-58.138950000000001</v>
      </c>
      <c r="J6837">
        <v>-218.68969999999999</v>
      </c>
      <c r="K6837">
        <v>1.110798</v>
      </c>
      <c r="L6837">
        <v>-61.299100000000003</v>
      </c>
      <c r="M6837">
        <v>0.99954960000000004</v>
      </c>
      <c r="N6837">
        <v>0</v>
      </c>
      <c r="O6837">
        <v>2.643974E-2</v>
      </c>
      <c r="P6837">
        <v>0.99953590000000003</v>
      </c>
      <c r="Q6837">
        <v>-2.7118219999999998E-2</v>
      </c>
      <c r="R6837">
        <v>-1.388432E-2</v>
      </c>
      <c r="S6837">
        <v>3.0041350000000002</v>
      </c>
      <c r="T6837">
        <v>-0.17097809999999999</v>
      </c>
      <c r="U6837">
        <v>0.48712159999999899</v>
      </c>
      <c r="V6837">
        <v>4.033904E-2</v>
      </c>
      <c r="W6837">
        <v>-1.284948E-2</v>
      </c>
      <c r="X6837">
        <v>0.99910339999999997</v>
      </c>
      <c r="Y6837">
        <v>-0.1337333</v>
      </c>
      <c r="Z6837">
        <v>2.2848999999999999E-3</v>
      </c>
      <c r="AA6837">
        <v>0.99101470000000003</v>
      </c>
      <c r="AB6837">
        <v>29</v>
      </c>
      <c r="AC6837">
        <v>19.372999999999902</v>
      </c>
      <c r="AD6837">
        <v>-1.1108060027090001</v>
      </c>
      <c r="AE6837">
        <v>3.1601499999999998</v>
      </c>
      <c r="AF6837">
        <v>-2.6383272885409301</v>
      </c>
      <c r="AG6837">
        <v>-1.1108060027090001</v>
      </c>
      <c r="AH6837">
        <v>19.3877004841546</v>
      </c>
      <c r="AI6837">
        <v>93.249257847557303</v>
      </c>
      <c r="AJ6837">
        <v>97.7493531153373</v>
      </c>
      <c r="AK6837">
        <v>19.5978976148056</v>
      </c>
      <c r="AL6837">
        <v>90.736241251885403</v>
      </c>
      <c r="AM6837">
        <v>87.687924931043398</v>
      </c>
      <c r="AN6837">
        <v>0.99999997558797504</v>
      </c>
    </row>
    <row r="6838" spans="1:40" x14ac:dyDescent="0.25">
      <c r="A6838" t="str">
        <f>"20190312155009082"</f>
        <v>20190312155009082</v>
      </c>
      <c r="B6838" t="str">
        <f>"1552377009072449"</f>
        <v>1552377009072449</v>
      </c>
      <c r="C6838" t="s">
        <v>40</v>
      </c>
      <c r="D6838">
        <v>4.7000229999999998</v>
      </c>
      <c r="E6838">
        <v>0.4340292</v>
      </c>
      <c r="F6838" t="s">
        <v>65</v>
      </c>
      <c r="G6838">
        <v>-199.16239999999999</v>
      </c>
      <c r="H6838" s="1">
        <v>-7.9936719999999995E-6</v>
      </c>
      <c r="I6838">
        <v>-58.115259999999999</v>
      </c>
      <c r="J6838">
        <v>-218.53579999999999</v>
      </c>
      <c r="K6838">
        <v>1.1108849999999999</v>
      </c>
      <c r="L6838">
        <v>-61.294310000000003</v>
      </c>
      <c r="M6838">
        <v>0.99952890000000005</v>
      </c>
      <c r="N6838">
        <v>0</v>
      </c>
      <c r="O6838">
        <v>2.7216959999999998E-2</v>
      </c>
      <c r="P6838">
        <v>0.99956460000000003</v>
      </c>
      <c r="Q6838">
        <v>-2.6831130000000002E-2</v>
      </c>
      <c r="R6838">
        <v>-1.227611E-2</v>
      </c>
      <c r="S6838">
        <v>3.003555</v>
      </c>
      <c r="T6838">
        <v>-0.17085610000000001</v>
      </c>
      <c r="U6838">
        <v>0.48971559999999997</v>
      </c>
      <c r="V6838">
        <v>3.9511009999999999E-2</v>
      </c>
      <c r="W6838">
        <v>-1.255447E-2</v>
      </c>
      <c r="X6838">
        <v>0.99914029999999998</v>
      </c>
      <c r="Y6838">
        <v>-0.13382810000000001</v>
      </c>
      <c r="Z6838">
        <v>2.2423999999999999E-3</v>
      </c>
      <c r="AA6838">
        <v>0.99100200000000005</v>
      </c>
      <c r="AB6838">
        <v>29</v>
      </c>
      <c r="AC6838">
        <v>19.3734</v>
      </c>
      <c r="AD6838">
        <v>-1.110892993672</v>
      </c>
      <c r="AE6838">
        <v>3.1790499999999899</v>
      </c>
      <c r="AF6838">
        <v>-2.6420745965643699</v>
      </c>
      <c r="AG6838">
        <v>-1.110892993672</v>
      </c>
      <c r="AH6838">
        <v>19.390669540739101</v>
      </c>
      <c r="AI6838">
        <v>93.248940540942996</v>
      </c>
      <c r="AJ6838">
        <v>97.759052016561995</v>
      </c>
      <c r="AK6838">
        <v>19.601344511419299</v>
      </c>
      <c r="AL6838">
        <v>90.719337015704795</v>
      </c>
      <c r="AM6838">
        <v>87.735417972086196</v>
      </c>
      <c r="AN6838">
        <v>1.0000000368561399</v>
      </c>
    </row>
    <row r="6839" spans="1:40" x14ac:dyDescent="0.25">
      <c r="A6839" t="str">
        <f>"20190312155009092"</f>
        <v>20190312155009092</v>
      </c>
      <c r="B6839" t="str">
        <f>"1552377009082209"</f>
        <v>1552377009082209</v>
      </c>
      <c r="C6839" t="s">
        <v>40</v>
      </c>
      <c r="D6839">
        <v>4.7305679999999999</v>
      </c>
      <c r="E6839">
        <v>0.43404920000000002</v>
      </c>
      <c r="F6839" t="s">
        <v>65</v>
      </c>
      <c r="G6839">
        <v>-198.8997</v>
      </c>
      <c r="H6839" s="1">
        <v>-7.9798880000000001E-6</v>
      </c>
      <c r="I6839">
        <v>-58.070360000000001</v>
      </c>
      <c r="J6839">
        <v>-218.40610000000001</v>
      </c>
      <c r="K6839">
        <v>1.110967</v>
      </c>
      <c r="L6839">
        <v>-61.290039999999998</v>
      </c>
      <c r="M6839">
        <v>0.99950859999999997</v>
      </c>
      <c r="N6839">
        <v>0</v>
      </c>
      <c r="O6839">
        <v>2.7952870000000001E-2</v>
      </c>
      <c r="P6839">
        <v>0.9995946</v>
      </c>
      <c r="Q6839">
        <v>-2.6364140000000001E-2</v>
      </c>
      <c r="R6839">
        <v>-1.07771E-2</v>
      </c>
      <c r="S6839">
        <v>3.002777</v>
      </c>
      <c r="T6839">
        <v>-0.16987940000000001</v>
      </c>
      <c r="U6839">
        <v>0.49301149999999999</v>
      </c>
      <c r="V6839">
        <v>3.874996E-2</v>
      </c>
      <c r="W6839">
        <v>-1.2080280000000001E-2</v>
      </c>
      <c r="X6839">
        <v>0.99917590000000001</v>
      </c>
      <c r="Y6839">
        <v>-0.13420109999999999</v>
      </c>
      <c r="Z6839">
        <v>2.199182E-3</v>
      </c>
      <c r="AA6839">
        <v>0.99095169999999999</v>
      </c>
      <c r="AB6839">
        <v>29</v>
      </c>
      <c r="AC6839">
        <v>19.506399999999999</v>
      </c>
      <c r="AD6839">
        <v>-1.110974979888</v>
      </c>
      <c r="AE6839">
        <v>3.2196799999999999</v>
      </c>
      <c r="AF6839">
        <v>-2.6646924186046701</v>
      </c>
      <c r="AG6839">
        <v>-1.110974979888</v>
      </c>
      <c r="AH6839">
        <v>19.527122351034102</v>
      </c>
      <c r="AI6839">
        <v>93.226434277034102</v>
      </c>
      <c r="AJ6839">
        <v>97.770647747514303</v>
      </c>
      <c r="AK6839">
        <v>19.739385968260599</v>
      </c>
      <c r="AL6839">
        <v>90.692165904818296</v>
      </c>
      <c r="AM6839">
        <v>87.779072658565397</v>
      </c>
      <c r="AN6839">
        <v>0.999999985852845</v>
      </c>
    </row>
    <row r="6840" spans="1:40" x14ac:dyDescent="0.25">
      <c r="A6840" t="str">
        <f>"20190312155009103"</f>
        <v>20190312155009103</v>
      </c>
      <c r="B6840" t="str">
        <f>"1552377009092945"</f>
        <v>1552377009092945</v>
      </c>
      <c r="C6840" t="s">
        <v>40</v>
      </c>
      <c r="D6840">
        <v>4.7048079999999999</v>
      </c>
      <c r="E6840">
        <v>0.43406650000000002</v>
      </c>
      <c r="F6840" t="s">
        <v>65</v>
      </c>
      <c r="G6840">
        <v>-198.58789999999999</v>
      </c>
      <c r="H6840" s="1">
        <v>-7.9671539999999997E-6</v>
      </c>
      <c r="I6840">
        <v>-58.006709999999998</v>
      </c>
      <c r="J6840">
        <v>-218.2621</v>
      </c>
      <c r="K6840">
        <v>1.1110599999999999</v>
      </c>
      <c r="L6840">
        <v>-61.285220000000002</v>
      </c>
      <c r="M6840">
        <v>0.9994845</v>
      </c>
      <c r="N6840">
        <v>0</v>
      </c>
      <c r="O6840">
        <v>2.8798089999999998E-2</v>
      </c>
      <c r="P6840">
        <v>0.99961719999999998</v>
      </c>
      <c r="Q6840">
        <v>-2.6051830000000002E-2</v>
      </c>
      <c r="R6840">
        <v>-9.3230410000000007E-3</v>
      </c>
      <c r="S6840">
        <v>3.002167</v>
      </c>
      <c r="T6840">
        <v>-0.1682961</v>
      </c>
      <c r="U6840">
        <v>0.49737550000000003</v>
      </c>
      <c r="V6840">
        <v>3.8143549999999998E-2</v>
      </c>
      <c r="W6840">
        <v>-1.175965E-2</v>
      </c>
      <c r="X6840">
        <v>0.99920310000000001</v>
      </c>
      <c r="Y6840">
        <v>-0.134801</v>
      </c>
      <c r="Z6840">
        <v>2.1486349999999999E-3</v>
      </c>
      <c r="AA6840">
        <v>0.99087040000000004</v>
      </c>
      <c r="AB6840">
        <v>29</v>
      </c>
      <c r="AC6840">
        <v>19.674199999999999</v>
      </c>
      <c r="AD6840">
        <v>-1.111067967154</v>
      </c>
      <c r="AE6840">
        <v>3.27850999999999</v>
      </c>
      <c r="AF6840">
        <v>-2.7021286190344398</v>
      </c>
      <c r="AG6840">
        <v>-1.111067967154</v>
      </c>
      <c r="AH6840">
        <v>19.6993343777911</v>
      </c>
      <c r="AI6840">
        <v>93.198251418908995</v>
      </c>
      <c r="AJ6840">
        <v>97.810435905326798</v>
      </c>
      <c r="AK6840">
        <v>19.914812226819102</v>
      </c>
      <c r="AL6840">
        <v>90.673793825442701</v>
      </c>
      <c r="AM6840">
        <v>87.8138540932827</v>
      </c>
      <c r="AN6840">
        <v>1.0000000274121601</v>
      </c>
    </row>
    <row r="6841" spans="1:40" x14ac:dyDescent="0.25">
      <c r="A6841" t="str">
        <f>"20190312155009115"</f>
        <v>20190312155009115</v>
      </c>
      <c r="B6841" t="str">
        <f>"1552377009112464"</f>
        <v>1552377009112464</v>
      </c>
      <c r="C6841" t="s">
        <v>40</v>
      </c>
      <c r="D6841">
        <v>4.8472569999999999</v>
      </c>
      <c r="E6841">
        <v>0.4104331</v>
      </c>
      <c r="F6841" t="s">
        <v>65</v>
      </c>
      <c r="G6841">
        <v>-198.27070000000001</v>
      </c>
      <c r="H6841" s="1">
        <v>-7.9533539999999999E-6</v>
      </c>
      <c r="I6841">
        <v>-57.944400000000002</v>
      </c>
      <c r="J6841">
        <v>-218.1123</v>
      </c>
      <c r="K6841">
        <v>1.111167</v>
      </c>
      <c r="L6841">
        <v>-61.279910000000001</v>
      </c>
      <c r="M6841">
        <v>0.99945519999999999</v>
      </c>
      <c r="N6841">
        <v>0</v>
      </c>
      <c r="O6841">
        <v>2.979915E-2</v>
      </c>
      <c r="P6841">
        <v>0.99963429999999998</v>
      </c>
      <c r="Q6841">
        <v>-2.5928980000000001E-2</v>
      </c>
      <c r="R6841">
        <v>-7.6924119999999896E-3</v>
      </c>
      <c r="S6841">
        <v>3.0014799999999999</v>
      </c>
      <c r="T6841">
        <v>-0.1668144</v>
      </c>
      <c r="U6841">
        <v>0.50158689999999995</v>
      </c>
      <c r="V6841">
        <v>3.7517500000000002E-2</v>
      </c>
      <c r="W6841">
        <v>-1.1626890000000001E-2</v>
      </c>
      <c r="X6841">
        <v>0.99922840000000002</v>
      </c>
      <c r="Y6841">
        <v>-0.13520170000000001</v>
      </c>
      <c r="Z6841">
        <v>2.085908E-3</v>
      </c>
      <c r="AA6841">
        <v>0.99081589999999997</v>
      </c>
      <c r="AB6841">
        <v>29</v>
      </c>
      <c r="AC6841">
        <v>19.8416</v>
      </c>
      <c r="AD6841">
        <v>-1.1111749533540001</v>
      </c>
      <c r="AE6841">
        <v>3.33550999999999</v>
      </c>
      <c r="AF6841">
        <v>-2.7343661010510099</v>
      </c>
      <c r="AG6841">
        <v>-1.1111749533540001</v>
      </c>
      <c r="AH6841">
        <v>19.871582524875102</v>
      </c>
      <c r="AI6841">
        <v>93.170705372958693</v>
      </c>
      <c r="AJ6841">
        <v>97.834802545396101</v>
      </c>
      <c r="AK6841">
        <v>20.089580876525499</v>
      </c>
      <c r="AL6841">
        <v>90.666186688583295</v>
      </c>
      <c r="AM6841">
        <v>87.849755731359593</v>
      </c>
      <c r="AN6841">
        <v>1.0000000713719299</v>
      </c>
    </row>
    <row r="6842" spans="1:40" x14ac:dyDescent="0.25">
      <c r="A6842" t="str">
        <f>"20190312155009126"</f>
        <v>20190312155009126</v>
      </c>
      <c r="B6842" t="str">
        <f>"1552377009122224"</f>
        <v>1552377009122224</v>
      </c>
      <c r="C6842" t="s">
        <v>40</v>
      </c>
      <c r="D6842">
        <v>4.788138</v>
      </c>
      <c r="E6842">
        <v>0.39885320000000002</v>
      </c>
      <c r="F6842" t="s">
        <v>65</v>
      </c>
      <c r="G6842">
        <v>-202.89760000000001</v>
      </c>
      <c r="H6842" s="1">
        <v>-4.8112959999999999E-6</v>
      </c>
      <c r="I6842">
        <v>-57.745370000000001</v>
      </c>
      <c r="J6842">
        <v>-217.9759</v>
      </c>
      <c r="K6842">
        <v>1.111272</v>
      </c>
      <c r="L6842">
        <v>-61.27496</v>
      </c>
      <c r="M6842">
        <v>0.99942679999999995</v>
      </c>
      <c r="N6842">
        <v>0</v>
      </c>
      <c r="O6842">
        <v>3.0735410000000001E-2</v>
      </c>
      <c r="P6842">
        <v>0.99965440000000005</v>
      </c>
      <c r="Q6842">
        <v>-2.5525229999999999E-2</v>
      </c>
      <c r="R6842">
        <v>-6.2901650000000003E-3</v>
      </c>
      <c r="S6842">
        <v>3.0007779999999999</v>
      </c>
      <c r="T6842">
        <v>-0.21915480000000001</v>
      </c>
      <c r="U6842">
        <v>0.69711299999999998</v>
      </c>
      <c r="V6842">
        <v>3.7053660000000002E-2</v>
      </c>
      <c r="W6842">
        <v>-1.1213870000000001E-2</v>
      </c>
      <c r="X6842">
        <v>0.99925039999999998</v>
      </c>
      <c r="Y6842">
        <v>-0.1958203</v>
      </c>
      <c r="Z6842">
        <v>4.8372789999999999E-3</v>
      </c>
      <c r="AA6842">
        <v>0.98062780000000005</v>
      </c>
      <c r="AB6842">
        <v>29</v>
      </c>
      <c r="AC6842">
        <v>15.078299999999899</v>
      </c>
      <c r="AD6842">
        <v>-1.1112768112960001</v>
      </c>
      <c r="AE6842">
        <v>3.5295899999999998</v>
      </c>
      <c r="AF6842">
        <v>-3.0487380096771499</v>
      </c>
      <c r="AG6842">
        <v>-1.1112768112960001</v>
      </c>
      <c r="AH6842">
        <v>15.101900832161601</v>
      </c>
      <c r="AI6842">
        <v>94.125604685217397</v>
      </c>
      <c r="AJ6842">
        <v>101.413345109334</v>
      </c>
      <c r="AK6842">
        <v>15.4465901851321</v>
      </c>
      <c r="AL6842">
        <v>90.642520861959198</v>
      </c>
      <c r="AM6842">
        <v>87.876362059880805</v>
      </c>
      <c r="AN6842">
        <v>1.0000000432499601</v>
      </c>
    </row>
    <row r="6843" spans="1:40" x14ac:dyDescent="0.25">
      <c r="A6843" t="str">
        <f>"20190312155009137"</f>
        <v>20190312155009137</v>
      </c>
      <c r="B6843" t="str">
        <f>"1552377009132960"</f>
        <v>1552377009132960</v>
      </c>
      <c r="C6843" t="s">
        <v>40</v>
      </c>
      <c r="D6843">
        <v>4.7816510000000001</v>
      </c>
      <c r="E6843">
        <v>0.38839859999999998</v>
      </c>
      <c r="F6843" t="s">
        <v>65</v>
      </c>
      <c r="G6843">
        <v>-202.8536</v>
      </c>
      <c r="H6843" s="1">
        <v>-4.9383109999999999E-6</v>
      </c>
      <c r="I6843">
        <v>-57.273539999999997</v>
      </c>
      <c r="J6843">
        <v>-217.8244</v>
      </c>
      <c r="K6843">
        <v>1.111391</v>
      </c>
      <c r="L6843">
        <v>-61.269170000000003</v>
      </c>
      <c r="M6843">
        <v>0.99939009999999995</v>
      </c>
      <c r="N6843">
        <v>0</v>
      </c>
      <c r="O6843">
        <v>3.1906789999999997E-2</v>
      </c>
      <c r="P6843">
        <v>0.99967070000000002</v>
      </c>
      <c r="Q6843">
        <v>-2.533506E-2</v>
      </c>
      <c r="R6843">
        <v>-4.1028719999999996E-3</v>
      </c>
      <c r="S6843">
        <v>3.000381</v>
      </c>
      <c r="T6843">
        <v>-0.2204866</v>
      </c>
      <c r="U6843">
        <v>0.79391480000000003</v>
      </c>
      <c r="V6843">
        <v>3.6041129999999998E-2</v>
      </c>
      <c r="W6843">
        <v>-1.101369E-2</v>
      </c>
      <c r="X6843">
        <v>0.9992896</v>
      </c>
      <c r="Y6843">
        <v>-0.2243385</v>
      </c>
      <c r="Z6843">
        <v>5.793426E-3</v>
      </c>
      <c r="AA6843">
        <v>0.97449399999999997</v>
      </c>
      <c r="AB6843">
        <v>29</v>
      </c>
      <c r="AC6843">
        <v>14.970799999999899</v>
      </c>
      <c r="AD6843">
        <v>-1.1113959383109999</v>
      </c>
      <c r="AE6843">
        <v>3.99562999999999</v>
      </c>
      <c r="AF6843">
        <v>-3.4978812328426101</v>
      </c>
      <c r="AG6843">
        <v>-1.1113959383109999</v>
      </c>
      <c r="AH6843">
        <v>15.013436355140101</v>
      </c>
      <c r="AI6843">
        <v>94.123654927987801</v>
      </c>
      <c r="AJ6843">
        <v>103.115005586021</v>
      </c>
      <c r="AK6843">
        <v>15.455537688498801</v>
      </c>
      <c r="AL6843">
        <v>90.631050721943794</v>
      </c>
      <c r="AM6843">
        <v>87.934422671087901</v>
      </c>
      <c r="AN6843">
        <v>0.99999998454362604</v>
      </c>
    </row>
    <row r="6844" spans="1:40" x14ac:dyDescent="0.25">
      <c r="A6844" t="str">
        <f>"20190312155009148"</f>
        <v>20190312155009148</v>
      </c>
      <c r="B6844" t="str">
        <f>"1552377009142720"</f>
        <v>1552377009142720</v>
      </c>
      <c r="C6844" t="s">
        <v>40</v>
      </c>
      <c r="D6844">
        <v>4.7107749999999999</v>
      </c>
      <c r="E6844">
        <v>0.38839859999999998</v>
      </c>
      <c r="F6844" t="s">
        <v>65</v>
      </c>
      <c r="G6844">
        <v>-203.0701</v>
      </c>
      <c r="H6844" s="1">
        <v>-4.9065039999999996E-6</v>
      </c>
      <c r="I6844">
        <v>-56.919379999999997</v>
      </c>
      <c r="J6844">
        <v>-217.68109999999999</v>
      </c>
      <c r="K6844">
        <v>1.111505</v>
      </c>
      <c r="L6844">
        <v>-61.2635199999999</v>
      </c>
      <c r="M6844">
        <v>0.99935260000000004</v>
      </c>
      <c r="N6844">
        <v>0</v>
      </c>
      <c r="O6844">
        <v>3.3058440000000001E-2</v>
      </c>
      <c r="P6844">
        <v>0.99968210000000002</v>
      </c>
      <c r="Q6844">
        <v>-2.511263E-2</v>
      </c>
      <c r="R6844">
        <v>-2.2915969999999998E-3</v>
      </c>
      <c r="S6844">
        <v>2.998901</v>
      </c>
      <c r="T6844">
        <v>-0.22589919999999999</v>
      </c>
      <c r="U6844">
        <v>0.88412479999999904</v>
      </c>
      <c r="V6844">
        <v>3.5384649999999997E-2</v>
      </c>
      <c r="W6844">
        <v>-1.078118E-2</v>
      </c>
      <c r="X6844">
        <v>0.99931559999999997</v>
      </c>
      <c r="Y6844">
        <v>-0.25035099999999999</v>
      </c>
      <c r="Z6844">
        <v>6.7883249999999996E-3</v>
      </c>
      <c r="AA6844">
        <v>0.96813139999999998</v>
      </c>
      <c r="AB6844">
        <v>29</v>
      </c>
      <c r="AC6844">
        <v>14.610999999999899</v>
      </c>
      <c r="AD6844">
        <v>-1.1115099065039999</v>
      </c>
      <c r="AE6844">
        <v>4.3441399999999799</v>
      </c>
      <c r="AF6844">
        <v>-3.8382908052839202</v>
      </c>
      <c r="AG6844">
        <v>-1.1115099065039999</v>
      </c>
      <c r="AH6844">
        <v>14.668641960684401</v>
      </c>
      <c r="AI6844">
        <v>94.192652795082594</v>
      </c>
      <c r="AJ6844">
        <v>104.663612182368</v>
      </c>
      <c r="AK6844">
        <v>15.203190045149601</v>
      </c>
      <c r="AL6844">
        <v>90.617728086888306</v>
      </c>
      <c r="AM6844">
        <v>87.972067648640504</v>
      </c>
      <c r="AN6844">
        <v>0.99999998785058697</v>
      </c>
    </row>
    <row r="6845" spans="1:40" x14ac:dyDescent="0.25">
      <c r="A6845" t="str">
        <f>"20190312155009158"</f>
        <v>20190312155009158</v>
      </c>
      <c r="B6845" t="str">
        <f>"1552377009152480"</f>
        <v>1552377009152480</v>
      </c>
      <c r="C6845" t="s">
        <v>40</v>
      </c>
      <c r="D6845">
        <v>4.8288909999999996</v>
      </c>
      <c r="E6845">
        <v>0.33954849999999998</v>
      </c>
      <c r="F6845" t="s">
        <v>65</v>
      </c>
      <c r="G6845">
        <v>-202.88300000000001</v>
      </c>
      <c r="H6845" s="1">
        <v>-5.0125150000000001E-6</v>
      </c>
      <c r="I6845">
        <v>-56.871259999999999</v>
      </c>
      <c r="J6845">
        <v>-217.54740000000001</v>
      </c>
      <c r="K6845">
        <v>1.111615</v>
      </c>
      <c r="L6845">
        <v>-61.257969999999901</v>
      </c>
      <c r="M6845">
        <v>0.99931389999999998</v>
      </c>
      <c r="N6845">
        <v>0</v>
      </c>
      <c r="O6845">
        <v>3.4209660000000003E-2</v>
      </c>
      <c r="P6845">
        <v>0.99969459999999999</v>
      </c>
      <c r="Q6845">
        <v>-2.471404E-2</v>
      </c>
      <c r="R6845">
        <v>-2.2539169999999999E-4</v>
      </c>
      <c r="S6845">
        <v>2.9973299999999998</v>
      </c>
      <c r="T6845">
        <v>-0.22513540000000001</v>
      </c>
      <c r="U6845">
        <v>0.88964840000000001</v>
      </c>
      <c r="V6845">
        <v>3.4471969999999998E-2</v>
      </c>
      <c r="W6845">
        <v>-1.0374120000000001E-2</v>
      </c>
      <c r="X6845">
        <v>0.99935180000000001</v>
      </c>
      <c r="Y6845">
        <v>-0.25101889999999999</v>
      </c>
      <c r="Z6845">
        <v>6.7073439999999996E-3</v>
      </c>
      <c r="AA6845">
        <v>0.96795889999999996</v>
      </c>
      <c r="AB6845">
        <v>29</v>
      </c>
      <c r="AC6845">
        <v>14.664400000000001</v>
      </c>
      <c r="AD6845">
        <v>-1.111620012515</v>
      </c>
      <c r="AE6845">
        <v>4.3867099999999901</v>
      </c>
      <c r="AF6845">
        <v>-3.8620576134372202</v>
      </c>
      <c r="AG6845">
        <v>-1.111620012515</v>
      </c>
      <c r="AH6845">
        <v>14.7282171538135</v>
      </c>
      <c r="AI6845">
        <v>94.175599578199893</v>
      </c>
      <c r="AJ6845">
        <v>104.693383457582</v>
      </c>
      <c r="AK6845">
        <v>15.2666816496453</v>
      </c>
      <c r="AL6845">
        <v>90.594403966460305</v>
      </c>
      <c r="AM6845">
        <v>88.024403829981793</v>
      </c>
      <c r="AN6845">
        <v>0.99999997962234699</v>
      </c>
    </row>
    <row r="6846" spans="1:40" x14ac:dyDescent="0.25">
      <c r="A6846" t="str">
        <f>"20190312155009170"</f>
        <v>20190312155009170</v>
      </c>
      <c r="B6846" t="str">
        <f>"1552377009162240"</f>
        <v>1552377009162240</v>
      </c>
      <c r="C6846" t="s">
        <v>40</v>
      </c>
      <c r="D6846">
        <v>4.7550949999999998</v>
      </c>
      <c r="E6846">
        <v>0.33828229999999998</v>
      </c>
      <c r="F6846" t="s">
        <v>65</v>
      </c>
      <c r="G6846">
        <v>-199.87989999999999</v>
      </c>
      <c r="H6846" s="1">
        <v>-9.6290239999999994E-6</v>
      </c>
      <c r="I6846">
        <v>-53.686149999999998</v>
      </c>
      <c r="J6846">
        <v>-217.4049</v>
      </c>
      <c r="K6846">
        <v>1.1117269999999999</v>
      </c>
      <c r="L6846">
        <v>-61.251800000000003</v>
      </c>
      <c r="M6846">
        <v>0.99926870000000001</v>
      </c>
      <c r="N6846">
        <v>0</v>
      </c>
      <c r="O6846">
        <v>3.5497960000000002E-2</v>
      </c>
      <c r="P6846">
        <v>0.99971220000000005</v>
      </c>
      <c r="Q6846">
        <v>-2.3901639999999998E-2</v>
      </c>
      <c r="R6846">
        <v>2.1010360000000001E-3</v>
      </c>
      <c r="S6846">
        <v>2.9965519999999999</v>
      </c>
      <c r="T6846">
        <v>-0.18854070000000001</v>
      </c>
      <c r="U6846">
        <v>1.284241</v>
      </c>
      <c r="V6846">
        <v>3.343463E-2</v>
      </c>
      <c r="W6846">
        <v>-9.5534049999999992E-3</v>
      </c>
      <c r="X6846">
        <v>0.99939529999999999</v>
      </c>
      <c r="Y6846">
        <v>-0.36050009999999999</v>
      </c>
      <c r="Z6846">
        <v>8.720383E-3</v>
      </c>
      <c r="AA6846">
        <v>0.93271839999999995</v>
      </c>
      <c r="AB6846">
        <v>29</v>
      </c>
      <c r="AC6846">
        <v>17.524999999999999</v>
      </c>
      <c r="AD6846">
        <v>-1.1117366290240001</v>
      </c>
      <c r="AE6846">
        <v>7.5656499999999998</v>
      </c>
      <c r="AF6846">
        <v>-6.9152590072712803</v>
      </c>
      <c r="AG6846">
        <v>-1.1117366290240001</v>
      </c>
      <c r="AH6846">
        <v>17.7224287818111</v>
      </c>
      <c r="AI6846">
        <v>93.344517091780602</v>
      </c>
      <c r="AJ6846">
        <v>111.31563750703199</v>
      </c>
      <c r="AK6846">
        <v>19.0562653055715</v>
      </c>
      <c r="AL6846">
        <v>90.547378083528898</v>
      </c>
      <c r="AM6846">
        <v>88.083892349314198</v>
      </c>
      <c r="AN6846">
        <v>1.0000000538461999</v>
      </c>
    </row>
    <row r="6847" spans="1:40" x14ac:dyDescent="0.25">
      <c r="A6847" t="str">
        <f>"20190312155009181"</f>
        <v>20190312155009181</v>
      </c>
      <c r="B6847" t="str">
        <f>"1552377009172976"</f>
        <v>1552377009172976</v>
      </c>
      <c r="C6847" t="s">
        <v>40</v>
      </c>
      <c r="D6847">
        <v>4.7212899999999998</v>
      </c>
      <c r="E6847">
        <v>0.338256099999999</v>
      </c>
      <c r="F6847" t="s">
        <v>65</v>
      </c>
      <c r="G6847">
        <v>-199.01230000000001</v>
      </c>
      <c r="H6847" s="1">
        <v>-9.6814989999999993E-6</v>
      </c>
      <c r="I6847">
        <v>-53.258619999999901</v>
      </c>
      <c r="J6847">
        <v>-217.25749999999999</v>
      </c>
      <c r="K6847">
        <v>1.1118410000000001</v>
      </c>
      <c r="L6847">
        <v>-61.245240000000003</v>
      </c>
      <c r="M6847">
        <v>0.99921800000000005</v>
      </c>
      <c r="N6847">
        <v>0</v>
      </c>
      <c r="O6847">
        <v>3.6900160000000001E-2</v>
      </c>
      <c r="P6847">
        <v>0.99971719999999997</v>
      </c>
      <c r="Q6847">
        <v>-2.338556E-2</v>
      </c>
      <c r="R6847">
        <v>4.3331070000000001E-3</v>
      </c>
      <c r="S6847">
        <v>2.9937900000000002</v>
      </c>
      <c r="T6847">
        <v>-0.18095820000000001</v>
      </c>
      <c r="U6847">
        <v>1.301056</v>
      </c>
      <c r="V6847">
        <v>3.2606620000000003E-2</v>
      </c>
      <c r="W6847">
        <v>-9.0284010000000001E-3</v>
      </c>
      <c r="X6847">
        <v>0.99942750000000002</v>
      </c>
      <c r="Y6847">
        <v>-0.3639561</v>
      </c>
      <c r="Z6847">
        <v>8.3876439999999997E-3</v>
      </c>
      <c r="AA6847">
        <v>0.93137829999999999</v>
      </c>
      <c r="AB6847">
        <v>29</v>
      </c>
      <c r="AC6847">
        <v>18.245199999999901</v>
      </c>
      <c r="AD6847">
        <v>-1.1118506814989999</v>
      </c>
      <c r="AE6847">
        <v>7.9866200000000003</v>
      </c>
      <c r="AF6847">
        <v>-7.2851571319667903</v>
      </c>
      <c r="AG6847">
        <v>-1.1118506814989999</v>
      </c>
      <c r="AH6847">
        <v>18.469948394109899</v>
      </c>
      <c r="AI6847">
        <v>93.205166141531393</v>
      </c>
      <c r="AJ6847">
        <v>111.525912335648</v>
      </c>
      <c r="AK6847">
        <v>19.8858924883063</v>
      </c>
      <c r="AL6847">
        <v>90.517296292724396</v>
      </c>
      <c r="AM6847">
        <v>88.1313709279964</v>
      </c>
      <c r="AN6847">
        <v>1.0000000157243401</v>
      </c>
    </row>
    <row r="6848" spans="1:40" x14ac:dyDescent="0.25">
      <c r="A6848" t="str">
        <f>"20190312155009193"</f>
        <v>20190312155009193</v>
      </c>
      <c r="B6848" t="str">
        <f>"1552377009182736"</f>
        <v>1552377009182736</v>
      </c>
      <c r="C6848" t="s">
        <v>40</v>
      </c>
      <c r="D6848">
        <v>4.725867</v>
      </c>
      <c r="E6848">
        <v>0.33848899999999998</v>
      </c>
      <c r="F6848" t="s">
        <v>65</v>
      </c>
      <c r="G6848">
        <v>-198.0899</v>
      </c>
      <c r="H6848" s="1">
        <v>-9.7155739999999995E-6</v>
      </c>
      <c r="I6848">
        <v>-52.865989999999996</v>
      </c>
      <c r="J6848">
        <v>-217.1164</v>
      </c>
      <c r="K6848">
        <v>1.1119490000000001</v>
      </c>
      <c r="L6848">
        <v>-61.238590000000002</v>
      </c>
      <c r="M6848">
        <v>0.99916380000000005</v>
      </c>
      <c r="N6848">
        <v>0</v>
      </c>
      <c r="O6848">
        <v>3.8335389999999997E-2</v>
      </c>
      <c r="P6848">
        <v>0.99971909999999997</v>
      </c>
      <c r="Q6848">
        <v>-2.2741339999999999E-2</v>
      </c>
      <c r="R6848">
        <v>6.6966949999999999E-3</v>
      </c>
      <c r="S6848">
        <v>2.991104</v>
      </c>
      <c r="T6848">
        <v>-0.17350479999999999</v>
      </c>
      <c r="U6848">
        <v>1.3075870000000001</v>
      </c>
      <c r="V6848">
        <v>3.1679029999999997E-2</v>
      </c>
      <c r="W6848">
        <v>-8.3764779999999997E-3</v>
      </c>
      <c r="X6848">
        <v>0.99946299999999999</v>
      </c>
      <c r="Y6848">
        <v>-0.36467379999999999</v>
      </c>
      <c r="Z6848">
        <v>7.9866499999999997E-3</v>
      </c>
      <c r="AA6848">
        <v>0.93110110000000001</v>
      </c>
      <c r="AB6848">
        <v>29</v>
      </c>
      <c r="AC6848">
        <v>19.026499999999999</v>
      </c>
      <c r="AD6848">
        <v>-1.1119587155740001</v>
      </c>
      <c r="AE6848">
        <v>8.3725999999999896</v>
      </c>
      <c r="AF6848">
        <v>-7.61519185818449</v>
      </c>
      <c r="AG6848">
        <v>-1.1119587155740001</v>
      </c>
      <c r="AH6848">
        <v>19.278346800457602</v>
      </c>
      <c r="AI6848">
        <v>93.070717878447994</v>
      </c>
      <c r="AJ6848">
        <v>111.554649459809</v>
      </c>
      <c r="AK6848">
        <v>20.757703499684499</v>
      </c>
      <c r="AL6848">
        <v>90.479942445727104</v>
      </c>
      <c r="AM6848">
        <v>88.184557855372205</v>
      </c>
      <c r="AN6848">
        <v>1.00000000734721</v>
      </c>
    </row>
    <row r="6849" spans="1:40" x14ac:dyDescent="0.25">
      <c r="A6849" t="str">
        <f>"20190312155009204"</f>
        <v>20190312155009204</v>
      </c>
      <c r="B6849" t="str">
        <f>"1552377009192496"</f>
        <v>1552377009192496</v>
      </c>
      <c r="C6849" t="s">
        <v>40</v>
      </c>
      <c r="D6849">
        <v>4.7018610000000001</v>
      </c>
      <c r="E6849">
        <v>0.33864229999999901</v>
      </c>
      <c r="F6849" t="s">
        <v>65</v>
      </c>
      <c r="G6849">
        <v>-198.2809</v>
      </c>
      <c r="H6849" s="1">
        <v>-9.7028899999999992E-6</v>
      </c>
      <c r="I6849">
        <v>-52.96331</v>
      </c>
      <c r="J6849">
        <v>-216.96610000000001</v>
      </c>
      <c r="K6849">
        <v>1.112063</v>
      </c>
      <c r="L6849">
        <v>-61.231349999999999</v>
      </c>
      <c r="M6849">
        <v>0.9991023</v>
      </c>
      <c r="N6849">
        <v>0</v>
      </c>
      <c r="O6849">
        <v>3.9906150000000001E-2</v>
      </c>
      <c r="P6849">
        <v>0.99970479999999995</v>
      </c>
      <c r="Q6849">
        <v>-2.2518130000000001E-2</v>
      </c>
      <c r="R6849">
        <v>9.1321230000000007E-3</v>
      </c>
      <c r="S6849">
        <v>2.9880369999999998</v>
      </c>
      <c r="T6849">
        <v>-0.17639920000000001</v>
      </c>
      <c r="U6849">
        <v>1.312775</v>
      </c>
      <c r="V6849">
        <v>3.0817000000000001E-2</v>
      </c>
      <c r="W6849">
        <v>-8.1452639999999993E-3</v>
      </c>
      <c r="X6849">
        <v>0.99949189999999999</v>
      </c>
      <c r="Y6849">
        <v>-0.36490299999999998</v>
      </c>
      <c r="Z6849">
        <v>8.0429190000000008E-3</v>
      </c>
      <c r="AA6849">
        <v>0.93101080000000003</v>
      </c>
      <c r="AB6849">
        <v>29</v>
      </c>
      <c r="AC6849">
        <v>18.685199999999998</v>
      </c>
      <c r="AD6849">
        <v>-1.1120727028899999</v>
      </c>
      <c r="AE6849">
        <v>8.2680399999999992</v>
      </c>
      <c r="AF6849">
        <v>-7.4935256221175601</v>
      </c>
      <c r="AG6849">
        <v>-1.1120727028899999</v>
      </c>
      <c r="AH6849">
        <v>18.944175718736101</v>
      </c>
      <c r="AI6849">
        <v>93.124516261286004</v>
      </c>
      <c r="AJ6849">
        <v>111.581684687627</v>
      </c>
      <c r="AK6849">
        <v>20.402730837027601</v>
      </c>
      <c r="AL6849">
        <v>90.466694389585101</v>
      </c>
      <c r="AM6849">
        <v>88.233977845744903</v>
      </c>
      <c r="AN6849">
        <v>1.0000000454901099</v>
      </c>
    </row>
    <row r="6850" spans="1:40" x14ac:dyDescent="0.25">
      <c r="A6850" t="str">
        <f>"20190312155009215"</f>
        <v>20190312155009215</v>
      </c>
      <c r="B6850" t="str">
        <f>"1552377009212992"</f>
        <v>1552377009212992</v>
      </c>
      <c r="C6850" t="s">
        <v>40</v>
      </c>
      <c r="D6850">
        <v>4.6571669999999896</v>
      </c>
      <c r="E6850">
        <v>0.33967000000000003</v>
      </c>
      <c r="F6850" t="s">
        <v>65</v>
      </c>
      <c r="G6850">
        <v>-198.02619999999999</v>
      </c>
      <c r="H6850" s="1">
        <v>-9.7093409999999992E-6</v>
      </c>
      <c r="I6850">
        <v>-52.863329999999998</v>
      </c>
      <c r="J6850">
        <v>-216.8246</v>
      </c>
      <c r="K6850">
        <v>1.1121719999999999</v>
      </c>
      <c r="L6850">
        <v>-61.224060000000001</v>
      </c>
      <c r="M6850">
        <v>0.99903679999999995</v>
      </c>
      <c r="N6850">
        <v>0</v>
      </c>
      <c r="O6850">
        <v>4.151436E-2</v>
      </c>
      <c r="P6850">
        <v>0.9996794</v>
      </c>
      <c r="Q6850">
        <v>-2.2637999999999998E-2</v>
      </c>
      <c r="R6850">
        <v>1.136436E-2</v>
      </c>
      <c r="S6850">
        <v>2.9848940000000002</v>
      </c>
      <c r="T6850">
        <v>-0.17526079999999999</v>
      </c>
      <c r="U6850">
        <v>1.3187869999999999</v>
      </c>
      <c r="V6850">
        <v>3.0196870000000001E-2</v>
      </c>
      <c r="W6850">
        <v>-8.2563280000000003E-3</v>
      </c>
      <c r="X6850">
        <v>0.99950989999999995</v>
      </c>
      <c r="Y6850">
        <v>-0.36534299999999997</v>
      </c>
      <c r="Z6850">
        <v>7.9183190000000001E-3</v>
      </c>
      <c r="AA6850">
        <v>0.93083930000000004</v>
      </c>
      <c r="AB6850">
        <v>29</v>
      </c>
      <c r="AC6850">
        <v>18.798400000000001</v>
      </c>
      <c r="AD6850">
        <v>-1.112181709341</v>
      </c>
      <c r="AE6850">
        <v>8.3607299999999896</v>
      </c>
      <c r="AF6850">
        <v>-7.5509723623052798</v>
      </c>
      <c r="AG6850">
        <v>-1.112181709341</v>
      </c>
      <c r="AH6850">
        <v>19.073577818562001</v>
      </c>
      <c r="AI6850">
        <v>93.103315725650603</v>
      </c>
      <c r="AJ6850">
        <v>111.597945017564</v>
      </c>
      <c r="AK6850">
        <v>20.543989451214902</v>
      </c>
      <c r="AL6850">
        <v>90.473058109523393</v>
      </c>
      <c r="AM6850">
        <v>88.269524796972505</v>
      </c>
      <c r="AN6850">
        <v>1.0000000290539199</v>
      </c>
    </row>
    <row r="6851" spans="1:40" x14ac:dyDescent="0.25">
      <c r="A6851" t="str">
        <f>"20190312155009227"</f>
        <v>20190312155009227</v>
      </c>
      <c r="B6851" t="str">
        <f>"1552377009222752"</f>
        <v>1552377009222752</v>
      </c>
      <c r="C6851" t="s">
        <v>40</v>
      </c>
      <c r="D6851">
        <v>4.6848890000000001</v>
      </c>
      <c r="E6851">
        <v>0.34096090000000001</v>
      </c>
      <c r="F6851" t="s">
        <v>65</v>
      </c>
      <c r="G6851">
        <v>-198.76570000000001</v>
      </c>
      <c r="H6851" s="1">
        <v>-9.6583280000000003E-6</v>
      </c>
      <c r="I6851">
        <v>-53.245620000000002</v>
      </c>
      <c r="J6851">
        <v>-216.68049999999999</v>
      </c>
      <c r="K6851">
        <v>1.1122829999999999</v>
      </c>
      <c r="L6851">
        <v>-61.216520000000003</v>
      </c>
      <c r="M6851">
        <v>0.99896609999999997</v>
      </c>
      <c r="N6851">
        <v>0</v>
      </c>
      <c r="O6851">
        <v>4.3179910000000002E-2</v>
      </c>
      <c r="P6851">
        <v>0.99963539999999995</v>
      </c>
      <c r="Q6851">
        <v>-2.292582E-2</v>
      </c>
      <c r="R6851">
        <v>1.4273050000000001E-2</v>
      </c>
      <c r="S6851">
        <v>2.9818419999999999</v>
      </c>
      <c r="T6851">
        <v>-0.1836411</v>
      </c>
      <c r="U6851">
        <v>1.317383</v>
      </c>
      <c r="V6851">
        <v>2.8958970000000001E-2</v>
      </c>
      <c r="W6851">
        <v>-8.5389639999999996E-3</v>
      </c>
      <c r="X6851">
        <v>0.99954410000000005</v>
      </c>
      <c r="Y6851">
        <v>-0.36373499999999998</v>
      </c>
      <c r="Z6851">
        <v>8.160133E-3</v>
      </c>
      <c r="AA6851">
        <v>0.93146669999999998</v>
      </c>
      <c r="AB6851">
        <v>29</v>
      </c>
      <c r="AC6851">
        <v>17.9147999999999</v>
      </c>
      <c r="AD6851">
        <v>-1.112292658328</v>
      </c>
      <c r="AE6851">
        <v>7.9709000000000003</v>
      </c>
      <c r="AF6851">
        <v>-7.1667646774941396</v>
      </c>
      <c r="AG6851">
        <v>-1.112292658328</v>
      </c>
      <c r="AH6851">
        <v>18.183792024337102</v>
      </c>
      <c r="AI6851">
        <v>93.257125997933699</v>
      </c>
      <c r="AJ6851">
        <v>111.510851313835</v>
      </c>
      <c r="AK6851">
        <v>19.576772034344501</v>
      </c>
      <c r="AL6851">
        <v>90.489252558063399</v>
      </c>
      <c r="AM6851">
        <v>88.340480675950801</v>
      </c>
      <c r="AN6851">
        <v>0.999999971847231</v>
      </c>
    </row>
    <row r="6852" spans="1:40" x14ac:dyDescent="0.25">
      <c r="A6852" t="str">
        <f>"20190312155009238"</f>
        <v>20190312155009238</v>
      </c>
      <c r="B6852" t="str">
        <f>"1552377009232512"</f>
        <v>1552377009232512</v>
      </c>
      <c r="C6852" t="s">
        <v>40</v>
      </c>
      <c r="D6852">
        <v>4.7034750000000001</v>
      </c>
      <c r="E6852">
        <v>0.34196779999999999</v>
      </c>
      <c r="F6852" t="s">
        <v>65</v>
      </c>
      <c r="G6852">
        <v>-199.82159999999999</v>
      </c>
      <c r="H6852" s="1">
        <v>-9.5943620000000002E-6</v>
      </c>
      <c r="I6852">
        <v>-53.766219999999997</v>
      </c>
      <c r="J6852">
        <v>-216.5316</v>
      </c>
      <c r="K6852">
        <v>1.1123959999999999</v>
      </c>
      <c r="L6852">
        <v>-61.208219999999997</v>
      </c>
      <c r="M6852">
        <v>0.99888480000000002</v>
      </c>
      <c r="N6852">
        <v>0</v>
      </c>
      <c r="O6852">
        <v>4.5017290000000001E-2</v>
      </c>
      <c r="P6852">
        <v>0.99958349999999996</v>
      </c>
      <c r="Q6852">
        <v>-2.3043649999999999E-2</v>
      </c>
      <c r="R6852">
        <v>1.736884E-2</v>
      </c>
      <c r="S6852">
        <v>2.9777830000000001</v>
      </c>
      <c r="T6852">
        <v>-0.19646440000000001</v>
      </c>
      <c r="U6852">
        <v>1.3159479999999999</v>
      </c>
      <c r="V6852">
        <v>2.7705250000000001E-2</v>
      </c>
      <c r="W6852">
        <v>-8.6510930000000003E-3</v>
      </c>
      <c r="X6852">
        <v>0.99957870000000004</v>
      </c>
      <c r="Y6852">
        <v>-0.36204730000000002</v>
      </c>
      <c r="Z6852">
        <v>8.5723229999999997E-3</v>
      </c>
      <c r="AA6852">
        <v>0.93212030000000001</v>
      </c>
      <c r="AB6852">
        <v>29</v>
      </c>
      <c r="AC6852">
        <v>16.71</v>
      </c>
      <c r="AD6852">
        <v>-1.1124055943619999</v>
      </c>
      <c r="AE6852">
        <v>7.4420000000000002</v>
      </c>
      <c r="AF6852">
        <v>-6.6575178503222601</v>
      </c>
      <c r="AG6852">
        <v>-1.1124055943619999</v>
      </c>
      <c r="AH6852">
        <v>16.965367348077301</v>
      </c>
      <c r="AI6852">
        <v>93.492871936653103</v>
      </c>
      <c r="AJ6852">
        <v>111.425942917545</v>
      </c>
      <c r="AK6852">
        <v>18.258797314963999</v>
      </c>
      <c r="AL6852">
        <v>90.495677300125095</v>
      </c>
      <c r="AM6852">
        <v>88.412343531215399</v>
      </c>
      <c r="AN6852">
        <v>0.99999999989067301</v>
      </c>
    </row>
    <row r="6853" spans="1:40" x14ac:dyDescent="0.25">
      <c r="A6853" t="str">
        <f>"20190312155009251"</f>
        <v>20190312155009251</v>
      </c>
      <c r="B6853" t="str">
        <f>"1552377009242273"</f>
        <v>1552377009242273</v>
      </c>
      <c r="C6853" t="s">
        <v>40</v>
      </c>
      <c r="D6853">
        <v>4.6830819999999997</v>
      </c>
      <c r="E6853">
        <v>0.34287319999999999</v>
      </c>
      <c r="F6853" t="s">
        <v>65</v>
      </c>
      <c r="G6853">
        <v>-200.31720000000001</v>
      </c>
      <c r="H6853" s="1">
        <v>-6.5811959999999997E-6</v>
      </c>
      <c r="I6853">
        <v>-54.026000000000003</v>
      </c>
      <c r="J6853">
        <v>-216.38059999999999</v>
      </c>
      <c r="K6853">
        <v>1.1125069999999999</v>
      </c>
      <c r="L6853">
        <v>-61.199550000000002</v>
      </c>
      <c r="M6853">
        <v>0.99879649999999998</v>
      </c>
      <c r="N6853">
        <v>0</v>
      </c>
      <c r="O6853">
        <v>4.6936720000000001E-2</v>
      </c>
      <c r="P6853">
        <v>0.99951389999999996</v>
      </c>
      <c r="Q6853">
        <v>-2.318373E-2</v>
      </c>
      <c r="R6853">
        <v>2.0849380000000001E-2</v>
      </c>
      <c r="S6853">
        <v>2.9736790000000002</v>
      </c>
      <c r="T6853">
        <v>-0.20401169999999999</v>
      </c>
      <c r="U6853">
        <v>1.3171999999999999</v>
      </c>
      <c r="V6853">
        <v>2.614884E-2</v>
      </c>
      <c r="W6853">
        <v>-8.7878769999999995E-3</v>
      </c>
      <c r="X6853">
        <v>0.99961940000000005</v>
      </c>
      <c r="Y6853">
        <v>-0.36101939999999999</v>
      </c>
      <c r="Z6853">
        <v>8.7528629999999996E-3</v>
      </c>
      <c r="AA6853">
        <v>0.93251719999999905</v>
      </c>
      <c r="AB6853">
        <v>29</v>
      </c>
      <c r="AC6853">
        <v>16.063399999999898</v>
      </c>
      <c r="AD6853">
        <v>-1.1125135811960001</v>
      </c>
      <c r="AE6853">
        <v>7.1735499999999899</v>
      </c>
      <c r="AF6853">
        <v>-6.3860641243896996</v>
      </c>
      <c r="AG6853">
        <v>-1.1125135811960001</v>
      </c>
      <c r="AH6853">
        <v>16.317175652442</v>
      </c>
      <c r="AI6853">
        <v>93.632900959157595</v>
      </c>
      <c r="AJ6853">
        <v>111.373918065642</v>
      </c>
      <c r="AK6853">
        <v>17.557611532945099</v>
      </c>
      <c r="AL6853">
        <v>90.503514760675102</v>
      </c>
      <c r="AM6853">
        <v>88.501553114595396</v>
      </c>
      <c r="AN6853">
        <v>0.99999996673593505</v>
      </c>
    </row>
    <row r="6854" spans="1:40" x14ac:dyDescent="0.25">
      <c r="A6854" t="str">
        <f>"20190312155009260"</f>
        <v>20190312155009260</v>
      </c>
      <c r="B6854" t="str">
        <f>"1552377009253008"</f>
        <v>1552377009253008</v>
      </c>
      <c r="C6854" t="s">
        <v>40</v>
      </c>
      <c r="D6854">
        <v>4.6941959999999998</v>
      </c>
      <c r="E6854">
        <v>0.34373700000000001</v>
      </c>
      <c r="F6854" t="s">
        <v>65</v>
      </c>
      <c r="G6854">
        <v>-200.7158</v>
      </c>
      <c r="H6854" s="1">
        <v>-6.3979409999999998E-6</v>
      </c>
      <c r="I6854">
        <v>-54.233460000000001</v>
      </c>
      <c r="J6854">
        <v>-216.2456</v>
      </c>
      <c r="K6854">
        <v>1.1126049999999901</v>
      </c>
      <c r="L6854">
        <v>-61.191499999999998</v>
      </c>
      <c r="M6854">
        <v>0.99871149999999997</v>
      </c>
      <c r="N6854">
        <v>0</v>
      </c>
      <c r="O6854">
        <v>4.8713569999999998E-2</v>
      </c>
      <c r="P6854">
        <v>0.99942799999999998</v>
      </c>
      <c r="Q6854">
        <v>-2.3411879999999999E-2</v>
      </c>
      <c r="R6854">
        <v>2.4409259999999999E-2</v>
      </c>
      <c r="S6854">
        <v>2.9690089999999998</v>
      </c>
      <c r="T6854">
        <v>-0.21085889999999999</v>
      </c>
      <c r="U6854">
        <v>1.3203129999999901</v>
      </c>
      <c r="V6854">
        <v>2.4370670000000001E-2</v>
      </c>
      <c r="W6854">
        <v>-9.0161970000000001E-3</v>
      </c>
      <c r="X6854">
        <v>0.9996623</v>
      </c>
      <c r="Y6854">
        <v>-0.36068139999999999</v>
      </c>
      <c r="Z6854">
        <v>8.9260490000000001E-3</v>
      </c>
      <c r="AA6854">
        <v>0.93264639999999999</v>
      </c>
      <c r="AB6854">
        <v>29</v>
      </c>
      <c r="AC6854">
        <v>15.5297999999999</v>
      </c>
      <c r="AD6854">
        <v>-1.1126113979409999</v>
      </c>
      <c r="AE6854">
        <v>6.9580399999999898</v>
      </c>
      <c r="AF6854">
        <v>-6.1668278290738998</v>
      </c>
      <c r="AG6854">
        <v>-1.1126113979409999</v>
      </c>
      <c r="AH6854">
        <v>15.782877429134</v>
      </c>
      <c r="AI6854">
        <v>93.756683910089507</v>
      </c>
      <c r="AJ6854">
        <v>111.342028736271</v>
      </c>
      <c r="AK6854">
        <v>16.981368894742701</v>
      </c>
      <c r="AL6854">
        <v>90.516597051389198</v>
      </c>
      <c r="AM6854">
        <v>88.603468386414093</v>
      </c>
      <c r="AN6854">
        <v>0.99999996770293997</v>
      </c>
    </row>
    <row r="6855" spans="1:40" x14ac:dyDescent="0.25">
      <c r="A6855" t="str">
        <f>"20190312155009272"</f>
        <v>20190312155009272</v>
      </c>
      <c r="B6855" t="str">
        <f>"1552377009262768"</f>
        <v>1552377009262768</v>
      </c>
      <c r="C6855" t="s">
        <v>40</v>
      </c>
      <c r="D6855">
        <v>4.7504289999999996</v>
      </c>
      <c r="E6855">
        <v>0.34463559999999999</v>
      </c>
      <c r="F6855" t="s">
        <v>65</v>
      </c>
      <c r="G6855">
        <v>-200.869</v>
      </c>
      <c r="H6855" s="1">
        <v>-6.325883E-6</v>
      </c>
      <c r="I6855">
        <v>-54.3236699999999</v>
      </c>
      <c r="J6855">
        <v>-216.1071</v>
      </c>
      <c r="K6855">
        <v>1.1127020000000001</v>
      </c>
      <c r="L6855">
        <v>-61.182830000000003</v>
      </c>
      <c r="M6855">
        <v>0.99861719999999998</v>
      </c>
      <c r="N6855">
        <v>0</v>
      </c>
      <c r="O6855">
        <v>5.060489E-2</v>
      </c>
      <c r="P6855">
        <v>0.99932410000000005</v>
      </c>
      <c r="Q6855">
        <v>-2.3615529999999999E-2</v>
      </c>
      <c r="R6855">
        <v>2.8175189999999999E-2</v>
      </c>
      <c r="S6855">
        <v>2.9643549999999999</v>
      </c>
      <c r="T6855">
        <v>-0.2144933</v>
      </c>
      <c r="U6855">
        <v>1.3240050000000001</v>
      </c>
      <c r="V6855">
        <v>2.2500450000000002E-2</v>
      </c>
      <c r="W6855">
        <v>-9.2213810000000007E-3</v>
      </c>
      <c r="X6855">
        <v>0.99970429999999999</v>
      </c>
      <c r="Y6855">
        <v>-0.36040870000000003</v>
      </c>
      <c r="Z6855">
        <v>8.9512849999999998E-3</v>
      </c>
      <c r="AA6855">
        <v>0.93275149999999996</v>
      </c>
      <c r="AB6855">
        <v>29</v>
      </c>
      <c r="AC6855">
        <v>15.2380999999999</v>
      </c>
      <c r="AD6855">
        <v>-1.1127083258829999</v>
      </c>
      <c r="AE6855">
        <v>6.8591600000000099</v>
      </c>
      <c r="AF6855">
        <v>-6.0523346905649298</v>
      </c>
      <c r="AG6855">
        <v>-1.1127083258829999</v>
      </c>
      <c r="AH6855">
        <v>15.497004370507801</v>
      </c>
      <c r="AI6855">
        <v>93.826344898791504</v>
      </c>
      <c r="AJ6855">
        <v>111.333065572176</v>
      </c>
      <c r="AK6855">
        <v>16.674112254769099</v>
      </c>
      <c r="AL6855">
        <v>90.528353702986294</v>
      </c>
      <c r="AM6855">
        <v>88.7106555392443</v>
      </c>
      <c r="AN6855">
        <v>0.99999999577811904</v>
      </c>
    </row>
    <row r="6856" spans="1:40" x14ac:dyDescent="0.25">
      <c r="A6856" t="str">
        <f>"20190312155009283"</f>
        <v>20190312155009283</v>
      </c>
      <c r="B6856" t="str">
        <f>"1552377009272529"</f>
        <v>1552377009272529</v>
      </c>
      <c r="C6856" t="s">
        <v>40</v>
      </c>
      <c r="D6856">
        <v>4.800503</v>
      </c>
      <c r="E6856">
        <v>0.34537780000000001</v>
      </c>
      <c r="F6856" t="s">
        <v>65</v>
      </c>
      <c r="G6856">
        <v>-201.57050000000001</v>
      </c>
      <c r="H6856" s="1">
        <v>-6.0081400000000004E-6</v>
      </c>
      <c r="I6856">
        <v>-54.658259999999999</v>
      </c>
      <c r="J6856">
        <v>-215.95599999999999</v>
      </c>
      <c r="K6856">
        <v>1.1128100000000001</v>
      </c>
      <c r="L6856">
        <v>-61.173160000000003</v>
      </c>
      <c r="M6856">
        <v>0.9985079</v>
      </c>
      <c r="N6856">
        <v>0</v>
      </c>
      <c r="O6856">
        <v>5.2716069999999997E-2</v>
      </c>
      <c r="P6856">
        <v>0.99920129999999996</v>
      </c>
      <c r="Q6856">
        <v>-2.3668350000000001E-2</v>
      </c>
      <c r="R6856">
        <v>3.2199749999999999E-2</v>
      </c>
      <c r="S6856">
        <v>2.959244</v>
      </c>
      <c r="T6856">
        <v>-0.22651550000000001</v>
      </c>
      <c r="U6856">
        <v>1.328217</v>
      </c>
      <c r="V6856">
        <v>2.0590750000000001E-2</v>
      </c>
      <c r="W6856">
        <v>-9.2763199999999994E-3</v>
      </c>
      <c r="X6856">
        <v>0.99974499999999999</v>
      </c>
      <c r="Y6856">
        <v>-0.36006929999999998</v>
      </c>
      <c r="Z6856">
        <v>9.2986690000000007E-3</v>
      </c>
      <c r="AA6856">
        <v>0.93287920000000002</v>
      </c>
      <c r="AB6856">
        <v>29</v>
      </c>
      <c r="AC6856">
        <v>14.385499999999899</v>
      </c>
      <c r="AD6856">
        <v>-1.11281600814</v>
      </c>
      <c r="AE6856">
        <v>6.5148999999999901</v>
      </c>
      <c r="AF6856">
        <v>-5.7190169736404002</v>
      </c>
      <c r="AG6856">
        <v>-1.11281600814</v>
      </c>
      <c r="AH6856">
        <v>14.6362899831968</v>
      </c>
      <c r="AI6856">
        <v>94.050757765854101</v>
      </c>
      <c r="AJ6856">
        <v>111.342687941405</v>
      </c>
      <c r="AK6856">
        <v>15.7533012122852</v>
      </c>
      <c r="AL6856">
        <v>90.531501583213398</v>
      </c>
      <c r="AM6856">
        <v>88.820102828416495</v>
      </c>
      <c r="AN6856">
        <v>1.0000000470616499</v>
      </c>
    </row>
    <row r="6857" spans="1:40" x14ac:dyDescent="0.25">
      <c r="A6857" t="str">
        <f>"20190312155009294"</f>
        <v>20190312155009294</v>
      </c>
      <c r="B6857" t="str">
        <f>"1552377009282289"</f>
        <v>1552377009282289</v>
      </c>
      <c r="C6857" t="s">
        <v>40</v>
      </c>
      <c r="D6857">
        <v>4.7998059999999896</v>
      </c>
      <c r="E6857">
        <v>0.34618989999999999</v>
      </c>
      <c r="F6857" t="s">
        <v>65</v>
      </c>
      <c r="G6857">
        <v>-201.8931</v>
      </c>
      <c r="H6857" s="1">
        <v>-5.860744E-6</v>
      </c>
      <c r="I6857">
        <v>-54.820239999999998</v>
      </c>
      <c r="J6857">
        <v>-215.81899999999999</v>
      </c>
      <c r="K6857">
        <v>1.112903</v>
      </c>
      <c r="L6857">
        <v>-61.163849999999996</v>
      </c>
      <c r="M6857">
        <v>0.9983995</v>
      </c>
      <c r="N6857">
        <v>0</v>
      </c>
      <c r="O6857">
        <v>5.472817E-2</v>
      </c>
      <c r="P6857">
        <v>0.99904720000000002</v>
      </c>
      <c r="Q6857">
        <v>-2.4080529999999999E-2</v>
      </c>
      <c r="R6857">
        <v>3.6395120000000003E-2</v>
      </c>
      <c r="S6857">
        <v>2.9538730000000002</v>
      </c>
      <c r="T6857">
        <v>-0.2337437</v>
      </c>
      <c r="U6857">
        <v>1.3344119999999999</v>
      </c>
      <c r="V6857">
        <v>1.8412789999999998E-2</v>
      </c>
      <c r="W6857">
        <v>-9.6944460000000007E-3</v>
      </c>
      <c r="X6857">
        <v>0.99978350000000005</v>
      </c>
      <c r="Y6857">
        <v>-0.36040410000000001</v>
      </c>
      <c r="Z6857">
        <v>9.4686030000000008E-3</v>
      </c>
      <c r="AA6857">
        <v>0.93274829999999997</v>
      </c>
      <c r="AB6857">
        <v>29</v>
      </c>
      <c r="AC6857">
        <v>13.9259</v>
      </c>
      <c r="AD6857">
        <v>-1.1129088607439901</v>
      </c>
      <c r="AE6857">
        <v>6.3436099999999902</v>
      </c>
      <c r="AF6857">
        <v>-5.5425689875218502</v>
      </c>
      <c r="AG6857">
        <v>-1.1129088607439901</v>
      </c>
      <c r="AH6857">
        <v>14.177249046150701</v>
      </c>
      <c r="AI6857">
        <v>94.181514900625302</v>
      </c>
      <c r="AJ6857">
        <v>111.35292044819801</v>
      </c>
      <c r="AK6857">
        <v>15.262798813793699</v>
      </c>
      <c r="AL6857">
        <v>90.555459524646594</v>
      </c>
      <c r="AM6857">
        <v>88.944915668590795</v>
      </c>
      <c r="AN6857">
        <v>1.0000000299955401</v>
      </c>
    </row>
    <row r="6858" spans="1:40" x14ac:dyDescent="0.25">
      <c r="A6858" t="str">
        <f>"20190312155009305"</f>
        <v>20190312155009305</v>
      </c>
      <c r="B6858" t="str">
        <f>"1552377009302784"</f>
        <v>1552377009302784</v>
      </c>
      <c r="C6858" t="s">
        <v>40</v>
      </c>
      <c r="D6858">
        <v>4.8221319999999999</v>
      </c>
      <c r="E6858">
        <v>0.34741270000000002</v>
      </c>
      <c r="F6858" t="s">
        <v>65</v>
      </c>
      <c r="G6858">
        <v>-202.26519999999999</v>
      </c>
      <c r="H6858" s="1">
        <v>-5.6917190000000004E-6</v>
      </c>
      <c r="I6858">
        <v>-55.000889999999998</v>
      </c>
      <c r="J6858">
        <v>-215.67670000000001</v>
      </c>
      <c r="K6858">
        <v>1.112997</v>
      </c>
      <c r="L6858">
        <v>-61.15408</v>
      </c>
      <c r="M6858">
        <v>0.99828159999999999</v>
      </c>
      <c r="N6858">
        <v>0</v>
      </c>
      <c r="O6858">
        <v>5.6838729999999997E-2</v>
      </c>
      <c r="P6858">
        <v>0.9988764</v>
      </c>
      <c r="Q6858">
        <v>-2.4182450000000001E-2</v>
      </c>
      <c r="R6858">
        <v>4.0760949999999997E-2</v>
      </c>
      <c r="S6858">
        <v>2.9481809999999999</v>
      </c>
      <c r="T6858">
        <v>-0.24207590000000001</v>
      </c>
      <c r="U6858">
        <v>1.340546</v>
      </c>
      <c r="V6858">
        <v>1.6160330000000001E-2</v>
      </c>
      <c r="W6858">
        <v>-9.8038229999999997E-3</v>
      </c>
      <c r="X6858">
        <v>0.99982139999999997</v>
      </c>
      <c r="Y6858">
        <v>-0.36066369999999998</v>
      </c>
      <c r="Z6858">
        <v>9.6648120000000001E-3</v>
      </c>
      <c r="AA6858">
        <v>0.93264590000000003</v>
      </c>
      <c r="AB6858">
        <v>29</v>
      </c>
      <c r="AC6858">
        <v>13.4115</v>
      </c>
      <c r="AD6858">
        <v>-1.1130026917189999</v>
      </c>
      <c r="AE6858">
        <v>6.1531900000000004</v>
      </c>
      <c r="AF6858">
        <v>-5.3504292111827096</v>
      </c>
      <c r="AG6858">
        <v>-1.1130026917189999</v>
      </c>
      <c r="AH6858">
        <v>13.661860102454501</v>
      </c>
      <c r="AI6858">
        <v>94.338030275236207</v>
      </c>
      <c r="AJ6858">
        <v>111.386928417205</v>
      </c>
      <c r="AK6858">
        <v>14.7143565674714</v>
      </c>
      <c r="AL6858">
        <v>90.561726650666003</v>
      </c>
      <c r="AM6858">
        <v>89.073996530561203</v>
      </c>
      <c r="AN6858">
        <v>1.00000005155454</v>
      </c>
    </row>
    <row r="6859" spans="1:40" x14ac:dyDescent="0.25">
      <c r="A6859" t="str">
        <f>"20190312155009316"</f>
        <v>20190312155009316</v>
      </c>
      <c r="B6859" t="str">
        <f>"1552377009312545"</f>
        <v>1552377009312545</v>
      </c>
      <c r="C6859" t="s">
        <v>40</v>
      </c>
      <c r="D6859">
        <v>4.7747679999999999</v>
      </c>
      <c r="E6859">
        <v>0.34799999999999998</v>
      </c>
      <c r="F6859" t="s">
        <v>65</v>
      </c>
      <c r="G6859">
        <v>-202.71029999999999</v>
      </c>
      <c r="H6859" s="1">
        <v>-5.4640499999999998E-6</v>
      </c>
      <c r="I6859">
        <v>-55.231729999999999</v>
      </c>
      <c r="J6859">
        <v>-215.53469999999999</v>
      </c>
      <c r="K6859">
        <v>1.1130930000000001</v>
      </c>
      <c r="L6859">
        <v>-61.143709999999999</v>
      </c>
      <c r="M6859">
        <v>0.99815259999999995</v>
      </c>
      <c r="N6859">
        <v>0</v>
      </c>
      <c r="O6859">
        <v>5.9057440000000003E-2</v>
      </c>
      <c r="P6859">
        <v>0.99867550000000005</v>
      </c>
      <c r="Q6859">
        <v>-2.4448170000000002E-2</v>
      </c>
      <c r="R6859">
        <v>4.5270890000000001E-2</v>
      </c>
      <c r="S6859">
        <v>2.9424130000000002</v>
      </c>
      <c r="T6859">
        <v>-0.25256879999999998</v>
      </c>
      <c r="U6859">
        <v>1.343933</v>
      </c>
      <c r="V6859">
        <v>1.3872570000000001E-2</v>
      </c>
      <c r="W6859">
        <v>-1.007771E-2</v>
      </c>
      <c r="X6859">
        <v>0.99985299999999999</v>
      </c>
      <c r="Y6859">
        <v>-0.36010019999999998</v>
      </c>
      <c r="Z6859">
        <v>9.8953359999999994E-3</v>
      </c>
      <c r="AA6859">
        <v>0.9328611</v>
      </c>
      <c r="AB6859">
        <v>29</v>
      </c>
      <c r="AC6859">
        <v>12.824399999999899</v>
      </c>
      <c r="AD6859">
        <v>-1.1130984640499999</v>
      </c>
      <c r="AE6859">
        <v>5.91197999999999</v>
      </c>
      <c r="AF6859">
        <v>-5.1124417889348797</v>
      </c>
      <c r="AG6859">
        <v>-1.1130984640499999</v>
      </c>
      <c r="AH6859">
        <v>13.0699888807251</v>
      </c>
      <c r="AI6859">
        <v>94.534790055124503</v>
      </c>
      <c r="AJ6859">
        <v>111.363392348674</v>
      </c>
      <c r="AK6859">
        <v>14.0783755660301</v>
      </c>
      <c r="AL6859">
        <v>90.577420015582305</v>
      </c>
      <c r="AM6859">
        <v>89.205094434475896</v>
      </c>
      <c r="AN6859">
        <v>1.0000000150231201</v>
      </c>
    </row>
    <row r="6860" spans="1:40" x14ac:dyDescent="0.25">
      <c r="A6860" t="str">
        <f>"20190312155009328"</f>
        <v>20190312155009328</v>
      </c>
      <c r="B6860" t="str">
        <f>"1552377009322305"</f>
        <v>1552377009322305</v>
      </c>
      <c r="C6860" t="s">
        <v>40</v>
      </c>
      <c r="D6860">
        <v>4.7681820000000004</v>
      </c>
      <c r="E6860">
        <v>0.34851270000000001</v>
      </c>
      <c r="F6860" t="s">
        <v>65</v>
      </c>
      <c r="G6860">
        <v>-202.7936</v>
      </c>
      <c r="H6860" s="1">
        <v>-5.4120540000000002E-6</v>
      </c>
      <c r="I6860">
        <v>-55.274760000000001</v>
      </c>
      <c r="J6860">
        <v>-215.3946</v>
      </c>
      <c r="K6860">
        <v>1.113186</v>
      </c>
      <c r="L6860">
        <v>-61.133270000000003</v>
      </c>
      <c r="M6860">
        <v>0.99801899999999999</v>
      </c>
      <c r="N6860">
        <v>0</v>
      </c>
      <c r="O6860">
        <v>6.1273319999999999E-2</v>
      </c>
      <c r="P6860">
        <v>0.99846210000000002</v>
      </c>
      <c r="Q6860">
        <v>-2.48338E-2</v>
      </c>
      <c r="R6860">
        <v>4.956758E-2</v>
      </c>
      <c r="S6860">
        <v>2.936401</v>
      </c>
      <c r="T6860">
        <v>-0.2565327</v>
      </c>
      <c r="U6860">
        <v>1.3526</v>
      </c>
      <c r="V6860">
        <v>1.1795480000000001E-2</v>
      </c>
      <c r="W6860">
        <v>-1.0471289999999999E-2</v>
      </c>
      <c r="X6860">
        <v>0.99987559999999998</v>
      </c>
      <c r="Y6860">
        <v>-0.36099870000000001</v>
      </c>
      <c r="Z6860">
        <v>9.9177829999999995E-3</v>
      </c>
      <c r="AA6860">
        <v>0.93251360000000005</v>
      </c>
      <c r="AB6860">
        <v>29</v>
      </c>
      <c r="AC6860">
        <v>12.601000000000001</v>
      </c>
      <c r="AD6860">
        <v>-1.1131914120540001</v>
      </c>
      <c r="AE6860">
        <v>5.8585099999999901</v>
      </c>
      <c r="AF6860">
        <v>-5.0429547201283098</v>
      </c>
      <c r="AG6860">
        <v>-1.1131914120540001</v>
      </c>
      <c r="AH6860">
        <v>12.8538403448318</v>
      </c>
      <c r="AI6860">
        <v>94.609277048013197</v>
      </c>
      <c r="AJ6860">
        <v>111.421595889521</v>
      </c>
      <c r="AK6860">
        <v>13.8525015444706</v>
      </c>
      <c r="AL6860">
        <v>90.599971688650797</v>
      </c>
      <c r="AM6860">
        <v>89.324116047440995</v>
      </c>
      <c r="AN6860">
        <v>0.99999999836902698</v>
      </c>
    </row>
    <row r="6861" spans="1:40" x14ac:dyDescent="0.25">
      <c r="A6861" t="str">
        <f>"20190312155009337"</f>
        <v>20190312155009337</v>
      </c>
      <c r="B6861" t="str">
        <f>"1552377009333040"</f>
        <v>1552377009333040</v>
      </c>
      <c r="C6861" t="s">
        <v>40</v>
      </c>
      <c r="D6861">
        <v>4.7605779999999998</v>
      </c>
      <c r="E6861">
        <v>0.34910190000000002</v>
      </c>
      <c r="F6861" t="s">
        <v>65</v>
      </c>
      <c r="G6861">
        <v>-202.84440000000001</v>
      </c>
      <c r="H6861" s="1">
        <v>-5.3797819999999996E-6</v>
      </c>
      <c r="I6861">
        <v>-55.303739999999998</v>
      </c>
      <c r="J6861">
        <v>-215.2535</v>
      </c>
      <c r="K6861">
        <v>1.1132770000000001</v>
      </c>
      <c r="L6861">
        <v>-61.122280000000003</v>
      </c>
      <c r="M6861">
        <v>0.9978745</v>
      </c>
      <c r="N6861">
        <v>0</v>
      </c>
      <c r="O6861">
        <v>6.3583440000000005E-2</v>
      </c>
      <c r="P6861">
        <v>0.99822679999999997</v>
      </c>
      <c r="Q6861">
        <v>-2.50674E-2</v>
      </c>
      <c r="R6861">
        <v>5.399346E-2</v>
      </c>
      <c r="S6861">
        <v>2.9305569999999999</v>
      </c>
      <c r="T6861">
        <v>-0.2599379</v>
      </c>
      <c r="U6861">
        <v>1.361237</v>
      </c>
      <c r="V6861">
        <v>9.6816760000000002E-3</v>
      </c>
      <c r="W6861">
        <v>-1.0713540000000001E-2</v>
      </c>
      <c r="X6861">
        <v>0.9998958</v>
      </c>
      <c r="Y6861">
        <v>-0.36178830000000001</v>
      </c>
      <c r="Z6861">
        <v>9.9016269999999997E-3</v>
      </c>
      <c r="AA6861">
        <v>0.93220769999999997</v>
      </c>
      <c r="AB6861">
        <v>29</v>
      </c>
      <c r="AC6861">
        <v>12.409099999999899</v>
      </c>
      <c r="AD6861">
        <v>-1.113282379782</v>
      </c>
      <c r="AE6861">
        <v>5.8185399999999898</v>
      </c>
      <c r="AF6861">
        <v>-4.9847801709041502</v>
      </c>
      <c r="AG6861">
        <v>-1.113282379782</v>
      </c>
      <c r="AH6861">
        <v>12.670385190551</v>
      </c>
      <c r="AI6861">
        <v>94.674376164871802</v>
      </c>
      <c r="AJ6861">
        <v>111.47565767288199</v>
      </c>
      <c r="AK6861">
        <v>13.6611160556635</v>
      </c>
      <c r="AL6861">
        <v>90.6138523304502</v>
      </c>
      <c r="AM6861">
        <v>89.445240355442195</v>
      </c>
      <c r="AN6861">
        <v>1.0000000628235599</v>
      </c>
    </row>
    <row r="6862" spans="1:40" x14ac:dyDescent="0.25">
      <c r="A6862" t="str">
        <f>"20190312155009349"</f>
        <v>20190312155009349</v>
      </c>
      <c r="B6862" t="str">
        <f>"1552377009342801"</f>
        <v>1552377009342801</v>
      </c>
      <c r="C6862" t="s">
        <v>40</v>
      </c>
      <c r="D6862">
        <v>4.8064660000000003</v>
      </c>
      <c r="E6862">
        <v>0.34959499999999999</v>
      </c>
      <c r="F6862" t="s">
        <v>65</v>
      </c>
      <c r="G6862">
        <v>-202.88650000000001</v>
      </c>
      <c r="H6862" s="1">
        <v>-5.3522740000000001E-6</v>
      </c>
      <c r="I6862">
        <v>-55.330910000000003</v>
      </c>
      <c r="J6862">
        <v>-215.1164</v>
      </c>
      <c r="K6862">
        <v>1.113364</v>
      </c>
      <c r="L6862">
        <v>-61.1113</v>
      </c>
      <c r="M6862">
        <v>0.99772570000000005</v>
      </c>
      <c r="N6862">
        <v>0</v>
      </c>
      <c r="O6862">
        <v>6.5874699999999994E-2</v>
      </c>
      <c r="P6862">
        <v>0.99799499999999997</v>
      </c>
      <c r="Q6862">
        <v>-2.4825219999999999E-2</v>
      </c>
      <c r="R6862">
        <v>5.822219E-2</v>
      </c>
      <c r="S6862">
        <v>2.924652</v>
      </c>
      <c r="T6862">
        <v>-0.2632794</v>
      </c>
      <c r="U6862">
        <v>1.3695980000000001</v>
      </c>
      <c r="V6862">
        <v>7.7426500000000002E-3</v>
      </c>
      <c r="W6862">
        <v>-1.047964E-2</v>
      </c>
      <c r="X6862">
        <v>0.99991509999999995</v>
      </c>
      <c r="Y6862">
        <v>-0.36253400000000002</v>
      </c>
      <c r="Z6862">
        <v>9.8789919999999996E-3</v>
      </c>
      <c r="AA6862">
        <v>0.93191809999999997</v>
      </c>
      <c r="AB6862">
        <v>29</v>
      </c>
      <c r="AC6862">
        <v>12.229899999999899</v>
      </c>
      <c r="AD6862">
        <v>-1.113369352274</v>
      </c>
      <c r="AE6862">
        <v>5.7803899999999997</v>
      </c>
      <c r="AF6862">
        <v>-4.9287198869997502</v>
      </c>
      <c r="AG6862">
        <v>-1.113369352274</v>
      </c>
      <c r="AH6862">
        <v>12.499474661246699</v>
      </c>
      <c r="AI6862">
        <v>94.736932077765999</v>
      </c>
      <c r="AJ6862">
        <v>111.520019980323</v>
      </c>
      <c r="AK6862">
        <v>13.4821636930516</v>
      </c>
      <c r="AL6862">
        <v>90.600450140080596</v>
      </c>
      <c r="AM6862">
        <v>89.556350032884197</v>
      </c>
      <c r="AN6862">
        <v>0.99999998934578005</v>
      </c>
    </row>
    <row r="6863" spans="1:40" x14ac:dyDescent="0.25">
      <c r="A6863" t="str">
        <f>"20190312155009360"</f>
        <v>20190312155009360</v>
      </c>
      <c r="B6863" t="str">
        <f>"1552377009352561"</f>
        <v>1552377009352561</v>
      </c>
      <c r="C6863" t="s">
        <v>40</v>
      </c>
      <c r="D6863">
        <v>4.7759320000000001</v>
      </c>
      <c r="E6863">
        <v>0.35004839999999998</v>
      </c>
      <c r="F6863" t="s">
        <v>65</v>
      </c>
      <c r="G6863">
        <v>-202.85579999999999</v>
      </c>
      <c r="H6863" s="1">
        <v>-5.3696029999999899E-6</v>
      </c>
      <c r="I6863">
        <v>-55.323300000000003</v>
      </c>
      <c r="J6863">
        <v>-214.97649999999999</v>
      </c>
      <c r="K6863">
        <v>1.1134539999999999</v>
      </c>
      <c r="L6863">
        <v>-61.099670000000003</v>
      </c>
      <c r="M6863">
        <v>0.99756449999999997</v>
      </c>
      <c r="N6863">
        <v>0</v>
      </c>
      <c r="O6863">
        <v>6.8271730000000003E-2</v>
      </c>
      <c r="P6863">
        <v>0.99775199999999997</v>
      </c>
      <c r="Q6863">
        <v>-2.4473780000000001E-2</v>
      </c>
      <c r="R6863">
        <v>6.2388239999999998E-2</v>
      </c>
      <c r="S6863">
        <v>2.919022</v>
      </c>
      <c r="T6863">
        <v>-0.26507389999999997</v>
      </c>
      <c r="U6863">
        <v>1.3780209999999999</v>
      </c>
      <c r="V6863">
        <v>5.9707730000000004E-3</v>
      </c>
      <c r="W6863">
        <v>-1.013565E-2</v>
      </c>
      <c r="X6863">
        <v>0.99993080000000001</v>
      </c>
      <c r="Y6863">
        <v>-0.363178</v>
      </c>
      <c r="Z6863">
        <v>9.7809769999999997E-3</v>
      </c>
      <c r="AA6863">
        <v>0.93166850000000001</v>
      </c>
      <c r="AB6863">
        <v>29</v>
      </c>
      <c r="AC6863">
        <v>12.120699999999999</v>
      </c>
      <c r="AD6863">
        <v>-1.113459369603</v>
      </c>
      <c r="AE6863">
        <v>5.7763699999999902</v>
      </c>
      <c r="AF6863">
        <v>-4.9015951699427696</v>
      </c>
      <c r="AG6863">
        <v>-1.113459369603</v>
      </c>
      <c r="AH6863">
        <v>12.401529992708101</v>
      </c>
      <c r="AI6863">
        <v>94.773050853652094</v>
      </c>
      <c r="AJ6863">
        <v>111.565971767679</v>
      </c>
      <c r="AK6863">
        <v>13.3814563160294</v>
      </c>
      <c r="AL6863">
        <v>90.580739915254398</v>
      </c>
      <c r="AM6863">
        <v>89.6578802977659</v>
      </c>
      <c r="AN6863">
        <v>0.99999999315988997</v>
      </c>
    </row>
    <row r="6864" spans="1:40" x14ac:dyDescent="0.25">
      <c r="A6864" t="str">
        <f>"20190312155009372"</f>
        <v>20190312155009372</v>
      </c>
      <c r="B6864" t="str">
        <f>"1552377009362321"</f>
        <v>1552377009362321</v>
      </c>
      <c r="C6864" t="s">
        <v>40</v>
      </c>
      <c r="D6864">
        <v>4.7705719999999996</v>
      </c>
      <c r="E6864">
        <v>0.3505954</v>
      </c>
      <c r="F6864" t="s">
        <v>65</v>
      </c>
      <c r="G6864">
        <v>-202.65770000000001</v>
      </c>
      <c r="H6864" s="1">
        <v>-5.4896879999999998E-6</v>
      </c>
      <c r="I6864">
        <v>-55.237079999999999</v>
      </c>
      <c r="J6864">
        <v>-214.83359999999999</v>
      </c>
      <c r="K6864">
        <v>1.1135469999999901</v>
      </c>
      <c r="L6864">
        <v>-61.0873699999999</v>
      </c>
      <c r="M6864">
        <v>0.99738830000000001</v>
      </c>
      <c r="N6864">
        <v>0</v>
      </c>
      <c r="O6864">
        <v>7.0797269999999995E-2</v>
      </c>
      <c r="P6864">
        <v>0.99748650000000005</v>
      </c>
      <c r="Q6864">
        <v>-2.40193E-2</v>
      </c>
      <c r="R6864">
        <v>6.66625E-2</v>
      </c>
      <c r="S6864">
        <v>2.913605</v>
      </c>
      <c r="T6864">
        <v>-0.2633511</v>
      </c>
      <c r="U6864">
        <v>1.3865970000000001</v>
      </c>
      <c r="V6864">
        <v>4.2179069999999999E-3</v>
      </c>
      <c r="W6864">
        <v>-9.6887269999999994E-3</v>
      </c>
      <c r="X6864">
        <v>0.99994419999999995</v>
      </c>
      <c r="Y6864">
        <v>-0.36374440000000002</v>
      </c>
      <c r="Z6864">
        <v>9.5383110000000007E-3</v>
      </c>
      <c r="AA6864">
        <v>0.93144990000000005</v>
      </c>
      <c r="AB6864">
        <v>29</v>
      </c>
      <c r="AC6864">
        <v>12.175899999999899</v>
      </c>
      <c r="AD6864">
        <v>-1.11355248968799</v>
      </c>
      <c r="AE6864">
        <v>5.8502899999999798</v>
      </c>
      <c r="AF6864">
        <v>-4.93993005031452</v>
      </c>
      <c r="AG6864">
        <v>-1.11355248968799</v>
      </c>
      <c r="AH6864">
        <v>12.4747977202641</v>
      </c>
      <c r="AI6864">
        <v>94.744326471673403</v>
      </c>
      <c r="AJ6864">
        <v>111.603209008853</v>
      </c>
      <c r="AK6864">
        <v>13.463412873814599</v>
      </c>
      <c r="AL6864">
        <v>90.555131833234498</v>
      </c>
      <c r="AM6864">
        <v>89.758319678056395</v>
      </c>
      <c r="AN6864">
        <v>1.00000003264199</v>
      </c>
    </row>
    <row r="6865" spans="1:40" x14ac:dyDescent="0.25">
      <c r="A6865" t="str">
        <f>"20190312155009383"</f>
        <v>20190312155009383</v>
      </c>
      <c r="B6865" t="str">
        <f>"1552377009373056"</f>
        <v>1552377009373056</v>
      </c>
      <c r="C6865" t="s">
        <v>40</v>
      </c>
      <c r="D6865">
        <v>4.7960050000000001</v>
      </c>
      <c r="E6865">
        <v>0.35109089999999998</v>
      </c>
      <c r="F6865" t="s">
        <v>65</v>
      </c>
      <c r="G6865">
        <v>-202.5608</v>
      </c>
      <c r="H6865" s="1">
        <v>-5.5469570000000003E-6</v>
      </c>
      <c r="I6865">
        <v>-55.201329999999999</v>
      </c>
      <c r="J6865">
        <v>-214.68559999999999</v>
      </c>
      <c r="K6865">
        <v>1.113642</v>
      </c>
      <c r="L6865">
        <v>-61.074309999999997</v>
      </c>
      <c r="M6865">
        <v>0.99719599999999997</v>
      </c>
      <c r="N6865">
        <v>0</v>
      </c>
      <c r="O6865">
        <v>7.3454969999999994E-2</v>
      </c>
      <c r="P6865">
        <v>0.99718859999999998</v>
      </c>
      <c r="Q6865">
        <v>-2.3885529999999999E-2</v>
      </c>
      <c r="R6865">
        <v>7.1022779999999994E-2</v>
      </c>
      <c r="S6865">
        <v>2.9079899999999999</v>
      </c>
      <c r="T6865">
        <v>-0.26385370000000002</v>
      </c>
      <c r="U6865">
        <v>1.394684</v>
      </c>
      <c r="V6865">
        <v>2.512795E-3</v>
      </c>
      <c r="W6865">
        <v>-9.562816E-3</v>
      </c>
      <c r="X6865">
        <v>0.99995109999999998</v>
      </c>
      <c r="Y6865">
        <v>-0.36407139999999999</v>
      </c>
      <c r="Z6865">
        <v>9.3558430000000008E-3</v>
      </c>
      <c r="AA6865">
        <v>0.93132409999999999</v>
      </c>
      <c r="AB6865">
        <v>29</v>
      </c>
      <c r="AC6865">
        <v>12.124799999999899</v>
      </c>
      <c r="AD6865">
        <v>-1.113647546957</v>
      </c>
      <c r="AE6865">
        <v>5.8729799999999903</v>
      </c>
      <c r="AF6865">
        <v>-4.9326880535443003</v>
      </c>
      <c r="AG6865">
        <v>-1.113647546957</v>
      </c>
      <c r="AH6865">
        <v>12.4384898382144</v>
      </c>
      <c r="AI6865">
        <v>94.757585373783797</v>
      </c>
      <c r="AJ6865">
        <v>111.631617086809</v>
      </c>
      <c r="AK6865">
        <v>13.4271237332418</v>
      </c>
      <c r="AL6865">
        <v>90.547917358085598</v>
      </c>
      <c r="AM6865">
        <v>89.856020714180701</v>
      </c>
      <c r="AN6865">
        <v>0.99999998198988505</v>
      </c>
    </row>
    <row r="6866" spans="1:40" x14ac:dyDescent="0.25">
      <c r="A6866" t="str">
        <f>"20190312155009395"</f>
        <v>20190312155009395</v>
      </c>
      <c r="B6866" t="str">
        <f>"1552377009392576"</f>
        <v>1552377009392576</v>
      </c>
      <c r="C6866" t="s">
        <v>40</v>
      </c>
      <c r="D6866">
        <v>4.8089009999999996</v>
      </c>
      <c r="E6866">
        <v>0.3520257</v>
      </c>
      <c r="F6866" t="s">
        <v>65</v>
      </c>
      <c r="G6866">
        <v>-202.52170000000001</v>
      </c>
      <c r="H6866" s="1">
        <v>-5.564837E-6</v>
      </c>
      <c r="I6866">
        <v>-55.191809999999997</v>
      </c>
      <c r="J6866">
        <v>-214.5471</v>
      </c>
      <c r="K6866">
        <v>1.113739</v>
      </c>
      <c r="L6866">
        <v>-61.061399999999999</v>
      </c>
      <c r="M6866">
        <v>0.99700109999999997</v>
      </c>
      <c r="N6866">
        <v>0</v>
      </c>
      <c r="O6866">
        <v>7.6053990000000002E-2</v>
      </c>
      <c r="P6866">
        <v>0.99690440000000002</v>
      </c>
      <c r="Q6866">
        <v>-2.3406400000000001E-2</v>
      </c>
      <c r="R6866">
        <v>7.5058449999999999E-2</v>
      </c>
      <c r="S6866">
        <v>2.9021300000000001</v>
      </c>
      <c r="T6866">
        <v>-0.26569900000000002</v>
      </c>
      <c r="U6866">
        <v>1.403473</v>
      </c>
      <c r="V6866">
        <v>1.070866E-3</v>
      </c>
      <c r="W6866">
        <v>-9.0891189999999997E-3</v>
      </c>
      <c r="X6866">
        <v>0.99995809999999996</v>
      </c>
      <c r="Y6866">
        <v>-0.36465760000000003</v>
      </c>
      <c r="Z6866">
        <v>9.2351519999999999E-3</v>
      </c>
      <c r="AA6866">
        <v>0.93109589999999998</v>
      </c>
      <c r="AB6866">
        <v>29</v>
      </c>
      <c r="AC6866">
        <v>12.0253999999999</v>
      </c>
      <c r="AD6866">
        <v>-1.1137445648369999</v>
      </c>
      <c r="AE6866">
        <v>5.8695899999999996</v>
      </c>
      <c r="AF6866">
        <v>-4.9039418941822204</v>
      </c>
      <c r="AG6866">
        <v>-1.1137445648369999</v>
      </c>
      <c r="AH6866">
        <v>12.351452321960601</v>
      </c>
      <c r="AI6866">
        <v>94.790607071118899</v>
      </c>
      <c r="AJ6866">
        <v>111.654741897601</v>
      </c>
      <c r="AK6866">
        <v>13.3359456927091</v>
      </c>
      <c r="AL6866">
        <v>90.520775339010399</v>
      </c>
      <c r="AM6866">
        <v>89.938641350303897</v>
      </c>
      <c r="AN6866">
        <v>0.99999998029689696</v>
      </c>
    </row>
    <row r="6867" spans="1:40" x14ac:dyDescent="0.25">
      <c r="A6867" t="str">
        <f>"20190312155009406"</f>
        <v>20190312155009406</v>
      </c>
      <c r="B6867" t="str">
        <f>"1552377009402337"</f>
        <v>1552377009402337</v>
      </c>
      <c r="C6867" t="s">
        <v>40</v>
      </c>
      <c r="D6867">
        <v>4.7902969999999998</v>
      </c>
      <c r="E6867">
        <v>0.35247430000000002</v>
      </c>
      <c r="F6867" t="s">
        <v>65</v>
      </c>
      <c r="G6867">
        <v>-202.47919999999999</v>
      </c>
      <c r="H6867" s="1">
        <v>-5.5800480000000004E-6</v>
      </c>
      <c r="I6867">
        <v>-55.197290000000002</v>
      </c>
      <c r="J6867">
        <v>-214.41309999999999</v>
      </c>
      <c r="K6867">
        <v>1.1138330000000001</v>
      </c>
      <c r="L6867">
        <v>-61.048830000000002</v>
      </c>
      <c r="M6867">
        <v>0.99680440000000003</v>
      </c>
      <c r="N6867">
        <v>0</v>
      </c>
      <c r="O6867">
        <v>7.8588019999999995E-2</v>
      </c>
      <c r="P6867">
        <v>0.99659690000000001</v>
      </c>
      <c r="Q6867">
        <v>-2.304262E-2</v>
      </c>
      <c r="R6867">
        <v>7.9143549999999993E-2</v>
      </c>
      <c r="S6867">
        <v>2.8970340000000001</v>
      </c>
      <c r="T6867">
        <v>-0.26736690000000002</v>
      </c>
      <c r="U6867">
        <v>1.407745</v>
      </c>
      <c r="V6867">
        <v>-4.8618050000000002E-4</v>
      </c>
      <c r="W6867">
        <v>-8.7331189999999993E-3</v>
      </c>
      <c r="X6867">
        <v>0.99996169999999995</v>
      </c>
      <c r="Y6867">
        <v>-0.36404150000000002</v>
      </c>
      <c r="Z6867">
        <v>9.0593340000000005E-3</v>
      </c>
      <c r="AA6867">
        <v>0.93133869999999996</v>
      </c>
      <c r="AB6867">
        <v>29</v>
      </c>
      <c r="AC6867">
        <v>11.9338999999999</v>
      </c>
      <c r="AD6867">
        <v>-1.113838580048</v>
      </c>
      <c r="AE6867">
        <v>5.85154</v>
      </c>
      <c r="AF6867">
        <v>-4.8613406427033903</v>
      </c>
      <c r="AG6867">
        <v>-1.113838580048</v>
      </c>
      <c r="AH6867">
        <v>12.2707163424732</v>
      </c>
      <c r="AI6867">
        <v>94.823798058540206</v>
      </c>
      <c r="AJ6867">
        <v>111.61219077141899</v>
      </c>
      <c r="AK6867">
        <v>13.245518064018601</v>
      </c>
      <c r="AL6867">
        <v>90.500377244948794</v>
      </c>
      <c r="AM6867">
        <v>90.027857155465597</v>
      </c>
      <c r="AN6867">
        <v>0.99999995260291696</v>
      </c>
    </row>
    <row r="6868" spans="1:40" x14ac:dyDescent="0.25">
      <c r="A6868" t="str">
        <f>"20190312155009416"</f>
        <v>20190312155009416</v>
      </c>
      <c r="B6868" t="str">
        <f>"1552377009413072"</f>
        <v>1552377009413072</v>
      </c>
      <c r="C6868" t="s">
        <v>40</v>
      </c>
      <c r="D6868">
        <v>4.8069410000000001</v>
      </c>
      <c r="E6868">
        <v>0.3530063</v>
      </c>
      <c r="F6868" t="s">
        <v>65</v>
      </c>
      <c r="G6868">
        <v>-202.3793</v>
      </c>
      <c r="H6868" s="1">
        <v>-5.6242320000000003E-6</v>
      </c>
      <c r="I6868">
        <v>-55.156469999999999</v>
      </c>
      <c r="J6868">
        <v>-214.2679</v>
      </c>
      <c r="K6868">
        <v>1.1139490000000001</v>
      </c>
      <c r="L6868">
        <v>-61.03436</v>
      </c>
      <c r="M6868">
        <v>0.99657300000000004</v>
      </c>
      <c r="N6868">
        <v>0</v>
      </c>
      <c r="O6868">
        <v>8.1467880000000006E-2</v>
      </c>
      <c r="P6868">
        <v>0.99626179999999998</v>
      </c>
      <c r="Q6868">
        <v>-2.291311E-2</v>
      </c>
      <c r="R6868">
        <v>8.3289820000000001E-2</v>
      </c>
      <c r="S6868">
        <v>2.891632</v>
      </c>
      <c r="T6868">
        <v>-0.26764789999999999</v>
      </c>
      <c r="U6868">
        <v>1.415894</v>
      </c>
      <c r="V6868">
        <v>-1.755951E-3</v>
      </c>
      <c r="W6868">
        <v>-8.6070499999999998E-3</v>
      </c>
      <c r="X6868">
        <v>0.9999614</v>
      </c>
      <c r="Y6868">
        <v>-0.36416029999999999</v>
      </c>
      <c r="Z6868">
        <v>8.8352050000000005E-3</v>
      </c>
      <c r="AA6868">
        <v>0.93129439999999997</v>
      </c>
      <c r="AB6868">
        <v>28</v>
      </c>
      <c r="AC6868">
        <v>11.888599999999901</v>
      </c>
      <c r="AD6868">
        <v>-1.113954624232</v>
      </c>
      <c r="AE6868">
        <v>5.8778899999999998</v>
      </c>
      <c r="AF6868">
        <v>-4.8554539516157096</v>
      </c>
      <c r="AG6868">
        <v>-1.113954624232</v>
      </c>
      <c r="AH6868">
        <v>12.241617402177701</v>
      </c>
      <c r="AI6868">
        <v>94.834951773100698</v>
      </c>
      <c r="AJ6868">
        <v>111.635009853716</v>
      </c>
      <c r="AK6868">
        <v>13.2164111846752</v>
      </c>
      <c r="AL6868">
        <v>90.493153736441698</v>
      </c>
      <c r="AM6868">
        <v>90.100612361556799</v>
      </c>
      <c r="AN6868">
        <v>0.99999998308178795</v>
      </c>
    </row>
    <row r="6869" spans="1:40" x14ac:dyDescent="0.25">
      <c r="A6869" t="str">
        <f>"20190312155009428"</f>
        <v>20190312155009428</v>
      </c>
      <c r="B6869" t="str">
        <f>"1552377009422832"</f>
        <v>1552377009422832</v>
      </c>
      <c r="C6869" t="s">
        <v>40</v>
      </c>
      <c r="D6869">
        <v>4.7599989999999996</v>
      </c>
      <c r="E6869">
        <v>0.35328880000000001</v>
      </c>
      <c r="F6869" t="s">
        <v>65</v>
      </c>
      <c r="G6869">
        <v>-202.35489999999999</v>
      </c>
      <c r="H6869" s="1">
        <v>-5.633194E-6</v>
      </c>
      <c r="I6869">
        <v>-55.158299999999997</v>
      </c>
      <c r="J6869">
        <v>-214.12559999999999</v>
      </c>
      <c r="K6869">
        <v>1.1140620000000001</v>
      </c>
      <c r="L6869">
        <v>-61.019959999999998</v>
      </c>
      <c r="M6869">
        <v>0.99633459999999996</v>
      </c>
      <c r="N6869">
        <v>0</v>
      </c>
      <c r="O6869">
        <v>8.4331740000000002E-2</v>
      </c>
      <c r="P6869">
        <v>0.9959209</v>
      </c>
      <c r="Q6869">
        <v>-2.2590269999999999E-2</v>
      </c>
      <c r="R6869">
        <v>8.7356310000000006E-2</v>
      </c>
      <c r="S6869">
        <v>2.8860320000000002</v>
      </c>
      <c r="T6869">
        <v>-0.2698644</v>
      </c>
      <c r="U6869">
        <v>1.4235230000000001</v>
      </c>
      <c r="V6869">
        <v>-2.9646920000000001E-3</v>
      </c>
      <c r="W6869">
        <v>-8.2877769999999996E-3</v>
      </c>
      <c r="X6869">
        <v>0.99996130000000005</v>
      </c>
      <c r="Y6869">
        <v>-0.36417250000000001</v>
      </c>
      <c r="Z6869">
        <v>8.6697110000000001E-3</v>
      </c>
      <c r="AA6869">
        <v>0.93129119999999999</v>
      </c>
      <c r="AB6869">
        <v>28</v>
      </c>
      <c r="AC6869">
        <v>11.7707</v>
      </c>
      <c r="AD6869">
        <v>-1.114067633194</v>
      </c>
      <c r="AE6869">
        <v>5.8616599999999996</v>
      </c>
      <c r="AF6869">
        <v>-4.8134778539012801</v>
      </c>
      <c r="AG6869">
        <v>-1.114067633194</v>
      </c>
      <c r="AH6869">
        <v>12.1360227239977</v>
      </c>
      <c r="AI6869">
        <v>94.877323506188006</v>
      </c>
      <c r="AJ6869">
        <v>111.63462821852301</v>
      </c>
      <c r="AK6869">
        <v>13.1031966824404</v>
      </c>
      <c r="AL6869">
        <v>90.474860061335903</v>
      </c>
      <c r="AM6869">
        <v>90.169870415436904</v>
      </c>
      <c r="AN6869">
        <v>1.0000000390719701</v>
      </c>
    </row>
    <row r="6870" spans="1:40" x14ac:dyDescent="0.25">
      <c r="A6870" t="str">
        <f>"20190312155009438"</f>
        <v>20190312155009438</v>
      </c>
      <c r="B6870" t="str">
        <f>"1552377009432592"</f>
        <v>1552377009432592</v>
      </c>
      <c r="C6870" t="s">
        <v>40</v>
      </c>
      <c r="D6870">
        <v>4.7750890000000004</v>
      </c>
      <c r="E6870">
        <v>0.35354859999999999</v>
      </c>
      <c r="F6870" t="s">
        <v>65</v>
      </c>
      <c r="G6870">
        <v>-202.23740000000001</v>
      </c>
      <c r="H6870" s="1">
        <v>-5.6857249999999997E-6</v>
      </c>
      <c r="I6870">
        <v>-55.106540000000003</v>
      </c>
      <c r="J6870">
        <v>-213.9932</v>
      </c>
      <c r="K6870">
        <v>1.114171</v>
      </c>
      <c r="L6870">
        <v>-61.005980000000001</v>
      </c>
      <c r="M6870">
        <v>0.99609780000000003</v>
      </c>
      <c r="N6870">
        <v>0</v>
      </c>
      <c r="O6870">
        <v>8.7084729999999999E-2</v>
      </c>
      <c r="P6870">
        <v>0.99560079999999995</v>
      </c>
      <c r="Q6870">
        <v>-2.2392869999999999E-2</v>
      </c>
      <c r="R6870">
        <v>9.0982839999999995E-2</v>
      </c>
      <c r="S6870">
        <v>2.8804780000000001</v>
      </c>
      <c r="T6870">
        <v>-0.26993479999999997</v>
      </c>
      <c r="U6870">
        <v>1.4328000000000001</v>
      </c>
      <c r="V6870">
        <v>-3.8425199999999999E-3</v>
      </c>
      <c r="W6870">
        <v>-8.0906699999999995E-3</v>
      </c>
      <c r="X6870">
        <v>0.99995990000000001</v>
      </c>
      <c r="Y6870">
        <v>-0.36472549999999998</v>
      </c>
      <c r="Z6870">
        <v>8.4655330000000008E-3</v>
      </c>
      <c r="AA6870">
        <v>0.93107660000000003</v>
      </c>
      <c r="AB6870">
        <v>28</v>
      </c>
      <c r="AC6870">
        <v>11.755799999999899</v>
      </c>
      <c r="AD6870">
        <v>-1.1141766857249999</v>
      </c>
      <c r="AE6870">
        <v>5.8994400000000002</v>
      </c>
      <c r="AF6870">
        <v>-4.8185908978824799</v>
      </c>
      <c r="AG6870">
        <v>-1.1141766857249999</v>
      </c>
      <c r="AH6870">
        <v>12.1378374506901</v>
      </c>
      <c r="AI6870">
        <v>94.876470646453299</v>
      </c>
      <c r="AJ6870">
        <v>111.65254519801999</v>
      </c>
      <c r="AK6870">
        <v>13.1067656539492</v>
      </c>
      <c r="AL6870">
        <v>90.463566296040696</v>
      </c>
      <c r="AM6870">
        <v>90.220167923798897</v>
      </c>
      <c r="AN6870">
        <v>1.0000000127544999</v>
      </c>
    </row>
    <row r="6871" spans="1:40" x14ac:dyDescent="0.25">
      <c r="A6871" t="str">
        <f>"20190312155009451"</f>
        <v>20190312155009451</v>
      </c>
      <c r="B6871" t="str">
        <f>"1552377009442352"</f>
        <v>1552377009442352</v>
      </c>
      <c r="C6871" t="s">
        <v>40</v>
      </c>
      <c r="D6871">
        <v>4.7617760000000002</v>
      </c>
      <c r="E6871">
        <v>0.35394520000000002</v>
      </c>
      <c r="F6871" t="s">
        <v>65</v>
      </c>
      <c r="G6871">
        <v>-202.13159999999999</v>
      </c>
      <c r="H6871" s="1">
        <v>-5.7326949999999998E-6</v>
      </c>
      <c r="I6871">
        <v>-55.062130000000003</v>
      </c>
      <c r="J6871">
        <v>-213.85149999999999</v>
      </c>
      <c r="K6871">
        <v>1.1142860000000001</v>
      </c>
      <c r="L6871">
        <v>-60.990600000000001</v>
      </c>
      <c r="M6871">
        <v>0.99582959999999998</v>
      </c>
      <c r="N6871">
        <v>0</v>
      </c>
      <c r="O6871">
        <v>9.0098339999999999E-2</v>
      </c>
      <c r="P6871">
        <v>0.99523689999999998</v>
      </c>
      <c r="Q6871">
        <v>-2.2160260000000001E-2</v>
      </c>
      <c r="R6871">
        <v>9.4936870000000007E-2</v>
      </c>
      <c r="S6871">
        <v>2.8754879999999998</v>
      </c>
      <c r="T6871">
        <v>-0.27010040000000002</v>
      </c>
      <c r="U6871">
        <v>1.4409179999999999</v>
      </c>
      <c r="V6871">
        <v>-4.7890119999999996E-3</v>
      </c>
      <c r="W6871">
        <v>-7.8587309999999903E-3</v>
      </c>
      <c r="X6871">
        <v>0.99995769999999995</v>
      </c>
      <c r="Y6871">
        <v>-0.36466490000000001</v>
      </c>
      <c r="Z6871">
        <v>8.2131310000000003E-3</v>
      </c>
      <c r="AA6871">
        <v>0.9311026</v>
      </c>
      <c r="AB6871">
        <v>28</v>
      </c>
      <c r="AC6871">
        <v>11.7198999999999</v>
      </c>
      <c r="AD6871">
        <v>-1.1142917326949999</v>
      </c>
      <c r="AE6871">
        <v>5.9284699999999901</v>
      </c>
      <c r="AF6871">
        <v>-4.8136531782827099</v>
      </c>
      <c r="AG6871">
        <v>-1.1142917326949999</v>
      </c>
      <c r="AH6871">
        <v>12.1191922155204</v>
      </c>
      <c r="AI6871">
        <v>94.884099638165097</v>
      </c>
      <c r="AJ6871">
        <v>111.66260855004801</v>
      </c>
      <c r="AK6871">
        <v>13.0876935685045</v>
      </c>
      <c r="AL6871">
        <v>90.450276731900999</v>
      </c>
      <c r="AM6871">
        <v>90.274399684915906</v>
      </c>
      <c r="AN6871">
        <v>1.0000000480390701</v>
      </c>
    </row>
    <row r="6872" spans="1:40" x14ac:dyDescent="0.25">
      <c r="A6872" t="str">
        <f>"20190312155009461"</f>
        <v>20190312155009461</v>
      </c>
      <c r="B6872" t="str">
        <f>"1552377009453088"</f>
        <v>1552377009453088</v>
      </c>
      <c r="C6872" t="s">
        <v>40</v>
      </c>
      <c r="D6872">
        <v>4.7772779999999999</v>
      </c>
      <c r="E6872">
        <v>0.35394520000000002</v>
      </c>
      <c r="F6872" t="s">
        <v>65</v>
      </c>
      <c r="G6872">
        <v>-202.0684</v>
      </c>
      <c r="H6872" s="1">
        <v>-5.7598079999999997E-6</v>
      </c>
      <c r="I6872">
        <v>-55.0417699999999</v>
      </c>
      <c r="J6872">
        <v>-213.70679999999999</v>
      </c>
      <c r="K6872">
        <v>1.1144069999999999</v>
      </c>
      <c r="L6872">
        <v>-60.974369999999901</v>
      </c>
      <c r="M6872">
        <v>0.99553899999999995</v>
      </c>
      <c r="N6872">
        <v>0</v>
      </c>
      <c r="O6872">
        <v>9.3250639999999996E-2</v>
      </c>
      <c r="P6872">
        <v>0.99485670000000004</v>
      </c>
      <c r="Q6872">
        <v>-2.1751280000000001E-2</v>
      </c>
      <c r="R6872">
        <v>9.8931069999999996E-2</v>
      </c>
      <c r="S6872">
        <v>2.8701020000000002</v>
      </c>
      <c r="T6872">
        <v>-0.27141739999999998</v>
      </c>
      <c r="U6872">
        <v>1.4490050000000001</v>
      </c>
      <c r="V6872">
        <v>-5.6377619999999897E-3</v>
      </c>
      <c r="W6872">
        <v>-7.44941599999999E-3</v>
      </c>
      <c r="X6872">
        <v>0.99995639999999997</v>
      </c>
      <c r="Y6872">
        <v>-0.3645118</v>
      </c>
      <c r="Z6872">
        <v>7.9785700000000008E-3</v>
      </c>
      <c r="AA6872">
        <v>0.93116460000000001</v>
      </c>
      <c r="AB6872">
        <v>28</v>
      </c>
      <c r="AC6872">
        <v>11.638399999999899</v>
      </c>
      <c r="AD6872">
        <v>-1.114412759808</v>
      </c>
      <c r="AE6872">
        <v>5.9325999999999999</v>
      </c>
      <c r="AF6872">
        <v>-4.7865095496598302</v>
      </c>
      <c r="AG6872">
        <v>-1.114412759808</v>
      </c>
      <c r="AH6872">
        <v>12.0532338388602</v>
      </c>
      <c r="AI6872">
        <v>94.911358604081599</v>
      </c>
      <c r="AJ6872">
        <v>111.658726594792</v>
      </c>
      <c r="AK6872">
        <v>13.016644553895301</v>
      </c>
      <c r="AL6872">
        <v>90.426824027294401</v>
      </c>
      <c r="AM6872">
        <v>90.323030630073802</v>
      </c>
      <c r="AN6872">
        <v>1.00000004003003</v>
      </c>
    </row>
    <row r="6873" spans="1:40" x14ac:dyDescent="0.25">
      <c r="A6873" t="str">
        <f>"20190312155009474"</f>
        <v>20190312155009474</v>
      </c>
      <c r="B6873" t="str">
        <f>"1552377009462849"</f>
        <v>1552377009462849</v>
      </c>
      <c r="C6873" t="s">
        <v>40</v>
      </c>
      <c r="D6873">
        <v>4.7921239999999896</v>
      </c>
      <c r="E6873">
        <v>0.36823260000000002</v>
      </c>
      <c r="F6873" t="s">
        <v>65</v>
      </c>
      <c r="G6873">
        <v>-201.9246</v>
      </c>
      <c r="H6873" s="1">
        <v>-5.8258570000000003E-6</v>
      </c>
      <c r="I6873">
        <v>-54.967419999999997</v>
      </c>
      <c r="J6873">
        <v>-213.56270000000001</v>
      </c>
      <c r="K6873">
        <v>1.1145320000000001</v>
      </c>
      <c r="L6873">
        <v>-60.957549999999998</v>
      </c>
      <c r="M6873">
        <v>0.99522820000000001</v>
      </c>
      <c r="N6873">
        <v>0</v>
      </c>
      <c r="O6873">
        <v>9.6511040000000006E-2</v>
      </c>
      <c r="P6873">
        <v>0.99445680000000003</v>
      </c>
      <c r="Q6873">
        <v>-2.1496609999999999E-2</v>
      </c>
      <c r="R6873">
        <v>0.10292610000000001</v>
      </c>
      <c r="S6873">
        <v>2.8643489999999998</v>
      </c>
      <c r="T6873">
        <v>-0.27092090000000002</v>
      </c>
      <c r="U6873">
        <v>1.4603269999999999</v>
      </c>
      <c r="V6873">
        <v>-6.3787440000000004E-3</v>
      </c>
      <c r="W6873">
        <v>-7.1929430000000003E-3</v>
      </c>
      <c r="X6873">
        <v>0.9999538</v>
      </c>
      <c r="Y6873">
        <v>-0.36515249999999999</v>
      </c>
      <c r="Z6873">
        <v>7.7146139999999998E-3</v>
      </c>
      <c r="AA6873">
        <v>0.93091579999999996</v>
      </c>
      <c r="AB6873">
        <v>28</v>
      </c>
      <c r="AC6873">
        <v>11.6381</v>
      </c>
      <c r="AD6873">
        <v>-1.114537825857</v>
      </c>
      <c r="AE6873">
        <v>5.9901299999999997</v>
      </c>
      <c r="AF6873">
        <v>-4.8040095428693599</v>
      </c>
      <c r="AG6873">
        <v>-1.114537825857</v>
      </c>
      <c r="AH6873">
        <v>12.074389950870501</v>
      </c>
      <c r="AI6873">
        <v>94.902080748291993</v>
      </c>
      <c r="AJ6873">
        <v>111.696010715423</v>
      </c>
      <c r="AK6873">
        <v>13.0426835788855</v>
      </c>
      <c r="AL6873">
        <v>90.412128824083297</v>
      </c>
      <c r="AM6873">
        <v>90.365487038095694</v>
      </c>
      <c r="AN6873">
        <v>1.00000001446922</v>
      </c>
    </row>
    <row r="6874" spans="1:40" x14ac:dyDescent="0.25">
      <c r="A6874" t="str">
        <f>"20190312155009485"</f>
        <v>20190312155009485</v>
      </c>
      <c r="B6874" t="str">
        <f>"1552377009472609"</f>
        <v>1552377009472609</v>
      </c>
      <c r="C6874" t="s">
        <v>40</v>
      </c>
      <c r="D6874">
        <v>4.760338</v>
      </c>
      <c r="E6874">
        <v>0.36865819999999999</v>
      </c>
      <c r="F6874" t="s">
        <v>65</v>
      </c>
      <c r="G6874">
        <v>-202.43090000000001</v>
      </c>
      <c r="H6874" s="1">
        <v>-5.50551799999999E-6</v>
      </c>
      <c r="I6874">
        <v>-55.68676</v>
      </c>
      <c r="J6874">
        <v>-213.41929999999999</v>
      </c>
      <c r="K6874">
        <v>1.1146590000000001</v>
      </c>
      <c r="L6874">
        <v>-60.9405199999999</v>
      </c>
      <c r="M6874">
        <v>0.9949036</v>
      </c>
      <c r="N6874">
        <v>0</v>
      </c>
      <c r="O6874">
        <v>9.979789E-2</v>
      </c>
      <c r="P6874">
        <v>0.9940504</v>
      </c>
      <c r="Q6874">
        <v>-2.167262E-2</v>
      </c>
      <c r="R6874">
        <v>0.1067434</v>
      </c>
      <c r="S6874">
        <v>2.8698730000000001</v>
      </c>
      <c r="T6874">
        <v>-0.28733750000000002</v>
      </c>
      <c r="U6874">
        <v>1.3588559999999901</v>
      </c>
      <c r="V6874">
        <v>-6.9113369999999896E-3</v>
      </c>
      <c r="W6874">
        <v>-7.3656850000000003E-3</v>
      </c>
      <c r="X6874">
        <v>0.99994899999999998</v>
      </c>
      <c r="Y6874">
        <v>-0.33464939999999999</v>
      </c>
      <c r="Z6874">
        <v>6.4688590000000004E-3</v>
      </c>
      <c r="AA6874">
        <v>0.94232050000000001</v>
      </c>
      <c r="AB6874">
        <v>28</v>
      </c>
      <c r="AC6874">
        <v>10.988399999999899</v>
      </c>
      <c r="AD6874">
        <v>-1.114664505518</v>
      </c>
      <c r="AE6874">
        <v>5.25375999999999</v>
      </c>
      <c r="AF6874">
        <v>-4.0964835692476003</v>
      </c>
      <c r="AG6874">
        <v>-1.114664505518</v>
      </c>
      <c r="AH6874">
        <v>11.362731676595599</v>
      </c>
      <c r="AI6874">
        <v>95.272559118963599</v>
      </c>
      <c r="AJ6874">
        <v>109.82520978933</v>
      </c>
      <c r="AK6874">
        <v>12.1299351089478</v>
      </c>
      <c r="AL6874">
        <v>90.422026475090405</v>
      </c>
      <c r="AM6874">
        <v>90.396004331614805</v>
      </c>
      <c r="AN6874">
        <v>1.00000001124782</v>
      </c>
    </row>
    <row r="6875" spans="1:40" x14ac:dyDescent="0.25">
      <c r="A6875" t="str">
        <f>"20190312155009496"</f>
        <v>20190312155009496</v>
      </c>
      <c r="B6875" t="str">
        <f>"1552377009493104"</f>
        <v>1552377009493104</v>
      </c>
      <c r="C6875" t="s">
        <v>40</v>
      </c>
      <c r="D6875">
        <v>4.7189019999999999</v>
      </c>
      <c r="E6875">
        <v>0.36810130000000002</v>
      </c>
      <c r="F6875" t="s">
        <v>65</v>
      </c>
      <c r="G6875">
        <v>-202.2465</v>
      </c>
      <c r="H6875" s="1">
        <v>-5.6033150000000004E-6</v>
      </c>
      <c r="I6875">
        <v>-55.61215</v>
      </c>
      <c r="J6875">
        <v>-213.2835</v>
      </c>
      <c r="K6875">
        <v>1.1147860000000001</v>
      </c>
      <c r="L6875">
        <v>-60.923459999999999</v>
      </c>
      <c r="M6875">
        <v>0.99456889999999998</v>
      </c>
      <c r="N6875">
        <v>0</v>
      </c>
      <c r="O6875">
        <v>0.1030794</v>
      </c>
      <c r="P6875">
        <v>0.99364479999999999</v>
      </c>
      <c r="Q6875">
        <v>-2.1847829999999999E-2</v>
      </c>
      <c r="R6875">
        <v>0.11042059999999999</v>
      </c>
      <c r="S6875">
        <v>2.865005</v>
      </c>
      <c r="T6875">
        <v>-0.28582920000000001</v>
      </c>
      <c r="U6875">
        <v>1.366333</v>
      </c>
      <c r="V6875">
        <v>-7.30803599999999E-3</v>
      </c>
      <c r="W6875">
        <v>-7.53461199999999E-3</v>
      </c>
      <c r="X6875">
        <v>0.99994490000000003</v>
      </c>
      <c r="Y6875">
        <v>-0.33418999999999999</v>
      </c>
      <c r="Z6875">
        <v>6.1148219999999998E-3</v>
      </c>
      <c r="AA6875">
        <v>0.94248589999999999</v>
      </c>
      <c r="AB6875">
        <v>28</v>
      </c>
      <c r="AC6875">
        <v>11.037000000000001</v>
      </c>
      <c r="AD6875">
        <v>-1.114791603315</v>
      </c>
      <c r="AE6875">
        <v>5.31130999999999</v>
      </c>
      <c r="AF6875">
        <v>-4.1111507591708101</v>
      </c>
      <c r="AG6875">
        <v>-1.114791603315</v>
      </c>
      <c r="AH6875">
        <v>11.431047543448001</v>
      </c>
      <c r="AI6875">
        <v>95.243267011263995</v>
      </c>
      <c r="AJ6875">
        <v>109.781008480575</v>
      </c>
      <c r="AK6875">
        <v>12.1989003120782</v>
      </c>
      <c r="AL6875">
        <v>90.431705556759098</v>
      </c>
      <c r="AM6875">
        <v>90.418735236817895</v>
      </c>
      <c r="AN6875">
        <v>0.99999999040208898</v>
      </c>
    </row>
    <row r="6876" spans="1:40" x14ac:dyDescent="0.25">
      <c r="A6876" t="str">
        <f>"20190312155009506"</f>
        <v>20190312155009506</v>
      </c>
      <c r="B6876" t="str">
        <f>"1552377009502864"</f>
        <v>1552377009502864</v>
      </c>
      <c r="C6876" t="s">
        <v>40</v>
      </c>
      <c r="D6876">
        <v>4.6964519999999998</v>
      </c>
      <c r="E6876">
        <v>0.36753140000000001</v>
      </c>
      <c r="F6876" t="s">
        <v>65</v>
      </c>
      <c r="G6876">
        <v>-201.70760000000001</v>
      </c>
      <c r="H6876" s="1">
        <v>-5.8508040000000001E-6</v>
      </c>
      <c r="I6876">
        <v>-55.333399999999997</v>
      </c>
      <c r="J6876">
        <v>-213.15989999999999</v>
      </c>
      <c r="K6876">
        <v>1.114905</v>
      </c>
      <c r="L6876">
        <v>-60.90784</v>
      </c>
      <c r="M6876">
        <v>0.99425330000000001</v>
      </c>
      <c r="N6876">
        <v>0</v>
      </c>
      <c r="O6876">
        <v>0.1060786</v>
      </c>
      <c r="P6876">
        <v>0.9932761</v>
      </c>
      <c r="Q6876">
        <v>-2.2050320000000002E-2</v>
      </c>
      <c r="R6876">
        <v>0.11365069999999999</v>
      </c>
      <c r="S6876">
        <v>2.85968</v>
      </c>
      <c r="T6876">
        <v>-0.275395</v>
      </c>
      <c r="U6876">
        <v>1.380951</v>
      </c>
      <c r="V6876">
        <v>-7.5397540000000001E-3</v>
      </c>
      <c r="W6876">
        <v>-7.7305759999999899E-3</v>
      </c>
      <c r="X6876">
        <v>0.99994170000000004</v>
      </c>
      <c r="Y6876">
        <v>-0.33601409999999998</v>
      </c>
      <c r="Z6876">
        <v>5.7110249999999998E-3</v>
      </c>
      <c r="AA6876">
        <v>0.9418396</v>
      </c>
      <c r="AB6876">
        <v>28</v>
      </c>
      <c r="AC6876">
        <v>11.4522999999999</v>
      </c>
      <c r="AD6876">
        <v>-1.114910850804</v>
      </c>
      <c r="AE6876">
        <v>5.5744400000000001</v>
      </c>
      <c r="AF6876">
        <v>-4.2951012316229704</v>
      </c>
      <c r="AG6876">
        <v>-1.114910850804</v>
      </c>
      <c r="AH6876">
        <v>11.8879726280755</v>
      </c>
      <c r="AI6876">
        <v>95.040692843611197</v>
      </c>
      <c r="AJ6876">
        <v>109.864688616327</v>
      </c>
      <c r="AK6876">
        <v>12.6891612804394</v>
      </c>
      <c r="AL6876">
        <v>90.442933786933494</v>
      </c>
      <c r="AM6876">
        <v>90.432013082432206</v>
      </c>
      <c r="AN6876">
        <v>1.0000000065472801</v>
      </c>
    </row>
    <row r="6877" spans="1:40" x14ac:dyDescent="0.25">
      <c r="A6877" t="str">
        <f>"20190312155009517"</f>
        <v>20190312155009517</v>
      </c>
      <c r="B6877" t="str">
        <f>"1552377009512625"</f>
        <v>1552377009512625</v>
      </c>
      <c r="C6877" t="s">
        <v>40</v>
      </c>
      <c r="D6877">
        <v>4.779884</v>
      </c>
      <c r="E6877">
        <v>0.3681701</v>
      </c>
      <c r="F6877" t="s">
        <v>65</v>
      </c>
      <c r="G6877">
        <v>-201.4109</v>
      </c>
      <c r="H6877" s="1">
        <v>-5.9888530000000001E-6</v>
      </c>
      <c r="I6877">
        <v>-55.16845</v>
      </c>
      <c r="J6877">
        <v>-213.01509999999999</v>
      </c>
      <c r="K6877">
        <v>1.1150450000000001</v>
      </c>
      <c r="L6877">
        <v>-60.888550000000002</v>
      </c>
      <c r="M6877">
        <v>0.99385279999999998</v>
      </c>
      <c r="N6877">
        <v>0</v>
      </c>
      <c r="O6877">
        <v>0.1097655</v>
      </c>
      <c r="P6877">
        <v>0.99280429999999997</v>
      </c>
      <c r="Q6877">
        <v>-2.204414E-2</v>
      </c>
      <c r="R6877">
        <v>0.1177026</v>
      </c>
      <c r="S6877">
        <v>2.8547210000000001</v>
      </c>
      <c r="T6877">
        <v>-0.27089609999999997</v>
      </c>
      <c r="U6877">
        <v>1.394531</v>
      </c>
      <c r="V6877">
        <v>-7.9083290000000004E-3</v>
      </c>
      <c r="W6877">
        <v>-7.7153059999999999E-3</v>
      </c>
      <c r="X6877">
        <v>0.99993900000000002</v>
      </c>
      <c r="Y6877">
        <v>-0.33682410000000002</v>
      </c>
      <c r="Z6877">
        <v>5.3331530000000002E-3</v>
      </c>
      <c r="AA6877">
        <v>0.94155250000000001</v>
      </c>
      <c r="AB6877">
        <v>28</v>
      </c>
      <c r="AC6877">
        <v>11.604199999999899</v>
      </c>
      <c r="AD6877">
        <v>-1.115050988853</v>
      </c>
      <c r="AE6877">
        <v>5.7201000000000004</v>
      </c>
      <c r="AF6877">
        <v>-4.3791259677090704</v>
      </c>
      <c r="AG6877">
        <v>-1.115050988853</v>
      </c>
      <c r="AH6877">
        <v>12.0723243840982</v>
      </c>
      <c r="AI6877">
        <v>94.962445976705595</v>
      </c>
      <c r="AJ6877">
        <v>109.93777983585299</v>
      </c>
      <c r="AK6877">
        <v>12.890349063686999</v>
      </c>
      <c r="AL6877">
        <v>90.442058841420405</v>
      </c>
      <c r="AM6877">
        <v>90.453132068793295</v>
      </c>
      <c r="AN6877">
        <v>1.00000003566762</v>
      </c>
    </row>
    <row r="6878" spans="1:40" x14ac:dyDescent="0.25">
      <c r="A6878" t="str">
        <f>"20190312155009528"</f>
        <v>20190312155009528</v>
      </c>
      <c r="B6878" t="str">
        <f>"1552377009522384"</f>
        <v>1552377009522384</v>
      </c>
      <c r="C6878" t="s">
        <v>40</v>
      </c>
      <c r="D6878">
        <v>4.7396019999999996</v>
      </c>
      <c r="E6878">
        <v>0.368618</v>
      </c>
      <c r="F6878" t="s">
        <v>65</v>
      </c>
      <c r="G6878">
        <v>-201.4511</v>
      </c>
      <c r="H6878" s="1">
        <v>-5.9682800000000004E-6</v>
      </c>
      <c r="I6878">
        <v>-55.202770000000001</v>
      </c>
      <c r="J6878">
        <v>-212.88059999999999</v>
      </c>
      <c r="K6878">
        <v>1.1151789999999999</v>
      </c>
      <c r="L6878">
        <v>-60.870330000000003</v>
      </c>
      <c r="M6878">
        <v>0.99346239999999997</v>
      </c>
      <c r="N6878">
        <v>0</v>
      </c>
      <c r="O6878">
        <v>0.11324289999999899</v>
      </c>
      <c r="P6878">
        <v>0.99237699999999995</v>
      </c>
      <c r="Q6878">
        <v>-2.204207E-2</v>
      </c>
      <c r="R6878">
        <v>0.1212521</v>
      </c>
      <c r="S6878">
        <v>2.849548</v>
      </c>
      <c r="T6878">
        <v>-0.27476529999999999</v>
      </c>
      <c r="U6878">
        <v>1.401062</v>
      </c>
      <c r="V6878">
        <v>-7.9822350000000007E-3</v>
      </c>
      <c r="W6878">
        <v>-7.701444E-3</v>
      </c>
      <c r="X6878">
        <v>0.99993849999999995</v>
      </c>
      <c r="Y6878">
        <v>-0.33593440000000002</v>
      </c>
      <c r="Z6878">
        <v>5.0640390000000002E-3</v>
      </c>
      <c r="AA6878">
        <v>0.94187180000000004</v>
      </c>
      <c r="AB6878">
        <v>28</v>
      </c>
      <c r="AC6878">
        <v>11.4294999999999</v>
      </c>
      <c r="AD6878">
        <v>-1.1151849682799999</v>
      </c>
      <c r="AE6878">
        <v>5.6675599999999999</v>
      </c>
      <c r="AF6878">
        <v>-4.3037643403225001</v>
      </c>
      <c r="AG6878">
        <v>-1.1151849682799999</v>
      </c>
      <c r="AH6878">
        <v>11.9068578953309</v>
      </c>
      <c r="AI6878">
        <v>95.0337226444544</v>
      </c>
      <c r="AJ6878">
        <v>109.872519547465</v>
      </c>
      <c r="AK6878">
        <v>12.709810775543099</v>
      </c>
      <c r="AL6878">
        <v>90.441264592413006</v>
      </c>
      <c r="AM6878">
        <v>90.457366790334504</v>
      </c>
      <c r="AN6878">
        <v>1.0000000160487601</v>
      </c>
    </row>
    <row r="6879" spans="1:40" x14ac:dyDescent="0.25">
      <c r="A6879" t="str">
        <f>"20190312155009538"</f>
        <v>20190312155009538</v>
      </c>
      <c r="B6879" t="str">
        <f>"1552377009533121"</f>
        <v>1552377009533121</v>
      </c>
      <c r="C6879" t="s">
        <v>40</v>
      </c>
      <c r="D6879">
        <v>4.7366449999999896</v>
      </c>
      <c r="E6879">
        <v>0.36934220000000001</v>
      </c>
      <c r="F6879" t="s">
        <v>65</v>
      </c>
      <c r="G6879">
        <v>-201.40289999999999</v>
      </c>
      <c r="H6879" s="1">
        <v>-5.988226E-6</v>
      </c>
      <c r="I6879">
        <v>-55.191879999999998</v>
      </c>
      <c r="J6879">
        <v>-212.7467</v>
      </c>
      <c r="K6879">
        <v>1.1153139999999999</v>
      </c>
      <c r="L6879">
        <v>-60.851439999999997</v>
      </c>
      <c r="M6879">
        <v>0.99304829999999999</v>
      </c>
      <c r="N6879">
        <v>0</v>
      </c>
      <c r="O6879">
        <v>0.1168163</v>
      </c>
      <c r="P6879">
        <v>0.99192449999999999</v>
      </c>
      <c r="Q6879">
        <v>-2.212832E-2</v>
      </c>
      <c r="R6879">
        <v>0.1248851</v>
      </c>
      <c r="S6879">
        <v>2.8449399999999998</v>
      </c>
      <c r="T6879">
        <v>-0.276418099999999</v>
      </c>
      <c r="U6879">
        <v>1.4075009999999999</v>
      </c>
      <c r="V6879">
        <v>-8.0427859999999997E-3</v>
      </c>
      <c r="W6879">
        <v>-7.7742829999999999E-3</v>
      </c>
      <c r="X6879">
        <v>0.99993739999999998</v>
      </c>
      <c r="Y6879">
        <v>-0.33487099999999997</v>
      </c>
      <c r="Z6879">
        <v>4.7293539999999998E-3</v>
      </c>
      <c r="AA6879">
        <v>0.94225210000000004</v>
      </c>
      <c r="AB6879">
        <v>28</v>
      </c>
      <c r="AC6879">
        <v>11.3438</v>
      </c>
      <c r="AD6879">
        <v>-1.1153199882260001</v>
      </c>
      <c r="AE6879">
        <v>5.6595599999999902</v>
      </c>
      <c r="AF6879">
        <v>-4.2625320050962898</v>
      </c>
      <c r="AG6879">
        <v>-1.1153199882260001</v>
      </c>
      <c r="AH6879">
        <v>11.835706610657599</v>
      </c>
      <c r="AI6879">
        <v>95.066545022349899</v>
      </c>
      <c r="AJ6879">
        <v>109.806065530162</v>
      </c>
      <c r="AK6879">
        <v>12.6292148902523</v>
      </c>
      <c r="AL6879">
        <v>90.445438107359394</v>
      </c>
      <c r="AM6879">
        <v>90.460836604626294</v>
      </c>
      <c r="AN6879">
        <v>0.99999996490078202</v>
      </c>
    </row>
    <row r="6880" spans="1:40" x14ac:dyDescent="0.25">
      <c r="A6880" t="str">
        <f>"20190312155009550"</f>
        <v>20190312155009550</v>
      </c>
      <c r="B6880" t="str">
        <f>"1552377009542880"</f>
        <v>1552377009542880</v>
      </c>
      <c r="C6880" t="s">
        <v>40</v>
      </c>
      <c r="D6880">
        <v>4.7344330000000001</v>
      </c>
      <c r="E6880">
        <v>0.3698787</v>
      </c>
      <c r="F6880" t="s">
        <v>65</v>
      </c>
      <c r="G6880">
        <v>-201.30029999999999</v>
      </c>
      <c r="H6880" s="1">
        <v>-6.0318409999999899E-6</v>
      </c>
      <c r="I6880">
        <v>-55.161299999999997</v>
      </c>
      <c r="J6880">
        <v>-212.6045</v>
      </c>
      <c r="K6880">
        <v>1.115456</v>
      </c>
      <c r="L6880">
        <v>-60.83081</v>
      </c>
      <c r="M6880">
        <v>0.99258329999999995</v>
      </c>
      <c r="N6880">
        <v>0</v>
      </c>
      <c r="O6880">
        <v>0.12070110000000001</v>
      </c>
      <c r="P6880">
        <v>0.99143760000000003</v>
      </c>
      <c r="Q6880">
        <v>-2.2222499999999999E-2</v>
      </c>
      <c r="R6880">
        <v>0.12867700000000001</v>
      </c>
      <c r="S6880">
        <v>2.8404539999999998</v>
      </c>
      <c r="T6880">
        <v>-0.27676869999999998</v>
      </c>
      <c r="U6880">
        <v>1.412018</v>
      </c>
      <c r="V6880">
        <v>-7.9502789999999993E-3</v>
      </c>
      <c r="W6880">
        <v>-7.8518579999999998E-3</v>
      </c>
      <c r="X6880">
        <v>0.99993759999999998</v>
      </c>
      <c r="Y6880">
        <v>-0.33299600000000001</v>
      </c>
      <c r="Z6880">
        <v>4.3043999999999999E-3</v>
      </c>
      <c r="AA6880">
        <v>0.94291840000000005</v>
      </c>
      <c r="AB6880">
        <v>28</v>
      </c>
      <c r="AC6880">
        <v>11.3042</v>
      </c>
      <c r="AD6880">
        <v>-1.115462031841</v>
      </c>
      <c r="AE6880">
        <v>5.6695099999999998</v>
      </c>
      <c r="AF6880">
        <v>-4.2305643373637096</v>
      </c>
      <c r="AG6880">
        <v>-1.115462031841</v>
      </c>
      <c r="AH6880">
        <v>11.8140102616922</v>
      </c>
      <c r="AI6880">
        <v>95.079729464783</v>
      </c>
      <c r="AJ6880">
        <v>109.702305179787</v>
      </c>
      <c r="AK6880">
        <v>12.598125599485799</v>
      </c>
      <c r="AL6880">
        <v>90.449882933429507</v>
      </c>
      <c r="AM6880">
        <v>90.455536259993195</v>
      </c>
      <c r="AN6880">
        <v>1.0000000312519901</v>
      </c>
    </row>
    <row r="6881" spans="1:40" x14ac:dyDescent="0.25">
      <c r="A6881" t="str">
        <f>"20190312155009561"</f>
        <v>20190312155009561</v>
      </c>
      <c r="B6881" t="str">
        <f>"1552377009552641"</f>
        <v>1552377009552641</v>
      </c>
      <c r="C6881" t="s">
        <v>40</v>
      </c>
      <c r="D6881">
        <v>4.7257879999999997</v>
      </c>
      <c r="E6881">
        <v>0.36979230000000002</v>
      </c>
      <c r="F6881" t="s">
        <v>65</v>
      </c>
      <c r="G6881">
        <v>-201.286</v>
      </c>
      <c r="H6881" s="1">
        <v>-6.0361219999999999E-6</v>
      </c>
      <c r="I6881">
        <v>-55.168390000000002</v>
      </c>
      <c r="J6881">
        <v>-212.46619999999999</v>
      </c>
      <c r="K6881">
        <v>1.1155930000000001</v>
      </c>
      <c r="L6881">
        <v>-60.810180000000003</v>
      </c>
      <c r="M6881">
        <v>0.99210560000000003</v>
      </c>
      <c r="N6881">
        <v>0</v>
      </c>
      <c r="O6881">
        <v>0.1245647</v>
      </c>
      <c r="P6881">
        <v>0.99094510000000002</v>
      </c>
      <c r="Q6881">
        <v>-2.2581830000000001E-2</v>
      </c>
      <c r="R6881">
        <v>0.13235529999999901</v>
      </c>
      <c r="S6881">
        <v>2.835556</v>
      </c>
      <c r="T6881">
        <v>-0.27945140000000002</v>
      </c>
      <c r="U6881">
        <v>1.418579</v>
      </c>
      <c r="V6881">
        <v>-7.7619189999999999E-3</v>
      </c>
      <c r="W6881">
        <v>-8.1934929999999996E-3</v>
      </c>
      <c r="X6881">
        <v>0.9999363</v>
      </c>
      <c r="Y6881">
        <v>-0.33172430000000003</v>
      </c>
      <c r="Z6881">
        <v>3.9402250000000003E-3</v>
      </c>
      <c r="AA6881">
        <v>0.94336810000000004</v>
      </c>
      <c r="AB6881">
        <v>28</v>
      </c>
      <c r="AC6881">
        <v>11.180199999999999</v>
      </c>
      <c r="AD6881">
        <v>-1.1155990361220001</v>
      </c>
      <c r="AE6881">
        <v>5.6417900000000003</v>
      </c>
      <c r="AF6881">
        <v>-4.1719269778425998</v>
      </c>
      <c r="AG6881">
        <v>-1.1155990361220001</v>
      </c>
      <c r="AH6881">
        <v>11.703071777357099</v>
      </c>
      <c r="AI6881">
        <v>95.130865543031106</v>
      </c>
      <c r="AJ6881">
        <v>109.62020361569699</v>
      </c>
      <c r="AK6881">
        <v>12.4744308464883</v>
      </c>
      <c r="AL6881">
        <v>90.469457824755395</v>
      </c>
      <c r="AM6881">
        <v>90.444744597861202</v>
      </c>
      <c r="AN6881">
        <v>0.99999999238589599</v>
      </c>
    </row>
    <row r="6882" spans="1:40" x14ac:dyDescent="0.25">
      <c r="A6882" t="str">
        <f>"20190312155009573"</f>
        <v>20190312155009573</v>
      </c>
      <c r="B6882" t="str">
        <f>"1552377009562401"</f>
        <v>1552377009562401</v>
      </c>
      <c r="C6882" t="s">
        <v>40</v>
      </c>
      <c r="D6882">
        <v>4.7341569999999997</v>
      </c>
      <c r="E6882">
        <v>0.36984830000000002</v>
      </c>
      <c r="F6882" t="s">
        <v>65</v>
      </c>
      <c r="G6882">
        <v>-201.16589999999999</v>
      </c>
      <c r="H6882" s="1">
        <v>-6.0919519999999998E-6</v>
      </c>
      <c r="I6882">
        <v>-55.102089999999997</v>
      </c>
      <c r="J6882">
        <v>-212.33109999999999</v>
      </c>
      <c r="K6882">
        <v>1.115726</v>
      </c>
      <c r="L6882">
        <v>-60.789219999999901</v>
      </c>
      <c r="M6882">
        <v>0.99160800000000004</v>
      </c>
      <c r="N6882">
        <v>0</v>
      </c>
      <c r="O6882">
        <v>0.12846399999999999</v>
      </c>
      <c r="P6882">
        <v>0.99044330000000003</v>
      </c>
      <c r="Q6882">
        <v>-2.2826490000000001E-2</v>
      </c>
      <c r="R6882">
        <v>0.13601939999999901</v>
      </c>
      <c r="S6882">
        <v>2.8301090000000002</v>
      </c>
      <c r="T6882">
        <v>-0.2793969</v>
      </c>
      <c r="U6882">
        <v>1.429565</v>
      </c>
      <c r="V6882">
        <v>-7.5235019999999996E-3</v>
      </c>
      <c r="W6882">
        <v>-8.4192590000000001E-3</v>
      </c>
      <c r="X6882">
        <v>0.9999363</v>
      </c>
      <c r="Y6882">
        <v>-0.33167980000000002</v>
      </c>
      <c r="Z6882">
        <v>3.5867659999999999E-3</v>
      </c>
      <c r="AA6882">
        <v>0.94338520000000003</v>
      </c>
      <c r="AB6882">
        <v>28</v>
      </c>
      <c r="AC6882">
        <v>11.1652</v>
      </c>
      <c r="AD6882">
        <v>-1.115732091952</v>
      </c>
      <c r="AE6882">
        <v>5.6871299999999803</v>
      </c>
      <c r="AF6882">
        <v>-4.1724378518471301</v>
      </c>
      <c r="AG6882">
        <v>-1.115732091952</v>
      </c>
      <c r="AH6882">
        <v>11.7104861332986</v>
      </c>
      <c r="AI6882">
        <v>95.1285363276792</v>
      </c>
      <c r="AJ6882">
        <v>109.61094710145601</v>
      </c>
      <c r="AK6882">
        <v>12.481569661173101</v>
      </c>
      <c r="AL6882">
        <v>90.482393684470495</v>
      </c>
      <c r="AM6882">
        <v>90.431084237863303</v>
      </c>
      <c r="AN6882">
        <v>1.00000004553107</v>
      </c>
    </row>
    <row r="6883" spans="1:40" x14ac:dyDescent="0.25">
      <c r="A6883" t="str">
        <f>"20190312155009583"</f>
        <v>20190312155009583</v>
      </c>
      <c r="B6883" t="str">
        <f>"1552377009573137"</f>
        <v>1552377009573137</v>
      </c>
      <c r="C6883" t="s">
        <v>40</v>
      </c>
      <c r="D6883">
        <v>4.7195900000000002</v>
      </c>
      <c r="E6883">
        <v>0.36988270000000001</v>
      </c>
      <c r="F6883" t="s">
        <v>65</v>
      </c>
      <c r="G6883">
        <v>-201.0085</v>
      </c>
      <c r="H6883" s="1">
        <v>-6.1643969999999999E-6</v>
      </c>
      <c r="I6883">
        <v>-55.019710000000003</v>
      </c>
      <c r="J6883">
        <v>-212.1902</v>
      </c>
      <c r="K6883">
        <v>1.115864</v>
      </c>
      <c r="L6883">
        <v>-60.767060000000001</v>
      </c>
      <c r="M6883">
        <v>0.9910658</v>
      </c>
      <c r="N6883">
        <v>0</v>
      </c>
      <c r="O6883">
        <v>0.13257929999999901</v>
      </c>
      <c r="P6883">
        <v>0.98990089999999997</v>
      </c>
      <c r="Q6883">
        <v>-2.292746E-2</v>
      </c>
      <c r="R6883">
        <v>0.1398944</v>
      </c>
      <c r="S6883">
        <v>2.8248600000000001</v>
      </c>
      <c r="T6883">
        <v>-0.27836159999999999</v>
      </c>
      <c r="U6883">
        <v>1.4394229999999999</v>
      </c>
      <c r="V6883">
        <v>-7.2822310000000001E-3</v>
      </c>
      <c r="W6883">
        <v>-8.5010119999999901E-3</v>
      </c>
      <c r="X6883">
        <v>0.99993739999999998</v>
      </c>
      <c r="Y6883">
        <v>-0.3311095</v>
      </c>
      <c r="Z6883">
        <v>3.1779379999999999E-3</v>
      </c>
      <c r="AA6883">
        <v>0.94358699999999995</v>
      </c>
      <c r="AB6883">
        <v>28</v>
      </c>
      <c r="AC6883">
        <v>11.181699999999999</v>
      </c>
      <c r="AD6883">
        <v>-1.1158701643969999</v>
      </c>
      <c r="AE6883">
        <v>5.74735</v>
      </c>
      <c r="AF6883">
        <v>-4.1810483342021998</v>
      </c>
      <c r="AG6883">
        <v>-1.1158701643969999</v>
      </c>
      <c r="AH6883">
        <v>11.7524495446934</v>
      </c>
      <c r="AI6883">
        <v>95.111817319396195</v>
      </c>
      <c r="AJ6883">
        <v>109.58351082182401</v>
      </c>
      <c r="AK6883">
        <v>12.5238333467549</v>
      </c>
      <c r="AL6883">
        <v>90.487077951092999</v>
      </c>
      <c r="AM6883">
        <v>90.417259845961397</v>
      </c>
      <c r="AN6883">
        <v>1.0000000510060501</v>
      </c>
    </row>
    <row r="6884" spans="1:40" x14ac:dyDescent="0.25">
      <c r="A6884" t="str">
        <f>"20190312155009595"</f>
        <v>20190312155009595</v>
      </c>
      <c r="B6884" t="str">
        <f>"1552377009592657"</f>
        <v>1552377009592657</v>
      </c>
      <c r="C6884" t="s">
        <v>40</v>
      </c>
      <c r="D6884">
        <v>4.7804710000000004</v>
      </c>
      <c r="E6884">
        <v>0.3706835</v>
      </c>
      <c r="F6884" t="s">
        <v>65</v>
      </c>
      <c r="G6884">
        <v>-200.803</v>
      </c>
      <c r="H6884" s="1">
        <v>-6.25927E-6</v>
      </c>
      <c r="I6884">
        <v>-54.910049999999998</v>
      </c>
      <c r="J6884">
        <v>-212.05840000000001</v>
      </c>
      <c r="K6884">
        <v>1.115996</v>
      </c>
      <c r="L6884">
        <v>-60.745179999999998</v>
      </c>
      <c r="M6884">
        <v>0.99051920000000004</v>
      </c>
      <c r="N6884">
        <v>0</v>
      </c>
      <c r="O6884">
        <v>0.1366011</v>
      </c>
      <c r="P6884">
        <v>0.98934860000000002</v>
      </c>
      <c r="Q6884">
        <v>-2.299145E-2</v>
      </c>
      <c r="R6884">
        <v>0.1437389</v>
      </c>
      <c r="S6884">
        <v>2.8192900000000001</v>
      </c>
      <c r="T6884">
        <v>-0.27627180000000001</v>
      </c>
      <c r="U6884">
        <v>1.4501040000000001</v>
      </c>
      <c r="V6884">
        <v>-7.1043800000000004E-3</v>
      </c>
      <c r="W6884">
        <v>-8.5456239999999999E-3</v>
      </c>
      <c r="X6884">
        <v>0.9999382</v>
      </c>
      <c r="Y6884">
        <v>-0.33089170000000001</v>
      </c>
      <c r="Z6884">
        <v>2.786031E-3</v>
      </c>
      <c r="AA6884">
        <v>0.94366459999999996</v>
      </c>
      <c r="AB6884">
        <v>28</v>
      </c>
      <c r="AC6884">
        <v>11.2554</v>
      </c>
      <c r="AD6884">
        <v>-1.1160022592700001</v>
      </c>
      <c r="AE6884">
        <v>5.8351300000000004</v>
      </c>
      <c r="AF6884">
        <v>-4.2101348878345597</v>
      </c>
      <c r="AG6884">
        <v>-1.1160022592700001</v>
      </c>
      <c r="AH6884">
        <v>11.8551789979765</v>
      </c>
      <c r="AI6884">
        <v>95.069351390036005</v>
      </c>
      <c r="AJ6884">
        <v>109.551499063679</v>
      </c>
      <c r="AK6884">
        <v>12.629963020156501</v>
      </c>
      <c r="AL6884">
        <v>90.489634171674695</v>
      </c>
      <c r="AM6884">
        <v>90.407069298045599</v>
      </c>
      <c r="AN6884">
        <v>0.99999995186198498</v>
      </c>
    </row>
    <row r="6885" spans="1:40" x14ac:dyDescent="0.25">
      <c r="A6885" t="str">
        <f>"20190312155009606"</f>
        <v>20190312155009606</v>
      </c>
      <c r="B6885" t="str">
        <f>"1552377009602417"</f>
        <v>1552377009602417</v>
      </c>
      <c r="C6885" t="s">
        <v>40</v>
      </c>
      <c r="D6885">
        <v>4.8226899999999997</v>
      </c>
      <c r="E6885">
        <v>0.37107760000000001</v>
      </c>
      <c r="F6885" t="s">
        <v>65</v>
      </c>
      <c r="G6885">
        <v>-200.55840000000001</v>
      </c>
      <c r="H6885" s="1">
        <v>-6.3687669999999996E-6</v>
      </c>
      <c r="I6885">
        <v>-54.801729999999999</v>
      </c>
      <c r="J6885">
        <v>-211.923</v>
      </c>
      <c r="K6885">
        <v>1.116131</v>
      </c>
      <c r="L6885">
        <v>-60.722529999999999</v>
      </c>
      <c r="M6885">
        <v>0.98993690000000001</v>
      </c>
      <c r="N6885">
        <v>0</v>
      </c>
      <c r="O6885">
        <v>0.1407571</v>
      </c>
      <c r="P6885">
        <v>0.9887475</v>
      </c>
      <c r="Q6885">
        <v>-2.3148209999999999E-2</v>
      </c>
      <c r="R6885">
        <v>0.14779249999999999</v>
      </c>
      <c r="S6885">
        <v>2.8146059999999999</v>
      </c>
      <c r="T6885">
        <v>-0.2731403</v>
      </c>
      <c r="U6885">
        <v>1.4546509999999999</v>
      </c>
      <c r="V6885">
        <v>-7.0018579999999997E-3</v>
      </c>
      <c r="W6885">
        <v>-8.6843030000000009E-3</v>
      </c>
      <c r="X6885">
        <v>0.99993779999999999</v>
      </c>
      <c r="Y6885">
        <v>-0.32881169999999998</v>
      </c>
      <c r="Z6885">
        <v>2.2935619999999999E-3</v>
      </c>
      <c r="AA6885">
        <v>0.94439269999999997</v>
      </c>
      <c r="AB6885">
        <v>28</v>
      </c>
      <c r="AC6885">
        <v>11.3645999999999</v>
      </c>
      <c r="AD6885">
        <v>-1.116137368767</v>
      </c>
      <c r="AE6885">
        <v>5.9207999999999998</v>
      </c>
      <c r="AF6885">
        <v>-4.2299328930667004</v>
      </c>
      <c r="AG6885">
        <v>-1.116137368767</v>
      </c>
      <c r="AH6885">
        <v>11.9939241588673</v>
      </c>
      <c r="AI6885">
        <v>95.015468450062698</v>
      </c>
      <c r="AJ6885">
        <v>109.42636894246399</v>
      </c>
      <c r="AK6885">
        <v>12.7668442316207</v>
      </c>
      <c r="AL6885">
        <v>90.497580152696003</v>
      </c>
      <c r="AM6885">
        <v>90.401195309840205</v>
      </c>
      <c r="AN6885">
        <v>1.0000000235014399</v>
      </c>
    </row>
    <row r="6886" spans="1:40" x14ac:dyDescent="0.25">
      <c r="A6886" t="str">
        <f>"20190312155009617"</f>
        <v>20190312155009617</v>
      </c>
      <c r="B6886" t="str">
        <f>"1552377009612179"</f>
        <v>1552377009612179</v>
      </c>
      <c r="C6886" t="s">
        <v>40</v>
      </c>
      <c r="D6886">
        <v>4.7638939999999996</v>
      </c>
      <c r="E6886">
        <v>0.37139549999999999</v>
      </c>
      <c r="F6886" t="s">
        <v>65</v>
      </c>
      <c r="G6886">
        <v>-200.36340000000001</v>
      </c>
      <c r="H6886" s="1">
        <v>-6.457976E-6</v>
      </c>
      <c r="I6886">
        <v>-54.703000000000003</v>
      </c>
      <c r="J6886">
        <v>-211.78559999999999</v>
      </c>
      <c r="K6886">
        <v>1.116274</v>
      </c>
      <c r="L6886">
        <v>-60.698430000000002</v>
      </c>
      <c r="M6886">
        <v>0.98930280000000004</v>
      </c>
      <c r="N6886">
        <v>0</v>
      </c>
      <c r="O6886">
        <v>0.1451443</v>
      </c>
      <c r="P6886">
        <v>0.98810359999999997</v>
      </c>
      <c r="Q6886">
        <v>-2.3271969999999999E-2</v>
      </c>
      <c r="R6886">
        <v>0.15201809999999999</v>
      </c>
      <c r="S6886">
        <v>2.8091430000000002</v>
      </c>
      <c r="T6886">
        <v>-0.2712367</v>
      </c>
      <c r="U6886">
        <v>1.4628300000000001</v>
      </c>
      <c r="V6886">
        <v>-6.8392599999999998E-3</v>
      </c>
      <c r="W6886">
        <v>-8.7862110000000004E-3</v>
      </c>
      <c r="X6886">
        <v>0.99993799999999999</v>
      </c>
      <c r="Y6886">
        <v>-0.32756879999999999</v>
      </c>
      <c r="Z6886">
        <v>1.836903E-3</v>
      </c>
      <c r="AA6886">
        <v>0.94482549999999998</v>
      </c>
      <c r="AB6886">
        <v>28</v>
      </c>
      <c r="AC6886">
        <v>11.422199999999901</v>
      </c>
      <c r="AD6886">
        <v>-1.116280457976</v>
      </c>
      <c r="AE6886">
        <v>5.99542999999999</v>
      </c>
      <c r="AF6886">
        <v>-4.2421191342682603</v>
      </c>
      <c r="AG6886">
        <v>-1.116280457976</v>
      </c>
      <c r="AH6886">
        <v>12.0810516821638</v>
      </c>
      <c r="AI6886">
        <v>94.982496817747702</v>
      </c>
      <c r="AJ6886">
        <v>109.34812440008</v>
      </c>
      <c r="AK6886">
        <v>12.8527610480121</v>
      </c>
      <c r="AL6886">
        <v>90.503419291305207</v>
      </c>
      <c r="AM6886">
        <v>90.391878919075097</v>
      </c>
      <c r="AN6886">
        <v>0.99999998841254201</v>
      </c>
    </row>
    <row r="6887" spans="1:40" x14ac:dyDescent="0.25">
      <c r="A6887" t="str">
        <f>"20190312155009628"</f>
        <v>20190312155009628</v>
      </c>
      <c r="B6887" t="str">
        <f>"1552377009622913"</f>
        <v>1552377009622913</v>
      </c>
      <c r="C6887" t="s">
        <v>40</v>
      </c>
      <c r="D6887">
        <v>4.9960420000000001</v>
      </c>
      <c r="E6887">
        <v>0.37181520000000001</v>
      </c>
      <c r="F6887" t="s">
        <v>65</v>
      </c>
      <c r="G6887">
        <v>-200.24289999999999</v>
      </c>
      <c r="H6887" s="1">
        <v>-6.5140400000000001E-6</v>
      </c>
      <c r="I6887">
        <v>-54.636020000000002</v>
      </c>
      <c r="J6887">
        <v>-211.65100000000001</v>
      </c>
      <c r="K6887">
        <v>1.1164099999999999</v>
      </c>
      <c r="L6887">
        <v>-60.674349999999997</v>
      </c>
      <c r="M6887">
        <v>0.98865420000000004</v>
      </c>
      <c r="N6887">
        <v>0</v>
      </c>
      <c r="O6887">
        <v>0.14949709999999999</v>
      </c>
      <c r="P6887">
        <v>0.98735649999999997</v>
      </c>
      <c r="Q6887">
        <v>-2.3634260000000001E-2</v>
      </c>
      <c r="R6887">
        <v>0.1567452</v>
      </c>
      <c r="S6887">
        <v>2.803207</v>
      </c>
      <c r="T6887">
        <v>-0.27109519999999998</v>
      </c>
      <c r="U6887">
        <v>1.4722900000000001</v>
      </c>
      <c r="V6887">
        <v>-7.2168689999999999E-3</v>
      </c>
      <c r="W6887">
        <v>-9.1356930000000003E-3</v>
      </c>
      <c r="X6887">
        <v>0.99993220000000005</v>
      </c>
      <c r="Y6887">
        <v>-0.32675140000000003</v>
      </c>
      <c r="Z6887">
        <v>1.4174610000000001E-3</v>
      </c>
      <c r="AA6887">
        <v>0.94510919999999998</v>
      </c>
      <c r="AB6887">
        <v>28</v>
      </c>
      <c r="AC6887">
        <v>11.4080999999999</v>
      </c>
      <c r="AD6887">
        <v>-1.11641651404</v>
      </c>
      <c r="AE6887">
        <v>6.0383300000000002</v>
      </c>
      <c r="AF6887">
        <v>-4.2331295487363603</v>
      </c>
      <c r="AG6887">
        <v>-1.11641651404</v>
      </c>
      <c r="AH6887">
        <v>12.092217070215</v>
      </c>
      <c r="AI6887">
        <v>94.980174511045007</v>
      </c>
      <c r="AJ6887">
        <v>109.293649200825</v>
      </c>
      <c r="AK6887">
        <v>12.8603065780877</v>
      </c>
      <c r="AL6887">
        <v>90.523443946613298</v>
      </c>
      <c r="AM6887">
        <v>90.413516991967995</v>
      </c>
      <c r="AN6887">
        <v>0.99999997434079602</v>
      </c>
    </row>
    <row r="6888" spans="1:40" x14ac:dyDescent="0.25">
      <c r="A6888" t="str">
        <f>"20190312155009638"</f>
        <v>20190312155009638</v>
      </c>
      <c r="B6888" t="str">
        <f>"1552377009632672"</f>
        <v>1552377009632672</v>
      </c>
      <c r="C6888" t="s">
        <v>40</v>
      </c>
      <c r="D6888">
        <v>4.806565</v>
      </c>
      <c r="E6888">
        <v>0.37212430000000002</v>
      </c>
      <c r="F6888" t="s">
        <v>65</v>
      </c>
      <c r="G6888">
        <v>-199.95609999999999</v>
      </c>
      <c r="H6888" s="1">
        <v>-9.3603620000000004E-6</v>
      </c>
      <c r="I6888">
        <v>-54.475990000000003</v>
      </c>
      <c r="J6888">
        <v>-211.5189</v>
      </c>
      <c r="K6888">
        <v>1.116541</v>
      </c>
      <c r="L6888">
        <v>-60.64996</v>
      </c>
      <c r="M6888">
        <v>0.98798220000000003</v>
      </c>
      <c r="N6888">
        <v>0</v>
      </c>
      <c r="O6888">
        <v>0.15387390000000001</v>
      </c>
      <c r="P6888">
        <v>0.98659180000000002</v>
      </c>
      <c r="Q6888">
        <v>-2.397844E-2</v>
      </c>
      <c r="R6888">
        <v>0.161437</v>
      </c>
      <c r="S6888">
        <v>2.7966920000000002</v>
      </c>
      <c r="T6888">
        <v>-0.26697949999999998</v>
      </c>
      <c r="U6888">
        <v>1.4822690000000001</v>
      </c>
      <c r="V6888">
        <v>-7.5348740000000004E-3</v>
      </c>
      <c r="W6888">
        <v>-9.4652910000000007E-3</v>
      </c>
      <c r="X6888">
        <v>0.9999268</v>
      </c>
      <c r="Y6888">
        <v>-0.32614490000000002</v>
      </c>
      <c r="Z6888">
        <v>9.9096069999999995E-4</v>
      </c>
      <c r="AA6888">
        <v>0.94531929999999997</v>
      </c>
      <c r="AB6888">
        <v>28</v>
      </c>
      <c r="AC6888">
        <v>11.562799999999999</v>
      </c>
      <c r="AD6888">
        <v>-1.1165503603619999</v>
      </c>
      <c r="AE6888">
        <v>6.17396999999999</v>
      </c>
      <c r="AF6888">
        <v>-4.2898945709999197</v>
      </c>
      <c r="AG6888">
        <v>-1.1165503603619999</v>
      </c>
      <c r="AH6888">
        <v>12.286031169635001</v>
      </c>
      <c r="AI6888">
        <v>94.903953496066507</v>
      </c>
      <c r="AJ6888">
        <v>109.247590864195</v>
      </c>
      <c r="AK6888">
        <v>13.061257291653099</v>
      </c>
      <c r="AL6888">
        <v>90.542329332156697</v>
      </c>
      <c r="AM6888">
        <v>90.431739911669098</v>
      </c>
      <c r="AN6888">
        <v>0.999999985709075</v>
      </c>
    </row>
    <row r="6889" spans="1:40" x14ac:dyDescent="0.25">
      <c r="A6889" t="str">
        <f>"20190312155009651"</f>
        <v>20190312155009651</v>
      </c>
      <c r="B6889" t="str">
        <f>"1552377009642433"</f>
        <v>1552377009642433</v>
      </c>
      <c r="C6889" t="s">
        <v>40</v>
      </c>
      <c r="D6889">
        <v>4.7703199999999999</v>
      </c>
      <c r="E6889">
        <v>0.37234669999999997</v>
      </c>
      <c r="F6889" t="s">
        <v>65</v>
      </c>
      <c r="G6889">
        <v>-199.8545</v>
      </c>
      <c r="H6889" s="1">
        <v>-9.3730979999999996E-6</v>
      </c>
      <c r="I6889">
        <v>-54.407150000000001</v>
      </c>
      <c r="J6889">
        <v>-211.38220000000001</v>
      </c>
      <c r="K6889">
        <v>1.116671</v>
      </c>
      <c r="L6889">
        <v>-60.623989999999999</v>
      </c>
      <c r="M6889">
        <v>0.9872512</v>
      </c>
      <c r="N6889">
        <v>0</v>
      </c>
      <c r="O6889">
        <v>0.15849250000000001</v>
      </c>
      <c r="P6889">
        <v>0.98572110000000002</v>
      </c>
      <c r="Q6889">
        <v>-2.418234E-2</v>
      </c>
      <c r="R6889">
        <v>0.16664010000000001</v>
      </c>
      <c r="S6889">
        <v>2.7899630000000002</v>
      </c>
      <c r="T6889">
        <v>-0.26706340000000001</v>
      </c>
      <c r="U6889">
        <v>1.4931950000000001</v>
      </c>
      <c r="V6889">
        <v>-8.1284759999999904E-3</v>
      </c>
      <c r="W6889">
        <v>-9.6586429999999997E-3</v>
      </c>
      <c r="X6889">
        <v>0.99992029999999998</v>
      </c>
      <c r="Y6889">
        <v>-0.32556689999999999</v>
      </c>
      <c r="Z6889">
        <v>5.6588929999999997E-4</v>
      </c>
      <c r="AA6889">
        <v>0.94551890000000005</v>
      </c>
      <c r="AB6889">
        <v>28</v>
      </c>
      <c r="AC6889">
        <v>11.527699999999999</v>
      </c>
      <c r="AD6889">
        <v>-1.1166803730979999</v>
      </c>
      <c r="AE6889">
        <v>6.2168399999999897</v>
      </c>
      <c r="AF6889">
        <v>-4.2798803682597502</v>
      </c>
      <c r="AG6889">
        <v>-1.1166803730979999</v>
      </c>
      <c r="AH6889">
        <v>12.2781339772144</v>
      </c>
      <c r="AI6889">
        <v>94.9085586871619</v>
      </c>
      <c r="AJ6889">
        <v>109.217401702111</v>
      </c>
      <c r="AK6889">
        <v>13.050552669703499</v>
      </c>
      <c r="AL6889">
        <v>90.553408093361497</v>
      </c>
      <c r="AM6889">
        <v>90.465754230858593</v>
      </c>
      <c r="AN6889">
        <v>0.99999998392938605</v>
      </c>
    </row>
    <row r="6890" spans="1:40" x14ac:dyDescent="0.25">
      <c r="A6890" t="str">
        <f>"20190312155009662"</f>
        <v>20190312155009662</v>
      </c>
      <c r="B6890" t="str">
        <f>"1552377009652193"</f>
        <v>1552377009652193</v>
      </c>
      <c r="C6890" t="s">
        <v>40</v>
      </c>
      <c r="D6890">
        <v>4.7964989999999998</v>
      </c>
      <c r="E6890">
        <v>0.3727086</v>
      </c>
      <c r="F6890" t="s">
        <v>65</v>
      </c>
      <c r="G6890">
        <v>-199.7208</v>
      </c>
      <c r="H6890" s="1">
        <v>-9.3918119999999999E-6</v>
      </c>
      <c r="I6890">
        <v>-54.310989999999997</v>
      </c>
      <c r="J6890">
        <v>-211.238</v>
      </c>
      <c r="K6890">
        <v>1.1168070000000001</v>
      </c>
      <c r="L6890">
        <v>-60.5959199999999</v>
      </c>
      <c r="M6890">
        <v>0.98644229999999999</v>
      </c>
      <c r="N6890">
        <v>0</v>
      </c>
      <c r="O6890">
        <v>0.16345000000000001</v>
      </c>
      <c r="P6890">
        <v>0.98475049999999997</v>
      </c>
      <c r="Q6890">
        <v>-2.4258120000000001E-2</v>
      </c>
      <c r="R6890">
        <v>0.17227339999999999</v>
      </c>
      <c r="S6890">
        <v>2.7823030000000002</v>
      </c>
      <c r="T6890">
        <v>-0.26643030000000001</v>
      </c>
      <c r="U6890">
        <v>1.5062260000000001</v>
      </c>
      <c r="V6890">
        <v>-8.8188750000000003E-3</v>
      </c>
      <c r="W6890">
        <v>-9.72487E-3</v>
      </c>
      <c r="X6890">
        <v>0.99991379999999996</v>
      </c>
      <c r="Y6890">
        <v>-0.32535130000000001</v>
      </c>
      <c r="Z6890">
        <v>1.267474E-4</v>
      </c>
      <c r="AA6890">
        <v>0.94559320000000002</v>
      </c>
      <c r="AB6890">
        <v>28</v>
      </c>
      <c r="AC6890">
        <v>11.517200000000001</v>
      </c>
      <c r="AD6890">
        <v>-1.116816391812</v>
      </c>
      <c r="AE6890">
        <v>6.2849299999999797</v>
      </c>
      <c r="AF6890">
        <v>-4.2866414312064203</v>
      </c>
      <c r="AG6890">
        <v>-1.116816391812</v>
      </c>
      <c r="AH6890">
        <v>12.300538209730099</v>
      </c>
      <c r="AI6890">
        <v>94.900384880531107</v>
      </c>
      <c r="AJ6890">
        <v>109.21304662188599</v>
      </c>
      <c r="AK6890">
        <v>13.0738599450119</v>
      </c>
      <c r="AL6890">
        <v>90.557202803352396</v>
      </c>
      <c r="AM6890">
        <v>90.505314774955494</v>
      </c>
      <c r="AN6890">
        <v>0.99999997654161099</v>
      </c>
    </row>
    <row r="6891" spans="1:40" x14ac:dyDescent="0.25">
      <c r="A6891" t="str">
        <f>"20190312155009674"</f>
        <v>20190312155009674</v>
      </c>
      <c r="B6891" t="str">
        <f>"1552377009662551"</f>
        <v>1552377009662551</v>
      </c>
      <c r="C6891" t="s">
        <v>40</v>
      </c>
      <c r="D6891">
        <v>4.8007780000000002</v>
      </c>
      <c r="E6891">
        <v>0.37295810000000001</v>
      </c>
      <c r="F6891" t="s">
        <v>65</v>
      </c>
      <c r="G6891">
        <v>-199.5626</v>
      </c>
      <c r="H6891" s="1">
        <v>-9.4124180000000008E-6</v>
      </c>
      <c r="I6891">
        <v>-54.201560000000001</v>
      </c>
      <c r="J6891">
        <v>-211.10480000000001</v>
      </c>
      <c r="K6891">
        <v>1.116932</v>
      </c>
      <c r="L6891">
        <v>-60.568910000000002</v>
      </c>
      <c r="M6891">
        <v>0.98564980000000002</v>
      </c>
      <c r="N6891">
        <v>0</v>
      </c>
      <c r="O6891">
        <v>0.16816159999999999</v>
      </c>
      <c r="P6891">
        <v>0.98377969999999904</v>
      </c>
      <c r="Q6891">
        <v>-2.450451E-2</v>
      </c>
      <c r="R6891">
        <v>0.17769939999999901</v>
      </c>
      <c r="S6891">
        <v>2.774124</v>
      </c>
      <c r="T6891">
        <v>-0.26535900000000001</v>
      </c>
      <c r="U6891">
        <v>1.5193179999999999</v>
      </c>
      <c r="V6891">
        <v>-9.5469170000000003E-3</v>
      </c>
      <c r="W6891">
        <v>-9.9638239999999996E-3</v>
      </c>
      <c r="X6891">
        <v>0.99990480000000004</v>
      </c>
      <c r="Y6891">
        <v>-0.3254592</v>
      </c>
      <c r="Z6891">
        <v>-2.7464139999999998E-4</v>
      </c>
      <c r="AA6891">
        <v>0.94555599999999995</v>
      </c>
      <c r="AB6891">
        <v>28</v>
      </c>
      <c r="AC6891">
        <v>11.542199999999999</v>
      </c>
      <c r="AD6891">
        <v>-1.1169414124179999</v>
      </c>
      <c r="AE6891">
        <v>6.3673499999999903</v>
      </c>
      <c r="AF6891">
        <v>-4.30458602737506</v>
      </c>
      <c r="AG6891">
        <v>-1.1169414124179999</v>
      </c>
      <c r="AH6891">
        <v>12.359917699341301</v>
      </c>
      <c r="AI6891">
        <v>94.877834967146796</v>
      </c>
      <c r="AJ6891">
        <v>109.201683845913</v>
      </c>
      <c r="AK6891">
        <v>13.135622730587899</v>
      </c>
      <c r="AL6891">
        <v>90.570894500768006</v>
      </c>
      <c r="AM6891">
        <v>90.547033508334493</v>
      </c>
      <c r="AN6891">
        <v>1.00000001523797</v>
      </c>
    </row>
    <row r="6892" spans="1:40" x14ac:dyDescent="0.25">
      <c r="A6892" t="str">
        <f>"20190312155009685"</f>
        <v>20190312155009685</v>
      </c>
      <c r="B6892" t="str">
        <f>"1552377009683047"</f>
        <v>1552377009683047</v>
      </c>
      <c r="C6892" t="s">
        <v>40</v>
      </c>
      <c r="D6892">
        <v>4.7692319999999997</v>
      </c>
      <c r="E6892">
        <v>0.37297590000000003</v>
      </c>
      <c r="F6892" t="s">
        <v>65</v>
      </c>
      <c r="G6892">
        <v>-199.44560000000001</v>
      </c>
      <c r="H6892" s="1">
        <v>-9.4322730000000006E-6</v>
      </c>
      <c r="I6892">
        <v>-54.107509999999998</v>
      </c>
      <c r="J6892">
        <v>-210.9657</v>
      </c>
      <c r="K6892">
        <v>1.117062</v>
      </c>
      <c r="L6892">
        <v>-60.540410000000001</v>
      </c>
      <c r="M6892">
        <v>0.9847901</v>
      </c>
      <c r="N6892">
        <v>0</v>
      </c>
      <c r="O6892">
        <v>0.17312269999999999</v>
      </c>
      <c r="P6892">
        <v>0.98272870000000001</v>
      </c>
      <c r="Q6892">
        <v>-2.457515E-2</v>
      </c>
      <c r="R6892">
        <v>0.18341299999999999</v>
      </c>
      <c r="S6892">
        <v>2.7659760000000002</v>
      </c>
      <c r="T6892">
        <v>-0.26497720000000002</v>
      </c>
      <c r="U6892">
        <v>1.532867</v>
      </c>
      <c r="V6892">
        <v>-1.031788E-2</v>
      </c>
      <c r="W6892">
        <v>-1.0028199999999999E-2</v>
      </c>
      <c r="X6892">
        <v>0.99989649999999997</v>
      </c>
      <c r="Y6892">
        <v>-0.32544010000000001</v>
      </c>
      <c r="Z6892">
        <v>-7.0221719999999995E-4</v>
      </c>
      <c r="AA6892">
        <v>0.94556240000000003</v>
      </c>
      <c r="AB6892">
        <v>28</v>
      </c>
      <c r="AC6892">
        <v>11.5200999999999</v>
      </c>
      <c r="AD6892">
        <v>-1.117071432273</v>
      </c>
      <c r="AE6892">
        <v>6.4328999999999903</v>
      </c>
      <c r="AF6892">
        <v>-4.3102421956261496</v>
      </c>
      <c r="AG6892">
        <v>-1.117071432273</v>
      </c>
      <c r="AH6892">
        <v>12.3712408301159</v>
      </c>
      <c r="AI6892">
        <v>94.8737478733171</v>
      </c>
      <c r="AJ6892">
        <v>109.20875750534</v>
      </c>
      <c r="AK6892">
        <v>13.1481419237276</v>
      </c>
      <c r="AL6892">
        <v>90.574583157047698</v>
      </c>
      <c r="AM6892">
        <v>90.591211186456505</v>
      </c>
      <c r="AN6892">
        <v>1.00000001707759</v>
      </c>
    </row>
    <row r="6893" spans="1:40" x14ac:dyDescent="0.25">
      <c r="A6893" t="str">
        <f>"20190312155009696"</f>
        <v>20190312155009696</v>
      </c>
      <c r="B6893" t="str">
        <f>"1552377009692807"</f>
        <v>1552377009692807</v>
      </c>
      <c r="C6893" t="s">
        <v>40</v>
      </c>
      <c r="D6893">
        <v>4.7815200000000004</v>
      </c>
      <c r="E6893">
        <v>0.35183300000000001</v>
      </c>
      <c r="F6893" t="s">
        <v>65</v>
      </c>
      <c r="G6893">
        <v>-199.31200000000001</v>
      </c>
      <c r="H6893" s="1">
        <v>-9.4571839999999994E-6</v>
      </c>
      <c r="I6893">
        <v>-53.993749999999999</v>
      </c>
      <c r="J6893">
        <v>-210.83170000000001</v>
      </c>
      <c r="K6893">
        <v>1.117189</v>
      </c>
      <c r="L6893">
        <v>-60.511569999999899</v>
      </c>
      <c r="M6893">
        <v>0.98390699999999998</v>
      </c>
      <c r="N6893">
        <v>0</v>
      </c>
      <c r="O6893">
        <v>0.17807149999999999</v>
      </c>
      <c r="P6893">
        <v>0.98167899999999997</v>
      </c>
      <c r="Q6893">
        <v>-2.4794989999999999E-2</v>
      </c>
      <c r="R6893">
        <v>0.18892300000000001</v>
      </c>
      <c r="S6893">
        <v>2.75705</v>
      </c>
      <c r="T6893">
        <v>-0.26428020000000002</v>
      </c>
      <c r="U6893">
        <v>1.5488280000000001</v>
      </c>
      <c r="V6893">
        <v>-1.0894289999999999E-2</v>
      </c>
      <c r="W6893">
        <v>-1.023728E-2</v>
      </c>
      <c r="X6893">
        <v>0.9998882</v>
      </c>
      <c r="Y6893">
        <v>-0.32617119999999999</v>
      </c>
      <c r="Z6893">
        <v>-1.0929920000000001E-3</v>
      </c>
      <c r="AA6893">
        <v>0.94531010000000004</v>
      </c>
      <c r="AB6893">
        <v>28</v>
      </c>
      <c r="AC6893">
        <v>11.5197</v>
      </c>
      <c r="AD6893">
        <v>-1.1171984571839999</v>
      </c>
      <c r="AE6893">
        <v>6.5178199999999897</v>
      </c>
      <c r="AF6893">
        <v>-4.3312146671386804</v>
      </c>
      <c r="AG6893">
        <v>-1.1171984571839999</v>
      </c>
      <c r="AH6893">
        <v>12.4079090357687</v>
      </c>
      <c r="AI6893">
        <v>94.858970460705393</v>
      </c>
      <c r="AJ6893">
        <v>109.242504258838</v>
      </c>
      <c r="AK6893">
        <v>13.1895321950963</v>
      </c>
      <c r="AL6893">
        <v>90.586563212829603</v>
      </c>
      <c r="AM6893">
        <v>90.624241929893202</v>
      </c>
      <c r="AN6893">
        <v>0.99999994997782005</v>
      </c>
    </row>
    <row r="6894" spans="1:40" x14ac:dyDescent="0.25">
      <c r="A6894" t="str">
        <f>"20190312155009707"</f>
        <v>20190312155009707</v>
      </c>
      <c r="B6894" t="str">
        <f>"1552377009702567"</f>
        <v>1552377009702567</v>
      </c>
      <c r="C6894" t="s">
        <v>40</v>
      </c>
      <c r="D6894">
        <v>4.6733279999999997</v>
      </c>
      <c r="E6894">
        <v>0.34491909999999998</v>
      </c>
      <c r="F6894" t="s">
        <v>65</v>
      </c>
      <c r="G6894">
        <v>-201.13040000000001</v>
      </c>
      <c r="H6894" s="1">
        <v>-6.2264329999999996E-6</v>
      </c>
      <c r="I6894">
        <v>-54.32714</v>
      </c>
      <c r="J6894">
        <v>-210.69919999999999</v>
      </c>
      <c r="K6894">
        <v>1.117313</v>
      </c>
      <c r="L6894">
        <v>-60.482700000000001</v>
      </c>
      <c r="M6894">
        <v>0.98300149999999997</v>
      </c>
      <c r="N6894">
        <v>0</v>
      </c>
      <c r="O6894">
        <v>0.1830011</v>
      </c>
      <c r="P6894">
        <v>0.98067020000000005</v>
      </c>
      <c r="Q6894">
        <v>-2.4795399999999999E-2</v>
      </c>
      <c r="R6894">
        <v>0.1940904</v>
      </c>
      <c r="S6894">
        <v>2.7149809999999999</v>
      </c>
      <c r="T6894">
        <v>-0.31265310000000002</v>
      </c>
      <c r="U6894">
        <v>1.7307429999999999</v>
      </c>
      <c r="V6894">
        <v>-1.114508E-2</v>
      </c>
      <c r="W6894">
        <v>-1.022207E-2</v>
      </c>
      <c r="X6894">
        <v>0.99988560000000004</v>
      </c>
      <c r="Y6894">
        <v>-0.37325770000000003</v>
      </c>
      <c r="Z6894">
        <v>7.105786E-4</v>
      </c>
      <c r="AA6894">
        <v>0.92772750000000004</v>
      </c>
      <c r="AB6894">
        <v>28</v>
      </c>
      <c r="AC6894">
        <v>9.56879999999998</v>
      </c>
      <c r="AD6894">
        <v>-1.1173192264330001</v>
      </c>
      <c r="AE6894">
        <v>6.1555600000000004</v>
      </c>
      <c r="AF6894">
        <v>-4.2592193786185302</v>
      </c>
      <c r="AG6894">
        <v>-1.1173192264330001</v>
      </c>
      <c r="AH6894">
        <v>10.4331566097042</v>
      </c>
      <c r="AI6894">
        <v>95.662329374929797</v>
      </c>
      <c r="AJ6894">
        <v>112.20718842143</v>
      </c>
      <c r="AK6894">
        <v>11.324314937848101</v>
      </c>
      <c r="AL6894">
        <v>90.585691693500493</v>
      </c>
      <c r="AM6894">
        <v>90.638612660184194</v>
      </c>
      <c r="AN6894">
        <v>0.99999995830532395</v>
      </c>
    </row>
    <row r="6895" spans="1:40" x14ac:dyDescent="0.25">
      <c r="A6895" t="str">
        <f>"20190312155009718"</f>
        <v>20190312155009718</v>
      </c>
      <c r="B6895" t="str">
        <f>"1552377009712327"</f>
        <v>1552377009712327</v>
      </c>
      <c r="C6895" t="s">
        <v>40</v>
      </c>
      <c r="D6895">
        <v>4.6770040000000002</v>
      </c>
      <c r="E6895">
        <v>0.34161970000000003</v>
      </c>
      <c r="F6895" t="s">
        <v>65</v>
      </c>
      <c r="G6895">
        <v>-200.67439999999999</v>
      </c>
      <c r="H6895" s="1">
        <v>-6.4827699999999996E-6</v>
      </c>
      <c r="I6895">
        <v>-53.790709999999997</v>
      </c>
      <c r="J6895">
        <v>-210.56229999999999</v>
      </c>
      <c r="K6895">
        <v>1.117443</v>
      </c>
      <c r="L6895">
        <v>-60.451810000000002</v>
      </c>
      <c r="M6895">
        <v>0.98201499999999997</v>
      </c>
      <c r="N6895">
        <v>0</v>
      </c>
      <c r="O6895">
        <v>0.1882219</v>
      </c>
      <c r="P6895">
        <v>0.97957519999999998</v>
      </c>
      <c r="Q6895">
        <v>-2.484666E-2</v>
      </c>
      <c r="R6895">
        <v>0.19953779999999999</v>
      </c>
      <c r="S6895">
        <v>2.6954189999999998</v>
      </c>
      <c r="T6895">
        <v>-0.30042049999999998</v>
      </c>
      <c r="U6895">
        <v>1.7993159999999999</v>
      </c>
      <c r="V6895">
        <v>-1.1385849999999999E-2</v>
      </c>
      <c r="W6895">
        <v>-1.0255E-2</v>
      </c>
      <c r="X6895">
        <v>0.99988259999999995</v>
      </c>
      <c r="Y6895">
        <v>-0.38787919999999998</v>
      </c>
      <c r="Z6895">
        <v>9.2414389999999997E-4</v>
      </c>
      <c r="AA6895">
        <v>0.92170980000000002</v>
      </c>
      <c r="AB6895">
        <v>28</v>
      </c>
      <c r="AC6895">
        <v>9.8879000000000001</v>
      </c>
      <c r="AD6895">
        <v>-1.1174494827699999</v>
      </c>
      <c r="AE6895">
        <v>6.6610999999999896</v>
      </c>
      <c r="AF6895">
        <v>-4.6399321320703999</v>
      </c>
      <c r="AG6895">
        <v>-1.1174494827699999</v>
      </c>
      <c r="AH6895">
        <v>10.8695441673889</v>
      </c>
      <c r="AI6895">
        <v>95.401327325192597</v>
      </c>
      <c r="AJ6895">
        <v>113.11640416539301</v>
      </c>
      <c r="AK6895">
        <v>11.8711690217763</v>
      </c>
      <c r="AL6895">
        <v>90.587578513183601</v>
      </c>
      <c r="AM6895">
        <v>90.6524095494497</v>
      </c>
      <c r="AN6895">
        <v>1.0000000081939899</v>
      </c>
    </row>
    <row r="6896" spans="1:40" x14ac:dyDescent="0.25">
      <c r="A6896" t="str">
        <f>"20190312155009728"</f>
        <v>20190312155009728</v>
      </c>
      <c r="B6896" t="str">
        <f>"1552377009723063"</f>
        <v>1552377009723063</v>
      </c>
      <c r="C6896" t="s">
        <v>40</v>
      </c>
      <c r="D6896">
        <v>4.6926610000000002</v>
      </c>
      <c r="E6896">
        <v>0.3399046</v>
      </c>
      <c r="F6896" t="s">
        <v>65</v>
      </c>
      <c r="G6896">
        <v>-200.2319</v>
      </c>
      <c r="H6896" s="1">
        <v>-6.7175429999999998E-6</v>
      </c>
      <c r="I6896">
        <v>-53.359859999999998</v>
      </c>
      <c r="J6896">
        <v>-210.44030000000001</v>
      </c>
      <c r="K6896">
        <v>1.117556</v>
      </c>
      <c r="L6896">
        <v>-60.423679999999997</v>
      </c>
      <c r="M6896">
        <v>0.98109979999999997</v>
      </c>
      <c r="N6896">
        <v>0</v>
      </c>
      <c r="O6896">
        <v>0.1929334</v>
      </c>
      <c r="P6896">
        <v>0.97858699999999998</v>
      </c>
      <c r="Q6896">
        <v>-2.482032E-2</v>
      </c>
      <c r="R6896">
        <v>0.20433209999999999</v>
      </c>
      <c r="S6896">
        <v>2.6803889999999999</v>
      </c>
      <c r="T6896">
        <v>-0.28993980000000003</v>
      </c>
      <c r="U6896">
        <v>1.8401179999999999</v>
      </c>
      <c r="V6896">
        <v>-1.148074E-2</v>
      </c>
      <c r="W6896">
        <v>-1.02103E-2</v>
      </c>
      <c r="X6896">
        <v>0.99988200000000005</v>
      </c>
      <c r="Y6896">
        <v>-0.39547729999999998</v>
      </c>
      <c r="Z6896">
        <v>8.2895159999999996E-4</v>
      </c>
      <c r="AA6896">
        <v>0.91847540000000005</v>
      </c>
      <c r="AB6896">
        <v>28</v>
      </c>
      <c r="AC6896">
        <v>10.208399999999999</v>
      </c>
      <c r="AD6896">
        <v>-1.1175627175430001</v>
      </c>
      <c r="AE6896">
        <v>7.0638199999999998</v>
      </c>
      <c r="AF6896">
        <v>-4.92143176854057</v>
      </c>
      <c r="AG6896">
        <v>-1.1175627175430001</v>
      </c>
      <c r="AH6896">
        <v>11.288075156921</v>
      </c>
      <c r="AI6896">
        <v>95.185587318953594</v>
      </c>
      <c r="AJ6896">
        <v>113.55648089588099</v>
      </c>
      <c r="AK6896">
        <v>12.3648727380568</v>
      </c>
      <c r="AL6896">
        <v>90.585017241632499</v>
      </c>
      <c r="AM6896">
        <v>90.657846668181406</v>
      </c>
      <c r="AN6896">
        <v>1.0000000357705101</v>
      </c>
    </row>
    <row r="6897" spans="1:40" x14ac:dyDescent="0.25">
      <c r="A6897" t="str">
        <f>"20190312155009739"</f>
        <v>20190312155009739</v>
      </c>
      <c r="B6897" t="str">
        <f>"1552377009732823"</f>
        <v>1552377009732823</v>
      </c>
      <c r="C6897" t="s">
        <v>40</v>
      </c>
      <c r="D6897">
        <v>4.6956889999999998</v>
      </c>
      <c r="E6897">
        <v>0.33900279999999999</v>
      </c>
      <c r="F6897" t="s">
        <v>65</v>
      </c>
      <c r="G6897">
        <v>-200.0616</v>
      </c>
      <c r="H6897" s="1">
        <v>-6.8125499999999997E-6</v>
      </c>
      <c r="I6897">
        <v>-53.164110000000001</v>
      </c>
      <c r="J6897">
        <v>-210.3081</v>
      </c>
      <c r="K6897">
        <v>1.1176759999999999</v>
      </c>
      <c r="L6897">
        <v>-60.392330000000001</v>
      </c>
      <c r="M6897">
        <v>0.98006309999999996</v>
      </c>
      <c r="N6897">
        <v>0</v>
      </c>
      <c r="O6897">
        <v>0.19813059999999999</v>
      </c>
      <c r="P6897">
        <v>0.97747700000000004</v>
      </c>
      <c r="Q6897">
        <v>-2.4429989999999999E-2</v>
      </c>
      <c r="R6897">
        <v>0.2096239</v>
      </c>
      <c r="S6897">
        <v>2.6685940000000001</v>
      </c>
      <c r="T6897">
        <v>-0.28735229999999901</v>
      </c>
      <c r="U6897">
        <v>1.866608</v>
      </c>
      <c r="V6897">
        <v>-1.159378E-2</v>
      </c>
      <c r="W6897">
        <v>-9.7996179999999995E-3</v>
      </c>
      <c r="X6897">
        <v>0.99988480000000002</v>
      </c>
      <c r="Y6897">
        <v>-0.39867200000000003</v>
      </c>
      <c r="Z6897">
        <v>5.0029719999999998E-4</v>
      </c>
      <c r="AA6897">
        <v>0.91709350000000001</v>
      </c>
      <c r="AB6897">
        <v>28</v>
      </c>
      <c r="AC6897">
        <v>10.2464999999999</v>
      </c>
      <c r="AD6897">
        <v>-1.11768281255</v>
      </c>
      <c r="AE6897">
        <v>7.2282199999999897</v>
      </c>
      <c r="AF6897">
        <v>-5.0146836442637799</v>
      </c>
      <c r="AG6897">
        <v>-1.11768281255</v>
      </c>
      <c r="AH6897">
        <v>11.385161685531299</v>
      </c>
      <c r="AI6897">
        <v>95.133751878017605</v>
      </c>
      <c r="AJ6897">
        <v>113.77146790972699</v>
      </c>
      <c r="AK6897">
        <v>12.4907234989494</v>
      </c>
      <c r="AL6897">
        <v>90.561485722027896</v>
      </c>
      <c r="AM6897">
        <v>90.664321424985005</v>
      </c>
      <c r="AN6897">
        <v>1.00000003075933</v>
      </c>
    </row>
    <row r="6898" spans="1:40" x14ac:dyDescent="0.25">
      <c r="A6898" t="str">
        <f>"20190312155009752"</f>
        <v>20190312155009752</v>
      </c>
      <c r="B6898" t="str">
        <f>"1552377009742584"</f>
        <v>1552377009742584</v>
      </c>
      <c r="C6898" t="s">
        <v>40</v>
      </c>
      <c r="D6898">
        <v>4.7259390000000003</v>
      </c>
      <c r="E6898">
        <v>0.3383949</v>
      </c>
      <c r="F6898" t="s">
        <v>65</v>
      </c>
      <c r="G6898">
        <v>-199.80879999999999</v>
      </c>
      <c r="H6898" s="1">
        <v>-9.8861429999999994E-6</v>
      </c>
      <c r="I6898">
        <v>-52.930860000000003</v>
      </c>
      <c r="J6898">
        <v>-210.17410000000001</v>
      </c>
      <c r="K6898">
        <v>1.117801</v>
      </c>
      <c r="L6898">
        <v>-60.359679999999997</v>
      </c>
      <c r="M6898">
        <v>0.97896329999999998</v>
      </c>
      <c r="N6898">
        <v>0</v>
      </c>
      <c r="O6898">
        <v>0.2034928</v>
      </c>
      <c r="P6898">
        <v>0.97634140000000003</v>
      </c>
      <c r="Q6898">
        <v>-2.4442519999999999E-2</v>
      </c>
      <c r="R6898">
        <v>0.21484880000000001</v>
      </c>
      <c r="S6898">
        <v>2.6571039999999999</v>
      </c>
      <c r="T6898">
        <v>-0.28285739999999998</v>
      </c>
      <c r="U6898">
        <v>1.888306</v>
      </c>
      <c r="V6898">
        <v>-1.1465049999999999E-2</v>
      </c>
      <c r="W6898">
        <v>-9.7868299999999998E-3</v>
      </c>
      <c r="X6898">
        <v>0.99988639999999995</v>
      </c>
      <c r="Y6898">
        <v>-0.40054309999999999</v>
      </c>
      <c r="Z6898" s="1">
        <v>9.8016109999999999E-5</v>
      </c>
      <c r="AA6898">
        <v>0.91627789999999998</v>
      </c>
      <c r="AB6898">
        <v>28</v>
      </c>
      <c r="AC6898">
        <v>10.3653</v>
      </c>
      <c r="AD6898">
        <v>-1.1178108861430001</v>
      </c>
      <c r="AE6898">
        <v>7.42882</v>
      </c>
      <c r="AF6898">
        <v>-5.1244776446765101</v>
      </c>
      <c r="AG6898">
        <v>-1.1178108861430001</v>
      </c>
      <c r="AH6898">
        <v>11.571345886381501</v>
      </c>
      <c r="AI6898">
        <v>95.047697386151199</v>
      </c>
      <c r="AJ6898">
        <v>113.88660120386</v>
      </c>
      <c r="AK6898">
        <v>12.7045589427672</v>
      </c>
      <c r="AL6898">
        <v>90.560752993867496</v>
      </c>
      <c r="AM6898">
        <v>90.656944819020296</v>
      </c>
      <c r="AN6898">
        <v>1.0000000211589499</v>
      </c>
    </row>
    <row r="6899" spans="1:40" x14ac:dyDescent="0.25">
      <c r="A6899" t="str">
        <f>"20190312155009763"</f>
        <v>20190312155009763</v>
      </c>
      <c r="B6899" t="str">
        <f>"1552377009752344"</f>
        <v>1552377009752344</v>
      </c>
      <c r="C6899" t="s">
        <v>40</v>
      </c>
      <c r="D6899">
        <v>4.7055309999999997</v>
      </c>
      <c r="E6899">
        <v>0.33814850000000002</v>
      </c>
      <c r="F6899" t="s">
        <v>65</v>
      </c>
      <c r="G6899">
        <v>-199.7544</v>
      </c>
      <c r="H6899" s="1">
        <v>-9.9090779999999995E-6</v>
      </c>
      <c r="I6899">
        <v>-52.8480699999999</v>
      </c>
      <c r="J6899">
        <v>-210.03319999999999</v>
      </c>
      <c r="K6899">
        <v>1.117926</v>
      </c>
      <c r="L6899">
        <v>-60.324680000000001</v>
      </c>
      <c r="M6899">
        <v>0.97775909999999999</v>
      </c>
      <c r="N6899">
        <v>0</v>
      </c>
      <c r="O6899">
        <v>0.2092009</v>
      </c>
      <c r="P6899">
        <v>0.97498260000000003</v>
      </c>
      <c r="Q6899">
        <v>-2.4447420000000001E-2</v>
      </c>
      <c r="R6899">
        <v>0.2209332</v>
      </c>
      <c r="S6899">
        <v>2.6458590000000002</v>
      </c>
      <c r="T6899">
        <v>-0.28384399999999999</v>
      </c>
      <c r="U6899">
        <v>1.90741</v>
      </c>
      <c r="V6899">
        <v>-1.1864120000000001E-2</v>
      </c>
      <c r="W6899">
        <v>-9.775901E-3</v>
      </c>
      <c r="X6899">
        <v>0.99988180000000004</v>
      </c>
      <c r="Y6899">
        <v>-0.40141510000000002</v>
      </c>
      <c r="Z6899">
        <v>-3.7727129999999998E-4</v>
      </c>
      <c r="AA6899">
        <v>0.91589620000000005</v>
      </c>
      <c r="AB6899">
        <v>28</v>
      </c>
      <c r="AC6899">
        <v>10.278799999999899</v>
      </c>
      <c r="AD6899">
        <v>-1.1179359090779999</v>
      </c>
      <c r="AE6899">
        <v>7.4766100000000097</v>
      </c>
      <c r="AF6899">
        <v>-5.1209466816489098</v>
      </c>
      <c r="AG6899">
        <v>-1.1179359090779999</v>
      </c>
      <c r="AH6899">
        <v>11.526425243764701</v>
      </c>
      <c r="AI6899">
        <v>95.065178905262698</v>
      </c>
      <c r="AJ6899">
        <v>113.954564511228</v>
      </c>
      <c r="AK6899">
        <v>12.662241291066699</v>
      </c>
      <c r="AL6899">
        <v>90.560126807130203</v>
      </c>
      <c r="AM6899">
        <v>90.679812458697796</v>
      </c>
      <c r="AN6899">
        <v>0.99999996977748695</v>
      </c>
    </row>
    <row r="6900" spans="1:40" x14ac:dyDescent="0.25">
      <c r="A6900" t="str">
        <f>"20190312155009774"</f>
        <v>20190312155009774</v>
      </c>
      <c r="B6900" t="str">
        <f>"1552377009763163"</f>
        <v>1552377009763163</v>
      </c>
      <c r="C6900" t="s">
        <v>40</v>
      </c>
      <c r="D6900">
        <v>4.7047080000000001</v>
      </c>
      <c r="E6900">
        <v>0.33817659999999899</v>
      </c>
      <c r="F6900" t="s">
        <v>65</v>
      </c>
      <c r="G6900">
        <v>-199.76169999999999</v>
      </c>
      <c r="H6900" s="1">
        <v>-9.9223190000000002E-6</v>
      </c>
      <c r="I6900">
        <v>-52.81268</v>
      </c>
      <c r="J6900">
        <v>-209.90190000000001</v>
      </c>
      <c r="K6900">
        <v>1.1180369999999999</v>
      </c>
      <c r="L6900">
        <v>-60.290770000000002</v>
      </c>
      <c r="M6900">
        <v>0.97657720000000003</v>
      </c>
      <c r="N6900">
        <v>0</v>
      </c>
      <c r="O6900">
        <v>0.2146489</v>
      </c>
      <c r="P6900">
        <v>0.97368410000000005</v>
      </c>
      <c r="Q6900">
        <v>-2.463719E-2</v>
      </c>
      <c r="R6900">
        <v>0.22656660000000001</v>
      </c>
      <c r="S6900">
        <v>2.6333769999999999</v>
      </c>
      <c r="T6900">
        <v>-0.28661300000000001</v>
      </c>
      <c r="U6900">
        <v>1.9259029999999999</v>
      </c>
      <c r="V6900">
        <v>-1.2065299999999999E-2</v>
      </c>
      <c r="W6900">
        <v>-9.9465830000000002E-3</v>
      </c>
      <c r="X6900">
        <v>0.99987780000000004</v>
      </c>
      <c r="Y6900">
        <v>-0.40257130000000002</v>
      </c>
      <c r="Z6900">
        <v>-8.2387960000000001E-4</v>
      </c>
      <c r="AA6900">
        <v>0.91538830000000004</v>
      </c>
      <c r="AB6900">
        <v>28</v>
      </c>
      <c r="AC6900">
        <v>10.1402</v>
      </c>
      <c r="AD6900">
        <v>-1.1180469223189999</v>
      </c>
      <c r="AE6900">
        <v>7.4780899999999804</v>
      </c>
      <c r="AF6900">
        <v>-5.0868645283093601</v>
      </c>
      <c r="AG6900">
        <v>-1.1180469223189999</v>
      </c>
      <c r="AH6900">
        <v>11.4192145205415</v>
      </c>
      <c r="AI6900">
        <v>95.110747506978299</v>
      </c>
      <c r="AJ6900">
        <v>114.011316182806</v>
      </c>
      <c r="AK6900">
        <v>12.5508836308853</v>
      </c>
      <c r="AL6900">
        <v>90.569906589524095</v>
      </c>
      <c r="AM6900">
        <v>90.691341701176597</v>
      </c>
      <c r="AN6900">
        <v>1.00000006045515</v>
      </c>
    </row>
    <row r="6901" spans="1:40" x14ac:dyDescent="0.25">
      <c r="A6901" t="str">
        <f>"20190312155009786"</f>
        <v>20190312155009786</v>
      </c>
      <c r="B6901" t="str">
        <f>"1552377009782683"</f>
        <v>1552377009782683</v>
      </c>
      <c r="C6901" t="s">
        <v>40</v>
      </c>
      <c r="D6901">
        <v>4.7211869999999996</v>
      </c>
      <c r="E6901">
        <v>0.33888020000000002</v>
      </c>
      <c r="F6901" t="s">
        <v>65</v>
      </c>
      <c r="G6901">
        <v>-199.73679999999999</v>
      </c>
      <c r="H6901" s="1">
        <v>-9.935762E-6</v>
      </c>
      <c r="I6901">
        <v>-52.76643</v>
      </c>
      <c r="J6901">
        <v>-209.7672</v>
      </c>
      <c r="K6901">
        <v>1.11815</v>
      </c>
      <c r="L6901">
        <v>-60.255619999999901</v>
      </c>
      <c r="M6901">
        <v>0.97532379999999996</v>
      </c>
      <c r="N6901">
        <v>0</v>
      </c>
      <c r="O6901">
        <v>0.2202721</v>
      </c>
      <c r="P6901">
        <v>0.97230209999999995</v>
      </c>
      <c r="Q6901">
        <v>-2.4893289999999998E-2</v>
      </c>
      <c r="R6901">
        <v>0.23239879999999999</v>
      </c>
      <c r="S6901">
        <v>2.622147</v>
      </c>
      <c r="T6901">
        <v>-0.28840710000000003</v>
      </c>
      <c r="U6901">
        <v>1.9409479999999999</v>
      </c>
      <c r="V6901">
        <v>-1.2291740000000001E-2</v>
      </c>
      <c r="W6901">
        <v>-1.0184469999999999E-2</v>
      </c>
      <c r="X6901">
        <v>0.9998726</v>
      </c>
      <c r="Y6901">
        <v>-0.40257700000000002</v>
      </c>
      <c r="Z6901">
        <v>-1.3482500000000001E-3</v>
      </c>
      <c r="AA6901">
        <v>0.91538509999999995</v>
      </c>
      <c r="AB6901">
        <v>28</v>
      </c>
      <c r="AC6901">
        <v>10.0304</v>
      </c>
      <c r="AD6901">
        <v>-1.118159935762</v>
      </c>
      <c r="AE6901">
        <v>7.4891899999999803</v>
      </c>
      <c r="AF6901">
        <v>-5.05520254373846</v>
      </c>
      <c r="AG6901">
        <v>-1.118159935762</v>
      </c>
      <c r="AH6901">
        <v>11.3433181940013</v>
      </c>
      <c r="AI6901">
        <v>95.144916921819501</v>
      </c>
      <c r="AJ6901">
        <v>114.020365345172</v>
      </c>
      <c r="AK6901">
        <v>12.4690104679771</v>
      </c>
      <c r="AL6901">
        <v>90.583537227879702</v>
      </c>
      <c r="AM6901">
        <v>90.704319080910594</v>
      </c>
      <c r="AN6901">
        <v>1.00000001326608</v>
      </c>
    </row>
    <row r="6902" spans="1:40" x14ac:dyDescent="0.25">
      <c r="A6902" t="str">
        <f>"20190312155009796"</f>
        <v>20190312155009796</v>
      </c>
      <c r="B6902" t="str">
        <f>"1552377009792443"</f>
        <v>1552377009792443</v>
      </c>
      <c r="C6902" t="s">
        <v>40</v>
      </c>
      <c r="D6902">
        <v>4.7459210000000001</v>
      </c>
      <c r="E6902">
        <v>0.33939269999999999</v>
      </c>
      <c r="F6902" t="s">
        <v>41</v>
      </c>
      <c r="G6902">
        <v>-208.87970000000001</v>
      </c>
      <c r="H6902">
        <v>1.0197560000000001</v>
      </c>
      <c r="I6902">
        <v>-59.592750000000002</v>
      </c>
      <c r="J6902">
        <v>-209.6387</v>
      </c>
      <c r="K6902">
        <v>1.118255</v>
      </c>
      <c r="L6902">
        <v>-60.220640000000003</v>
      </c>
      <c r="M6902">
        <v>0.97406459999999995</v>
      </c>
      <c r="N6902">
        <v>0</v>
      </c>
      <c r="O6902">
        <v>0.225773</v>
      </c>
      <c r="P6902">
        <v>0.97088739999999996</v>
      </c>
      <c r="Q6902">
        <v>-2.5375089999999999E-2</v>
      </c>
      <c r="R6902">
        <v>0.23818890000000001</v>
      </c>
      <c r="S6902">
        <v>2.61171</v>
      </c>
      <c r="T6902">
        <v>-0.28957500000000003</v>
      </c>
      <c r="U6902">
        <v>1.95105</v>
      </c>
      <c r="V6902">
        <v>-1.2597769999999999E-2</v>
      </c>
      <c r="W6902">
        <v>-1.0649469999999999E-2</v>
      </c>
      <c r="X6902">
        <v>0.99986390000000003</v>
      </c>
      <c r="Y6902">
        <v>-0.4014527</v>
      </c>
      <c r="Z6902">
        <v>-1.921227E-3</v>
      </c>
      <c r="AA6902">
        <v>0.91587779999999996</v>
      </c>
      <c r="AB6902">
        <v>28</v>
      </c>
      <c r="AC6902">
        <v>0.75899999999998602</v>
      </c>
      <c r="AD6902">
        <v>-9.84990000000001E-2</v>
      </c>
      <c r="AE6902">
        <v>0.62788999999999995</v>
      </c>
      <c r="AF6902">
        <v>-0.43593438827187903</v>
      </c>
      <c r="AG6902">
        <v>-9.84990000000001E-2</v>
      </c>
      <c r="AH6902">
        <v>0.87245122982144296</v>
      </c>
      <c r="AI6902">
        <v>95.7669500832491</v>
      </c>
      <c r="AJ6902">
        <v>116.549748742229</v>
      </c>
      <c r="AK6902">
        <v>0.98026118575404497</v>
      </c>
      <c r="AL6902">
        <v>90.610181239262999</v>
      </c>
      <c r="AM6902">
        <v>90.721859106456293</v>
      </c>
      <c r="AN6902">
        <v>0.99999996677173097</v>
      </c>
    </row>
    <row r="6903" spans="1:40" x14ac:dyDescent="0.25">
      <c r="A6903" t="str">
        <f>"20190312155009808"</f>
        <v>20190312155009808</v>
      </c>
      <c r="B6903" t="str">
        <f>"1552377009802204"</f>
        <v>1552377009802204</v>
      </c>
      <c r="C6903" t="s">
        <v>40</v>
      </c>
      <c r="D6903">
        <v>4.725142</v>
      </c>
      <c r="E6903">
        <v>0.33980860000000002</v>
      </c>
      <c r="F6903" t="s">
        <v>65</v>
      </c>
      <c r="G6903">
        <v>-199.7475</v>
      </c>
      <c r="H6903" s="1">
        <v>-9.9402280000000001E-6</v>
      </c>
      <c r="I6903">
        <v>-52.757129999999997</v>
      </c>
      <c r="J6903">
        <v>-209.50729999999999</v>
      </c>
      <c r="K6903">
        <v>1.1183590000000001</v>
      </c>
      <c r="L6903">
        <v>-60.184449999999998</v>
      </c>
      <c r="M6903">
        <v>0.97273659999999995</v>
      </c>
      <c r="N6903">
        <v>0</v>
      </c>
      <c r="O6903">
        <v>0.2314262</v>
      </c>
      <c r="P6903">
        <v>0.96942470000000003</v>
      </c>
      <c r="Q6903">
        <v>-2.5855260000000001E-2</v>
      </c>
      <c r="R6903">
        <v>0.24402309999999999</v>
      </c>
      <c r="S6903">
        <v>2.6008300000000002</v>
      </c>
      <c r="T6903">
        <v>-0.29404229999999998</v>
      </c>
      <c r="U6903">
        <v>1.962494</v>
      </c>
      <c r="V6903">
        <v>-1.2794140000000001E-2</v>
      </c>
      <c r="W6903">
        <v>-1.111097E-2</v>
      </c>
      <c r="X6903">
        <v>0.99985639999999998</v>
      </c>
      <c r="Y6903">
        <v>-0.40054499999999998</v>
      </c>
      <c r="Z6903">
        <v>-2.5314389999999999E-3</v>
      </c>
      <c r="AA6903">
        <v>0.91627360000000002</v>
      </c>
      <c r="AB6903">
        <v>28</v>
      </c>
      <c r="AC6903">
        <v>9.7597999999999807</v>
      </c>
      <c r="AD6903">
        <v>-1.1183689402279999</v>
      </c>
      <c r="AE6903">
        <v>7.4273199999999902</v>
      </c>
      <c r="AF6903">
        <v>-4.9257542081763903</v>
      </c>
      <c r="AG6903">
        <v>-1.1183689402279999</v>
      </c>
      <c r="AH6903">
        <v>11.121379578807501</v>
      </c>
      <c r="AI6903">
        <v>95.253316903508903</v>
      </c>
      <c r="AJ6903">
        <v>113.888962793904</v>
      </c>
      <c r="AK6903">
        <v>12.214699641896701</v>
      </c>
      <c r="AL6903">
        <v>90.636624798063593</v>
      </c>
      <c r="AM6903">
        <v>90.733115494656602</v>
      </c>
      <c r="AN6903">
        <v>0.99999998214681995</v>
      </c>
    </row>
    <row r="6904" spans="1:40" x14ac:dyDescent="0.25">
      <c r="A6904" t="str">
        <f>"20190312155009817"</f>
        <v>20190312155009817</v>
      </c>
      <c r="B6904" t="str">
        <f>"1552377009812939"</f>
        <v>1552377009812939</v>
      </c>
      <c r="C6904" t="s">
        <v>40</v>
      </c>
      <c r="D6904">
        <v>4.7361719999999998</v>
      </c>
      <c r="E6904">
        <v>0.34025820000000001</v>
      </c>
      <c r="F6904" t="s">
        <v>65</v>
      </c>
      <c r="G6904">
        <v>-199.7784</v>
      </c>
      <c r="H6904" s="1">
        <v>-9.9407230000000008E-6</v>
      </c>
      <c r="I6904">
        <v>-52.765619999999998</v>
      </c>
      <c r="J6904">
        <v>-209.3818</v>
      </c>
      <c r="K6904">
        <v>1.1184540000000001</v>
      </c>
      <c r="L6904">
        <v>-60.148769999999899</v>
      </c>
      <c r="M6904">
        <v>0.97141169999999999</v>
      </c>
      <c r="N6904">
        <v>0</v>
      </c>
      <c r="O6904">
        <v>0.2369242</v>
      </c>
      <c r="P6904">
        <v>0.96789990000000004</v>
      </c>
      <c r="Q6904">
        <v>-2.6740739999999999E-2</v>
      </c>
      <c r="R6904">
        <v>0.24990960000000001</v>
      </c>
      <c r="S6904">
        <v>2.5895839999999999</v>
      </c>
      <c r="T6904">
        <v>-0.29768109999999998</v>
      </c>
      <c r="U6904">
        <v>1.974701</v>
      </c>
      <c r="V6904">
        <v>-1.320021E-2</v>
      </c>
      <c r="W6904">
        <v>-1.198285E-2</v>
      </c>
      <c r="X6904">
        <v>0.99984110000000004</v>
      </c>
      <c r="Y6904">
        <v>-0.4000166</v>
      </c>
      <c r="Z6904">
        <v>-3.1173920000000001E-3</v>
      </c>
      <c r="AA6904">
        <v>0.91650259999999995</v>
      </c>
      <c r="AB6904">
        <v>28</v>
      </c>
      <c r="AC6904">
        <v>9.6033999999999899</v>
      </c>
      <c r="AD6904">
        <v>-1.1184639407229999</v>
      </c>
      <c r="AE6904">
        <v>7.3831499999999899</v>
      </c>
      <c r="AF6904">
        <v>-4.8559562300836596</v>
      </c>
      <c r="AG6904">
        <v>-1.1184639407229999</v>
      </c>
      <c r="AH6904">
        <v>10.985699604924401</v>
      </c>
      <c r="AI6904">
        <v>95.320006569762896</v>
      </c>
      <c r="AJ6904">
        <v>113.846637253465</v>
      </c>
      <c r="AK6904">
        <v>12.063037275281101</v>
      </c>
      <c r="AL6904">
        <v>90.686583142714298</v>
      </c>
      <c r="AM6904">
        <v>90.756392574847993</v>
      </c>
      <c r="AN6904">
        <v>1.00000002974368</v>
      </c>
    </row>
    <row r="6905" spans="1:40" x14ac:dyDescent="0.25">
      <c r="A6905" t="str">
        <f>"20190312155009829"</f>
        <v>20190312155009829</v>
      </c>
      <c r="B6905" t="str">
        <f>"1552377009822699"</f>
        <v>1552377009822699</v>
      </c>
      <c r="C6905" t="s">
        <v>40</v>
      </c>
      <c r="D6905">
        <v>4.7804039999999999</v>
      </c>
      <c r="E6905">
        <v>0.34078180000000002</v>
      </c>
      <c r="F6905" t="s">
        <v>65</v>
      </c>
      <c r="G6905">
        <v>-199.76769999999999</v>
      </c>
      <c r="H6905" s="1">
        <v>-9.9487660000000007E-6</v>
      </c>
      <c r="I6905">
        <v>-52.739269999999998</v>
      </c>
      <c r="J6905">
        <v>-209.25649999999999</v>
      </c>
      <c r="K6905">
        <v>1.118544</v>
      </c>
      <c r="L6905">
        <v>-60.112490000000001</v>
      </c>
      <c r="M6905">
        <v>0.97004460000000003</v>
      </c>
      <c r="N6905">
        <v>0</v>
      </c>
      <c r="O6905">
        <v>0.24245920000000001</v>
      </c>
      <c r="P6905">
        <v>0.96641100000000002</v>
      </c>
      <c r="Q6905">
        <v>-2.753676E-2</v>
      </c>
      <c r="R6905">
        <v>0.25552219999999998</v>
      </c>
      <c r="S6905">
        <v>2.5781710000000002</v>
      </c>
      <c r="T6905">
        <v>-0.2999327</v>
      </c>
      <c r="U6905">
        <v>1.986969</v>
      </c>
      <c r="V6905">
        <v>-1.328733E-2</v>
      </c>
      <c r="W6905">
        <v>-1.275928E-2</v>
      </c>
      <c r="X6905">
        <v>0.99983029999999995</v>
      </c>
      <c r="Y6905">
        <v>-0.39949990000000002</v>
      </c>
      <c r="Z6905">
        <v>-3.7038700000000002E-3</v>
      </c>
      <c r="AA6905">
        <v>0.91672580000000004</v>
      </c>
      <c r="AB6905">
        <v>28</v>
      </c>
      <c r="AC6905">
        <v>9.4887999999999906</v>
      </c>
      <c r="AD6905">
        <v>-1.1185539487659999</v>
      </c>
      <c r="AE6905">
        <v>7.3732199999999999</v>
      </c>
      <c r="AF6905">
        <v>-4.8105751337772498</v>
      </c>
      <c r="AG6905">
        <v>-1.1185539487659999</v>
      </c>
      <c r="AH6905">
        <v>10.899077478870799</v>
      </c>
      <c r="AI6905">
        <v>95.363753927832704</v>
      </c>
      <c r="AJ6905">
        <v>113.81544162962599</v>
      </c>
      <c r="AK6905">
        <v>11.9658967881411</v>
      </c>
      <c r="AL6905">
        <v>90.731072737772607</v>
      </c>
      <c r="AM6905">
        <v>90.761392324045303</v>
      </c>
      <c r="AN6905">
        <v>0.99999999058136801</v>
      </c>
    </row>
    <row r="6906" spans="1:40" x14ac:dyDescent="0.25">
      <c r="A6906" t="str">
        <f>"20190312155009840"</f>
        <v>20190312155009840</v>
      </c>
      <c r="B6906" t="str">
        <f>"1552377009832459"</f>
        <v>1552377009832459</v>
      </c>
      <c r="C6906" t="s">
        <v>40</v>
      </c>
      <c r="D6906">
        <v>4.9137729999999999</v>
      </c>
      <c r="E6906">
        <v>0.34156239999999999</v>
      </c>
      <c r="F6906" t="s">
        <v>65</v>
      </c>
      <c r="G6906">
        <v>-199.8683</v>
      </c>
      <c r="H6906" s="1">
        <v>-9.9361949999999995E-6</v>
      </c>
      <c r="I6906">
        <v>-52.80733</v>
      </c>
      <c r="J6906">
        <v>-209.12469999999999</v>
      </c>
      <c r="K6906">
        <v>1.1186339999999999</v>
      </c>
      <c r="L6906">
        <v>-60.073360000000001</v>
      </c>
      <c r="M6906">
        <v>0.96855089999999999</v>
      </c>
      <c r="N6906">
        <v>0</v>
      </c>
      <c r="O6906">
        <v>0.24835789999999999</v>
      </c>
      <c r="P6906">
        <v>0.96471790000000002</v>
      </c>
      <c r="Q6906">
        <v>-2.7946909999999998E-2</v>
      </c>
      <c r="R6906">
        <v>0.2617987</v>
      </c>
      <c r="S6906">
        <v>2.5673520000000001</v>
      </c>
      <c r="T6906">
        <v>-0.3058864</v>
      </c>
      <c r="U6906">
        <v>1.997711</v>
      </c>
      <c r="V6906">
        <v>-1.3693449999999999E-2</v>
      </c>
      <c r="W6906">
        <v>-1.3155679999999999E-2</v>
      </c>
      <c r="X6906">
        <v>0.99981969999999998</v>
      </c>
      <c r="Y6906">
        <v>-0.39818310000000001</v>
      </c>
      <c r="Z6906">
        <v>-4.4301339999999996E-3</v>
      </c>
      <c r="AA6906">
        <v>0.91729530000000004</v>
      </c>
      <c r="AB6906">
        <v>28</v>
      </c>
      <c r="AC6906">
        <v>9.2563999999999798</v>
      </c>
      <c r="AD6906">
        <v>-1.11864393619499</v>
      </c>
      <c r="AE6906">
        <v>7.26602999999999</v>
      </c>
      <c r="AF6906">
        <v>-4.6967162449611202</v>
      </c>
      <c r="AG6906">
        <v>-1.11864393619499</v>
      </c>
      <c r="AH6906">
        <v>10.674632605664399</v>
      </c>
      <c r="AI6906">
        <v>95.479076094138605</v>
      </c>
      <c r="AJ6906">
        <v>113.748945415139</v>
      </c>
      <c r="AK6906">
        <v>11.7157282747417</v>
      </c>
      <c r="AL6906">
        <v>90.753786679255896</v>
      </c>
      <c r="AM6906">
        <v>90.784669316862605</v>
      </c>
      <c r="AN6906">
        <v>1.0000000074986199</v>
      </c>
    </row>
    <row r="6907" spans="1:40" x14ac:dyDescent="0.25">
      <c r="A6907" t="str">
        <f>"20190312155009852"</f>
        <v>20190312155009852</v>
      </c>
      <c r="B6907" t="str">
        <f>"1552377009843195"</f>
        <v>1552377009843195</v>
      </c>
      <c r="C6907" t="s">
        <v>40</v>
      </c>
      <c r="D6907">
        <v>4.7997569999999996</v>
      </c>
      <c r="E6907">
        <v>0.34205479999999999</v>
      </c>
      <c r="F6907" t="s">
        <v>65</v>
      </c>
      <c r="G6907">
        <v>-199.8672</v>
      </c>
      <c r="H6907" s="1">
        <v>-9.938954E-6</v>
      </c>
      <c r="I6907">
        <v>-52.799120000000002</v>
      </c>
      <c r="J6907">
        <v>-208.9915</v>
      </c>
      <c r="K6907">
        <v>1.1187210000000001</v>
      </c>
      <c r="L6907">
        <v>-60.032710000000002</v>
      </c>
      <c r="M6907">
        <v>0.96698280000000003</v>
      </c>
      <c r="N6907">
        <v>0</v>
      </c>
      <c r="O6907">
        <v>0.25439319999999999</v>
      </c>
      <c r="P6907">
        <v>0.96301939999999997</v>
      </c>
      <c r="Q6907">
        <v>-2.83149E-2</v>
      </c>
      <c r="R6907">
        <v>0.26794030000000002</v>
      </c>
      <c r="S6907">
        <v>2.5557859999999999</v>
      </c>
      <c r="T6907">
        <v>-0.30883470000000002</v>
      </c>
      <c r="U6907">
        <v>2.00827</v>
      </c>
      <c r="V6907">
        <v>-1.3821160000000001E-2</v>
      </c>
      <c r="W6907">
        <v>-1.3504240000000001E-2</v>
      </c>
      <c r="X6907">
        <v>0.99981330000000002</v>
      </c>
      <c r="Y6907">
        <v>-0.39683639999999998</v>
      </c>
      <c r="Z6907">
        <v>-5.1494260000000004E-3</v>
      </c>
      <c r="AA6907">
        <v>0.91787490000000005</v>
      </c>
      <c r="AB6907">
        <v>28</v>
      </c>
      <c r="AC6907">
        <v>9.1242999999999999</v>
      </c>
      <c r="AD6907">
        <v>-1.1187309389540001</v>
      </c>
      <c r="AE6907">
        <v>7.2335899999999898</v>
      </c>
      <c r="AF6907">
        <v>-4.6313773121498096</v>
      </c>
      <c r="AG6907">
        <v>-1.1187309389540001</v>
      </c>
      <c r="AH6907">
        <v>10.5668888497505</v>
      </c>
      <c r="AI6907">
        <v>95.538463056534397</v>
      </c>
      <c r="AJ6907">
        <v>113.667429452695</v>
      </c>
      <c r="AK6907">
        <v>11.5913914041521</v>
      </c>
      <c r="AL6907">
        <v>90.773759467241206</v>
      </c>
      <c r="AM6907">
        <v>90.791991564031804</v>
      </c>
      <c r="AN6907">
        <v>1.0000000119093</v>
      </c>
    </row>
    <row r="6908" spans="1:40" x14ac:dyDescent="0.25">
      <c r="A6908" t="str">
        <f>"20190312155009863"</f>
        <v>20190312155009863</v>
      </c>
      <c r="B6908" t="str">
        <f>"1552377009852955"</f>
        <v>1552377009852955</v>
      </c>
      <c r="C6908" t="s">
        <v>40</v>
      </c>
      <c r="D6908">
        <v>4.8400089999999896</v>
      </c>
      <c r="E6908">
        <v>0.34274870000000002</v>
      </c>
      <c r="F6908" t="s">
        <v>65</v>
      </c>
      <c r="G6908">
        <v>-199.87190000000001</v>
      </c>
      <c r="H6908" s="1">
        <v>-9.9431609999999999E-6</v>
      </c>
      <c r="I6908">
        <v>-52.788640000000001</v>
      </c>
      <c r="J6908">
        <v>-208.85480000000001</v>
      </c>
      <c r="K6908">
        <v>1.1188070000000001</v>
      </c>
      <c r="L6908">
        <v>-59.990419999999901</v>
      </c>
      <c r="M6908">
        <v>0.96532030000000002</v>
      </c>
      <c r="N6908">
        <v>0</v>
      </c>
      <c r="O6908">
        <v>0.26062879999999999</v>
      </c>
      <c r="P6908">
        <v>0.96117439999999998</v>
      </c>
      <c r="Q6908">
        <v>-2.8181939999999999E-2</v>
      </c>
      <c r="R6908">
        <v>0.27449879999999999</v>
      </c>
      <c r="S6908">
        <v>2.5438230000000002</v>
      </c>
      <c r="T6908">
        <v>-0.31205840000000001</v>
      </c>
      <c r="U6908">
        <v>2.0206599999999999</v>
      </c>
      <c r="V6908">
        <v>-1.418351E-2</v>
      </c>
      <c r="W6908">
        <v>-1.3357010000000001E-2</v>
      </c>
      <c r="X6908">
        <v>0.99981019999999998</v>
      </c>
      <c r="Y6908">
        <v>-0.39577079999999998</v>
      </c>
      <c r="Z6908">
        <v>-5.8922059999999997E-3</v>
      </c>
      <c r="AA6908">
        <v>0.91833039999999999</v>
      </c>
      <c r="AB6908">
        <v>28</v>
      </c>
      <c r="AC6908">
        <v>8.9829000000000008</v>
      </c>
      <c r="AD6908">
        <v>-1.11881694316099</v>
      </c>
      <c r="AE6908">
        <v>7.2017799999999896</v>
      </c>
      <c r="AF6908">
        <v>-4.56821300658582</v>
      </c>
      <c r="AG6908">
        <v>-1.11881694316099</v>
      </c>
      <c r="AH6908">
        <v>10.4508886960044</v>
      </c>
      <c r="AI6908">
        <v>95.602387164035903</v>
      </c>
      <c r="AJ6908">
        <v>113.610734897309</v>
      </c>
      <c r="AK6908">
        <v>11.460427390028499</v>
      </c>
      <c r="AL6908">
        <v>90.765323051137301</v>
      </c>
      <c r="AM6908">
        <v>90.812755013990099</v>
      </c>
      <c r="AN6908">
        <v>1.0000000088480401</v>
      </c>
    </row>
    <row r="6909" spans="1:40" x14ac:dyDescent="0.25">
      <c r="A6909" t="str">
        <f>"20190312155009875"</f>
        <v>20190312155009875</v>
      </c>
      <c r="B6909" t="str">
        <f>"1552377009872478"</f>
        <v>1552377009872478</v>
      </c>
      <c r="C6909" t="s">
        <v>40</v>
      </c>
      <c r="D6909">
        <v>4.8585820000000002</v>
      </c>
      <c r="E6909">
        <v>0.3438271</v>
      </c>
      <c r="F6909" t="s">
        <v>65</v>
      </c>
      <c r="G6909">
        <v>-199.85990000000001</v>
      </c>
      <c r="H6909" s="1">
        <v>-9.9486880000000007E-6</v>
      </c>
      <c r="I6909">
        <v>-52.76905</v>
      </c>
      <c r="J6909">
        <v>-208.72819999999999</v>
      </c>
      <c r="K6909">
        <v>1.1188830000000001</v>
      </c>
      <c r="L6909">
        <v>-59.949739999999998</v>
      </c>
      <c r="M6909">
        <v>0.96371189999999995</v>
      </c>
      <c r="N6909">
        <v>0</v>
      </c>
      <c r="O6909">
        <v>0.26651370000000002</v>
      </c>
      <c r="P6909">
        <v>0.95937099999999997</v>
      </c>
      <c r="Q6909">
        <v>-2.8313040000000001E-2</v>
      </c>
      <c r="R6909">
        <v>0.28072370000000002</v>
      </c>
      <c r="S6909">
        <v>2.5315249999999998</v>
      </c>
      <c r="T6909">
        <v>-0.31487939999999998</v>
      </c>
      <c r="U6909">
        <v>2.0323790000000002</v>
      </c>
      <c r="V6909">
        <v>-1.45606E-2</v>
      </c>
      <c r="W6909">
        <v>-1.34757E-2</v>
      </c>
      <c r="X6909">
        <v>0.9998032</v>
      </c>
      <c r="Y6909">
        <v>-0.39494459999999998</v>
      </c>
      <c r="Z6909">
        <v>-6.5946969999999897E-3</v>
      </c>
      <c r="AA6909">
        <v>0.91868130000000003</v>
      </c>
      <c r="AB6909">
        <v>28</v>
      </c>
      <c r="AC6909">
        <v>8.8682999999999694</v>
      </c>
      <c r="AD6909">
        <v>-1.1188929486879999</v>
      </c>
      <c r="AE6909">
        <v>7.1806900000000002</v>
      </c>
      <c r="AF6909">
        <v>-4.5137185839385703</v>
      </c>
      <c r="AG6909">
        <v>-1.1188929486879999</v>
      </c>
      <c r="AH6909">
        <v>10.361814927248</v>
      </c>
      <c r="AI6909">
        <v>95.653709237922996</v>
      </c>
      <c r="AJ6909">
        <v>113.538461874082</v>
      </c>
      <c r="AK6909">
        <v>11.357499085280899</v>
      </c>
      <c r="AL6909">
        <v>90.772124088999902</v>
      </c>
      <c r="AM6909">
        <v>90.834366157212003</v>
      </c>
      <c r="AN6909">
        <v>1.0000000221465399</v>
      </c>
    </row>
    <row r="6910" spans="1:40" x14ac:dyDescent="0.25">
      <c r="A6910" t="str">
        <f>"20190312155009888"</f>
        <v>20190312155009888</v>
      </c>
      <c r="B6910" t="str">
        <f>"1552377009882239"</f>
        <v>1552377009882239</v>
      </c>
      <c r="C6910" t="s">
        <v>40</v>
      </c>
      <c r="D6910">
        <v>4.8768320000000003</v>
      </c>
      <c r="E6910">
        <v>0.34449879999999999</v>
      </c>
      <c r="F6910" t="s">
        <v>65</v>
      </c>
      <c r="G6910">
        <v>-199.93270000000001</v>
      </c>
      <c r="H6910" s="1">
        <v>-9.9357769999999994E-6</v>
      </c>
      <c r="I6910">
        <v>-52.829169999999998</v>
      </c>
      <c r="J6910">
        <v>-208.59129999999999</v>
      </c>
      <c r="K6910">
        <v>1.1189629999999999</v>
      </c>
      <c r="L6910">
        <v>-59.905270000000002</v>
      </c>
      <c r="M6910">
        <v>0.96192460000000002</v>
      </c>
      <c r="N6910">
        <v>0</v>
      </c>
      <c r="O6910">
        <v>0.27289289999999999</v>
      </c>
      <c r="P6910">
        <v>0.95738849999999998</v>
      </c>
      <c r="Q6910">
        <v>-2.8425280000000001E-2</v>
      </c>
      <c r="R6910">
        <v>0.28740100000000002</v>
      </c>
      <c r="S6910">
        <v>2.5204930000000001</v>
      </c>
      <c r="T6910">
        <v>-0.3206389</v>
      </c>
      <c r="U6910">
        <v>2.040527</v>
      </c>
      <c r="V6910">
        <v>-1.489763E-2</v>
      </c>
      <c r="W6910">
        <v>-1.357391E-2</v>
      </c>
      <c r="X6910">
        <v>0.99979689999999999</v>
      </c>
      <c r="Y6910">
        <v>-0.39262970000000003</v>
      </c>
      <c r="Z6910">
        <v>-7.5118429999999998E-3</v>
      </c>
      <c r="AA6910">
        <v>0.91966590000000004</v>
      </c>
      <c r="AB6910">
        <v>28</v>
      </c>
      <c r="AC6910">
        <v>8.6585999999999697</v>
      </c>
      <c r="AD6910">
        <v>-1.118972935777</v>
      </c>
      <c r="AE6910">
        <v>7.0760999999999896</v>
      </c>
      <c r="AF6910">
        <v>-4.4002550069683499</v>
      </c>
      <c r="AG6910">
        <v>-1.118972935777</v>
      </c>
      <c r="AH6910">
        <v>10.159390608666101</v>
      </c>
      <c r="AI6910">
        <v>95.771227411703805</v>
      </c>
      <c r="AJ6910">
        <v>113.418495051596</v>
      </c>
      <c r="AK6910">
        <v>11.127783341564699</v>
      </c>
      <c r="AL6910">
        <v>90.777751627014496</v>
      </c>
      <c r="AM6910">
        <v>90.853681542194906</v>
      </c>
      <c r="AN6910">
        <v>1.0000000158309501</v>
      </c>
    </row>
    <row r="6911" spans="1:40" x14ac:dyDescent="0.25">
      <c r="A6911" t="str">
        <f>"20190312155009897"</f>
        <v>20190312155009897</v>
      </c>
      <c r="B6911" t="str">
        <f>"1552377009892975"</f>
        <v>1552377009892975</v>
      </c>
      <c r="C6911" t="s">
        <v>40</v>
      </c>
      <c r="D6911">
        <v>4.8868989999999997</v>
      </c>
      <c r="E6911">
        <v>0.34449879999999999</v>
      </c>
      <c r="F6911" t="s">
        <v>65</v>
      </c>
      <c r="G6911">
        <v>-199.89619999999999</v>
      </c>
      <c r="H6911" s="1">
        <v>-9.946548E-6</v>
      </c>
      <c r="I6911">
        <v>-52.786769999999997</v>
      </c>
      <c r="J6911">
        <v>-208.46600000000001</v>
      </c>
      <c r="K6911">
        <v>1.11903</v>
      </c>
      <c r="L6911">
        <v>-59.863160000000001</v>
      </c>
      <c r="M6911">
        <v>0.96022059999999998</v>
      </c>
      <c r="N6911">
        <v>0</v>
      </c>
      <c r="O6911">
        <v>0.27882780000000001</v>
      </c>
      <c r="P6911">
        <v>0.95549740000000005</v>
      </c>
      <c r="Q6911">
        <v>-2.8630889999999999E-2</v>
      </c>
      <c r="R6911">
        <v>0.2936066</v>
      </c>
      <c r="S6911">
        <v>2.5076450000000001</v>
      </c>
      <c r="T6911">
        <v>-0.32270720000000003</v>
      </c>
      <c r="U6911">
        <v>2.0529480000000002</v>
      </c>
      <c r="V6911">
        <v>-1.520557E-2</v>
      </c>
      <c r="W6911">
        <v>-1.3766509999999999E-2</v>
      </c>
      <c r="X6911">
        <v>0.99978959999999995</v>
      </c>
      <c r="Y6911">
        <v>-0.39200560000000001</v>
      </c>
      <c r="Z6911">
        <v>-8.2227829999999991E-3</v>
      </c>
      <c r="AA6911">
        <v>0.91992609999999997</v>
      </c>
      <c r="AB6911">
        <v>28</v>
      </c>
      <c r="AC6911">
        <v>8.5697999999999794</v>
      </c>
      <c r="AD6911">
        <v>-1.1190399465480001</v>
      </c>
      <c r="AE6911">
        <v>7.07639</v>
      </c>
      <c r="AF6911">
        <v>-4.3616867884997896</v>
      </c>
      <c r="AG6911">
        <v>-1.1190399465480001</v>
      </c>
      <c r="AH6911">
        <v>10.1007689659683</v>
      </c>
      <c r="AI6911">
        <v>95.807579907409206</v>
      </c>
      <c r="AJ6911">
        <v>113.355522302523</v>
      </c>
      <c r="AK6911">
        <v>11.059027793925299</v>
      </c>
      <c r="AL6911">
        <v>90.788787849385102</v>
      </c>
      <c r="AM6911">
        <v>90.871331150869693</v>
      </c>
      <c r="AN6911">
        <v>0.99999998521238198</v>
      </c>
    </row>
    <row r="6912" spans="1:40" x14ac:dyDescent="0.25">
      <c r="A6912" t="str">
        <f>"20190312155009908"</f>
        <v>20190312155009908</v>
      </c>
      <c r="B6912" t="str">
        <f>"1552377009902735"</f>
        <v>1552377009902735</v>
      </c>
      <c r="C6912" t="s">
        <v>40</v>
      </c>
      <c r="D6912">
        <v>4.8478820000000002</v>
      </c>
      <c r="E6912">
        <v>0.35792309999999999</v>
      </c>
      <c r="F6912" t="s">
        <v>65</v>
      </c>
      <c r="G6912">
        <v>-199.82910000000001</v>
      </c>
      <c r="H6912" s="1">
        <v>-9.9699469999999994E-6</v>
      </c>
      <c r="I6912">
        <v>-52.698619999999998</v>
      </c>
      <c r="J6912">
        <v>-208.3425</v>
      </c>
      <c r="K6912">
        <v>1.119094</v>
      </c>
      <c r="L6912">
        <v>-59.82114</v>
      </c>
      <c r="M6912">
        <v>0.95849519999999999</v>
      </c>
      <c r="N6912">
        <v>0</v>
      </c>
      <c r="O6912">
        <v>0.284701599999999</v>
      </c>
      <c r="P6912">
        <v>0.9535941</v>
      </c>
      <c r="Q6912">
        <v>-2.8987249999999999E-2</v>
      </c>
      <c r="R6912">
        <v>0.29969649999999998</v>
      </c>
      <c r="S6912">
        <v>2.4942470000000001</v>
      </c>
      <c r="T6912">
        <v>-0.3231697</v>
      </c>
      <c r="U6912">
        <v>2.069061</v>
      </c>
      <c r="V6912">
        <v>-1.5455780000000001E-2</v>
      </c>
      <c r="W6912">
        <v>-1.4109500000000001E-2</v>
      </c>
      <c r="X6912">
        <v>0.99978100000000003</v>
      </c>
      <c r="Y6912">
        <v>-0.3923449</v>
      </c>
      <c r="Z6912">
        <v>-8.8356979999999995E-3</v>
      </c>
      <c r="AA6912">
        <v>0.91977580000000003</v>
      </c>
      <c r="AB6912">
        <v>28</v>
      </c>
      <c r="AC6912">
        <v>8.5133999999999901</v>
      </c>
      <c r="AD6912">
        <v>-1.119103969947</v>
      </c>
      <c r="AE6912">
        <v>7.1225199999999997</v>
      </c>
      <c r="AF6912">
        <v>-4.3593215195754302</v>
      </c>
      <c r="AG6912">
        <v>-1.119103969947</v>
      </c>
      <c r="AH6912">
        <v>10.086499852816599</v>
      </c>
      <c r="AI6912">
        <v>95.815278481731994</v>
      </c>
      <c r="AJ6912">
        <v>113.37369573956499</v>
      </c>
      <c r="AK6912">
        <v>11.045069356389501</v>
      </c>
      <c r="AL6912">
        <v>90.808441623510603</v>
      </c>
      <c r="AM6912">
        <v>90.885674391186399</v>
      </c>
      <c r="AN6912">
        <v>1.0000000035433201</v>
      </c>
    </row>
    <row r="6913" spans="1:40" x14ac:dyDescent="0.25">
      <c r="A6913" t="str">
        <f>"20190312155009919"</f>
        <v>20190312155009919</v>
      </c>
      <c r="B6913" t="str">
        <f>"1552377009912495"</f>
        <v>1552377009912495</v>
      </c>
      <c r="C6913" t="s">
        <v>40</v>
      </c>
      <c r="D6913">
        <v>4.8583020000000001</v>
      </c>
      <c r="E6913">
        <v>0.35860409999999998</v>
      </c>
      <c r="F6913" t="s">
        <v>65</v>
      </c>
      <c r="G6913">
        <v>-200.47380000000001</v>
      </c>
      <c r="H6913" s="1">
        <v>-6.5872220000000004E-6</v>
      </c>
      <c r="I6913">
        <v>-53.608040000000003</v>
      </c>
      <c r="J6913">
        <v>-208.221</v>
      </c>
      <c r="K6913">
        <v>1.1191530000000001</v>
      </c>
      <c r="L6913">
        <v>-59.778750000000002</v>
      </c>
      <c r="M6913">
        <v>0.95674150000000002</v>
      </c>
      <c r="N6913">
        <v>0</v>
      </c>
      <c r="O6913">
        <v>0.2905392</v>
      </c>
      <c r="P6913">
        <v>0.95170500000000002</v>
      </c>
      <c r="Q6913">
        <v>-2.9315279999999999E-2</v>
      </c>
      <c r="R6913">
        <v>0.30561120000000003</v>
      </c>
      <c r="S6913">
        <v>2.5117950000000002</v>
      </c>
      <c r="T6913">
        <v>-0.35723260000000001</v>
      </c>
      <c r="U6913">
        <v>1.9833069999999999</v>
      </c>
      <c r="V6913">
        <v>-1.5562019999999999E-2</v>
      </c>
      <c r="W6913">
        <v>-1.4421150000000001E-2</v>
      </c>
      <c r="X6913">
        <v>0.99977490000000002</v>
      </c>
      <c r="Y6913">
        <v>-0.3644385</v>
      </c>
      <c r="Z6913">
        <v>-1.223955E-2</v>
      </c>
      <c r="AA6913">
        <v>0.93114699999999995</v>
      </c>
      <c r="AB6913">
        <v>27</v>
      </c>
      <c r="AC6913">
        <v>7.7471999999999603</v>
      </c>
      <c r="AD6913">
        <v>-1.1191595872219999</v>
      </c>
      <c r="AE6913">
        <v>6.1707099999999997</v>
      </c>
      <c r="AF6913">
        <v>-3.6072757152681101</v>
      </c>
      <c r="AG6913">
        <v>-1.1191595872219999</v>
      </c>
      <c r="AH6913">
        <v>9.0899102596402397</v>
      </c>
      <c r="AI6913">
        <v>96.5284808892917</v>
      </c>
      <c r="AJ6913">
        <v>111.64535256738201</v>
      </c>
      <c r="AK6913">
        <v>9.8433441876197207</v>
      </c>
      <c r="AL6913">
        <v>90.826299674639003</v>
      </c>
      <c r="AM6913">
        <v>90.891766803537806</v>
      </c>
      <c r="AN6913">
        <v>0.99999999835190601</v>
      </c>
    </row>
    <row r="6914" spans="1:40" x14ac:dyDescent="0.25">
      <c r="A6914" t="str">
        <f>"20190312155009931"</f>
        <v>20190312155009931</v>
      </c>
      <c r="B6914" t="str">
        <f>"1552377009922255"</f>
        <v>1552377009922255</v>
      </c>
      <c r="C6914" t="s">
        <v>40</v>
      </c>
      <c r="D6914">
        <v>4.8630890000000004</v>
      </c>
      <c r="E6914">
        <v>0.35909629999999998</v>
      </c>
      <c r="F6914" t="s">
        <v>65</v>
      </c>
      <c r="G6914">
        <v>-200.6104</v>
      </c>
      <c r="H6914" s="1">
        <v>-6.5194849999999998E-6</v>
      </c>
      <c r="I6914">
        <v>-53.710659999999997</v>
      </c>
      <c r="J6914">
        <v>-208.09460000000001</v>
      </c>
      <c r="K6914">
        <v>1.1192139999999999</v>
      </c>
      <c r="L6914">
        <v>-59.733699999999999</v>
      </c>
      <c r="M6914">
        <v>0.95486190000000004</v>
      </c>
      <c r="N6914">
        <v>0</v>
      </c>
      <c r="O6914">
        <v>0.2966568</v>
      </c>
      <c r="P6914">
        <v>0.94965140000000003</v>
      </c>
      <c r="Q6914">
        <v>-2.9461109999999999E-2</v>
      </c>
      <c r="R6914">
        <v>0.31192029999999998</v>
      </c>
      <c r="S6914">
        <v>2.5006409999999999</v>
      </c>
      <c r="T6914">
        <v>-0.36773040000000001</v>
      </c>
      <c r="U6914">
        <v>1.993835</v>
      </c>
      <c r="V6914">
        <v>-1.5794160000000002E-2</v>
      </c>
      <c r="W6914">
        <v>-1.4553190000000001E-2</v>
      </c>
      <c r="X6914">
        <v>0.99976929999999997</v>
      </c>
      <c r="Y6914">
        <v>-0.36291319999999999</v>
      </c>
      <c r="Z6914">
        <v>-1.3439649999999999E-2</v>
      </c>
      <c r="AA6914">
        <v>0.93172600000000005</v>
      </c>
      <c r="AB6914">
        <v>27</v>
      </c>
      <c r="AC6914">
        <v>7.4842000000000102</v>
      </c>
      <c r="AD6914">
        <v>-1.119220519485</v>
      </c>
      <c r="AE6914">
        <v>6.0230399999999999</v>
      </c>
      <c r="AF6914">
        <v>-3.48405584806539</v>
      </c>
      <c r="AG6914">
        <v>-1.119220519485</v>
      </c>
      <c r="AH6914">
        <v>8.8145564440893107</v>
      </c>
      <c r="AI6914">
        <v>96.734554780614701</v>
      </c>
      <c r="AJ6914">
        <v>111.566985302975</v>
      </c>
      <c r="AK6914">
        <v>9.5439878997047902</v>
      </c>
      <c r="AL6914">
        <v>90.833865842040396</v>
      </c>
      <c r="AM6914">
        <v>90.905072238349703</v>
      </c>
      <c r="AN6914">
        <v>0.99999995202588399</v>
      </c>
    </row>
    <row r="6915" spans="1:40" x14ac:dyDescent="0.25">
      <c r="A6915" t="str">
        <f>"20190312155009941"</f>
        <v>20190312155009941</v>
      </c>
      <c r="B6915" t="str">
        <f>"1552377009932991"</f>
        <v>1552377009932991</v>
      </c>
      <c r="C6915" t="s">
        <v>40</v>
      </c>
      <c r="D6915">
        <v>4.8877189999999997</v>
      </c>
      <c r="E6915">
        <v>0.3603228</v>
      </c>
      <c r="F6915" t="s">
        <v>65</v>
      </c>
      <c r="G6915">
        <v>-200.3921</v>
      </c>
      <c r="H6915" s="1">
        <v>-6.6312089999999998E-6</v>
      </c>
      <c r="I6915">
        <v>-53.524349999999998</v>
      </c>
      <c r="J6915">
        <v>-207.96719999999999</v>
      </c>
      <c r="K6915">
        <v>1.1192709999999999</v>
      </c>
      <c r="L6915">
        <v>-59.687530000000002</v>
      </c>
      <c r="M6915">
        <v>0.95291199999999998</v>
      </c>
      <c r="N6915">
        <v>0</v>
      </c>
      <c r="O6915">
        <v>0.30286099999999999</v>
      </c>
      <c r="P6915">
        <v>0.94764360000000003</v>
      </c>
      <c r="Q6915">
        <v>-2.9321150000000001E-2</v>
      </c>
      <c r="R6915">
        <v>0.31798120000000002</v>
      </c>
      <c r="S6915">
        <v>2.4888309999999998</v>
      </c>
      <c r="T6915">
        <v>-0.36164469999999999</v>
      </c>
      <c r="U6915">
        <v>2.0063780000000002</v>
      </c>
      <c r="V6915">
        <v>-1.567882E-2</v>
      </c>
      <c r="W6915">
        <v>-1.4391660000000001E-2</v>
      </c>
      <c r="X6915">
        <v>0.99977349999999998</v>
      </c>
      <c r="Y6915">
        <v>-0.36191299999999998</v>
      </c>
      <c r="Z6915">
        <v>-1.4024679999999999E-2</v>
      </c>
      <c r="AA6915">
        <v>0.9321064</v>
      </c>
      <c r="AB6915">
        <v>27</v>
      </c>
      <c r="AC6915">
        <v>7.5750999999999902</v>
      </c>
      <c r="AD6915">
        <v>-1.11927763120899</v>
      </c>
      <c r="AE6915">
        <v>6.1631799999999997</v>
      </c>
      <c r="AF6915">
        <v>-3.5327763686770202</v>
      </c>
      <c r="AG6915">
        <v>-1.11927763120899</v>
      </c>
      <c r="AH6915">
        <v>8.9682425574935394</v>
      </c>
      <c r="AI6915">
        <v>96.623519586661402</v>
      </c>
      <c r="AJ6915">
        <v>111.500507028044</v>
      </c>
      <c r="AK6915">
        <v>9.7037449398078195</v>
      </c>
      <c r="AL6915">
        <v>90.824609846784597</v>
      </c>
      <c r="AM6915">
        <v>90.898460081668205</v>
      </c>
      <c r="AN6915">
        <v>0.99999999828819897</v>
      </c>
    </row>
    <row r="6916" spans="1:40" x14ac:dyDescent="0.25">
      <c r="A6916" t="str">
        <f>"20190312155009953"</f>
        <v>20190312155009953</v>
      </c>
      <c r="B6916" t="str">
        <f>"1552377009942751"</f>
        <v>1552377009942751</v>
      </c>
      <c r="C6916" t="s">
        <v>40</v>
      </c>
      <c r="D6916">
        <v>4.9006919999999896</v>
      </c>
      <c r="E6916">
        <v>0.36130499999999999</v>
      </c>
      <c r="F6916" t="s">
        <v>65</v>
      </c>
      <c r="G6916">
        <v>-200.25479999999999</v>
      </c>
      <c r="H6916" s="1">
        <v>-6.6986289999999999E-6</v>
      </c>
      <c r="I6916">
        <v>-53.42548</v>
      </c>
      <c r="J6916">
        <v>-207.83959999999999</v>
      </c>
      <c r="K6916">
        <v>1.119324</v>
      </c>
      <c r="L6916">
        <v>-59.639980000000001</v>
      </c>
      <c r="M6916">
        <v>0.95089420000000002</v>
      </c>
      <c r="N6916">
        <v>0</v>
      </c>
      <c r="O6916">
        <v>0.309137099999999</v>
      </c>
      <c r="P6916">
        <v>0.94554530000000003</v>
      </c>
      <c r="Q6916">
        <v>-2.957305E-2</v>
      </c>
      <c r="R6916">
        <v>0.32414470000000001</v>
      </c>
      <c r="S6916">
        <v>2.4791560000000001</v>
      </c>
      <c r="T6916">
        <v>-0.35979240000000001</v>
      </c>
      <c r="U6916">
        <v>2.0129389999999998</v>
      </c>
      <c r="V6916">
        <v>-1.559201E-2</v>
      </c>
      <c r="W6916">
        <v>-1.4623239999999999E-2</v>
      </c>
      <c r="X6916">
        <v>0.99977150000000004</v>
      </c>
      <c r="Y6916">
        <v>-0.35908410000000002</v>
      </c>
      <c r="Z6916">
        <v>-1.4882609999999999E-2</v>
      </c>
      <c r="AA6916">
        <v>0.93318659999999998</v>
      </c>
      <c r="AB6916">
        <v>27</v>
      </c>
      <c r="AC6916">
        <v>7.5848000000000004</v>
      </c>
      <c r="AD6916">
        <v>-1.1193306986289999</v>
      </c>
      <c r="AE6916">
        <v>6.2144999999999904</v>
      </c>
      <c r="AF6916">
        <v>-3.51914956322307</v>
      </c>
      <c r="AG6916">
        <v>-1.1193306986289999</v>
      </c>
      <c r="AH6916">
        <v>9.0170464569749402</v>
      </c>
      <c r="AI6916">
        <v>96.596386582694393</v>
      </c>
      <c r="AJ6916">
        <v>111.31957851022899</v>
      </c>
      <c r="AK6916">
        <v>9.7439438457162098</v>
      </c>
      <c r="AL6916">
        <v>90.837879797638394</v>
      </c>
      <c r="AM6916">
        <v>90.893488111778098</v>
      </c>
      <c r="AN6916">
        <v>1.0000000010680901</v>
      </c>
    </row>
    <row r="6917" spans="1:40" x14ac:dyDescent="0.25">
      <c r="A6917" t="str">
        <f>"20190312155009964"</f>
        <v>20190312155009964</v>
      </c>
      <c r="B6917" t="str">
        <f>"1552377009952511"</f>
        <v>1552377009952511</v>
      </c>
      <c r="C6917" t="s">
        <v>40</v>
      </c>
      <c r="D6917">
        <v>4.8713939999999996</v>
      </c>
      <c r="E6917">
        <v>0.36183270000000001</v>
      </c>
      <c r="F6917" t="s">
        <v>65</v>
      </c>
      <c r="G6917">
        <v>-200.24719999999999</v>
      </c>
      <c r="H6917" s="1">
        <v>-6.7022290000000001E-6</v>
      </c>
      <c r="I6917">
        <v>-53.4208</v>
      </c>
      <c r="J6917">
        <v>-207.7097</v>
      </c>
      <c r="K6917">
        <v>1.1193759999999999</v>
      </c>
      <c r="L6917">
        <v>-59.591030000000003</v>
      </c>
      <c r="M6917">
        <v>0.94878510000000005</v>
      </c>
      <c r="N6917">
        <v>0</v>
      </c>
      <c r="O6917">
        <v>0.31554959999999999</v>
      </c>
      <c r="P6917">
        <v>0.94345840000000003</v>
      </c>
      <c r="Q6917">
        <v>-2.9711640000000001E-2</v>
      </c>
      <c r="R6917">
        <v>0.33015679999999997</v>
      </c>
      <c r="S6917">
        <v>2.4682919999999999</v>
      </c>
      <c r="T6917">
        <v>-0.36389300000000002</v>
      </c>
      <c r="U6917">
        <v>2.0218509999999998</v>
      </c>
      <c r="V6917">
        <v>-1.520345E-2</v>
      </c>
      <c r="W6917">
        <v>-1.473465E-2</v>
      </c>
      <c r="X6917">
        <v>0.99977579999999999</v>
      </c>
      <c r="Y6917">
        <v>-0.35685050000000001</v>
      </c>
      <c r="Z6917">
        <v>-1.5970700000000001E-2</v>
      </c>
      <c r="AA6917">
        <v>0.93402499999999999</v>
      </c>
      <c r="AB6917">
        <v>27</v>
      </c>
      <c r="AC6917">
        <v>7.4625000000000004</v>
      </c>
      <c r="AD6917">
        <v>-1.1193827022289999</v>
      </c>
      <c r="AE6917">
        <v>6.1702300000000001</v>
      </c>
      <c r="AF6917">
        <v>-3.4536900230051102</v>
      </c>
      <c r="AG6917">
        <v>-1.1193827022289999</v>
      </c>
      <c r="AH6917">
        <v>8.9093204026148598</v>
      </c>
      <c r="AI6917">
        <v>96.681614719427699</v>
      </c>
      <c r="AJ6917">
        <v>111.18877656943801</v>
      </c>
      <c r="AK6917">
        <v>9.6206539510318105</v>
      </c>
      <c r="AL6917">
        <v>90.844263849231893</v>
      </c>
      <c r="AM6917">
        <v>90.871221709883002</v>
      </c>
      <c r="AN6917">
        <v>0.99999995253408103</v>
      </c>
    </row>
    <row r="6918" spans="1:40" x14ac:dyDescent="0.25">
      <c r="A6918" t="str">
        <f>"20190312155009975"</f>
        <v>20190312155009975</v>
      </c>
      <c r="B6918" t="str">
        <f>"1552377009973008"</f>
        <v>1552377009973008</v>
      </c>
      <c r="C6918" t="s">
        <v>40</v>
      </c>
      <c r="D6918">
        <v>4.8785119999999997</v>
      </c>
      <c r="E6918">
        <v>0.36297550000000001</v>
      </c>
      <c r="F6918" t="s">
        <v>65</v>
      </c>
      <c r="G6918">
        <v>-200.0812</v>
      </c>
      <c r="H6918" s="1">
        <v>-6.787469E-6</v>
      </c>
      <c r="I6918">
        <v>-53.277340000000002</v>
      </c>
      <c r="J6918">
        <v>-207.5915</v>
      </c>
      <c r="K6918">
        <v>1.1194200000000001</v>
      </c>
      <c r="L6918">
        <v>-59.544890000000002</v>
      </c>
      <c r="M6918">
        <v>0.94679860000000005</v>
      </c>
      <c r="N6918">
        <v>0</v>
      </c>
      <c r="O6918">
        <v>0.32146019999999997</v>
      </c>
      <c r="P6918">
        <v>0.94143860000000001</v>
      </c>
      <c r="Q6918">
        <v>-2.995387E-2</v>
      </c>
      <c r="R6918">
        <v>0.33585189999999998</v>
      </c>
      <c r="S6918">
        <v>2.4568629999999998</v>
      </c>
      <c r="T6918">
        <v>-0.36051369999999999</v>
      </c>
      <c r="U6918">
        <v>2.033417</v>
      </c>
      <c r="V6918">
        <v>-1.5005559999999999E-2</v>
      </c>
      <c r="W6918">
        <v>-1.4955889999999999E-2</v>
      </c>
      <c r="X6918">
        <v>0.99977550000000004</v>
      </c>
      <c r="Y6918">
        <v>-0.35581109999999999</v>
      </c>
      <c r="Z6918">
        <v>-1.6598950000000001E-2</v>
      </c>
      <c r="AA6918">
        <v>0.93441050000000003</v>
      </c>
      <c r="AB6918">
        <v>27</v>
      </c>
      <c r="AC6918">
        <v>7.5103</v>
      </c>
      <c r="AD6918">
        <v>-1.119426787469</v>
      </c>
      <c r="AE6918">
        <v>6.26755</v>
      </c>
      <c r="AF6918">
        <v>-3.4747545387366601</v>
      </c>
      <c r="AG6918">
        <v>-1.119426787469</v>
      </c>
      <c r="AH6918">
        <v>9.00860832924403</v>
      </c>
      <c r="AI6918">
        <v>96.613149849009204</v>
      </c>
      <c r="AJ6918">
        <v>111.092370574836</v>
      </c>
      <c r="AK6918">
        <v>9.7201882423489696</v>
      </c>
      <c r="AL6918">
        <v>90.856941369082904</v>
      </c>
      <c r="AM6918">
        <v>90.859883751417797</v>
      </c>
      <c r="AN6918">
        <v>0.99999994793842595</v>
      </c>
    </row>
    <row r="6919" spans="1:40" x14ac:dyDescent="0.25">
      <c r="A6919" t="str">
        <f>"20190312155009987"</f>
        <v>20190312155009987</v>
      </c>
      <c r="B6919" t="str">
        <f>"1552377009982767"</f>
        <v>1552377009982767</v>
      </c>
      <c r="C6919" t="s">
        <v>40</v>
      </c>
      <c r="D6919">
        <v>4.8430119999999999</v>
      </c>
      <c r="E6919">
        <v>0.36356119999999997</v>
      </c>
      <c r="F6919" t="s">
        <v>65</v>
      </c>
      <c r="G6919">
        <v>-199.95320000000001</v>
      </c>
      <c r="H6919" s="1">
        <v>-9.8151599999999994E-6</v>
      </c>
      <c r="I6919">
        <v>-53.179349999999999</v>
      </c>
      <c r="J6919">
        <v>-207.45840000000001</v>
      </c>
      <c r="K6919">
        <v>1.119469</v>
      </c>
      <c r="L6919">
        <v>-59.492519999999899</v>
      </c>
      <c r="M6919">
        <v>0.94450880000000004</v>
      </c>
      <c r="N6919">
        <v>0</v>
      </c>
      <c r="O6919">
        <v>0.32812629999999998</v>
      </c>
      <c r="P6919">
        <v>0.93913219999999997</v>
      </c>
      <c r="Q6919">
        <v>-3.0325930000000001E-2</v>
      </c>
      <c r="R6919">
        <v>0.3422152</v>
      </c>
      <c r="S6919">
        <v>2.44754</v>
      </c>
      <c r="T6919">
        <v>-0.35869780000000001</v>
      </c>
      <c r="U6919">
        <v>2.0397029999999998</v>
      </c>
      <c r="V6919">
        <v>-1.471753E-2</v>
      </c>
      <c r="W6919">
        <v>-1.530342E-2</v>
      </c>
      <c r="X6919">
        <v>0.99977459999999996</v>
      </c>
      <c r="Y6919">
        <v>-0.35244399999999998</v>
      </c>
      <c r="Z6919">
        <v>-1.752428E-2</v>
      </c>
      <c r="AA6919">
        <v>0.93566879999999997</v>
      </c>
      <c r="AB6919">
        <v>27</v>
      </c>
      <c r="AC6919">
        <v>7.5052000000000003</v>
      </c>
      <c r="AD6919">
        <v>-1.1194788151599999</v>
      </c>
      <c r="AE6919">
        <v>6.3131699999999897</v>
      </c>
      <c r="AF6919">
        <v>-3.4555801251233298</v>
      </c>
      <c r="AG6919">
        <v>-1.1194788151599999</v>
      </c>
      <c r="AH6919">
        <v>9.0434944857620607</v>
      </c>
      <c r="AI6919">
        <v>96.596055608915506</v>
      </c>
      <c r="AJ6919">
        <v>110.912193270356</v>
      </c>
      <c r="AK6919">
        <v>9.7457200520406992</v>
      </c>
      <c r="AL6919">
        <v>90.876855583773803</v>
      </c>
      <c r="AM6919">
        <v>90.843381548101604</v>
      </c>
      <c r="AN6919">
        <v>1.00000002557907</v>
      </c>
    </row>
    <row r="6920" spans="1:40" x14ac:dyDescent="0.25">
      <c r="A6920" t="str">
        <f>"20190312155009997"</f>
        <v>20190312155009997</v>
      </c>
      <c r="B6920" t="str">
        <f>"1552377009992527"</f>
        <v>1552377009992527</v>
      </c>
      <c r="C6920" t="s">
        <v>40</v>
      </c>
      <c r="D6920">
        <v>4.8923030000000001</v>
      </c>
      <c r="E6920">
        <v>0.36435699999999999</v>
      </c>
      <c r="F6920" t="s">
        <v>65</v>
      </c>
      <c r="G6920">
        <v>-199.82579999999999</v>
      </c>
      <c r="H6920" s="1">
        <v>-9.8425189999999997E-6</v>
      </c>
      <c r="I6920">
        <v>-53.060589999999998</v>
      </c>
      <c r="J6920">
        <v>-207.34</v>
      </c>
      <c r="K6920">
        <v>1.1195109999999999</v>
      </c>
      <c r="L6920">
        <v>-59.444580000000002</v>
      </c>
      <c r="M6920">
        <v>0.94240460000000004</v>
      </c>
      <c r="N6920">
        <v>0</v>
      </c>
      <c r="O6920">
        <v>0.33412039999999998</v>
      </c>
      <c r="P6920">
        <v>0.93707569999999996</v>
      </c>
      <c r="Q6920">
        <v>-3.027293E-2</v>
      </c>
      <c r="R6920">
        <v>0.3478115</v>
      </c>
      <c r="S6920">
        <v>2.4351349999999998</v>
      </c>
      <c r="T6920">
        <v>-0.35716199999999998</v>
      </c>
      <c r="U6920">
        <v>2.052063</v>
      </c>
      <c r="V6920">
        <v>-1.432949E-2</v>
      </c>
      <c r="W6920">
        <v>-1.522515E-2</v>
      </c>
      <c r="X6920">
        <v>0.99978140000000004</v>
      </c>
      <c r="Y6920">
        <v>-0.35166059999999999</v>
      </c>
      <c r="Z6920">
        <v>-1.8216449999999999E-2</v>
      </c>
      <c r="AA6920">
        <v>0.93595030000000001</v>
      </c>
      <c r="AB6920">
        <v>27</v>
      </c>
      <c r="AC6920">
        <v>7.5142000000000104</v>
      </c>
      <c r="AD6920">
        <v>-1.119520842519</v>
      </c>
      <c r="AE6920">
        <v>6.3839899999999901</v>
      </c>
      <c r="AF6920">
        <v>-3.4614453100828899</v>
      </c>
      <c r="AG6920">
        <v>-1.119520842519</v>
      </c>
      <c r="AH6920">
        <v>9.09823750070065</v>
      </c>
      <c r="AI6920">
        <v>96.560539244623897</v>
      </c>
      <c r="AJ6920">
        <v>110.82943215970801</v>
      </c>
      <c r="AK6920">
        <v>9.7986150128824292</v>
      </c>
      <c r="AL6920">
        <v>90.872370548560795</v>
      </c>
      <c r="AM6920">
        <v>90.821142589226895</v>
      </c>
      <c r="AN6920">
        <v>0.99999999363107095</v>
      </c>
    </row>
    <row r="6921" spans="1:40" x14ac:dyDescent="0.25">
      <c r="A6921" t="str">
        <f>"20190312155010009"</f>
        <v>20190312155010009</v>
      </c>
      <c r="B6921" t="str">
        <f>"1552377010002287"</f>
        <v>1552377010002287</v>
      </c>
      <c r="C6921" t="s">
        <v>40</v>
      </c>
      <c r="D6921">
        <v>4.891432</v>
      </c>
      <c r="E6921">
        <v>0.36499520000000002</v>
      </c>
      <c r="F6921" t="s">
        <v>65</v>
      </c>
      <c r="G6921">
        <v>-199.72649999999999</v>
      </c>
      <c r="H6921" s="1">
        <v>-9.8613380000000006E-6</v>
      </c>
      <c r="I6921">
        <v>-52.975140000000003</v>
      </c>
      <c r="J6921">
        <v>-207.2193</v>
      </c>
      <c r="K6921">
        <v>1.1195539999999999</v>
      </c>
      <c r="L6921">
        <v>-59.395049999999998</v>
      </c>
      <c r="M6921">
        <v>0.94020870000000001</v>
      </c>
      <c r="N6921">
        <v>0</v>
      </c>
      <c r="O6921">
        <v>0.3402502</v>
      </c>
      <c r="P6921">
        <v>0.93486519999999995</v>
      </c>
      <c r="Q6921">
        <v>-3.0176749999999999E-2</v>
      </c>
      <c r="R6921">
        <v>0.35371819999999998</v>
      </c>
      <c r="S6921">
        <v>2.4250949999999998</v>
      </c>
      <c r="T6921">
        <v>-0.35659370000000001</v>
      </c>
      <c r="U6921">
        <v>2.0606689999999999</v>
      </c>
      <c r="V6921">
        <v>-1.412834E-2</v>
      </c>
      <c r="W6921">
        <v>-1.5108160000000001E-2</v>
      </c>
      <c r="X6921">
        <v>0.99978599999999995</v>
      </c>
      <c r="Y6921">
        <v>-0.34944839999999999</v>
      </c>
      <c r="Z6921">
        <v>-1.9056509999999999E-2</v>
      </c>
      <c r="AA6921">
        <v>0.93676179999999998</v>
      </c>
      <c r="AB6921">
        <v>27</v>
      </c>
      <c r="AC6921">
        <v>7.4928000000000097</v>
      </c>
      <c r="AD6921">
        <v>-1.1195638613379999</v>
      </c>
      <c r="AE6921">
        <v>6.41990999999999</v>
      </c>
      <c r="AF6921">
        <v>-3.4427193023905098</v>
      </c>
      <c r="AG6921">
        <v>-1.1195638613379999</v>
      </c>
      <c r="AH6921">
        <v>9.1129428386872995</v>
      </c>
      <c r="AI6921">
        <v>96.556041012439593</v>
      </c>
      <c r="AJ6921">
        <v>110.695736883645</v>
      </c>
      <c r="AK6921">
        <v>9.8056854230516901</v>
      </c>
      <c r="AL6921">
        <v>90.865666776650102</v>
      </c>
      <c r="AM6921">
        <v>90.809613633191802</v>
      </c>
      <c r="AN6921">
        <v>0.99999995614286896</v>
      </c>
    </row>
    <row r="6922" spans="1:40" x14ac:dyDescent="0.25">
      <c r="A6922" t="str">
        <f>"20190312155010019"</f>
        <v>20190312155010019</v>
      </c>
      <c r="B6922" t="str">
        <f>"1552377010013024"</f>
        <v>1552377010013024</v>
      </c>
      <c r="C6922" t="s">
        <v>40</v>
      </c>
      <c r="D6922">
        <v>4.8645630000000004</v>
      </c>
      <c r="E6922">
        <v>0.36559130000000001</v>
      </c>
      <c r="F6922" t="s">
        <v>65</v>
      </c>
      <c r="G6922">
        <v>-199.6474</v>
      </c>
      <c r="H6922" s="1">
        <v>-9.8797320000000005E-6</v>
      </c>
      <c r="I6922">
        <v>-52.897399999999998</v>
      </c>
      <c r="J6922">
        <v>-207.09479999999999</v>
      </c>
      <c r="K6922">
        <v>1.119599</v>
      </c>
      <c r="L6922">
        <v>-59.342799999999997</v>
      </c>
      <c r="M6922">
        <v>0.93787900000000002</v>
      </c>
      <c r="N6922">
        <v>0</v>
      </c>
      <c r="O6922">
        <v>0.34661930000000002</v>
      </c>
      <c r="P6922">
        <v>0.93249780000000004</v>
      </c>
      <c r="Q6922">
        <v>-2.9762090000000001E-2</v>
      </c>
      <c r="R6922">
        <v>0.35994759999999998</v>
      </c>
      <c r="S6922">
        <v>2.4137729999999999</v>
      </c>
      <c r="T6922">
        <v>-0.35689460000000001</v>
      </c>
      <c r="U6922">
        <v>2.0713200000000001</v>
      </c>
      <c r="V6922">
        <v>-1.402164E-2</v>
      </c>
      <c r="W6922">
        <v>-1.4674400000000001E-2</v>
      </c>
      <c r="X6922">
        <v>0.99979399999999996</v>
      </c>
      <c r="Y6922">
        <v>-0.34768690000000002</v>
      </c>
      <c r="Z6922">
        <v>-1.9943229999999999E-2</v>
      </c>
      <c r="AA6922">
        <v>0.93739859999999997</v>
      </c>
      <c r="AB6922">
        <v>27</v>
      </c>
      <c r="AC6922">
        <v>7.4473999999999796</v>
      </c>
      <c r="AD6922">
        <v>-1.1196088797319901</v>
      </c>
      <c r="AE6922">
        <v>6.4453999999999896</v>
      </c>
      <c r="AF6922">
        <v>-3.4198141977364198</v>
      </c>
      <c r="AG6922">
        <v>-1.1196088797319901</v>
      </c>
      <c r="AH6922">
        <v>9.1023371109593096</v>
      </c>
      <c r="AI6922">
        <v>96.568333269491205</v>
      </c>
      <c r="AJ6922">
        <v>110.591564324179</v>
      </c>
      <c r="AK6922">
        <v>9.7878084407165193</v>
      </c>
      <c r="AL6922">
        <v>90.840811370702895</v>
      </c>
      <c r="AM6922">
        <v>90.803493648127798</v>
      </c>
      <c r="AN6922">
        <v>0.99999999341982404</v>
      </c>
    </row>
    <row r="6923" spans="1:40" x14ac:dyDescent="0.25">
      <c r="A6923" t="str">
        <f>"20190312155010031"</f>
        <v>20190312155010031</v>
      </c>
      <c r="B6923" t="str">
        <f>"1552377010022784"</f>
        <v>1552377010022784</v>
      </c>
      <c r="C6923" t="s">
        <v>40</v>
      </c>
      <c r="D6923">
        <v>4.8831350000000002</v>
      </c>
      <c r="E6923">
        <v>0.3661761</v>
      </c>
      <c r="F6923" t="s">
        <v>65</v>
      </c>
      <c r="G6923">
        <v>-199.52330000000001</v>
      </c>
      <c r="H6923" s="1">
        <v>-9.9082219999999996E-6</v>
      </c>
      <c r="I6923">
        <v>-52.77646</v>
      </c>
      <c r="J6923">
        <v>-206.97450000000001</v>
      </c>
      <c r="K6923">
        <v>1.119642</v>
      </c>
      <c r="L6923">
        <v>-59.291319999999899</v>
      </c>
      <c r="M6923">
        <v>0.93556830000000002</v>
      </c>
      <c r="N6923">
        <v>0</v>
      </c>
      <c r="O6923">
        <v>0.3528077</v>
      </c>
      <c r="P6923">
        <v>0.93017799999999995</v>
      </c>
      <c r="Q6923">
        <v>-2.925927E-2</v>
      </c>
      <c r="R6923">
        <v>0.36594070000000001</v>
      </c>
      <c r="S6923">
        <v>2.4017940000000002</v>
      </c>
      <c r="T6923">
        <v>-0.35515750000000001</v>
      </c>
      <c r="U6923">
        <v>2.0829469999999999</v>
      </c>
      <c r="V6923">
        <v>-1.3855839999999999E-2</v>
      </c>
      <c r="W6923">
        <v>-1.415192E-2</v>
      </c>
      <c r="X6923">
        <v>0.99980380000000002</v>
      </c>
      <c r="Y6923">
        <v>-0.34643499999999999</v>
      </c>
      <c r="Z6923">
        <v>-2.066256E-2</v>
      </c>
      <c r="AA6923">
        <v>0.93784639999999997</v>
      </c>
      <c r="AB6923">
        <v>27</v>
      </c>
      <c r="AC6923">
        <v>7.4512</v>
      </c>
      <c r="AD6923">
        <v>-1.119651908222</v>
      </c>
      <c r="AE6923">
        <v>6.5148599999999899</v>
      </c>
      <c r="AF6923">
        <v>-3.4228678360633</v>
      </c>
      <c r="AG6923">
        <v>-1.119651908222</v>
      </c>
      <c r="AH6923">
        <v>9.1535695722671697</v>
      </c>
      <c r="AI6923">
        <v>96.535904201982504</v>
      </c>
      <c r="AJ6923">
        <v>110.502682160075</v>
      </c>
      <c r="AK6923">
        <v>9.8365380359696299</v>
      </c>
      <c r="AL6923">
        <v>90.810872396728797</v>
      </c>
      <c r="AM6923">
        <v>90.793986115359104</v>
      </c>
      <c r="AN6923">
        <v>0.99999994981811402</v>
      </c>
    </row>
    <row r="6924" spans="1:40" x14ac:dyDescent="0.25">
      <c r="A6924" t="str">
        <f>"20190312155010042"</f>
        <v>20190312155010042</v>
      </c>
      <c r="B6924" t="str">
        <f>"1552377010032543"</f>
        <v>1552377010032543</v>
      </c>
      <c r="C6924" t="s">
        <v>40</v>
      </c>
      <c r="D6924">
        <v>4.8520190000000003</v>
      </c>
      <c r="E6924">
        <v>0.3666972</v>
      </c>
      <c r="F6924" t="s">
        <v>65</v>
      </c>
      <c r="G6924">
        <v>-199.3784</v>
      </c>
      <c r="H6924" s="1">
        <v>-9.9410970000000005E-6</v>
      </c>
      <c r="I6924">
        <v>-52.6363699999999</v>
      </c>
      <c r="J6924">
        <v>-206.85079999999999</v>
      </c>
      <c r="K6924">
        <v>1.119683</v>
      </c>
      <c r="L6924">
        <v>-59.237639999999999</v>
      </c>
      <c r="M6924">
        <v>0.93313460000000004</v>
      </c>
      <c r="N6924">
        <v>0</v>
      </c>
      <c r="O6924">
        <v>0.35919440000000002</v>
      </c>
      <c r="P6924">
        <v>0.92768930000000005</v>
      </c>
      <c r="Q6924">
        <v>-2.8817059999999999E-2</v>
      </c>
      <c r="R6924">
        <v>0.3722396</v>
      </c>
      <c r="S6924">
        <v>2.3902589999999999</v>
      </c>
      <c r="T6924">
        <v>-0.35232160000000001</v>
      </c>
      <c r="U6924">
        <v>2.0941160000000001</v>
      </c>
      <c r="V6924">
        <v>-1.380587E-2</v>
      </c>
      <c r="W6924">
        <v>-1.3692879999999999E-2</v>
      </c>
      <c r="X6924">
        <v>0.99981089999999995</v>
      </c>
      <c r="Y6924">
        <v>-0.3447866</v>
      </c>
      <c r="Z6924">
        <v>-2.1354270000000002E-2</v>
      </c>
      <c r="AA6924">
        <v>0.9384382</v>
      </c>
      <c r="AB6924">
        <v>27</v>
      </c>
      <c r="AC6924">
        <v>7.4723999999999897</v>
      </c>
      <c r="AD6924">
        <v>-1.119692941097</v>
      </c>
      <c r="AE6924">
        <v>6.6012700000000004</v>
      </c>
      <c r="AF6924">
        <v>-3.4329517516299299</v>
      </c>
      <c r="AG6924">
        <v>-1.119692941097</v>
      </c>
      <c r="AH6924">
        <v>9.2286289293663497</v>
      </c>
      <c r="AI6924">
        <v>96.487538324653997</v>
      </c>
      <c r="AJ6924">
        <v>110.40466542413699</v>
      </c>
      <c r="AK6924">
        <v>9.9099173521931601</v>
      </c>
      <c r="AL6924">
        <v>90.784568778172201</v>
      </c>
      <c r="AM6924">
        <v>90.791117413992595</v>
      </c>
      <c r="AN6924">
        <v>0.99999996638398003</v>
      </c>
    </row>
    <row r="6925" spans="1:40" x14ac:dyDescent="0.25">
      <c r="A6925" t="str">
        <f>"20190312155010054"</f>
        <v>20190312155010054</v>
      </c>
      <c r="B6925" t="str">
        <f>"1552377010042304"</f>
        <v>1552377010042304</v>
      </c>
      <c r="C6925" t="s">
        <v>40</v>
      </c>
      <c r="D6925">
        <v>4.8480910000000002</v>
      </c>
      <c r="E6925">
        <v>0.36730190000000001</v>
      </c>
      <c r="F6925" t="s">
        <v>65</v>
      </c>
      <c r="G6925">
        <v>-199.24690000000001</v>
      </c>
      <c r="H6925" s="1">
        <v>-9.973651E-6</v>
      </c>
      <c r="I6925">
        <v>-52.5015</v>
      </c>
      <c r="J6925">
        <v>-206.72380000000001</v>
      </c>
      <c r="K6925">
        <v>1.1197189999999999</v>
      </c>
      <c r="L6925">
        <v>-59.180970000000002</v>
      </c>
      <c r="M6925">
        <v>0.93056110000000003</v>
      </c>
      <c r="N6925">
        <v>0</v>
      </c>
      <c r="O6925">
        <v>0.36580940000000001</v>
      </c>
      <c r="P6925">
        <v>0.92509699999999995</v>
      </c>
      <c r="Q6925">
        <v>-2.8264049999999999E-2</v>
      </c>
      <c r="R6925">
        <v>0.37867780000000001</v>
      </c>
      <c r="S6925">
        <v>2.3777620000000002</v>
      </c>
      <c r="T6925">
        <v>-0.350132</v>
      </c>
      <c r="U6925">
        <v>2.1064150000000001</v>
      </c>
      <c r="V6925">
        <v>-1.366295E-2</v>
      </c>
      <c r="W6925">
        <v>-1.3120639999999999E-2</v>
      </c>
      <c r="X6925">
        <v>0.99982059999999995</v>
      </c>
      <c r="Y6925">
        <v>-0.34333039999999998</v>
      </c>
      <c r="Z6925">
        <v>-2.20891E-2</v>
      </c>
      <c r="AA6925">
        <v>0.93895490000000004</v>
      </c>
      <c r="AB6925">
        <v>27</v>
      </c>
      <c r="AC6925">
        <v>7.4768999999999997</v>
      </c>
      <c r="AD6925">
        <v>-1.1197289736509899</v>
      </c>
      <c r="AE6925">
        <v>6.6794699999999896</v>
      </c>
      <c r="AF6925">
        <v>-3.4380680167602802</v>
      </c>
      <c r="AG6925">
        <v>-1.1197289736509899</v>
      </c>
      <c r="AH6925">
        <v>9.2864203774086693</v>
      </c>
      <c r="AI6925">
        <v>96.451391501923794</v>
      </c>
      <c r="AJ6925">
        <v>110.31582854664499</v>
      </c>
      <c r="AK6925">
        <v>9.9655259815151993</v>
      </c>
      <c r="AL6925">
        <v>90.7517788451038</v>
      </c>
      <c r="AM6925">
        <v>90.782921102849301</v>
      </c>
      <c r="AN6925">
        <v>1.00000002979053</v>
      </c>
    </row>
    <row r="6926" spans="1:40" x14ac:dyDescent="0.25">
      <c r="A6926" t="str">
        <f>"20190312155010065"</f>
        <v>20190312155010065</v>
      </c>
      <c r="B6926" t="str">
        <f>"1552377010062800"</f>
        <v>1552377010062800</v>
      </c>
      <c r="C6926" t="s">
        <v>40</v>
      </c>
      <c r="D6926">
        <v>4.8035959999999998</v>
      </c>
      <c r="E6926">
        <v>0.36830740000000001</v>
      </c>
      <c r="F6926" t="s">
        <v>65</v>
      </c>
      <c r="G6926">
        <v>-199.06809999999999</v>
      </c>
      <c r="H6926" s="1">
        <v>-1.0016129999999999E-5</v>
      </c>
      <c r="I6926">
        <v>-52.323169999999998</v>
      </c>
      <c r="J6926">
        <v>-206.6044</v>
      </c>
      <c r="K6926">
        <v>1.1197539999999999</v>
      </c>
      <c r="L6926">
        <v>-59.127229999999997</v>
      </c>
      <c r="M6926">
        <v>0.92808849999999998</v>
      </c>
      <c r="N6926">
        <v>0</v>
      </c>
      <c r="O6926">
        <v>0.37203730000000002</v>
      </c>
      <c r="P6926">
        <v>0.9226356</v>
      </c>
      <c r="Q6926">
        <v>-2.820746E-2</v>
      </c>
      <c r="R6926">
        <v>0.38464019999999999</v>
      </c>
      <c r="S6926">
        <v>2.365097</v>
      </c>
      <c r="T6926">
        <v>-0.34591949999999999</v>
      </c>
      <c r="U6926">
        <v>2.1185909999999999</v>
      </c>
      <c r="V6926">
        <v>-1.341553E-2</v>
      </c>
      <c r="W6926">
        <v>-1.304398E-2</v>
      </c>
      <c r="X6926">
        <v>0.99982490000000002</v>
      </c>
      <c r="Y6926">
        <v>-0.34225070000000002</v>
      </c>
      <c r="Z6926">
        <v>-2.2617559999999998E-2</v>
      </c>
      <c r="AA6926">
        <v>0.93933639999999996</v>
      </c>
      <c r="AB6926">
        <v>27</v>
      </c>
      <c r="AC6926">
        <v>7.5363000000000104</v>
      </c>
      <c r="AD6926">
        <v>-1.11976401613</v>
      </c>
      <c r="AE6926">
        <v>6.8040599999999998</v>
      </c>
      <c r="AF6926">
        <v>-3.4692113242203</v>
      </c>
      <c r="AG6926">
        <v>-1.11976401613</v>
      </c>
      <c r="AH6926">
        <v>9.4123801891489602</v>
      </c>
      <c r="AI6926">
        <v>96.369346071215205</v>
      </c>
      <c r="AJ6926">
        <v>110.23285744962899</v>
      </c>
      <c r="AK6926">
        <v>10.0936712592099</v>
      </c>
      <c r="AL6926">
        <v>90.747386214874695</v>
      </c>
      <c r="AM6926">
        <v>90.7687417312778</v>
      </c>
      <c r="AN6926">
        <v>0.99999997625971504</v>
      </c>
    </row>
    <row r="6927" spans="1:40" x14ac:dyDescent="0.25">
      <c r="A6927" t="str">
        <f>"20190312155010077"</f>
        <v>20190312155010077</v>
      </c>
      <c r="B6927" t="str">
        <f>"1552377010072560"</f>
        <v>1552377010072560</v>
      </c>
      <c r="C6927" t="s">
        <v>40</v>
      </c>
      <c r="D6927">
        <v>4.8403700000000001</v>
      </c>
      <c r="E6927">
        <v>0.3687608</v>
      </c>
      <c r="F6927" t="s">
        <v>65</v>
      </c>
      <c r="G6927">
        <v>-198.93620000000001</v>
      </c>
      <c r="H6927" s="1">
        <v>-1.0044120000000001E-5</v>
      </c>
      <c r="I6927">
        <v>-52.201160000000002</v>
      </c>
      <c r="J6927">
        <v>-206.47790000000001</v>
      </c>
      <c r="K6927">
        <v>1.119788</v>
      </c>
      <c r="L6927">
        <v>-59.068449999999999</v>
      </c>
      <c r="M6927">
        <v>0.92538629999999999</v>
      </c>
      <c r="N6927">
        <v>0</v>
      </c>
      <c r="O6927">
        <v>0.37870809999999999</v>
      </c>
      <c r="P6927">
        <v>0.91993349999999996</v>
      </c>
      <c r="Q6927">
        <v>-2.806032E-2</v>
      </c>
      <c r="R6927">
        <v>0.39106920000000001</v>
      </c>
      <c r="S6927">
        <v>2.3544770000000002</v>
      </c>
      <c r="T6927">
        <v>-0.34381869999999998</v>
      </c>
      <c r="U6927">
        <v>2.126617</v>
      </c>
      <c r="V6927">
        <v>-1.319672E-2</v>
      </c>
      <c r="W6927">
        <v>-1.287664E-2</v>
      </c>
      <c r="X6927">
        <v>0.99983</v>
      </c>
      <c r="Y6927">
        <v>-0.33940039999999999</v>
      </c>
      <c r="Z6927">
        <v>-2.342675E-2</v>
      </c>
      <c r="AA6927">
        <v>0.94035020000000002</v>
      </c>
      <c r="AB6927">
        <v>27</v>
      </c>
      <c r="AC6927">
        <v>7.5416999999999899</v>
      </c>
      <c r="AD6927">
        <v>-1.1197980441199999</v>
      </c>
      <c r="AE6927">
        <v>6.8672899999999997</v>
      </c>
      <c r="AF6927">
        <v>-3.4575403586765598</v>
      </c>
      <c r="AG6927">
        <v>-1.1197980441199999</v>
      </c>
      <c r="AH6927">
        <v>9.4667340464894103</v>
      </c>
      <c r="AI6927">
        <v>96.340071685934404</v>
      </c>
      <c r="AJ6927">
        <v>110.063737211614</v>
      </c>
      <c r="AK6927">
        <v>10.140393803913801</v>
      </c>
      <c r="AL6927">
        <v>90.737797519662195</v>
      </c>
      <c r="AM6927">
        <v>90.756201009832694</v>
      </c>
      <c r="AN6927">
        <v>0.99999999508822301</v>
      </c>
    </row>
    <row r="6928" spans="1:40" x14ac:dyDescent="0.25">
      <c r="A6928" t="str">
        <f>"20190312155010090"</f>
        <v>20190312155010090</v>
      </c>
      <c r="B6928" t="str">
        <f>"1552377010082319"</f>
        <v>1552377010082319</v>
      </c>
      <c r="C6928" t="s">
        <v>40</v>
      </c>
      <c r="D6928">
        <v>4.8197449999999904</v>
      </c>
      <c r="E6928">
        <v>0.36922650000000001</v>
      </c>
      <c r="F6928" t="s">
        <v>65</v>
      </c>
      <c r="G6928">
        <v>-198.827</v>
      </c>
      <c r="H6928" s="1">
        <v>-1.00763899999999E-5</v>
      </c>
      <c r="I6928">
        <v>-52.074210000000001</v>
      </c>
      <c r="J6928">
        <v>-206.34899999999999</v>
      </c>
      <c r="K6928">
        <v>1.119826</v>
      </c>
      <c r="L6928">
        <v>-59.007869999999997</v>
      </c>
      <c r="M6928">
        <v>0.9225698</v>
      </c>
      <c r="N6928">
        <v>0</v>
      </c>
      <c r="O6928">
        <v>0.38551790000000002</v>
      </c>
      <c r="P6928">
        <v>0.91722099999999995</v>
      </c>
      <c r="Q6928">
        <v>-2.7932789999999999E-2</v>
      </c>
      <c r="R6928">
        <v>0.39739859999999999</v>
      </c>
      <c r="S6928">
        <v>2.3409420000000001</v>
      </c>
      <c r="T6928">
        <v>-0.34262229999999999</v>
      </c>
      <c r="U6928">
        <v>2.140015</v>
      </c>
      <c r="V6928">
        <v>-1.271856E-2</v>
      </c>
      <c r="W6928">
        <v>-1.272267E-2</v>
      </c>
      <c r="X6928">
        <v>0.99983820000000001</v>
      </c>
      <c r="Y6928">
        <v>-0.33814379999999999</v>
      </c>
      <c r="Z6928">
        <v>-2.4207349999999999E-2</v>
      </c>
      <c r="AA6928">
        <v>0.94078309999999998</v>
      </c>
      <c r="AB6928">
        <v>27</v>
      </c>
      <c r="AC6928">
        <v>7.52200000000001</v>
      </c>
      <c r="AD6928">
        <v>-1.1198360763899999</v>
      </c>
      <c r="AE6928">
        <v>6.9336599999999899</v>
      </c>
      <c r="AF6928">
        <v>-3.4559305931358999</v>
      </c>
      <c r="AG6928">
        <v>-1.1198360763899999</v>
      </c>
      <c r="AH6928">
        <v>9.4999459207769306</v>
      </c>
      <c r="AI6928">
        <v>96.321216300411294</v>
      </c>
      <c r="AJ6928">
        <v>109.990589273637</v>
      </c>
      <c r="AK6928">
        <v>10.170863365528101</v>
      </c>
      <c r="AL6928">
        <v>90.728974942338198</v>
      </c>
      <c r="AM6928">
        <v>90.728798427165103</v>
      </c>
      <c r="AN6928">
        <v>1.0000000271398199</v>
      </c>
    </row>
    <row r="6929" spans="1:40" x14ac:dyDescent="0.25">
      <c r="A6929" t="str">
        <f>"20190312155010100"</f>
        <v>20190312155010100</v>
      </c>
      <c r="B6929" t="str">
        <f>"1552377010093056"</f>
        <v>1552377010093056</v>
      </c>
      <c r="C6929" t="s">
        <v>40</v>
      </c>
      <c r="D6929">
        <v>4.8207110000000002</v>
      </c>
      <c r="E6929">
        <v>0.36974200000000002</v>
      </c>
      <c r="F6929" t="s">
        <v>65</v>
      </c>
      <c r="G6929">
        <v>-198.6987</v>
      </c>
      <c r="H6929" s="1">
        <v>-1.011189E-5</v>
      </c>
      <c r="I6929">
        <v>-51.932009999999998</v>
      </c>
      <c r="J6929">
        <v>-206.2234</v>
      </c>
      <c r="K6929">
        <v>1.1198570000000001</v>
      </c>
      <c r="L6929">
        <v>-58.947569999999899</v>
      </c>
      <c r="M6929">
        <v>0.91975280000000004</v>
      </c>
      <c r="N6929">
        <v>0</v>
      </c>
      <c r="O6929">
        <v>0.39219039999999999</v>
      </c>
      <c r="P6929">
        <v>0.91436899999999999</v>
      </c>
      <c r="Q6929">
        <v>-2.777661E-2</v>
      </c>
      <c r="R6929">
        <v>0.40392800000000001</v>
      </c>
      <c r="S6929">
        <v>2.3276059999999998</v>
      </c>
      <c r="T6929">
        <v>-0.34071489999999999</v>
      </c>
      <c r="U6929">
        <v>2.152863</v>
      </c>
      <c r="V6929">
        <v>-1.26056E-2</v>
      </c>
      <c r="W6929">
        <v>-1.2549569999999999E-2</v>
      </c>
      <c r="X6929">
        <v>0.9998418</v>
      </c>
      <c r="Y6929">
        <v>-0.33684709999999901</v>
      </c>
      <c r="Z6929">
        <v>-2.491869E-2</v>
      </c>
      <c r="AA6929">
        <v>0.9412296</v>
      </c>
      <c r="AB6929">
        <v>27</v>
      </c>
      <c r="AC6929">
        <v>7.5246999999999904</v>
      </c>
      <c r="AD6929">
        <v>-1.1198671118900001</v>
      </c>
      <c r="AE6929">
        <v>7.01555999999999</v>
      </c>
      <c r="AF6929">
        <v>-3.4608802688282898</v>
      </c>
      <c r="AG6929">
        <v>-1.1198671118900001</v>
      </c>
      <c r="AH6929">
        <v>9.5601873051420903</v>
      </c>
      <c r="AI6929">
        <v>96.285423763427204</v>
      </c>
      <c r="AJ6929">
        <v>109.900745946502</v>
      </c>
      <c r="AK6929">
        <v>10.2288306219654</v>
      </c>
      <c r="AL6929">
        <v>90.719056264348694</v>
      </c>
      <c r="AM6929">
        <v>90.722323686050302</v>
      </c>
      <c r="AN6929">
        <v>1.00000000894289</v>
      </c>
    </row>
    <row r="6930" spans="1:40" x14ac:dyDescent="0.25">
      <c r="A6930" t="str">
        <f>"20190312155010110"</f>
        <v>20190312155010110</v>
      </c>
      <c r="B6930" t="str">
        <f>"1552377010102816"</f>
        <v>1552377010102816</v>
      </c>
      <c r="C6930" t="s">
        <v>40</v>
      </c>
      <c r="D6930">
        <v>4.8375149999999998</v>
      </c>
      <c r="E6930">
        <v>0.36974200000000002</v>
      </c>
      <c r="F6930" t="s">
        <v>65</v>
      </c>
      <c r="G6930">
        <v>-198.59690000000001</v>
      </c>
      <c r="H6930" s="1">
        <v>-1.0143409999999999E-5</v>
      </c>
      <c r="I6930">
        <v>-51.809539999999998</v>
      </c>
      <c r="J6930">
        <v>-206.12270000000001</v>
      </c>
      <c r="K6930">
        <v>1.11988</v>
      </c>
      <c r="L6930">
        <v>-58.898350000000001</v>
      </c>
      <c r="M6930">
        <v>0.91744239999999999</v>
      </c>
      <c r="N6930">
        <v>0</v>
      </c>
      <c r="O6930">
        <v>0.3975648</v>
      </c>
      <c r="P6930">
        <v>0.91212990000000005</v>
      </c>
      <c r="Q6930">
        <v>-2.7912019999999999E-2</v>
      </c>
      <c r="R6930">
        <v>0.40895019999999999</v>
      </c>
      <c r="S6930">
        <v>2.3139189999999998</v>
      </c>
      <c r="T6930">
        <v>-0.33977309999999999</v>
      </c>
      <c r="U6930">
        <v>2.1657099999999998</v>
      </c>
      <c r="V6930">
        <v>-1.2252300000000001E-2</v>
      </c>
      <c r="W6930">
        <v>-1.266542E-2</v>
      </c>
      <c r="X6930">
        <v>0.99984470000000003</v>
      </c>
      <c r="Y6930">
        <v>-0.3369239</v>
      </c>
      <c r="Z6930">
        <v>-2.5472829999999998E-2</v>
      </c>
      <c r="AA6930">
        <v>0.9411872</v>
      </c>
      <c r="AB6930">
        <v>27</v>
      </c>
      <c r="AC6930">
        <v>7.5258000000000003</v>
      </c>
      <c r="AD6930">
        <v>-1.1198901434099999</v>
      </c>
      <c r="AE6930">
        <v>7.0888099999999898</v>
      </c>
      <c r="AF6930">
        <v>-3.4712767386516901</v>
      </c>
      <c r="AG6930">
        <v>-1.1198901434099999</v>
      </c>
      <c r="AH6930">
        <v>9.6111543556228494</v>
      </c>
      <c r="AI6930">
        <v>96.254147441527294</v>
      </c>
      <c r="AJ6930">
        <v>109.858284177843</v>
      </c>
      <c r="AK6930">
        <v>10.279990475541201</v>
      </c>
      <c r="AL6930">
        <v>90.725694530456906</v>
      </c>
      <c r="AM6930">
        <v>90.702078976379198</v>
      </c>
      <c r="AN6930">
        <v>0.99999997791857798</v>
      </c>
    </row>
    <row r="6931" spans="1:40" x14ac:dyDescent="0.25">
      <c r="A6931" t="str">
        <f>"20190312155010121"</f>
        <v>20190312155010121</v>
      </c>
      <c r="B6931" t="str">
        <f>"1552377010112575"</f>
        <v>1552377010112575</v>
      </c>
      <c r="C6931" t="s">
        <v>40</v>
      </c>
      <c r="D6931">
        <v>4.8639519999999896</v>
      </c>
      <c r="E6931">
        <v>0.3827467</v>
      </c>
      <c r="F6931" t="s">
        <v>65</v>
      </c>
      <c r="G6931">
        <v>-198.54300000000001</v>
      </c>
      <c r="H6931" s="1">
        <v>-1.016776E-5</v>
      </c>
      <c r="I6931">
        <v>-51.725520000000003</v>
      </c>
      <c r="J6931">
        <v>-206.00530000000001</v>
      </c>
      <c r="K6931">
        <v>1.119907</v>
      </c>
      <c r="L6931">
        <v>-58.840089999999996</v>
      </c>
      <c r="M6931">
        <v>0.91469230000000001</v>
      </c>
      <c r="N6931">
        <v>0</v>
      </c>
      <c r="O6931">
        <v>0.40385110000000002</v>
      </c>
      <c r="P6931">
        <v>0.90944689999999995</v>
      </c>
      <c r="Q6931">
        <v>-2.7789520000000002E-2</v>
      </c>
      <c r="R6931">
        <v>0.4148905</v>
      </c>
      <c r="S6931">
        <v>2.3019409999999998</v>
      </c>
      <c r="T6931">
        <v>-0.3401092</v>
      </c>
      <c r="U6931">
        <v>2.178375</v>
      </c>
      <c r="V6931">
        <v>-1.191382E-2</v>
      </c>
      <c r="W6931">
        <v>-1.252209E-2</v>
      </c>
      <c r="X6931">
        <v>0.99985060000000003</v>
      </c>
      <c r="Y6931">
        <v>-0.33567570000000002</v>
      </c>
      <c r="Z6931">
        <v>-2.628803E-2</v>
      </c>
      <c r="AA6931">
        <v>0.94161079999999997</v>
      </c>
      <c r="AB6931">
        <v>27</v>
      </c>
      <c r="AC6931">
        <v>7.4622999999999902</v>
      </c>
      <c r="AD6931">
        <v>-1.1199171677599999</v>
      </c>
      <c r="AE6931">
        <v>7.1145699999999996</v>
      </c>
      <c r="AF6931">
        <v>-3.4536597351791301</v>
      </c>
      <c r="AG6931">
        <v>-1.1199171677599999</v>
      </c>
      <c r="AH6931">
        <v>9.5869984017571301</v>
      </c>
      <c r="AI6931">
        <v>96.271772255907095</v>
      </c>
      <c r="AJ6931">
        <v>109.81125733363299</v>
      </c>
      <c r="AK6931">
        <v>10.2514642068504</v>
      </c>
      <c r="AL6931">
        <v>90.717481671886802</v>
      </c>
      <c r="AM6931">
        <v>90.682681293136099</v>
      </c>
      <c r="AN6931">
        <v>0.99999998208266005</v>
      </c>
    </row>
    <row r="6932" spans="1:40" x14ac:dyDescent="0.25">
      <c r="A6932" t="str">
        <f>"20190312155010133"</f>
        <v>20190312155010133</v>
      </c>
      <c r="B6932" t="str">
        <f>"1552377010122335"</f>
        <v>1552377010122335</v>
      </c>
      <c r="C6932" t="s">
        <v>40</v>
      </c>
      <c r="D6932">
        <v>4.8485440000000004</v>
      </c>
      <c r="E6932">
        <v>0.38081769999999998</v>
      </c>
      <c r="F6932" t="s">
        <v>65</v>
      </c>
      <c r="G6932">
        <v>-198.4742</v>
      </c>
      <c r="H6932" s="1">
        <v>-1.004273E-5</v>
      </c>
      <c r="I6932">
        <v>-52.057079999999999</v>
      </c>
      <c r="J6932">
        <v>-205.88290000000001</v>
      </c>
      <c r="K6932">
        <v>1.1199330000000001</v>
      </c>
      <c r="L6932">
        <v>-58.778080000000003</v>
      </c>
      <c r="M6932">
        <v>0.91175300000000004</v>
      </c>
      <c r="N6932">
        <v>0</v>
      </c>
      <c r="O6932">
        <v>0.41044320000000001</v>
      </c>
      <c r="P6932">
        <v>0.90656820000000005</v>
      </c>
      <c r="Q6932">
        <v>-2.791221E-2</v>
      </c>
      <c r="R6932">
        <v>0.42113519999999999</v>
      </c>
      <c r="S6932">
        <v>2.3305359999999999</v>
      </c>
      <c r="T6932">
        <v>-0.34656789999999998</v>
      </c>
      <c r="U6932">
        <v>2.0990600000000001</v>
      </c>
      <c r="V6932">
        <v>-1.1570530000000001E-2</v>
      </c>
      <c r="W6932">
        <v>-1.262397E-2</v>
      </c>
      <c r="X6932">
        <v>0.9998534</v>
      </c>
      <c r="Y6932">
        <v>-0.30571670000000001</v>
      </c>
      <c r="Z6932">
        <v>-2.9473760000000002E-2</v>
      </c>
      <c r="AA6932">
        <v>0.95166620000000002</v>
      </c>
      <c r="AB6932">
        <v>27</v>
      </c>
      <c r="AC6932">
        <v>7.4086999999999996</v>
      </c>
      <c r="AD6932">
        <v>-1.1199430427299999</v>
      </c>
      <c r="AE6932">
        <v>6.7210000000000001</v>
      </c>
      <c r="AF6932">
        <v>-3.0491942732234398</v>
      </c>
      <c r="AG6932">
        <v>-1.1199430427299999</v>
      </c>
      <c r="AH6932">
        <v>9.3968578436397898</v>
      </c>
      <c r="AI6932">
        <v>96.467654359474494</v>
      </c>
      <c r="AJ6932">
        <v>107.977771811</v>
      </c>
      <c r="AK6932">
        <v>9.9424743131874695</v>
      </c>
      <c r="AL6932">
        <v>90.723319391602601</v>
      </c>
      <c r="AM6932">
        <v>90.663010142428902</v>
      </c>
      <c r="AN6932">
        <v>1.0000000316372999</v>
      </c>
    </row>
    <row r="6933" spans="1:40" x14ac:dyDescent="0.25">
      <c r="A6933" t="str">
        <f>"20190312155010143"</f>
        <v>20190312155010143</v>
      </c>
      <c r="B6933" t="str">
        <f>"1552377010132095"</f>
        <v>1552377010132095</v>
      </c>
      <c r="C6933" t="s">
        <v>40</v>
      </c>
      <c r="D6933">
        <v>4.8441489999999998</v>
      </c>
      <c r="E6933">
        <v>0.38074000000000002</v>
      </c>
      <c r="F6933" t="s">
        <v>65</v>
      </c>
      <c r="G6933">
        <v>-198.14769999999999</v>
      </c>
      <c r="H6933" s="1">
        <v>-1.015618E-5</v>
      </c>
      <c r="I6933">
        <v>-51.648769999999999</v>
      </c>
      <c r="J6933">
        <v>-205.76439999999999</v>
      </c>
      <c r="K6933">
        <v>1.119955</v>
      </c>
      <c r="L6933">
        <v>-58.717410000000001</v>
      </c>
      <c r="M6933">
        <v>0.90884960000000004</v>
      </c>
      <c r="N6933">
        <v>0</v>
      </c>
      <c r="O6933">
        <v>0.41683249999999999</v>
      </c>
      <c r="P6933">
        <v>0.90366829999999998</v>
      </c>
      <c r="Q6933">
        <v>-2.7826980000000001E-2</v>
      </c>
      <c r="R6933">
        <v>0.42732799999999999</v>
      </c>
      <c r="S6933">
        <v>2.3099059999999998</v>
      </c>
      <c r="T6933">
        <v>-0.3344394</v>
      </c>
      <c r="U6933">
        <v>2.1289669999999998</v>
      </c>
      <c r="V6933">
        <v>-1.1394619999999999E-2</v>
      </c>
      <c r="W6933">
        <v>-1.2522770000000001E-2</v>
      </c>
      <c r="X6933">
        <v>0.99985670000000004</v>
      </c>
      <c r="Y6933">
        <v>-0.30992249999999999</v>
      </c>
      <c r="Z6933">
        <v>-2.8912569999999999E-2</v>
      </c>
      <c r="AA6933">
        <v>0.95032220000000001</v>
      </c>
      <c r="AB6933">
        <v>27</v>
      </c>
      <c r="AC6933">
        <v>7.6166999999999998</v>
      </c>
      <c r="AD6933">
        <v>-1.1199651561799999</v>
      </c>
      <c r="AE6933">
        <v>7.0686400000000003</v>
      </c>
      <c r="AF6933">
        <v>-3.2125200424158198</v>
      </c>
      <c r="AG6933">
        <v>-1.1199651561799999</v>
      </c>
      <c r="AH6933">
        <v>9.7567364267325694</v>
      </c>
      <c r="AI6933">
        <v>96.222423793635798</v>
      </c>
      <c r="AJ6933">
        <v>108.224736550655</v>
      </c>
      <c r="AK6933">
        <v>10.3328850121691</v>
      </c>
      <c r="AL6933">
        <v>90.717520595350194</v>
      </c>
      <c r="AM6933">
        <v>90.652928938610003</v>
      </c>
      <c r="AN6933">
        <v>1.0000000388341499</v>
      </c>
    </row>
    <row r="6934" spans="1:40" x14ac:dyDescent="0.25">
      <c r="A6934" t="str">
        <f>"20190312155010155"</f>
        <v>20190312155010155</v>
      </c>
      <c r="B6934" t="str">
        <f>"1552377010152592"</f>
        <v>1552377010152592</v>
      </c>
      <c r="C6934" t="s">
        <v>40</v>
      </c>
      <c r="D6934">
        <v>4.9679489999999999</v>
      </c>
      <c r="E6934">
        <v>0.3807606</v>
      </c>
      <c r="F6934" t="s">
        <v>65</v>
      </c>
      <c r="G6934">
        <v>-197.9417</v>
      </c>
      <c r="H6934" s="1">
        <v>-1.022421E-5</v>
      </c>
      <c r="I6934">
        <v>-51.405050000000003</v>
      </c>
      <c r="J6934">
        <v>-205.64619999999999</v>
      </c>
      <c r="K6934">
        <v>1.1199709999999901</v>
      </c>
      <c r="L6934">
        <v>-58.655090000000001</v>
      </c>
      <c r="M6934">
        <v>0.90587359999999995</v>
      </c>
      <c r="N6934">
        <v>0</v>
      </c>
      <c r="O6934">
        <v>0.42326059999999999</v>
      </c>
      <c r="P6934">
        <v>0.90076730000000005</v>
      </c>
      <c r="Q6934">
        <v>-2.7967229999999999E-2</v>
      </c>
      <c r="R6934">
        <v>0.43340059999999903</v>
      </c>
      <c r="S6934">
        <v>2.2951510000000002</v>
      </c>
      <c r="T6934">
        <v>-0.32859339999999998</v>
      </c>
      <c r="U6934">
        <v>2.145416</v>
      </c>
      <c r="V6934">
        <v>-1.1038930000000001E-2</v>
      </c>
      <c r="W6934">
        <v>-1.2643110000000001E-2</v>
      </c>
      <c r="X6934">
        <v>0.99985919999999895</v>
      </c>
      <c r="Y6934">
        <v>-0.30988379999999999</v>
      </c>
      <c r="Z6934">
        <v>-2.9128040000000001E-2</v>
      </c>
      <c r="AA6934">
        <v>0.95032819999999996</v>
      </c>
      <c r="AB6934">
        <v>27</v>
      </c>
      <c r="AC6934">
        <v>7.7044999999999897</v>
      </c>
      <c r="AD6934">
        <v>-1.11998122420999</v>
      </c>
      <c r="AE6934">
        <v>7.2500399999999896</v>
      </c>
      <c r="AF6934">
        <v>-3.27035898386971</v>
      </c>
      <c r="AG6934">
        <v>-1.11998122420999</v>
      </c>
      <c r="AH6934">
        <v>9.9378060562528798</v>
      </c>
      <c r="AI6934">
        <v>96.110324523309203</v>
      </c>
      <c r="AJ6934">
        <v>108.21547547529499</v>
      </c>
      <c r="AK6934">
        <v>10.521862717107499</v>
      </c>
      <c r="AL6934">
        <v>90.724416097581795</v>
      </c>
      <c r="AM6934">
        <v>90.632547465589298</v>
      </c>
      <c r="AN6934">
        <v>1.0000000630153201</v>
      </c>
    </row>
    <row r="6935" spans="1:40" x14ac:dyDescent="0.25">
      <c r="A6935" t="str">
        <f>"20190312155010167"</f>
        <v>20190312155010167</v>
      </c>
      <c r="B6935" t="str">
        <f>"1552377010162351"</f>
        <v>1552377010162351</v>
      </c>
      <c r="C6935" t="s">
        <v>40</v>
      </c>
      <c r="D6935">
        <v>4.8657180000000002</v>
      </c>
      <c r="E6935">
        <v>0.38134659999999998</v>
      </c>
      <c r="F6935" t="s">
        <v>65</v>
      </c>
      <c r="G6935">
        <v>-197.76249999999999</v>
      </c>
      <c r="H6935" s="1">
        <v>-1.0285630000000001E-5</v>
      </c>
      <c r="I6935">
        <v>-51.186889999999998</v>
      </c>
      <c r="J6935">
        <v>-205.5284</v>
      </c>
      <c r="K6935">
        <v>1.1199889999999999</v>
      </c>
      <c r="L6935">
        <v>-58.592529999999996</v>
      </c>
      <c r="M6935">
        <v>0.90285329999999997</v>
      </c>
      <c r="N6935">
        <v>0</v>
      </c>
      <c r="O6935">
        <v>0.42966500000000002</v>
      </c>
      <c r="P6935">
        <v>0.89777369999999901</v>
      </c>
      <c r="Q6935">
        <v>-2.798935E-2</v>
      </c>
      <c r="R6935">
        <v>0.43956689999999998</v>
      </c>
      <c r="S6935">
        <v>2.280869</v>
      </c>
      <c r="T6935">
        <v>-0.3240249</v>
      </c>
      <c r="U6935">
        <v>2.1606450000000001</v>
      </c>
      <c r="V6935">
        <v>-1.0813420000000001E-2</v>
      </c>
      <c r="W6935">
        <v>-1.264886E-2</v>
      </c>
      <c r="X6935">
        <v>0.99986149999999996</v>
      </c>
      <c r="Y6935">
        <v>-0.3094827</v>
      </c>
      <c r="Z6935">
        <v>-2.945273E-2</v>
      </c>
      <c r="AA6935">
        <v>0.95044890000000004</v>
      </c>
      <c r="AB6935">
        <v>27</v>
      </c>
      <c r="AC6935">
        <v>7.76590000000001</v>
      </c>
      <c r="AD6935">
        <v>-1.1199992856299901</v>
      </c>
      <c r="AE6935">
        <v>7.4056399999999902</v>
      </c>
      <c r="AF6935">
        <v>-3.3137814709650701</v>
      </c>
      <c r="AG6935">
        <v>-1.1199992856299901</v>
      </c>
      <c r="AH6935">
        <v>10.0847988856586</v>
      </c>
      <c r="AI6935">
        <v>96.022888796830699</v>
      </c>
      <c r="AJ6935">
        <v>108.190095325833</v>
      </c>
      <c r="AK6935">
        <v>10.6742079144686</v>
      </c>
      <c r="AL6935">
        <v>90.724745641006805</v>
      </c>
      <c r="AM6935">
        <v>90.619624992644205</v>
      </c>
      <c r="AN6935">
        <v>0.99999997144682196</v>
      </c>
    </row>
    <row r="6936" spans="1:40" x14ac:dyDescent="0.25">
      <c r="A6936" t="str">
        <f>"20190312155010177"</f>
        <v>20190312155010177</v>
      </c>
      <c r="B6936" t="str">
        <f>"1552377010172112"</f>
        <v>1552377010172112</v>
      </c>
      <c r="C6936" t="s">
        <v>40</v>
      </c>
      <c r="D6936">
        <v>4.8551859999999998</v>
      </c>
      <c r="E6936">
        <v>0.38197370000000003</v>
      </c>
      <c r="F6936" t="s">
        <v>65</v>
      </c>
      <c r="G6936">
        <v>-197.6277</v>
      </c>
      <c r="H6936" s="1">
        <v>-1.033079E-5</v>
      </c>
      <c r="I6936">
        <v>-51.025660000000002</v>
      </c>
      <c r="J6936">
        <v>-205.40860000000001</v>
      </c>
      <c r="K6936">
        <v>1.1200049999999999</v>
      </c>
      <c r="L6936">
        <v>-58.527189999999997</v>
      </c>
      <c r="M6936">
        <v>0.89970039999999996</v>
      </c>
      <c r="N6936">
        <v>0</v>
      </c>
      <c r="O6936">
        <v>0.43622820000000001</v>
      </c>
      <c r="P6936">
        <v>0.89469200000000004</v>
      </c>
      <c r="Q6936">
        <v>-2.8105640000000001E-2</v>
      </c>
      <c r="R6936">
        <v>0.44579869999999999</v>
      </c>
      <c r="S6936">
        <v>2.2680359999999999</v>
      </c>
      <c r="T6936">
        <v>-0.32151210000000002</v>
      </c>
      <c r="U6936">
        <v>2.17218</v>
      </c>
      <c r="V6936">
        <v>-1.0483960000000001E-2</v>
      </c>
      <c r="W6936">
        <v>-1.274639E-2</v>
      </c>
      <c r="X6936">
        <v>0.99986379999999997</v>
      </c>
      <c r="Y6936">
        <v>-0.30779109999999998</v>
      </c>
      <c r="Z6936">
        <v>-3.0042220000000001E-2</v>
      </c>
      <c r="AA6936">
        <v>0.95097949999999998</v>
      </c>
      <c r="AB6936">
        <v>27</v>
      </c>
      <c r="AC6936">
        <v>7.7808999999999999</v>
      </c>
      <c r="AD6936">
        <v>-1.12001533078999</v>
      </c>
      <c r="AE6936">
        <v>7.5015300000000096</v>
      </c>
      <c r="AF6936">
        <v>-3.31964281540685</v>
      </c>
      <c r="AG6936">
        <v>-1.12001533078999</v>
      </c>
      <c r="AH6936">
        <v>10.1649545851082</v>
      </c>
      <c r="AI6936">
        <v>95.979361955793394</v>
      </c>
      <c r="AJ6936">
        <v>108.085859530851</v>
      </c>
      <c r="AK6936">
        <v>10.751779595973799</v>
      </c>
      <c r="AL6936">
        <v>90.730334127339006</v>
      </c>
      <c r="AM6936">
        <v>90.600746469867801</v>
      </c>
      <c r="AN6936">
        <v>1.00000000121287</v>
      </c>
    </row>
    <row r="6937" spans="1:40" x14ac:dyDescent="0.25">
      <c r="A6937" t="str">
        <f>"20190312155010188"</f>
        <v>20190312155010188</v>
      </c>
      <c r="B6937" t="str">
        <f>"1552377010182848"</f>
        <v>1552377010182848</v>
      </c>
      <c r="C6937" t="s">
        <v>40</v>
      </c>
      <c r="D6937">
        <v>4.8535969999999997</v>
      </c>
      <c r="E6937">
        <v>0.38261899999999999</v>
      </c>
      <c r="F6937" t="s">
        <v>65</v>
      </c>
      <c r="G6937">
        <v>-197.51679999999999</v>
      </c>
      <c r="H6937" s="1">
        <v>-1.037079E-5</v>
      </c>
      <c r="I6937">
        <v>-50.885170000000002</v>
      </c>
      <c r="J6937">
        <v>-205.3</v>
      </c>
      <c r="K6937">
        <v>1.1200129999999999</v>
      </c>
      <c r="L6937">
        <v>-58.467410000000001</v>
      </c>
      <c r="M6937">
        <v>0.89679129999999996</v>
      </c>
      <c r="N6937">
        <v>0</v>
      </c>
      <c r="O6937">
        <v>0.4421774</v>
      </c>
      <c r="P6937">
        <v>0.89167379999999996</v>
      </c>
      <c r="Q6937">
        <v>-2.8268560000000002E-2</v>
      </c>
      <c r="R6937">
        <v>0.45179530000000001</v>
      </c>
      <c r="S6937">
        <v>2.25502</v>
      </c>
      <c r="T6937">
        <v>-0.32003680000000001</v>
      </c>
      <c r="U6937">
        <v>2.1836549999999999</v>
      </c>
      <c r="V6937">
        <v>-1.0572140000000001E-2</v>
      </c>
      <c r="W6937">
        <v>-1.290239E-2</v>
      </c>
      <c r="X6937">
        <v>0.99986090000000005</v>
      </c>
      <c r="Y6937">
        <v>-0.30675229999999998</v>
      </c>
      <c r="Z6937">
        <v>-3.062049E-2</v>
      </c>
      <c r="AA6937">
        <v>0.9512967</v>
      </c>
      <c r="AB6937">
        <v>27</v>
      </c>
      <c r="AC6937">
        <v>7.7832000000000203</v>
      </c>
      <c r="AD6937">
        <v>-1.12002337079</v>
      </c>
      <c r="AE6937">
        <v>7.5822399999999899</v>
      </c>
      <c r="AF6937">
        <v>-3.3232337304025599</v>
      </c>
      <c r="AG6937">
        <v>-1.12002337079</v>
      </c>
      <c r="AH6937">
        <v>10.2252239267163</v>
      </c>
      <c r="AI6937">
        <v>95.947150137939303</v>
      </c>
      <c r="AJ6937">
        <v>108.004343823954</v>
      </c>
      <c r="AK6937">
        <v>10.8098815502064</v>
      </c>
      <c r="AL6937">
        <v>90.739272982325801</v>
      </c>
      <c r="AM6937">
        <v>90.605800696687595</v>
      </c>
      <c r="AN6937">
        <v>1.00000003058035</v>
      </c>
    </row>
    <row r="6938" spans="1:40" x14ac:dyDescent="0.25">
      <c r="A6938" t="str">
        <f>"20190312155010199"</f>
        <v>20190312155010199</v>
      </c>
      <c r="B6938" t="str">
        <f>"1552377010192608"</f>
        <v>1552377010192608</v>
      </c>
      <c r="C6938" t="s">
        <v>40</v>
      </c>
      <c r="D6938">
        <v>4.8090699999999904</v>
      </c>
      <c r="E6938">
        <v>0.38334400000000002</v>
      </c>
      <c r="F6938" t="s">
        <v>65</v>
      </c>
      <c r="G6938">
        <v>-197.38079999999999</v>
      </c>
      <c r="H6938" s="1">
        <v>-1.041751E-5</v>
      </c>
      <c r="I6938">
        <v>-50.719320000000003</v>
      </c>
      <c r="J6938">
        <v>-205.18719999999999</v>
      </c>
      <c r="K6938">
        <v>1.120025</v>
      </c>
      <c r="L6938">
        <v>-58.403959999999998</v>
      </c>
      <c r="M6938">
        <v>0.8937003</v>
      </c>
      <c r="N6938">
        <v>0</v>
      </c>
      <c r="O6938">
        <v>0.4483916</v>
      </c>
      <c r="P6938">
        <v>0.88853499999999996</v>
      </c>
      <c r="Q6938">
        <v>-2.8479819999999999E-2</v>
      </c>
      <c r="R6938">
        <v>0.4579242</v>
      </c>
      <c r="S6938">
        <v>2.242661</v>
      </c>
      <c r="T6938">
        <v>-0.31717970000000001</v>
      </c>
      <c r="U6938">
        <v>2.1941830000000002</v>
      </c>
      <c r="V6938">
        <v>-1.051347E-2</v>
      </c>
      <c r="W6938">
        <v>-1.3103099999999999E-2</v>
      </c>
      <c r="X6938">
        <v>0.99985889999999999</v>
      </c>
      <c r="Y6938">
        <v>-0.30506870000000003</v>
      </c>
      <c r="Z6938">
        <v>-3.1119730000000002E-2</v>
      </c>
      <c r="AA6938">
        <v>0.95182169999999999</v>
      </c>
      <c r="AB6938">
        <v>27</v>
      </c>
      <c r="AC6938">
        <v>7.8063999999999902</v>
      </c>
      <c r="AD6938">
        <v>-1.12003541751</v>
      </c>
      <c r="AE6938">
        <v>7.6846399999999901</v>
      </c>
      <c r="AF6938">
        <v>-3.3330079352460298</v>
      </c>
      <c r="AG6938">
        <v>-1.12003541751</v>
      </c>
      <c r="AH6938">
        <v>10.315739237649399</v>
      </c>
      <c r="AI6938">
        <v>95.898668920496803</v>
      </c>
      <c r="AJ6938">
        <v>107.905607463137</v>
      </c>
      <c r="AK6938">
        <v>10.8985272973952</v>
      </c>
      <c r="AL6938">
        <v>90.750773796540102</v>
      </c>
      <c r="AM6938">
        <v>90.602440264360496</v>
      </c>
      <c r="AN6938">
        <v>1.0000000220951299</v>
      </c>
    </row>
    <row r="6939" spans="1:40" x14ac:dyDescent="0.25">
      <c r="A6939" t="str">
        <f>"20190312155010211"</f>
        <v>20190312155010211</v>
      </c>
      <c r="B6939" t="str">
        <f>"1552377010202367"</f>
        <v>1552377010202367</v>
      </c>
      <c r="C6939" t="s">
        <v>40</v>
      </c>
      <c r="D6939">
        <v>4.8247070000000001</v>
      </c>
      <c r="E6939">
        <v>0.3840808</v>
      </c>
      <c r="F6939" t="s">
        <v>65</v>
      </c>
      <c r="G6939">
        <v>-197.25</v>
      </c>
      <c r="H6939" s="1">
        <v>-1.04633399999999E-5</v>
      </c>
      <c r="I6939">
        <v>-50.557319999999997</v>
      </c>
      <c r="J6939">
        <v>-205.0745</v>
      </c>
      <c r="K6939">
        <v>1.120034</v>
      </c>
      <c r="L6939">
        <v>-58.33963</v>
      </c>
      <c r="M6939">
        <v>0.89055069999999903</v>
      </c>
      <c r="N6939">
        <v>0</v>
      </c>
      <c r="O6939">
        <v>0.45461459999999998</v>
      </c>
      <c r="P6939">
        <v>0.88528039999999997</v>
      </c>
      <c r="Q6939">
        <v>-2.8441439999999998E-2</v>
      </c>
      <c r="R6939">
        <v>0.46418759999999998</v>
      </c>
      <c r="S6939">
        <v>2.230057</v>
      </c>
      <c r="T6939">
        <v>-0.314689</v>
      </c>
      <c r="U6939">
        <v>2.2046199999999998</v>
      </c>
      <c r="V6939">
        <v>-1.060024E-2</v>
      </c>
      <c r="W6939">
        <v>-1.3058139999999999E-2</v>
      </c>
      <c r="X6939">
        <v>0.99985860000000004</v>
      </c>
      <c r="Y6939">
        <v>-0.30338860000000001</v>
      </c>
      <c r="Z6939">
        <v>-3.1645039999999999E-2</v>
      </c>
      <c r="AA6939">
        <v>0.95234129999999995</v>
      </c>
      <c r="AB6939">
        <v>27</v>
      </c>
      <c r="AC6939">
        <v>7.8244999999999996</v>
      </c>
      <c r="AD6939">
        <v>-1.12004446334</v>
      </c>
      <c r="AE6939">
        <v>7.7823099999999998</v>
      </c>
      <c r="AF6939">
        <v>-3.3394244330717702</v>
      </c>
      <c r="AG6939">
        <v>-1.12004446334</v>
      </c>
      <c r="AH6939">
        <v>10.400222865692999</v>
      </c>
      <c r="AI6939">
        <v>95.854538490889993</v>
      </c>
      <c r="AJ6939">
        <v>107.801389261377</v>
      </c>
      <c r="AK6939">
        <v>10.9804777127472</v>
      </c>
      <c r="AL6939">
        <v>90.748197537022094</v>
      </c>
      <c r="AM6939">
        <v>90.607412148728201</v>
      </c>
      <c r="AN6939">
        <v>1.0000000500511299</v>
      </c>
    </row>
    <row r="6940" spans="1:40" x14ac:dyDescent="0.25">
      <c r="A6940" t="str">
        <f>"20190312155010221"</f>
        <v>20190312155010221</v>
      </c>
      <c r="B6940" t="str">
        <f>"1552377010212128"</f>
        <v>1552377010212128</v>
      </c>
      <c r="C6940" t="s">
        <v>40</v>
      </c>
      <c r="D6940">
        <v>4.8527779999999998</v>
      </c>
      <c r="E6940">
        <v>0.38495020000000002</v>
      </c>
      <c r="F6940" t="s">
        <v>65</v>
      </c>
      <c r="G6940">
        <v>-197.1174</v>
      </c>
      <c r="H6940" s="1">
        <v>-1.051113E-5</v>
      </c>
      <c r="I6940">
        <v>-50.389429999999997</v>
      </c>
      <c r="J6940">
        <v>-204.95949999999999</v>
      </c>
      <c r="K6940">
        <v>1.120044</v>
      </c>
      <c r="L6940">
        <v>-58.273069999999997</v>
      </c>
      <c r="M6940">
        <v>0.88727429999999996</v>
      </c>
      <c r="N6940">
        <v>0</v>
      </c>
      <c r="O6940">
        <v>0.4609761</v>
      </c>
      <c r="P6940">
        <v>0.88183149999999999</v>
      </c>
      <c r="Q6940">
        <v>-2.8444629999999999E-2</v>
      </c>
      <c r="R6940">
        <v>0.47070600000000001</v>
      </c>
      <c r="S6940">
        <v>2.2171940000000001</v>
      </c>
      <c r="T6940">
        <v>-0.31209310000000001</v>
      </c>
      <c r="U6940">
        <v>2.215271</v>
      </c>
      <c r="V6940">
        <v>-1.0820990000000001E-2</v>
      </c>
      <c r="W6940">
        <v>-1.30584E-2</v>
      </c>
      <c r="X6940">
        <v>0.99985619999999997</v>
      </c>
      <c r="Y6940">
        <v>-0.301641099999999</v>
      </c>
      <c r="Z6940">
        <v>-3.2165939999999997E-2</v>
      </c>
      <c r="AA6940">
        <v>0.95287880000000003</v>
      </c>
      <c r="AB6940">
        <v>27</v>
      </c>
      <c r="AC6940">
        <v>7.8420999999999799</v>
      </c>
      <c r="AD6940">
        <v>-1.12005451113</v>
      </c>
      <c r="AE6940">
        <v>7.8836399999999998</v>
      </c>
      <c r="AF6940">
        <v>-3.3463936104047098</v>
      </c>
      <c r="AG6940">
        <v>-1.12005451113</v>
      </c>
      <c r="AH6940">
        <v>10.4871631859969</v>
      </c>
      <c r="AI6940">
        <v>95.809733305695403</v>
      </c>
      <c r="AJ6940">
        <v>107.697584788187</v>
      </c>
      <c r="AK6940">
        <v>11.064965611938799</v>
      </c>
      <c r="AL6940">
        <v>90.748212459059403</v>
      </c>
      <c r="AM6940">
        <v>90.620062017535602</v>
      </c>
      <c r="AN6940">
        <v>1.0000000181567801</v>
      </c>
    </row>
    <row r="6941" spans="1:40" x14ac:dyDescent="0.25">
      <c r="A6941" t="str">
        <f>"20190312155010234"</f>
        <v>20190312155010234</v>
      </c>
      <c r="B6941" t="str">
        <f>"1552377010222863"</f>
        <v>1552377010222863</v>
      </c>
      <c r="C6941" t="s">
        <v>40</v>
      </c>
      <c r="D6941">
        <v>4.8320689999999997</v>
      </c>
      <c r="E6941">
        <v>0.38495020000000002</v>
      </c>
      <c r="F6941" t="s">
        <v>65</v>
      </c>
      <c r="G6941">
        <v>-197.01910000000001</v>
      </c>
      <c r="H6941" s="1">
        <v>-2.5194969999999999E-6</v>
      </c>
      <c r="I6941">
        <v>-50.25497</v>
      </c>
      <c r="J6941">
        <v>-204.8389</v>
      </c>
      <c r="K6941">
        <v>1.1200540000000001</v>
      </c>
      <c r="L6941">
        <v>-58.201630000000002</v>
      </c>
      <c r="M6941">
        <v>0.88375749999999997</v>
      </c>
      <c r="N6941">
        <v>0</v>
      </c>
      <c r="O6941">
        <v>0.4676826</v>
      </c>
      <c r="P6941">
        <v>0.87816459999999996</v>
      </c>
      <c r="Q6941">
        <v>-2.832353E-2</v>
      </c>
      <c r="R6941">
        <v>0.47751949999999999</v>
      </c>
      <c r="S6941">
        <v>2.2039949999999999</v>
      </c>
      <c r="T6941">
        <v>-0.31089149999999999</v>
      </c>
      <c r="U6941">
        <v>2.2255859999999998</v>
      </c>
      <c r="V6941">
        <v>-1.0990730000000001E-2</v>
      </c>
      <c r="W6941">
        <v>-1.293322E-2</v>
      </c>
      <c r="X6941">
        <v>0.99985590000000002</v>
      </c>
      <c r="Y6941">
        <v>-0.29950759999999899</v>
      </c>
      <c r="Z6941">
        <v>-3.2880220000000002E-2</v>
      </c>
      <c r="AA6941">
        <v>0.95352720000000002</v>
      </c>
      <c r="AB6941">
        <v>27</v>
      </c>
      <c r="AC6941">
        <v>7.8197999999999803</v>
      </c>
      <c r="AD6941">
        <v>-1.120056519497</v>
      </c>
      <c r="AE6941">
        <v>7.9466599999999996</v>
      </c>
      <c r="AF6941">
        <v>-3.33251494188803</v>
      </c>
      <c r="AG6941">
        <v>-1.120056519497</v>
      </c>
      <c r="AH6941">
        <v>10.522425982232701</v>
      </c>
      <c r="AI6941">
        <v>95.794373554075506</v>
      </c>
      <c r="AJ6941">
        <v>107.573304515567</v>
      </c>
      <c r="AK6941">
        <v>11.094216105536301</v>
      </c>
      <c r="AL6941">
        <v>90.741039623795601</v>
      </c>
      <c r="AM6941">
        <v>90.629787833709401</v>
      </c>
      <c r="AN6941">
        <v>0.99999994254515401</v>
      </c>
    </row>
    <row r="6942" spans="1:40" x14ac:dyDescent="0.25">
      <c r="A6942" t="str">
        <f>"20190312155010245"</f>
        <v>20190312155010245</v>
      </c>
      <c r="B6942" t="str">
        <f>"1552377010242383"</f>
        <v>1552377010242383</v>
      </c>
      <c r="C6942" t="s">
        <v>40</v>
      </c>
      <c r="D6942">
        <v>7.7823509999999896</v>
      </c>
      <c r="E6942">
        <v>0.39822629999999998</v>
      </c>
      <c r="F6942" t="s">
        <v>65</v>
      </c>
      <c r="G6942">
        <v>-196.93459999999999</v>
      </c>
      <c r="H6942" s="1">
        <v>-2.595012E-6</v>
      </c>
      <c r="I6942">
        <v>-50.095640000000003</v>
      </c>
      <c r="J6942">
        <v>-204.7286</v>
      </c>
      <c r="K6942">
        <v>1.1200619999999999</v>
      </c>
      <c r="L6942">
        <v>-58.135829999999999</v>
      </c>
      <c r="M6942">
        <v>0.88048919999999997</v>
      </c>
      <c r="N6942">
        <v>0</v>
      </c>
      <c r="O6942">
        <v>0.47380679999999997</v>
      </c>
      <c r="P6942">
        <v>0.87478069999999897</v>
      </c>
      <c r="Q6942">
        <v>-2.7849720000000001E-2</v>
      </c>
      <c r="R6942">
        <v>0.48371819999999999</v>
      </c>
      <c r="S6942">
        <v>2.1867679999999998</v>
      </c>
      <c r="T6942">
        <v>-0.3098725</v>
      </c>
      <c r="U6942">
        <v>2.2425839999999999</v>
      </c>
      <c r="V6942">
        <v>-1.112525E-2</v>
      </c>
      <c r="W6942">
        <v>-1.245521E-2</v>
      </c>
      <c r="X6942">
        <v>0.99986050000000004</v>
      </c>
      <c r="Y6942">
        <v>-0.30026760000000002</v>
      </c>
      <c r="Z6942">
        <v>-3.3390160000000002E-2</v>
      </c>
      <c r="AA6942">
        <v>0.95327039999999996</v>
      </c>
      <c r="AB6942">
        <v>27</v>
      </c>
      <c r="AC6942">
        <v>7.7940000000000103</v>
      </c>
      <c r="AD6942">
        <v>-1.1200645950120001</v>
      </c>
      <c r="AE6942">
        <v>8.0401900000000008</v>
      </c>
      <c r="AF6942">
        <v>-3.3533165622933598</v>
      </c>
      <c r="AG6942">
        <v>-1.1200645950120001</v>
      </c>
      <c r="AH6942">
        <v>10.56761227154</v>
      </c>
      <c r="AI6942">
        <v>95.768792194321804</v>
      </c>
      <c r="AJ6942">
        <v>107.605283052822</v>
      </c>
      <c r="AK6942">
        <v>11.1433256160607</v>
      </c>
      <c r="AL6942">
        <v>90.713649445945407</v>
      </c>
      <c r="AM6942">
        <v>90.637492497362302</v>
      </c>
      <c r="AN6942">
        <v>0.999999961451977</v>
      </c>
    </row>
    <row r="6943" spans="1:40" x14ac:dyDescent="0.25">
      <c r="A6943" t="str">
        <f>"20190312155010256"</f>
        <v>20190312155010256</v>
      </c>
      <c r="B6943" t="str">
        <f>"1552377010252143"</f>
        <v>1552377010252143</v>
      </c>
      <c r="C6943" t="s">
        <v>40</v>
      </c>
      <c r="D6943">
        <v>4.7337999999999996</v>
      </c>
      <c r="E6943">
        <v>0.3992059</v>
      </c>
      <c r="F6943" t="s">
        <v>65</v>
      </c>
      <c r="G6943">
        <v>-195.71289999999999</v>
      </c>
      <c r="H6943" s="1">
        <v>-2.7603239999999999E-6</v>
      </c>
      <c r="I6943">
        <v>-49.357399999999998</v>
      </c>
      <c r="J6943">
        <v>-204.61680000000001</v>
      </c>
      <c r="K6943">
        <v>1.1200730000000001</v>
      </c>
      <c r="L6943">
        <v>-58.067169999999997</v>
      </c>
      <c r="M6943">
        <v>0.87709190000000004</v>
      </c>
      <c r="N6943">
        <v>0</v>
      </c>
      <c r="O6943">
        <v>0.4800663</v>
      </c>
      <c r="P6943">
        <v>0.87133459999999996</v>
      </c>
      <c r="Q6943">
        <v>-2.7621529999999998E-2</v>
      </c>
      <c r="R6943">
        <v>0.4899114</v>
      </c>
      <c r="S6943">
        <v>2.2234950000000002</v>
      </c>
      <c r="T6943">
        <v>-0.27623569999999997</v>
      </c>
      <c r="U6943">
        <v>2.1649780000000001</v>
      </c>
      <c r="V6943">
        <v>-1.109858E-2</v>
      </c>
      <c r="W6943">
        <v>-1.221933E-2</v>
      </c>
      <c r="X6943">
        <v>0.99986370000000002</v>
      </c>
      <c r="Y6943">
        <v>-0.26858650000000001</v>
      </c>
      <c r="Z6943">
        <v>-3.1975610000000002E-2</v>
      </c>
      <c r="AA6943">
        <v>0.96272469999999999</v>
      </c>
      <c r="AB6943">
        <v>27</v>
      </c>
      <c r="AC6943">
        <v>8.9039000000000197</v>
      </c>
      <c r="AD6943">
        <v>-1.1200757603239999</v>
      </c>
      <c r="AE6943">
        <v>8.70976999999999</v>
      </c>
      <c r="AF6943">
        <v>-3.33822529499973</v>
      </c>
      <c r="AG6943">
        <v>-1.1200757603239999</v>
      </c>
      <c r="AH6943">
        <v>11.8960813840722</v>
      </c>
      <c r="AI6943">
        <v>95.179898179356698</v>
      </c>
      <c r="AJ6943">
        <v>105.67494506019899</v>
      </c>
      <c r="AK6943">
        <v>12.406251251909699</v>
      </c>
      <c r="AL6943">
        <v>90.700133493101404</v>
      </c>
      <c r="AM6943">
        <v>90.635962359264397</v>
      </c>
      <c r="AN6943">
        <v>0.99999995454067603</v>
      </c>
    </row>
    <row r="6944" spans="1:40" x14ac:dyDescent="0.25">
      <c r="A6944" t="str">
        <f>"20190312155010268"</f>
        <v>20190312155010268</v>
      </c>
      <c r="B6944" t="str">
        <f>"1552377010262879"</f>
        <v>1552377010262879</v>
      </c>
      <c r="C6944" t="s">
        <v>40</v>
      </c>
      <c r="D6944">
        <v>4.7463829999999998</v>
      </c>
      <c r="E6944">
        <v>0.40016160000000001</v>
      </c>
      <c r="F6944" t="s">
        <v>65</v>
      </c>
      <c r="G6944">
        <v>-195.5444</v>
      </c>
      <c r="H6944" s="1">
        <v>-2.845542E-6</v>
      </c>
      <c r="I6944">
        <v>-49.150100000000002</v>
      </c>
      <c r="J6944">
        <v>-204.50360000000001</v>
      </c>
      <c r="K6944">
        <v>1.1200779999999999</v>
      </c>
      <c r="L6944">
        <v>-57.997219999999999</v>
      </c>
      <c r="M6944">
        <v>0.87359849999999994</v>
      </c>
      <c r="N6944">
        <v>0</v>
      </c>
      <c r="O6944">
        <v>0.4863943</v>
      </c>
      <c r="P6944">
        <v>0.86787429999999999</v>
      </c>
      <c r="Q6944">
        <v>-2.7297269999999998E-2</v>
      </c>
      <c r="R6944">
        <v>0.49603340000000001</v>
      </c>
      <c r="S6944">
        <v>2.2119599999999999</v>
      </c>
      <c r="T6944">
        <v>-0.2730861</v>
      </c>
      <c r="U6944">
        <v>2.1740719999999998</v>
      </c>
      <c r="V6944">
        <v>-1.0912689999999999E-2</v>
      </c>
      <c r="W6944">
        <v>-1.188343E-2</v>
      </c>
      <c r="X6944">
        <v>0.99986980000000003</v>
      </c>
      <c r="Y6944">
        <v>-0.26615509999999998</v>
      </c>
      <c r="Z6944">
        <v>-3.2327990000000001E-2</v>
      </c>
      <c r="AA6944">
        <v>0.96338800000000002</v>
      </c>
      <c r="AB6944">
        <v>27</v>
      </c>
      <c r="AC6944">
        <v>8.9592000000000098</v>
      </c>
      <c r="AD6944">
        <v>-1.1200808455419999</v>
      </c>
      <c r="AE6944">
        <v>8.8471199999999897</v>
      </c>
      <c r="AF6944">
        <v>-3.34507119791291</v>
      </c>
      <c r="AG6944">
        <v>-1.1200808455419999</v>
      </c>
      <c r="AH6944">
        <v>12.036179055125</v>
      </c>
      <c r="AI6944">
        <v>95.123511234825003</v>
      </c>
      <c r="AJ6944">
        <v>105.531571068312</v>
      </c>
      <c r="AK6944">
        <v>12.54247538035</v>
      </c>
      <c r="AL6944">
        <v>90.680886438463801</v>
      </c>
      <c r="AM6944">
        <v>90.625307670785801</v>
      </c>
      <c r="AN6944">
        <v>0.999999959831819</v>
      </c>
    </row>
    <row r="6945" spans="1:40" x14ac:dyDescent="0.25">
      <c r="A6945" t="str">
        <f>"20190312155010279"</f>
        <v>20190312155010279</v>
      </c>
      <c r="B6945" t="str">
        <f>"1552377010272639"</f>
        <v>1552377010272639</v>
      </c>
      <c r="C6945" t="s">
        <v>40</v>
      </c>
      <c r="D6945">
        <v>4.7618650000000002</v>
      </c>
      <c r="E6945">
        <v>0.40110240000000003</v>
      </c>
      <c r="F6945" t="s">
        <v>65</v>
      </c>
      <c r="G6945">
        <v>-195.44229999999999</v>
      </c>
      <c r="H6945" s="1">
        <v>-2.9071850000000001E-6</v>
      </c>
      <c r="I6945">
        <v>-49.007640000000002</v>
      </c>
      <c r="J6945">
        <v>-204.39060000000001</v>
      </c>
      <c r="K6945">
        <v>1.120082</v>
      </c>
      <c r="L6945">
        <v>-57.925780000000003</v>
      </c>
      <c r="M6945">
        <v>0.87003459999999999</v>
      </c>
      <c r="N6945">
        <v>0</v>
      </c>
      <c r="O6945">
        <v>0.49274059999999997</v>
      </c>
      <c r="P6945">
        <v>0.86434059999999902</v>
      </c>
      <c r="Q6945">
        <v>-2.7231669999999999E-2</v>
      </c>
      <c r="R6945">
        <v>0.50216899999999998</v>
      </c>
      <c r="S6945">
        <v>2.2004549999999998</v>
      </c>
      <c r="T6945">
        <v>-0.27200210000000002</v>
      </c>
      <c r="U6945">
        <v>2.1830440000000002</v>
      </c>
      <c r="V6945">
        <v>-1.07177E-2</v>
      </c>
      <c r="W6945">
        <v>-1.1806570000000001E-2</v>
      </c>
      <c r="X6945">
        <v>0.99987289999999995</v>
      </c>
      <c r="Y6945">
        <v>-0.26365440000000001</v>
      </c>
      <c r="Z6945">
        <v>-3.2917780000000001E-2</v>
      </c>
      <c r="AA6945">
        <v>0.96405540000000001</v>
      </c>
      <c r="AB6945">
        <v>27</v>
      </c>
      <c r="AC6945">
        <v>8.9483000000000104</v>
      </c>
      <c r="AD6945">
        <v>-1.1200849071850001</v>
      </c>
      <c r="AE6945">
        <v>8.9181399999999993</v>
      </c>
      <c r="AF6945">
        <v>-3.3241825976828698</v>
      </c>
      <c r="AG6945">
        <v>-1.1200849071850001</v>
      </c>
      <c r="AH6945">
        <v>12.0861574525875</v>
      </c>
      <c r="AI6945">
        <v>95.106207688103297</v>
      </c>
      <c r="AJ6945">
        <v>105.378407714942</v>
      </c>
      <c r="AK6945">
        <v>12.584910890061</v>
      </c>
      <c r="AL6945">
        <v>90.6764823213569</v>
      </c>
      <c r="AM6945">
        <v>90.6141335152018</v>
      </c>
      <c r="AN6945">
        <v>1.00000004017143</v>
      </c>
    </row>
    <row r="6946" spans="1:40" x14ac:dyDescent="0.25">
      <c r="A6946" t="str">
        <f>"20190312155010291"</f>
        <v>20190312155010291</v>
      </c>
      <c r="B6946" t="str">
        <f>"1552377010282401"</f>
        <v>1552377010282401</v>
      </c>
      <c r="C6946" t="s">
        <v>40</v>
      </c>
      <c r="D6946">
        <v>4.7310049999999997</v>
      </c>
      <c r="E6946">
        <v>0.40198299999999998</v>
      </c>
      <c r="F6946" t="s">
        <v>65</v>
      </c>
      <c r="G6946">
        <v>-195.3999</v>
      </c>
      <c r="H6946" s="1">
        <v>-2.9495939999999999E-6</v>
      </c>
      <c r="I6946">
        <v>-48.920070000000003</v>
      </c>
      <c r="J6946">
        <v>-204.2775</v>
      </c>
      <c r="K6946">
        <v>1.1200909999999999</v>
      </c>
      <c r="L6946">
        <v>-57.853299999999997</v>
      </c>
      <c r="M6946">
        <v>0.86640219999999901</v>
      </c>
      <c r="N6946">
        <v>0</v>
      </c>
      <c r="O6946">
        <v>0.49909969999999998</v>
      </c>
      <c r="P6946">
        <v>0.8607998</v>
      </c>
      <c r="Q6946">
        <v>-2.7116939999999999E-2</v>
      </c>
      <c r="R6946">
        <v>0.50822089999999998</v>
      </c>
      <c r="S6946">
        <v>2.188599</v>
      </c>
      <c r="T6946">
        <v>-0.27266230000000002</v>
      </c>
      <c r="U6946">
        <v>2.1922609999999998</v>
      </c>
      <c r="V6946">
        <v>-1.0411139999999999E-2</v>
      </c>
      <c r="W6946">
        <v>-1.167816E-2</v>
      </c>
      <c r="X6946">
        <v>0.99987760000000003</v>
      </c>
      <c r="Y6946">
        <v>-0.26125279999999901</v>
      </c>
      <c r="Z6946">
        <v>-3.3714470000000003E-2</v>
      </c>
      <c r="AA6946">
        <v>0.96468140000000002</v>
      </c>
      <c r="AB6946">
        <v>27</v>
      </c>
      <c r="AC6946">
        <v>8.8775999999999993</v>
      </c>
      <c r="AD6946">
        <v>-1.1200939495940001</v>
      </c>
      <c r="AE6946">
        <v>8.9332299999999893</v>
      </c>
      <c r="AF6946">
        <v>-3.2833998069283798</v>
      </c>
      <c r="AG6946">
        <v>-1.1200939495940001</v>
      </c>
      <c r="AH6946">
        <v>12.0562807322785</v>
      </c>
      <c r="AI6946">
        <v>95.122338336298199</v>
      </c>
      <c r="AJ6946">
        <v>105.234429736503</v>
      </c>
      <c r="AK6946">
        <v>12.5454864331187</v>
      </c>
      <c r="AL6946">
        <v>90.669124494805502</v>
      </c>
      <c r="AM6946">
        <v>90.596565845274796</v>
      </c>
      <c r="AN6946">
        <v>0.999999993119422</v>
      </c>
    </row>
    <row r="6947" spans="1:40" x14ac:dyDescent="0.25">
      <c r="A6947" t="str">
        <f>"20190312155010301"</f>
        <v>20190312155010301</v>
      </c>
      <c r="B6947" t="str">
        <f>"1552377010292160"</f>
        <v>1552377010292160</v>
      </c>
      <c r="C6947" t="s">
        <v>40</v>
      </c>
      <c r="D6947">
        <v>4.7200600000000001</v>
      </c>
      <c r="E6947">
        <v>0.40282899999999999</v>
      </c>
      <c r="F6947" t="s">
        <v>65</v>
      </c>
      <c r="G6947">
        <v>-195.22300000000001</v>
      </c>
      <c r="H6947" s="1">
        <v>-3.043434E-6</v>
      </c>
      <c r="I6947">
        <v>-48.695050000000002</v>
      </c>
      <c r="J6947">
        <v>-204.17420000000001</v>
      </c>
      <c r="K6947">
        <v>1.1200909999999999</v>
      </c>
      <c r="L6947">
        <v>-57.78613</v>
      </c>
      <c r="M6947">
        <v>0.86302400000000001</v>
      </c>
      <c r="N6947">
        <v>0</v>
      </c>
      <c r="O6947">
        <v>0.5049186</v>
      </c>
      <c r="P6947">
        <v>0.85736569999999901</v>
      </c>
      <c r="Q6947">
        <v>-2.7395409999999999E-2</v>
      </c>
      <c r="R6947">
        <v>0.51397820000000005</v>
      </c>
      <c r="S6947">
        <v>2.176758</v>
      </c>
      <c r="T6947">
        <v>-0.26927640000000003</v>
      </c>
      <c r="U6947">
        <v>2.2016909999999998</v>
      </c>
      <c r="V6947">
        <v>-1.0381069999999999E-2</v>
      </c>
      <c r="W6947">
        <v>-1.1951059999999999E-2</v>
      </c>
      <c r="X6947">
        <v>0.99987470000000001</v>
      </c>
      <c r="Y6947">
        <v>-0.25944909999999999</v>
      </c>
      <c r="Z6947">
        <v>-3.3930189999999999E-2</v>
      </c>
      <c r="AA6947">
        <v>0.96516049999999998</v>
      </c>
      <c r="AB6947">
        <v>27</v>
      </c>
      <c r="AC6947">
        <v>8.9512000000000196</v>
      </c>
      <c r="AD6947">
        <v>-1.1200940434340001</v>
      </c>
      <c r="AE6947">
        <v>9.0910799999999998</v>
      </c>
      <c r="AF6947">
        <v>-3.3011587059098901</v>
      </c>
      <c r="AG6947">
        <v>-1.1200940434340001</v>
      </c>
      <c r="AH6947">
        <v>12.2226659289145</v>
      </c>
      <c r="AI6947">
        <v>95.055836315192494</v>
      </c>
      <c r="AJ6947">
        <v>105.114114162596</v>
      </c>
      <c r="AK6947">
        <v>12.710067736939401</v>
      </c>
      <c r="AL6947">
        <v>90.684761596394907</v>
      </c>
      <c r="AM6947">
        <v>90.594844661670706</v>
      </c>
      <c r="AN6947">
        <v>1.0000000050747699</v>
      </c>
    </row>
    <row r="6948" spans="1:40" x14ac:dyDescent="0.25">
      <c r="A6948" t="str">
        <f>"20190312155010312"</f>
        <v>20190312155010312</v>
      </c>
      <c r="B6948" t="str">
        <f>"1552377010302896"</f>
        <v>1552377010302896</v>
      </c>
      <c r="C6948" t="s">
        <v>40</v>
      </c>
      <c r="D6948">
        <v>4.7103109999999999</v>
      </c>
      <c r="E6948">
        <v>0.40282899999999999</v>
      </c>
      <c r="F6948" t="s">
        <v>65</v>
      </c>
      <c r="G6948">
        <v>-195.1985</v>
      </c>
      <c r="H6948" s="1">
        <v>-3.081008E-6</v>
      </c>
      <c r="I6948">
        <v>-48.62236</v>
      </c>
      <c r="J6948">
        <v>-204.06549999999999</v>
      </c>
      <c r="K6948">
        <v>1.120088</v>
      </c>
      <c r="L6948">
        <v>-57.714109999999998</v>
      </c>
      <c r="M6948">
        <v>0.85940450000000002</v>
      </c>
      <c r="N6948">
        <v>0</v>
      </c>
      <c r="O6948">
        <v>0.51105459999999903</v>
      </c>
      <c r="P6948">
        <v>0.85375299999999998</v>
      </c>
      <c r="Q6948">
        <v>-2.7665149999999999E-2</v>
      </c>
      <c r="R6948">
        <v>0.51994259999999903</v>
      </c>
      <c r="S6948">
        <v>2.1652369999999999</v>
      </c>
      <c r="T6948">
        <v>-0.27020349999999999</v>
      </c>
      <c r="U6948">
        <v>2.2106020000000002</v>
      </c>
      <c r="V6948">
        <v>-1.022561E-2</v>
      </c>
      <c r="W6948">
        <v>-1.221245E-2</v>
      </c>
      <c r="X6948">
        <v>0.99987320000000002</v>
      </c>
      <c r="Y6948">
        <v>-0.25710640000000001</v>
      </c>
      <c r="Z6948">
        <v>-3.4733449999999999E-2</v>
      </c>
      <c r="AA6948">
        <v>0.96575869999999997</v>
      </c>
      <c r="AB6948">
        <v>27</v>
      </c>
      <c r="AC6948">
        <v>8.8669999999999902</v>
      </c>
      <c r="AD6948">
        <v>-1.120091081008</v>
      </c>
      <c r="AE6948">
        <v>9.0917499999999905</v>
      </c>
      <c r="AF6948">
        <v>-3.2570392082683499</v>
      </c>
      <c r="AG6948">
        <v>-1.120091081008</v>
      </c>
      <c r="AH6948">
        <v>12.173539832625901</v>
      </c>
      <c r="AI6948">
        <v>95.079328573909507</v>
      </c>
      <c r="AJ6948">
        <v>104.978695852976</v>
      </c>
      <c r="AK6948">
        <v>12.651402313201499</v>
      </c>
      <c r="AL6948">
        <v>90.699739193817805</v>
      </c>
      <c r="AM6948">
        <v>90.585938168382498</v>
      </c>
      <c r="AN6948">
        <v>1.0000000615565501</v>
      </c>
    </row>
    <row r="6949" spans="1:40" x14ac:dyDescent="0.25">
      <c r="A6949" t="str">
        <f>"20190312155010323"</f>
        <v>20190312155010323</v>
      </c>
      <c r="B6949" t="str">
        <f>"1552377010312656"</f>
        <v>1552377010312656</v>
      </c>
      <c r="C6949" t="s">
        <v>40</v>
      </c>
      <c r="D6949">
        <v>4.8150040000000001</v>
      </c>
      <c r="E6949">
        <v>0.41296290000000002</v>
      </c>
      <c r="F6949" t="s">
        <v>65</v>
      </c>
      <c r="G6949">
        <v>-195.1705</v>
      </c>
      <c r="H6949" s="1">
        <v>-3.144036E-6</v>
      </c>
      <c r="I6949">
        <v>-48.505389999999998</v>
      </c>
      <c r="J6949">
        <v>-203.9599</v>
      </c>
      <c r="K6949">
        <v>1.1200859999999999</v>
      </c>
      <c r="L6949">
        <v>-57.64349</v>
      </c>
      <c r="M6949">
        <v>0.85583129999999996</v>
      </c>
      <c r="N6949">
        <v>0</v>
      </c>
      <c r="O6949">
        <v>0.51701609999999998</v>
      </c>
      <c r="P6949">
        <v>0.85007379999999999</v>
      </c>
      <c r="Q6949">
        <v>-2.7896379999999998E-2</v>
      </c>
      <c r="R6949">
        <v>0.52592439999999996</v>
      </c>
      <c r="S6949">
        <v>2.149734</v>
      </c>
      <c r="T6949">
        <v>-0.27070250000000001</v>
      </c>
      <c r="U6949">
        <v>2.2255549999999999</v>
      </c>
      <c r="V6949">
        <v>-1.0293760000000001E-2</v>
      </c>
      <c r="W6949">
        <v>-1.244135E-2</v>
      </c>
      <c r="X6949">
        <v>0.99986960000000003</v>
      </c>
      <c r="Y6949">
        <v>-0.2571312</v>
      </c>
      <c r="Z6949">
        <v>-3.5357970000000002E-2</v>
      </c>
      <c r="AA6949">
        <v>0.96572939999999996</v>
      </c>
      <c r="AB6949">
        <v>27</v>
      </c>
      <c r="AC6949">
        <v>8.7894000000000005</v>
      </c>
      <c r="AD6949">
        <v>-1.1200891440359999</v>
      </c>
      <c r="AE6949">
        <v>9.1380999999999908</v>
      </c>
      <c r="AF6949">
        <v>-3.2514405611247001</v>
      </c>
      <c r="AG6949">
        <v>-1.1200891440359999</v>
      </c>
      <c r="AH6949">
        <v>12.153453411047799</v>
      </c>
      <c r="AI6949">
        <v>95.087693919155797</v>
      </c>
      <c r="AJ6949">
        <v>104.97770812754401</v>
      </c>
      <c r="AK6949">
        <v>12.630633207706699</v>
      </c>
      <c r="AL6949">
        <v>90.712855249624894</v>
      </c>
      <c r="AM6949">
        <v>90.589845083368999</v>
      </c>
      <c r="AN6949">
        <v>0.99999998284445901</v>
      </c>
    </row>
    <row r="6950" spans="1:40" x14ac:dyDescent="0.25">
      <c r="A6950" t="str">
        <f>"20190312155010335"</f>
        <v>20190312155010335</v>
      </c>
      <c r="B6950" t="str">
        <f>"1552377010322416"</f>
        <v>1552377010322416</v>
      </c>
      <c r="C6950" t="s">
        <v>40</v>
      </c>
      <c r="D6950">
        <v>4.7998469999999998</v>
      </c>
      <c r="E6950">
        <v>0.41353640000000003</v>
      </c>
      <c r="F6950" t="s">
        <v>65</v>
      </c>
      <c r="G6950">
        <v>-196.38560000000001</v>
      </c>
      <c r="H6950" s="1">
        <v>-2.4854890000000001E-6</v>
      </c>
      <c r="I6950">
        <v>-50.07443</v>
      </c>
      <c r="J6950">
        <v>-203.85149999999999</v>
      </c>
      <c r="K6950">
        <v>1.1200810000000001</v>
      </c>
      <c r="L6950">
        <v>-57.569240000000001</v>
      </c>
      <c r="M6950">
        <v>0.85208969999999995</v>
      </c>
      <c r="N6950">
        <v>0</v>
      </c>
      <c r="O6950">
        <v>0.52315959999999995</v>
      </c>
      <c r="P6950">
        <v>0.84633179999999997</v>
      </c>
      <c r="Q6950">
        <v>-2.7806150000000002E-2</v>
      </c>
      <c r="R6950">
        <v>0.53192989999999996</v>
      </c>
      <c r="S6950">
        <v>2.1742859999999999</v>
      </c>
      <c r="T6950">
        <v>-0.32153480000000001</v>
      </c>
      <c r="U6950">
        <v>2.1727910000000001</v>
      </c>
      <c r="V6950">
        <v>-1.0181249999999999E-2</v>
      </c>
      <c r="W6950">
        <v>-1.2344819999999999E-2</v>
      </c>
      <c r="X6950">
        <v>0.99987199999999998</v>
      </c>
      <c r="Y6950">
        <v>-0.2334755</v>
      </c>
      <c r="Z6950">
        <v>-4.4023079999999999E-2</v>
      </c>
      <c r="AA6950">
        <v>0.97136560000000005</v>
      </c>
      <c r="AB6950">
        <v>27</v>
      </c>
      <c r="AC6950">
        <v>7.4658999999999702</v>
      </c>
      <c r="AD6950">
        <v>-1.1200834854889901</v>
      </c>
      <c r="AE6950">
        <v>7.4948100000000002</v>
      </c>
      <c r="AF6950">
        <v>-2.4531981868900301</v>
      </c>
      <c r="AG6950">
        <v>-1.1200834854889901</v>
      </c>
      <c r="AH6950">
        <v>10.1698601776278</v>
      </c>
      <c r="AI6950">
        <v>96.111182969242194</v>
      </c>
      <c r="AJ6950">
        <v>103.561939322874</v>
      </c>
      <c r="AK6950">
        <v>10.521350882426001</v>
      </c>
      <c r="AL6950">
        <v>90.707324026677497</v>
      </c>
      <c r="AM6950">
        <v>90.583397170083103</v>
      </c>
      <c r="AN6950">
        <v>1.0000000344081901</v>
      </c>
    </row>
    <row r="6951" spans="1:40" x14ac:dyDescent="0.25">
      <c r="A6951" t="str">
        <f>"20190312155010345"</f>
        <v>20190312155010345</v>
      </c>
      <c r="B6951" t="str">
        <f>"1552377010332176"</f>
        <v>1552377010332176</v>
      </c>
      <c r="C6951" t="s">
        <v>40</v>
      </c>
      <c r="D6951">
        <v>4.7030479999999999</v>
      </c>
      <c r="E6951">
        <v>0.41407729999999998</v>
      </c>
      <c r="F6951" t="s">
        <v>65</v>
      </c>
      <c r="G6951">
        <v>-196.5521</v>
      </c>
      <c r="H6951" s="1">
        <v>-2.4532200000000002E-6</v>
      </c>
      <c r="I6951">
        <v>-50.191470000000002</v>
      </c>
      <c r="J6951">
        <v>-203.74449999999999</v>
      </c>
      <c r="K6951">
        <v>1.120077</v>
      </c>
      <c r="L6951">
        <v>-57.495510000000003</v>
      </c>
      <c r="M6951">
        <v>0.84834240000000005</v>
      </c>
      <c r="N6951">
        <v>0</v>
      </c>
      <c r="O6951">
        <v>0.52921450000000003</v>
      </c>
      <c r="P6951">
        <v>0.84261980000000003</v>
      </c>
      <c r="Q6951">
        <v>-2.7946829999999999E-2</v>
      </c>
      <c r="R6951">
        <v>0.53778349999999997</v>
      </c>
      <c r="S6951">
        <v>2.1610260000000001</v>
      </c>
      <c r="T6951">
        <v>-0.33160309999999998</v>
      </c>
      <c r="U6951">
        <v>2.1842039999999998</v>
      </c>
      <c r="V6951">
        <v>-9.9905280000000003E-3</v>
      </c>
      <c r="W6951">
        <v>-1.247756E-2</v>
      </c>
      <c r="X6951">
        <v>0.99987230000000005</v>
      </c>
      <c r="Y6951">
        <v>-0.23217370000000001</v>
      </c>
      <c r="Z6951">
        <v>-4.6169700000000001E-2</v>
      </c>
      <c r="AA6951">
        <v>0.97157789999999999</v>
      </c>
      <c r="AB6951">
        <v>27</v>
      </c>
      <c r="AC6951">
        <v>7.1923999999999904</v>
      </c>
      <c r="AD6951">
        <v>-1.12007945322</v>
      </c>
      <c r="AE6951">
        <v>7.3040399999999899</v>
      </c>
      <c r="AF6951">
        <v>-2.3620980775653999</v>
      </c>
      <c r="AG6951">
        <v>-1.12007945322</v>
      </c>
      <c r="AH6951">
        <v>9.85064395614042</v>
      </c>
      <c r="AI6951">
        <v>96.309661833311196</v>
      </c>
      <c r="AJ6951">
        <v>103.484422829889</v>
      </c>
      <c r="AK6951">
        <v>10.191627527544799</v>
      </c>
      <c r="AL6951">
        <v>90.714930036991703</v>
      </c>
      <c r="AM6951">
        <v>90.572469145719296</v>
      </c>
      <c r="AN6951">
        <v>1.0000000582302699</v>
      </c>
    </row>
    <row r="6952" spans="1:40" x14ac:dyDescent="0.25">
      <c r="A6952" t="str">
        <f>"20190312155010356"</f>
        <v>20190312155010356</v>
      </c>
      <c r="B6952" t="str">
        <f>"1552377010352672"</f>
        <v>1552377010352672</v>
      </c>
      <c r="C6952" t="s">
        <v>40</v>
      </c>
      <c r="D6952">
        <v>4.5458509999999999</v>
      </c>
      <c r="E6952">
        <v>0.41234660000000001</v>
      </c>
      <c r="F6952" t="s">
        <v>65</v>
      </c>
      <c r="G6952">
        <v>-196.10290000000001</v>
      </c>
      <c r="H6952" s="1">
        <v>-2.6503209999999998E-6</v>
      </c>
      <c r="I6952">
        <v>-49.689729999999997</v>
      </c>
      <c r="J6952">
        <v>-203.6388</v>
      </c>
      <c r="K6952">
        <v>1.1200730000000001</v>
      </c>
      <c r="L6952">
        <v>-57.420810000000003</v>
      </c>
      <c r="M6952">
        <v>0.84456359999999997</v>
      </c>
      <c r="N6952">
        <v>0</v>
      </c>
      <c r="O6952">
        <v>0.53522429999999999</v>
      </c>
      <c r="P6952">
        <v>0.8389356</v>
      </c>
      <c r="Q6952">
        <v>-2.7757299999999999E-2</v>
      </c>
      <c r="R6952">
        <v>0.54352250000000002</v>
      </c>
      <c r="S6952">
        <v>2.148911</v>
      </c>
      <c r="T6952">
        <v>-0.31497839999999999</v>
      </c>
      <c r="U6952">
        <v>2.195068</v>
      </c>
      <c r="V6952">
        <v>-9.7183110000000003E-3</v>
      </c>
      <c r="W6952">
        <v>-1.227875E-2</v>
      </c>
      <c r="X6952">
        <v>0.99987740000000003</v>
      </c>
      <c r="Y6952">
        <v>-0.2303134</v>
      </c>
      <c r="Z6952">
        <v>-4.4624360000000002E-2</v>
      </c>
      <c r="AA6952">
        <v>0.97209279999999998</v>
      </c>
      <c r="AB6952">
        <v>27</v>
      </c>
      <c r="AC6952">
        <v>7.5358999999999901</v>
      </c>
      <c r="AD6952">
        <v>-1.1200756503210001</v>
      </c>
      <c r="AE6952">
        <v>7.7310799999999897</v>
      </c>
      <c r="AF6952">
        <v>-2.4697181680592499</v>
      </c>
      <c r="AG6952">
        <v>-1.1200756503210001</v>
      </c>
      <c r="AH6952">
        <v>10.3918562580591</v>
      </c>
      <c r="AI6952">
        <v>95.986341736193197</v>
      </c>
      <c r="AJ6952">
        <v>103.368841748721</v>
      </c>
      <c r="AK6952">
        <v>10.7398674936075</v>
      </c>
      <c r="AL6952">
        <v>90.703538221969197</v>
      </c>
      <c r="AM6952">
        <v>90.556868943452002</v>
      </c>
      <c r="AN6952">
        <v>1.0000000141505001</v>
      </c>
    </row>
    <row r="6953" spans="1:40" x14ac:dyDescent="0.25">
      <c r="A6953" t="str">
        <f>"20190312155010368"</f>
        <v>20190312155010368</v>
      </c>
      <c r="B6953" t="str">
        <f>"1552377010362432"</f>
        <v>1552377010362432</v>
      </c>
      <c r="C6953" t="s">
        <v>40</v>
      </c>
      <c r="D6953">
        <v>4.7435369999999999</v>
      </c>
      <c r="E6953">
        <v>0.4133213</v>
      </c>
      <c r="F6953" t="s">
        <v>65</v>
      </c>
      <c r="G6953">
        <v>-194.75239999999999</v>
      </c>
      <c r="H6953" s="1">
        <v>-3.2615980000000002E-6</v>
      </c>
      <c r="I6953">
        <v>-48.149679999999996</v>
      </c>
      <c r="J6953">
        <v>-203.5352</v>
      </c>
      <c r="K6953">
        <v>1.1200619999999999</v>
      </c>
      <c r="L6953">
        <v>-57.347110000000001</v>
      </c>
      <c r="M6953">
        <v>0.84081090000000003</v>
      </c>
      <c r="N6953">
        <v>0</v>
      </c>
      <c r="O6953">
        <v>0.54110029999999998</v>
      </c>
      <c r="P6953">
        <v>0.83539739999999996</v>
      </c>
      <c r="Q6953">
        <v>-2.8133740000000001E-2</v>
      </c>
      <c r="R6953">
        <v>0.54892589999999997</v>
      </c>
      <c r="S6953">
        <v>2.1284329999999998</v>
      </c>
      <c r="T6953">
        <v>-0.26827590000000001</v>
      </c>
      <c r="U6953">
        <v>2.2205810000000001</v>
      </c>
      <c r="V6953">
        <v>-9.1976269999999999E-3</v>
      </c>
      <c r="W6953">
        <v>-1.2640220000000001E-2</v>
      </c>
      <c r="X6953">
        <v>0.99987780000000004</v>
      </c>
      <c r="Y6953">
        <v>-0.2334735</v>
      </c>
      <c r="Z6953">
        <v>-3.8421780000000003E-2</v>
      </c>
      <c r="AA6953">
        <v>0.97160380000000002</v>
      </c>
      <c r="AB6953">
        <v>27</v>
      </c>
      <c r="AC6953">
        <v>8.7827999999999999</v>
      </c>
      <c r="AD6953">
        <v>-1.120065261598</v>
      </c>
      <c r="AE6953">
        <v>9.1974300000000007</v>
      </c>
      <c r="AF6953">
        <v>-2.9583446744258302</v>
      </c>
      <c r="AG6953">
        <v>-1.120065261598</v>
      </c>
      <c r="AH6953">
        <v>12.2677746329715</v>
      </c>
      <c r="AI6953">
        <v>95.072120323277005</v>
      </c>
      <c r="AJ6953">
        <v>103.55788979144</v>
      </c>
      <c r="AK6953">
        <v>12.6690427360681</v>
      </c>
      <c r="AL6953">
        <v>90.724250550109801</v>
      </c>
      <c r="AM6953">
        <v>90.527034749063603</v>
      </c>
      <c r="AN6953">
        <v>0.999999993218459</v>
      </c>
    </row>
    <row r="6954" spans="1:40" x14ac:dyDescent="0.25">
      <c r="A6954" t="str">
        <f>"20190312155010379"</f>
        <v>20190312155010379</v>
      </c>
      <c r="B6954" t="str">
        <f>"1552377010372191"</f>
        <v>1552377010372191</v>
      </c>
      <c r="C6954" t="s">
        <v>40</v>
      </c>
      <c r="D6954">
        <v>4.6193710000000001</v>
      </c>
      <c r="E6954">
        <v>0.41179680000000002</v>
      </c>
      <c r="F6954" t="s">
        <v>65</v>
      </c>
      <c r="G6954">
        <v>-194.89930000000001</v>
      </c>
      <c r="H6954" s="1">
        <v>-3.2271E-6</v>
      </c>
      <c r="I6954">
        <v>-48.263159999999999</v>
      </c>
      <c r="J6954">
        <v>-203.4299</v>
      </c>
      <c r="K6954">
        <v>1.12005</v>
      </c>
      <c r="L6954">
        <v>-57.270600000000002</v>
      </c>
      <c r="M6954">
        <v>0.83692160000000004</v>
      </c>
      <c r="N6954">
        <v>0</v>
      </c>
      <c r="O6954">
        <v>0.54709659999999904</v>
      </c>
      <c r="P6954">
        <v>0.83168799999999898</v>
      </c>
      <c r="Q6954">
        <v>-2.883525E-2</v>
      </c>
      <c r="R6954">
        <v>0.55449399999999904</v>
      </c>
      <c r="S6954">
        <v>2.117966</v>
      </c>
      <c r="T6954">
        <v>-0.27469690000000002</v>
      </c>
      <c r="U6954">
        <v>2.2278440000000002</v>
      </c>
      <c r="V6954">
        <v>-8.7260150000000002E-3</v>
      </c>
      <c r="W6954">
        <v>-1.332878E-2</v>
      </c>
      <c r="X6954">
        <v>0.99987309999999996</v>
      </c>
      <c r="Y6954">
        <v>-0.2305673</v>
      </c>
      <c r="Z6954">
        <v>-4.0049729999999999E-2</v>
      </c>
      <c r="AA6954">
        <v>0.97223190000000004</v>
      </c>
      <c r="AB6954">
        <v>27</v>
      </c>
      <c r="AC6954">
        <v>8.5305999999999909</v>
      </c>
      <c r="AD6954">
        <v>-1.1200532271000001</v>
      </c>
      <c r="AE6954">
        <v>9.0074400000000008</v>
      </c>
      <c r="AF6954">
        <v>-2.8485947043239399</v>
      </c>
      <c r="AG6954">
        <v>-1.1200532271000001</v>
      </c>
      <c r="AH6954">
        <v>11.971296049886501</v>
      </c>
      <c r="AI6954">
        <v>95.200743310581203</v>
      </c>
      <c r="AJ6954">
        <v>103.384734776842</v>
      </c>
      <c r="AK6954">
        <v>12.3564129153678</v>
      </c>
      <c r="AL6954">
        <v>90.763705448013596</v>
      </c>
      <c r="AM6954">
        <v>90.5000145910399</v>
      </c>
      <c r="AN6954">
        <v>1.00000000790883</v>
      </c>
    </row>
    <row r="6955" spans="1:40" x14ac:dyDescent="0.25">
      <c r="A6955" t="str">
        <f>"20190312155010390"</f>
        <v>20190312155010390</v>
      </c>
      <c r="B6955" t="str">
        <f>"1552377010382927"</f>
        <v>1552377010382927</v>
      </c>
      <c r="C6955" t="s">
        <v>40</v>
      </c>
      <c r="D6955">
        <v>4.6054240000000002</v>
      </c>
      <c r="E6955">
        <v>0.4089622</v>
      </c>
      <c r="F6955" t="s">
        <v>65</v>
      </c>
      <c r="G6955">
        <v>-194.7724</v>
      </c>
      <c r="H6955" s="1">
        <v>-3.3719799999999999E-6</v>
      </c>
      <c r="I6955">
        <v>-47.970730000000003</v>
      </c>
      <c r="J6955">
        <v>-203.32480000000001</v>
      </c>
      <c r="K6955">
        <v>1.1200369999999999</v>
      </c>
      <c r="L6955">
        <v>-57.193269999999998</v>
      </c>
      <c r="M6955">
        <v>0.83298090000000002</v>
      </c>
      <c r="N6955">
        <v>0</v>
      </c>
      <c r="O6955">
        <v>0.55307799999999996</v>
      </c>
      <c r="P6955">
        <v>0.82785239999999904</v>
      </c>
      <c r="Q6955">
        <v>-2.9453050000000001E-2</v>
      </c>
      <c r="R6955">
        <v>0.56017240000000001</v>
      </c>
      <c r="S6955">
        <v>2.0963590000000001</v>
      </c>
      <c r="T6955">
        <v>-0.27121600000000001</v>
      </c>
      <c r="U6955">
        <v>2.2519230000000001</v>
      </c>
      <c r="V6955">
        <v>-8.4026880000000002E-3</v>
      </c>
      <c r="W6955">
        <v>-1.393761E-2</v>
      </c>
      <c r="X6955">
        <v>0.99986759999999997</v>
      </c>
      <c r="Y6955">
        <v>-0.23377000000000001</v>
      </c>
      <c r="Z6955">
        <v>-3.9953559999999999E-2</v>
      </c>
      <c r="AA6955">
        <v>0.97147070000000002</v>
      </c>
      <c r="AB6955">
        <v>27</v>
      </c>
      <c r="AC6955">
        <v>8.5524000000000004</v>
      </c>
      <c r="AD6955">
        <v>-1.1200403719800001</v>
      </c>
      <c r="AE6955">
        <v>9.2225400000000004</v>
      </c>
      <c r="AF6955">
        <v>-2.9291928169003798</v>
      </c>
      <c r="AG6955">
        <v>-1.1200403719800001</v>
      </c>
      <c r="AH6955">
        <v>12.130093554884301</v>
      </c>
      <c r="AI6955">
        <v>95.128883608981596</v>
      </c>
      <c r="AJ6955">
        <v>103.575965285417</v>
      </c>
      <c r="AK6955">
        <v>12.52891977162</v>
      </c>
      <c r="AL6955">
        <v>90.798592054456194</v>
      </c>
      <c r="AM6955">
        <v>90.481490975166494</v>
      </c>
      <c r="AN6955">
        <v>1.0000000398339399</v>
      </c>
    </row>
    <row r="6956" spans="1:40" x14ac:dyDescent="0.25">
      <c r="A6956" t="str">
        <f>"20190312155010401"</f>
        <v>20190312155010401</v>
      </c>
      <c r="B6956" t="str">
        <f>"1552377010392688"</f>
        <v>1552377010392688</v>
      </c>
      <c r="C6956" t="s">
        <v>40</v>
      </c>
      <c r="D6956">
        <v>4.6082150000000004</v>
      </c>
      <c r="E6956">
        <v>0.4089622</v>
      </c>
      <c r="F6956" t="s">
        <v>65</v>
      </c>
      <c r="G6956">
        <v>-194.8304</v>
      </c>
      <c r="H6956" s="1">
        <v>-3.4802990000000001E-6</v>
      </c>
      <c r="I6956">
        <v>-47.807679999999998</v>
      </c>
      <c r="J6956">
        <v>-203.2242</v>
      </c>
      <c r="K6956">
        <v>1.1200209999999999</v>
      </c>
      <c r="L6956">
        <v>-57.118259999999999</v>
      </c>
      <c r="M6956">
        <v>0.82914909999999997</v>
      </c>
      <c r="N6956">
        <v>0</v>
      </c>
      <c r="O6956">
        <v>0.55880609999999997</v>
      </c>
      <c r="P6956">
        <v>0.82414539999999903</v>
      </c>
      <c r="Q6956">
        <v>-2.9738830000000001E-2</v>
      </c>
      <c r="R6956">
        <v>0.56559709999999996</v>
      </c>
      <c r="S6956">
        <v>2.067993</v>
      </c>
      <c r="T6956">
        <v>-0.27267999999999998</v>
      </c>
      <c r="U6956">
        <v>2.2849729999999999</v>
      </c>
      <c r="V6956">
        <v>-8.0770189999999995E-3</v>
      </c>
      <c r="W6956">
        <v>-1.42145E-2</v>
      </c>
      <c r="X6956">
        <v>0.99986640000000004</v>
      </c>
      <c r="Y6956">
        <v>-0.24071119999999999</v>
      </c>
      <c r="Z6956">
        <v>-4.0380989999999999E-2</v>
      </c>
      <c r="AA6956">
        <v>0.96975639999999996</v>
      </c>
      <c r="AB6956">
        <v>26</v>
      </c>
      <c r="AC6956">
        <v>8.3937999999999899</v>
      </c>
      <c r="AD6956">
        <v>-1.120024480299</v>
      </c>
      <c r="AE6956">
        <v>9.3105799999999999</v>
      </c>
      <c r="AF6956">
        <v>-3.0057328959354899</v>
      </c>
      <c r="AG6956">
        <v>-1.120024480299</v>
      </c>
      <c r="AH6956">
        <v>12.067690931159801</v>
      </c>
      <c r="AI6956">
        <v>95.146192609958504</v>
      </c>
      <c r="AJ6956">
        <v>103.986229890196</v>
      </c>
      <c r="AK6956">
        <v>12.4867149197927</v>
      </c>
      <c r="AL6956">
        <v>90.814458242592195</v>
      </c>
      <c r="AM6956">
        <v>90.462830868024795</v>
      </c>
      <c r="AN6956">
        <v>1.00000005404756</v>
      </c>
    </row>
    <row r="6957" spans="1:40" x14ac:dyDescent="0.25">
      <c r="A6957" t="str">
        <f>"20190312155010412"</f>
        <v>20190312155010412</v>
      </c>
      <c r="B6957" t="str">
        <f>"1552377010402448"</f>
        <v>1552377010402448</v>
      </c>
      <c r="C6957" t="s">
        <v>40</v>
      </c>
      <c r="D6957">
        <v>4.6287279999999997</v>
      </c>
      <c r="E6957">
        <v>0.37477739999999998</v>
      </c>
      <c r="F6957" t="s">
        <v>65</v>
      </c>
      <c r="G6957">
        <v>-194.81110000000001</v>
      </c>
      <c r="H6957" s="1">
        <v>-3.5325699999999901E-6</v>
      </c>
      <c r="I6957">
        <v>-47.696959999999997</v>
      </c>
      <c r="J6957">
        <v>-203.12180000000001</v>
      </c>
      <c r="K6957">
        <v>1.1200079999999999</v>
      </c>
      <c r="L6957">
        <v>-57.040559999999999</v>
      </c>
      <c r="M6957">
        <v>0.82518369999999996</v>
      </c>
      <c r="N6957">
        <v>0</v>
      </c>
      <c r="O6957">
        <v>0.56464530000000002</v>
      </c>
      <c r="P6957">
        <v>0.82017390000000001</v>
      </c>
      <c r="Q6957">
        <v>-3.0274410000000002E-2</v>
      </c>
      <c r="R6957">
        <v>0.57131279999999995</v>
      </c>
      <c r="S6957">
        <v>2.0527190000000002</v>
      </c>
      <c r="T6957">
        <v>-0.2732754</v>
      </c>
      <c r="U6957">
        <v>2.2987060000000001</v>
      </c>
      <c r="V6957">
        <v>-7.967778E-3</v>
      </c>
      <c r="W6957">
        <v>-1.474723E-2</v>
      </c>
      <c r="X6957">
        <v>0.99985950000000001</v>
      </c>
      <c r="Y6957">
        <v>-0.240344</v>
      </c>
      <c r="Z6957">
        <v>-4.1041439999999998E-2</v>
      </c>
      <c r="AA6957">
        <v>0.96981980000000001</v>
      </c>
      <c r="AB6957">
        <v>26</v>
      </c>
      <c r="AC6957">
        <v>8.31069999999999</v>
      </c>
      <c r="AD6957">
        <v>-1.12001153257</v>
      </c>
      <c r="AE6957">
        <v>9.3436000000000003</v>
      </c>
      <c r="AF6957">
        <v>-2.9939444676496101</v>
      </c>
      <c r="AG6957">
        <v>-1.12001153257</v>
      </c>
      <c r="AH6957">
        <v>12.038600837251201</v>
      </c>
      <c r="AI6957">
        <v>95.158955332002606</v>
      </c>
      <c r="AJ6957">
        <v>103.965869952665</v>
      </c>
      <c r="AK6957">
        <v>12.455763301665799</v>
      </c>
      <c r="AL6957">
        <v>90.844984674292604</v>
      </c>
      <c r="AM6957">
        <v>90.456574537073394</v>
      </c>
      <c r="AN6957">
        <v>0.99999999300958997</v>
      </c>
    </row>
    <row r="6958" spans="1:40" x14ac:dyDescent="0.25">
      <c r="A6958" t="str">
        <f>"20190312155010423"</f>
        <v>20190312155010423</v>
      </c>
      <c r="B6958" t="str">
        <f>"1552377010412210"</f>
        <v>1552377010412210</v>
      </c>
      <c r="C6958" t="s">
        <v>40</v>
      </c>
      <c r="D6958">
        <v>4.8856630000000001</v>
      </c>
      <c r="E6958">
        <v>0.3752163</v>
      </c>
      <c r="F6958" t="s">
        <v>65</v>
      </c>
      <c r="G6958">
        <v>-196.01740000000001</v>
      </c>
      <c r="H6958" s="1">
        <v>-3.8709060000000002E-6</v>
      </c>
      <c r="I6958">
        <v>-47.451369999999997</v>
      </c>
      <c r="J6958">
        <v>-203.01240000000001</v>
      </c>
      <c r="K6958">
        <v>1.1199939999999999</v>
      </c>
      <c r="L6958">
        <v>-56.95673</v>
      </c>
      <c r="M6958">
        <v>0.82088359999999905</v>
      </c>
      <c r="N6958">
        <v>0</v>
      </c>
      <c r="O6958">
        <v>0.57087889999999997</v>
      </c>
      <c r="P6958">
        <v>0.81597410000000004</v>
      </c>
      <c r="Q6958">
        <v>-3.028144E-2</v>
      </c>
      <c r="R6958">
        <v>0.57729490000000006</v>
      </c>
      <c r="S6958">
        <v>1.8796079999999999</v>
      </c>
      <c r="T6958">
        <v>-0.29631869999999999</v>
      </c>
      <c r="U6958">
        <v>2.5369869999999999</v>
      </c>
      <c r="V6958">
        <v>-7.7074609999999997E-3</v>
      </c>
      <c r="W6958">
        <v>-1.4747379999999999E-2</v>
      </c>
      <c r="X6958">
        <v>0.99986149999999996</v>
      </c>
      <c r="Y6958">
        <v>-0.32048409999999999</v>
      </c>
      <c r="Z6958">
        <v>-4.078085E-2</v>
      </c>
      <c r="AA6958">
        <v>0.94637570000000004</v>
      </c>
      <c r="AB6958">
        <v>26</v>
      </c>
      <c r="AC6958">
        <v>6.9950000000000001</v>
      </c>
      <c r="AD6958">
        <v>-1.1199978709059999</v>
      </c>
      <c r="AE6958">
        <v>9.5053599999999996</v>
      </c>
      <c r="AF6958">
        <v>-3.7759606352611299</v>
      </c>
      <c r="AG6958">
        <v>-1.1199978709059999</v>
      </c>
      <c r="AH6958">
        <v>11.070172264196099</v>
      </c>
      <c r="AI6958">
        <v>95.469708673328199</v>
      </c>
      <c r="AJ6958">
        <v>108.83416055884101</v>
      </c>
      <c r="AK6958">
        <v>11.7499356555197</v>
      </c>
      <c r="AL6958">
        <v>90.844993301987401</v>
      </c>
      <c r="AM6958">
        <v>90.441657408993805</v>
      </c>
      <c r="AN6958">
        <v>0.99999995467708902</v>
      </c>
    </row>
    <row r="6959" spans="1:40" x14ac:dyDescent="0.25">
      <c r="A6959" t="str">
        <f>"20190312155010435"</f>
        <v>20190312155010435</v>
      </c>
      <c r="B6959" t="str">
        <f>"1552377010432704"</f>
        <v>1552377010432704</v>
      </c>
      <c r="C6959" t="s">
        <v>40</v>
      </c>
      <c r="D6959">
        <v>4.4918329999999997</v>
      </c>
      <c r="E6959">
        <v>0.37618479999999999</v>
      </c>
      <c r="F6959" t="s">
        <v>65</v>
      </c>
      <c r="G6959">
        <v>-195.73679999999999</v>
      </c>
      <c r="H6959" s="1">
        <v>-4.0431089999999999E-6</v>
      </c>
      <c r="I6959">
        <v>-47.009900000000002</v>
      </c>
      <c r="J6959">
        <v>-202.91130000000001</v>
      </c>
      <c r="K6959">
        <v>1.11998</v>
      </c>
      <c r="L6959">
        <v>-56.87735</v>
      </c>
      <c r="M6959">
        <v>0.81683119999999998</v>
      </c>
      <c r="N6959">
        <v>0</v>
      </c>
      <c r="O6959">
        <v>0.57666219999999901</v>
      </c>
      <c r="P6959">
        <v>0.81196729999999995</v>
      </c>
      <c r="Q6959">
        <v>-3.0356899999999999E-2</v>
      </c>
      <c r="R6959">
        <v>0.58291309999999996</v>
      </c>
      <c r="S6959">
        <v>1.8634949999999999</v>
      </c>
      <c r="T6959">
        <v>-0.2868637</v>
      </c>
      <c r="U6959">
        <v>2.5476679999999998</v>
      </c>
      <c r="V6959">
        <v>-7.5472569999999999E-3</v>
      </c>
      <c r="W6959">
        <v>-1.481915E-2</v>
      </c>
      <c r="X6959">
        <v>0.99986169999999996</v>
      </c>
      <c r="Y6959">
        <v>-0.31955709999999998</v>
      </c>
      <c r="Z6959">
        <v>-4.011998E-2</v>
      </c>
      <c r="AA6959">
        <v>0.94671729999999998</v>
      </c>
      <c r="AB6959">
        <v>26</v>
      </c>
      <c r="AC6959">
        <v>7.1745000000000196</v>
      </c>
      <c r="AD6959">
        <v>-1.119984043109</v>
      </c>
      <c r="AE6959">
        <v>9.8674499999999892</v>
      </c>
      <c r="AF6959">
        <v>-3.8904762199628999</v>
      </c>
      <c r="AG6959">
        <v>-1.119984043109</v>
      </c>
      <c r="AH6959">
        <v>11.455428722594499</v>
      </c>
      <c r="AI6959">
        <v>95.289117862085504</v>
      </c>
      <c r="AJ6959">
        <v>108.758440736666</v>
      </c>
      <c r="AK6959">
        <v>12.149774347425501</v>
      </c>
      <c r="AL6959">
        <v>90.849105836538996</v>
      </c>
      <c r="AM6959">
        <v>90.432477572173397</v>
      </c>
      <c r="AN6959">
        <v>0.99999999371091797</v>
      </c>
    </row>
    <row r="6960" spans="1:40" x14ac:dyDescent="0.25">
      <c r="A6960" t="str">
        <f>"20190312155010447"</f>
        <v>20190312155010447</v>
      </c>
      <c r="B6960" t="str">
        <f>"1552377010442463"</f>
        <v>1552377010442463</v>
      </c>
      <c r="C6960" t="s">
        <v>40</v>
      </c>
      <c r="D6960">
        <v>4.7427609999999998</v>
      </c>
      <c r="E6960">
        <v>0.3767684</v>
      </c>
      <c r="F6960" t="s">
        <v>65</v>
      </c>
      <c r="G6960">
        <v>-195.46619999999999</v>
      </c>
      <c r="H6960" s="1">
        <v>-4.1999990000000002E-6</v>
      </c>
      <c r="I6960">
        <v>-46.602440000000001</v>
      </c>
      <c r="J6960">
        <v>-202.8091</v>
      </c>
      <c r="K6960">
        <v>1.1199680000000001</v>
      </c>
      <c r="L6960">
        <v>-56.796689999999998</v>
      </c>
      <c r="M6960">
        <v>0.81268469999999904</v>
      </c>
      <c r="N6960">
        <v>0</v>
      </c>
      <c r="O6960">
        <v>0.58249119999999999</v>
      </c>
      <c r="P6960">
        <v>0.80766510000000002</v>
      </c>
      <c r="Q6960">
        <v>-3.0330860000000001E-2</v>
      </c>
      <c r="R6960">
        <v>0.58886090000000002</v>
      </c>
      <c r="S6960">
        <v>1.8506929999999999</v>
      </c>
      <c r="T6960">
        <v>-0.27840579999999998</v>
      </c>
      <c r="U6960">
        <v>2.554138</v>
      </c>
      <c r="V6960">
        <v>-7.7379679999999996E-3</v>
      </c>
      <c r="W6960">
        <v>-1.479805E-2</v>
      </c>
      <c r="X6960">
        <v>0.99986059999999999</v>
      </c>
      <c r="Y6960">
        <v>-0.31700800000000001</v>
      </c>
      <c r="Z6960">
        <v>-3.9642980000000001E-2</v>
      </c>
      <c r="AA6960">
        <v>0.94759400000000005</v>
      </c>
      <c r="AB6960">
        <v>26</v>
      </c>
      <c r="AC6960">
        <v>7.34290000000001</v>
      </c>
      <c r="AD6960">
        <v>-1.119972199999</v>
      </c>
      <c r="AE6960">
        <v>10.19425</v>
      </c>
      <c r="AF6960">
        <v>-3.97643245236844</v>
      </c>
      <c r="AG6960">
        <v>-1.119972199999</v>
      </c>
      <c r="AH6960">
        <v>11.8131203887945</v>
      </c>
      <c r="AI6960">
        <v>95.134439030065096</v>
      </c>
      <c r="AJ6960">
        <v>108.60382606916301</v>
      </c>
      <c r="AK6960">
        <v>12.5146380729597</v>
      </c>
      <c r="AL6960">
        <v>90.847896724658696</v>
      </c>
      <c r="AM6960">
        <v>90.443405868280905</v>
      </c>
      <c r="AN6960">
        <v>1.0000000389324599</v>
      </c>
    </row>
    <row r="6961" spans="1:40" x14ac:dyDescent="0.25">
      <c r="A6961" t="str">
        <f>"20190312155010457"</f>
        <v>20190312155010457</v>
      </c>
      <c r="B6961" t="str">
        <f>"1552377010452223"</f>
        <v>1552377010452223</v>
      </c>
      <c r="C6961" t="s">
        <v>40</v>
      </c>
      <c r="D6961">
        <v>4.4799850000000001</v>
      </c>
      <c r="E6961">
        <v>0.37748130000000002</v>
      </c>
      <c r="F6961" t="s">
        <v>65</v>
      </c>
      <c r="G6961">
        <v>-195.154</v>
      </c>
      <c r="H6961" s="1">
        <v>-4.39617E-6</v>
      </c>
      <c r="I6961">
        <v>-46.102150000000002</v>
      </c>
      <c r="J6961">
        <v>-202.7131</v>
      </c>
      <c r="K6961">
        <v>1.1199520000000001</v>
      </c>
      <c r="L6961">
        <v>-56.719180000000001</v>
      </c>
      <c r="M6961">
        <v>0.80871579999999998</v>
      </c>
      <c r="N6961">
        <v>0</v>
      </c>
      <c r="O6961">
        <v>0.58798919999999999</v>
      </c>
      <c r="P6961">
        <v>0.80366249999999995</v>
      </c>
      <c r="Q6961">
        <v>-3.015845E-2</v>
      </c>
      <c r="R6961">
        <v>0.59432069999999904</v>
      </c>
      <c r="S6961">
        <v>1.835129</v>
      </c>
      <c r="T6961">
        <v>-0.26848549999999999</v>
      </c>
      <c r="U6961">
        <v>2.5637509999999999</v>
      </c>
      <c r="V6961">
        <v>-7.7336969999999899E-3</v>
      </c>
      <c r="W6961">
        <v>-1.4626119999999999E-2</v>
      </c>
      <c r="X6961">
        <v>0.9998631</v>
      </c>
      <c r="Y6961">
        <v>-0.31602960000000002</v>
      </c>
      <c r="Z6961">
        <v>-3.8810919999999999E-2</v>
      </c>
      <c r="AA6961">
        <v>0.9479552</v>
      </c>
      <c r="AB6961">
        <v>26</v>
      </c>
      <c r="AC6961">
        <v>7.5590999999999697</v>
      </c>
      <c r="AD6961">
        <v>-1.1199563961700001</v>
      </c>
      <c r="AE6961">
        <v>10.61703</v>
      </c>
      <c r="AF6961">
        <v>-4.1116417759921298</v>
      </c>
      <c r="AG6961">
        <v>-1.1199563961700001</v>
      </c>
      <c r="AH6961">
        <v>12.2668101533112</v>
      </c>
      <c r="AI6961">
        <v>94.947551749326195</v>
      </c>
      <c r="AJ6961">
        <v>108.53034141023799</v>
      </c>
      <c r="AK6961">
        <v>12.985935921634001</v>
      </c>
      <c r="AL6961">
        <v>90.838044848059596</v>
      </c>
      <c r="AM6961">
        <v>90.443160030528404</v>
      </c>
      <c r="AN6961">
        <v>0.99999997609857505</v>
      </c>
    </row>
    <row r="6962" spans="1:40" x14ac:dyDescent="0.25">
      <c r="A6962" t="str">
        <f>"20190312155010468"</f>
        <v>20190312155010468</v>
      </c>
      <c r="B6962" t="str">
        <f>"1552377010462960"</f>
        <v>1552377010462960</v>
      </c>
      <c r="C6962" t="s">
        <v>40</v>
      </c>
      <c r="D6962">
        <v>4.507098</v>
      </c>
      <c r="E6962">
        <v>0.37844299999999997</v>
      </c>
      <c r="F6962" t="s">
        <v>65</v>
      </c>
      <c r="G6962">
        <v>-195.0291</v>
      </c>
      <c r="H6962" s="1">
        <v>-4.4916350000000002E-6</v>
      </c>
      <c r="I6962">
        <v>-45.868250000000003</v>
      </c>
      <c r="J6962">
        <v>-202.61089999999999</v>
      </c>
      <c r="K6962">
        <v>1.1199399999999999</v>
      </c>
      <c r="L6962">
        <v>-56.635930000000002</v>
      </c>
      <c r="M6962">
        <v>0.80443240000000005</v>
      </c>
      <c r="N6962">
        <v>0</v>
      </c>
      <c r="O6962">
        <v>0.59383599999999903</v>
      </c>
      <c r="P6962">
        <v>0.79915709999999995</v>
      </c>
      <c r="Q6962">
        <v>-3.040549E-2</v>
      </c>
      <c r="R6962">
        <v>0.60035289999999997</v>
      </c>
      <c r="S6962">
        <v>1.8211520000000001</v>
      </c>
      <c r="T6962">
        <v>-0.26543440000000001</v>
      </c>
      <c r="U6962">
        <v>2.5717159999999999</v>
      </c>
      <c r="V6962">
        <v>-8.0116230000000007E-3</v>
      </c>
      <c r="W6962">
        <v>-1.4881E-2</v>
      </c>
      <c r="X6962">
        <v>0.9998572</v>
      </c>
      <c r="Y6962">
        <v>-0.31396980000000002</v>
      </c>
      <c r="Z6962">
        <v>-3.901607E-2</v>
      </c>
      <c r="AA6962">
        <v>0.948631</v>
      </c>
      <c r="AB6962">
        <v>26</v>
      </c>
      <c r="AC6962">
        <v>7.5817999999999799</v>
      </c>
      <c r="AD6962">
        <v>-1.1199444916350001</v>
      </c>
      <c r="AE6962">
        <v>10.76768</v>
      </c>
      <c r="AF6962">
        <v>-4.1301686666382196</v>
      </c>
      <c r="AG6962">
        <v>-1.1199444916350001</v>
      </c>
      <c r="AH6962">
        <v>12.405109155018</v>
      </c>
      <c r="AI6962">
        <v>94.895894764250301</v>
      </c>
      <c r="AJ6962">
        <v>108.41471205716699</v>
      </c>
      <c r="AK6962">
        <v>13.1224731673238</v>
      </c>
      <c r="AL6962">
        <v>90.852649944370697</v>
      </c>
      <c r="AM6962">
        <v>90.459087919115305</v>
      </c>
      <c r="AN6962">
        <v>1.00000002532796</v>
      </c>
    </row>
    <row r="6963" spans="1:40" x14ac:dyDescent="0.25">
      <c r="A6963" t="str">
        <f>"20190312155010481"</f>
        <v>20190312155010481</v>
      </c>
      <c r="B6963" t="str">
        <f>"1552377010472720"</f>
        <v>1552377010472720</v>
      </c>
      <c r="C6963" t="s">
        <v>40</v>
      </c>
      <c r="D6963">
        <v>4.4988630000000001</v>
      </c>
      <c r="E6963">
        <v>0.37943909999999997</v>
      </c>
      <c r="F6963" t="s">
        <v>65</v>
      </c>
      <c r="G6963">
        <v>-194.94069999999999</v>
      </c>
      <c r="H6963" s="1">
        <v>-4.568686E-6</v>
      </c>
      <c r="I6963">
        <v>-45.683880000000002</v>
      </c>
      <c r="J6963">
        <v>-202.505</v>
      </c>
      <c r="K6963">
        <v>1.1199250000000001</v>
      </c>
      <c r="L6963">
        <v>-56.548099999999998</v>
      </c>
      <c r="M6963">
        <v>0.79991749999999995</v>
      </c>
      <c r="N6963">
        <v>0</v>
      </c>
      <c r="O6963">
        <v>0.59990379999999999</v>
      </c>
      <c r="P6963">
        <v>0.79445459999999901</v>
      </c>
      <c r="Q6963">
        <v>-3.0299300000000001E-2</v>
      </c>
      <c r="R6963">
        <v>0.60656730000000003</v>
      </c>
      <c r="S6963">
        <v>1.806335</v>
      </c>
      <c r="T6963">
        <v>-0.26374880000000001</v>
      </c>
      <c r="U6963">
        <v>2.579224</v>
      </c>
      <c r="V6963">
        <v>-8.2466840000000007E-3</v>
      </c>
      <c r="W6963">
        <v>-1.478174E-2</v>
      </c>
      <c r="X6963">
        <v>0.99985670000000004</v>
      </c>
      <c r="Y6963">
        <v>-0.31174869999999999</v>
      </c>
      <c r="Z6963">
        <v>-3.9446269999999999E-2</v>
      </c>
      <c r="AA6963">
        <v>0.94934540000000001</v>
      </c>
      <c r="AB6963">
        <v>26</v>
      </c>
      <c r="AC6963">
        <v>7.5643000000000002</v>
      </c>
      <c r="AD6963">
        <v>-1.119929568686</v>
      </c>
      <c r="AE6963">
        <v>10.8642199999999</v>
      </c>
      <c r="AF6963">
        <v>-4.1236289033973401</v>
      </c>
      <c r="AG6963">
        <v>-1.119929568686</v>
      </c>
      <c r="AH6963">
        <v>12.4805362693162</v>
      </c>
      <c r="AI6963">
        <v>94.870055472637304</v>
      </c>
      <c r="AJ6963">
        <v>108.28380227027699</v>
      </c>
      <c r="AK6963">
        <v>13.1917528456786</v>
      </c>
      <c r="AL6963">
        <v>90.846962191706297</v>
      </c>
      <c r="AM6963">
        <v>90.472557191758099</v>
      </c>
      <c r="AN6963">
        <v>0.99999996408465597</v>
      </c>
    </row>
    <row r="6964" spans="1:40" x14ac:dyDescent="0.25">
      <c r="A6964" t="str">
        <f>"20190312155010493"</f>
        <v>20190312155010493</v>
      </c>
      <c r="B6964" t="str">
        <f>"1552377010482480"</f>
        <v>1552377010482480</v>
      </c>
      <c r="C6964" t="s">
        <v>40</v>
      </c>
      <c r="D6964">
        <v>4.5173819999999996</v>
      </c>
      <c r="E6964">
        <v>0.38030029999999998</v>
      </c>
      <c r="F6964" t="s">
        <v>65</v>
      </c>
      <c r="G6964">
        <v>-194.81370000000001</v>
      </c>
      <c r="H6964" s="1">
        <v>-4.6692000000000001E-6</v>
      </c>
      <c r="I6964">
        <v>-45.439210000000003</v>
      </c>
      <c r="J6964">
        <v>-202.3997</v>
      </c>
      <c r="K6964">
        <v>1.1199129999999999</v>
      </c>
      <c r="L6964">
        <v>-56.459440000000001</v>
      </c>
      <c r="M6964">
        <v>0.7953559</v>
      </c>
      <c r="N6964">
        <v>0</v>
      </c>
      <c r="O6964">
        <v>0.60593869999999905</v>
      </c>
      <c r="P6964">
        <v>0.78974429999999995</v>
      </c>
      <c r="Q6964">
        <v>-3.068945E-2</v>
      </c>
      <c r="R6964">
        <v>0.6126682</v>
      </c>
      <c r="S6964">
        <v>1.7910919999999999</v>
      </c>
      <c r="T6964">
        <v>-0.26080300000000001</v>
      </c>
      <c r="U6964">
        <v>2.5869749999999998</v>
      </c>
      <c r="V6964">
        <v>-8.3829899999999999E-3</v>
      </c>
      <c r="W6964">
        <v>-1.517691E-2</v>
      </c>
      <c r="X6964">
        <v>0.99984969999999995</v>
      </c>
      <c r="Y6964">
        <v>-0.30967270000000002</v>
      </c>
      <c r="Z6964">
        <v>-3.9669259999999998E-2</v>
      </c>
      <c r="AA6964">
        <v>0.95001539999999995</v>
      </c>
      <c r="AB6964">
        <v>26</v>
      </c>
      <c r="AC6964">
        <v>7.5859999999999799</v>
      </c>
      <c r="AD6964">
        <v>-1.1199176691999999</v>
      </c>
      <c r="AE6964">
        <v>11.02023</v>
      </c>
      <c r="AF6964">
        <v>-4.1398611532183498</v>
      </c>
      <c r="AG6964">
        <v>-1.1199176691999999</v>
      </c>
      <c r="AH6964">
        <v>12.624266499882999</v>
      </c>
      <c r="AI6964">
        <v>94.818345075026699</v>
      </c>
      <c r="AJ6964">
        <v>108.15580959738401</v>
      </c>
      <c r="AK6964">
        <v>13.3328455557612</v>
      </c>
      <c r="AL6964">
        <v>90.869606259682996</v>
      </c>
      <c r="AM6964">
        <v>90.480370892353406</v>
      </c>
      <c r="AN6964">
        <v>1.0000000178542801</v>
      </c>
    </row>
    <row r="6965" spans="1:40" x14ac:dyDescent="0.25">
      <c r="A6965" t="str">
        <f>"20190312155010504"</f>
        <v>20190312155010504</v>
      </c>
      <c r="B6965" t="str">
        <f>"1552377010492240"</f>
        <v>1552377010492240</v>
      </c>
      <c r="C6965" t="s">
        <v>40</v>
      </c>
      <c r="D6965">
        <v>4.5005759999999997</v>
      </c>
      <c r="E6965">
        <v>0.3813455</v>
      </c>
      <c r="F6965" t="s">
        <v>65</v>
      </c>
      <c r="G6965">
        <v>-194.77369999999999</v>
      </c>
      <c r="H6965" s="1">
        <v>-4.7243090000000003E-6</v>
      </c>
      <c r="I6965">
        <v>-45.31006</v>
      </c>
      <c r="J6965">
        <v>-202.29730000000001</v>
      </c>
      <c r="K6965">
        <v>1.119899</v>
      </c>
      <c r="L6965">
        <v>-56.372340000000001</v>
      </c>
      <c r="M6965">
        <v>0.7908558</v>
      </c>
      <c r="N6965">
        <v>0</v>
      </c>
      <c r="O6965">
        <v>0.61180049999999997</v>
      </c>
      <c r="P6965">
        <v>0.78509039999999997</v>
      </c>
      <c r="Q6965">
        <v>-3.0856350000000001E-2</v>
      </c>
      <c r="R6965">
        <v>0.61861219999999995</v>
      </c>
      <c r="S6965">
        <v>1.7751619999999999</v>
      </c>
      <c r="T6965">
        <v>-0.26068970000000002</v>
      </c>
      <c r="U6965">
        <v>2.5953059999999999</v>
      </c>
      <c r="V6965">
        <v>-8.5412519999999992E-3</v>
      </c>
      <c r="W6965">
        <v>-1.534922E-2</v>
      </c>
      <c r="X6965">
        <v>0.99984569999999995</v>
      </c>
      <c r="Y6965">
        <v>-0.30805129999999997</v>
      </c>
      <c r="Z6965">
        <v>-4.02799E-2</v>
      </c>
      <c r="AA6965">
        <v>0.95051669999999999</v>
      </c>
      <c r="AB6965">
        <v>26</v>
      </c>
      <c r="AC6965">
        <v>7.5236000000000098</v>
      </c>
      <c r="AD6965">
        <v>-1.119903724309</v>
      </c>
      <c r="AE6965">
        <v>11.062279999999999</v>
      </c>
      <c r="AF6965">
        <v>-4.1173862749657104</v>
      </c>
      <c r="AG6965">
        <v>-1.119903724309</v>
      </c>
      <c r="AH6965">
        <v>12.6310521744055</v>
      </c>
      <c r="AI6965">
        <v>94.818478356786002</v>
      </c>
      <c r="AJ6965">
        <v>108.054587702679</v>
      </c>
      <c r="AK6965">
        <v>13.332311619578601</v>
      </c>
      <c r="AL6965">
        <v>90.879480072002806</v>
      </c>
      <c r="AM6965">
        <v>90.489441308478106</v>
      </c>
      <c r="AN6965">
        <v>0.99999998767441201</v>
      </c>
    </row>
    <row r="6966" spans="1:40" x14ac:dyDescent="0.25">
      <c r="A6966" t="str">
        <f>"20190312155010515"</f>
        <v>20190312155010515</v>
      </c>
      <c r="B6966" t="str">
        <f>"1552377010502976"</f>
        <v>1552377010502976</v>
      </c>
      <c r="C6966" t="s">
        <v>40</v>
      </c>
      <c r="D6966">
        <v>4.4724940000000002</v>
      </c>
      <c r="E6966">
        <v>0.38232890000000003</v>
      </c>
      <c r="F6966" t="s">
        <v>65</v>
      </c>
      <c r="G6966">
        <v>-194.7619</v>
      </c>
      <c r="H6966" s="1">
        <v>-4.7560879999999998E-6</v>
      </c>
      <c r="I6966">
        <v>-45.23733</v>
      </c>
      <c r="J6966">
        <v>-202.20609999999999</v>
      </c>
      <c r="K6966">
        <v>1.1198859999999999</v>
      </c>
      <c r="L6966">
        <v>-56.292819999999899</v>
      </c>
      <c r="M6966">
        <v>0.78676619999999997</v>
      </c>
      <c r="N6966">
        <v>0</v>
      </c>
      <c r="O6966">
        <v>0.61705080000000001</v>
      </c>
      <c r="P6966">
        <v>0.78057270000000001</v>
      </c>
      <c r="Q6966">
        <v>-3.1216020000000001E-2</v>
      </c>
      <c r="R6966">
        <v>0.62428509999999904</v>
      </c>
      <c r="S6966">
        <v>1.7607729999999999</v>
      </c>
      <c r="T6966">
        <v>-0.26168269999999999</v>
      </c>
      <c r="U6966">
        <v>2.6018680000000001</v>
      </c>
      <c r="V6966">
        <v>-9.1319079999999993E-3</v>
      </c>
      <c r="W6966">
        <v>-1.5725309999999999E-2</v>
      </c>
      <c r="X6966">
        <v>0.99983469999999997</v>
      </c>
      <c r="Y6966">
        <v>-0.30645329999999998</v>
      </c>
      <c r="Z6966">
        <v>-4.1012479999999997E-2</v>
      </c>
      <c r="AA6966">
        <v>0.95100180000000001</v>
      </c>
      <c r="AB6966">
        <v>26</v>
      </c>
      <c r="AC6966">
        <v>7.4441999999999897</v>
      </c>
      <c r="AD6966">
        <v>-1.119890756088</v>
      </c>
      <c r="AE6966">
        <v>11.055489999999899</v>
      </c>
      <c r="AF6966">
        <v>-4.0763643103501996</v>
      </c>
      <c r="AG6966">
        <v>-1.119890756088</v>
      </c>
      <c r="AH6966">
        <v>12.591315724923</v>
      </c>
      <c r="AI6966">
        <v>94.836709424450703</v>
      </c>
      <c r="AJ6966">
        <v>107.93905480496301</v>
      </c>
      <c r="AK6966">
        <v>13.2820229250277</v>
      </c>
      <c r="AL6966">
        <v>90.901030985379606</v>
      </c>
      <c r="AM6966">
        <v>90.523291739274796</v>
      </c>
      <c r="AN6966">
        <v>1.0000000522212</v>
      </c>
    </row>
    <row r="6967" spans="1:40" x14ac:dyDescent="0.25">
      <c r="A6967" t="str">
        <f>"20190312155010536"</f>
        <v>20190312155010536</v>
      </c>
      <c r="B6967" t="str">
        <f>"1552377010532256"</f>
        <v>1552377010532256</v>
      </c>
      <c r="C6967" t="s">
        <v>40</v>
      </c>
      <c r="D6967">
        <v>4.4994050000000003</v>
      </c>
      <c r="E6967">
        <v>0.39784229999999998</v>
      </c>
      <c r="F6967" t="s">
        <v>65</v>
      </c>
      <c r="G6967">
        <v>-194.75069999999999</v>
      </c>
      <c r="H6967" s="1">
        <v>-4.7904690000000003E-6</v>
      </c>
      <c r="I6967">
        <v>-45.159239999999997</v>
      </c>
      <c r="J6967">
        <v>-202.0324</v>
      </c>
      <c r="K6967">
        <v>1.119861</v>
      </c>
      <c r="L6967">
        <v>-56.139310000000002</v>
      </c>
      <c r="M6967">
        <v>0.77883539999999996</v>
      </c>
      <c r="N6967">
        <v>0</v>
      </c>
      <c r="O6967">
        <v>0.62703140000000002</v>
      </c>
      <c r="P6967">
        <v>0.77226660000000003</v>
      </c>
      <c r="Q6967">
        <v>-3.1265479999999998E-2</v>
      </c>
      <c r="R6967">
        <v>0.6345288</v>
      </c>
      <c r="S6967">
        <v>1.7466889999999999</v>
      </c>
      <c r="T6967">
        <v>-0.26237369999999999</v>
      </c>
      <c r="U6967">
        <v>2.6084290000000001</v>
      </c>
      <c r="V6967">
        <v>-9.5757580000000002E-3</v>
      </c>
      <c r="W6967">
        <v>-1.5788969999999999E-2</v>
      </c>
      <c r="X6967">
        <v>0.99982950000000004</v>
      </c>
      <c r="Y6967">
        <v>-0.2989967</v>
      </c>
      <c r="Z6967">
        <v>-4.2346979999999999E-2</v>
      </c>
      <c r="AA6967">
        <v>0.95331410000000005</v>
      </c>
      <c r="AB6967">
        <v>26</v>
      </c>
      <c r="AC6967">
        <v>7.2816999999999998</v>
      </c>
      <c r="AD6967">
        <v>-1.1198657904689999</v>
      </c>
      <c r="AE6967">
        <v>10.9800699999999</v>
      </c>
      <c r="AF6967">
        <v>-3.9577118283285402</v>
      </c>
      <c r="AG6967">
        <v>-1.1198657904689999</v>
      </c>
      <c r="AH6967">
        <v>12.467571229651099</v>
      </c>
      <c r="AI6967">
        <v>94.893291295904405</v>
      </c>
      <c r="AJ6967">
        <v>107.611545431685</v>
      </c>
      <c r="AK6967">
        <v>13.1285153262347</v>
      </c>
      <c r="AL6967">
        <v>90.904678927512293</v>
      </c>
      <c r="AM6967">
        <v>90.548727302718007</v>
      </c>
      <c r="AN6967">
        <v>1.0000000078925899</v>
      </c>
    </row>
    <row r="6968" spans="1:40" x14ac:dyDescent="0.25">
      <c r="A6968" t="str">
        <f>"20190312155010546"</f>
        <v>20190312155010546</v>
      </c>
      <c r="B6968" t="str">
        <f>"1552377010542992"</f>
        <v>1552377010542992</v>
      </c>
      <c r="C6968" t="s">
        <v>40</v>
      </c>
      <c r="D6968">
        <v>4.4952170000000002</v>
      </c>
      <c r="E6968">
        <v>0.39910839999999997</v>
      </c>
      <c r="F6968" t="s">
        <v>65</v>
      </c>
      <c r="G6968">
        <v>-193.80099999999999</v>
      </c>
      <c r="H6968" s="1">
        <v>-4.933E-6</v>
      </c>
      <c r="I6968">
        <v>-44.49033</v>
      </c>
      <c r="J6968">
        <v>-201.93879999999999</v>
      </c>
      <c r="K6968">
        <v>1.119845</v>
      </c>
      <c r="L6968">
        <v>-56.055300000000003</v>
      </c>
      <c r="M6968">
        <v>0.77448059999999996</v>
      </c>
      <c r="N6968">
        <v>0</v>
      </c>
      <c r="O6968">
        <v>0.63240229999999997</v>
      </c>
      <c r="P6968">
        <v>0.76726619999999901</v>
      </c>
      <c r="Q6968">
        <v>-3.098416E-2</v>
      </c>
      <c r="R6968">
        <v>0.64057989999999998</v>
      </c>
      <c r="S6968">
        <v>1.79158</v>
      </c>
      <c r="T6968">
        <v>-0.2437415</v>
      </c>
      <c r="U6968">
        <v>2.535431</v>
      </c>
      <c r="V6968">
        <v>-1.05212E-2</v>
      </c>
      <c r="W6968">
        <v>-1.5532570000000001E-2</v>
      </c>
      <c r="X6968">
        <v>0.99982400000000005</v>
      </c>
      <c r="Y6968">
        <v>-0.26830039999999999</v>
      </c>
      <c r="Z6968">
        <v>-4.1255279999999998E-2</v>
      </c>
      <c r="AA6968">
        <v>0.96245150000000002</v>
      </c>
      <c r="AB6968">
        <v>26</v>
      </c>
      <c r="AC6968">
        <v>8.1377999999999897</v>
      </c>
      <c r="AD6968">
        <v>-1.119849933</v>
      </c>
      <c r="AE6968">
        <v>11.564970000000001</v>
      </c>
      <c r="AF6968">
        <v>-3.7872021453351801</v>
      </c>
      <c r="AG6968">
        <v>-1.119849933</v>
      </c>
      <c r="AH6968">
        <v>13.533096089636301</v>
      </c>
      <c r="AI6968">
        <v>94.556126839603607</v>
      </c>
      <c r="AJ6968">
        <v>105.634139977168</v>
      </c>
      <c r="AK6968">
        <v>14.0975761651924</v>
      </c>
      <c r="AL6968">
        <v>90.889986500530199</v>
      </c>
      <c r="AM6968">
        <v>90.602904217004905</v>
      </c>
      <c r="AN6968">
        <v>0.99999999367812198</v>
      </c>
    </row>
    <row r="6969" spans="1:40" x14ac:dyDescent="0.25">
      <c r="A6969" t="str">
        <f>"20190312155010557"</f>
        <v>20190312155010557</v>
      </c>
      <c r="B6969" t="str">
        <f>"1552377010552752"</f>
        <v>1552377010552752</v>
      </c>
      <c r="C6969" t="s">
        <v>40</v>
      </c>
      <c r="D6969">
        <v>4.4621829999999996</v>
      </c>
      <c r="E6969">
        <v>0.4001885</v>
      </c>
      <c r="F6969" t="s">
        <v>65</v>
      </c>
      <c r="G6969">
        <v>-193.804</v>
      </c>
      <c r="H6969" s="1">
        <v>-4.9616680000000002E-6</v>
      </c>
      <c r="I6969">
        <v>-44.429920000000003</v>
      </c>
      <c r="J6969">
        <v>-201.84219999999999</v>
      </c>
      <c r="K6969">
        <v>1.119828</v>
      </c>
      <c r="L6969">
        <v>-55.96658</v>
      </c>
      <c r="M6969">
        <v>0.76990170000000002</v>
      </c>
      <c r="N6969">
        <v>0</v>
      </c>
      <c r="O6969">
        <v>0.63796900000000001</v>
      </c>
      <c r="P6969">
        <v>0.76236369999999998</v>
      </c>
      <c r="Q6969">
        <v>-3.0860080000000002E-2</v>
      </c>
      <c r="R6969">
        <v>0.6464126</v>
      </c>
      <c r="S6969">
        <v>1.7783199999999999</v>
      </c>
      <c r="T6969">
        <v>-0.24480640000000001</v>
      </c>
      <c r="U6969">
        <v>2.541382</v>
      </c>
      <c r="V6969">
        <v>-1.0938379999999999E-2</v>
      </c>
      <c r="W6969">
        <v>-1.542104E-2</v>
      </c>
      <c r="X6969">
        <v>0.99982119999999997</v>
      </c>
      <c r="Y6969">
        <v>-0.26580340000000002</v>
      </c>
      <c r="Z6969">
        <v>-4.203863E-2</v>
      </c>
      <c r="AA6969">
        <v>0.96311029999999997</v>
      </c>
      <c r="AB6969">
        <v>26</v>
      </c>
      <c r="AC6969">
        <v>8.0381999999999891</v>
      </c>
      <c r="AD6969">
        <v>-1.1198329616680001</v>
      </c>
      <c r="AE6969">
        <v>11.536659999999999</v>
      </c>
      <c r="AF6969">
        <v>-3.7307715925770402</v>
      </c>
      <c r="AG6969">
        <v>-1.1198329616680001</v>
      </c>
      <c r="AH6969">
        <v>13.4649224598319</v>
      </c>
      <c r="AI6969">
        <v>94.582297584630993</v>
      </c>
      <c r="AJ6969">
        <v>105.48663628234701</v>
      </c>
      <c r="AK6969">
        <v>14.0170189194173</v>
      </c>
      <c r="AL6969">
        <v>90.883595580366304</v>
      </c>
      <c r="AM6969">
        <v>90.626810079789607</v>
      </c>
      <c r="AN6969">
        <v>0.99999994430057104</v>
      </c>
    </row>
    <row r="6970" spans="1:40" x14ac:dyDescent="0.25">
      <c r="A6970" t="str">
        <f>"20190312155010569"</f>
        <v>20190312155010569</v>
      </c>
      <c r="B6970" t="str">
        <f>"1552377010562512"</f>
        <v>1552377010562512</v>
      </c>
      <c r="C6970" t="s">
        <v>40</v>
      </c>
      <c r="D6970">
        <v>4.4822329999999999</v>
      </c>
      <c r="E6970">
        <v>0.40094750000000001</v>
      </c>
      <c r="F6970" t="s">
        <v>65</v>
      </c>
      <c r="G6970">
        <v>-193.6644</v>
      </c>
      <c r="H6970" s="1">
        <v>-5.0636570000000002E-6</v>
      </c>
      <c r="I6970">
        <v>-44.157649999999997</v>
      </c>
      <c r="J6970">
        <v>-201.7457</v>
      </c>
      <c r="K6970">
        <v>1.1198090000000001</v>
      </c>
      <c r="L6970">
        <v>-55.877200000000002</v>
      </c>
      <c r="M6970">
        <v>0.76527009999999995</v>
      </c>
      <c r="N6970">
        <v>0</v>
      </c>
      <c r="O6970">
        <v>0.64351749999999996</v>
      </c>
      <c r="P6970">
        <v>0.7573299</v>
      </c>
      <c r="Q6970">
        <v>-3.080196E-2</v>
      </c>
      <c r="R6970">
        <v>0.65230580000000005</v>
      </c>
      <c r="S6970">
        <v>1.7646790000000001</v>
      </c>
      <c r="T6970">
        <v>-0.24164859999999999</v>
      </c>
      <c r="U6970">
        <v>2.5482480000000001</v>
      </c>
      <c r="V6970">
        <v>-1.146615E-2</v>
      </c>
      <c r="W6970">
        <v>-1.5378299999999999E-2</v>
      </c>
      <c r="X6970">
        <v>0.99981600000000004</v>
      </c>
      <c r="Y6970">
        <v>-0.26352700000000001</v>
      </c>
      <c r="Z6970">
        <v>-4.2079020000000002E-2</v>
      </c>
      <c r="AA6970">
        <v>0.96373390000000003</v>
      </c>
      <c r="AB6970">
        <v>26</v>
      </c>
      <c r="AC6970">
        <v>8.0812999999999899</v>
      </c>
      <c r="AD6970">
        <v>-1.119814063657</v>
      </c>
      <c r="AE6970">
        <v>11.71955</v>
      </c>
      <c r="AF6970">
        <v>-3.7454525086044801</v>
      </c>
      <c r="AG6970">
        <v>-1.119814063657</v>
      </c>
      <c r="AH6970">
        <v>13.643385497003401</v>
      </c>
      <c r="AI6970">
        <v>94.5254753334074</v>
      </c>
      <c r="AJ6970">
        <v>105.350954368724</v>
      </c>
      <c r="AK6970">
        <v>14.192405217270901</v>
      </c>
      <c r="AL6970">
        <v>90.881146419742805</v>
      </c>
      <c r="AM6970">
        <v>90.657054101059899</v>
      </c>
      <c r="AN6970">
        <v>0.99999999928135597</v>
      </c>
    </row>
    <row r="6971" spans="1:40" x14ac:dyDescent="0.25">
      <c r="A6971" t="str">
        <f>"20190312155010579"</f>
        <v>20190312155010579</v>
      </c>
      <c r="B6971" t="str">
        <f>"1552377010572272"</f>
        <v>1552377010572272</v>
      </c>
      <c r="C6971" t="s">
        <v>40</v>
      </c>
      <c r="D6971">
        <v>4.4757239999999996</v>
      </c>
      <c r="E6971">
        <v>0.40177610000000002</v>
      </c>
      <c r="F6971" t="s">
        <v>65</v>
      </c>
      <c r="G6971">
        <v>-193.6437</v>
      </c>
      <c r="H6971" s="1">
        <v>-5.1191590000000004E-6</v>
      </c>
      <c r="I6971">
        <v>-44.030569999999997</v>
      </c>
      <c r="J6971">
        <v>-201.6585</v>
      </c>
      <c r="K6971">
        <v>1.1197889999999999</v>
      </c>
      <c r="L6971">
        <v>-55.795070000000003</v>
      </c>
      <c r="M6971">
        <v>0.76101859999999999</v>
      </c>
      <c r="N6971">
        <v>0</v>
      </c>
      <c r="O6971">
        <v>0.6485398</v>
      </c>
      <c r="P6971">
        <v>0.75272689999999998</v>
      </c>
      <c r="Q6971">
        <v>-3.0816610000000001E-2</v>
      </c>
      <c r="R6971">
        <v>0.65761139999999996</v>
      </c>
      <c r="S6971">
        <v>1.7488859999999999</v>
      </c>
      <c r="T6971">
        <v>-0.2417212</v>
      </c>
      <c r="U6971">
        <v>2.5571899999999999</v>
      </c>
      <c r="V6971">
        <v>-1.191239E-2</v>
      </c>
      <c r="W6971">
        <v>-1.54065E-2</v>
      </c>
      <c r="X6971">
        <v>0.99981030000000004</v>
      </c>
      <c r="Y6971">
        <v>-0.26281280000000001</v>
      </c>
      <c r="Z6971">
        <v>-4.2570400000000001E-2</v>
      </c>
      <c r="AA6971">
        <v>0.96390719999999996</v>
      </c>
      <c r="AB6971">
        <v>26</v>
      </c>
      <c r="AC6971">
        <v>8.0147999999999993</v>
      </c>
      <c r="AD6971">
        <v>-1.119794119159</v>
      </c>
      <c r="AE6971">
        <v>11.7644999999999</v>
      </c>
      <c r="AF6971">
        <v>-3.73245361315628</v>
      </c>
      <c r="AG6971">
        <v>-1.119794119159</v>
      </c>
      <c r="AH6971">
        <v>13.646409018683499</v>
      </c>
      <c r="AI6971">
        <v>94.525560476437406</v>
      </c>
      <c r="AJ6971">
        <v>105.296947438769</v>
      </c>
      <c r="AK6971">
        <v>14.191885989849</v>
      </c>
      <c r="AL6971">
        <v>90.882762395115094</v>
      </c>
      <c r="AM6971">
        <v>90.682626870930406</v>
      </c>
      <c r="AN6971">
        <v>0.99999995063192504</v>
      </c>
    </row>
    <row r="6972" spans="1:40" x14ac:dyDescent="0.25">
      <c r="A6972" t="str">
        <f>"20190312155010590"</f>
        <v>20190312155010590</v>
      </c>
      <c r="B6972" t="str">
        <f>"1552377010583007"</f>
        <v>1552377010583007</v>
      </c>
      <c r="C6972" t="s">
        <v>40</v>
      </c>
      <c r="D6972">
        <v>4.4614330000000004</v>
      </c>
      <c r="E6972">
        <v>0.40177610000000002</v>
      </c>
      <c r="F6972" t="s">
        <v>65</v>
      </c>
      <c r="G6972">
        <v>-193.6395</v>
      </c>
      <c r="H6972" s="1">
        <v>-5.1591450000000001E-6</v>
      </c>
      <c r="I6972">
        <v>-43.94314</v>
      </c>
      <c r="J6972">
        <v>-201.5694</v>
      </c>
      <c r="K6972">
        <v>1.119766</v>
      </c>
      <c r="L6972">
        <v>-55.71011</v>
      </c>
      <c r="M6972">
        <v>0.75661969999999901</v>
      </c>
      <c r="N6972">
        <v>0</v>
      </c>
      <c r="O6972">
        <v>0.65366659999999999</v>
      </c>
      <c r="P6972">
        <v>0.74812780000000001</v>
      </c>
      <c r="Q6972">
        <v>-3.1336839999999998E-2</v>
      </c>
      <c r="R6972">
        <v>0.66281429999999997</v>
      </c>
      <c r="S6972">
        <v>1.7351380000000001</v>
      </c>
      <c r="T6972">
        <v>-0.2423004</v>
      </c>
      <c r="U6972">
        <v>2.564514</v>
      </c>
      <c r="V6972">
        <v>-1.2091060000000001E-2</v>
      </c>
      <c r="W6972">
        <v>-1.5934469999999999E-2</v>
      </c>
      <c r="X6972">
        <v>0.99979989999999996</v>
      </c>
      <c r="Y6972">
        <v>-0.26113019999999998</v>
      </c>
      <c r="Z6972">
        <v>-4.3193200000000001E-2</v>
      </c>
      <c r="AA6972">
        <v>0.96433679999999999</v>
      </c>
      <c r="AB6972">
        <v>26</v>
      </c>
      <c r="AC6972">
        <v>7.9298999999999999</v>
      </c>
      <c r="AD6972">
        <v>-1.1197711591449999</v>
      </c>
      <c r="AE6972">
        <v>11.766970000000001</v>
      </c>
      <c r="AF6972">
        <v>-3.69704568898088</v>
      </c>
      <c r="AG6972">
        <v>-1.1197711591449999</v>
      </c>
      <c r="AH6972">
        <v>13.608534389585699</v>
      </c>
      <c r="AI6972">
        <v>94.540121694105906</v>
      </c>
      <c r="AJ6972">
        <v>105.198779537344</v>
      </c>
      <c r="AK6972">
        <v>14.146174129700301</v>
      </c>
      <c r="AL6972">
        <v>90.913016546377307</v>
      </c>
      <c r="AM6972">
        <v>90.6928715815082</v>
      </c>
      <c r="AN6972">
        <v>0.99999997055305601</v>
      </c>
    </row>
    <row r="6973" spans="1:40" x14ac:dyDescent="0.25">
      <c r="A6973" t="str">
        <f>"20190312155010601"</f>
        <v>20190312155010601</v>
      </c>
      <c r="B6973" t="str">
        <f>"1552377010592768"</f>
        <v>1552377010592768</v>
      </c>
      <c r="C6973" t="s">
        <v>40</v>
      </c>
      <c r="D6973">
        <v>4.4572390000000004</v>
      </c>
      <c r="E6973">
        <v>0.41154489999999999</v>
      </c>
      <c r="F6973" t="s">
        <v>65</v>
      </c>
      <c r="G6973">
        <v>-193.6883</v>
      </c>
      <c r="H6973" s="1">
        <v>-5.1946990000000002E-6</v>
      </c>
      <c r="I6973">
        <v>-43.885449999999999</v>
      </c>
      <c r="J6973">
        <v>-201.47389999999999</v>
      </c>
      <c r="K6973">
        <v>1.1197360000000001</v>
      </c>
      <c r="L6973">
        <v>-55.617919999999998</v>
      </c>
      <c r="M6973">
        <v>0.75184130000000005</v>
      </c>
      <c r="N6973">
        <v>0</v>
      </c>
      <c r="O6973">
        <v>0.659157199999999</v>
      </c>
      <c r="P6973">
        <v>0.74305459999999901</v>
      </c>
      <c r="Q6973">
        <v>-3.168518E-2</v>
      </c>
      <c r="R6973">
        <v>0.66848030000000003</v>
      </c>
      <c r="S6973">
        <v>1.7171780000000001</v>
      </c>
      <c r="T6973">
        <v>-0.24398120000000001</v>
      </c>
      <c r="U6973">
        <v>2.576416</v>
      </c>
      <c r="V6973">
        <v>-1.241279E-2</v>
      </c>
      <c r="W6973">
        <v>-1.6294400000000001E-2</v>
      </c>
      <c r="X6973">
        <v>0.99979019999999996</v>
      </c>
      <c r="Y6973">
        <v>-0.26083430000000002</v>
      </c>
      <c r="Z6973">
        <v>-4.3983670000000002E-2</v>
      </c>
      <c r="AA6973">
        <v>0.96438109999999999</v>
      </c>
      <c r="AB6973">
        <v>26</v>
      </c>
      <c r="AC6973">
        <v>7.7855999999999801</v>
      </c>
      <c r="AD6973">
        <v>-1.1197411946989999</v>
      </c>
      <c r="AE6973">
        <v>11.732469999999999</v>
      </c>
      <c r="AF6973">
        <v>-3.66629053934845</v>
      </c>
      <c r="AG6973">
        <v>-1.1197411946989999</v>
      </c>
      <c r="AH6973">
        <v>13.5033581314124</v>
      </c>
      <c r="AI6973">
        <v>94.575398941755694</v>
      </c>
      <c r="AJ6973">
        <v>105.19015794011899</v>
      </c>
      <c r="AK6973">
        <v>14.0369579142777</v>
      </c>
      <c r="AL6973">
        <v>90.933641654146996</v>
      </c>
      <c r="AM6973">
        <v>90.711313173904202</v>
      </c>
      <c r="AN6973">
        <v>1.00000001442149</v>
      </c>
    </row>
    <row r="6974" spans="1:40" x14ac:dyDescent="0.25">
      <c r="A6974" t="str">
        <f>"20190312155010613"</f>
        <v>20190312155010613</v>
      </c>
      <c r="B6974" t="str">
        <f>"1552377010602528"</f>
        <v>1552377010602528</v>
      </c>
      <c r="C6974" t="s">
        <v>40</v>
      </c>
      <c r="D6974">
        <v>4.4038579999999996</v>
      </c>
      <c r="E6974">
        <v>0.4120356</v>
      </c>
      <c r="F6974" t="s">
        <v>65</v>
      </c>
      <c r="G6974">
        <v>-193.77979999999999</v>
      </c>
      <c r="H6974" s="1">
        <v>-4.9323820000000003E-6</v>
      </c>
      <c r="I6974">
        <v>-44.483539999999998</v>
      </c>
      <c r="J6974">
        <v>-201.38310000000001</v>
      </c>
      <c r="K6974">
        <v>1.119705</v>
      </c>
      <c r="L6974">
        <v>-55.528559999999999</v>
      </c>
      <c r="M6974">
        <v>0.74722670000000002</v>
      </c>
      <c r="N6974">
        <v>0</v>
      </c>
      <c r="O6974">
        <v>0.66438379999999997</v>
      </c>
      <c r="P6974">
        <v>0.73824330000000005</v>
      </c>
      <c r="Q6974">
        <v>-3.2237599999999998E-2</v>
      </c>
      <c r="R6974">
        <v>0.67376369999999997</v>
      </c>
      <c r="S6974">
        <v>1.7492220000000001</v>
      </c>
      <c r="T6974">
        <v>-0.25456699999999999</v>
      </c>
      <c r="U6974">
        <v>2.531342</v>
      </c>
      <c r="V6974">
        <v>-1.2576189999999999E-2</v>
      </c>
      <c r="W6974">
        <v>-1.6855390000000001E-2</v>
      </c>
      <c r="X6974">
        <v>0.99977890000000003</v>
      </c>
      <c r="Y6974">
        <v>-0.23796980000000001</v>
      </c>
      <c r="Z6974">
        <v>-4.7390420000000003E-2</v>
      </c>
      <c r="AA6974">
        <v>0.97011570000000003</v>
      </c>
      <c r="AB6974">
        <v>26</v>
      </c>
      <c r="AC6974">
        <v>7.6033000000000097</v>
      </c>
      <c r="AD6974">
        <v>-1.1197099323819999</v>
      </c>
      <c r="AE6974">
        <v>11.0450199999999</v>
      </c>
      <c r="AF6974">
        <v>-3.1798462230708502</v>
      </c>
      <c r="AG6974">
        <v>-1.1197099323819999</v>
      </c>
      <c r="AH6974">
        <v>12.9309589827742</v>
      </c>
      <c r="AI6974">
        <v>94.806483869966897</v>
      </c>
      <c r="AJ6974">
        <v>103.815452403291</v>
      </c>
      <c r="AK6974">
        <v>13.363190956850101</v>
      </c>
      <c r="AL6974">
        <v>90.965788388615195</v>
      </c>
      <c r="AM6974">
        <v>90.720683951185904</v>
      </c>
      <c r="AN6974">
        <v>1.0000000568060801</v>
      </c>
    </row>
    <row r="6975" spans="1:40" x14ac:dyDescent="0.25">
      <c r="A6975" t="str">
        <f>"20190312155010624"</f>
        <v>20190312155010624</v>
      </c>
      <c r="B6975" t="str">
        <f>"1552377010612288"</f>
        <v>1552377010612288</v>
      </c>
      <c r="C6975" t="s">
        <v>40</v>
      </c>
      <c r="D6975">
        <v>4.4961589999999996</v>
      </c>
      <c r="E6975">
        <v>0.41346559999999999</v>
      </c>
      <c r="F6975" t="s">
        <v>65</v>
      </c>
      <c r="G6975">
        <v>-193.3742</v>
      </c>
      <c r="H6975" s="1">
        <v>-5.1801739999999997E-6</v>
      </c>
      <c r="I6975">
        <v>-43.796610000000001</v>
      </c>
      <c r="J6975">
        <v>-201.29169999999999</v>
      </c>
      <c r="K6975">
        <v>1.1196740000000001</v>
      </c>
      <c r="L6975">
        <v>-55.438110000000002</v>
      </c>
      <c r="M6975">
        <v>0.74253590000000003</v>
      </c>
      <c r="N6975">
        <v>0</v>
      </c>
      <c r="O6975">
        <v>0.66962250000000001</v>
      </c>
      <c r="P6975">
        <v>0.73329769999999905</v>
      </c>
      <c r="Q6975">
        <v>-3.263427E-2</v>
      </c>
      <c r="R6975">
        <v>0.67912419999999996</v>
      </c>
      <c r="S6975">
        <v>1.7343599999999999</v>
      </c>
      <c r="T6975">
        <v>-0.24247929999999901</v>
      </c>
      <c r="U6975">
        <v>2.540619</v>
      </c>
      <c r="V6975">
        <v>-1.283163E-2</v>
      </c>
      <c r="W6975">
        <v>-1.726277E-2</v>
      </c>
      <c r="X6975">
        <v>0.99976869999999995</v>
      </c>
      <c r="Y6975">
        <v>-0.2365872</v>
      </c>
      <c r="Z6975">
        <v>-4.566013E-2</v>
      </c>
      <c r="AA6975">
        <v>0.97053679999999998</v>
      </c>
      <c r="AB6975">
        <v>26</v>
      </c>
      <c r="AC6975">
        <v>7.9174999999999898</v>
      </c>
      <c r="AD6975">
        <v>-1.119679180174</v>
      </c>
      <c r="AE6975">
        <v>11.641499999999899</v>
      </c>
      <c r="AF6975">
        <v>-3.3218960750897799</v>
      </c>
      <c r="AG6975">
        <v>-1.119679180174</v>
      </c>
      <c r="AH6975">
        <v>13.590164145412899</v>
      </c>
      <c r="AI6975">
        <v>94.575784472404294</v>
      </c>
      <c r="AJ6975">
        <v>103.73569523837401</v>
      </c>
      <c r="AK6975">
        <v>14.0350004096715</v>
      </c>
      <c r="AL6975">
        <v>90.989132942175104</v>
      </c>
      <c r="AM6975">
        <v>90.735327959638596</v>
      </c>
      <c r="AN6975">
        <v>1.0000000537281</v>
      </c>
    </row>
    <row r="6976" spans="1:40" x14ac:dyDescent="0.25">
      <c r="A6976" t="str">
        <f>"20190312155010636"</f>
        <v>20190312155010636</v>
      </c>
      <c r="B6976" t="str">
        <f>"1552377010632784"</f>
        <v>1552377010632784</v>
      </c>
      <c r="C6976" t="s">
        <v>40</v>
      </c>
      <c r="D6976">
        <v>4.5087159999999997</v>
      </c>
      <c r="E6976">
        <v>0.4136533</v>
      </c>
      <c r="F6976" t="s">
        <v>65</v>
      </c>
      <c r="G6976">
        <v>-193.33539999999999</v>
      </c>
      <c r="H6976" s="1">
        <v>-5.222668E-6</v>
      </c>
      <c r="I6976">
        <v>-43.690559999999998</v>
      </c>
      <c r="J6976">
        <v>-201.19489999999999</v>
      </c>
      <c r="K6976">
        <v>1.119634</v>
      </c>
      <c r="L6976">
        <v>-55.340029999999999</v>
      </c>
      <c r="M6976">
        <v>0.73748880000000006</v>
      </c>
      <c r="N6976">
        <v>0</v>
      </c>
      <c r="O6976">
        <v>0.67517720000000003</v>
      </c>
      <c r="P6976">
        <v>0.7280605</v>
      </c>
      <c r="Q6976">
        <v>-3.2822369999999997E-2</v>
      </c>
      <c r="R6976">
        <v>0.68472670000000002</v>
      </c>
      <c r="S6976">
        <v>1.723511</v>
      </c>
      <c r="T6976">
        <v>-0.2425493</v>
      </c>
      <c r="U6976">
        <v>2.5448</v>
      </c>
      <c r="V6976">
        <v>-1.299558E-2</v>
      </c>
      <c r="W6976">
        <v>-1.7461170000000002E-2</v>
      </c>
      <c r="X6976">
        <v>0.99976310000000002</v>
      </c>
      <c r="Y6976">
        <v>-0.23288439999999999</v>
      </c>
      <c r="Z6976">
        <v>-4.6309049999999997E-2</v>
      </c>
      <c r="AA6976">
        <v>0.97140119999999996</v>
      </c>
      <c r="AB6976">
        <v>26</v>
      </c>
      <c r="AC6976">
        <v>7.8594999999999899</v>
      </c>
      <c r="AD6976">
        <v>-1.1196392226680001</v>
      </c>
      <c r="AE6976">
        <v>11.649470000000001</v>
      </c>
      <c r="AF6976">
        <v>-3.2644800445046802</v>
      </c>
      <c r="AG6976">
        <v>-1.1196392226680001</v>
      </c>
      <c r="AH6976">
        <v>13.577243832710399</v>
      </c>
      <c r="AI6976">
        <v>94.584132511802807</v>
      </c>
      <c r="AJ6976">
        <v>103.519438519099</v>
      </c>
      <c r="AK6976">
        <v>14.0089961111701</v>
      </c>
      <c r="AL6976">
        <v>91.000502174832107</v>
      </c>
      <c r="AM6976">
        <v>90.744726379562707</v>
      </c>
      <c r="AN6976">
        <v>1.0000000168394501</v>
      </c>
    </row>
    <row r="6977" spans="1:40" x14ac:dyDescent="0.25">
      <c r="A6977" t="str">
        <f>"20190312155010647"</f>
        <v>20190312155010647</v>
      </c>
      <c r="B6977" t="str">
        <f>"1552377010642543"</f>
        <v>1552377010642543</v>
      </c>
      <c r="C6977" t="s">
        <v>40</v>
      </c>
      <c r="D6977">
        <v>4.2767359999999996</v>
      </c>
      <c r="E6977">
        <v>0.39096429999999999</v>
      </c>
      <c r="F6977" t="s">
        <v>65</v>
      </c>
      <c r="G6977">
        <v>-193.70009999999999</v>
      </c>
      <c r="H6977" s="1">
        <v>-5.0972899999999996E-6</v>
      </c>
      <c r="I6977">
        <v>-44.099069999999998</v>
      </c>
      <c r="J6977">
        <v>-201.1095</v>
      </c>
      <c r="K6977">
        <v>1.119599</v>
      </c>
      <c r="L6977">
        <v>-55.252870000000001</v>
      </c>
      <c r="M6977">
        <v>0.7329888</v>
      </c>
      <c r="N6977">
        <v>0</v>
      </c>
      <c r="O6977">
        <v>0.68006</v>
      </c>
      <c r="P6977">
        <v>0.72348400000000002</v>
      </c>
      <c r="Q6977">
        <v>-3.2782249999999999E-2</v>
      </c>
      <c r="R6977">
        <v>0.68956229999999996</v>
      </c>
      <c r="S6977">
        <v>1.7046049999999999</v>
      </c>
      <c r="T6977">
        <v>-0.25464740000000002</v>
      </c>
      <c r="U6977">
        <v>2.55661</v>
      </c>
      <c r="V6977">
        <v>-1.3018470000000001E-2</v>
      </c>
      <c r="W6977">
        <v>-1.74270999999999E-2</v>
      </c>
      <c r="X6977">
        <v>0.99976339999999997</v>
      </c>
      <c r="Y6977">
        <v>-0.23356279999999999</v>
      </c>
      <c r="Z6977">
        <v>-4.904464E-2</v>
      </c>
      <c r="AA6977">
        <v>0.97110399999999997</v>
      </c>
      <c r="AB6977">
        <v>26</v>
      </c>
      <c r="AC6977">
        <v>7.4093999999999998</v>
      </c>
      <c r="AD6977">
        <v>-1.1196040972900001</v>
      </c>
      <c r="AE6977">
        <v>11.153799999999899</v>
      </c>
      <c r="AF6977">
        <v>-3.1153802105572499</v>
      </c>
      <c r="AG6977">
        <v>-1.1196040972900001</v>
      </c>
      <c r="AH6977">
        <v>12.9274857919991</v>
      </c>
      <c r="AI6977">
        <v>94.812731002515605</v>
      </c>
      <c r="AJ6977">
        <v>103.54929363212599</v>
      </c>
      <c r="AK6977">
        <v>13.344624239495801</v>
      </c>
      <c r="AL6977">
        <v>90.998549807250598</v>
      </c>
      <c r="AM6977">
        <v>90.746037744881306</v>
      </c>
      <c r="AN6977">
        <v>1.0000000201775501</v>
      </c>
    </row>
    <row r="6978" spans="1:40" x14ac:dyDescent="0.25">
      <c r="A6978" t="str">
        <f>"20190312155010658"</f>
        <v>20190312155010658</v>
      </c>
      <c r="B6978" t="str">
        <f>"1552377010652303"</f>
        <v>1552377010652303</v>
      </c>
      <c r="C6978" t="s">
        <v>40</v>
      </c>
      <c r="D6978">
        <v>4.4373969999999998</v>
      </c>
      <c r="E6978">
        <v>0.3874319</v>
      </c>
      <c r="F6978" t="s">
        <v>42</v>
      </c>
      <c r="G6978">
        <v>-191.6764</v>
      </c>
      <c r="H6978" s="1">
        <v>-1.052836E-6</v>
      </c>
      <c r="I6978">
        <v>-38.996450000000003</v>
      </c>
      <c r="J6978">
        <v>-201.0215</v>
      </c>
      <c r="K6978">
        <v>1.119556</v>
      </c>
      <c r="L6978">
        <v>-55.161409999999997</v>
      </c>
      <c r="M6978">
        <v>0.72829600000000005</v>
      </c>
      <c r="N6978">
        <v>0</v>
      </c>
      <c r="O6978">
        <v>0.68508349999999996</v>
      </c>
      <c r="P6978">
        <v>0.718727</v>
      </c>
      <c r="Q6978">
        <v>-3.2571259999999998E-2</v>
      </c>
      <c r="R6978">
        <v>0.69452910000000001</v>
      </c>
      <c r="S6978">
        <v>1.565979</v>
      </c>
      <c r="T6978">
        <v>-0.1858649</v>
      </c>
      <c r="U6978">
        <v>2.6987299999999999</v>
      </c>
      <c r="V6978">
        <v>-1.303091E-2</v>
      </c>
      <c r="W6978">
        <v>-1.7223410000000001E-2</v>
      </c>
      <c r="X6978">
        <v>0.99976679999999996</v>
      </c>
      <c r="Y6978">
        <v>-0.28652070000000002</v>
      </c>
      <c r="Z6978">
        <v>-3.4419529999999997E-2</v>
      </c>
      <c r="AA6978">
        <v>0.95745559999999996</v>
      </c>
      <c r="AB6978">
        <v>26</v>
      </c>
      <c r="AC6978">
        <v>9.3451000000000004</v>
      </c>
      <c r="AD6978">
        <v>-1.1195570528359999</v>
      </c>
      <c r="AE6978">
        <v>16.164959999999901</v>
      </c>
      <c r="AF6978">
        <v>-5.3521195902021299</v>
      </c>
      <c r="AG6978">
        <v>-1.1195570528359999</v>
      </c>
      <c r="AH6978">
        <v>17.8184814122747</v>
      </c>
      <c r="AI6978">
        <v>93.443637375239007</v>
      </c>
      <c r="AJ6978">
        <v>106.7186391579</v>
      </c>
      <c r="AK6978">
        <v>18.638585567096001</v>
      </c>
      <c r="AL6978">
        <v>90.986877446368993</v>
      </c>
      <c r="AM6978">
        <v>90.746748012821101</v>
      </c>
      <c r="AN6978">
        <v>1.00000005242484</v>
      </c>
    </row>
    <row r="6979" spans="1:40" x14ac:dyDescent="0.25">
      <c r="A6979" t="str">
        <f>"20190312155010669"</f>
        <v>20190312155010669</v>
      </c>
      <c r="B6979" t="str">
        <f>"1552377010662064"</f>
        <v>1552377010662064</v>
      </c>
      <c r="C6979" t="s">
        <v>40</v>
      </c>
      <c r="D6979">
        <v>4.4163680000000003</v>
      </c>
      <c r="E6979">
        <v>0.38471499999999997</v>
      </c>
      <c r="F6979" t="s">
        <v>42</v>
      </c>
      <c r="G6979">
        <v>-192.39760000000001</v>
      </c>
      <c r="H6979" s="1">
        <v>-9.2235000000000005E-7</v>
      </c>
      <c r="I6979">
        <v>-39.747900000000001</v>
      </c>
      <c r="J6979">
        <v>-200.93680000000001</v>
      </c>
      <c r="K6979">
        <v>1.1195139999999999</v>
      </c>
      <c r="L6979">
        <v>-55.072479999999999</v>
      </c>
      <c r="M6979">
        <v>0.7237304</v>
      </c>
      <c r="N6979">
        <v>0</v>
      </c>
      <c r="O6979">
        <v>0.68990509999999905</v>
      </c>
      <c r="P6979">
        <v>0.71406990000000004</v>
      </c>
      <c r="Q6979">
        <v>-3.231055E-2</v>
      </c>
      <c r="R6979">
        <v>0.69932850000000002</v>
      </c>
      <c r="S6979">
        <v>1.5272829999999999</v>
      </c>
      <c r="T6979">
        <v>-0.19827149999999999</v>
      </c>
      <c r="U6979">
        <v>2.7297060000000002</v>
      </c>
      <c r="V6979">
        <v>-1.308866E-2</v>
      </c>
      <c r="W6979">
        <v>-1.6971190000000001E-2</v>
      </c>
      <c r="X6979">
        <v>0.9997703</v>
      </c>
      <c r="Y6979">
        <v>-0.29519849999999997</v>
      </c>
      <c r="Z6979">
        <v>-3.6754410000000001E-2</v>
      </c>
      <c r="AA6979">
        <v>0.95472869999999999</v>
      </c>
      <c r="AB6979">
        <v>26</v>
      </c>
      <c r="AC6979">
        <v>8.5391999999999904</v>
      </c>
      <c r="AD6979">
        <v>-1.1195149223499901</v>
      </c>
      <c r="AE6979">
        <v>15.324579999999999</v>
      </c>
      <c r="AF6979">
        <v>-5.1791730539706702</v>
      </c>
      <c r="AG6979">
        <v>-1.1195149223499901</v>
      </c>
      <c r="AH6979">
        <v>16.6866850243226</v>
      </c>
      <c r="AI6979">
        <v>93.666212794514095</v>
      </c>
      <c r="AJ6979">
        <v>107.243171528234</v>
      </c>
      <c r="AK6979">
        <v>17.5077869613865</v>
      </c>
      <c r="AL6979">
        <v>90.972424250224705</v>
      </c>
      <c r="AM6979">
        <v>90.750054425737403</v>
      </c>
      <c r="AN6979">
        <v>0.99999999353635005</v>
      </c>
    </row>
    <row r="6980" spans="1:40" x14ac:dyDescent="0.25">
      <c r="A6980" t="str">
        <f>"20190312155010680"</f>
        <v>20190312155010680</v>
      </c>
      <c r="B6980" t="str">
        <f>"1552377010672800"</f>
        <v>1552377010672800</v>
      </c>
      <c r="C6980" t="s">
        <v>40</v>
      </c>
      <c r="D6980">
        <v>4.4151600000000002</v>
      </c>
      <c r="E6980">
        <v>0.3836521</v>
      </c>
      <c r="F6980" t="s">
        <v>42</v>
      </c>
      <c r="G6980">
        <v>-192.84710000000001</v>
      </c>
      <c r="H6980" s="1">
        <v>-8.7004430000000001E-7</v>
      </c>
      <c r="I6980">
        <v>-40.14866</v>
      </c>
      <c r="J6980">
        <v>-200.84989999999999</v>
      </c>
      <c r="K6980">
        <v>1.119469</v>
      </c>
      <c r="L6980">
        <v>-54.979979999999998</v>
      </c>
      <c r="M6980">
        <v>0.71899820000000003</v>
      </c>
      <c r="N6980">
        <v>0</v>
      </c>
      <c r="O6980">
        <v>0.6948358</v>
      </c>
      <c r="P6980">
        <v>0.70940969999999903</v>
      </c>
      <c r="Q6980">
        <v>-3.1875979999999998E-2</v>
      </c>
      <c r="R6980">
        <v>0.70407519999999901</v>
      </c>
      <c r="S6980">
        <v>1.49353</v>
      </c>
      <c r="T6980">
        <v>-0.20668819999999999</v>
      </c>
      <c r="U6980">
        <v>2.75528</v>
      </c>
      <c r="V6980">
        <v>-1.2920940000000001E-2</v>
      </c>
      <c r="W6980">
        <v>-1.6540740000000002E-2</v>
      </c>
      <c r="X6980">
        <v>0.99977969999999905</v>
      </c>
      <c r="Y6980">
        <v>-0.3014732</v>
      </c>
      <c r="Z6980">
        <v>-3.8447189999999999E-2</v>
      </c>
      <c r="AA6980">
        <v>0.95269919999999997</v>
      </c>
      <c r="AB6980">
        <v>26</v>
      </c>
      <c r="AC6980">
        <v>8.0027999999999793</v>
      </c>
      <c r="AD6980">
        <v>-1.1194698700443</v>
      </c>
      <c r="AE6980">
        <v>14.83132</v>
      </c>
      <c r="AF6980">
        <v>-5.08126398581323</v>
      </c>
      <c r="AG6980">
        <v>-1.1194698700443</v>
      </c>
      <c r="AH6980">
        <v>15.9907374416208</v>
      </c>
      <c r="AI6980">
        <v>93.817112577735202</v>
      </c>
      <c r="AJ6980">
        <v>107.628328798447</v>
      </c>
      <c r="AK6980">
        <v>16.8159489892873</v>
      </c>
      <c r="AL6980">
        <v>90.947757814737102</v>
      </c>
      <c r="AM6980">
        <v>90.740437234918005</v>
      </c>
      <c r="AN6980">
        <v>0.99999999765115999</v>
      </c>
    </row>
    <row r="6981" spans="1:40" x14ac:dyDescent="0.25">
      <c r="A6981" t="str">
        <f>"20190312155010694"</f>
        <v>20190312155010694</v>
      </c>
      <c r="B6981" t="str">
        <f>"1552377010682560"</f>
        <v>1552377010682560</v>
      </c>
      <c r="C6981" t="s">
        <v>40</v>
      </c>
      <c r="D6981">
        <v>4.4199890000000002</v>
      </c>
      <c r="E6981">
        <v>0.38300529999999999</v>
      </c>
      <c r="F6981" t="s">
        <v>65</v>
      </c>
      <c r="G6981">
        <v>-193.24520000000001</v>
      </c>
      <c r="H6981" s="1">
        <v>-6.4484259999999901E-6</v>
      </c>
      <c r="I6981">
        <v>-40.632100000000001</v>
      </c>
      <c r="J6981">
        <v>-200.75049999999999</v>
      </c>
      <c r="K6981">
        <v>1.1194189999999999</v>
      </c>
      <c r="L6981">
        <v>-54.8724699999999</v>
      </c>
      <c r="M6981">
        <v>0.71351980000000004</v>
      </c>
      <c r="N6981">
        <v>0</v>
      </c>
      <c r="O6981">
        <v>0.70046059999999999</v>
      </c>
      <c r="P6981">
        <v>0.70391079999999995</v>
      </c>
      <c r="Q6981">
        <v>-3.128015E-2</v>
      </c>
      <c r="R6981">
        <v>0.70959930000000004</v>
      </c>
      <c r="S6981">
        <v>1.468796</v>
      </c>
      <c r="T6981">
        <v>-0.2162201</v>
      </c>
      <c r="U6981">
        <v>2.77121</v>
      </c>
      <c r="V6981">
        <v>-1.2882920000000001E-2</v>
      </c>
      <c r="W6981">
        <v>-1.595419E-2</v>
      </c>
      <c r="X6981">
        <v>0.9997897</v>
      </c>
      <c r="Y6981">
        <v>-0.30294379999999999</v>
      </c>
      <c r="Z6981">
        <v>-4.0590029999999999E-2</v>
      </c>
      <c r="AA6981">
        <v>0.95214370000000004</v>
      </c>
      <c r="AB6981">
        <v>26</v>
      </c>
      <c r="AC6981">
        <v>7.5052999999999699</v>
      </c>
      <c r="AD6981">
        <v>-1.119425448426</v>
      </c>
      <c r="AE6981">
        <v>14.240369999999899</v>
      </c>
      <c r="AF6981">
        <v>-4.8806154118191403</v>
      </c>
      <c r="AG6981">
        <v>-1.119425448426</v>
      </c>
      <c r="AH6981">
        <v>15.258082982390301</v>
      </c>
      <c r="AI6981">
        <v>93.997229887733695</v>
      </c>
      <c r="AJ6981">
        <v>107.737957061769</v>
      </c>
      <c r="AK6981">
        <v>16.058723997571501</v>
      </c>
      <c r="AL6981">
        <v>90.914146558748698</v>
      </c>
      <c r="AM6981">
        <v>90.738251348847101</v>
      </c>
      <c r="AN6981">
        <v>0.99999997501618598</v>
      </c>
    </row>
    <row r="6982" spans="1:40" x14ac:dyDescent="0.25">
      <c r="A6982" t="str">
        <f>"20190312155010706"</f>
        <v>20190312155010706</v>
      </c>
      <c r="B6982" t="str">
        <f>"1552377010703056"</f>
        <v>1552377010703056</v>
      </c>
      <c r="C6982" t="s">
        <v>40</v>
      </c>
      <c r="D6982">
        <v>4.3140580000000002</v>
      </c>
      <c r="E6982">
        <v>0.3830229</v>
      </c>
      <c r="F6982" t="s">
        <v>65</v>
      </c>
      <c r="G6982">
        <v>-193.43809999999999</v>
      </c>
      <c r="H6982" s="1">
        <v>-6.4285600000000003E-6</v>
      </c>
      <c r="I6982">
        <v>-40.756259999999997</v>
      </c>
      <c r="J6982">
        <v>-200.65450000000001</v>
      </c>
      <c r="K6982">
        <v>1.119364</v>
      </c>
      <c r="L6982">
        <v>-54.76764</v>
      </c>
      <c r="M6982">
        <v>0.70817810000000003</v>
      </c>
      <c r="N6982">
        <v>0</v>
      </c>
      <c r="O6982">
        <v>0.70586099999999996</v>
      </c>
      <c r="P6982">
        <v>0.69845819999999903</v>
      </c>
      <c r="Q6982">
        <v>-3.0922140000000001E-2</v>
      </c>
      <c r="R6982">
        <v>0.71498260000000002</v>
      </c>
      <c r="S6982">
        <v>1.443314</v>
      </c>
      <c r="T6982">
        <v>-0.22095190000000001</v>
      </c>
      <c r="U6982">
        <v>2.7862550000000001</v>
      </c>
      <c r="V6982">
        <v>-1.2962609999999999E-2</v>
      </c>
      <c r="W6982">
        <v>-1.5608199999999999E-2</v>
      </c>
      <c r="X6982">
        <v>0.99979419999999997</v>
      </c>
      <c r="Y6982">
        <v>-0.30469940000000001</v>
      </c>
      <c r="Z6982">
        <v>-4.1845630000000002E-2</v>
      </c>
      <c r="AA6982">
        <v>0.95152890000000001</v>
      </c>
      <c r="AB6982">
        <v>26</v>
      </c>
      <c r="AC6982">
        <v>7.2164000000000197</v>
      </c>
      <c r="AD6982">
        <v>-1.1193704285599999</v>
      </c>
      <c r="AE6982">
        <v>14.011380000000001</v>
      </c>
      <c r="AF6982">
        <v>-4.8051277268936001</v>
      </c>
      <c r="AG6982">
        <v>-1.1193704285599999</v>
      </c>
      <c r="AH6982">
        <v>14.9271162813848</v>
      </c>
      <c r="AI6982">
        <v>94.082950183014404</v>
      </c>
      <c r="AJ6982">
        <v>107.843676602952</v>
      </c>
      <c r="AK6982">
        <v>15.721356274382901</v>
      </c>
      <c r="AL6982">
        <v>90.894320260939807</v>
      </c>
      <c r="AM6982">
        <v>90.742814104083607</v>
      </c>
      <c r="AN6982">
        <v>1.0000000437594401</v>
      </c>
    </row>
    <row r="6983" spans="1:40" x14ac:dyDescent="0.25">
      <c r="A6983" t="str">
        <f>"20190312155010718"</f>
        <v>20190312155010718</v>
      </c>
      <c r="B6983" t="str">
        <f>"1552377010712817"</f>
        <v>1552377010712817</v>
      </c>
      <c r="C6983" t="s">
        <v>40</v>
      </c>
      <c r="D6983">
        <v>4.4019000000000004</v>
      </c>
      <c r="E6983">
        <v>0.3833838</v>
      </c>
      <c r="F6983" t="s">
        <v>42</v>
      </c>
      <c r="G6983">
        <v>-193.34030000000001</v>
      </c>
      <c r="H6983" s="1">
        <v>-9.0116500000000004E-7</v>
      </c>
      <c r="I6983">
        <v>-40.381999999999998</v>
      </c>
      <c r="J6983">
        <v>-200.55770000000001</v>
      </c>
      <c r="K6983">
        <v>1.119305</v>
      </c>
      <c r="L6983">
        <v>-54.659519999999901</v>
      </c>
      <c r="M6983">
        <v>0.70271989999999995</v>
      </c>
      <c r="N6983">
        <v>0</v>
      </c>
      <c r="O6983">
        <v>0.71129540000000002</v>
      </c>
      <c r="P6983">
        <v>0.6929495</v>
      </c>
      <c r="Q6983">
        <v>-3.0236880000000001E-2</v>
      </c>
      <c r="R6983">
        <v>0.72035190000000004</v>
      </c>
      <c r="S6983">
        <v>1.4221950000000001</v>
      </c>
      <c r="T6983">
        <v>-0.21765209999999999</v>
      </c>
      <c r="U6983">
        <v>2.79718</v>
      </c>
      <c r="V6983">
        <v>-1.2973709999999999E-2</v>
      </c>
      <c r="W6983">
        <v>-1.493479E-2</v>
      </c>
      <c r="X6983">
        <v>0.99980429999999998</v>
      </c>
      <c r="Y6983">
        <v>-0.30456440000000001</v>
      </c>
      <c r="Z6983">
        <v>-4.1660379999999997E-2</v>
      </c>
      <c r="AA6983">
        <v>0.95158019999999999</v>
      </c>
      <c r="AB6983">
        <v>26</v>
      </c>
      <c r="AC6983">
        <v>7.2173999999999898</v>
      </c>
      <c r="AD6983">
        <v>-1.119305901165</v>
      </c>
      <c r="AE6983">
        <v>14.2775199999999</v>
      </c>
      <c r="AF6983">
        <v>-4.8761217214111401</v>
      </c>
      <c r="AG6983">
        <v>-1.119305901165</v>
      </c>
      <c r="AH6983">
        <v>15.155014508445401</v>
      </c>
      <c r="AI6983">
        <v>94.021706118526097</v>
      </c>
      <c r="AJ6983">
        <v>107.835564923026</v>
      </c>
      <c r="AK6983">
        <v>15.959444648658399</v>
      </c>
      <c r="AL6983">
        <v>90.855732247023397</v>
      </c>
      <c r="AM6983">
        <v>90.743442601672101</v>
      </c>
      <c r="AN6983">
        <v>1.00000000170099</v>
      </c>
    </row>
    <row r="6984" spans="1:40" x14ac:dyDescent="0.25">
      <c r="A6984" t="str">
        <f>"20190312155010731"</f>
        <v>20190312155010731</v>
      </c>
      <c r="B6984" t="str">
        <f>"1552377010722577"</f>
        <v>1552377010722577</v>
      </c>
      <c r="C6984" t="s">
        <v>40</v>
      </c>
      <c r="D6984">
        <v>4.3712220000000004</v>
      </c>
      <c r="E6984">
        <v>0.38376710000000003</v>
      </c>
      <c r="F6984" t="s">
        <v>42</v>
      </c>
      <c r="G6984">
        <v>-193.2012</v>
      </c>
      <c r="H6984" s="1">
        <v>-1.0507810000000001E-6</v>
      </c>
      <c r="I6984">
        <v>-39.946930000000002</v>
      </c>
      <c r="J6984">
        <v>-200.4693</v>
      </c>
      <c r="K6984">
        <v>1.1192519999999999</v>
      </c>
      <c r="L6984">
        <v>-54.559750000000001</v>
      </c>
      <c r="M6984">
        <v>0.69769159999999997</v>
      </c>
      <c r="N6984">
        <v>0</v>
      </c>
      <c r="O6984">
        <v>0.71622849999999905</v>
      </c>
      <c r="P6984">
        <v>0.6878706</v>
      </c>
      <c r="Q6984">
        <v>-2.9382950000000001E-2</v>
      </c>
      <c r="R6984">
        <v>0.72523839999999995</v>
      </c>
      <c r="S6984">
        <v>1.403046</v>
      </c>
      <c r="T6984">
        <v>-0.2134752</v>
      </c>
      <c r="U6984">
        <v>2.806</v>
      </c>
      <c r="V6984">
        <v>-1.3001520000000001E-2</v>
      </c>
      <c r="W6984">
        <v>-1.4092240000000001E-2</v>
      </c>
      <c r="X6984">
        <v>0.99981620000000004</v>
      </c>
      <c r="Y6984">
        <v>-0.304232</v>
      </c>
      <c r="Z6984">
        <v>-4.1269970000000003E-2</v>
      </c>
      <c r="AA6984">
        <v>0.95170359999999998</v>
      </c>
      <c r="AB6984">
        <v>26</v>
      </c>
      <c r="AC6984">
        <v>7.2680999999999996</v>
      </c>
      <c r="AD6984">
        <v>-1.1192530507809999</v>
      </c>
      <c r="AE6984">
        <v>14.612819999999999</v>
      </c>
      <c r="AF6984">
        <v>-4.96686829447885</v>
      </c>
      <c r="AG6984">
        <v>-1.1192530507809999</v>
      </c>
      <c r="AH6984">
        <v>15.4661603376743</v>
      </c>
      <c r="AI6984">
        <v>93.941563171675199</v>
      </c>
      <c r="AJ6984">
        <v>107.80412217231201</v>
      </c>
      <c r="AK6984">
        <v>16.282647930758401</v>
      </c>
      <c r="AL6984">
        <v>90.807452576834606</v>
      </c>
      <c r="AM6984">
        <v>90.745027173746195</v>
      </c>
      <c r="AN6984">
        <v>1.0000000322664799</v>
      </c>
    </row>
    <row r="6985" spans="1:40" x14ac:dyDescent="0.25">
      <c r="A6985" t="str">
        <f>"20190312155010748"</f>
        <v>20190312155010748</v>
      </c>
      <c r="B6985" t="str">
        <f>"1552377010742096"</f>
        <v>1552377010742096</v>
      </c>
      <c r="C6985" t="s">
        <v>40</v>
      </c>
      <c r="D6985">
        <v>4.4173289999999996</v>
      </c>
      <c r="E6985">
        <v>0.38487880000000002</v>
      </c>
      <c r="F6985" t="s">
        <v>42</v>
      </c>
      <c r="G6985">
        <v>-193.2664</v>
      </c>
      <c r="H6985" s="1">
        <v>-1.073861E-6</v>
      </c>
      <c r="I6985">
        <v>-39.933630000000001</v>
      </c>
      <c r="J6985">
        <v>-200.33320000000001</v>
      </c>
      <c r="K6985">
        <v>1.119173</v>
      </c>
      <c r="L6985">
        <v>-54.403379999999999</v>
      </c>
      <c r="M6985">
        <v>0.68984799999999902</v>
      </c>
      <c r="N6985">
        <v>0</v>
      </c>
      <c r="O6985">
        <v>0.72378669999999901</v>
      </c>
      <c r="P6985">
        <v>0.68008230000000003</v>
      </c>
      <c r="Q6985">
        <v>-2.7188070000000002E-2</v>
      </c>
      <c r="R6985">
        <v>0.73263149999999999</v>
      </c>
      <c r="S6985">
        <v>1.3856200000000001</v>
      </c>
      <c r="T6985">
        <v>-0.2153108</v>
      </c>
      <c r="U6985">
        <v>2.8136290000000002</v>
      </c>
      <c r="V6985">
        <v>-1.290415E-2</v>
      </c>
      <c r="W6985">
        <v>-1.191246E-2</v>
      </c>
      <c r="X6985">
        <v>0.99984580000000001</v>
      </c>
      <c r="Y6985">
        <v>-0.29963790000000001</v>
      </c>
      <c r="Z6985">
        <v>-4.2353399999999999E-2</v>
      </c>
      <c r="AA6985">
        <v>0.95311239999999997</v>
      </c>
      <c r="AB6985">
        <v>26</v>
      </c>
      <c r="AC6985">
        <v>7.0667999999999997</v>
      </c>
      <c r="AD6985">
        <v>-1.1191740738610001</v>
      </c>
      <c r="AE6985">
        <v>14.469749999999999</v>
      </c>
      <c r="AF6985">
        <v>-4.8442635584889597</v>
      </c>
      <c r="AG6985">
        <v>-1.1191740738610001</v>
      </c>
      <c r="AH6985">
        <v>15.276104572255001</v>
      </c>
      <c r="AI6985">
        <v>93.994809039587096</v>
      </c>
      <c r="AJ6985">
        <v>107.594539727935</v>
      </c>
      <c r="AK6985">
        <v>16.064831494110798</v>
      </c>
      <c r="AL6985">
        <v>90.682549809098802</v>
      </c>
      <c r="AM6985">
        <v>90.739426305861997</v>
      </c>
      <c r="AN6985">
        <v>1.0000000237840501</v>
      </c>
    </row>
    <row r="6986" spans="1:40" x14ac:dyDescent="0.25">
      <c r="A6986" t="str">
        <f>"20190312155010760"</f>
        <v>20190312155010760</v>
      </c>
      <c r="B6986" t="str">
        <f>"1552377010752832"</f>
        <v>1552377010752832</v>
      </c>
      <c r="C6986" t="s">
        <v>40</v>
      </c>
      <c r="D6986">
        <v>4.4070580000000001</v>
      </c>
      <c r="E6986">
        <v>0.38542399999999999</v>
      </c>
      <c r="F6986" t="s">
        <v>42</v>
      </c>
      <c r="G6986">
        <v>-193.108</v>
      </c>
      <c r="H6986" s="1">
        <v>-1.247825E-6</v>
      </c>
      <c r="I6986">
        <v>-39.429859999999998</v>
      </c>
      <c r="J6986">
        <v>-200.24289999999999</v>
      </c>
      <c r="K6986">
        <v>1.11912099999999</v>
      </c>
      <c r="L6986">
        <v>-54.297759999999997</v>
      </c>
      <c r="M6986">
        <v>0.68458339999999995</v>
      </c>
      <c r="N6986">
        <v>0</v>
      </c>
      <c r="O6986">
        <v>0.72876850000000004</v>
      </c>
      <c r="P6986">
        <v>0.67498019999999903</v>
      </c>
      <c r="Q6986">
        <v>-2.5800050000000001E-2</v>
      </c>
      <c r="R6986">
        <v>0.7373847</v>
      </c>
      <c r="S6986">
        <v>1.362015</v>
      </c>
      <c r="T6986">
        <v>-0.21097589999999999</v>
      </c>
      <c r="U6986">
        <v>2.8226619999999998</v>
      </c>
      <c r="V6986">
        <v>-1.266406E-2</v>
      </c>
      <c r="W6986">
        <v>-1.0531469999999999E-2</v>
      </c>
      <c r="X6986">
        <v>0.99986430000000004</v>
      </c>
      <c r="Y6986">
        <v>-0.30036190000000001</v>
      </c>
      <c r="Z6986">
        <v>-4.1903889999999999E-2</v>
      </c>
      <c r="AA6986">
        <v>0.95290439999999998</v>
      </c>
      <c r="AB6986">
        <v>26</v>
      </c>
      <c r="AC6986">
        <v>7.1348999999999796</v>
      </c>
      <c r="AD6986">
        <v>-1.11912224782499</v>
      </c>
      <c r="AE6986">
        <v>14.867900000000001</v>
      </c>
      <c r="AF6986">
        <v>-4.9564045796493899</v>
      </c>
      <c r="AG6986">
        <v>-1.11912224782499</v>
      </c>
      <c r="AH6986">
        <v>15.6495249235036</v>
      </c>
      <c r="AI6986">
        <v>93.900053773196703</v>
      </c>
      <c r="AJ6986">
        <v>107.573660166537</v>
      </c>
      <c r="AK6986">
        <v>16.453753714399198</v>
      </c>
      <c r="AL6986">
        <v>90.603419965373803</v>
      </c>
      <c r="AM6986">
        <v>90.725656864298799</v>
      </c>
      <c r="AN6986">
        <v>0.99999995434526601</v>
      </c>
    </row>
    <row r="6987" spans="1:40" x14ac:dyDescent="0.25">
      <c r="A6987" t="str">
        <f>"20190312155010773"</f>
        <v>20190312155010773</v>
      </c>
      <c r="B6987" t="str">
        <f>"1552377010762592"</f>
        <v>1552377010762592</v>
      </c>
      <c r="C6987" t="s">
        <v>40</v>
      </c>
      <c r="D6987">
        <v>4.39053</v>
      </c>
      <c r="E6987">
        <v>0.38618570000000002</v>
      </c>
      <c r="F6987" t="s">
        <v>42</v>
      </c>
      <c r="G6987">
        <v>-192.98650000000001</v>
      </c>
      <c r="H6987" s="1">
        <v>-1.3819719999999999E-6</v>
      </c>
      <c r="I6987">
        <v>-39.041739999999997</v>
      </c>
      <c r="J6987">
        <v>-200.15309999999999</v>
      </c>
      <c r="K6987">
        <v>1.119065</v>
      </c>
      <c r="L6987">
        <v>-54.190980000000003</v>
      </c>
      <c r="M6987">
        <v>0.67929329999999999</v>
      </c>
      <c r="N6987">
        <v>0</v>
      </c>
      <c r="O6987">
        <v>0.73370219999999997</v>
      </c>
      <c r="P6987">
        <v>0.66983590000000004</v>
      </c>
      <c r="Q6987">
        <v>-2.469681E-2</v>
      </c>
      <c r="R6987">
        <v>0.74209829999999999</v>
      </c>
      <c r="S6987">
        <v>1.3457490000000001</v>
      </c>
      <c r="T6987">
        <v>-0.2075477</v>
      </c>
      <c r="U6987">
        <v>2.8293149999999998</v>
      </c>
      <c r="V6987">
        <v>-1.2434860000000001E-2</v>
      </c>
      <c r="W6987">
        <v>-9.4363380000000007E-3</v>
      </c>
      <c r="X6987">
        <v>0.99987820000000005</v>
      </c>
      <c r="Y6987">
        <v>-0.29878779999999999</v>
      </c>
      <c r="Z6987">
        <v>-4.1656510000000001E-2</v>
      </c>
      <c r="AA6987">
        <v>0.95340999999999998</v>
      </c>
      <c r="AB6987">
        <v>26</v>
      </c>
      <c r="AC6987">
        <v>7.1665999999999803</v>
      </c>
      <c r="AD6987">
        <v>-1.1190663819719999</v>
      </c>
      <c r="AE6987">
        <v>15.149240000000001</v>
      </c>
      <c r="AF6987">
        <v>-5.01089254096585</v>
      </c>
      <c r="AG6987">
        <v>-1.1190663819719999</v>
      </c>
      <c r="AH6987">
        <v>15.914226888885601</v>
      </c>
      <c r="AI6987">
        <v>93.837213678380095</v>
      </c>
      <c r="AJ6987">
        <v>107.47758520600399</v>
      </c>
      <c r="AK6987">
        <v>16.721960743145399</v>
      </c>
      <c r="AL6987">
        <v>90.540670342619194</v>
      </c>
      <c r="AM6987">
        <v>90.712515053820795</v>
      </c>
      <c r="AN6987">
        <v>1.00000004252665</v>
      </c>
    </row>
    <row r="6988" spans="1:40" x14ac:dyDescent="0.25">
      <c r="A6988" t="str">
        <f>"20190312155010786"</f>
        <v>20190312155010786</v>
      </c>
      <c r="B6988" t="str">
        <f>"1552377010783089"</f>
        <v>1552377010783089</v>
      </c>
      <c r="C6988" t="s">
        <v>40</v>
      </c>
      <c r="D6988">
        <v>4.389284</v>
      </c>
      <c r="E6988">
        <v>0.3876965</v>
      </c>
      <c r="F6988" t="s">
        <v>42</v>
      </c>
      <c r="G6988">
        <v>-192.90280000000001</v>
      </c>
      <c r="H6988" s="1">
        <v>-1.488254E-6</v>
      </c>
      <c r="I6988">
        <v>-38.742130000000003</v>
      </c>
      <c r="J6988">
        <v>-200.06129999999999</v>
      </c>
      <c r="K6988">
        <v>1.1190089999999999</v>
      </c>
      <c r="L6988">
        <v>-54.080869999999997</v>
      </c>
      <c r="M6988">
        <v>0.67383870000000001</v>
      </c>
      <c r="N6988">
        <v>0</v>
      </c>
      <c r="O6988">
        <v>0.73871519999999902</v>
      </c>
      <c r="P6988">
        <v>0.66479809999999995</v>
      </c>
      <c r="Q6988">
        <v>-2.321519E-2</v>
      </c>
      <c r="R6988">
        <v>0.7466623</v>
      </c>
      <c r="S6988">
        <v>1.3304290000000001</v>
      </c>
      <c r="T6988">
        <v>-0.205349</v>
      </c>
      <c r="U6988">
        <v>2.8348689999999999</v>
      </c>
      <c r="V6988">
        <v>-1.18605E-2</v>
      </c>
      <c r="W6988">
        <v>-7.9551940000000005E-3</v>
      </c>
      <c r="X6988">
        <v>0.99989799999999995</v>
      </c>
      <c r="Y6988">
        <v>-0.29665259999999999</v>
      </c>
      <c r="Z6988">
        <v>-4.1669629999999999E-2</v>
      </c>
      <c r="AA6988">
        <v>0.95407589999999998</v>
      </c>
      <c r="AB6988">
        <v>26</v>
      </c>
      <c r="AC6988">
        <v>7.1584999999999699</v>
      </c>
      <c r="AD6988">
        <v>-1.119010488254</v>
      </c>
      <c r="AE6988">
        <v>15.33874</v>
      </c>
      <c r="AF6988">
        <v>-5.0263860403399603</v>
      </c>
      <c r="AG6988">
        <v>-1.119010488254</v>
      </c>
      <c r="AH6988">
        <v>16.086281845257101</v>
      </c>
      <c r="AI6988">
        <v>93.798703361626906</v>
      </c>
      <c r="AJ6988">
        <v>107.352152195115</v>
      </c>
      <c r="AK6988">
        <v>16.890387938244501</v>
      </c>
      <c r="AL6988">
        <v>90.455803856619994</v>
      </c>
      <c r="AM6988">
        <v>90.679594042956694</v>
      </c>
      <c r="AN6988">
        <v>0.99999998348791297</v>
      </c>
    </row>
    <row r="6989" spans="1:40" x14ac:dyDescent="0.25">
      <c r="A6989" t="str">
        <f>"20190312155010804"</f>
        <v>20190312155010804</v>
      </c>
      <c r="B6989" t="str">
        <f>"1552377010792848"</f>
        <v>1552377010792848</v>
      </c>
      <c r="C6989" t="s">
        <v>40</v>
      </c>
      <c r="D6989">
        <v>4.4159810000000004</v>
      </c>
      <c r="E6989">
        <v>0.38833220000000002</v>
      </c>
      <c r="F6989" t="s">
        <v>42</v>
      </c>
      <c r="G6989">
        <v>-192.726</v>
      </c>
      <c r="H6989" s="1">
        <v>-1.6202989999999999E-6</v>
      </c>
      <c r="I6989">
        <v>-38.324649999999998</v>
      </c>
      <c r="J6989">
        <v>-199.92699999999999</v>
      </c>
      <c r="K6989">
        <v>1.1189279999999999</v>
      </c>
      <c r="L6989">
        <v>-53.916319999999899</v>
      </c>
      <c r="M6989">
        <v>0.66575810000000002</v>
      </c>
      <c r="N6989">
        <v>0</v>
      </c>
      <c r="O6989">
        <v>0.74600649999999902</v>
      </c>
      <c r="P6989">
        <v>0.65721079999999998</v>
      </c>
      <c r="Q6989">
        <v>-2.0546769999999999E-2</v>
      </c>
      <c r="R6989">
        <v>0.7534267</v>
      </c>
      <c r="S6989">
        <v>1.3203279999999999</v>
      </c>
      <c r="T6989">
        <v>-0.2014176</v>
      </c>
      <c r="U6989">
        <v>2.8360599999999998</v>
      </c>
      <c r="V6989">
        <v>-1.120415E-2</v>
      </c>
      <c r="W6989">
        <v>-5.2929400000000003E-3</v>
      </c>
      <c r="X6989">
        <v>0.99992320000000001</v>
      </c>
      <c r="Y6989">
        <v>-0.28918860000000002</v>
      </c>
      <c r="Z6989">
        <v>-4.1634060000000001E-2</v>
      </c>
      <c r="AA6989">
        <v>0.95636639999999995</v>
      </c>
      <c r="AB6989">
        <v>26</v>
      </c>
      <c r="AC6989">
        <v>7.2010000000000201</v>
      </c>
      <c r="AD6989">
        <v>-1.118929620299</v>
      </c>
      <c r="AE6989">
        <v>15.591669999999899</v>
      </c>
      <c r="AF6989">
        <v>-4.9877184945225599</v>
      </c>
      <c r="AG6989">
        <v>-1.118929620299</v>
      </c>
      <c r="AH6989">
        <v>16.358150418789702</v>
      </c>
      <c r="AI6989">
        <v>93.743422346910805</v>
      </c>
      <c r="AJ6989">
        <v>106.956843327869</v>
      </c>
      <c r="AK6989">
        <v>17.1382153213085</v>
      </c>
      <c r="AL6989">
        <v>90.303264546192295</v>
      </c>
      <c r="AM6989">
        <v>90.641972947464893</v>
      </c>
      <c r="AN6989">
        <v>0.99999997704465204</v>
      </c>
    </row>
    <row r="6990" spans="1:40" x14ac:dyDescent="0.25">
      <c r="A6990" t="str">
        <f>"20190312155010817"</f>
        <v>20190312155010817</v>
      </c>
      <c r="B6990" t="str">
        <f>"1552377010812368"</f>
        <v>1552377010812368</v>
      </c>
      <c r="C6990" t="s">
        <v>40</v>
      </c>
      <c r="D6990">
        <v>4.4218349999999997</v>
      </c>
      <c r="E6990">
        <v>0.40398820000000002</v>
      </c>
      <c r="F6990" t="s">
        <v>42</v>
      </c>
      <c r="G6990">
        <v>-192.44460000000001</v>
      </c>
      <c r="H6990" s="1">
        <v>-1.907893E-6</v>
      </c>
      <c r="I6990">
        <v>-37.479750000000003</v>
      </c>
      <c r="J6990">
        <v>-199.8443</v>
      </c>
      <c r="K6990">
        <v>1.118878</v>
      </c>
      <c r="L6990">
        <v>-53.81268</v>
      </c>
      <c r="M6990">
        <v>0.66071959999999996</v>
      </c>
      <c r="N6990">
        <v>0</v>
      </c>
      <c r="O6990">
        <v>0.75047299999999995</v>
      </c>
      <c r="P6990">
        <v>0.65249060000000003</v>
      </c>
      <c r="Q6990">
        <v>-1.930055E-2</v>
      </c>
      <c r="R6990">
        <v>0.75755109999999903</v>
      </c>
      <c r="S6990">
        <v>1.2957000000000001</v>
      </c>
      <c r="T6990">
        <v>-0.1937625</v>
      </c>
      <c r="U6990">
        <v>2.8462830000000001</v>
      </c>
      <c r="V6990">
        <v>-1.0767469999999999E-2</v>
      </c>
      <c r="W6990">
        <v>-4.0511619999999996E-3</v>
      </c>
      <c r="X6990">
        <v>0.99993379999999998</v>
      </c>
      <c r="Y6990">
        <v>-0.29085919999999998</v>
      </c>
      <c r="Z6990">
        <v>-4.0355250000000002E-2</v>
      </c>
      <c r="AA6990">
        <v>0.95591440000000005</v>
      </c>
      <c r="AB6990">
        <v>26</v>
      </c>
      <c r="AC6990">
        <v>7.3996999999999904</v>
      </c>
      <c r="AD6990">
        <v>-1.1188799078929901</v>
      </c>
      <c r="AE6990">
        <v>16.332930000000001</v>
      </c>
      <c r="AF6990">
        <v>-5.2185211390798996</v>
      </c>
      <c r="AG6990">
        <v>-1.1188799078929901</v>
      </c>
      <c r="AH6990">
        <v>17.082094804251302</v>
      </c>
      <c r="AI6990">
        <v>93.584450729979807</v>
      </c>
      <c r="AJ6990">
        <v>106.98773149750301</v>
      </c>
      <c r="AK6990">
        <v>17.8964470783656</v>
      </c>
      <c r="AL6990">
        <v>90.232115124892303</v>
      </c>
      <c r="AM6990">
        <v>90.616947585481896</v>
      </c>
      <c r="AN6990">
        <v>0.99999997735309498</v>
      </c>
    </row>
    <row r="6991" spans="1:40" x14ac:dyDescent="0.25">
      <c r="A6991" t="str">
        <f>"20190312155010828"</f>
        <v>20190312155010828</v>
      </c>
      <c r="B6991" t="str">
        <f>"1552377010822128"</f>
        <v>1552377010822128</v>
      </c>
      <c r="C6991" t="s">
        <v>40</v>
      </c>
      <c r="D6991">
        <v>4.3917570000000001</v>
      </c>
      <c r="E6991">
        <v>0.40565489999999998</v>
      </c>
      <c r="F6991" t="s">
        <v>42</v>
      </c>
      <c r="G6991">
        <v>-191.62260000000001</v>
      </c>
      <c r="H6991" s="1">
        <v>-1.807108E-6</v>
      </c>
      <c r="I6991">
        <v>-37.20485</v>
      </c>
      <c r="J6991">
        <v>-199.7621</v>
      </c>
      <c r="K6991">
        <v>1.1188260000000001</v>
      </c>
      <c r="L6991">
        <v>-53.708950000000002</v>
      </c>
      <c r="M6991">
        <v>0.65567540000000002</v>
      </c>
      <c r="N6991">
        <v>0</v>
      </c>
      <c r="O6991">
        <v>0.75488440000000001</v>
      </c>
      <c r="P6991">
        <v>0.64758669999999996</v>
      </c>
      <c r="Q6991">
        <v>-1.8169080000000001E-2</v>
      </c>
      <c r="R6991">
        <v>0.76177519999999999</v>
      </c>
      <c r="S6991">
        <v>1.372757</v>
      </c>
      <c r="T6991">
        <v>-0.18681729999999999</v>
      </c>
      <c r="U6991">
        <v>2.77298</v>
      </c>
      <c r="V6991">
        <v>-1.056439E-2</v>
      </c>
      <c r="W6991">
        <v>-2.9290409999999998E-3</v>
      </c>
      <c r="X6991">
        <v>0.99993989999999999</v>
      </c>
      <c r="Y6991">
        <v>-0.25318740000000001</v>
      </c>
      <c r="Z6991">
        <v>-4.0428649999999997E-2</v>
      </c>
      <c r="AA6991">
        <v>0.96657210000000005</v>
      </c>
      <c r="AB6991">
        <v>26</v>
      </c>
      <c r="AC6991">
        <v>8.1394999999999893</v>
      </c>
      <c r="AD6991">
        <v>-1.118827807108</v>
      </c>
      <c r="AE6991">
        <v>16.504100000000001</v>
      </c>
      <c r="AF6991">
        <v>-4.6602837170996798</v>
      </c>
      <c r="AG6991">
        <v>-1.118827807108</v>
      </c>
      <c r="AH6991">
        <v>17.732140167741299</v>
      </c>
      <c r="AI6991">
        <v>93.492070622082807</v>
      </c>
      <c r="AJ6991">
        <v>104.72522145178399</v>
      </c>
      <c r="AK6991">
        <v>18.3684189552135</v>
      </c>
      <c r="AL6991">
        <v>90.167821928190406</v>
      </c>
      <c r="AM6991">
        <v>90.6053088197405</v>
      </c>
      <c r="AN6991">
        <v>0.99999999461462996</v>
      </c>
    </row>
    <row r="6992" spans="1:40" x14ac:dyDescent="0.25">
      <c r="A6992" t="str">
        <f>"20190312155010841"</f>
        <v>20190312155010841</v>
      </c>
      <c r="B6992" t="str">
        <f>"1552377010832864"</f>
        <v>1552377010832864</v>
      </c>
      <c r="C6992" t="s">
        <v>40</v>
      </c>
      <c r="D6992">
        <v>4.4277879999999996</v>
      </c>
      <c r="E6992">
        <v>0.40648830000000002</v>
      </c>
      <c r="F6992" t="s">
        <v>42</v>
      </c>
      <c r="G6992">
        <v>-191.77420000000001</v>
      </c>
      <c r="H6992" s="1">
        <v>-1.730721E-6</v>
      </c>
      <c r="I6992">
        <v>-37.476959999999998</v>
      </c>
      <c r="J6992">
        <v>-199.67339999999999</v>
      </c>
      <c r="K6992">
        <v>1.118765</v>
      </c>
      <c r="L6992">
        <v>-53.59534</v>
      </c>
      <c r="M6992">
        <v>0.65018619999999905</v>
      </c>
      <c r="N6992">
        <v>0</v>
      </c>
      <c r="O6992">
        <v>0.75961769999999995</v>
      </c>
      <c r="P6992">
        <v>0.64229080000000005</v>
      </c>
      <c r="Q6992">
        <v>-1.7082299999999901E-2</v>
      </c>
      <c r="R6992">
        <v>0.76627080000000003</v>
      </c>
      <c r="S6992">
        <v>1.3648070000000001</v>
      </c>
      <c r="T6992">
        <v>-0.19116340000000001</v>
      </c>
      <c r="U6992">
        <v>2.7734070000000002</v>
      </c>
      <c r="V6992">
        <v>-1.028691E-2</v>
      </c>
      <c r="W6992">
        <v>-1.8517729999999999E-3</v>
      </c>
      <c r="X6992">
        <v>0.99994539999999998</v>
      </c>
      <c r="Y6992">
        <v>-0.24848880000000001</v>
      </c>
      <c r="Z6992">
        <v>-4.1842850000000001E-2</v>
      </c>
      <c r="AA6992">
        <v>0.9677306</v>
      </c>
      <c r="AB6992">
        <v>26</v>
      </c>
      <c r="AC6992">
        <v>7.8991999999999702</v>
      </c>
      <c r="AD6992">
        <v>-1.1187667307210001</v>
      </c>
      <c r="AE6992">
        <v>16.118379999999998</v>
      </c>
      <c r="AF6992">
        <v>-4.4627747782142402</v>
      </c>
      <c r="AG6992">
        <v>-1.1187667307210001</v>
      </c>
      <c r="AH6992">
        <v>17.314572162650901</v>
      </c>
      <c r="AI6992">
        <v>93.580286339832</v>
      </c>
      <c r="AJ6992">
        <v>104.45322317071501</v>
      </c>
      <c r="AK6992">
        <v>17.915423715181301</v>
      </c>
      <c r="AL6992">
        <v>90.106098835364506</v>
      </c>
      <c r="AM6992">
        <v>90.5894079178711</v>
      </c>
      <c r="AN6992">
        <v>1.0000000262808699</v>
      </c>
    </row>
    <row r="6993" spans="1:40" x14ac:dyDescent="0.25">
      <c r="A6993" t="str">
        <f>"20190312155010852"</f>
        <v>20190312155010852</v>
      </c>
      <c r="B6993" t="str">
        <f>"1552377010842624"</f>
        <v>1552377010842624</v>
      </c>
      <c r="C6993" t="s">
        <v>40</v>
      </c>
      <c r="D6993">
        <v>4.4349309999999997</v>
      </c>
      <c r="E6993">
        <v>0.40743089999999998</v>
      </c>
      <c r="F6993" t="s">
        <v>42</v>
      </c>
      <c r="G6993">
        <v>-191.49539999999999</v>
      </c>
      <c r="H6993" s="1">
        <v>-1.9591809999999999E-6</v>
      </c>
      <c r="I6993">
        <v>-36.77149</v>
      </c>
      <c r="J6993">
        <v>-199.59899999999999</v>
      </c>
      <c r="K6993">
        <v>1.1187149999999999</v>
      </c>
      <c r="L6993">
        <v>-53.4985</v>
      </c>
      <c r="M6993">
        <v>0.64553729999999998</v>
      </c>
      <c r="N6993">
        <v>0</v>
      </c>
      <c r="O6993">
        <v>0.76357280000000005</v>
      </c>
      <c r="P6993">
        <v>0.63806399999999996</v>
      </c>
      <c r="Q6993">
        <v>-1.6315050000000001E-2</v>
      </c>
      <c r="R6993">
        <v>0.76981049999999995</v>
      </c>
      <c r="S6993">
        <v>1.3507389999999999</v>
      </c>
      <c r="T6993">
        <v>-0.18478359999999999</v>
      </c>
      <c r="U6993">
        <v>2.7787480000000002</v>
      </c>
      <c r="V6993">
        <v>-9.7128400000000004E-3</v>
      </c>
      <c r="W6993">
        <v>-1.0857989999999999E-3</v>
      </c>
      <c r="X6993">
        <v>0.99995230000000002</v>
      </c>
      <c r="Y6993">
        <v>-0.24724119999999999</v>
      </c>
      <c r="Z6993">
        <v>-4.076482E-2</v>
      </c>
      <c r="AA6993">
        <v>0.96809610000000001</v>
      </c>
      <c r="AB6993">
        <v>26</v>
      </c>
      <c r="AC6993">
        <v>8.1036000000000197</v>
      </c>
      <c r="AD6993">
        <v>-1.118716959181</v>
      </c>
      <c r="AE6993">
        <v>16.72701</v>
      </c>
      <c r="AF6993">
        <v>-4.5941259670614398</v>
      </c>
      <c r="AG6993">
        <v>-1.118716959181</v>
      </c>
      <c r="AH6993">
        <v>17.940615497414001</v>
      </c>
      <c r="AI6993">
        <v>93.456895901323094</v>
      </c>
      <c r="AJ6993">
        <v>104.363317966287</v>
      </c>
      <c r="AK6993">
        <v>18.553253231227099</v>
      </c>
      <c r="AL6993">
        <v>90.062211708575504</v>
      </c>
      <c r="AM6993">
        <v>90.556513784032404</v>
      </c>
      <c r="AN6993">
        <v>1.0000000602478101</v>
      </c>
    </row>
    <row r="6994" spans="1:40" x14ac:dyDescent="0.25">
      <c r="A6994" t="str">
        <f>"20190312155010871"</f>
        <v>20190312155010871</v>
      </c>
      <c r="B6994" t="str">
        <f>"1552377010862144"</f>
        <v>1552377010862144</v>
      </c>
      <c r="C6994" t="s">
        <v>40</v>
      </c>
      <c r="D6994">
        <v>4.5511629999999998</v>
      </c>
      <c r="E6994">
        <v>0.40830630000000001</v>
      </c>
      <c r="F6994" t="s">
        <v>42</v>
      </c>
      <c r="G6994">
        <v>-191.5994</v>
      </c>
      <c r="H6994" s="1">
        <v>-1.9279760000000002E-6</v>
      </c>
      <c r="I6994">
        <v>-36.90869</v>
      </c>
      <c r="J6994">
        <v>-199.46719999999999</v>
      </c>
      <c r="K6994">
        <v>1.118622</v>
      </c>
      <c r="L6994">
        <v>-53.324370000000002</v>
      </c>
      <c r="M6994">
        <v>0.63721740000000004</v>
      </c>
      <c r="N6994">
        <v>0</v>
      </c>
      <c r="O6994">
        <v>0.77053000000000005</v>
      </c>
      <c r="P6994">
        <v>0.63029849999999998</v>
      </c>
      <c r="Q6994">
        <v>-1.476618E-2</v>
      </c>
      <c r="R6994">
        <v>0.77621249999999997</v>
      </c>
      <c r="S6994">
        <v>1.341202</v>
      </c>
      <c r="T6994">
        <v>-0.18756100000000001</v>
      </c>
      <c r="U6994">
        <v>2.7814030000000001</v>
      </c>
      <c r="V6994">
        <v>-8.9651969999999994E-3</v>
      </c>
      <c r="W6994">
        <v>4.5425100000000003E-4</v>
      </c>
      <c r="X6994">
        <v>0.99995970000000001</v>
      </c>
      <c r="Y6994">
        <v>-0.23980219999999999</v>
      </c>
      <c r="Z6994">
        <v>-4.2034799999999997E-2</v>
      </c>
      <c r="AA6994">
        <v>0.96991130000000003</v>
      </c>
      <c r="AB6994">
        <v>26</v>
      </c>
      <c r="AC6994">
        <v>7.8677999999999804</v>
      </c>
      <c r="AD6994">
        <v>-1.118623927976</v>
      </c>
      <c r="AE6994">
        <v>16.415679999999899</v>
      </c>
      <c r="AF6994">
        <v>-4.3819565526969004</v>
      </c>
      <c r="AG6994">
        <v>-1.118623927976</v>
      </c>
      <c r="AH6994">
        <v>17.5979188786592</v>
      </c>
      <c r="AI6994">
        <v>93.529658189480998</v>
      </c>
      <c r="AJ6994">
        <v>103.982534523255</v>
      </c>
      <c r="AK6994">
        <v>18.169744400564198</v>
      </c>
      <c r="AL6994">
        <v>89.973973333740503</v>
      </c>
      <c r="AM6994">
        <v>90.513674889276899</v>
      </c>
      <c r="AN6994">
        <v>0.99999999136265405</v>
      </c>
    </row>
    <row r="6995" spans="1:40" x14ac:dyDescent="0.25">
      <c r="A6995" t="str">
        <f>"20190312155010887"</f>
        <v>20190312155010887</v>
      </c>
      <c r="B6995" t="str">
        <f>"1552377010882640"</f>
        <v>1552377010882640</v>
      </c>
      <c r="C6995" t="s">
        <v>40</v>
      </c>
      <c r="D6995">
        <v>4.5048700000000004</v>
      </c>
      <c r="E6995">
        <v>0.41528579999999998</v>
      </c>
      <c r="F6995" t="s">
        <v>42</v>
      </c>
      <c r="G6995">
        <v>-191.43940000000001</v>
      </c>
      <c r="H6995" s="1">
        <v>-2.1320399999999999E-6</v>
      </c>
      <c r="I6995">
        <v>-36.333779999999997</v>
      </c>
      <c r="J6995">
        <v>-199.3664</v>
      </c>
      <c r="K6995">
        <v>1.11854599999999</v>
      </c>
      <c r="L6995">
        <v>-53.188839999999999</v>
      </c>
      <c r="M6995">
        <v>0.630781699999999</v>
      </c>
      <c r="N6995">
        <v>0</v>
      </c>
      <c r="O6995">
        <v>0.77580769999999899</v>
      </c>
      <c r="P6995">
        <v>0.62432349999999903</v>
      </c>
      <c r="Q6995">
        <v>-1.4129589999999999E-2</v>
      </c>
      <c r="R6995">
        <v>0.78103809999999996</v>
      </c>
      <c r="S6995">
        <v>1.3185880000000001</v>
      </c>
      <c r="T6995">
        <v>-0.18373639999999999</v>
      </c>
      <c r="U6995">
        <v>2.7907410000000001</v>
      </c>
      <c r="V6995">
        <v>-8.3353149999999994E-3</v>
      </c>
      <c r="W6995">
        <v>1.0846300000000001E-3</v>
      </c>
      <c r="X6995">
        <v>0.99996470000000004</v>
      </c>
      <c r="Y6995">
        <v>-0.2393824</v>
      </c>
      <c r="Z6995">
        <v>-4.1565860000000003E-2</v>
      </c>
      <c r="AA6995">
        <v>0.97003519999999999</v>
      </c>
      <c r="AB6995">
        <v>26</v>
      </c>
      <c r="AC6995">
        <v>7.9269999999999898</v>
      </c>
      <c r="AD6995">
        <v>-1.1185481320399999</v>
      </c>
      <c r="AE6995">
        <v>16.855060000000002</v>
      </c>
      <c r="AF6995">
        <v>-4.4664590800473603</v>
      </c>
      <c r="AG6995">
        <v>-1.1185481320399999</v>
      </c>
      <c r="AH6995">
        <v>18.013669572672899</v>
      </c>
      <c r="AI6995">
        <v>93.449010566570706</v>
      </c>
      <c r="AJ6995">
        <v>103.925552341368</v>
      </c>
      <c r="AK6995">
        <v>18.592813076854998</v>
      </c>
      <c r="AL6995">
        <v>89.937855268195406</v>
      </c>
      <c r="AM6995">
        <v>90.477584168500101</v>
      </c>
      <c r="AN6995">
        <v>1.0000000275722301</v>
      </c>
    </row>
    <row r="6996" spans="1:40" x14ac:dyDescent="0.25">
      <c r="A6996" t="str">
        <f>"20190312155010909"</f>
        <v>20190312155010909</v>
      </c>
      <c r="B6996" t="str">
        <f>"1552377010902160"</f>
        <v>1552377010902160</v>
      </c>
      <c r="C6996" t="s">
        <v>40</v>
      </c>
      <c r="D6996">
        <v>4.4255309999999897</v>
      </c>
      <c r="E6996">
        <v>0.41240510000000002</v>
      </c>
      <c r="F6996" t="s">
        <v>65</v>
      </c>
      <c r="G6996">
        <v>-193.56700000000001</v>
      </c>
      <c r="H6996" s="1">
        <v>-6.2950120000000002E-6</v>
      </c>
      <c r="I6996">
        <v>-41.198509999999999</v>
      </c>
      <c r="J6996">
        <v>-199.2199</v>
      </c>
      <c r="K6996">
        <v>1.118436</v>
      </c>
      <c r="L6996">
        <v>-52.987270000000002</v>
      </c>
      <c r="M6996">
        <v>0.62130560000000001</v>
      </c>
      <c r="N6996">
        <v>0</v>
      </c>
      <c r="O6996">
        <v>0.78341780000000005</v>
      </c>
      <c r="P6996">
        <v>0.61587139999999996</v>
      </c>
      <c r="Q6996">
        <v>-1.279333E-2</v>
      </c>
      <c r="R6996">
        <v>0.78774290000000002</v>
      </c>
      <c r="S6996">
        <v>1.3381809999999901</v>
      </c>
      <c r="T6996">
        <v>-0.25809900000000002</v>
      </c>
      <c r="U6996">
        <v>2.7666930000000001</v>
      </c>
      <c r="V6996">
        <v>-6.9973329999999997E-3</v>
      </c>
      <c r="W6996">
        <v>2.4188180000000001E-3</v>
      </c>
      <c r="X6996">
        <v>0.99997259999999999</v>
      </c>
      <c r="Y6996">
        <v>-0.21919150000000001</v>
      </c>
      <c r="Z6996">
        <v>-5.9835689999999997E-2</v>
      </c>
      <c r="AA6996">
        <v>0.97384539999999997</v>
      </c>
      <c r="AB6996">
        <v>26</v>
      </c>
      <c r="AC6996">
        <v>5.6528999999999803</v>
      </c>
      <c r="AD6996">
        <v>-1.1184422950120001</v>
      </c>
      <c r="AE6996">
        <v>11.7887599999999</v>
      </c>
      <c r="AF6996">
        <v>-2.8751406911872501</v>
      </c>
      <c r="AG6996">
        <v>-1.1184422950120001</v>
      </c>
      <c r="AH6996">
        <v>12.656582415259001</v>
      </c>
      <c r="AI6996">
        <v>94.925179383996294</v>
      </c>
      <c r="AJ6996">
        <v>102.798431840167</v>
      </c>
      <c r="AK6996">
        <v>13.0271418813044</v>
      </c>
      <c r="AL6996">
        <v>89.861411803027295</v>
      </c>
      <c r="AM6996">
        <v>90.400922090513802</v>
      </c>
      <c r="AN6996">
        <v>1.00000000705019</v>
      </c>
    </row>
    <row r="6997" spans="1:40" x14ac:dyDescent="0.25">
      <c r="A6997" t="str">
        <f>"20190312155010933"</f>
        <v>20190312155010933</v>
      </c>
      <c r="B6997" t="str">
        <f>"1552377010922656"</f>
        <v>1552377010922656</v>
      </c>
      <c r="C6997" t="s">
        <v>40</v>
      </c>
      <c r="D6997">
        <v>4.3966620000000001</v>
      </c>
      <c r="E6997">
        <v>0.41256470000000001</v>
      </c>
      <c r="F6997" t="s">
        <v>42</v>
      </c>
      <c r="G6997">
        <v>-192.22239999999999</v>
      </c>
      <c r="H6997" s="1">
        <v>-1.691053E-6</v>
      </c>
      <c r="I6997">
        <v>-37.847349999999999</v>
      </c>
      <c r="J6997">
        <v>-199.0712</v>
      </c>
      <c r="K6997">
        <v>1.1183240000000001</v>
      </c>
      <c r="L6997">
        <v>-52.777369999999998</v>
      </c>
      <c r="M6997">
        <v>0.61153019999999902</v>
      </c>
      <c r="N6997">
        <v>0</v>
      </c>
      <c r="O6997">
        <v>0.79107269999999996</v>
      </c>
      <c r="P6997">
        <v>0.60729500000000003</v>
      </c>
      <c r="Q6997">
        <v>-1.173684E-2</v>
      </c>
      <c r="R6997">
        <v>0.79438969999999998</v>
      </c>
      <c r="S6997">
        <v>1.2918400000000001</v>
      </c>
      <c r="T6997">
        <v>-0.2064773</v>
      </c>
      <c r="U6997">
        <v>2.795013</v>
      </c>
      <c r="V6997">
        <v>-5.4514450000000001E-3</v>
      </c>
      <c r="W6997">
        <v>3.475484E-3</v>
      </c>
      <c r="X6997">
        <v>0.99997910000000001</v>
      </c>
      <c r="Y6997">
        <v>-0.22383629999999999</v>
      </c>
      <c r="Z6997">
        <v>-4.8313950000000001E-2</v>
      </c>
      <c r="AA6997">
        <v>0.97342850000000003</v>
      </c>
      <c r="AB6997">
        <v>26</v>
      </c>
      <c r="AC6997">
        <v>6.8488000000000104</v>
      </c>
      <c r="AD6997">
        <v>-1.1183256910529999</v>
      </c>
      <c r="AE6997">
        <v>14.930020000000001</v>
      </c>
      <c r="AF6997">
        <v>-3.6955653176292702</v>
      </c>
      <c r="AG6997">
        <v>-1.1183256910529999</v>
      </c>
      <c r="AH6997">
        <v>15.927031595052799</v>
      </c>
      <c r="AI6997">
        <v>93.912849941135804</v>
      </c>
      <c r="AJ6997">
        <v>103.06323737528</v>
      </c>
      <c r="AK6997">
        <v>16.388355341459501</v>
      </c>
      <c r="AL6997">
        <v>89.800869033918701</v>
      </c>
      <c r="AM6997">
        <v>90.312348224637603</v>
      </c>
      <c r="AN6997">
        <v>0.99999999883921598</v>
      </c>
    </row>
    <row r="6998" spans="1:40" x14ac:dyDescent="0.25">
      <c r="A6998" t="str">
        <f>"20190312155010955"</f>
        <v>20190312155010955</v>
      </c>
      <c r="B6998" t="str">
        <f>"1552377010942177"</f>
        <v>1552377010942177</v>
      </c>
      <c r="C6998" t="s">
        <v>40</v>
      </c>
      <c r="D6998">
        <v>4.4110459999999998</v>
      </c>
      <c r="E6998">
        <v>0.41310580000000002</v>
      </c>
      <c r="F6998" t="s">
        <v>42</v>
      </c>
      <c r="G6998">
        <v>-191.43090000000001</v>
      </c>
      <c r="H6998" s="1">
        <v>-2.3637380000000001E-6</v>
      </c>
      <c r="I6998">
        <v>-35.788440000000001</v>
      </c>
      <c r="J6998">
        <v>-198.91980000000001</v>
      </c>
      <c r="K6998">
        <v>1.1182080000000001</v>
      </c>
      <c r="L6998">
        <v>-52.558349999999997</v>
      </c>
      <c r="M6998">
        <v>0.6014351</v>
      </c>
      <c r="N6998">
        <v>0</v>
      </c>
      <c r="O6998">
        <v>0.79877540000000002</v>
      </c>
      <c r="P6998">
        <v>0.59839969999999998</v>
      </c>
      <c r="Q6998">
        <v>-1.0048629999999999E-2</v>
      </c>
      <c r="R6998">
        <v>0.80113469999999998</v>
      </c>
      <c r="S6998">
        <v>1.262939</v>
      </c>
      <c r="T6998">
        <v>-0.18486060000000001</v>
      </c>
      <c r="U6998">
        <v>2.8082889999999998</v>
      </c>
      <c r="V6998">
        <v>-3.948928E-3</v>
      </c>
      <c r="W6998">
        <v>5.1610880000000003E-3</v>
      </c>
      <c r="X6998">
        <v>0.9999789</v>
      </c>
      <c r="Y6998">
        <v>-0.22140389999999999</v>
      </c>
      <c r="Z6998">
        <v>-4.3846059999999999E-2</v>
      </c>
      <c r="AA6998">
        <v>0.97419599999999995</v>
      </c>
      <c r="AB6998">
        <v>26</v>
      </c>
      <c r="AC6998">
        <v>7.4889000000000001</v>
      </c>
      <c r="AD6998">
        <v>-1.1182103637379901</v>
      </c>
      <c r="AE6998">
        <v>16.7699099999999</v>
      </c>
      <c r="AF6998">
        <v>-4.0893839871244797</v>
      </c>
      <c r="AG6998">
        <v>-1.1182103637379901</v>
      </c>
      <c r="AH6998">
        <v>17.8354560165075</v>
      </c>
      <c r="AI6998">
        <v>93.497006624110597</v>
      </c>
      <c r="AJ6998">
        <v>102.91379360325099</v>
      </c>
      <c r="AK6998">
        <v>18.332401564674999</v>
      </c>
      <c r="AL6998">
        <v>89.704290131727802</v>
      </c>
      <c r="AM6998">
        <v>90.226260505973201</v>
      </c>
      <c r="AN6998">
        <v>1.0000000156534501</v>
      </c>
    </row>
    <row r="6999" spans="1:40" x14ac:dyDescent="0.25">
      <c r="A6999" t="str">
        <f>"20190312155010973"</f>
        <v>20190312155010973</v>
      </c>
      <c r="B6999" t="str">
        <f>"1552377010962672"</f>
        <v>1552377010962672</v>
      </c>
      <c r="C6999" t="s">
        <v>40</v>
      </c>
      <c r="D6999">
        <v>4.4853389999999997</v>
      </c>
      <c r="E6999">
        <v>0.41457889999999997</v>
      </c>
      <c r="F6999" t="s">
        <v>42</v>
      </c>
      <c r="G6999">
        <v>-190.76240000000001</v>
      </c>
      <c r="H6999" s="1">
        <v>-2.9804689999999999E-6</v>
      </c>
      <c r="I6999">
        <v>-33.936210000000003</v>
      </c>
      <c r="J6999">
        <v>-198.81059999999999</v>
      </c>
      <c r="K6999">
        <v>1.11812</v>
      </c>
      <c r="L6999">
        <v>-52.396819999999998</v>
      </c>
      <c r="M6999">
        <v>0.59406510000000001</v>
      </c>
      <c r="N6999">
        <v>0</v>
      </c>
      <c r="O6999">
        <v>0.80427219999999999</v>
      </c>
      <c r="P6999">
        <v>0.59203479999999997</v>
      </c>
      <c r="Q6999">
        <v>-8.6566839999999996E-3</v>
      </c>
      <c r="R6999">
        <v>0.80586590000000002</v>
      </c>
      <c r="S6999">
        <v>1.2352449999999999</v>
      </c>
      <c r="T6999">
        <v>-0.169326799999999</v>
      </c>
      <c r="U6999">
        <v>2.8198850000000002</v>
      </c>
      <c r="V6999">
        <v>-2.7110599999999999E-3</v>
      </c>
      <c r="W6999">
        <v>6.5529509999999996E-3</v>
      </c>
      <c r="X6999">
        <v>0.99997480000000005</v>
      </c>
      <c r="Y6999">
        <v>-0.22186330000000001</v>
      </c>
      <c r="Z6999">
        <v>-4.0519039999999999E-2</v>
      </c>
      <c r="AA6999">
        <v>0.97423550000000003</v>
      </c>
      <c r="AB6999">
        <v>25</v>
      </c>
      <c r="AC6999">
        <v>8.04819999999998</v>
      </c>
      <c r="AD6999">
        <v>-1.118122980469</v>
      </c>
      <c r="AE6999">
        <v>18.460609999999999</v>
      </c>
      <c r="AF6999">
        <v>-4.4805722044064797</v>
      </c>
      <c r="AG6999">
        <v>-1.118122980469</v>
      </c>
      <c r="AH6999">
        <v>19.570468409118199</v>
      </c>
      <c r="AI6999">
        <v>93.187636892987499</v>
      </c>
      <c r="AJ6999">
        <v>102.895372718659</v>
      </c>
      <c r="AK6999">
        <v>20.107932763729</v>
      </c>
      <c r="AL6999">
        <v>89.624540856861302</v>
      </c>
      <c r="AM6999">
        <v>90.155335829895904</v>
      </c>
      <c r="AN6999">
        <v>0.99999994582408402</v>
      </c>
    </row>
    <row r="7000" spans="1:40" x14ac:dyDescent="0.25">
      <c r="A7000" t="str">
        <f>"20190312155010988"</f>
        <v>20190312155010988</v>
      </c>
      <c r="B7000" t="str">
        <f>"1552377010982192"</f>
        <v>1552377010982192</v>
      </c>
      <c r="C7000" t="s">
        <v>40</v>
      </c>
      <c r="D7000">
        <v>4.447343</v>
      </c>
      <c r="E7000">
        <v>0.41587030000000003</v>
      </c>
      <c r="F7000" t="s">
        <v>42</v>
      </c>
      <c r="G7000">
        <v>-190.16800000000001</v>
      </c>
      <c r="H7000" s="1">
        <v>-3.4633500000000001E-6</v>
      </c>
      <c r="I7000">
        <v>-32.441929999999999</v>
      </c>
      <c r="J7000">
        <v>-198.7253</v>
      </c>
      <c r="K7000">
        <v>1.1180479999999999</v>
      </c>
      <c r="L7000">
        <v>-52.268619999999999</v>
      </c>
      <c r="M7000">
        <v>0.588257699999999</v>
      </c>
      <c r="N7000">
        <v>0</v>
      </c>
      <c r="O7000">
        <v>0.80852990000000002</v>
      </c>
      <c r="P7000">
        <v>0.58662329999999996</v>
      </c>
      <c r="Q7000">
        <v>-7.7791539999999999E-3</v>
      </c>
      <c r="R7000">
        <v>0.80982259999999995</v>
      </c>
      <c r="S7000">
        <v>1.2225950000000001</v>
      </c>
      <c r="T7000">
        <v>-0.15817129999999999</v>
      </c>
      <c r="U7000">
        <v>2.822845</v>
      </c>
      <c r="V7000">
        <v>-2.2289760000000001E-3</v>
      </c>
      <c r="W7000">
        <v>7.4202969999999898E-3</v>
      </c>
      <c r="X7000">
        <v>0.99997000000000003</v>
      </c>
      <c r="Y7000">
        <v>-0.2188397</v>
      </c>
      <c r="Z7000">
        <v>-3.8183880000000003E-2</v>
      </c>
      <c r="AA7000">
        <v>0.97501340000000003</v>
      </c>
      <c r="AB7000">
        <v>25</v>
      </c>
      <c r="AC7000">
        <v>8.5572999999999908</v>
      </c>
      <c r="AD7000">
        <v>-1.1180514633499901</v>
      </c>
      <c r="AE7000">
        <v>19.826689999999999</v>
      </c>
      <c r="AF7000">
        <v>-4.7322359348611904</v>
      </c>
      <c r="AG7000">
        <v>-1.1180514633499901</v>
      </c>
      <c r="AH7000">
        <v>21.010495029252102</v>
      </c>
      <c r="AI7000">
        <v>92.971754989247799</v>
      </c>
      <c r="AJ7000">
        <v>102.69303527828799</v>
      </c>
      <c r="AK7000">
        <v>21.5658293926322</v>
      </c>
      <c r="AL7000">
        <v>89.574844403923294</v>
      </c>
      <c r="AM7000">
        <v>90.127714537356496</v>
      </c>
      <c r="AN7000">
        <v>1.00000001502078</v>
      </c>
    </row>
    <row r="7001" spans="1:40" x14ac:dyDescent="0.25">
      <c r="A7001" t="str">
        <f>"20190312155011008"</f>
        <v>20190312155011008</v>
      </c>
      <c r="B7001" t="str">
        <f>"1552377011002689"</f>
        <v>1552377011002689</v>
      </c>
      <c r="C7001" t="s">
        <v>40</v>
      </c>
      <c r="D7001">
        <v>4.5221730000000004</v>
      </c>
      <c r="E7001">
        <v>0.4171396</v>
      </c>
      <c r="F7001" t="s">
        <v>42</v>
      </c>
      <c r="G7001">
        <v>-190.1035</v>
      </c>
      <c r="H7001" s="1">
        <v>-3.5631030000000001E-6</v>
      </c>
      <c r="I7001">
        <v>-32.16939</v>
      </c>
      <c r="J7001">
        <v>-198.5975</v>
      </c>
      <c r="K7001">
        <v>1.117923</v>
      </c>
      <c r="L7001">
        <v>-52.072659999999999</v>
      </c>
      <c r="M7001">
        <v>0.57949980000000001</v>
      </c>
      <c r="N7001">
        <v>0</v>
      </c>
      <c r="O7001">
        <v>0.81483050000000001</v>
      </c>
      <c r="P7001">
        <v>0.57838690000000004</v>
      </c>
      <c r="Q7001">
        <v>-6.0194050000000002E-3</v>
      </c>
      <c r="R7001">
        <v>0.81574040000000003</v>
      </c>
      <c r="S7001">
        <v>1.2118679999999999</v>
      </c>
      <c r="T7001">
        <v>-0.1571525</v>
      </c>
      <c r="U7001">
        <v>2.8251339999999998</v>
      </c>
      <c r="V7001">
        <v>-1.61242E-3</v>
      </c>
      <c r="W7001">
        <v>9.1583099999999994E-3</v>
      </c>
      <c r="X7001">
        <v>0.99995679999999998</v>
      </c>
      <c r="Y7001">
        <v>-0.2117183</v>
      </c>
      <c r="Z7001">
        <v>-3.8445149999999997E-2</v>
      </c>
      <c r="AA7001">
        <v>0.97657430000000001</v>
      </c>
      <c r="AB7001">
        <v>25</v>
      </c>
      <c r="AC7001">
        <v>8.4939999999999998</v>
      </c>
      <c r="AD7001">
        <v>-1.117926563103</v>
      </c>
      <c r="AE7001">
        <v>19.903269999999999</v>
      </c>
      <c r="AF7001">
        <v>-4.6010249943815804</v>
      </c>
      <c r="AG7001">
        <v>-1.117926563103</v>
      </c>
      <c r="AH7001">
        <v>21.086232774519001</v>
      </c>
      <c r="AI7001">
        <v>92.965164815480406</v>
      </c>
      <c r="AJ7001">
        <v>102.309033569398</v>
      </c>
      <c r="AK7001">
        <v>21.611302677548501</v>
      </c>
      <c r="AL7001">
        <v>89.475260174006095</v>
      </c>
      <c r="AM7001">
        <v>90.092388771926807</v>
      </c>
      <c r="AN7001">
        <v>1.0000000382032701</v>
      </c>
    </row>
    <row r="7002" spans="1:40" x14ac:dyDescent="0.25">
      <c r="A7002" t="str">
        <f>"20190312155011030"</f>
        <v>20190312155011030</v>
      </c>
      <c r="B7002" t="str">
        <f>"1552377011022208"</f>
        <v>1552377011022208</v>
      </c>
      <c r="C7002" t="s">
        <v>40</v>
      </c>
      <c r="D7002">
        <v>4.6062019999999997</v>
      </c>
      <c r="E7002">
        <v>0.41754999999999998</v>
      </c>
      <c r="F7002" t="s">
        <v>42</v>
      </c>
      <c r="G7002">
        <v>-189.83199999999999</v>
      </c>
      <c r="H7002" s="1">
        <v>-3.946329E-6</v>
      </c>
      <c r="I7002">
        <v>-31.2377</v>
      </c>
      <c r="J7002">
        <v>-198.46260000000001</v>
      </c>
      <c r="K7002">
        <v>1.117785</v>
      </c>
      <c r="L7002">
        <v>-51.860930000000003</v>
      </c>
      <c r="M7002">
        <v>0.57018139999999995</v>
      </c>
      <c r="N7002">
        <v>0</v>
      </c>
      <c r="O7002">
        <v>0.82137879999999996</v>
      </c>
      <c r="P7002">
        <v>0.56937190000000004</v>
      </c>
      <c r="Q7002">
        <v>-3.2895979999999999E-3</v>
      </c>
      <c r="R7002">
        <v>0.82207350000000001</v>
      </c>
      <c r="S7002">
        <v>1.19136</v>
      </c>
      <c r="T7002">
        <v>-0.1519432</v>
      </c>
      <c r="U7002">
        <v>2.8317869999999998</v>
      </c>
      <c r="V7002">
        <v>-1.2867180000000001E-3</v>
      </c>
      <c r="W7002">
        <v>1.18561E-2</v>
      </c>
      <c r="X7002">
        <v>0.99992890000000001</v>
      </c>
      <c r="Y7002">
        <v>-0.20739170000000001</v>
      </c>
      <c r="Z7002">
        <v>-3.7631999999999999E-2</v>
      </c>
      <c r="AA7002">
        <v>0.97753389999999996</v>
      </c>
      <c r="AB7002">
        <v>25</v>
      </c>
      <c r="AC7002">
        <v>8.63060000000001</v>
      </c>
      <c r="AD7002">
        <v>-1.1177889463290001</v>
      </c>
      <c r="AE7002">
        <v>20.62323</v>
      </c>
      <c r="AF7002">
        <v>-4.6588808705415303</v>
      </c>
      <c r="AG7002">
        <v>-1.1177889463290001</v>
      </c>
      <c r="AH7002">
        <v>21.808487707187201</v>
      </c>
      <c r="AI7002">
        <v>92.869480109634793</v>
      </c>
      <c r="AJ7002">
        <v>102.05866526492299</v>
      </c>
      <c r="AK7002">
        <v>22.3285637506977</v>
      </c>
      <c r="AL7002">
        <v>89.320679602308502</v>
      </c>
      <c r="AM7002">
        <v>90.073728712242598</v>
      </c>
      <c r="AN7002">
        <v>1.00000001390281</v>
      </c>
    </row>
    <row r="7003" spans="1:40" x14ac:dyDescent="0.25">
      <c r="A7003" t="str">
        <f>"20190312155011053"</f>
        <v>20190312155011053</v>
      </c>
      <c r="B7003" t="str">
        <f>"1552377011042705"</f>
        <v>1552377011042705</v>
      </c>
      <c r="C7003" t="s">
        <v>40</v>
      </c>
      <c r="D7003">
        <v>4.5218449999999999</v>
      </c>
      <c r="E7003">
        <v>0.4193731</v>
      </c>
      <c r="F7003" t="s">
        <v>42</v>
      </c>
      <c r="G7003">
        <v>-189.28110000000001</v>
      </c>
      <c r="H7003" s="1">
        <v>-5.3622690000000001E-7</v>
      </c>
      <c r="I7003">
        <v>-29.41451</v>
      </c>
      <c r="J7003">
        <v>-198.3323</v>
      </c>
      <c r="K7003">
        <v>1.1176379999999999</v>
      </c>
      <c r="L7003">
        <v>-51.65155</v>
      </c>
      <c r="M7003">
        <v>0.56111429999999995</v>
      </c>
      <c r="N7003">
        <v>0</v>
      </c>
      <c r="O7003">
        <v>0.82760009999999995</v>
      </c>
      <c r="P7003">
        <v>0.56026659999999995</v>
      </c>
      <c r="Q7003">
        <v>-1.223199E-4</v>
      </c>
      <c r="R7003">
        <v>0.82831239999999995</v>
      </c>
      <c r="S7003">
        <v>1.1629940000000001</v>
      </c>
      <c r="T7003">
        <v>-0.14158699999999999</v>
      </c>
      <c r="U7003">
        <v>2.8432309999999998</v>
      </c>
      <c r="V7003">
        <v>-1.3805899999999999E-3</v>
      </c>
      <c r="W7003">
        <v>1.498292E-2</v>
      </c>
      <c r="X7003">
        <v>0.99988679999999996</v>
      </c>
      <c r="Y7003">
        <v>-0.20632690000000001</v>
      </c>
      <c r="Z7003">
        <v>-3.5419600000000002E-2</v>
      </c>
      <c r="AA7003">
        <v>0.97784190000000004</v>
      </c>
      <c r="AB7003">
        <v>25</v>
      </c>
      <c r="AC7003">
        <v>9.0511999999999908</v>
      </c>
      <c r="AD7003">
        <v>-1.1176385362268999</v>
      </c>
      <c r="AE7003">
        <v>22.23704</v>
      </c>
      <c r="AF7003">
        <v>-4.9765332819534001</v>
      </c>
      <c r="AG7003">
        <v>-1.1176385362268999</v>
      </c>
      <c r="AH7003">
        <v>23.434038308185698</v>
      </c>
      <c r="AI7003">
        <v>92.671059293482799</v>
      </c>
      <c r="AJ7003">
        <v>101.989413527076</v>
      </c>
      <c r="AK7003">
        <v>23.982684395904599</v>
      </c>
      <c r="AL7003">
        <v>89.141509799956395</v>
      </c>
      <c r="AM7003">
        <v>90.079110885321896</v>
      </c>
      <c r="AN7003">
        <v>1.00000000336735</v>
      </c>
    </row>
    <row r="7004" spans="1:40" x14ac:dyDescent="0.25">
      <c r="A7004" t="str">
        <f>"20190312155011073"</f>
        <v>20190312155011073</v>
      </c>
      <c r="B7004" t="str">
        <f>"1552377011062224"</f>
        <v>1552377011062224</v>
      </c>
      <c r="C7004" t="s">
        <v>40</v>
      </c>
      <c r="D7004">
        <v>4.5460120000000002</v>
      </c>
      <c r="E7004">
        <v>0.42080990000000001</v>
      </c>
      <c r="F7004" t="s">
        <v>42</v>
      </c>
      <c r="G7004">
        <v>-188.8364</v>
      </c>
      <c r="H7004" s="1">
        <v>-1.2195459999999999E-6</v>
      </c>
      <c r="I7004">
        <v>-28.005559999999999</v>
      </c>
      <c r="J7004">
        <v>-198.21209999999999</v>
      </c>
      <c r="K7004">
        <v>1.117483</v>
      </c>
      <c r="L7004">
        <v>-51.454279999999997</v>
      </c>
      <c r="M7004">
        <v>0.55272569999999999</v>
      </c>
      <c r="N7004">
        <v>0</v>
      </c>
      <c r="O7004">
        <v>0.83322659999999904</v>
      </c>
      <c r="P7004">
        <v>0.55165419999999998</v>
      </c>
      <c r="Q7004">
        <v>2.1575259999999999E-3</v>
      </c>
      <c r="R7004">
        <v>0.83407019999999998</v>
      </c>
      <c r="S7004">
        <v>1.1437839999999999</v>
      </c>
      <c r="T7004">
        <v>-0.1346203</v>
      </c>
      <c r="U7004">
        <v>2.8481749999999999</v>
      </c>
      <c r="V7004">
        <v>-1.6732749999999999E-3</v>
      </c>
      <c r="W7004">
        <v>1.7219950000000001E-2</v>
      </c>
      <c r="X7004">
        <v>0.99985029999999997</v>
      </c>
      <c r="Y7004">
        <v>-0.20267930000000001</v>
      </c>
      <c r="Z7004">
        <v>-3.4039020000000003E-2</v>
      </c>
      <c r="AA7004">
        <v>0.97865340000000001</v>
      </c>
      <c r="AB7004">
        <v>25</v>
      </c>
      <c r="AC7004">
        <v>9.3756999999999895</v>
      </c>
      <c r="AD7004">
        <v>-1.117484219546</v>
      </c>
      <c r="AE7004">
        <v>23.448720000000002</v>
      </c>
      <c r="AF7004">
        <v>-5.1391509281123797</v>
      </c>
      <c r="AG7004">
        <v>-1.117484219546</v>
      </c>
      <c r="AH7004">
        <v>24.674787181563499</v>
      </c>
      <c r="AI7004">
        <v>92.538664513326395</v>
      </c>
      <c r="AJ7004">
        <v>101.765107096585</v>
      </c>
      <c r="AK7004">
        <v>25.2290460719049</v>
      </c>
      <c r="AL7004">
        <v>89.013320749496998</v>
      </c>
      <c r="AM7004">
        <v>90.095885860075995</v>
      </c>
      <c r="AN7004">
        <v>0.99999997446865796</v>
      </c>
    </row>
    <row r="7005" spans="1:40" x14ac:dyDescent="0.25">
      <c r="A7005" t="str">
        <f>"20190312155011086"</f>
        <v>20190312155011086</v>
      </c>
      <c r="B7005" t="str">
        <f>"1552377011082720"</f>
        <v>1552377011082720</v>
      </c>
      <c r="C7005" t="s">
        <v>40</v>
      </c>
      <c r="D7005">
        <v>4.6008040000000001</v>
      </c>
      <c r="E7005">
        <v>0.43870360000000003</v>
      </c>
      <c r="F7005" t="s">
        <v>42</v>
      </c>
      <c r="G7005">
        <v>-188.9177</v>
      </c>
      <c r="H7005" s="1">
        <v>-1.2732980000000001E-6</v>
      </c>
      <c r="I7005">
        <v>-27.846640000000001</v>
      </c>
      <c r="J7005">
        <v>-198.14</v>
      </c>
      <c r="K7005">
        <v>1.1173850000000001</v>
      </c>
      <c r="L7005">
        <v>-51.334440000000001</v>
      </c>
      <c r="M7005">
        <v>0.54769299999999999</v>
      </c>
      <c r="N7005">
        <v>0</v>
      </c>
      <c r="O7005">
        <v>0.8365437</v>
      </c>
      <c r="P7005">
        <v>0.54646569999999905</v>
      </c>
      <c r="Q7005">
        <v>2.5164850000000002E-3</v>
      </c>
      <c r="R7005">
        <v>0.83747769999999999</v>
      </c>
      <c r="S7005">
        <v>1.1236269999999999</v>
      </c>
      <c r="T7005">
        <v>-0.1350963</v>
      </c>
      <c r="U7005">
        <v>2.8540040000000002</v>
      </c>
      <c r="V7005">
        <v>-1.854435E-3</v>
      </c>
      <c r="W7005">
        <v>1.7552249999999998E-2</v>
      </c>
      <c r="X7005">
        <v>0.99984430000000002</v>
      </c>
      <c r="Y7005">
        <v>-0.2034405</v>
      </c>
      <c r="Z7005">
        <v>-3.4340870000000003E-2</v>
      </c>
      <c r="AA7005">
        <v>0.97848489999999999</v>
      </c>
      <c r="AB7005">
        <v>25</v>
      </c>
      <c r="AC7005">
        <v>9.22229999999999</v>
      </c>
      <c r="AD7005">
        <v>-1.117386273298</v>
      </c>
      <c r="AE7005">
        <v>23.4878</v>
      </c>
      <c r="AF7005">
        <v>-5.1397527757421004</v>
      </c>
      <c r="AG7005">
        <v>-1.117386273298</v>
      </c>
      <c r="AH7005">
        <v>24.654020544866501</v>
      </c>
      <c r="AI7005">
        <v>92.540476419818802</v>
      </c>
      <c r="AJ7005">
        <v>101.776080985237</v>
      </c>
      <c r="AK7005">
        <v>25.208854390991299</v>
      </c>
      <c r="AL7005">
        <v>88.994278581585903</v>
      </c>
      <c r="AM7005">
        <v>90.106267722931193</v>
      </c>
      <c r="AN7005">
        <v>1.00000007232585</v>
      </c>
    </row>
    <row r="7006" spans="1:40" x14ac:dyDescent="0.25">
      <c r="A7006" t="str">
        <f>"20190312155011110"</f>
        <v>20190312155011110</v>
      </c>
      <c r="B7006" t="str">
        <f>"1552377011102240"</f>
        <v>1552377011102240</v>
      </c>
      <c r="C7006" t="s">
        <v>40</v>
      </c>
      <c r="D7006">
        <v>4.6173609999999998</v>
      </c>
      <c r="E7006">
        <v>0.4399226</v>
      </c>
      <c r="F7006" t="s">
        <v>42</v>
      </c>
      <c r="G7006">
        <v>-191.08189999999999</v>
      </c>
      <c r="H7006" s="1">
        <v>-2.4919720000000001E-6</v>
      </c>
      <c r="I7006">
        <v>-35.273029999999999</v>
      </c>
      <c r="J7006">
        <v>-198.0087</v>
      </c>
      <c r="K7006">
        <v>1.1171789999999999</v>
      </c>
      <c r="L7006">
        <v>-51.111240000000002</v>
      </c>
      <c r="M7006">
        <v>0.53856150000000003</v>
      </c>
      <c r="N7006">
        <v>0</v>
      </c>
      <c r="O7006">
        <v>0.84245230000000004</v>
      </c>
      <c r="P7006">
        <v>0.53724799999999995</v>
      </c>
      <c r="Q7006">
        <v>2.549024E-3</v>
      </c>
      <c r="R7006">
        <v>0.84342050000000002</v>
      </c>
      <c r="S7006">
        <v>1.223587</v>
      </c>
      <c r="T7006">
        <v>-0.1937073</v>
      </c>
      <c r="U7006">
        <v>2.7843629999999999</v>
      </c>
      <c r="V7006">
        <v>-1.935008E-3</v>
      </c>
      <c r="W7006">
        <v>1.7536039999999999E-2</v>
      </c>
      <c r="X7006">
        <v>0.99984439999999997</v>
      </c>
      <c r="Y7006">
        <v>-0.1547499</v>
      </c>
      <c r="Z7006">
        <v>-5.0902580000000003E-2</v>
      </c>
      <c r="AA7006">
        <v>0.98664149999999995</v>
      </c>
      <c r="AB7006">
        <v>25</v>
      </c>
      <c r="AC7006">
        <v>6.9268000000000098</v>
      </c>
      <c r="AD7006">
        <v>-1.117181491972</v>
      </c>
      <c r="AE7006">
        <v>15.83821</v>
      </c>
      <c r="AF7006">
        <v>-2.68344784327609</v>
      </c>
      <c r="AG7006">
        <v>-1.117181491972</v>
      </c>
      <c r="AH7006">
        <v>17.004350170652899</v>
      </c>
      <c r="AI7006">
        <v>93.713096086693</v>
      </c>
      <c r="AJ7006">
        <v>98.967861124492799</v>
      </c>
      <c r="AK7006">
        <v>17.250997407100002</v>
      </c>
      <c r="AL7006">
        <v>88.995207457174999</v>
      </c>
      <c r="AM7006">
        <v>90.110884907000298</v>
      </c>
      <c r="AN7006">
        <v>1.0000000405831</v>
      </c>
    </row>
    <row r="7007" spans="1:40" x14ac:dyDescent="0.25">
      <c r="A7007" t="str">
        <f>"20190312155011131"</f>
        <v>20190312155011131</v>
      </c>
      <c r="B7007" t="str">
        <f>"1552377011122736"</f>
        <v>1552377011122736</v>
      </c>
      <c r="C7007" t="s">
        <v>40</v>
      </c>
      <c r="D7007">
        <v>4.6215099999999998</v>
      </c>
      <c r="E7007">
        <v>0.44188090000000002</v>
      </c>
      <c r="F7007" t="s">
        <v>42</v>
      </c>
      <c r="G7007">
        <v>-191.3802</v>
      </c>
      <c r="H7007" s="1">
        <v>-2.3897039999999999E-6</v>
      </c>
      <c r="I7007">
        <v>-35.696440000000003</v>
      </c>
      <c r="J7007">
        <v>-197.88749999999999</v>
      </c>
      <c r="K7007">
        <v>1.1169690000000001</v>
      </c>
      <c r="L7007">
        <v>-50.900790000000001</v>
      </c>
      <c r="M7007">
        <v>0.53018310000000002</v>
      </c>
      <c r="N7007">
        <v>0</v>
      </c>
      <c r="O7007">
        <v>0.84775109999999998</v>
      </c>
      <c r="P7007">
        <v>0.52869029999999995</v>
      </c>
      <c r="Q7007">
        <v>2.9793630000000001E-3</v>
      </c>
      <c r="R7007">
        <v>0.84880959999999905</v>
      </c>
      <c r="S7007">
        <v>1.2008669999999999</v>
      </c>
      <c r="T7007">
        <v>-0.20239509999999999</v>
      </c>
      <c r="U7007">
        <v>2.7926329999999999</v>
      </c>
      <c r="V7007">
        <v>-2.1309440000000001E-3</v>
      </c>
      <c r="W7007">
        <v>1.7915549999999999E-2</v>
      </c>
      <c r="X7007">
        <v>0.99983719999999998</v>
      </c>
      <c r="Y7007">
        <v>-0.15284719999999999</v>
      </c>
      <c r="Z7007">
        <v>-5.3631739999999997E-2</v>
      </c>
      <c r="AA7007">
        <v>0.98679349999999999</v>
      </c>
      <c r="AB7007">
        <v>25</v>
      </c>
      <c r="AC7007">
        <v>6.5072999999999803</v>
      </c>
      <c r="AD7007">
        <v>-1.1169713897039999</v>
      </c>
      <c r="AE7007">
        <v>15.2043499999999</v>
      </c>
      <c r="AF7007">
        <v>-2.5332484639523698</v>
      </c>
      <c r="AG7007">
        <v>-1.1169713897039999</v>
      </c>
      <c r="AH7007">
        <v>16.267193483112599</v>
      </c>
      <c r="AI7007">
        <v>93.881358862832997</v>
      </c>
      <c r="AJ7007">
        <v>98.851430118879406</v>
      </c>
      <c r="AK7007">
        <v>16.501107741074701</v>
      </c>
      <c r="AL7007">
        <v>88.973459644404301</v>
      </c>
      <c r="AM7007">
        <v>90.122113792837894</v>
      </c>
      <c r="AN7007">
        <v>0.99999996717898598</v>
      </c>
    </row>
    <row r="7008" spans="1:40" x14ac:dyDescent="0.25">
      <c r="A7008" t="str">
        <f>"20190312155011152"</f>
        <v>20190312155011152</v>
      </c>
      <c r="B7008" t="str">
        <f>"1552377011142256"</f>
        <v>1552377011142256</v>
      </c>
      <c r="C7008" t="s">
        <v>40</v>
      </c>
      <c r="D7008">
        <v>4.8333440000000003</v>
      </c>
      <c r="E7008">
        <v>0.44366410000000001</v>
      </c>
      <c r="F7008" t="s">
        <v>42</v>
      </c>
      <c r="G7008">
        <v>-191.46549999999999</v>
      </c>
      <c r="H7008" s="1">
        <v>-2.3875119999999999E-6</v>
      </c>
      <c r="I7008">
        <v>-35.754440000000002</v>
      </c>
      <c r="J7008">
        <v>-197.7723</v>
      </c>
      <c r="K7008">
        <v>1.11676</v>
      </c>
      <c r="L7008">
        <v>-50.696840000000002</v>
      </c>
      <c r="M7008">
        <v>0.52228469999999905</v>
      </c>
      <c r="N7008">
        <v>0</v>
      </c>
      <c r="O7008">
        <v>0.85264059999999897</v>
      </c>
      <c r="P7008">
        <v>0.52033390000000002</v>
      </c>
      <c r="Q7008">
        <v>4.3425290000000004E-3</v>
      </c>
      <c r="R7008">
        <v>0.85395189999999999</v>
      </c>
      <c r="S7008">
        <v>1.18573</v>
      </c>
      <c r="T7008">
        <v>-0.20623150000000001</v>
      </c>
      <c r="U7008">
        <v>2.7965390000000001</v>
      </c>
      <c r="V7008">
        <v>-2.6643729999999998E-3</v>
      </c>
      <c r="W7008">
        <v>1.9223759999999999E-2</v>
      </c>
      <c r="X7008">
        <v>0.99981160000000002</v>
      </c>
      <c r="Y7008">
        <v>-0.1487164</v>
      </c>
      <c r="Z7008">
        <v>-5.5132779999999999E-2</v>
      </c>
      <c r="AA7008">
        <v>0.98734180000000005</v>
      </c>
      <c r="AB7008">
        <v>25</v>
      </c>
      <c r="AC7008">
        <v>6.3068000000000097</v>
      </c>
      <c r="AD7008">
        <v>-1.1167623875120001</v>
      </c>
      <c r="AE7008">
        <v>14.942399999999999</v>
      </c>
      <c r="AF7008">
        <v>-2.41557090175308</v>
      </c>
      <c r="AG7008">
        <v>-1.1167623875120001</v>
      </c>
      <c r="AH7008">
        <v>15.9605567599429</v>
      </c>
      <c r="AI7008">
        <v>93.957547501080299</v>
      </c>
      <c r="AJ7008">
        <v>98.606189492588001</v>
      </c>
      <c r="AK7008">
        <v>16.180899638120099</v>
      </c>
      <c r="AL7008">
        <v>88.898491772194404</v>
      </c>
      <c r="AM7008">
        <v>90.152685732573801</v>
      </c>
      <c r="AN7008">
        <v>0.99999994366328804</v>
      </c>
    </row>
    <row r="7009" spans="1:40" x14ac:dyDescent="0.25">
      <c r="A7009" t="str">
        <f>"20190312155011176"</f>
        <v>20190312155011176</v>
      </c>
      <c r="B7009" t="str">
        <f>"1552377011162752"</f>
        <v>1552377011162752</v>
      </c>
      <c r="C7009" t="s">
        <v>40</v>
      </c>
      <c r="D7009">
        <v>4.6366139999999998</v>
      </c>
      <c r="E7009">
        <v>0.44428129999999999</v>
      </c>
      <c r="F7009" t="s">
        <v>42</v>
      </c>
      <c r="G7009">
        <v>-191.45830000000001</v>
      </c>
      <c r="H7009" s="1">
        <v>-2.4587459999999999E-6</v>
      </c>
      <c r="I7009">
        <v>-35.583959999999998</v>
      </c>
      <c r="J7009">
        <v>-197.64670000000001</v>
      </c>
      <c r="K7009">
        <v>1.1165179999999999</v>
      </c>
      <c r="L7009">
        <v>-50.470120000000001</v>
      </c>
      <c r="M7009">
        <v>0.51378489999999999</v>
      </c>
      <c r="N7009">
        <v>0</v>
      </c>
      <c r="O7009">
        <v>0.85779019999999995</v>
      </c>
      <c r="P7009">
        <v>0.51142670000000001</v>
      </c>
      <c r="Q7009">
        <v>6.1101200000000001E-3</v>
      </c>
      <c r="R7009">
        <v>0.85930519999999999</v>
      </c>
      <c r="S7009">
        <v>1.170258</v>
      </c>
      <c r="T7009">
        <v>-0.20698549999999999</v>
      </c>
      <c r="U7009">
        <v>2.8010860000000002</v>
      </c>
      <c r="V7009">
        <v>-3.1329079999999998E-3</v>
      </c>
      <c r="W7009">
        <v>2.0931930000000001E-2</v>
      </c>
      <c r="X7009">
        <v>0.999776</v>
      </c>
      <c r="Y7009">
        <v>-0.1441096</v>
      </c>
      <c r="Z7009">
        <v>-5.5841410000000001E-2</v>
      </c>
      <c r="AA7009">
        <v>0.98798490000000005</v>
      </c>
      <c r="AB7009">
        <v>25</v>
      </c>
      <c r="AC7009">
        <v>6.1883999999999997</v>
      </c>
      <c r="AD7009">
        <v>-1.116520458746</v>
      </c>
      <c r="AE7009">
        <v>14.88616</v>
      </c>
      <c r="AF7009">
        <v>-2.32902253659962</v>
      </c>
      <c r="AG7009">
        <v>-1.116520458746</v>
      </c>
      <c r="AH7009">
        <v>15.874328236016799</v>
      </c>
      <c r="AI7009">
        <v>93.980794186003706</v>
      </c>
      <c r="AJ7009">
        <v>98.3466748693494</v>
      </c>
      <c r="AK7009">
        <v>16.083073737802302</v>
      </c>
      <c r="AL7009">
        <v>88.800601164408604</v>
      </c>
      <c r="AM7009">
        <v>90.179542035880303</v>
      </c>
      <c r="AN7009">
        <v>1.0000000054910301</v>
      </c>
    </row>
    <row r="7010" spans="1:40" x14ac:dyDescent="0.25">
      <c r="A7010" t="str">
        <f>"20190312155011189"</f>
        <v>20190312155011189</v>
      </c>
      <c r="B7010" t="str">
        <f>"1552377011182272"</f>
        <v>1552377011182272</v>
      </c>
      <c r="C7010" t="s">
        <v>40</v>
      </c>
      <c r="D7010">
        <v>4.6642440000000001</v>
      </c>
      <c r="E7010">
        <v>0.45321070000000002</v>
      </c>
      <c r="F7010" t="s">
        <v>42</v>
      </c>
      <c r="G7010">
        <v>-191.19800000000001</v>
      </c>
      <c r="H7010" s="1">
        <v>-2.7918340000000002E-6</v>
      </c>
      <c r="I7010">
        <v>-34.646079999999998</v>
      </c>
      <c r="J7010">
        <v>-197.5735</v>
      </c>
      <c r="K7010">
        <v>1.116368</v>
      </c>
      <c r="L7010">
        <v>-50.336120000000001</v>
      </c>
      <c r="M7010">
        <v>0.50890159999999995</v>
      </c>
      <c r="N7010">
        <v>0</v>
      </c>
      <c r="O7010">
        <v>0.86069680000000004</v>
      </c>
      <c r="P7010">
        <v>0.50620759999999998</v>
      </c>
      <c r="Q7010">
        <v>6.9497700000000001E-3</v>
      </c>
      <c r="R7010">
        <v>0.86238369999999998</v>
      </c>
      <c r="S7010">
        <v>1.1454930000000001</v>
      </c>
      <c r="T7010">
        <v>-0.19832939999999999</v>
      </c>
      <c r="U7010">
        <v>2.8108520000000001</v>
      </c>
      <c r="V7010">
        <v>-3.513754E-3</v>
      </c>
      <c r="W7010">
        <v>2.1735210000000001E-2</v>
      </c>
      <c r="X7010">
        <v>0.99975760000000002</v>
      </c>
      <c r="Y7010">
        <v>-0.14709359999999999</v>
      </c>
      <c r="Z7010">
        <v>-5.3684450000000002E-2</v>
      </c>
      <c r="AA7010">
        <v>0.9876646</v>
      </c>
      <c r="AB7010">
        <v>25</v>
      </c>
      <c r="AC7010">
        <v>6.3755000000000104</v>
      </c>
      <c r="AD7010">
        <v>-1.116370791834</v>
      </c>
      <c r="AE7010">
        <v>15.69004</v>
      </c>
      <c r="AF7010">
        <v>-2.4867836347116001</v>
      </c>
      <c r="AG7010">
        <v>-1.116370791834</v>
      </c>
      <c r="AH7010">
        <v>16.678244728686401</v>
      </c>
      <c r="AI7010">
        <v>93.787675448558502</v>
      </c>
      <c r="AJ7010">
        <v>98.480520189319193</v>
      </c>
      <c r="AK7010">
        <v>16.899533242686999</v>
      </c>
      <c r="AL7010">
        <v>88.754566141170798</v>
      </c>
      <c r="AM7010">
        <v>90.201371257900703</v>
      </c>
      <c r="AN7010">
        <v>1.00000001228933</v>
      </c>
    </row>
    <row r="7011" spans="1:40" x14ac:dyDescent="0.25">
      <c r="A7011" t="str">
        <f>"20190312155011209"</f>
        <v>20190312155011209</v>
      </c>
      <c r="B7011" t="str">
        <f>"1552377011202768"</f>
        <v>1552377011202768</v>
      </c>
      <c r="C7011" t="s">
        <v>40</v>
      </c>
      <c r="D7011">
        <v>4.5918000000000001</v>
      </c>
      <c r="E7011">
        <v>0.45182509999999998</v>
      </c>
      <c r="F7011" t="s">
        <v>42</v>
      </c>
      <c r="G7011">
        <v>-192.03829999999999</v>
      </c>
      <c r="H7011" s="1">
        <v>-1.8435739999999999E-6</v>
      </c>
      <c r="I7011">
        <v>-37.377690000000001</v>
      </c>
      <c r="J7011">
        <v>-197.47</v>
      </c>
      <c r="K7011">
        <v>1.1161380000000001</v>
      </c>
      <c r="L7011">
        <v>-50.143549999999998</v>
      </c>
      <c r="M7011">
        <v>0.50211269999999997</v>
      </c>
      <c r="N7011">
        <v>0</v>
      </c>
      <c r="O7011">
        <v>0.86467569999999905</v>
      </c>
      <c r="P7011">
        <v>0.49863600000000002</v>
      </c>
      <c r="Q7011">
        <v>7.8451010000000002E-3</v>
      </c>
      <c r="R7011">
        <v>0.86677599999999999</v>
      </c>
      <c r="S7011">
        <v>1.1887209999999999</v>
      </c>
      <c r="T7011">
        <v>-0.23974680000000001</v>
      </c>
      <c r="U7011">
        <v>2.7828979999999999</v>
      </c>
      <c r="V7011">
        <v>-4.3970370000000003E-3</v>
      </c>
      <c r="W7011">
        <v>2.2570900000000001E-2</v>
      </c>
      <c r="X7011">
        <v>0.99973559999999995</v>
      </c>
      <c r="Y7011">
        <v>-0.1230861</v>
      </c>
      <c r="Z7011">
        <v>-6.5870830000000005E-2</v>
      </c>
      <c r="AA7011">
        <v>0.99020750000000002</v>
      </c>
      <c r="AB7011">
        <v>25</v>
      </c>
      <c r="AC7011">
        <v>5.4317000000000002</v>
      </c>
      <c r="AD7011">
        <v>-1.11613984357399</v>
      </c>
      <c r="AE7011">
        <v>12.765859999999901</v>
      </c>
      <c r="AF7011">
        <v>-1.7024099955310501</v>
      </c>
      <c r="AG7011">
        <v>-1.11613984357399</v>
      </c>
      <c r="AH7011">
        <v>13.6786254063126</v>
      </c>
      <c r="AI7011">
        <v>94.629291710498705</v>
      </c>
      <c r="AJ7011">
        <v>97.094419752124296</v>
      </c>
      <c r="AK7011">
        <v>13.829271887901999</v>
      </c>
      <c r="AL7011">
        <v>88.706672892975902</v>
      </c>
      <c r="AM7011">
        <v>90.251996665931202</v>
      </c>
      <c r="AN7011">
        <v>1.00000002468427</v>
      </c>
    </row>
    <row r="7012" spans="1:40" x14ac:dyDescent="0.25">
      <c r="A7012" t="str">
        <f>"20190312155011222"</f>
        <v>20190312155011222</v>
      </c>
      <c r="B7012" t="str">
        <f>"1552377011212529"</f>
        <v>1552377011212529</v>
      </c>
      <c r="C7012" t="s">
        <v>40</v>
      </c>
      <c r="D7012">
        <v>4.608028</v>
      </c>
      <c r="E7012">
        <v>0.43687369999999998</v>
      </c>
      <c r="F7012" t="s">
        <v>42</v>
      </c>
      <c r="G7012">
        <v>-191.85120000000001</v>
      </c>
      <c r="H7012" s="1">
        <v>-2.1588929999999998E-6</v>
      </c>
      <c r="I7012">
        <v>-36.526609999999998</v>
      </c>
      <c r="J7012">
        <v>-197.4007</v>
      </c>
      <c r="K7012">
        <v>1.1159709999999901</v>
      </c>
      <c r="L7012">
        <v>-50.013150000000003</v>
      </c>
      <c r="M7012">
        <v>0.49765789999999999</v>
      </c>
      <c r="N7012">
        <v>0</v>
      </c>
      <c r="O7012">
        <v>0.86724789999999996</v>
      </c>
      <c r="P7012">
        <v>0.49396119999999999</v>
      </c>
      <c r="Q7012">
        <v>8.2459569999999999E-3</v>
      </c>
      <c r="R7012">
        <v>0.86944480000000002</v>
      </c>
      <c r="S7012">
        <v>1.1548769999999999</v>
      </c>
      <c r="T7012">
        <v>-0.229409</v>
      </c>
      <c r="U7012">
        <v>2.7987980000000001</v>
      </c>
      <c r="V7012">
        <v>-4.63154E-3</v>
      </c>
      <c r="W7012">
        <v>2.2937019999999999E-2</v>
      </c>
      <c r="X7012">
        <v>0.99972620000000001</v>
      </c>
      <c r="Y7012">
        <v>-0.1301166</v>
      </c>
      <c r="Z7012">
        <v>-6.3093780000000002E-2</v>
      </c>
      <c r="AA7012">
        <v>0.98948919999999996</v>
      </c>
      <c r="AB7012">
        <v>25</v>
      </c>
      <c r="AC7012">
        <v>5.5494999999999903</v>
      </c>
      <c r="AD7012">
        <v>-1.11597315889299</v>
      </c>
      <c r="AE7012">
        <v>13.48654</v>
      </c>
      <c r="AF7012">
        <v>-1.88804201014469</v>
      </c>
      <c r="AG7012">
        <v>-1.11597315889299</v>
      </c>
      <c r="AH7012">
        <v>14.375323466137401</v>
      </c>
      <c r="AI7012">
        <v>94.401386065180901</v>
      </c>
      <c r="AJ7012">
        <v>97.4823487081987</v>
      </c>
      <c r="AK7012">
        <v>14.541665086210701</v>
      </c>
      <c r="AL7012">
        <v>88.685690319345397</v>
      </c>
      <c r="AM7012">
        <v>90.265438473203005</v>
      </c>
      <c r="AN7012">
        <v>1.00000001650784</v>
      </c>
    </row>
    <row r="7013" spans="1:40" x14ac:dyDescent="0.25">
      <c r="A7013" t="str">
        <f>"20190312155011241"</f>
        <v>20190312155011241</v>
      </c>
      <c r="B7013" t="str">
        <f>"1552377011233024"</f>
        <v>1552377011233024</v>
      </c>
      <c r="C7013" t="s">
        <v>40</v>
      </c>
      <c r="D7013">
        <v>4.6014109999999997</v>
      </c>
      <c r="E7013">
        <v>0.43608370000000002</v>
      </c>
      <c r="F7013" t="s">
        <v>42</v>
      </c>
      <c r="G7013">
        <v>-191.13249999999999</v>
      </c>
      <c r="H7013" s="1">
        <v>-3.6029619999999999E-6</v>
      </c>
      <c r="I7013">
        <v>-32.714709999999997</v>
      </c>
      <c r="J7013">
        <v>-197.30250000000001</v>
      </c>
      <c r="K7013">
        <v>1.115729</v>
      </c>
      <c r="L7013">
        <v>-49.825839999999999</v>
      </c>
      <c r="M7013">
        <v>0.4914828</v>
      </c>
      <c r="N7013">
        <v>0</v>
      </c>
      <c r="O7013">
        <v>0.87076309999999901</v>
      </c>
      <c r="P7013">
        <v>0.4868731</v>
      </c>
      <c r="Q7013">
        <v>8.9792039999999993E-3</v>
      </c>
      <c r="R7013">
        <v>0.87342659999999905</v>
      </c>
      <c r="S7013">
        <v>1.0373840000000001</v>
      </c>
      <c r="T7013">
        <v>-0.1846932</v>
      </c>
      <c r="U7013">
        <v>2.8628849999999999</v>
      </c>
      <c r="V7013">
        <v>-5.650647E-3</v>
      </c>
      <c r="W7013">
        <v>2.3609649999999999E-2</v>
      </c>
      <c r="X7013">
        <v>0.99970530000000002</v>
      </c>
      <c r="Y7013">
        <v>-0.16593550000000001</v>
      </c>
      <c r="Z7013">
        <v>-5.0247319999999998E-2</v>
      </c>
      <c r="AA7013">
        <v>0.9848557</v>
      </c>
      <c r="AB7013">
        <v>25</v>
      </c>
      <c r="AC7013">
        <v>6.1700000000000097</v>
      </c>
      <c r="AD7013">
        <v>-1.1157326029620001</v>
      </c>
      <c r="AE7013">
        <v>17.111129999999999</v>
      </c>
      <c r="AF7013">
        <v>-3.0261603302671798</v>
      </c>
      <c r="AG7013">
        <v>-1.1157326029620001</v>
      </c>
      <c r="AH7013">
        <v>17.866904774879298</v>
      </c>
      <c r="AI7013">
        <v>93.523253742803902</v>
      </c>
      <c r="AJ7013">
        <v>99.613092224472894</v>
      </c>
      <c r="AK7013">
        <v>18.1556820808362</v>
      </c>
      <c r="AL7013">
        <v>88.647141017057706</v>
      </c>
      <c r="AM7013">
        <v>90.323850215464603</v>
      </c>
      <c r="AN7013">
        <v>1.00000001611636</v>
      </c>
    </row>
    <row r="7014" spans="1:40" x14ac:dyDescent="0.25">
      <c r="A7014" t="str">
        <f>"20190312155011265"</f>
        <v>20190312155011265</v>
      </c>
      <c r="B7014" t="str">
        <f>"1552377011252544"</f>
        <v>1552377011252544</v>
      </c>
      <c r="C7014" t="s">
        <v>40</v>
      </c>
      <c r="D7014">
        <v>4.5668819999999997</v>
      </c>
      <c r="E7014">
        <v>0.43686219999999998</v>
      </c>
      <c r="F7014" t="s">
        <v>42</v>
      </c>
      <c r="G7014">
        <v>-190.75540000000001</v>
      </c>
      <c r="H7014" s="1">
        <v>-4.1608999999999901E-6</v>
      </c>
      <c r="I7014">
        <v>-31.17998</v>
      </c>
      <c r="J7014">
        <v>-197.18969999999999</v>
      </c>
      <c r="K7014">
        <v>1.1154269999999999</v>
      </c>
      <c r="L7014">
        <v>-49.607599999999998</v>
      </c>
      <c r="M7014">
        <v>0.48462270000000002</v>
      </c>
      <c r="N7014">
        <v>0</v>
      </c>
      <c r="O7014">
        <v>0.87460059999999995</v>
      </c>
      <c r="P7014">
        <v>0.47926099999999999</v>
      </c>
      <c r="Q7014">
        <v>9.7261959999999995E-3</v>
      </c>
      <c r="R7014">
        <v>0.87761859999999903</v>
      </c>
      <c r="S7014">
        <v>1.0091399999999999</v>
      </c>
      <c r="T7014">
        <v>-0.1719743</v>
      </c>
      <c r="U7014">
        <v>2.873993</v>
      </c>
      <c r="V7014">
        <v>-6.4704580000000001E-3</v>
      </c>
      <c r="W7014">
        <v>2.4292770000000002E-2</v>
      </c>
      <c r="X7014">
        <v>0.99968400000000002</v>
      </c>
      <c r="Y7014">
        <v>-0.16793069999999999</v>
      </c>
      <c r="Z7014">
        <v>-4.70029E-2</v>
      </c>
      <c r="AA7014">
        <v>0.98467760000000004</v>
      </c>
      <c r="AB7014">
        <v>25</v>
      </c>
      <c r="AC7014">
        <v>6.4342999999999702</v>
      </c>
      <c r="AD7014">
        <v>-1.1154311609000001</v>
      </c>
      <c r="AE7014">
        <v>18.427620000000001</v>
      </c>
      <c r="AF7014">
        <v>-3.2926019364927899</v>
      </c>
      <c r="AG7014">
        <v>-1.1154311609000001</v>
      </c>
      <c r="AH7014">
        <v>19.1744603922393</v>
      </c>
      <c r="AI7014">
        <v>93.281380648610593</v>
      </c>
      <c r="AJ7014">
        <v>99.743693035702705</v>
      </c>
      <c r="AK7014">
        <v>19.487055845367099</v>
      </c>
      <c r="AL7014">
        <v>88.607989943592997</v>
      </c>
      <c r="AM7014">
        <v>90.370841944067706</v>
      </c>
      <c r="AN7014">
        <v>1.0000000526785</v>
      </c>
    </row>
    <row r="7015" spans="1:40" x14ac:dyDescent="0.25">
      <c r="A7015" t="str">
        <f>"20190312155011287"</f>
        <v>20190312155011287</v>
      </c>
      <c r="B7015" t="str">
        <f>"1552377011282801"</f>
        <v>1552377011282801</v>
      </c>
      <c r="C7015" t="s">
        <v>40</v>
      </c>
      <c r="D7015">
        <v>4.6138909999999997</v>
      </c>
      <c r="E7015">
        <v>0.43911070000000002</v>
      </c>
      <c r="F7015" t="s">
        <v>42</v>
      </c>
      <c r="G7015">
        <v>-190.13210000000001</v>
      </c>
      <c r="H7015" s="1">
        <v>-6.030479E-7</v>
      </c>
      <c r="I7015">
        <v>-29.08708</v>
      </c>
      <c r="J7015">
        <v>-197.07689999999999</v>
      </c>
      <c r="K7015">
        <v>1.1150799999999901</v>
      </c>
      <c r="L7015">
        <v>-49.38617</v>
      </c>
      <c r="M7015">
        <v>0.47811029999999999</v>
      </c>
      <c r="N7015">
        <v>0</v>
      </c>
      <c r="O7015">
        <v>0.87817869999999998</v>
      </c>
      <c r="P7015">
        <v>0.4727634</v>
      </c>
      <c r="Q7015">
        <v>1.024767E-2</v>
      </c>
      <c r="R7015">
        <v>0.88112990000000002</v>
      </c>
      <c r="S7015">
        <v>0.99028020000000005</v>
      </c>
      <c r="T7015">
        <v>-0.15650939999999999</v>
      </c>
      <c r="U7015">
        <v>2.8793030000000002</v>
      </c>
      <c r="V7015">
        <v>-6.4103220000000004E-3</v>
      </c>
      <c r="W7015">
        <v>2.4759929999999999E-2</v>
      </c>
      <c r="X7015">
        <v>0.99967289999999998</v>
      </c>
      <c r="Y7015">
        <v>-0.16686089999999901</v>
      </c>
      <c r="Z7015">
        <v>-4.302831E-2</v>
      </c>
      <c r="AA7015">
        <v>0.9850411</v>
      </c>
      <c r="AB7015">
        <v>25</v>
      </c>
      <c r="AC7015">
        <v>6.9447999999999803</v>
      </c>
      <c r="AD7015">
        <v>-1.1150806030478999</v>
      </c>
      <c r="AE7015">
        <v>20.29909</v>
      </c>
      <c r="AF7015">
        <v>-3.5970950432961502</v>
      </c>
      <c r="AG7015">
        <v>-1.1150806030478999</v>
      </c>
      <c r="AH7015">
        <v>21.0918809072583</v>
      </c>
      <c r="AI7015">
        <v>92.983287997116705</v>
      </c>
      <c r="AJ7015">
        <v>99.678339461833602</v>
      </c>
      <c r="AK7015">
        <v>21.4254507002249</v>
      </c>
      <c r="AL7015">
        <v>88.581215557348798</v>
      </c>
      <c r="AM7015">
        <v>90.367399538295501</v>
      </c>
      <c r="AN7015">
        <v>1.00000002667807</v>
      </c>
    </row>
    <row r="7016" spans="1:40" x14ac:dyDescent="0.25">
      <c r="A7016" t="str">
        <f>"20190312155011314"</f>
        <v>20190312155011314</v>
      </c>
      <c r="B7016" t="str">
        <f>"1552377011302320"</f>
        <v>1552377011302320</v>
      </c>
      <c r="C7016" t="s">
        <v>40</v>
      </c>
      <c r="D7016">
        <v>4.5705140000000002</v>
      </c>
      <c r="E7016">
        <v>0.44111640000000002</v>
      </c>
      <c r="F7016" t="s">
        <v>42</v>
      </c>
      <c r="G7016">
        <v>-190.0926</v>
      </c>
      <c r="H7016" s="1">
        <v>-6.3926219999999995E-7</v>
      </c>
      <c r="I7016">
        <v>-28.978200000000001</v>
      </c>
      <c r="J7016">
        <v>-196.9468</v>
      </c>
      <c r="K7016">
        <v>1.1146590000000001</v>
      </c>
      <c r="L7016">
        <v>-49.127079999999999</v>
      </c>
      <c r="M7016">
        <v>0.47106419999999999</v>
      </c>
      <c r="N7016">
        <v>0</v>
      </c>
      <c r="O7016">
        <v>0.88197950000000003</v>
      </c>
      <c r="P7016">
        <v>0.46598119999999998</v>
      </c>
      <c r="Q7016">
        <v>1.011694E-2</v>
      </c>
      <c r="R7016">
        <v>0.88473679999999999</v>
      </c>
      <c r="S7016">
        <v>0.98497009999999996</v>
      </c>
      <c r="T7016">
        <v>-0.15725699999999901</v>
      </c>
      <c r="U7016">
        <v>2.878082</v>
      </c>
      <c r="V7016">
        <v>-6.0585589999999998E-3</v>
      </c>
      <c r="W7016">
        <v>2.456877E-2</v>
      </c>
      <c r="X7016">
        <v>0.99967980000000001</v>
      </c>
      <c r="Y7016">
        <v>-0.16046769999999999</v>
      </c>
      <c r="Z7016">
        <v>-4.3580130000000002E-2</v>
      </c>
      <c r="AA7016">
        <v>0.98607860000000003</v>
      </c>
      <c r="AB7016">
        <v>25</v>
      </c>
      <c r="AC7016">
        <v>6.8541999999999899</v>
      </c>
      <c r="AD7016">
        <v>-1.1146596392621999</v>
      </c>
      <c r="AE7016">
        <v>20.148879999999998</v>
      </c>
      <c r="AF7016">
        <v>-3.4370872660901499</v>
      </c>
      <c r="AG7016">
        <v>-1.1146596392621999</v>
      </c>
      <c r="AH7016">
        <v>20.944429063993599</v>
      </c>
      <c r="AI7016">
        <v>93.006263640869804</v>
      </c>
      <c r="AJ7016">
        <v>99.319461918627098</v>
      </c>
      <c r="AK7016">
        <v>21.253826568474199</v>
      </c>
      <c r="AL7016">
        <v>88.592171536978398</v>
      </c>
      <c r="AM7016">
        <v>90.347236795960001</v>
      </c>
      <c r="AN7016">
        <v>1.00000001656225</v>
      </c>
    </row>
    <row r="7017" spans="1:40" x14ac:dyDescent="0.25">
      <c r="A7017" t="str">
        <f>"20190312155011334"</f>
        <v>20190312155011334</v>
      </c>
      <c r="B7017" t="str">
        <f>"1552377011322817"</f>
        <v>1552377011322817</v>
      </c>
      <c r="C7017" t="s">
        <v>40</v>
      </c>
      <c r="D7017">
        <v>4.6200859999999997</v>
      </c>
      <c r="E7017">
        <v>0.442911</v>
      </c>
      <c r="F7017" t="s">
        <v>42</v>
      </c>
      <c r="G7017">
        <v>-190.23159999999999</v>
      </c>
      <c r="H7017" s="1">
        <v>-5.177384E-7</v>
      </c>
      <c r="I7017">
        <v>-29.347670000000001</v>
      </c>
      <c r="J7017">
        <v>-196.84360000000001</v>
      </c>
      <c r="K7017">
        <v>1.1143510000000001</v>
      </c>
      <c r="L7017">
        <v>-48.919069999999998</v>
      </c>
      <c r="M7017">
        <v>0.46575430000000001</v>
      </c>
      <c r="N7017">
        <v>0</v>
      </c>
      <c r="O7017">
        <v>0.88479580000000002</v>
      </c>
      <c r="P7017">
        <v>0.46118100000000001</v>
      </c>
      <c r="Q7017">
        <v>1.013057E-2</v>
      </c>
      <c r="R7017">
        <v>0.88724829999999999</v>
      </c>
      <c r="S7017">
        <v>0.97711179999999997</v>
      </c>
      <c r="T7017">
        <v>-0.16219129999999901</v>
      </c>
      <c r="U7017">
        <v>2.8780519999999998</v>
      </c>
      <c r="V7017">
        <v>-5.4460219999999896E-3</v>
      </c>
      <c r="W7017">
        <v>2.454017E-2</v>
      </c>
      <c r="X7017">
        <v>0.99968400000000002</v>
      </c>
      <c r="Y7017">
        <v>-0.156967</v>
      </c>
      <c r="Z7017">
        <v>-4.5199030000000001E-2</v>
      </c>
      <c r="AA7017">
        <v>0.98656900000000003</v>
      </c>
      <c r="AB7017">
        <v>25</v>
      </c>
      <c r="AC7017">
        <v>6.6120000000000196</v>
      </c>
      <c r="AD7017">
        <v>-1.1143515177384</v>
      </c>
      <c r="AE7017">
        <v>19.571400000000001</v>
      </c>
      <c r="AF7017">
        <v>-3.25606120040867</v>
      </c>
      <c r="AG7017">
        <v>-1.1143515177384</v>
      </c>
      <c r="AH7017">
        <v>20.339212051543001</v>
      </c>
      <c r="AI7017">
        <v>93.096653417813798</v>
      </c>
      <c r="AJ7017">
        <v>99.095185945692194</v>
      </c>
      <c r="AK7017">
        <v>20.628312115234301</v>
      </c>
      <c r="AL7017">
        <v>88.593810652366997</v>
      </c>
      <c r="AM7017">
        <v>90.312129621911197</v>
      </c>
      <c r="AN7017">
        <v>0.99999998947762603</v>
      </c>
    </row>
    <row r="7018" spans="1:40" x14ac:dyDescent="0.25">
      <c r="A7018" t="str">
        <f>"20190312155011355"</f>
        <v>20190312155011355</v>
      </c>
      <c r="B7018" t="str">
        <f>"1552377011342336"</f>
        <v>1552377011342336</v>
      </c>
      <c r="C7018" t="s">
        <v>40</v>
      </c>
      <c r="D7018">
        <v>4.6131919999999997</v>
      </c>
      <c r="E7018">
        <v>0.44363449999999999</v>
      </c>
      <c r="F7018" t="s">
        <v>42</v>
      </c>
      <c r="G7018">
        <v>-190.29929999999999</v>
      </c>
      <c r="H7018" s="1">
        <v>-4.30592E-7</v>
      </c>
      <c r="I7018">
        <v>-29.5928</v>
      </c>
      <c r="J7018">
        <v>-196.74549999999999</v>
      </c>
      <c r="K7018">
        <v>1.1140779999999999</v>
      </c>
      <c r="L7018">
        <v>-48.719209999999997</v>
      </c>
      <c r="M7018">
        <v>0.46098319999999998</v>
      </c>
      <c r="N7018">
        <v>0</v>
      </c>
      <c r="O7018">
        <v>0.88729169999999902</v>
      </c>
      <c r="P7018">
        <v>0.45702490000000001</v>
      </c>
      <c r="Q7018">
        <v>1.0284639999999999E-2</v>
      </c>
      <c r="R7018">
        <v>0.88939449999999998</v>
      </c>
      <c r="S7018">
        <v>0.97413640000000001</v>
      </c>
      <c r="T7018">
        <v>-0.16587440000000001</v>
      </c>
      <c r="U7018">
        <v>2.87677</v>
      </c>
      <c r="V7018">
        <v>-4.7233509999999998E-3</v>
      </c>
      <c r="W7018">
        <v>2.4656959999999999E-2</v>
      </c>
      <c r="X7018">
        <v>0.99968480000000004</v>
      </c>
      <c r="Y7018">
        <v>-0.15244829999999901</v>
      </c>
      <c r="Z7018">
        <v>-4.6470009999999999E-2</v>
      </c>
      <c r="AA7018">
        <v>0.98721829999999999</v>
      </c>
      <c r="AB7018">
        <v>25</v>
      </c>
      <c r="AC7018">
        <v>6.4462000000000002</v>
      </c>
      <c r="AD7018">
        <v>-1.114078430592</v>
      </c>
      <c r="AE7018">
        <v>19.12641</v>
      </c>
      <c r="AF7018">
        <v>-3.0882069409414701</v>
      </c>
      <c r="AG7018">
        <v>-1.114078430592</v>
      </c>
      <c r="AH7018">
        <v>19.883787091038801</v>
      </c>
      <c r="AI7018">
        <v>93.168985582822401</v>
      </c>
      <c r="AJ7018">
        <v>98.828234624745605</v>
      </c>
      <c r="AK7018">
        <v>20.152994366628299</v>
      </c>
      <c r="AL7018">
        <v>88.587117050040106</v>
      </c>
      <c r="AM7018">
        <v>90.270711391872396</v>
      </c>
      <c r="AN7018">
        <v>0.999999987536075</v>
      </c>
    </row>
    <row r="7019" spans="1:40" x14ac:dyDescent="0.25">
      <c r="A7019" t="str">
        <f>"20190312155011376"</f>
        <v>20190312155011376</v>
      </c>
      <c r="B7019" t="str">
        <f>"1552377011362833"</f>
        <v>1552377011362833</v>
      </c>
      <c r="C7019" t="s">
        <v>40</v>
      </c>
      <c r="D7019">
        <v>4.611389</v>
      </c>
      <c r="E7019">
        <v>0.45632709999999999</v>
      </c>
      <c r="F7019" t="s">
        <v>42</v>
      </c>
      <c r="G7019">
        <v>-190.26910000000001</v>
      </c>
      <c r="H7019" s="1">
        <v>-4.9929209999999996E-7</v>
      </c>
      <c r="I7019">
        <v>-29.413900000000002</v>
      </c>
      <c r="J7019">
        <v>-196.64019999999999</v>
      </c>
      <c r="K7019">
        <v>1.113775</v>
      </c>
      <c r="L7019">
        <v>-48.502839999999999</v>
      </c>
      <c r="M7019">
        <v>0.45622620000000003</v>
      </c>
      <c r="N7019">
        <v>0</v>
      </c>
      <c r="O7019">
        <v>0.88974789999999904</v>
      </c>
      <c r="P7019">
        <v>0.45320850000000001</v>
      </c>
      <c r="Q7019">
        <v>1.1342390000000001E-2</v>
      </c>
      <c r="R7019">
        <v>0.89133240000000002</v>
      </c>
      <c r="S7019">
        <v>0.96574400000000005</v>
      </c>
      <c r="T7019">
        <v>-0.1661282</v>
      </c>
      <c r="U7019">
        <v>2.8787539999999998</v>
      </c>
      <c r="V7019">
        <v>-3.6397460000000001E-3</v>
      </c>
      <c r="W7019">
        <v>2.567612E-2</v>
      </c>
      <c r="X7019">
        <v>0.99966370000000004</v>
      </c>
      <c r="Y7019">
        <v>-0.14995069999999999</v>
      </c>
      <c r="Z7019">
        <v>-4.6738809999999999E-2</v>
      </c>
      <c r="AA7019">
        <v>0.98758809999999997</v>
      </c>
      <c r="AB7019">
        <v>25</v>
      </c>
      <c r="AC7019">
        <v>6.3710999999999798</v>
      </c>
      <c r="AD7019">
        <v>-1.1137754992921001</v>
      </c>
      <c r="AE7019">
        <v>19.088940000000001</v>
      </c>
      <c r="AF7019">
        <v>-3.0312303944575301</v>
      </c>
      <c r="AG7019">
        <v>-1.1137754992921001</v>
      </c>
      <c r="AH7019">
        <v>19.832310734483499</v>
      </c>
      <c r="AI7019">
        <v>93.177510451460293</v>
      </c>
      <c r="AJ7019">
        <v>98.690007750422794</v>
      </c>
      <c r="AK7019">
        <v>20.093516432825201</v>
      </c>
      <c r="AL7019">
        <v>88.528705015411006</v>
      </c>
      <c r="AM7019">
        <v>90.208611318769201</v>
      </c>
      <c r="AN7019">
        <v>1.00000001199344</v>
      </c>
    </row>
    <row r="7020" spans="1:40" x14ac:dyDescent="0.25">
      <c r="A7020" t="str">
        <f>"20190312155011398"</f>
        <v>20190312155011398</v>
      </c>
      <c r="B7020" t="str">
        <f>"1552377011392725"</f>
        <v>1552377011392725</v>
      </c>
      <c r="C7020" t="s">
        <v>40</v>
      </c>
      <c r="D7020">
        <v>4.5905149999999999</v>
      </c>
      <c r="E7020">
        <v>0.45789580000000002</v>
      </c>
      <c r="F7020" t="s">
        <v>42</v>
      </c>
      <c r="G7020">
        <v>-189.77090000000001</v>
      </c>
      <c r="H7020" s="1">
        <v>-2.7118649999999999E-7</v>
      </c>
      <c r="I7020">
        <v>-29.82978</v>
      </c>
      <c r="J7020">
        <v>-196.5309</v>
      </c>
      <c r="K7020">
        <v>1.11344</v>
      </c>
      <c r="L7020">
        <v>-48.276310000000002</v>
      </c>
      <c r="M7020">
        <v>0.45170260000000001</v>
      </c>
      <c r="N7020">
        <v>0</v>
      </c>
      <c r="O7020">
        <v>0.89205380000000001</v>
      </c>
      <c r="P7020">
        <v>0.44937149999999998</v>
      </c>
      <c r="Q7020">
        <v>1.2587879999999999E-2</v>
      </c>
      <c r="R7020">
        <v>0.8932563</v>
      </c>
      <c r="S7020">
        <v>1.0437160000000001</v>
      </c>
      <c r="T7020">
        <v>-0.1692274</v>
      </c>
      <c r="U7020">
        <v>2.837189</v>
      </c>
      <c r="V7020">
        <v>-2.8431279999999999E-3</v>
      </c>
      <c r="W7020">
        <v>2.6877330000000001E-2</v>
      </c>
      <c r="X7020">
        <v>0.99963469999999999</v>
      </c>
      <c r="Y7020">
        <v>-0.116409</v>
      </c>
      <c r="Z7020">
        <v>-4.8395239999999999E-2</v>
      </c>
      <c r="AA7020">
        <v>0.99202159999999995</v>
      </c>
      <c r="AB7020">
        <v>25</v>
      </c>
      <c r="AC7020">
        <v>6.75999999999999</v>
      </c>
      <c r="AD7020">
        <v>-1.1134402711864999</v>
      </c>
      <c r="AE7020">
        <v>18.446529999999999</v>
      </c>
      <c r="AF7020">
        <v>-2.2949262726952102</v>
      </c>
      <c r="AG7020">
        <v>-1.1134402711864999</v>
      </c>
      <c r="AH7020">
        <v>19.448336157671498</v>
      </c>
      <c r="AI7020">
        <v>93.254145892236394</v>
      </c>
      <c r="AJ7020">
        <v>96.729847645197196</v>
      </c>
      <c r="AK7020">
        <v>19.61489778552</v>
      </c>
      <c r="AL7020">
        <v>88.459856963496193</v>
      </c>
      <c r="AM7020">
        <v>90.162958324447303</v>
      </c>
      <c r="AN7020">
        <v>1.0000000038444199</v>
      </c>
    </row>
    <row r="7021" spans="1:40" x14ac:dyDescent="0.25">
      <c r="A7021" t="str">
        <f>"20190312155011421"</f>
        <v>20190312155011421</v>
      </c>
      <c r="B7021" t="str">
        <f>"1552377011413221"</f>
        <v>1552377011413221</v>
      </c>
      <c r="C7021" t="s">
        <v>40</v>
      </c>
      <c r="D7021">
        <v>4.5118479999999996</v>
      </c>
      <c r="E7021">
        <v>0.45855259999999998</v>
      </c>
      <c r="F7021" t="s">
        <v>42</v>
      </c>
      <c r="G7021">
        <v>-189.4872</v>
      </c>
      <c r="H7021" s="1">
        <v>-6.227343E-7</v>
      </c>
      <c r="I7021">
        <v>-29.127659999999999</v>
      </c>
      <c r="J7021">
        <v>-196.42869999999999</v>
      </c>
      <c r="K7021">
        <v>1.1130949999999999</v>
      </c>
      <c r="L7021">
        <v>-48.062869999999997</v>
      </c>
      <c r="M7021">
        <v>0.44786490000000001</v>
      </c>
      <c r="N7021">
        <v>0</v>
      </c>
      <c r="O7021">
        <v>0.89398739999999999</v>
      </c>
      <c r="P7021">
        <v>0.44604820000000001</v>
      </c>
      <c r="Q7021">
        <v>1.370178E-2</v>
      </c>
      <c r="R7021">
        <v>0.89490409999999998</v>
      </c>
      <c r="S7021">
        <v>1.0432129999999999</v>
      </c>
      <c r="T7021">
        <v>-0.16490539999999901</v>
      </c>
      <c r="U7021">
        <v>2.8359990000000002</v>
      </c>
      <c r="V7021">
        <v>-2.240082E-3</v>
      </c>
      <c r="W7021">
        <v>2.7947900000000001E-2</v>
      </c>
      <c r="X7021">
        <v>0.99960680000000002</v>
      </c>
      <c r="Y7021">
        <v>-0.1121395</v>
      </c>
      <c r="Z7021">
        <v>-4.7352829999999999E-2</v>
      </c>
      <c r="AA7021">
        <v>0.99256350000000004</v>
      </c>
      <c r="AB7021">
        <v>25</v>
      </c>
      <c r="AC7021">
        <v>6.9414999999999898</v>
      </c>
      <c r="AD7021">
        <v>-1.1130956227343001</v>
      </c>
      <c r="AE7021">
        <v>18.935210000000001</v>
      </c>
      <c r="AF7021">
        <v>-2.26812473619179</v>
      </c>
      <c r="AG7021">
        <v>-1.1130956227343001</v>
      </c>
      <c r="AH7021">
        <v>19.977875845377302</v>
      </c>
      <c r="AI7021">
        <v>93.168704049398599</v>
      </c>
      <c r="AJ7021">
        <v>96.477160450358099</v>
      </c>
      <c r="AK7021">
        <v>20.137003128012498</v>
      </c>
      <c r="AL7021">
        <v>88.398494638283694</v>
      </c>
      <c r="AM7021">
        <v>90.128397515417205</v>
      </c>
      <c r="AN7021">
        <v>0.99999992884400501</v>
      </c>
    </row>
    <row r="7022" spans="1:40" x14ac:dyDescent="0.25">
      <c r="A7022" t="str">
        <f>"20190312155011442"</f>
        <v>20190312155011442</v>
      </c>
      <c r="B7022" t="str">
        <f>"1552377011432742"</f>
        <v>1552377011432742</v>
      </c>
      <c r="C7022" t="s">
        <v>40</v>
      </c>
      <c r="D7022">
        <v>4.5320749999999999</v>
      </c>
      <c r="E7022">
        <v>0.46517989999999998</v>
      </c>
      <c r="F7022" t="s">
        <v>42</v>
      </c>
      <c r="G7022">
        <v>-189.2758</v>
      </c>
      <c r="H7022" s="1">
        <v>-9.2995139999999998E-7</v>
      </c>
      <c r="I7022">
        <v>-28.498899999999999</v>
      </c>
      <c r="J7022">
        <v>-196.32390000000001</v>
      </c>
      <c r="K7022">
        <v>1.1127209999999901</v>
      </c>
      <c r="L7022">
        <v>-47.843049999999998</v>
      </c>
      <c r="M7022">
        <v>0.44434040000000002</v>
      </c>
      <c r="N7022">
        <v>0</v>
      </c>
      <c r="O7022">
        <v>0.89574519999999902</v>
      </c>
      <c r="P7022">
        <v>0.44273269999999998</v>
      </c>
      <c r="Q7022">
        <v>1.39337E-2</v>
      </c>
      <c r="R7022">
        <v>0.89654539999999905</v>
      </c>
      <c r="S7022">
        <v>1.0374909999999999</v>
      </c>
      <c r="T7022">
        <v>-0.16145029999999999</v>
      </c>
      <c r="U7022">
        <v>2.8376769999999998</v>
      </c>
      <c r="V7022">
        <v>-1.976485E-3</v>
      </c>
      <c r="W7022">
        <v>2.8135710000000001E-2</v>
      </c>
      <c r="X7022">
        <v>0.99960210000000005</v>
      </c>
      <c r="Y7022">
        <v>-0.1101635</v>
      </c>
      <c r="Z7022">
        <v>-4.6497240000000002E-2</v>
      </c>
      <c r="AA7022">
        <v>0.99282530000000002</v>
      </c>
      <c r="AB7022">
        <v>25</v>
      </c>
      <c r="AC7022">
        <v>7.0480999999999998</v>
      </c>
      <c r="AD7022">
        <v>-1.1127219299514</v>
      </c>
      <c r="AE7022">
        <v>19.344149999999999</v>
      </c>
      <c r="AF7022">
        <v>-2.2756689576941702</v>
      </c>
      <c r="AG7022">
        <v>-1.1127219299514</v>
      </c>
      <c r="AH7022">
        <v>20.401659036078801</v>
      </c>
      <c r="AI7022">
        <v>93.102658223402202</v>
      </c>
      <c r="AJ7022">
        <v>96.364652818647698</v>
      </c>
      <c r="AK7022">
        <v>20.558319744639299</v>
      </c>
      <c r="AL7022">
        <v>88.387729704252394</v>
      </c>
      <c r="AM7022">
        <v>90.113289178955498</v>
      </c>
      <c r="AN7022">
        <v>0.999999941497283</v>
      </c>
    </row>
    <row r="7023" spans="1:40" x14ac:dyDescent="0.25">
      <c r="A7023" t="str">
        <f>"20190312155011467"</f>
        <v>20190312155011467</v>
      </c>
      <c r="B7023" t="str">
        <f>"1552377011462997"</f>
        <v>1552377011462997</v>
      </c>
      <c r="C7023" t="s">
        <v>40</v>
      </c>
      <c r="D7023">
        <v>4.5534309999999998</v>
      </c>
      <c r="E7023">
        <v>0.46670600000000001</v>
      </c>
      <c r="F7023" t="s">
        <v>42</v>
      </c>
      <c r="G7023">
        <v>-189.97020000000001</v>
      </c>
      <c r="H7023" s="1">
        <v>-3.9583510000000002E-6</v>
      </c>
      <c r="I7023">
        <v>-31.165369999999999</v>
      </c>
      <c r="J7023">
        <v>-196.20849999999999</v>
      </c>
      <c r="K7023">
        <v>1.1123050000000001</v>
      </c>
      <c r="L7023">
        <v>-47.59995</v>
      </c>
      <c r="M7023">
        <v>0.44098900000000002</v>
      </c>
      <c r="N7023">
        <v>0</v>
      </c>
      <c r="O7023">
        <v>0.89740069999999905</v>
      </c>
      <c r="P7023">
        <v>0.43879299999999999</v>
      </c>
      <c r="Q7023">
        <v>1.4280360000000001E-2</v>
      </c>
      <c r="R7023">
        <v>0.89847469999999996</v>
      </c>
      <c r="S7023">
        <v>1.0738829999999999</v>
      </c>
      <c r="T7023">
        <v>-0.18806780000000001</v>
      </c>
      <c r="U7023">
        <v>2.8187869999999999</v>
      </c>
      <c r="V7023">
        <v>-2.5980109999999999E-3</v>
      </c>
      <c r="W7023">
        <v>2.8432180000000001E-2</v>
      </c>
      <c r="X7023">
        <v>0.99959240000000005</v>
      </c>
      <c r="Y7023">
        <v>-9.3208559999999996E-2</v>
      </c>
      <c r="Z7023">
        <v>-5.4575909999999998E-2</v>
      </c>
      <c r="AA7023">
        <v>0.99414970000000003</v>
      </c>
      <c r="AB7023">
        <v>25</v>
      </c>
      <c r="AC7023">
        <v>6.2382999999999802</v>
      </c>
      <c r="AD7023">
        <v>-1.112308958351</v>
      </c>
      <c r="AE7023">
        <v>16.434579999999901</v>
      </c>
      <c r="AF7023">
        <v>-1.6428022210746001</v>
      </c>
      <c r="AG7023">
        <v>-1.112308958351</v>
      </c>
      <c r="AH7023">
        <v>17.4313891341999</v>
      </c>
      <c r="AI7023">
        <v>93.635068972522902</v>
      </c>
      <c r="AJ7023">
        <v>95.383876001887202</v>
      </c>
      <c r="AK7023">
        <v>17.543926513306499</v>
      </c>
      <c r="AL7023">
        <v>88.3707366055515</v>
      </c>
      <c r="AM7023">
        <v>90.1489154281781</v>
      </c>
      <c r="AN7023">
        <v>1.0000000523292301</v>
      </c>
    </row>
    <row r="7024" spans="1:40" x14ac:dyDescent="0.25">
      <c r="A7024" t="str">
        <f>"20190312155011490"</f>
        <v>20190312155011490</v>
      </c>
      <c r="B7024" t="str">
        <f>"1552377011482890"</f>
        <v>1552377011482890</v>
      </c>
      <c r="C7024" t="s">
        <v>40</v>
      </c>
      <c r="D7024">
        <v>4.5323909999999996</v>
      </c>
      <c r="E7024">
        <v>0.46747230000000001</v>
      </c>
      <c r="F7024" t="s">
        <v>42</v>
      </c>
      <c r="G7024">
        <v>-189.60939999999999</v>
      </c>
      <c r="H7024" s="1">
        <v>-1.3391510000000001E-7</v>
      </c>
      <c r="I7024">
        <v>-30.263829999999999</v>
      </c>
      <c r="J7024">
        <v>-196.09520000000001</v>
      </c>
      <c r="K7024">
        <v>1.1119209999999999</v>
      </c>
      <c r="L7024">
        <v>-47.360529999999997</v>
      </c>
      <c r="M7024">
        <v>0.43826009999999999</v>
      </c>
      <c r="N7024">
        <v>0</v>
      </c>
      <c r="O7024">
        <v>0.89873719999999901</v>
      </c>
      <c r="P7024">
        <v>0.4344962</v>
      </c>
      <c r="Q7024">
        <v>1.5277199999999999E-2</v>
      </c>
      <c r="R7024">
        <v>0.90054409999999896</v>
      </c>
      <c r="S7024">
        <v>1.0726929999999999</v>
      </c>
      <c r="T7024">
        <v>-0.18080570000000001</v>
      </c>
      <c r="U7024">
        <v>2.817993</v>
      </c>
      <c r="V7024">
        <v>-4.3056989999999996E-3</v>
      </c>
      <c r="W7024">
        <v>2.937973E-2</v>
      </c>
      <c r="X7024">
        <v>0.99955899999999998</v>
      </c>
      <c r="Y7024">
        <v>-9.0413770000000004E-2</v>
      </c>
      <c r="Z7024">
        <v>-5.2620159999999999E-2</v>
      </c>
      <c r="AA7024">
        <v>0.99451319999999999</v>
      </c>
      <c r="AB7024">
        <v>25</v>
      </c>
      <c r="AC7024">
        <v>6.48580000000001</v>
      </c>
      <c r="AD7024">
        <v>-1.1119211339150901</v>
      </c>
      <c r="AE7024">
        <v>17.096699999999998</v>
      </c>
      <c r="AF7024">
        <v>-1.6578076780776201</v>
      </c>
      <c r="AG7024">
        <v>-1.1119211339150901</v>
      </c>
      <c r="AH7024">
        <v>18.142638639924801</v>
      </c>
      <c r="AI7024">
        <v>93.492626959098104</v>
      </c>
      <c r="AJ7024">
        <v>95.220979002606995</v>
      </c>
      <c r="AK7024">
        <v>18.252124033230501</v>
      </c>
      <c r="AL7024">
        <v>88.316423124284796</v>
      </c>
      <c r="AM7024">
        <v>90.246805696019706</v>
      </c>
      <c r="AN7024">
        <v>0.99999995102987405</v>
      </c>
    </row>
    <row r="7025" spans="1:40" x14ac:dyDescent="0.25">
      <c r="A7025" t="str">
        <f>"20190312155011511"</f>
        <v>20190312155011511</v>
      </c>
      <c r="B7025" t="str">
        <f>"1552377011502411"</f>
        <v>1552377011502411</v>
      </c>
      <c r="C7025" t="s">
        <v>40</v>
      </c>
      <c r="D7025">
        <v>4.5200440000000004</v>
      </c>
      <c r="E7025">
        <v>0.46847739999999999</v>
      </c>
      <c r="F7025" t="s">
        <v>42</v>
      </c>
      <c r="G7025">
        <v>-189.4205</v>
      </c>
      <c r="H7025" s="1">
        <v>-3.953338E-7</v>
      </c>
      <c r="I7025">
        <v>-29.685300000000002</v>
      </c>
      <c r="J7025">
        <v>-196.0018</v>
      </c>
      <c r="K7025">
        <v>1.111642</v>
      </c>
      <c r="L7025">
        <v>-47.162840000000003</v>
      </c>
      <c r="M7025">
        <v>0.4363302</v>
      </c>
      <c r="N7025">
        <v>0</v>
      </c>
      <c r="O7025">
        <v>0.89967629999999998</v>
      </c>
      <c r="P7025">
        <v>0.43076379999999997</v>
      </c>
      <c r="Q7025">
        <v>1.5765339999999999E-2</v>
      </c>
      <c r="R7025">
        <v>0.90232699999999999</v>
      </c>
      <c r="S7025">
        <v>1.0650790000000001</v>
      </c>
      <c r="T7025">
        <v>-0.17742910000000001</v>
      </c>
      <c r="U7025">
        <v>2.8204349999999998</v>
      </c>
      <c r="V7025">
        <v>-6.2774110000000001E-3</v>
      </c>
      <c r="W7025">
        <v>2.983015E-2</v>
      </c>
      <c r="X7025">
        <v>0.99953530000000002</v>
      </c>
      <c r="Y7025">
        <v>-9.0890479999999996E-2</v>
      </c>
      <c r="Z7025">
        <v>-5.1701770000000001E-2</v>
      </c>
      <c r="AA7025">
        <v>0.99451789999999995</v>
      </c>
      <c r="AB7025">
        <v>25</v>
      </c>
      <c r="AC7025">
        <v>6.5812999999999899</v>
      </c>
      <c r="AD7025">
        <v>-1.1116423953337999</v>
      </c>
      <c r="AE7025">
        <v>17.477540000000001</v>
      </c>
      <c r="AF7025">
        <v>-1.6990881320531499</v>
      </c>
      <c r="AG7025">
        <v>-1.1116423953337999</v>
      </c>
      <c r="AH7025">
        <v>18.531934311664699</v>
      </c>
      <c r="AI7025">
        <v>93.418483669130794</v>
      </c>
      <c r="AJ7025">
        <v>95.238480129831402</v>
      </c>
      <c r="AK7025">
        <v>18.642833438816201</v>
      </c>
      <c r="AL7025">
        <v>88.290604775736796</v>
      </c>
      <c r="AM7025">
        <v>90.359831641689993</v>
      </c>
      <c r="AN7025">
        <v>1.00000002984198</v>
      </c>
    </row>
    <row r="7026" spans="1:40" x14ac:dyDescent="0.25">
      <c r="A7026" t="str">
        <f>"20190312155011534"</f>
        <v>20190312155011534</v>
      </c>
      <c r="B7026" t="str">
        <f>"1552377011522906"</f>
        <v>1552377011522906</v>
      </c>
      <c r="C7026" t="s">
        <v>40</v>
      </c>
      <c r="D7026">
        <v>4.5222129999999998</v>
      </c>
      <c r="E7026">
        <v>0.4690143</v>
      </c>
      <c r="F7026" t="s">
        <v>42</v>
      </c>
      <c r="G7026">
        <v>-189.35720000000001</v>
      </c>
      <c r="H7026" s="1">
        <v>-4.9083259999999896E-7</v>
      </c>
      <c r="I7026">
        <v>-29.48884</v>
      </c>
      <c r="J7026">
        <v>-195.8937</v>
      </c>
      <c r="K7026">
        <v>1.111362</v>
      </c>
      <c r="L7026">
        <v>-46.933720000000001</v>
      </c>
      <c r="M7026">
        <v>0.43447350000000001</v>
      </c>
      <c r="N7026">
        <v>0</v>
      </c>
      <c r="O7026">
        <v>0.90057489999999996</v>
      </c>
      <c r="P7026">
        <v>0.42746659999999997</v>
      </c>
      <c r="Q7026">
        <v>1.4788310000000001E-2</v>
      </c>
      <c r="R7026">
        <v>0.9039102</v>
      </c>
      <c r="S7026">
        <v>1.06073</v>
      </c>
      <c r="T7026">
        <v>-0.17746219999999999</v>
      </c>
      <c r="U7026">
        <v>2.821472</v>
      </c>
      <c r="V7026">
        <v>-7.8495159999999904E-3</v>
      </c>
      <c r="W7026">
        <v>2.8817309999999999E-2</v>
      </c>
      <c r="X7026">
        <v>0.9995539</v>
      </c>
      <c r="Y7026">
        <v>-9.0300409999999998E-2</v>
      </c>
      <c r="Z7026">
        <v>-5.17863E-2</v>
      </c>
      <c r="AA7026">
        <v>0.99456730000000004</v>
      </c>
      <c r="AB7026">
        <v>25</v>
      </c>
      <c r="AC7026">
        <v>6.5364999999999798</v>
      </c>
      <c r="AD7026">
        <v>-1.1113624908326001</v>
      </c>
      <c r="AE7026">
        <v>17.444879999999898</v>
      </c>
      <c r="AF7026">
        <v>-1.6868939835062</v>
      </c>
      <c r="AG7026">
        <v>-1.1113624908326001</v>
      </c>
      <c r="AH7026">
        <v>18.4863985373144</v>
      </c>
      <c r="AI7026">
        <v>93.4261577282915</v>
      </c>
      <c r="AJ7026">
        <v>95.213831957043297</v>
      </c>
      <c r="AK7026">
        <v>18.596442368852099</v>
      </c>
      <c r="AL7026">
        <v>88.348661193039405</v>
      </c>
      <c r="AM7026">
        <v>90.449935609410801</v>
      </c>
      <c r="AN7026">
        <v>1.0000000256311301</v>
      </c>
    </row>
    <row r="7027" spans="1:40" x14ac:dyDescent="0.25">
      <c r="A7027" t="str">
        <f>"20190312155011557"</f>
        <v>20190312155011557</v>
      </c>
      <c r="B7027" t="str">
        <f>"1552377011553163"</f>
        <v>1552377011553163</v>
      </c>
      <c r="C7027" t="s">
        <v>40</v>
      </c>
      <c r="D7027">
        <v>4.5491679999999999</v>
      </c>
      <c r="E7027">
        <v>0.47690290000000002</v>
      </c>
      <c r="F7027" t="s">
        <v>42</v>
      </c>
      <c r="G7027">
        <v>-189.3939</v>
      </c>
      <c r="H7027" s="1">
        <v>-4.685188E-7</v>
      </c>
      <c r="I7027">
        <v>-29.525700000000001</v>
      </c>
      <c r="J7027">
        <v>-195.7901</v>
      </c>
      <c r="K7027">
        <v>1.1111120000000001</v>
      </c>
      <c r="L7027">
        <v>-46.714260000000003</v>
      </c>
      <c r="M7027">
        <v>0.43306270000000002</v>
      </c>
      <c r="N7027">
        <v>0</v>
      </c>
      <c r="O7027">
        <v>0.90125469999999996</v>
      </c>
      <c r="P7027">
        <v>0.42480839999999997</v>
      </c>
      <c r="Q7027">
        <v>1.387919E-2</v>
      </c>
      <c r="R7027">
        <v>0.90517689999999995</v>
      </c>
      <c r="S7027">
        <v>1.0541689999999999</v>
      </c>
      <c r="T7027">
        <v>-0.1802473</v>
      </c>
      <c r="U7027">
        <v>2.823334</v>
      </c>
      <c r="V7027">
        <v>-9.2076569999999993E-3</v>
      </c>
      <c r="W7027">
        <v>2.7878790000000001E-2</v>
      </c>
      <c r="X7027">
        <v>0.99956889999999998</v>
      </c>
      <c r="Y7027">
        <v>-9.100047E-2</v>
      </c>
      <c r="Z7027">
        <v>-5.2641340000000002E-2</v>
      </c>
      <c r="AA7027">
        <v>0.99445859999999997</v>
      </c>
      <c r="AB7027">
        <v>25</v>
      </c>
      <c r="AC7027">
        <v>6.3961999999999897</v>
      </c>
      <c r="AD7027">
        <v>-1.1111124685188001</v>
      </c>
      <c r="AE7027">
        <v>17.188559999999899</v>
      </c>
      <c r="AF7027">
        <v>-1.6731429089085701</v>
      </c>
      <c r="AG7027">
        <v>-1.1111124685188001</v>
      </c>
      <c r="AH7027">
        <v>18.196234451024399</v>
      </c>
      <c r="AI7027">
        <v>93.479657623873706</v>
      </c>
      <c r="AJ7027">
        <v>95.253571533112407</v>
      </c>
      <c r="AK7027">
        <v>18.306745377264001</v>
      </c>
      <c r="AL7027">
        <v>88.402456002096798</v>
      </c>
      <c r="AM7027">
        <v>90.527772486911005</v>
      </c>
      <c r="AN7027">
        <v>0.99999999686325103</v>
      </c>
    </row>
    <row r="7028" spans="1:40" x14ac:dyDescent="0.25">
      <c r="A7028" t="str">
        <f>"20190312155011578"</f>
        <v>20190312155011578</v>
      </c>
      <c r="B7028" t="str">
        <f>"1552377011573092"</f>
        <v>1552377011573092</v>
      </c>
      <c r="C7028" t="s">
        <v>40</v>
      </c>
      <c r="D7028">
        <v>4.5601890000000003</v>
      </c>
      <c r="E7028">
        <v>0.47760770000000002</v>
      </c>
      <c r="F7028" t="s">
        <v>42</v>
      </c>
      <c r="G7028">
        <v>-189.52359999999999</v>
      </c>
      <c r="H7028" s="1">
        <v>-4.1874269999999996E-6</v>
      </c>
      <c r="I7028">
        <v>-30.80322</v>
      </c>
      <c r="J7028">
        <v>-195.68719999999999</v>
      </c>
      <c r="K7028">
        <v>1.110857</v>
      </c>
      <c r="L7028">
        <v>-46.496090000000002</v>
      </c>
      <c r="M7028">
        <v>0.43199749999999998</v>
      </c>
      <c r="N7028">
        <v>0</v>
      </c>
      <c r="O7028">
        <v>0.90176639999999997</v>
      </c>
      <c r="P7028">
        <v>0.42247299999999899</v>
      </c>
      <c r="Q7028">
        <v>1.2616230000000001E-2</v>
      </c>
      <c r="R7028">
        <v>0.90628770000000003</v>
      </c>
      <c r="S7028">
        <v>1.102692</v>
      </c>
      <c r="T7028">
        <v>-0.19551660000000001</v>
      </c>
      <c r="U7028">
        <v>2.7997740000000002</v>
      </c>
      <c r="V7028">
        <v>-1.059216E-2</v>
      </c>
      <c r="W7028">
        <v>2.6580369999999999E-2</v>
      </c>
      <c r="X7028">
        <v>0.9995906</v>
      </c>
      <c r="Y7028">
        <v>-7.21691E-2</v>
      </c>
      <c r="Z7028">
        <v>-5.747319E-2</v>
      </c>
      <c r="AA7028">
        <v>0.99573509999999998</v>
      </c>
      <c r="AB7028">
        <v>25</v>
      </c>
      <c r="AC7028">
        <v>6.1635999999999997</v>
      </c>
      <c r="AD7028">
        <v>-1.110861187427</v>
      </c>
      <c r="AE7028">
        <v>15.692869999999999</v>
      </c>
      <c r="AF7028">
        <v>-1.21599375069842</v>
      </c>
      <c r="AG7028">
        <v>-1.110861187427</v>
      </c>
      <c r="AH7028">
        <v>16.742922283796901</v>
      </c>
      <c r="AI7028">
        <v>93.785960337703202</v>
      </c>
      <c r="AJ7028">
        <v>94.153946114626194</v>
      </c>
      <c r="AK7028">
        <v>16.823736207535202</v>
      </c>
      <c r="AL7028">
        <v>88.4768776525042</v>
      </c>
      <c r="AM7028">
        <v>90.607111902179696</v>
      </c>
      <c r="AN7028">
        <v>1.0000000387655801</v>
      </c>
    </row>
    <row r="7029" spans="1:40" x14ac:dyDescent="0.25">
      <c r="A7029" t="str">
        <f>"20190312155011600"</f>
        <v>20190312155011600</v>
      </c>
      <c r="B7029" t="str">
        <f>"1552377011592611"</f>
        <v>1552377011592611</v>
      </c>
      <c r="C7029" t="s">
        <v>40</v>
      </c>
      <c r="D7029">
        <v>4.5786600000000002</v>
      </c>
      <c r="E7029">
        <v>0.47807480000000002</v>
      </c>
      <c r="F7029" t="s">
        <v>42</v>
      </c>
      <c r="G7029">
        <v>-189.59129999999999</v>
      </c>
      <c r="H7029" s="1">
        <v>-4.0963339999999997E-6</v>
      </c>
      <c r="I7029">
        <v>-30.987549999999999</v>
      </c>
      <c r="J7029">
        <v>-195.58590000000001</v>
      </c>
      <c r="K7029">
        <v>1.11059</v>
      </c>
      <c r="L7029">
        <v>-46.281770000000002</v>
      </c>
      <c r="M7029">
        <v>0.431257</v>
      </c>
      <c r="N7029">
        <v>0</v>
      </c>
      <c r="O7029">
        <v>0.90212179999999997</v>
      </c>
      <c r="P7029">
        <v>0.4209656</v>
      </c>
      <c r="Q7029">
        <v>1.138689E-2</v>
      </c>
      <c r="R7029">
        <v>0.90700510000000001</v>
      </c>
      <c r="S7029">
        <v>1.100571</v>
      </c>
      <c r="T7029">
        <v>-0.20055809999999999</v>
      </c>
      <c r="U7029">
        <v>2.799957</v>
      </c>
      <c r="V7029">
        <v>-1.142285E-2</v>
      </c>
      <c r="W7029">
        <v>2.528333E-2</v>
      </c>
      <c r="X7029">
        <v>0.99961509999999998</v>
      </c>
      <c r="Y7029">
        <v>-7.2060630000000001E-2</v>
      </c>
      <c r="Z7029">
        <v>-5.8987980000000002E-2</v>
      </c>
      <c r="AA7029">
        <v>0.99565440000000005</v>
      </c>
      <c r="AB7029">
        <v>25</v>
      </c>
      <c r="AC7029">
        <v>5.9946000000000099</v>
      </c>
      <c r="AD7029">
        <v>-1.110594096334</v>
      </c>
      <c r="AE7029">
        <v>15.294219999999999</v>
      </c>
      <c r="AF7029">
        <v>-1.1825897654917099</v>
      </c>
      <c r="AG7029">
        <v>-1.110594096334</v>
      </c>
      <c r="AH7029">
        <v>16.309501774066501</v>
      </c>
      <c r="AI7029">
        <v>93.885368340688103</v>
      </c>
      <c r="AJ7029">
        <v>94.147216124205499</v>
      </c>
      <c r="AK7029">
        <v>16.3899904185004</v>
      </c>
      <c r="AL7029">
        <v>88.551217571449698</v>
      </c>
      <c r="AM7029">
        <v>90.654704605227494</v>
      </c>
      <c r="AN7029">
        <v>1.0000000382130001</v>
      </c>
    </row>
    <row r="7030" spans="1:40" x14ac:dyDescent="0.25">
      <c r="A7030" t="str">
        <f>"20190312155011621"</f>
        <v>20190312155011621</v>
      </c>
      <c r="B7030" t="str">
        <f>"1552377011613107"</f>
        <v>1552377011613107</v>
      </c>
      <c r="C7030" t="s">
        <v>40</v>
      </c>
      <c r="D7030">
        <v>4.5727580000000003</v>
      </c>
      <c r="E7030">
        <v>0.4784176</v>
      </c>
      <c r="F7030" t="s">
        <v>42</v>
      </c>
      <c r="G7030">
        <v>-189.44890000000001</v>
      </c>
      <c r="H7030" s="1">
        <v>-4.2673879999999997E-6</v>
      </c>
      <c r="I7030">
        <v>-30.64772</v>
      </c>
      <c r="J7030">
        <v>-195.48429999999999</v>
      </c>
      <c r="K7030">
        <v>1.110311</v>
      </c>
      <c r="L7030">
        <v>-46.067169999999997</v>
      </c>
      <c r="M7030">
        <v>0.43080170000000001</v>
      </c>
      <c r="N7030">
        <v>0</v>
      </c>
      <c r="O7030">
        <v>0.90234150000000002</v>
      </c>
      <c r="P7030">
        <v>0.42042489999999999</v>
      </c>
      <c r="Q7030">
        <v>1.049453E-2</v>
      </c>
      <c r="R7030">
        <v>0.90726669999999998</v>
      </c>
      <c r="S7030">
        <v>1.0991059999999999</v>
      </c>
      <c r="T7030">
        <v>-0.1989002</v>
      </c>
      <c r="U7030">
        <v>2.799957</v>
      </c>
      <c r="V7030">
        <v>-1.150179E-2</v>
      </c>
      <c r="W7030">
        <v>2.4262740000000001E-2</v>
      </c>
      <c r="X7030">
        <v>0.99963950000000001</v>
      </c>
      <c r="Y7030">
        <v>-7.1996470000000007E-2</v>
      </c>
      <c r="Z7030">
        <v>-5.8529060000000001E-2</v>
      </c>
      <c r="AA7030">
        <v>0.99568610000000002</v>
      </c>
      <c r="AB7030">
        <v>25</v>
      </c>
      <c r="AC7030">
        <v>6.0353999999999797</v>
      </c>
      <c r="AD7030">
        <v>-1.1103152673879999</v>
      </c>
      <c r="AE7030">
        <v>15.419449999999999</v>
      </c>
      <c r="AF7030">
        <v>-1.1914897105879301</v>
      </c>
      <c r="AG7030">
        <v>-1.1103152673879999</v>
      </c>
      <c r="AH7030">
        <v>16.441313008907802</v>
      </c>
      <c r="AI7030">
        <v>93.853359639236004</v>
      </c>
      <c r="AJ7030">
        <v>94.144936493568693</v>
      </c>
      <c r="AK7030">
        <v>16.521780206149501</v>
      </c>
      <c r="AL7030">
        <v>88.609711040499405</v>
      </c>
      <c r="AM7030">
        <v>90.6592125911924</v>
      </c>
      <c r="AN7030">
        <v>1.0000000508428699</v>
      </c>
    </row>
    <row r="7031" spans="1:40" x14ac:dyDescent="0.25">
      <c r="A7031" t="str">
        <f>"20190312155011644"</f>
        <v>20190312155011644</v>
      </c>
      <c r="B7031" t="str">
        <f>"1552377011632628"</f>
        <v>1552377011632628</v>
      </c>
      <c r="C7031" t="s">
        <v>40</v>
      </c>
      <c r="D7031">
        <v>4.5861780000000003</v>
      </c>
      <c r="E7031">
        <v>0.47886440000000002</v>
      </c>
      <c r="F7031" t="s">
        <v>42</v>
      </c>
      <c r="G7031">
        <v>-189.30109999999999</v>
      </c>
      <c r="H7031" s="1">
        <v>-1.9314010000000001E-7</v>
      </c>
      <c r="I7031">
        <v>-30.330819999999999</v>
      </c>
      <c r="J7031">
        <v>-195.37950000000001</v>
      </c>
      <c r="K7031">
        <v>1.1100399999999999</v>
      </c>
      <c r="L7031">
        <v>-45.846530000000001</v>
      </c>
      <c r="M7031">
        <v>0.4305987</v>
      </c>
      <c r="N7031">
        <v>0</v>
      </c>
      <c r="O7031">
        <v>0.90244139999999995</v>
      </c>
      <c r="P7031">
        <v>0.42029420000000001</v>
      </c>
      <c r="Q7031">
        <v>1.0223950000000001E-2</v>
      </c>
      <c r="R7031">
        <v>0.90733030000000003</v>
      </c>
      <c r="S7031">
        <v>1.0998840000000001</v>
      </c>
      <c r="T7031">
        <v>-0.19750519999999999</v>
      </c>
      <c r="U7031">
        <v>2.7992249999999999</v>
      </c>
      <c r="V7031">
        <v>-1.140706E-2</v>
      </c>
      <c r="W7031">
        <v>2.3797479999999999E-2</v>
      </c>
      <c r="X7031">
        <v>0.99965170000000003</v>
      </c>
      <c r="Y7031">
        <v>-7.1433170000000004E-2</v>
      </c>
      <c r="Z7031">
        <v>-5.8142659999999999E-2</v>
      </c>
      <c r="AA7031">
        <v>0.99574940000000001</v>
      </c>
      <c r="AB7031">
        <v>25</v>
      </c>
      <c r="AC7031">
        <v>6.07840000000001</v>
      </c>
      <c r="AD7031">
        <v>-1.1100401931400901</v>
      </c>
      <c r="AE7031">
        <v>15.51571</v>
      </c>
      <c r="AF7031">
        <v>-1.190472357714</v>
      </c>
      <c r="AG7031">
        <v>-1.1100401931400901</v>
      </c>
      <c r="AH7031">
        <v>16.547474339501498</v>
      </c>
      <c r="AI7031">
        <v>93.827910530517897</v>
      </c>
      <c r="AJ7031">
        <v>94.114931756977896</v>
      </c>
      <c r="AK7031">
        <v>16.6273365480262</v>
      </c>
      <c r="AL7031">
        <v>88.636376078717205</v>
      </c>
      <c r="AM7031">
        <v>90.653775739192398</v>
      </c>
      <c r="AN7031">
        <v>0.99999998119254097</v>
      </c>
    </row>
    <row r="7032" spans="1:40" x14ac:dyDescent="0.25">
      <c r="A7032" t="str">
        <f>"20190312155011667"</f>
        <v>20190312155011667</v>
      </c>
      <c r="B7032" t="str">
        <f>"1552377011662883"</f>
        <v>1552377011662883</v>
      </c>
      <c r="C7032" t="s">
        <v>40</v>
      </c>
      <c r="D7032">
        <v>4.6372689999999999</v>
      </c>
      <c r="E7032">
        <v>0.49002469999999998</v>
      </c>
      <c r="F7032" t="s">
        <v>42</v>
      </c>
      <c r="G7032">
        <v>-189.1985</v>
      </c>
      <c r="H7032" s="1">
        <v>-2.7848149999999998E-7</v>
      </c>
      <c r="I7032">
        <v>-30.160240000000002</v>
      </c>
      <c r="J7032">
        <v>-195.27160000000001</v>
      </c>
      <c r="K7032">
        <v>1.1097969999999999</v>
      </c>
      <c r="L7032">
        <v>-45.620179999999998</v>
      </c>
      <c r="M7032">
        <v>0.43065290000000001</v>
      </c>
      <c r="N7032">
        <v>0</v>
      </c>
      <c r="O7032">
        <v>0.90241930000000004</v>
      </c>
      <c r="P7032">
        <v>0.42010310000000001</v>
      </c>
      <c r="Q7032">
        <v>9.8684059999999997E-3</v>
      </c>
      <c r="R7032">
        <v>0.90742270000000003</v>
      </c>
      <c r="S7032">
        <v>1.1024929999999999</v>
      </c>
      <c r="T7032">
        <v>-0.19799649999999999</v>
      </c>
      <c r="U7032">
        <v>2.7979430000000001</v>
      </c>
      <c r="V7032">
        <v>-1.166654E-2</v>
      </c>
      <c r="W7032">
        <v>2.3195400000000001E-2</v>
      </c>
      <c r="X7032">
        <v>0.99966290000000002</v>
      </c>
      <c r="Y7032">
        <v>-7.053595E-2</v>
      </c>
      <c r="Z7032">
        <v>-5.8302279999999998E-2</v>
      </c>
      <c r="AA7032">
        <v>0.99580400000000002</v>
      </c>
      <c r="AB7032">
        <v>25</v>
      </c>
      <c r="AC7032">
        <v>6.0731000000000099</v>
      </c>
      <c r="AD7032">
        <v>-1.1097972784815</v>
      </c>
      <c r="AE7032">
        <v>15.4599399999999</v>
      </c>
      <c r="AF7032">
        <v>-1.1722566056119901</v>
      </c>
      <c r="AG7032">
        <v>-1.1097972784815</v>
      </c>
      <c r="AH7032">
        <v>16.494580939745099</v>
      </c>
      <c r="AI7032">
        <v>93.839548952153393</v>
      </c>
      <c r="AJ7032">
        <v>94.065130083150393</v>
      </c>
      <c r="AK7032">
        <v>16.573383357858098</v>
      </c>
      <c r="AL7032">
        <v>88.670882306416999</v>
      </c>
      <c r="AM7032">
        <v>90.668638556730201</v>
      </c>
      <c r="AN7032">
        <v>1.0000000241865701</v>
      </c>
    </row>
    <row r="7033" spans="1:40" x14ac:dyDescent="0.25">
      <c r="A7033" t="str">
        <f>"20190312155011689"</f>
        <v>20190312155011689</v>
      </c>
      <c r="B7033" t="str">
        <f>"1552377011682403"</f>
        <v>1552377011682403</v>
      </c>
      <c r="C7033" t="s">
        <v>40</v>
      </c>
      <c r="D7033">
        <v>4.6530449999999997</v>
      </c>
      <c r="E7033">
        <v>0.48963839999999997</v>
      </c>
      <c r="F7033" t="s">
        <v>41</v>
      </c>
      <c r="G7033">
        <v>-194.90260000000001</v>
      </c>
      <c r="H7033">
        <v>1.021298</v>
      </c>
      <c r="I7033">
        <v>-44.757260000000002</v>
      </c>
      <c r="J7033">
        <v>-195.1643</v>
      </c>
      <c r="K7033">
        <v>1.1095950000000001</v>
      </c>
      <c r="L7033">
        <v>-45.395690000000002</v>
      </c>
      <c r="M7033">
        <v>0.4309287</v>
      </c>
      <c r="N7033">
        <v>0</v>
      </c>
      <c r="O7033">
        <v>0.90229170000000003</v>
      </c>
      <c r="P7033">
        <v>0.420682</v>
      </c>
      <c r="Q7033">
        <v>8.3560459999999902E-3</v>
      </c>
      <c r="R7033">
        <v>0.90716969999999997</v>
      </c>
      <c r="S7033">
        <v>1.1805110000000001</v>
      </c>
      <c r="T7033">
        <v>-0.28322789999999998</v>
      </c>
      <c r="U7033">
        <v>2.7626040000000001</v>
      </c>
      <c r="V7033">
        <v>-1.133284E-2</v>
      </c>
      <c r="W7033">
        <v>2.1404369999999999E-2</v>
      </c>
      <c r="X7033">
        <v>0.99970669999999995</v>
      </c>
      <c r="Y7033">
        <v>-4.3250839999999999E-2</v>
      </c>
      <c r="Z7033">
        <v>-8.3853369999999997E-2</v>
      </c>
      <c r="AA7033">
        <v>0.99553899999999995</v>
      </c>
      <c r="AB7033">
        <v>25</v>
      </c>
      <c r="AC7033">
        <v>0.26169999999999</v>
      </c>
      <c r="AD7033">
        <v>-8.8297E-2</v>
      </c>
      <c r="AE7033">
        <v>0.63843000000000605</v>
      </c>
      <c r="AF7033">
        <v>-3.8363148050989802E-2</v>
      </c>
      <c r="AG7033">
        <v>-8.8297E-2</v>
      </c>
      <c r="AH7033">
        <v>0.67778324809715396</v>
      </c>
      <c r="AI7033">
        <v>97.410576413438605</v>
      </c>
      <c r="AJ7033">
        <v>93.239536700376803</v>
      </c>
      <c r="AK7033">
        <v>0.68458616896524405</v>
      </c>
      <c r="AL7033">
        <v>88.773526313506096</v>
      </c>
      <c r="AM7033">
        <v>90.649486583880503</v>
      </c>
      <c r="AN7033">
        <v>1.00000003317122</v>
      </c>
    </row>
    <row r="7034" spans="1:40" x14ac:dyDescent="0.25">
      <c r="A7034" t="str">
        <f>"20190312155011712"</f>
        <v>20190312155011712</v>
      </c>
      <c r="B7034" t="str">
        <f>"1552377011702899"</f>
        <v>1552377011702899</v>
      </c>
      <c r="C7034" t="s">
        <v>40</v>
      </c>
      <c r="D7034">
        <v>4.6689790000000002</v>
      </c>
      <c r="E7034">
        <v>0.4888825</v>
      </c>
      <c r="F7034" t="s">
        <v>42</v>
      </c>
      <c r="G7034">
        <v>-190.52440000000001</v>
      </c>
      <c r="H7034" s="1">
        <v>-2.663967E-6</v>
      </c>
      <c r="I7034">
        <v>-34.52637</v>
      </c>
      <c r="J7034">
        <v>-195.054</v>
      </c>
      <c r="K7034">
        <v>1.109437</v>
      </c>
      <c r="L7034">
        <v>-45.165709999999997</v>
      </c>
      <c r="M7034">
        <v>0.43136259999999998</v>
      </c>
      <c r="N7034">
        <v>0</v>
      </c>
      <c r="O7034">
        <v>0.90208869999999997</v>
      </c>
      <c r="P7034">
        <v>0.42219309999999899</v>
      </c>
      <c r="Q7034">
        <v>6.4413919999999998E-3</v>
      </c>
      <c r="R7034">
        <v>0.90648300000000004</v>
      </c>
      <c r="S7034">
        <v>1.1793370000000001</v>
      </c>
      <c r="T7034">
        <v>-0.28203030000000001</v>
      </c>
      <c r="U7034">
        <v>2.7626949999999999</v>
      </c>
      <c r="V7034">
        <v>-1.014869E-2</v>
      </c>
      <c r="W7034">
        <v>1.9188960000000001E-2</v>
      </c>
      <c r="X7034">
        <v>0.9997644</v>
      </c>
      <c r="Y7034">
        <v>-4.4085939999999997E-2</v>
      </c>
      <c r="Z7034">
        <v>-8.3475010000000002E-2</v>
      </c>
      <c r="AA7034">
        <v>0.99553420000000004</v>
      </c>
      <c r="AB7034">
        <v>25</v>
      </c>
      <c r="AC7034">
        <v>4.5295999999999799</v>
      </c>
      <c r="AD7034">
        <v>-1.1094396639669999</v>
      </c>
      <c r="AE7034">
        <v>10.639339999999899</v>
      </c>
      <c r="AF7034">
        <v>-0.49876201871622799</v>
      </c>
      <c r="AG7034">
        <v>-1.1094396639669999</v>
      </c>
      <c r="AH7034">
        <v>11.4470928180264</v>
      </c>
      <c r="AI7034">
        <v>95.530539652815406</v>
      </c>
      <c r="AJ7034">
        <v>92.494860120424207</v>
      </c>
      <c r="AK7034">
        <v>11.5115400318033</v>
      </c>
      <c r="AL7034">
        <v>88.900486132413405</v>
      </c>
      <c r="AM7034">
        <v>90.581594156740394</v>
      </c>
      <c r="AN7034">
        <v>1.00000003380097</v>
      </c>
    </row>
    <row r="7035" spans="1:40" x14ac:dyDescent="0.25">
      <c r="A7035" t="str">
        <f>"20190312155011736"</f>
        <v>20190312155011736</v>
      </c>
      <c r="B7035" t="str">
        <f>"1552377011722420"</f>
        <v>1552377011722420</v>
      </c>
      <c r="C7035" t="s">
        <v>40</v>
      </c>
      <c r="D7035">
        <v>4.642557</v>
      </c>
      <c r="E7035">
        <v>0.48856270000000002</v>
      </c>
      <c r="F7035" t="s">
        <v>42</v>
      </c>
      <c r="G7035">
        <v>-190.43700000000001</v>
      </c>
      <c r="H7035" s="1">
        <v>-2.723421E-6</v>
      </c>
      <c r="I7035">
        <v>-34.333570000000002</v>
      </c>
      <c r="J7035">
        <v>-194.9434</v>
      </c>
      <c r="K7035">
        <v>1.1093109999999999</v>
      </c>
      <c r="L7035">
        <v>-44.935760000000002</v>
      </c>
      <c r="M7035">
        <v>0.43190459999999897</v>
      </c>
      <c r="N7035">
        <v>0</v>
      </c>
      <c r="O7035">
        <v>0.90183380000000002</v>
      </c>
      <c r="P7035">
        <v>0.4246838</v>
      </c>
      <c r="Q7035">
        <v>4.9183270000000001E-3</v>
      </c>
      <c r="R7035">
        <v>0.90532840000000003</v>
      </c>
      <c r="S7035">
        <v>1.177673</v>
      </c>
      <c r="T7035">
        <v>-0.2829895</v>
      </c>
      <c r="U7035">
        <v>2.7629999999999999</v>
      </c>
      <c r="V7035">
        <v>-8.0017700000000001E-3</v>
      </c>
      <c r="W7035">
        <v>1.734343E-2</v>
      </c>
      <c r="X7035">
        <v>0.99981759999999997</v>
      </c>
      <c r="Y7035">
        <v>-4.5240339999999997E-2</v>
      </c>
      <c r="Z7035">
        <v>-8.3718139999999996E-2</v>
      </c>
      <c r="AA7035">
        <v>0.99546199999999996</v>
      </c>
      <c r="AB7035">
        <v>25</v>
      </c>
      <c r="AC7035">
        <v>4.5063999999999798</v>
      </c>
      <c r="AD7035">
        <v>-1.109313723421</v>
      </c>
      <c r="AE7035">
        <v>10.602189999999901</v>
      </c>
      <c r="AF7035">
        <v>-0.51041772460539203</v>
      </c>
      <c r="AG7035">
        <v>-1.109313723421</v>
      </c>
      <c r="AH7035">
        <v>11.4029034218945</v>
      </c>
      <c r="AI7035">
        <v>95.550922463974999</v>
      </c>
      <c r="AJ7035">
        <v>92.562967669669405</v>
      </c>
      <c r="AK7035">
        <v>11.4680996524976</v>
      </c>
      <c r="AL7035">
        <v>89.0062448630202</v>
      </c>
      <c r="AM7035">
        <v>90.458541499437899</v>
      </c>
      <c r="AN7035">
        <v>1.00000002807852</v>
      </c>
    </row>
    <row r="7036" spans="1:40" x14ac:dyDescent="0.25">
      <c r="A7036" t="str">
        <f>"20190312155011756"</f>
        <v>20190312155011756</v>
      </c>
      <c r="B7036" t="str">
        <f>"1552377011742916"</f>
        <v>1552377011742916</v>
      </c>
      <c r="C7036" t="s">
        <v>40</v>
      </c>
      <c r="D7036">
        <v>4.6338589999999904</v>
      </c>
      <c r="E7036">
        <v>0.48878179999999999</v>
      </c>
      <c r="F7036" t="s">
        <v>42</v>
      </c>
      <c r="G7036">
        <v>-190.33009999999999</v>
      </c>
      <c r="H7036" s="1">
        <v>-2.7686679999999998E-6</v>
      </c>
      <c r="I7036">
        <v>-34.161769999999997</v>
      </c>
      <c r="J7036">
        <v>-194.84049999999999</v>
      </c>
      <c r="K7036">
        <v>1.1092169999999999</v>
      </c>
      <c r="L7036">
        <v>-44.722259999999999</v>
      </c>
      <c r="M7036">
        <v>0.43247210000000003</v>
      </c>
      <c r="N7036">
        <v>0</v>
      </c>
      <c r="O7036">
        <v>0.90156619999999998</v>
      </c>
      <c r="P7036">
        <v>0.42779119999999998</v>
      </c>
      <c r="Q7036">
        <v>4.0282249999999999E-3</v>
      </c>
      <c r="R7036">
        <v>0.90386860000000002</v>
      </c>
      <c r="S7036">
        <v>1.182129</v>
      </c>
      <c r="T7036">
        <v>-0.28425220000000001</v>
      </c>
      <c r="U7036">
        <v>2.760742</v>
      </c>
      <c r="V7036">
        <v>-5.1956980000000003E-3</v>
      </c>
      <c r="W7036">
        <v>1.6126709999999999E-2</v>
      </c>
      <c r="X7036">
        <v>0.99985650000000004</v>
      </c>
      <c r="Y7036">
        <v>-4.4229240000000003E-2</v>
      </c>
      <c r="Z7036">
        <v>-8.4091719999999995E-2</v>
      </c>
      <c r="AA7036">
        <v>0.99547589999999997</v>
      </c>
      <c r="AB7036">
        <v>25</v>
      </c>
      <c r="AC7036">
        <v>4.5103999999999997</v>
      </c>
      <c r="AD7036">
        <v>-1.1092197686680001</v>
      </c>
      <c r="AE7036">
        <v>10.5604899999999</v>
      </c>
      <c r="AF7036">
        <v>-0.49610093652861897</v>
      </c>
      <c r="AG7036">
        <v>-1.1092197686680001</v>
      </c>
      <c r="AH7036">
        <v>11.366389919312001</v>
      </c>
      <c r="AI7036">
        <v>95.5684460999816</v>
      </c>
      <c r="AJ7036">
        <v>92.499162982109098</v>
      </c>
      <c r="AK7036">
        <v>11.4311549911751</v>
      </c>
      <c r="AL7036">
        <v>89.075967564344793</v>
      </c>
      <c r="AM7036">
        <v>90.297731612029807</v>
      </c>
      <c r="AN7036">
        <v>1.0000000433226801</v>
      </c>
    </row>
    <row r="7037" spans="1:40" x14ac:dyDescent="0.25">
      <c r="A7037" t="str">
        <f>"20190312155011780"</f>
        <v>20190312155011780</v>
      </c>
      <c r="B7037" t="str">
        <f>"1552377011772196"</f>
        <v>1552377011772196</v>
      </c>
      <c r="C7037" t="s">
        <v>40</v>
      </c>
      <c r="D7037">
        <v>4.618913</v>
      </c>
      <c r="E7037">
        <v>0.48763889999999999</v>
      </c>
      <c r="F7037" t="s">
        <v>42</v>
      </c>
      <c r="G7037">
        <v>-190.29220000000001</v>
      </c>
      <c r="H7037" s="1">
        <v>-2.736525E-6</v>
      </c>
      <c r="I7037">
        <v>-34.213189999999997</v>
      </c>
      <c r="J7037">
        <v>-194.72749999999999</v>
      </c>
      <c r="K7037">
        <v>1.1091359999999999</v>
      </c>
      <c r="L7037">
        <v>-44.488430000000001</v>
      </c>
      <c r="M7037">
        <v>0.43312980000000001</v>
      </c>
      <c r="N7037">
        <v>0</v>
      </c>
      <c r="O7037">
        <v>0.90125540000000004</v>
      </c>
      <c r="P7037">
        <v>0.43147679999999999</v>
      </c>
      <c r="Q7037">
        <v>3.1590429999999998E-3</v>
      </c>
      <c r="R7037">
        <v>0.90211850000000005</v>
      </c>
      <c r="S7037">
        <v>1.192734</v>
      </c>
      <c r="T7037">
        <v>-0.29087770000000002</v>
      </c>
      <c r="U7037">
        <v>2.7558590000000001</v>
      </c>
      <c r="V7037">
        <v>-1.8445029999999999E-3</v>
      </c>
      <c r="W7037">
        <v>1.487755E-2</v>
      </c>
      <c r="X7037">
        <v>0.99988759999999999</v>
      </c>
      <c r="Y7037">
        <v>-4.116243E-2</v>
      </c>
      <c r="Z7037">
        <v>-8.6076280000000005E-2</v>
      </c>
      <c r="AA7037">
        <v>0.99543789999999999</v>
      </c>
      <c r="AB7037">
        <v>25</v>
      </c>
      <c r="AC7037">
        <v>4.4352999999999803</v>
      </c>
      <c r="AD7037">
        <v>-1.1091387365250001</v>
      </c>
      <c r="AE7037">
        <v>10.275239999999901</v>
      </c>
      <c r="AF7037">
        <v>-0.44879773441139698</v>
      </c>
      <c r="AG7037">
        <v>-1.1091387365250001</v>
      </c>
      <c r="AH7037">
        <v>11.0736816319392</v>
      </c>
      <c r="AI7037">
        <v>95.715002771312498</v>
      </c>
      <c r="AJ7037">
        <v>92.3208316648372</v>
      </c>
      <c r="AK7037">
        <v>11.1381341807692</v>
      </c>
      <c r="AL7037">
        <v>89.147547707736706</v>
      </c>
      <c r="AM7037">
        <v>90.105693997327407</v>
      </c>
      <c r="AN7037">
        <v>0.999999978159539</v>
      </c>
    </row>
    <row r="7038" spans="1:40" x14ac:dyDescent="0.25">
      <c r="A7038" t="str">
        <f>"20190312155011801"</f>
        <v>20190312155011801</v>
      </c>
      <c r="B7038" t="str">
        <f>"1552377011792692"</f>
        <v>1552377011792692</v>
      </c>
      <c r="C7038" t="s">
        <v>40</v>
      </c>
      <c r="D7038">
        <v>4.5950160000000002</v>
      </c>
      <c r="E7038">
        <v>0.48686439999999997</v>
      </c>
      <c r="F7038" t="s">
        <v>42</v>
      </c>
      <c r="G7038">
        <v>-189.97559999999999</v>
      </c>
      <c r="H7038" s="1">
        <v>-2.9410069999999999E-6</v>
      </c>
      <c r="I7038">
        <v>-33.540199999999999</v>
      </c>
      <c r="J7038">
        <v>-194.62549999999999</v>
      </c>
      <c r="K7038">
        <v>1.10907</v>
      </c>
      <c r="L7038">
        <v>-44.277799999999999</v>
      </c>
      <c r="M7038">
        <v>0.43373139999999999</v>
      </c>
      <c r="N7038">
        <v>0</v>
      </c>
      <c r="O7038">
        <v>0.90097050000000001</v>
      </c>
      <c r="P7038">
        <v>0.43546010000000002</v>
      </c>
      <c r="Q7038">
        <v>2.0989899999999998E-3</v>
      </c>
      <c r="R7038">
        <v>0.90020560000000005</v>
      </c>
      <c r="S7038">
        <v>1.1956020000000001</v>
      </c>
      <c r="T7038">
        <v>-0.27906560000000002</v>
      </c>
      <c r="U7038">
        <v>2.7546390000000001</v>
      </c>
      <c r="V7038">
        <v>1.9074280000000001E-3</v>
      </c>
      <c r="W7038">
        <v>1.346292E-2</v>
      </c>
      <c r="X7038">
        <v>0.99990760000000001</v>
      </c>
      <c r="Y7038">
        <v>-4.0664159999999998E-2</v>
      </c>
      <c r="Z7038">
        <v>-8.2590369999999996E-2</v>
      </c>
      <c r="AA7038">
        <v>0.99575360000000002</v>
      </c>
      <c r="AB7038">
        <v>25</v>
      </c>
      <c r="AC7038">
        <v>4.6498999999999997</v>
      </c>
      <c r="AD7038">
        <v>-1.1090729410069999</v>
      </c>
      <c r="AE7038">
        <v>10.7376</v>
      </c>
      <c r="AF7038">
        <v>-0.46367620160095302</v>
      </c>
      <c r="AG7038">
        <v>-1.1090729410069999</v>
      </c>
      <c r="AH7038">
        <v>11.587722007306301</v>
      </c>
      <c r="AI7038">
        <v>95.462839873636597</v>
      </c>
      <c r="AJ7038">
        <v>92.291436044927806</v>
      </c>
      <c r="AK7038">
        <v>11.649907284052301</v>
      </c>
      <c r="AL7038">
        <v>89.228608237820595</v>
      </c>
      <c r="AM7038">
        <v>89.890702459346002</v>
      </c>
      <c r="AN7038">
        <v>1.0000000485171201</v>
      </c>
    </row>
    <row r="7039" spans="1:40" x14ac:dyDescent="0.25">
      <c r="A7039" t="str">
        <f>"20190312155011823"</f>
        <v>20190312155011823</v>
      </c>
      <c r="B7039" t="str">
        <f>"1552377011813187"</f>
        <v>1552377011813187</v>
      </c>
      <c r="C7039" t="s">
        <v>40</v>
      </c>
      <c r="D7039">
        <v>4.6068470000000001</v>
      </c>
      <c r="E7039">
        <v>0.48652230000000002</v>
      </c>
      <c r="F7039" t="s">
        <v>42</v>
      </c>
      <c r="G7039">
        <v>-189.7568</v>
      </c>
      <c r="H7039" s="1">
        <v>-3.1460029999999999E-6</v>
      </c>
      <c r="I7039">
        <v>-33.13438</v>
      </c>
      <c r="J7039">
        <v>-194.5181</v>
      </c>
      <c r="K7039">
        <v>1.109019</v>
      </c>
      <c r="L7039">
        <v>-44.056489999999997</v>
      </c>
      <c r="M7039">
        <v>0.4343572</v>
      </c>
      <c r="N7039">
        <v>0</v>
      </c>
      <c r="O7039">
        <v>0.90067359999999896</v>
      </c>
      <c r="P7039">
        <v>0.43947750000000002</v>
      </c>
      <c r="Q7039">
        <v>7.1192439999999998E-4</v>
      </c>
      <c r="R7039">
        <v>0.89825330000000003</v>
      </c>
      <c r="S7039">
        <v>1.20224</v>
      </c>
      <c r="T7039">
        <v>-0.27386369999999999</v>
      </c>
      <c r="U7039">
        <v>2.7516479999999999</v>
      </c>
      <c r="V7039">
        <v>5.6787749999999996E-3</v>
      </c>
      <c r="W7039">
        <v>1.1696369999999999E-2</v>
      </c>
      <c r="X7039">
        <v>0.99991549999999996</v>
      </c>
      <c r="Y7039">
        <v>-3.8887529999999997E-2</v>
      </c>
      <c r="Z7039">
        <v>-8.1071740000000003E-2</v>
      </c>
      <c r="AA7039">
        <v>0.99594939999999998</v>
      </c>
      <c r="AB7039">
        <v>25</v>
      </c>
      <c r="AC7039">
        <v>4.7613000000000003</v>
      </c>
      <c r="AD7039">
        <v>-1.1090221460030001</v>
      </c>
      <c r="AE7039">
        <v>10.92211</v>
      </c>
      <c r="AF7039">
        <v>-0.45183287821964402</v>
      </c>
      <c r="AG7039">
        <v>-1.1090221460030001</v>
      </c>
      <c r="AH7039">
        <v>11.8038152105762</v>
      </c>
      <c r="AI7039">
        <v>95.363537479744707</v>
      </c>
      <c r="AJ7039">
        <v>92.1921288539138</v>
      </c>
      <c r="AK7039">
        <v>11.8644062892163</v>
      </c>
      <c r="AL7039">
        <v>89.329832102728702</v>
      </c>
      <c r="AM7039">
        <v>89.674606162001197</v>
      </c>
      <c r="AN7039">
        <v>1.00000003034846</v>
      </c>
    </row>
    <row r="7040" spans="1:40" x14ac:dyDescent="0.25">
      <c r="A7040" t="str">
        <f>"20190312155011845"</f>
        <v>20190312155011845</v>
      </c>
      <c r="B7040" t="str">
        <f>"1552377011832708"</f>
        <v>1552377011832708</v>
      </c>
      <c r="C7040" t="s">
        <v>40</v>
      </c>
      <c r="D7040">
        <v>4.6270049999999996</v>
      </c>
      <c r="E7040">
        <v>0.47904279999999999</v>
      </c>
      <c r="F7040" t="s">
        <v>42</v>
      </c>
      <c r="G7040">
        <v>-189.63890000000001</v>
      </c>
      <c r="H7040" s="1">
        <v>-3.226134E-6</v>
      </c>
      <c r="I7040">
        <v>-32.996319999999997</v>
      </c>
      <c r="J7040">
        <v>-194.4111</v>
      </c>
      <c r="K7040">
        <v>1.108986</v>
      </c>
      <c r="L7040">
        <v>-43.836179999999999</v>
      </c>
      <c r="M7040">
        <v>0.43496390000000001</v>
      </c>
      <c r="N7040">
        <v>0</v>
      </c>
      <c r="O7040">
        <v>0.90038530000000006</v>
      </c>
      <c r="P7040">
        <v>0.44302219999999998</v>
      </c>
      <c r="Q7040">
        <v>-5.5724940000000003E-4</v>
      </c>
      <c r="R7040">
        <v>0.89651049999999999</v>
      </c>
      <c r="S7040">
        <v>1.211884</v>
      </c>
      <c r="T7040">
        <v>-0.27545639999999999</v>
      </c>
      <c r="U7040">
        <v>2.7471009999999998</v>
      </c>
      <c r="V7040">
        <v>8.95436199999999E-3</v>
      </c>
      <c r="W7040">
        <v>1.0049000000000001E-2</v>
      </c>
      <c r="X7040">
        <v>0.99990939999999995</v>
      </c>
      <c r="Y7040">
        <v>-3.6042560000000001E-2</v>
      </c>
      <c r="Z7040">
        <v>-8.157644E-2</v>
      </c>
      <c r="AA7040">
        <v>0.99601519999999999</v>
      </c>
      <c r="AB7040">
        <v>25</v>
      </c>
      <c r="AC7040">
        <v>4.77219999999999</v>
      </c>
      <c r="AD7040">
        <v>-1.108989226134</v>
      </c>
      <c r="AE7040">
        <v>10.8398599999999</v>
      </c>
      <c r="AF7040">
        <v>-0.41451837913724499</v>
      </c>
      <c r="AG7040">
        <v>-1.108989226134</v>
      </c>
      <c r="AH7040">
        <v>11.733579666975</v>
      </c>
      <c r="AI7040">
        <v>95.395876484144907</v>
      </c>
      <c r="AJ7040">
        <v>92.023276901450501</v>
      </c>
      <c r="AK7040">
        <v>11.7931579482161</v>
      </c>
      <c r="AL7040">
        <v>89.424225012583307</v>
      </c>
      <c r="AM7040">
        <v>89.4869200780944</v>
      </c>
      <c r="AN7040">
        <v>0.99999998560409298</v>
      </c>
    </row>
    <row r="7041" spans="1:40" x14ac:dyDescent="0.25">
      <c r="A7041" t="str">
        <f>"20190312155011867"</f>
        <v>20190312155011867</v>
      </c>
      <c r="B7041" t="str">
        <f>"1552377011862964"</f>
        <v>1552377011862964</v>
      </c>
      <c r="C7041" t="s">
        <v>40</v>
      </c>
      <c r="D7041">
        <v>4.6485310000000002</v>
      </c>
      <c r="E7041">
        <v>0.47907119999999997</v>
      </c>
      <c r="F7041" t="s">
        <v>42</v>
      </c>
      <c r="G7041">
        <v>-188.94890000000001</v>
      </c>
      <c r="H7041" s="1">
        <v>-4.2373180000000001E-6</v>
      </c>
      <c r="I7041">
        <v>-30.92454</v>
      </c>
      <c r="J7041">
        <v>-194.30080000000001</v>
      </c>
      <c r="K7041">
        <v>1.108957</v>
      </c>
      <c r="L7041">
        <v>-43.609529999999999</v>
      </c>
      <c r="M7041">
        <v>0.43556539999999999</v>
      </c>
      <c r="N7041">
        <v>0</v>
      </c>
      <c r="O7041">
        <v>0.90009889999999904</v>
      </c>
      <c r="P7041">
        <v>0.44530239999999999</v>
      </c>
      <c r="Q7041">
        <v>-1.44718E-3</v>
      </c>
      <c r="R7041">
        <v>0.89537909999999898</v>
      </c>
      <c r="S7041">
        <v>1.1708069999999999</v>
      </c>
      <c r="T7041">
        <v>-0.23770930000000001</v>
      </c>
      <c r="U7041">
        <v>2.7675779999999999</v>
      </c>
      <c r="V7041">
        <v>1.0831540000000001E-2</v>
      </c>
      <c r="W7041">
        <v>8.7730399999999993E-3</v>
      </c>
      <c r="X7041">
        <v>0.99990279999999998</v>
      </c>
      <c r="Y7041">
        <v>-5.1522209999999999E-2</v>
      </c>
      <c r="Z7041">
        <v>-7.0117170000000006E-2</v>
      </c>
      <c r="AA7041">
        <v>0.99620739999999997</v>
      </c>
      <c r="AB7041">
        <v>25</v>
      </c>
      <c r="AC7041">
        <v>5.3518999999999997</v>
      </c>
      <c r="AD7041">
        <v>-1.108961237318</v>
      </c>
      <c r="AE7041">
        <v>12.6849899999999</v>
      </c>
      <c r="AF7041">
        <v>-0.70337707363345303</v>
      </c>
      <c r="AG7041">
        <v>-1.108961237318</v>
      </c>
      <c r="AH7041">
        <v>13.6609372501251</v>
      </c>
      <c r="AI7041">
        <v>94.634841104269896</v>
      </c>
      <c r="AJ7041">
        <v>92.947453810712801</v>
      </c>
      <c r="AK7041">
        <v>13.723911282336401</v>
      </c>
      <c r="AL7041">
        <v>89.497335360674199</v>
      </c>
      <c r="AM7041">
        <v>89.379362419534203</v>
      </c>
      <c r="AN7041">
        <v>0.99999994896872502</v>
      </c>
    </row>
    <row r="7042" spans="1:40" x14ac:dyDescent="0.25">
      <c r="A7042" t="str">
        <f>"20190312155011890"</f>
        <v>20190312155011890</v>
      </c>
      <c r="B7042" t="str">
        <f>"1552377011882484"</f>
        <v>1552377011882484</v>
      </c>
      <c r="C7042" t="s">
        <v>40</v>
      </c>
      <c r="D7042">
        <v>4.6502420000000004</v>
      </c>
      <c r="E7042">
        <v>0.4788578</v>
      </c>
      <c r="F7042" t="s">
        <v>42</v>
      </c>
      <c r="G7042">
        <v>-188.77610000000001</v>
      </c>
      <c r="H7042" s="1">
        <v>-4.3858969999999999E-6</v>
      </c>
      <c r="I7042">
        <v>-30.649629999999998</v>
      </c>
      <c r="J7042">
        <v>-194.18809999999999</v>
      </c>
      <c r="K7042">
        <v>1.1089340000000001</v>
      </c>
      <c r="L7042">
        <v>-43.378390000000003</v>
      </c>
      <c r="M7042">
        <v>0.43615749999999998</v>
      </c>
      <c r="N7042">
        <v>0</v>
      </c>
      <c r="O7042">
        <v>0.89981639999999996</v>
      </c>
      <c r="P7042">
        <v>0.44539020000000001</v>
      </c>
      <c r="Q7042">
        <v>-1.2790659999999999E-3</v>
      </c>
      <c r="R7042">
        <v>0.89533560000000001</v>
      </c>
      <c r="S7042">
        <v>1.1783140000000001</v>
      </c>
      <c r="T7042">
        <v>-0.23652290000000001</v>
      </c>
      <c r="U7042">
        <v>2.7641300000000002</v>
      </c>
      <c r="V7042">
        <v>1.0272720000000001E-2</v>
      </c>
      <c r="W7042">
        <v>8.5641929999999995E-3</v>
      </c>
      <c r="X7042">
        <v>0.99991050000000004</v>
      </c>
      <c r="Y7042">
        <v>-4.942999E-2</v>
      </c>
      <c r="Z7042">
        <v>-6.9787059999999998E-2</v>
      </c>
      <c r="AA7042">
        <v>0.99633649999999996</v>
      </c>
      <c r="AB7042">
        <v>25</v>
      </c>
      <c r="AC7042">
        <v>5.4119999999999697</v>
      </c>
      <c r="AD7042">
        <v>-1.1089383858969999</v>
      </c>
      <c r="AE7042">
        <v>12.728759999999999</v>
      </c>
      <c r="AF7042">
        <v>-0.67761518814889798</v>
      </c>
      <c r="AG7042">
        <v>-1.1089383858969999</v>
      </c>
      <c r="AH7042">
        <v>13.726468475459599</v>
      </c>
      <c r="AI7042">
        <v>94.613205466011905</v>
      </c>
      <c r="AJ7042">
        <v>92.8261456026719</v>
      </c>
      <c r="AK7042">
        <v>13.7878513008631</v>
      </c>
      <c r="AL7042">
        <v>89.509301858725706</v>
      </c>
      <c r="AM7042">
        <v>89.411384525356098</v>
      </c>
      <c r="AN7042">
        <v>0.99999994109409296</v>
      </c>
    </row>
    <row r="7043" spans="1:40" x14ac:dyDescent="0.25">
      <c r="A7043" t="str">
        <f>"20190312155011913"</f>
        <v>20190312155011913</v>
      </c>
      <c r="B7043" t="str">
        <f>"1552377011902980"</f>
        <v>1552377011902980</v>
      </c>
      <c r="C7043" t="s">
        <v>40</v>
      </c>
      <c r="D7043">
        <v>4.6572990000000001</v>
      </c>
      <c r="E7043">
        <v>0.47866300000000001</v>
      </c>
      <c r="F7043" t="s">
        <v>42</v>
      </c>
      <c r="G7043">
        <v>-188.59719999999999</v>
      </c>
      <c r="H7043" s="1">
        <v>-4.074224E-7</v>
      </c>
      <c r="I7043">
        <v>-30.251519999999999</v>
      </c>
      <c r="J7043">
        <v>-194.0729</v>
      </c>
      <c r="K7043">
        <v>1.108911</v>
      </c>
      <c r="L7043">
        <v>-43.142400000000002</v>
      </c>
      <c r="M7043">
        <v>0.43674279999999999</v>
      </c>
      <c r="N7043">
        <v>0</v>
      </c>
      <c r="O7043">
        <v>0.89953639999999901</v>
      </c>
      <c r="P7043">
        <v>0.44545030000000002</v>
      </c>
      <c r="Q7043">
        <v>-1.5176059999999999E-3</v>
      </c>
      <c r="R7043">
        <v>0.89530540000000003</v>
      </c>
      <c r="S7043">
        <v>1.1774899999999999</v>
      </c>
      <c r="T7043">
        <v>-0.23355010000000001</v>
      </c>
      <c r="U7043">
        <v>2.764618</v>
      </c>
      <c r="V7043">
        <v>9.6899350000000002E-3</v>
      </c>
      <c r="W7043">
        <v>7.9552949999999994E-3</v>
      </c>
      <c r="X7043">
        <v>0.99992139999999996</v>
      </c>
      <c r="Y7043">
        <v>-5.0365500000000001E-2</v>
      </c>
      <c r="Z7043">
        <v>-6.8872939999999994E-2</v>
      </c>
      <c r="AA7043">
        <v>0.9963533</v>
      </c>
      <c r="AB7043">
        <v>25</v>
      </c>
      <c r="AC7043">
        <v>5.4757000000000096</v>
      </c>
      <c r="AD7043">
        <v>-1.1089114074224</v>
      </c>
      <c r="AE7043">
        <v>12.890879999999999</v>
      </c>
      <c r="AF7043">
        <v>-0.70005074838191395</v>
      </c>
      <c r="AG7043">
        <v>-1.1089114074224</v>
      </c>
      <c r="AH7043">
        <v>13.900775946083501</v>
      </c>
      <c r="AI7043">
        <v>94.555268783730398</v>
      </c>
      <c r="AJ7043">
        <v>92.8830114399547</v>
      </c>
      <c r="AK7043">
        <v>13.9624971786223</v>
      </c>
      <c r="AL7043">
        <v>89.544190361054603</v>
      </c>
      <c r="AM7043">
        <v>89.444781358878004</v>
      </c>
      <c r="AN7043">
        <v>0.99999999386839999</v>
      </c>
    </row>
    <row r="7044" spans="1:40" x14ac:dyDescent="0.25">
      <c r="A7044" t="str">
        <f>"20190312155011936"</f>
        <v>20190312155011936</v>
      </c>
      <c r="B7044" t="str">
        <f>"1552377011922500"</f>
        <v>1552377011922500</v>
      </c>
      <c r="C7044" t="s">
        <v>40</v>
      </c>
      <c r="D7044">
        <v>4.6274579999999998</v>
      </c>
      <c r="E7044">
        <v>0.47822100000000001</v>
      </c>
      <c r="F7044" t="s">
        <v>42</v>
      </c>
      <c r="G7044">
        <v>-188.44749999999999</v>
      </c>
      <c r="H7044" s="1">
        <v>-5.5957739999999998E-7</v>
      </c>
      <c r="I7044">
        <v>-29.92144</v>
      </c>
      <c r="J7044">
        <v>-193.96250000000001</v>
      </c>
      <c r="K7044">
        <v>1.108889</v>
      </c>
      <c r="L7044">
        <v>-42.916629999999998</v>
      </c>
      <c r="M7044">
        <v>0.43728869999999997</v>
      </c>
      <c r="N7044">
        <v>0</v>
      </c>
      <c r="O7044">
        <v>0.89927469999999998</v>
      </c>
      <c r="P7044">
        <v>0.44460169999999999</v>
      </c>
      <c r="Q7044">
        <v>-1.546361E-3</v>
      </c>
      <c r="R7044">
        <v>0.89572700000000005</v>
      </c>
      <c r="S7044">
        <v>1.1765139999999901</v>
      </c>
      <c r="T7044">
        <v>-0.23192170000000001</v>
      </c>
      <c r="U7044">
        <v>2.7650760000000001</v>
      </c>
      <c r="V7044">
        <v>8.1363700000000004E-3</v>
      </c>
      <c r="W7044">
        <v>7.58480099999999E-3</v>
      </c>
      <c r="X7044">
        <v>0.99993810000000005</v>
      </c>
      <c r="Y7044">
        <v>-5.1312370000000003E-2</v>
      </c>
      <c r="Z7044">
        <v>-6.8357089999999995E-2</v>
      </c>
      <c r="AA7044">
        <v>0.99634049999999996</v>
      </c>
      <c r="AB7044">
        <v>25</v>
      </c>
      <c r="AC7044">
        <v>5.5150000000000103</v>
      </c>
      <c r="AD7044">
        <v>-1.1088895595774</v>
      </c>
      <c r="AE7044">
        <v>12.9951899999999</v>
      </c>
      <c r="AF7044">
        <v>-0.71874528819474004</v>
      </c>
      <c r="AG7044">
        <v>-1.1088895595774</v>
      </c>
      <c r="AH7044">
        <v>14.012026843872301</v>
      </c>
      <c r="AI7044">
        <v>94.518950020185798</v>
      </c>
      <c r="AJ7044">
        <v>92.936406764235599</v>
      </c>
      <c r="AK7044">
        <v>14.074200763028699</v>
      </c>
      <c r="AL7044">
        <v>89.565418732894798</v>
      </c>
      <c r="AM7044">
        <v>89.5338017687491</v>
      </c>
      <c r="AN7044">
        <v>0.99999996677729697</v>
      </c>
    </row>
    <row r="7045" spans="1:40" x14ac:dyDescent="0.25">
      <c r="A7045" t="str">
        <f>"20190312155011957"</f>
        <v>20190312155011957</v>
      </c>
      <c r="B7045" t="str">
        <f>"1552377011942997"</f>
        <v>1552377011942997</v>
      </c>
      <c r="C7045" t="s">
        <v>40</v>
      </c>
      <c r="D7045">
        <v>4.6736129999999996</v>
      </c>
      <c r="E7045">
        <v>0.47781859999999998</v>
      </c>
      <c r="F7045" t="s">
        <v>42</v>
      </c>
      <c r="G7045">
        <v>-188.3373</v>
      </c>
      <c r="H7045" s="1">
        <v>-6.9246439999999997E-7</v>
      </c>
      <c r="I7045">
        <v>-29.617059999999999</v>
      </c>
      <c r="J7045">
        <v>-193.85329999999999</v>
      </c>
      <c r="K7045">
        <v>1.108865</v>
      </c>
      <c r="L7045">
        <v>-42.693510000000003</v>
      </c>
      <c r="M7045">
        <v>0.43781900000000001</v>
      </c>
      <c r="N7045">
        <v>0</v>
      </c>
      <c r="O7045">
        <v>0.89902000000000004</v>
      </c>
      <c r="P7045">
        <v>0.44335279999999999</v>
      </c>
      <c r="Q7045">
        <v>-1.169734E-3</v>
      </c>
      <c r="R7045">
        <v>0.89634639999999999</v>
      </c>
      <c r="S7045">
        <v>1.1706540000000001</v>
      </c>
      <c r="T7045">
        <v>-0.23077010000000001</v>
      </c>
      <c r="U7045">
        <v>2.7677610000000001</v>
      </c>
      <c r="V7045">
        <v>6.1540669999999896E-3</v>
      </c>
      <c r="W7045">
        <v>7.6372530000000001E-3</v>
      </c>
      <c r="X7045">
        <v>0.9999519</v>
      </c>
      <c r="Y7045">
        <v>-5.4024009999999997E-2</v>
      </c>
      <c r="Z7045">
        <v>-6.7949029999999994E-2</v>
      </c>
      <c r="AA7045">
        <v>0.99622509999999997</v>
      </c>
      <c r="AB7045">
        <v>25</v>
      </c>
      <c r="AC7045">
        <v>5.5159999999999902</v>
      </c>
      <c r="AD7045">
        <v>-1.1088656924644</v>
      </c>
      <c r="AE7045">
        <v>13.0764499999999</v>
      </c>
      <c r="AF7045">
        <v>-0.76150498814608403</v>
      </c>
      <c r="AG7045">
        <v>-1.1088656924644</v>
      </c>
      <c r="AH7045">
        <v>14.085562852536301</v>
      </c>
      <c r="AI7045">
        <v>94.494707758462795</v>
      </c>
      <c r="AJ7045">
        <v>93.094557788793594</v>
      </c>
      <c r="AK7045">
        <v>14.1496485413471</v>
      </c>
      <c r="AL7045">
        <v>89.562413382601704</v>
      </c>
      <c r="AM7045">
        <v>89.647385424937298</v>
      </c>
      <c r="AN7045">
        <v>1.0000000012438099</v>
      </c>
    </row>
    <row r="7046" spans="1:40" x14ac:dyDescent="0.25">
      <c r="A7046" t="str">
        <f>"20190312155011980"</f>
        <v>20190312155011980</v>
      </c>
      <c r="B7046" t="str">
        <f>"1552377011973252"</f>
        <v>1552377011973252</v>
      </c>
      <c r="C7046" t="s">
        <v>40</v>
      </c>
      <c r="D7046">
        <v>4.7049019999999997</v>
      </c>
      <c r="E7046">
        <v>0.47731600000000002</v>
      </c>
      <c r="F7046" t="s">
        <v>42</v>
      </c>
      <c r="G7046">
        <v>-188.20750000000001</v>
      </c>
      <c r="H7046" s="1">
        <v>-8.5092599999999995E-7</v>
      </c>
      <c r="I7046">
        <v>-29.252980000000001</v>
      </c>
      <c r="J7046">
        <v>-193.7405</v>
      </c>
      <c r="K7046">
        <v>1.1088359999999999</v>
      </c>
      <c r="L7046">
        <v>-42.463410000000003</v>
      </c>
      <c r="M7046">
        <v>0.43836120000000001</v>
      </c>
      <c r="N7046">
        <v>0</v>
      </c>
      <c r="O7046">
        <v>0.89875869999999902</v>
      </c>
      <c r="P7046">
        <v>0.44212259999999998</v>
      </c>
      <c r="Q7046">
        <v>-8.4939550000000003E-4</v>
      </c>
      <c r="R7046">
        <v>0.89695419999999904</v>
      </c>
      <c r="S7046">
        <v>1.163956</v>
      </c>
      <c r="T7046">
        <v>-0.22860420000000001</v>
      </c>
      <c r="U7046">
        <v>2.770905</v>
      </c>
      <c r="V7046">
        <v>4.1799619999999997E-3</v>
      </c>
      <c r="W7046">
        <v>7.6424969999999998E-3</v>
      </c>
      <c r="X7046">
        <v>0.99996200000000002</v>
      </c>
      <c r="Y7046">
        <v>-5.705503E-2</v>
      </c>
      <c r="Z7046">
        <v>-6.7236450000000003E-2</v>
      </c>
      <c r="AA7046">
        <v>0.9961044</v>
      </c>
      <c r="AB7046">
        <v>26</v>
      </c>
      <c r="AC7046">
        <v>5.5329999999999799</v>
      </c>
      <c r="AD7046">
        <v>-1.108836850926</v>
      </c>
      <c r="AE7046">
        <v>13.210430000000001</v>
      </c>
      <c r="AF7046">
        <v>-0.81326302891786995</v>
      </c>
      <c r="AG7046">
        <v>-1.108836850926</v>
      </c>
      <c r="AH7046">
        <v>14.2137626283029</v>
      </c>
      <c r="AI7046">
        <v>94.453440644063306</v>
      </c>
      <c r="AJ7046">
        <v>93.274698738395202</v>
      </c>
      <c r="AK7046">
        <v>14.2801247883174</v>
      </c>
      <c r="AL7046">
        <v>89.562112888228697</v>
      </c>
      <c r="AM7046">
        <v>89.760498112715297</v>
      </c>
      <c r="AN7046">
        <v>0.99999994064335596</v>
      </c>
    </row>
    <row r="7047" spans="1:40" x14ac:dyDescent="0.25">
      <c r="A7047" t="str">
        <f>"20190312155012001"</f>
        <v>20190312155012001</v>
      </c>
      <c r="B7047" t="str">
        <f>"1552377011992772"</f>
        <v>1552377011992772</v>
      </c>
      <c r="C7047" t="s">
        <v>40</v>
      </c>
      <c r="D7047">
        <v>4.68696</v>
      </c>
      <c r="E7047">
        <v>0.47712959999999899</v>
      </c>
      <c r="F7047" t="s">
        <v>42</v>
      </c>
      <c r="G7047">
        <v>-188.06950000000001</v>
      </c>
      <c r="H7047" s="1">
        <v>-1.0214179999999999E-6</v>
      </c>
      <c r="I7047">
        <v>-28.859850000000002</v>
      </c>
      <c r="J7047">
        <v>-193.6283</v>
      </c>
      <c r="K7047">
        <v>1.108808</v>
      </c>
      <c r="L7047">
        <v>-42.234679999999997</v>
      </c>
      <c r="M7047">
        <v>0.43889850000000002</v>
      </c>
      <c r="N7047">
        <v>0</v>
      </c>
      <c r="O7047">
        <v>0.89849909999999999</v>
      </c>
      <c r="P7047">
        <v>0.44193769999999999</v>
      </c>
      <c r="Q7047">
        <v>-5.4249309999999896E-4</v>
      </c>
      <c r="R7047">
        <v>0.8970456</v>
      </c>
      <c r="S7047">
        <v>1.1565700000000001</v>
      </c>
      <c r="T7047">
        <v>-0.2261398</v>
      </c>
      <c r="U7047">
        <v>2.7743530000000001</v>
      </c>
      <c r="V7047">
        <v>3.3769590000000001E-3</v>
      </c>
      <c r="W7047">
        <v>7.6606159999999899E-3</v>
      </c>
      <c r="X7047">
        <v>0.99996499999999999</v>
      </c>
      <c r="Y7047">
        <v>-6.0326680000000001E-2</v>
      </c>
      <c r="Z7047">
        <v>-6.6433270000000003E-2</v>
      </c>
      <c r="AA7047">
        <v>0.99596549999999995</v>
      </c>
      <c r="AB7047">
        <v>26</v>
      </c>
      <c r="AC7047">
        <v>5.55879999999999</v>
      </c>
      <c r="AD7047">
        <v>-1.108809021418</v>
      </c>
      <c r="AE7047">
        <v>13.3748299999999</v>
      </c>
      <c r="AF7047">
        <v>-0.87054372908974598</v>
      </c>
      <c r="AG7047">
        <v>-1.108809021418</v>
      </c>
      <c r="AH7047">
        <v>14.373274567838701</v>
      </c>
      <c r="AI7047">
        <v>94.403240182175395</v>
      </c>
      <c r="AJ7047">
        <v>93.465989937153594</v>
      </c>
      <c r="AK7047">
        <v>14.4422410183709</v>
      </c>
      <c r="AL7047">
        <v>89.561074761377796</v>
      </c>
      <c r="AM7047">
        <v>89.806508465047301</v>
      </c>
      <c r="AN7047">
        <v>1.0000000450572899</v>
      </c>
    </row>
    <row r="7048" spans="1:40" x14ac:dyDescent="0.25">
      <c r="A7048" t="str">
        <f>"20190312155012023"</f>
        <v>20190312155012023</v>
      </c>
      <c r="B7048" t="str">
        <f>"1552377012012292"</f>
        <v>1552377012012292</v>
      </c>
      <c r="C7048" t="s">
        <v>40</v>
      </c>
      <c r="D7048">
        <v>4.7282570000000002</v>
      </c>
      <c r="E7048">
        <v>0.47694510000000001</v>
      </c>
      <c r="F7048" t="s">
        <v>42</v>
      </c>
      <c r="G7048">
        <v>-187.9461</v>
      </c>
      <c r="H7048" s="1">
        <v>-1.1499410000000001E-6</v>
      </c>
      <c r="I7048">
        <v>-28.578620000000001</v>
      </c>
      <c r="J7048">
        <v>-193.51990000000001</v>
      </c>
      <c r="K7048">
        <v>1.108779</v>
      </c>
      <c r="L7048">
        <v>-42.014189999999999</v>
      </c>
      <c r="M7048">
        <v>0.43941469999999999</v>
      </c>
      <c r="N7048">
        <v>0</v>
      </c>
      <c r="O7048">
        <v>0.89824910000000002</v>
      </c>
      <c r="P7048">
        <v>0.44216519999999998</v>
      </c>
      <c r="Q7048">
        <v>-3.8540269999999999E-4</v>
      </c>
      <c r="R7048">
        <v>0.896933599999999</v>
      </c>
      <c r="S7048">
        <v>1.154755</v>
      </c>
      <c r="T7048">
        <v>-0.22533909999999999</v>
      </c>
      <c r="U7048">
        <v>2.7752690000000002</v>
      </c>
      <c r="V7048">
        <v>3.0568430000000001E-3</v>
      </c>
      <c r="W7048">
        <v>7.5666830000000003E-3</v>
      </c>
      <c r="X7048">
        <v>0.99996669999999999</v>
      </c>
      <c r="Y7048">
        <v>-6.1563569999999998E-2</v>
      </c>
      <c r="Z7048">
        <v>-6.6155649999999996E-2</v>
      </c>
      <c r="AA7048">
        <v>0.99590829999999997</v>
      </c>
      <c r="AB7048">
        <v>26</v>
      </c>
      <c r="AC7048">
        <v>5.5738000000000003</v>
      </c>
      <c r="AD7048">
        <v>-1.1087801499409999</v>
      </c>
      <c r="AE7048">
        <v>13.435569999999901</v>
      </c>
      <c r="AF7048">
        <v>-0.89197172091308197</v>
      </c>
      <c r="AG7048">
        <v>-1.1087801499409999</v>
      </c>
      <c r="AH7048">
        <v>14.4342873939299</v>
      </c>
      <c r="AI7048">
        <v>94.3842599429628</v>
      </c>
      <c r="AJ7048">
        <v>93.536115764573694</v>
      </c>
      <c r="AK7048">
        <v>14.504263495344199</v>
      </c>
      <c r="AL7048">
        <v>89.566456862075796</v>
      </c>
      <c r="AM7048">
        <v>89.824850510553802</v>
      </c>
      <c r="AN7048">
        <v>1.0000000000448099</v>
      </c>
    </row>
    <row r="7049" spans="1:40" x14ac:dyDescent="0.25">
      <c r="A7049" t="str">
        <f>"20190312155012035"</f>
        <v>20190312155012035</v>
      </c>
      <c r="B7049" t="str">
        <f>"1552377012023028"</f>
        <v>1552377012023028</v>
      </c>
      <c r="C7049" t="s">
        <v>40</v>
      </c>
      <c r="D7049">
        <v>4.6934079999999998</v>
      </c>
      <c r="E7049">
        <v>0.47689890000000001</v>
      </c>
      <c r="F7049" t="s">
        <v>42</v>
      </c>
      <c r="G7049">
        <v>-187.81190000000001</v>
      </c>
      <c r="H7049" s="1">
        <v>-1.2833470000000001E-6</v>
      </c>
      <c r="I7049">
        <v>-28.29156</v>
      </c>
      <c r="J7049">
        <v>-193.45249999999999</v>
      </c>
      <c r="K7049">
        <v>1.1087670000000001</v>
      </c>
      <c r="L7049">
        <v>-41.877290000000002</v>
      </c>
      <c r="M7049">
        <v>0.4397317</v>
      </c>
      <c r="N7049">
        <v>0</v>
      </c>
      <c r="O7049">
        <v>0.89809519999999998</v>
      </c>
      <c r="P7049">
        <v>0.44288270000000002</v>
      </c>
      <c r="Q7049">
        <v>-4.6242080000000001E-4</v>
      </c>
      <c r="R7049">
        <v>0.89657949999999997</v>
      </c>
      <c r="S7049">
        <v>1.15448</v>
      </c>
      <c r="T7049">
        <v>-0.22425990000000001</v>
      </c>
      <c r="U7049">
        <v>2.7755130000000001</v>
      </c>
      <c r="V7049">
        <v>3.5041999999999998E-3</v>
      </c>
      <c r="W7049">
        <v>7.3487739999999998E-3</v>
      </c>
      <c r="X7049">
        <v>0.99996689999999999</v>
      </c>
      <c r="Y7049">
        <v>-6.2020930000000002E-2</v>
      </c>
      <c r="Z7049">
        <v>-6.5818050000000003E-2</v>
      </c>
      <c r="AA7049">
        <v>0.99590230000000002</v>
      </c>
      <c r="AB7049">
        <v>26</v>
      </c>
      <c r="AC7049">
        <v>5.6405999999999699</v>
      </c>
      <c r="AD7049">
        <v>-1.1087682833470001</v>
      </c>
      <c r="AE7049">
        <v>13.58573</v>
      </c>
      <c r="AF7049">
        <v>-0.90317687041793504</v>
      </c>
      <c r="AG7049">
        <v>-1.1087682833470001</v>
      </c>
      <c r="AH7049">
        <v>14.599135622393799</v>
      </c>
      <c r="AI7049">
        <v>94.334879451723907</v>
      </c>
      <c r="AJ7049">
        <v>93.540096953452704</v>
      </c>
      <c r="AK7049">
        <v>14.669010071796301</v>
      </c>
      <c r="AL7049">
        <v>89.578942493208103</v>
      </c>
      <c r="AM7049">
        <v>89.799218305408104</v>
      </c>
      <c r="AN7049">
        <v>1.0000000424962701</v>
      </c>
    </row>
    <row r="7050" spans="1:40" x14ac:dyDescent="0.25">
      <c r="A7050" t="str">
        <f>"20190312155012058"</f>
        <v>20190312155012058</v>
      </c>
      <c r="B7050" t="str">
        <f>"1552377012052308"</f>
        <v>1552377012052308</v>
      </c>
      <c r="C7050" t="s">
        <v>40</v>
      </c>
      <c r="D7050">
        <v>4.7161989999999996</v>
      </c>
      <c r="E7050">
        <v>0.47670950000000001</v>
      </c>
      <c r="F7050" t="s">
        <v>42</v>
      </c>
      <c r="G7050">
        <v>-187.73939999999999</v>
      </c>
      <c r="H7050" s="1">
        <v>-1.34437E-6</v>
      </c>
      <c r="I7050">
        <v>-28.16893</v>
      </c>
      <c r="J7050">
        <v>-193.33879999999999</v>
      </c>
      <c r="K7050">
        <v>1.108749</v>
      </c>
      <c r="L7050">
        <v>-41.64667</v>
      </c>
      <c r="M7050">
        <v>0.44025449999999999</v>
      </c>
      <c r="N7050">
        <v>0</v>
      </c>
      <c r="O7050">
        <v>0.89784089999999905</v>
      </c>
      <c r="P7050">
        <v>0.44385809999999998</v>
      </c>
      <c r="Q7050">
        <v>-7.0831919999999997E-4</v>
      </c>
      <c r="R7050">
        <v>0.89609680000000003</v>
      </c>
      <c r="S7050">
        <v>1.1563870000000001</v>
      </c>
      <c r="T7050">
        <v>-0.2244266</v>
      </c>
      <c r="U7050">
        <v>2.7747190000000002</v>
      </c>
      <c r="V7050">
        <v>4.0105409999999899E-3</v>
      </c>
      <c r="W7050">
        <v>6.8843460000000004E-3</v>
      </c>
      <c r="X7050">
        <v>0.99996819999999997</v>
      </c>
      <c r="Y7050">
        <v>-6.1918099999999997E-2</v>
      </c>
      <c r="Z7050">
        <v>-6.5848210000000004E-2</v>
      </c>
      <c r="AA7050">
        <v>0.99590670000000003</v>
      </c>
      <c r="AB7050">
        <v>26</v>
      </c>
      <c r="AC7050">
        <v>5.5994000000000002</v>
      </c>
      <c r="AD7050">
        <v>-1.10875034437</v>
      </c>
      <c r="AE7050">
        <v>13.477739999999899</v>
      </c>
      <c r="AF7050">
        <v>-0.90109092353692699</v>
      </c>
      <c r="AG7050">
        <v>-1.10875034437</v>
      </c>
      <c r="AH7050">
        <v>14.4828608575621</v>
      </c>
      <c r="AI7050">
        <v>94.369382230732498</v>
      </c>
      <c r="AJ7050">
        <v>93.560224918760895</v>
      </c>
      <c r="AK7050">
        <v>14.5531629138867</v>
      </c>
      <c r="AL7050">
        <v>89.605552889966106</v>
      </c>
      <c r="AM7050">
        <v>89.770206851778894</v>
      </c>
      <c r="AN7050">
        <v>0.99999993983509805</v>
      </c>
    </row>
    <row r="7051" spans="1:40" x14ac:dyDescent="0.25">
      <c r="A7051" t="str">
        <f>"20190312155012080"</f>
        <v>20190312155012080</v>
      </c>
      <c r="B7051" t="str">
        <f>"1552377012072804"</f>
        <v>1552377012072804</v>
      </c>
      <c r="C7051" t="s">
        <v>40</v>
      </c>
      <c r="D7051">
        <v>5.1349320000000001</v>
      </c>
      <c r="E7051">
        <v>0.47664899999999999</v>
      </c>
      <c r="F7051" t="s">
        <v>42</v>
      </c>
      <c r="G7051">
        <v>-187.63290000000001</v>
      </c>
      <c r="H7051" s="1">
        <v>-1.4434250000000001E-6</v>
      </c>
      <c r="I7051">
        <v>-27.98133</v>
      </c>
      <c r="J7051">
        <v>-193.2227</v>
      </c>
      <c r="K7051">
        <v>1.1087469999999999</v>
      </c>
      <c r="L7051">
        <v>-41.411320000000003</v>
      </c>
      <c r="M7051">
        <v>0.44076409999999999</v>
      </c>
      <c r="N7051">
        <v>0</v>
      </c>
      <c r="O7051">
        <v>0.89759239999999996</v>
      </c>
      <c r="P7051">
        <v>0.44556750000000001</v>
      </c>
      <c r="Q7051">
        <v>-7.8308160000000002E-4</v>
      </c>
      <c r="R7051">
        <v>0.89524799999999904</v>
      </c>
      <c r="S7051">
        <v>1.158264</v>
      </c>
      <c r="T7051">
        <v>-0.22506760000000001</v>
      </c>
      <c r="U7051">
        <v>2.7739560000000001</v>
      </c>
      <c r="V7051">
        <v>5.3516269999999899E-3</v>
      </c>
      <c r="W7051">
        <v>6.6192309999999997E-3</v>
      </c>
      <c r="X7051">
        <v>0.99996379999999996</v>
      </c>
      <c r="Y7051">
        <v>-6.1817839999999999E-2</v>
      </c>
      <c r="Z7051">
        <v>-6.60168E-2</v>
      </c>
      <c r="AA7051">
        <v>0.99590179999999995</v>
      </c>
      <c r="AB7051">
        <v>26</v>
      </c>
      <c r="AC7051">
        <v>5.5897999999999897</v>
      </c>
      <c r="AD7051">
        <v>-1.1087484434249999</v>
      </c>
      <c r="AE7051">
        <v>13.42999</v>
      </c>
      <c r="AF7051">
        <v>-0.89690973940739005</v>
      </c>
      <c r="AG7051">
        <v>-1.1087484434249999</v>
      </c>
      <c r="AH7051">
        <v>14.434980504001601</v>
      </c>
      <c r="AI7051">
        <v>94.383833961450307</v>
      </c>
      <c r="AJ7051">
        <v>93.555471577434403</v>
      </c>
      <c r="AK7051">
        <v>14.5052553353033</v>
      </c>
      <c r="AL7051">
        <v>89.620743241083602</v>
      </c>
      <c r="AM7051">
        <v>89.693366186633</v>
      </c>
      <c r="AN7051">
        <v>1.0000000277204999</v>
      </c>
    </row>
    <row r="7052" spans="1:40" x14ac:dyDescent="0.25">
      <c r="A7052" t="str">
        <f>"20190312155012103"</f>
        <v>20190312155012103</v>
      </c>
      <c r="B7052" t="str">
        <f>"1552377012092324"</f>
        <v>1552377012092324</v>
      </c>
      <c r="C7052" t="s">
        <v>40</v>
      </c>
      <c r="D7052">
        <v>4.7376690000000004</v>
      </c>
      <c r="E7052">
        <v>0.47641929999999999</v>
      </c>
      <c r="F7052" t="s">
        <v>42</v>
      </c>
      <c r="G7052">
        <v>-187.50190000000001</v>
      </c>
      <c r="H7052" s="1">
        <v>-1.5540379999999899E-6</v>
      </c>
      <c r="I7052">
        <v>-27.777650000000001</v>
      </c>
      <c r="J7052">
        <v>-193.10419999999999</v>
      </c>
      <c r="K7052">
        <v>1.1087629999999999</v>
      </c>
      <c r="L7052">
        <v>-41.171259999999997</v>
      </c>
      <c r="M7052">
        <v>0.44124629999999998</v>
      </c>
      <c r="N7052">
        <v>0</v>
      </c>
      <c r="O7052">
        <v>0.89735669999999901</v>
      </c>
      <c r="P7052">
        <v>0.44738729999999899</v>
      </c>
      <c r="Q7052">
        <v>-7.6163190000000001E-4</v>
      </c>
      <c r="R7052">
        <v>0.89433999999999902</v>
      </c>
      <c r="S7052">
        <v>1.1631320000000001</v>
      </c>
      <c r="T7052">
        <v>-0.2254237</v>
      </c>
      <c r="U7052">
        <v>2.7719119999999999</v>
      </c>
      <c r="V7052">
        <v>6.8480980000000004E-3</v>
      </c>
      <c r="W7052">
        <v>6.4809510000000004E-3</v>
      </c>
      <c r="X7052">
        <v>0.9999555</v>
      </c>
      <c r="Y7052">
        <v>-6.0607679999999997E-2</v>
      </c>
      <c r="Z7052">
        <v>-6.6122120000000006E-2</v>
      </c>
      <c r="AA7052">
        <v>0.9959692</v>
      </c>
      <c r="AB7052">
        <v>26</v>
      </c>
      <c r="AC7052">
        <v>5.6022999999999801</v>
      </c>
      <c r="AD7052">
        <v>-1.108764554038</v>
      </c>
      <c r="AE7052">
        <v>13.393609999999899</v>
      </c>
      <c r="AF7052">
        <v>-0.87752442526107999</v>
      </c>
      <c r="AG7052">
        <v>-1.108764554038</v>
      </c>
      <c r="AH7052">
        <v>14.407190296803</v>
      </c>
      <c r="AI7052">
        <v>94.392649184547295</v>
      </c>
      <c r="AJ7052">
        <v>93.485510173827194</v>
      </c>
      <c r="AK7052">
        <v>14.4764132367626</v>
      </c>
      <c r="AL7052">
        <v>89.628666242580096</v>
      </c>
      <c r="AM7052">
        <v>89.607621559981794</v>
      </c>
      <c r="AN7052">
        <v>0.99999995057616398</v>
      </c>
    </row>
    <row r="7053" spans="1:40" x14ac:dyDescent="0.25">
      <c r="A7053" t="str">
        <f>"20190312155012127"</f>
        <v>20190312155012127</v>
      </c>
      <c r="B7053" t="str">
        <f>"1552377012112820"</f>
        <v>1552377012112820</v>
      </c>
      <c r="C7053" t="s">
        <v>40</v>
      </c>
      <c r="D7053">
        <v>4.7494969999999999</v>
      </c>
      <c r="E7053">
        <v>0.47623320000000002</v>
      </c>
      <c r="F7053" t="s">
        <v>42</v>
      </c>
      <c r="G7053">
        <v>-187.23650000000001</v>
      </c>
      <c r="H7053" s="1">
        <v>-1.829768E-6</v>
      </c>
      <c r="I7053">
        <v>-27.24466</v>
      </c>
      <c r="J7053">
        <v>-192.98269999999999</v>
      </c>
      <c r="K7053">
        <v>1.108803</v>
      </c>
      <c r="L7053">
        <v>-40.925510000000003</v>
      </c>
      <c r="M7053">
        <v>0.44167919999999999</v>
      </c>
      <c r="N7053">
        <v>0</v>
      </c>
      <c r="O7053">
        <v>0.89714470000000002</v>
      </c>
      <c r="P7053">
        <v>0.44915769999999999</v>
      </c>
      <c r="Q7053">
        <v>-5.3783879999999996E-4</v>
      </c>
      <c r="R7053">
        <v>0.89345229999999998</v>
      </c>
      <c r="S7053">
        <v>1.1672359999999999</v>
      </c>
      <c r="T7053">
        <v>-0.22055900000000001</v>
      </c>
      <c r="U7053">
        <v>2.7703250000000001</v>
      </c>
      <c r="V7053">
        <v>8.3458539999999998E-3</v>
      </c>
      <c r="W7053">
        <v>6.5806069999999996E-3</v>
      </c>
      <c r="X7053">
        <v>0.99994349999999999</v>
      </c>
      <c r="Y7053">
        <v>-5.9591390000000001E-2</v>
      </c>
      <c r="Z7053">
        <v>-6.469946E-2</v>
      </c>
      <c r="AA7053">
        <v>0.99612389999999995</v>
      </c>
      <c r="AB7053">
        <v>26</v>
      </c>
      <c r="AC7053">
        <v>5.7461999999999804</v>
      </c>
      <c r="AD7053">
        <v>-1.108804829768</v>
      </c>
      <c r="AE7053">
        <v>13.68085</v>
      </c>
      <c r="AF7053">
        <v>-0.88246912074904604</v>
      </c>
      <c r="AG7053">
        <v>-1.108804829768</v>
      </c>
      <c r="AH7053">
        <v>14.7298087403341</v>
      </c>
      <c r="AI7053">
        <v>94.297216613341106</v>
      </c>
      <c r="AJ7053">
        <v>93.428516548958399</v>
      </c>
      <c r="AK7053">
        <v>14.797819617309001</v>
      </c>
      <c r="AL7053">
        <v>89.6229562635787</v>
      </c>
      <c r="AM7053">
        <v>89.521801874283696</v>
      </c>
      <c r="AN7053">
        <v>0.99999998042986304</v>
      </c>
    </row>
    <row r="7054" spans="1:40" x14ac:dyDescent="0.25">
      <c r="A7054" t="str">
        <f>"20190312155012147"</f>
        <v>20190312155012147</v>
      </c>
      <c r="B7054" t="str">
        <f>"1552377012143076"</f>
        <v>1552377012143076</v>
      </c>
      <c r="C7054" t="s">
        <v>40</v>
      </c>
      <c r="D7054">
        <v>4.7201839999999997</v>
      </c>
      <c r="E7054">
        <v>0.4759138</v>
      </c>
      <c r="F7054" t="s">
        <v>42</v>
      </c>
      <c r="G7054">
        <v>-187.11500000000001</v>
      </c>
      <c r="H7054" s="1">
        <v>-1.9320319999999999E-6</v>
      </c>
      <c r="I7054">
        <v>-27.0565</v>
      </c>
      <c r="J7054">
        <v>-192.87090000000001</v>
      </c>
      <c r="K7054">
        <v>1.1088559999999901</v>
      </c>
      <c r="L7054">
        <v>-40.699339999999999</v>
      </c>
      <c r="M7054">
        <v>0.44200430000000002</v>
      </c>
      <c r="N7054">
        <v>0</v>
      </c>
      <c r="O7054">
        <v>0.89698529999999999</v>
      </c>
      <c r="P7054">
        <v>0.45061499999999999</v>
      </c>
      <c r="Q7054">
        <v>-2.357103E-4</v>
      </c>
      <c r="R7054">
        <v>0.89271840000000002</v>
      </c>
      <c r="S7054">
        <v>1.1714020000000001</v>
      </c>
      <c r="T7054">
        <v>-0.2213562</v>
      </c>
      <c r="U7054">
        <v>2.7687379999999999</v>
      </c>
      <c r="V7054">
        <v>9.6147890000000003E-3</v>
      </c>
      <c r="W7054">
        <v>6.8013780000000003E-3</v>
      </c>
      <c r="X7054">
        <v>0.9999306</v>
      </c>
      <c r="Y7054">
        <v>-5.8483500000000001E-2</v>
      </c>
      <c r="Z7054">
        <v>-6.4934359999999997E-2</v>
      </c>
      <c r="AA7054">
        <v>0.99617429999999996</v>
      </c>
      <c r="AB7054">
        <v>26</v>
      </c>
      <c r="AC7054">
        <v>5.7558999999999898</v>
      </c>
      <c r="AD7054">
        <v>-1.10885793203199</v>
      </c>
      <c r="AE7054">
        <v>13.64284</v>
      </c>
      <c r="AF7054">
        <v>-0.86242140995667904</v>
      </c>
      <c r="AG7054">
        <v>-1.10885793203199</v>
      </c>
      <c r="AH7054">
        <v>14.6994931096251</v>
      </c>
      <c r="AI7054">
        <v>94.306565545806393</v>
      </c>
      <c r="AJ7054">
        <v>93.357702678822804</v>
      </c>
      <c r="AK7054">
        <v>14.766463160882401</v>
      </c>
      <c r="AL7054">
        <v>89.610306723254695</v>
      </c>
      <c r="AM7054">
        <v>89.449091913209401</v>
      </c>
      <c r="AN7054">
        <v>0.999999953863285</v>
      </c>
    </row>
    <row r="7055" spans="1:40" x14ac:dyDescent="0.25">
      <c r="A7055" t="str">
        <f>"20190312155012171"</f>
        <v>20190312155012171</v>
      </c>
      <c r="B7055" t="str">
        <f>"1552377012162596"</f>
        <v>1552377012162596</v>
      </c>
      <c r="C7055" t="s">
        <v>40</v>
      </c>
      <c r="D7055">
        <v>4.76173</v>
      </c>
      <c r="E7055">
        <v>0.44018859999999899</v>
      </c>
      <c r="F7055" t="s">
        <v>42</v>
      </c>
      <c r="G7055">
        <v>-186.99969999999999</v>
      </c>
      <c r="H7055" s="1">
        <v>-2.0394299999999999E-6</v>
      </c>
      <c r="I7055">
        <v>-26.853829999999999</v>
      </c>
      <c r="J7055">
        <v>-192.74700000000001</v>
      </c>
      <c r="K7055">
        <v>1.108916</v>
      </c>
      <c r="L7055">
        <v>-40.448700000000002</v>
      </c>
      <c r="M7055">
        <v>0.44228640000000002</v>
      </c>
      <c r="N7055">
        <v>0</v>
      </c>
      <c r="O7055">
        <v>0.896846699999999</v>
      </c>
      <c r="P7055">
        <v>0.45194659999999898</v>
      </c>
      <c r="Q7055">
        <v>3.1851509999999999E-4</v>
      </c>
      <c r="R7055">
        <v>0.89204499999999998</v>
      </c>
      <c r="S7055">
        <v>1.173767</v>
      </c>
      <c r="T7055">
        <v>-0.22168119999999999</v>
      </c>
      <c r="U7055">
        <v>2.7679749999999999</v>
      </c>
      <c r="V7055">
        <v>1.079186E-2</v>
      </c>
      <c r="W7055">
        <v>7.2915549999999999E-3</v>
      </c>
      <c r="X7055">
        <v>0.9999152</v>
      </c>
      <c r="Y7055">
        <v>-5.7979719999999998E-2</v>
      </c>
      <c r="Z7055">
        <v>-6.502194E-2</v>
      </c>
      <c r="AA7055">
        <v>0.99619800000000003</v>
      </c>
      <c r="AB7055">
        <v>26</v>
      </c>
      <c r="AC7055">
        <v>5.7473000000000196</v>
      </c>
      <c r="AD7055">
        <v>-1.10891803942999</v>
      </c>
      <c r="AE7055">
        <v>13.59487</v>
      </c>
      <c r="AF7055">
        <v>-0.85358181468611705</v>
      </c>
      <c r="AG7055">
        <v>-1.10891803942999</v>
      </c>
      <c r="AH7055">
        <v>14.652119823320801</v>
      </c>
      <c r="AI7055">
        <v>94.320773949192997</v>
      </c>
      <c r="AJ7055">
        <v>93.334085550941396</v>
      </c>
      <c r="AK7055">
        <v>14.718794667006099</v>
      </c>
      <c r="AL7055">
        <v>89.582220978344097</v>
      </c>
      <c r="AM7055">
        <v>89.381643539038393</v>
      </c>
      <c r="AN7055">
        <v>1.0000000191038001</v>
      </c>
    </row>
    <row r="7056" spans="1:40" x14ac:dyDescent="0.25">
      <c r="A7056" t="str">
        <f>"20190312155012192"</f>
        <v>20190312155012192</v>
      </c>
      <c r="B7056" t="str">
        <f>"1552377012183092"</f>
        <v>1552377012183092</v>
      </c>
      <c r="C7056" t="s">
        <v>40</v>
      </c>
      <c r="D7056">
        <v>4.7497930000000004</v>
      </c>
      <c r="E7056">
        <v>0.43608180000000002</v>
      </c>
      <c r="F7056" t="s">
        <v>42</v>
      </c>
      <c r="G7056">
        <v>-187.5659</v>
      </c>
      <c r="H7056" s="1">
        <v>-3.0679330000000002E-6</v>
      </c>
      <c r="I7056">
        <v>-24.222270000000002</v>
      </c>
      <c r="J7056">
        <v>-192.6337</v>
      </c>
      <c r="K7056">
        <v>1.1089789999999999</v>
      </c>
      <c r="L7056">
        <v>-40.219360000000002</v>
      </c>
      <c r="M7056">
        <v>0.44246380000000002</v>
      </c>
      <c r="N7056">
        <v>0</v>
      </c>
      <c r="O7056">
        <v>0.89675949999999904</v>
      </c>
      <c r="P7056">
        <v>0.45292199999999999</v>
      </c>
      <c r="Q7056">
        <v>6.5356120000000005E-4</v>
      </c>
      <c r="R7056">
        <v>0.89154990000000001</v>
      </c>
      <c r="S7056">
        <v>0.92433169999999998</v>
      </c>
      <c r="T7056">
        <v>-0.19783390000000001</v>
      </c>
      <c r="U7056">
        <v>2.8948360000000002</v>
      </c>
      <c r="V7056">
        <v>1.168689E-2</v>
      </c>
      <c r="W7056">
        <v>7.5948150000000004E-3</v>
      </c>
      <c r="X7056">
        <v>0.99990279999999998</v>
      </c>
      <c r="Y7056">
        <v>-0.1492598</v>
      </c>
      <c r="Z7056">
        <v>-5.6111660000000001E-2</v>
      </c>
      <c r="AA7056">
        <v>0.98720459999999999</v>
      </c>
      <c r="AB7056">
        <v>27</v>
      </c>
      <c r="AC7056">
        <v>5.0678000000000001</v>
      </c>
      <c r="AD7056">
        <v>-1.108982067933</v>
      </c>
      <c r="AE7056">
        <v>15.997089999999901</v>
      </c>
      <c r="AF7056">
        <v>-2.5225791207649899</v>
      </c>
      <c r="AG7056">
        <v>-1.108982067933</v>
      </c>
      <c r="AH7056">
        <v>16.5161260012665</v>
      </c>
      <c r="AI7056">
        <v>93.797475743600003</v>
      </c>
      <c r="AJ7056">
        <v>98.683920891669302</v>
      </c>
      <c r="AK7056">
        <v>16.744421899164699</v>
      </c>
      <c r="AL7056">
        <v>89.564844943468401</v>
      </c>
      <c r="AM7056">
        <v>89.330355927236397</v>
      </c>
      <c r="AN7056">
        <v>0.99999993703029599</v>
      </c>
    </row>
    <row r="7057" spans="1:40" x14ac:dyDescent="0.25">
      <c r="A7057" t="str">
        <f>"20190312155012215"</f>
        <v>20190312155012215</v>
      </c>
      <c r="B7057" t="str">
        <f>"1552377012202612"</f>
        <v>1552377012202612</v>
      </c>
      <c r="C7057" t="s">
        <v>40</v>
      </c>
      <c r="D7057">
        <v>4.7175379999999896</v>
      </c>
      <c r="E7057">
        <v>0.43373509999999998</v>
      </c>
      <c r="F7057" t="s">
        <v>42</v>
      </c>
      <c r="G7057">
        <v>-187.26769999999999</v>
      </c>
      <c r="H7057" s="1">
        <v>-3.7094649999999999E-6</v>
      </c>
      <c r="I7057">
        <v>-22.850110000000001</v>
      </c>
      <c r="J7057">
        <v>-192.5181</v>
      </c>
      <c r="K7057">
        <v>1.1090530000000001</v>
      </c>
      <c r="L7057">
        <v>-39.985570000000003</v>
      </c>
      <c r="M7057">
        <v>0.44255699999999998</v>
      </c>
      <c r="N7057">
        <v>0</v>
      </c>
      <c r="O7057">
        <v>0.89671350000000005</v>
      </c>
      <c r="P7057">
        <v>0.4533722</v>
      </c>
      <c r="Q7057">
        <v>1.426182E-3</v>
      </c>
      <c r="R7057">
        <v>0.89132019999999901</v>
      </c>
      <c r="S7057">
        <v>0.89855959999999901</v>
      </c>
      <c r="T7057">
        <v>-0.1857067</v>
      </c>
      <c r="U7057">
        <v>2.9085999999999999</v>
      </c>
      <c r="V7057">
        <v>1.208743E-2</v>
      </c>
      <c r="W7057">
        <v>8.3672669999999994E-3</v>
      </c>
      <c r="X7057">
        <v>0.99989189999999994</v>
      </c>
      <c r="Y7057">
        <v>-0.15860959999999999</v>
      </c>
      <c r="Z7057">
        <v>-5.2459279999999997E-2</v>
      </c>
      <c r="AA7057">
        <v>0.98594680000000001</v>
      </c>
      <c r="AB7057">
        <v>27</v>
      </c>
      <c r="AC7057">
        <v>5.2504000000000097</v>
      </c>
      <c r="AD7057">
        <v>-1.1090567094649999</v>
      </c>
      <c r="AE7057">
        <v>17.135459999999998</v>
      </c>
      <c r="AF7057">
        <v>-2.8644131763009302</v>
      </c>
      <c r="AG7057">
        <v>-1.1090567094649999</v>
      </c>
      <c r="AH7057">
        <v>17.622141537329401</v>
      </c>
      <c r="AI7057">
        <v>93.554652685921496</v>
      </c>
      <c r="AJ7057">
        <v>99.232468463021604</v>
      </c>
      <c r="AK7057">
        <v>17.887837823254301</v>
      </c>
      <c r="AL7057">
        <v>89.520585303601194</v>
      </c>
      <c r="AM7057">
        <v>89.307400139117505</v>
      </c>
      <c r="AN7057">
        <v>0.99999996440333105</v>
      </c>
    </row>
    <row r="7058" spans="1:40" x14ac:dyDescent="0.25">
      <c r="A7058" t="str">
        <f>"20190312155012237"</f>
        <v>20190312155012237</v>
      </c>
      <c r="B7058" t="str">
        <f>"1552377012223109"</f>
        <v>1552377012223109</v>
      </c>
      <c r="C7058" t="s">
        <v>40</v>
      </c>
      <c r="D7058">
        <v>4.727887</v>
      </c>
      <c r="E7058">
        <v>0.43245650000000002</v>
      </c>
      <c r="F7058" t="s">
        <v>42</v>
      </c>
      <c r="G7058">
        <v>-187.04900000000001</v>
      </c>
      <c r="H7058" s="1">
        <v>-4.139794E-6</v>
      </c>
      <c r="I7058">
        <v>-21.937449999999998</v>
      </c>
      <c r="J7058">
        <v>-192.39850000000001</v>
      </c>
      <c r="K7058">
        <v>1.10914</v>
      </c>
      <c r="L7058">
        <v>-39.743160000000003</v>
      </c>
      <c r="M7058">
        <v>0.44254310000000002</v>
      </c>
      <c r="N7058">
        <v>0</v>
      </c>
      <c r="O7058">
        <v>0.89672009999999902</v>
      </c>
      <c r="P7058">
        <v>0.4534126</v>
      </c>
      <c r="Q7058">
        <v>1.902248E-3</v>
      </c>
      <c r="R7058">
        <v>0.891298699999999</v>
      </c>
      <c r="S7058">
        <v>0.88380429999999999</v>
      </c>
      <c r="T7058">
        <v>-0.1792212</v>
      </c>
      <c r="U7058">
        <v>2.916534</v>
      </c>
      <c r="V7058">
        <v>1.214697E-2</v>
      </c>
      <c r="W7058">
        <v>8.8817549999999999E-3</v>
      </c>
      <c r="X7058">
        <v>0.99988679999999996</v>
      </c>
      <c r="Y7058">
        <v>-0.16387829999999901</v>
      </c>
      <c r="Z7058">
        <v>-5.050955E-2</v>
      </c>
      <c r="AA7058">
        <v>0.98518660000000002</v>
      </c>
      <c r="AB7058">
        <v>27</v>
      </c>
      <c r="AC7058">
        <v>5.3494999999999999</v>
      </c>
      <c r="AD7058">
        <v>-1.1091441397939901</v>
      </c>
      <c r="AE7058">
        <v>17.805709999999898</v>
      </c>
      <c r="AF7058">
        <v>-3.07193198098545</v>
      </c>
      <c r="AG7058">
        <v>-1.1091441397939901</v>
      </c>
      <c r="AH7058">
        <v>18.269547450916502</v>
      </c>
      <c r="AI7058">
        <v>93.426183258683395</v>
      </c>
      <c r="AJ7058">
        <v>99.544712130437603</v>
      </c>
      <c r="AK7058">
        <v>18.559184542428898</v>
      </c>
      <c r="AL7058">
        <v>89.491106244978994</v>
      </c>
      <c r="AM7058">
        <v>89.303985330857302</v>
      </c>
      <c r="AN7058">
        <v>1.0000000236331501</v>
      </c>
    </row>
    <row r="7059" spans="1:40" x14ac:dyDescent="0.25">
      <c r="A7059" t="str">
        <f>"20190312155012260"</f>
        <v>20190312155012260</v>
      </c>
      <c r="B7059" t="str">
        <f>"1552377012252388"</f>
        <v>1552377012252388</v>
      </c>
      <c r="C7059" t="s">
        <v>40</v>
      </c>
      <c r="D7059">
        <v>4.7353889999999996</v>
      </c>
      <c r="E7059">
        <v>0.4310505</v>
      </c>
      <c r="F7059" t="s">
        <v>42</v>
      </c>
      <c r="G7059">
        <v>-186.87450000000001</v>
      </c>
      <c r="H7059" s="1">
        <v>-4.44166099999999E-6</v>
      </c>
      <c r="I7059">
        <v>-21.305959999999999</v>
      </c>
      <c r="J7059">
        <v>-192.2773</v>
      </c>
      <c r="K7059">
        <v>1.1092599999999999</v>
      </c>
      <c r="L7059">
        <v>-39.497309999999999</v>
      </c>
      <c r="M7059">
        <v>0.44239400000000001</v>
      </c>
      <c r="N7059">
        <v>0</v>
      </c>
      <c r="O7059">
        <v>0.89679299999999995</v>
      </c>
      <c r="P7059">
        <v>0.45324959999999997</v>
      </c>
      <c r="Q7059">
        <v>2.0502509999999999E-3</v>
      </c>
      <c r="R7059">
        <v>0.89138130000000004</v>
      </c>
      <c r="S7059">
        <v>0.87518309999999999</v>
      </c>
      <c r="T7059">
        <v>-0.17572449999999901</v>
      </c>
      <c r="U7059">
        <v>2.9210509999999998</v>
      </c>
      <c r="V7059">
        <v>1.2127819999999999E-2</v>
      </c>
      <c r="W7059">
        <v>9.1082439999999997E-3</v>
      </c>
      <c r="X7059">
        <v>0.99988500000000002</v>
      </c>
      <c r="Y7059">
        <v>-0.16678599999999999</v>
      </c>
      <c r="Z7059">
        <v>-4.946449E-2</v>
      </c>
      <c r="AA7059">
        <v>0.98475159999999995</v>
      </c>
      <c r="AB7059">
        <v>27</v>
      </c>
      <c r="AC7059">
        <v>5.4027999999999796</v>
      </c>
      <c r="AD7059">
        <v>-1.109264441661</v>
      </c>
      <c r="AE7059">
        <v>18.19135</v>
      </c>
      <c r="AF7059">
        <v>-3.19172501196481</v>
      </c>
      <c r="AG7059">
        <v>-1.109264441661</v>
      </c>
      <c r="AH7059">
        <v>18.640814755028899</v>
      </c>
      <c r="AI7059">
        <v>93.356765088451596</v>
      </c>
      <c r="AJ7059">
        <v>99.716102559743504</v>
      </c>
      <c r="AK7059">
        <v>18.944591599842902</v>
      </c>
      <c r="AL7059">
        <v>89.478128859072498</v>
      </c>
      <c r="AM7059">
        <v>89.305081256712299</v>
      </c>
      <c r="AN7059">
        <v>1.0000000286758499</v>
      </c>
    </row>
    <row r="7060" spans="1:40" x14ac:dyDescent="0.25">
      <c r="A7060" t="str">
        <f>"20190312155012428"</f>
        <v>20190312155012428</v>
      </c>
      <c r="B7060" t="str">
        <f>"1552377012423188"</f>
        <v>1552377012423188</v>
      </c>
      <c r="C7060" t="s">
        <v>40</v>
      </c>
      <c r="D7060">
        <v>2.792726</v>
      </c>
      <c r="E7060">
        <v>0.43048110000000001</v>
      </c>
      <c r="F7060" t="s">
        <v>42</v>
      </c>
      <c r="G7060">
        <v>-186.93899999999999</v>
      </c>
      <c r="H7060" s="1">
        <v>-4.3764280000000001E-6</v>
      </c>
      <c r="I7060">
        <v>-21.431339999999999</v>
      </c>
      <c r="J7060">
        <v>-191.3955</v>
      </c>
      <c r="K7060">
        <v>1.111024</v>
      </c>
      <c r="L7060">
        <v>-37.67953</v>
      </c>
      <c r="M7060">
        <v>0.4347512</v>
      </c>
      <c r="N7060">
        <v>0</v>
      </c>
      <c r="O7060">
        <v>0.90050010000000003</v>
      </c>
      <c r="P7060">
        <v>0.43134129999999998</v>
      </c>
      <c r="Q7060">
        <v>5.8546900000000003E-4</v>
      </c>
      <c r="R7060">
        <v>0.90218869999999896</v>
      </c>
      <c r="S7060">
        <v>0.86468509999999998</v>
      </c>
      <c r="T7060">
        <v>-0.1796769</v>
      </c>
      <c r="U7060">
        <v>2.9262999999999999</v>
      </c>
      <c r="V7060">
        <v>-3.8400660000000001E-3</v>
      </c>
      <c r="W7060">
        <v>1.0113850000000001E-2</v>
      </c>
      <c r="X7060">
        <v>0.99994150000000004</v>
      </c>
      <c r="Y7060">
        <v>-0.1621601</v>
      </c>
      <c r="Z7060">
        <v>-5.0856720000000001E-2</v>
      </c>
      <c r="AA7060">
        <v>0.98545300000000002</v>
      </c>
      <c r="AB7060">
        <v>27</v>
      </c>
      <c r="AC7060">
        <v>4.4564999999999699</v>
      </c>
      <c r="AD7060">
        <v>-1.111028376428</v>
      </c>
      <c r="AE7060">
        <v>16.248190000000001</v>
      </c>
      <c r="AF7060">
        <v>-3.0377704156324801</v>
      </c>
      <c r="AG7060">
        <v>-1.111028376428</v>
      </c>
      <c r="AH7060">
        <v>16.497977561877502</v>
      </c>
      <c r="AI7060">
        <v>93.789162356841004</v>
      </c>
      <c r="AJ7060">
        <v>100.433005528008</v>
      </c>
      <c r="AK7060">
        <v>16.812069973192902</v>
      </c>
      <c r="AL7060">
        <v>89.420509212179297</v>
      </c>
      <c r="AM7060">
        <v>90.220031365092098</v>
      </c>
      <c r="AN7060">
        <v>1.0000000197454699</v>
      </c>
    </row>
    <row r="7061" spans="1:40" x14ac:dyDescent="0.25">
      <c r="A7061" t="str">
        <f>"20190312155012515"</f>
        <v>20190312155012515</v>
      </c>
      <c r="B7061" t="str">
        <f>"1552377012512981"</f>
        <v>1552377012512981</v>
      </c>
      <c r="C7061" t="s">
        <v>40</v>
      </c>
      <c r="D7061">
        <v>4.5512600000000001</v>
      </c>
      <c r="E7061">
        <v>0.42637979999999998</v>
      </c>
      <c r="F7061" t="s">
        <v>42</v>
      </c>
      <c r="G7061">
        <v>-186.6525</v>
      </c>
      <c r="H7061" s="1">
        <v>-1.0325000000000001E-6</v>
      </c>
      <c r="I7061">
        <v>-19.935189999999999</v>
      </c>
      <c r="J7061">
        <v>-190.95259999999999</v>
      </c>
      <c r="K7061">
        <v>1.1122510000000001</v>
      </c>
      <c r="L7061">
        <v>-36.72513</v>
      </c>
      <c r="M7061">
        <v>0.42437770000000002</v>
      </c>
      <c r="N7061">
        <v>0</v>
      </c>
      <c r="O7061">
        <v>0.90541430000000001</v>
      </c>
      <c r="P7061">
        <v>0.41366310000000001</v>
      </c>
      <c r="Q7061">
        <v>-1.1340670000000001E-3</v>
      </c>
      <c r="R7061">
        <v>0.9104293</v>
      </c>
      <c r="S7061">
        <v>0.78813169999999899</v>
      </c>
      <c r="T7061">
        <v>-0.18461720000000001</v>
      </c>
      <c r="U7061">
        <v>2.948547</v>
      </c>
      <c r="V7061">
        <v>-1.1891260000000001E-2</v>
      </c>
      <c r="W7061">
        <v>1.0131960000000001E-2</v>
      </c>
      <c r="X7061">
        <v>0.99987800000000004</v>
      </c>
      <c r="Y7061">
        <v>-0.1765765</v>
      </c>
      <c r="Z7061">
        <v>-5.2398319999999998E-2</v>
      </c>
      <c r="AA7061">
        <v>0.98289130000000002</v>
      </c>
      <c r="AB7061">
        <v>27</v>
      </c>
      <c r="AC7061">
        <v>4.30009999999998</v>
      </c>
      <c r="AD7061">
        <v>-1.1122520325</v>
      </c>
      <c r="AE7061">
        <v>16.789939999999898</v>
      </c>
      <c r="AF7061">
        <v>-3.2188556063461502</v>
      </c>
      <c r="AG7061">
        <v>-1.1122520325</v>
      </c>
      <c r="AH7061">
        <v>16.9579746842807</v>
      </c>
      <c r="AI7061">
        <v>93.686937943032504</v>
      </c>
      <c r="AJ7061">
        <v>100.747663424807</v>
      </c>
      <c r="AK7061">
        <v>17.296561548209901</v>
      </c>
      <c r="AL7061">
        <v>89.419471542354202</v>
      </c>
      <c r="AM7061">
        <v>90.681370019818701</v>
      </c>
      <c r="AN7061">
        <v>1.0000000367809101</v>
      </c>
    </row>
    <row r="7062" spans="1:40" x14ac:dyDescent="0.25">
      <c r="A7062" t="str">
        <f>"20190312155012539"</f>
        <v>20190312155012539</v>
      </c>
      <c r="B7062" t="str">
        <f>"1552377012532501"</f>
        <v>1552377012532501</v>
      </c>
      <c r="C7062" t="s">
        <v>40</v>
      </c>
      <c r="D7062">
        <v>4.5599109999999996</v>
      </c>
      <c r="E7062">
        <v>0.4227747</v>
      </c>
      <c r="F7062" t="s">
        <v>42</v>
      </c>
      <c r="G7062">
        <v>-186.8888</v>
      </c>
      <c r="H7062" s="1">
        <v>-1.1262070000000001E-6</v>
      </c>
      <c r="I7062">
        <v>-19.47505</v>
      </c>
      <c r="J7062">
        <v>-190.83680000000001</v>
      </c>
      <c r="K7062">
        <v>1.11256</v>
      </c>
      <c r="L7062">
        <v>-36.467770000000002</v>
      </c>
      <c r="M7062">
        <v>0.42069640000000003</v>
      </c>
      <c r="N7062">
        <v>0</v>
      </c>
      <c r="O7062">
        <v>0.90712570000000003</v>
      </c>
      <c r="P7062">
        <v>0.40846480000000002</v>
      </c>
      <c r="Q7062">
        <v>1.906991E-3</v>
      </c>
      <c r="R7062">
        <v>0.91277209999999998</v>
      </c>
      <c r="S7062">
        <v>0.70115660000000002</v>
      </c>
      <c r="T7062">
        <v>-0.1919073</v>
      </c>
      <c r="U7062">
        <v>2.976318</v>
      </c>
      <c r="V7062">
        <v>-1.356276E-2</v>
      </c>
      <c r="W7062">
        <v>1.3538730000000001E-2</v>
      </c>
      <c r="X7062">
        <v>0.99981640000000005</v>
      </c>
      <c r="Y7062">
        <v>-0.20185710000000001</v>
      </c>
      <c r="Z7062">
        <v>-5.414356E-2</v>
      </c>
      <c r="AA7062">
        <v>0.97791729999999999</v>
      </c>
      <c r="AB7062">
        <v>27</v>
      </c>
      <c r="AC7062">
        <v>3.948</v>
      </c>
      <c r="AD7062">
        <v>-1.1125611262070001</v>
      </c>
      <c r="AE7062">
        <v>16.992719999999998</v>
      </c>
      <c r="AF7062">
        <v>-3.5532376218605002</v>
      </c>
      <c r="AG7062">
        <v>-1.1125611262070001</v>
      </c>
      <c r="AH7062">
        <v>17.007444729968402</v>
      </c>
      <c r="AI7062">
        <v>93.663850717569701</v>
      </c>
      <c r="AJ7062">
        <v>101.80063688896099</v>
      </c>
      <c r="AK7062">
        <v>17.410240265426602</v>
      </c>
      <c r="AL7062">
        <v>89.224264242224294</v>
      </c>
      <c r="AM7062">
        <v>90.777183937178293</v>
      </c>
      <c r="AN7062">
        <v>1.00000003968889</v>
      </c>
    </row>
    <row r="7063" spans="1:40" x14ac:dyDescent="0.25">
      <c r="A7063" t="str">
        <f>"20190312155012562"</f>
        <v>20190312155012562</v>
      </c>
      <c r="B7063" t="str">
        <f>"1552377012552997"</f>
        <v>1552377012552997</v>
      </c>
      <c r="C7063" t="s">
        <v>40</v>
      </c>
      <c r="D7063">
        <v>4.5671280000000003</v>
      </c>
      <c r="E7063">
        <v>0.42003420000000002</v>
      </c>
      <c r="F7063" t="s">
        <v>42</v>
      </c>
      <c r="G7063">
        <v>-186.8348</v>
      </c>
      <c r="H7063" s="1">
        <v>-1.5504129999999999E-6</v>
      </c>
      <c r="I7063">
        <v>-18.270720000000001</v>
      </c>
      <c r="J7063">
        <v>-190.72620000000001</v>
      </c>
      <c r="K7063">
        <v>1.112854</v>
      </c>
      <c r="L7063">
        <v>-36.218510000000002</v>
      </c>
      <c r="M7063">
        <v>0.41676449999999998</v>
      </c>
      <c r="N7063">
        <v>0</v>
      </c>
      <c r="O7063">
        <v>0.90893460000000004</v>
      </c>
      <c r="P7063">
        <v>0.40297379999999999</v>
      </c>
      <c r="Q7063">
        <v>4.1804370000000004E-3</v>
      </c>
      <c r="R7063">
        <v>0.91520199999999996</v>
      </c>
      <c r="S7063">
        <v>0.65812680000000001</v>
      </c>
      <c r="T7063">
        <v>-0.1829636</v>
      </c>
      <c r="U7063">
        <v>2.9925540000000002</v>
      </c>
      <c r="V7063">
        <v>-1.526653E-2</v>
      </c>
      <c r="W7063">
        <v>1.6123849999999999E-2</v>
      </c>
      <c r="X7063">
        <v>0.99975349999999996</v>
      </c>
      <c r="Y7063">
        <v>-0.2121287</v>
      </c>
      <c r="Z7063">
        <v>-5.1523289999999999E-2</v>
      </c>
      <c r="AA7063">
        <v>0.97588249999999999</v>
      </c>
      <c r="AB7063">
        <v>27</v>
      </c>
      <c r="AC7063">
        <v>3.8914</v>
      </c>
      <c r="AD7063">
        <v>-1.112855550413</v>
      </c>
      <c r="AE7063">
        <v>17.947789999999902</v>
      </c>
      <c r="AF7063">
        <v>-3.9288332545514102</v>
      </c>
      <c r="AG7063">
        <v>-1.112855550413</v>
      </c>
      <c r="AH7063">
        <v>17.870845264413401</v>
      </c>
      <c r="AI7063">
        <v>93.480424582170997</v>
      </c>
      <c r="AJ7063">
        <v>102.39900023484699</v>
      </c>
      <c r="AK7063">
        <v>18.331428986381798</v>
      </c>
      <c r="AL7063">
        <v>89.076131460627707</v>
      </c>
      <c r="AM7063">
        <v>90.874855409513302</v>
      </c>
      <c r="AN7063">
        <v>1.00000005311965</v>
      </c>
    </row>
    <row r="7064" spans="1:40" x14ac:dyDescent="0.25">
      <c r="A7064" t="str">
        <f>"20190312155012584"</f>
        <v>20190312155012584</v>
      </c>
      <c r="B7064" t="str">
        <f>"1552377012572516"</f>
        <v>1552377012572516</v>
      </c>
      <c r="C7064" t="s">
        <v>40</v>
      </c>
      <c r="D7064">
        <v>4.5513949999999896</v>
      </c>
      <c r="E7064">
        <v>0.4178675</v>
      </c>
      <c r="F7064" t="s">
        <v>42</v>
      </c>
      <c r="G7064">
        <v>-186.81209999999999</v>
      </c>
      <c r="H7064" s="1">
        <v>-1.906521E-6</v>
      </c>
      <c r="I7064">
        <v>-17.242039999999999</v>
      </c>
      <c r="J7064">
        <v>-190.62430000000001</v>
      </c>
      <c r="K7064">
        <v>1.113108</v>
      </c>
      <c r="L7064">
        <v>-35.985109999999999</v>
      </c>
      <c r="M7064">
        <v>0.41276190000000001</v>
      </c>
      <c r="N7064">
        <v>0</v>
      </c>
      <c r="O7064">
        <v>0.91075550000000005</v>
      </c>
      <c r="P7064">
        <v>0.39644600000000002</v>
      </c>
      <c r="Q7064">
        <v>4.5334759999999998E-3</v>
      </c>
      <c r="R7064">
        <v>0.91804680000000005</v>
      </c>
      <c r="S7064">
        <v>0.61997990000000003</v>
      </c>
      <c r="T7064">
        <v>-0.17627200000000001</v>
      </c>
      <c r="U7064">
        <v>3.005798</v>
      </c>
      <c r="V7064">
        <v>-1.8003620000000001E-2</v>
      </c>
      <c r="W7064">
        <v>1.6723160000000001E-2</v>
      </c>
      <c r="X7064">
        <v>0.99969799999999998</v>
      </c>
      <c r="Y7064">
        <v>-0.2205522</v>
      </c>
      <c r="Z7064">
        <v>-4.958982E-2</v>
      </c>
      <c r="AA7064">
        <v>0.97411380000000003</v>
      </c>
      <c r="AB7064">
        <v>27</v>
      </c>
      <c r="AC7064">
        <v>3.81220000000001</v>
      </c>
      <c r="AD7064">
        <v>-1.1131099065209999</v>
      </c>
      <c r="AE7064">
        <v>18.743069999999999</v>
      </c>
      <c r="AF7064">
        <v>-4.2503720915079199</v>
      </c>
      <c r="AG7064">
        <v>-1.1131099065209999</v>
      </c>
      <c r="AH7064">
        <v>18.582367553823701</v>
      </c>
      <c r="AI7064">
        <v>93.341898295714898</v>
      </c>
      <c r="AJ7064">
        <v>102.883715216678</v>
      </c>
      <c r="AK7064">
        <v>19.0947390787532</v>
      </c>
      <c r="AL7064">
        <v>89.041788790658501</v>
      </c>
      <c r="AM7064">
        <v>91.031731529018501</v>
      </c>
      <c r="AN7064">
        <v>0.99999994280874305</v>
      </c>
    </row>
    <row r="7065" spans="1:40" x14ac:dyDescent="0.25">
      <c r="A7065" t="str">
        <f>"20190312155012605"</f>
        <v>20190312155012605</v>
      </c>
      <c r="B7065" t="str">
        <f>"1552377012593013"</f>
        <v>1552377012593013</v>
      </c>
      <c r="C7065" t="s">
        <v>40</v>
      </c>
      <c r="D7065">
        <v>4.672085</v>
      </c>
      <c r="E7065">
        <v>0.4167478</v>
      </c>
      <c r="F7065" t="s">
        <v>42</v>
      </c>
      <c r="G7065">
        <v>-186.95500000000001</v>
      </c>
      <c r="H7065" s="1">
        <v>-1.9918729999999998E-6</v>
      </c>
      <c r="I7065">
        <v>-16.983149999999998</v>
      </c>
      <c r="J7065">
        <v>-190.52500000000001</v>
      </c>
      <c r="K7065">
        <v>1.113353</v>
      </c>
      <c r="L7065">
        <v>-35.75394</v>
      </c>
      <c r="M7065">
        <v>0.40850619999999999</v>
      </c>
      <c r="N7065">
        <v>0</v>
      </c>
      <c r="O7065">
        <v>0.91266890000000001</v>
      </c>
      <c r="P7065">
        <v>0.38945839999999998</v>
      </c>
      <c r="Q7065">
        <v>4.3659959999999996E-3</v>
      </c>
      <c r="R7065">
        <v>0.92103369999999996</v>
      </c>
      <c r="S7065">
        <v>0.5825958</v>
      </c>
      <c r="T7065">
        <v>-0.17673720000000001</v>
      </c>
      <c r="U7065">
        <v>3.01709</v>
      </c>
      <c r="V7065">
        <v>-2.0946139999999999E-2</v>
      </c>
      <c r="W7065">
        <v>1.6766070000000001E-2</v>
      </c>
      <c r="X7065">
        <v>0.99963999999999997</v>
      </c>
      <c r="Y7065">
        <v>-0.22832340000000001</v>
      </c>
      <c r="Z7065">
        <v>-4.9702129999999997E-2</v>
      </c>
      <c r="AA7065">
        <v>0.97231579999999995</v>
      </c>
      <c r="AB7065">
        <v>27</v>
      </c>
      <c r="AC7065">
        <v>3.5699999999999901</v>
      </c>
      <c r="AD7065">
        <v>-1.1133549918729999</v>
      </c>
      <c r="AE7065">
        <v>18.770789999999899</v>
      </c>
      <c r="AF7065">
        <v>-4.3951821975850098</v>
      </c>
      <c r="AG7065">
        <v>-1.1133549918729999</v>
      </c>
      <c r="AH7065">
        <v>18.5284451826195</v>
      </c>
      <c r="AI7065">
        <v>93.346075606545696</v>
      </c>
      <c r="AJ7065">
        <v>103.344634381212</v>
      </c>
      <c r="AK7065">
        <v>19.075126913686098</v>
      </c>
      <c r="AL7065">
        <v>89.039329925126395</v>
      </c>
      <c r="AM7065">
        <v>91.200381961758396</v>
      </c>
      <c r="AN7065">
        <v>0.99999998574207205</v>
      </c>
    </row>
    <row r="7066" spans="1:40" x14ac:dyDescent="0.25">
      <c r="A7066" t="str">
        <f>"20190312155012628"</f>
        <v>20190312155012628</v>
      </c>
      <c r="B7066" t="str">
        <f>"1552377012622292"</f>
        <v>1552377012622292</v>
      </c>
      <c r="C7066" t="s">
        <v>40</v>
      </c>
      <c r="D7066">
        <v>4.729851</v>
      </c>
      <c r="E7066">
        <v>0.41620040000000003</v>
      </c>
      <c r="F7066" t="s">
        <v>42</v>
      </c>
      <c r="G7066">
        <v>-187.10079999999999</v>
      </c>
      <c r="H7066" s="1">
        <v>-1.9704100000000001E-6</v>
      </c>
      <c r="I7066">
        <v>-16.972929999999899</v>
      </c>
      <c r="J7066">
        <v>-190.42160000000001</v>
      </c>
      <c r="K7066">
        <v>1.11359599999999</v>
      </c>
      <c r="L7066">
        <v>-35.508969999999998</v>
      </c>
      <c r="M7066">
        <v>0.40368039999999999</v>
      </c>
      <c r="N7066">
        <v>0</v>
      </c>
      <c r="O7066">
        <v>0.91481040000000002</v>
      </c>
      <c r="P7066">
        <v>0.3822526</v>
      </c>
      <c r="Q7066">
        <v>4.4679539999999997E-3</v>
      </c>
      <c r="R7066">
        <v>0.92404710000000001</v>
      </c>
      <c r="S7066">
        <v>0.55149840000000006</v>
      </c>
      <c r="T7066">
        <v>-0.17931529999999901</v>
      </c>
      <c r="U7066">
        <v>3.0248409999999999</v>
      </c>
      <c r="V7066">
        <v>-2.3488490000000001E-2</v>
      </c>
      <c r="W7066">
        <v>1.706214E-2</v>
      </c>
      <c r="X7066">
        <v>0.99957850000000004</v>
      </c>
      <c r="Y7066">
        <v>-0.2333065</v>
      </c>
      <c r="Z7066">
        <v>-5.0490260000000002E-2</v>
      </c>
      <c r="AA7066">
        <v>0.97109160000000005</v>
      </c>
      <c r="AB7066">
        <v>27</v>
      </c>
      <c r="AC7066">
        <v>3.3208000000000202</v>
      </c>
      <c r="AD7066">
        <v>-1.1135979704100001</v>
      </c>
      <c r="AE7066">
        <v>18.53604</v>
      </c>
      <c r="AF7066">
        <v>-4.4296077315564997</v>
      </c>
      <c r="AG7066">
        <v>-1.1135979704100001</v>
      </c>
      <c r="AH7066">
        <v>18.235235553657301</v>
      </c>
      <c r="AI7066">
        <v>93.396105163309699</v>
      </c>
      <c r="AJ7066">
        <v>103.653536047139</v>
      </c>
      <c r="AK7066">
        <v>18.798546241465999</v>
      </c>
      <c r="AL7066">
        <v>89.022363951959605</v>
      </c>
      <c r="AM7066">
        <v>91.346111108091506</v>
      </c>
      <c r="AN7066">
        <v>1.0000000017230499</v>
      </c>
    </row>
    <row r="7067" spans="1:40" x14ac:dyDescent="0.25">
      <c r="A7067" t="str">
        <f>"20190312155012650"</f>
        <v>20190312155012650</v>
      </c>
      <c r="B7067" t="str">
        <f>"1552377012642788"</f>
        <v>1552377012642788</v>
      </c>
      <c r="C7067" t="s">
        <v>40</v>
      </c>
      <c r="D7067">
        <v>4.7426120000000003</v>
      </c>
      <c r="E7067">
        <v>0.41627959999999897</v>
      </c>
      <c r="F7067" t="s">
        <v>42</v>
      </c>
      <c r="G7067">
        <v>-187.2133</v>
      </c>
      <c r="H7067" s="1">
        <v>-1.95939E-6</v>
      </c>
      <c r="I7067">
        <v>-16.952100000000002</v>
      </c>
      <c r="J7067">
        <v>-190.31899999999999</v>
      </c>
      <c r="K7067">
        <v>1.11382</v>
      </c>
      <c r="L7067">
        <v>-35.261200000000002</v>
      </c>
      <c r="M7067">
        <v>0.39850849999999999</v>
      </c>
      <c r="N7067">
        <v>0</v>
      </c>
      <c r="O7067">
        <v>0.9170722</v>
      </c>
      <c r="P7067">
        <v>0.37458459999999899</v>
      </c>
      <c r="Q7067">
        <v>5.4134949999999999E-3</v>
      </c>
      <c r="R7067">
        <v>0.92717700000000003</v>
      </c>
      <c r="S7067">
        <v>0.52398679999999997</v>
      </c>
      <c r="T7067">
        <v>-0.18187220000000001</v>
      </c>
      <c r="U7067">
        <v>3.0307010000000001</v>
      </c>
      <c r="V7067">
        <v>-2.614466E-2</v>
      </c>
      <c r="W7067">
        <v>1.8174429999999998E-2</v>
      </c>
      <c r="X7067">
        <v>0.99949290000000002</v>
      </c>
      <c r="Y7067">
        <v>-0.23669960000000001</v>
      </c>
      <c r="Z7067">
        <v>-5.1319940000000001E-2</v>
      </c>
      <c r="AA7067">
        <v>0.97022660000000005</v>
      </c>
      <c r="AB7067">
        <v>27</v>
      </c>
      <c r="AC7067">
        <v>3.1057000000000099</v>
      </c>
      <c r="AD7067">
        <v>-1.1138219593900001</v>
      </c>
      <c r="AE7067">
        <v>18.309100000000001</v>
      </c>
      <c r="AF7067">
        <v>-4.4326125139029298</v>
      </c>
      <c r="AG7067">
        <v>-1.1138219593900001</v>
      </c>
      <c r="AH7067">
        <v>17.965316235005499</v>
      </c>
      <c r="AI7067">
        <v>93.444668454183699</v>
      </c>
      <c r="AJ7067">
        <v>103.85986236409801</v>
      </c>
      <c r="AK7067">
        <v>18.537562959552702</v>
      </c>
      <c r="AL7067">
        <v>88.958624484429507</v>
      </c>
      <c r="AM7067">
        <v>91.498396994626702</v>
      </c>
      <c r="AN7067">
        <v>0.99999995515137396</v>
      </c>
    </row>
    <row r="7068" spans="1:40" x14ac:dyDescent="0.25">
      <c r="A7068" t="str">
        <f>"20190312155012673"</f>
        <v>20190312155012673</v>
      </c>
      <c r="B7068" t="str">
        <f>"1552377012662309"</f>
        <v>1552377012662309</v>
      </c>
      <c r="C7068" t="s">
        <v>40</v>
      </c>
      <c r="D7068">
        <v>4.8575330000000001</v>
      </c>
      <c r="E7068">
        <v>0.41640919999999998</v>
      </c>
      <c r="F7068" t="s">
        <v>42</v>
      </c>
      <c r="G7068">
        <v>-187.2483</v>
      </c>
      <c r="H7068" s="1">
        <v>-2.1014759999999999E-6</v>
      </c>
      <c r="I7068">
        <v>-16.606400000000001</v>
      </c>
      <c r="J7068">
        <v>-190.21979999999999</v>
      </c>
      <c r="K7068">
        <v>1.1140000000000001</v>
      </c>
      <c r="L7068">
        <v>-35.016779999999997</v>
      </c>
      <c r="M7068">
        <v>0.39317580000000002</v>
      </c>
      <c r="N7068">
        <v>0</v>
      </c>
      <c r="O7068">
        <v>0.91936859999999998</v>
      </c>
      <c r="P7068">
        <v>0.36687340000000002</v>
      </c>
      <c r="Q7068">
        <v>4.6927449999999999E-3</v>
      </c>
      <c r="R7068">
        <v>0.93025899999999995</v>
      </c>
      <c r="S7068">
        <v>0.49955749999999999</v>
      </c>
      <c r="T7068">
        <v>-0.1812018</v>
      </c>
      <c r="U7068">
        <v>3.0348510000000002</v>
      </c>
      <c r="V7068">
        <v>-2.8644139999999998E-2</v>
      </c>
      <c r="W7068">
        <v>1.7594209999999999E-2</v>
      </c>
      <c r="X7068">
        <v>0.99943479999999996</v>
      </c>
      <c r="Y7068">
        <v>-0.23887269999999999</v>
      </c>
      <c r="Z7068">
        <v>-5.1277339999999998E-2</v>
      </c>
      <c r="AA7068">
        <v>0.969696</v>
      </c>
      <c r="AB7068">
        <v>27</v>
      </c>
      <c r="AC7068">
        <v>2.97149999999999</v>
      </c>
      <c r="AD7068">
        <v>-1.114002101476</v>
      </c>
      <c r="AE7068">
        <v>18.41038</v>
      </c>
      <c r="AF7068">
        <v>-4.4909788377895596</v>
      </c>
      <c r="AG7068">
        <v>-1.114002101476</v>
      </c>
      <c r="AH7068">
        <v>18.031478976003498</v>
      </c>
      <c r="AI7068">
        <v>93.430748796851105</v>
      </c>
      <c r="AJ7068">
        <v>103.985717933553</v>
      </c>
      <c r="AK7068">
        <v>18.615695680409701</v>
      </c>
      <c r="AL7068">
        <v>88.991873987686205</v>
      </c>
      <c r="AM7068">
        <v>91.641667055758901</v>
      </c>
      <c r="AN7068">
        <v>0.99999998121645095</v>
      </c>
    </row>
    <row r="7069" spans="1:40" x14ac:dyDescent="0.25">
      <c r="A7069" t="str">
        <f>"20190312155012695"</f>
        <v>20190312155012695</v>
      </c>
      <c r="B7069" t="str">
        <f>"1552377012692564"</f>
        <v>1552377012692564</v>
      </c>
      <c r="C7069" t="s">
        <v>40</v>
      </c>
      <c r="D7069">
        <v>4.8924070000000004</v>
      </c>
      <c r="E7069">
        <v>0.41670449999999998</v>
      </c>
      <c r="F7069" t="s">
        <v>42</v>
      </c>
      <c r="G7069">
        <v>-187.3451</v>
      </c>
      <c r="H7069" s="1">
        <v>-2.0664190000000001E-6</v>
      </c>
      <c r="I7069">
        <v>-16.648119999999999</v>
      </c>
      <c r="J7069">
        <v>-190.12139999999999</v>
      </c>
      <c r="K7069">
        <v>1.1141700000000001</v>
      </c>
      <c r="L7069">
        <v>-34.7699</v>
      </c>
      <c r="M7069">
        <v>0.38755909999999999</v>
      </c>
      <c r="N7069">
        <v>0</v>
      </c>
      <c r="O7069">
        <v>0.92174820000000002</v>
      </c>
      <c r="P7069">
        <v>0.35909760000000002</v>
      </c>
      <c r="Q7069">
        <v>5.1917909999999899E-3</v>
      </c>
      <c r="R7069">
        <v>0.93328560000000005</v>
      </c>
      <c r="S7069">
        <v>0.47549439999999998</v>
      </c>
      <c r="T7069">
        <v>-0.18426329999999999</v>
      </c>
      <c r="U7069">
        <v>3.0383</v>
      </c>
      <c r="V7069">
        <v>-3.0900270000000001E-2</v>
      </c>
      <c r="W7069">
        <v>1.8214000000000001E-2</v>
      </c>
      <c r="X7069">
        <v>0.99935649999999998</v>
      </c>
      <c r="Y7069">
        <v>-0.24061969999999999</v>
      </c>
      <c r="Z7069">
        <v>-5.2309540000000002E-2</v>
      </c>
      <c r="AA7069">
        <v>0.96920890000000004</v>
      </c>
      <c r="AB7069">
        <v>27</v>
      </c>
      <c r="AC7069">
        <v>2.7762999999999902</v>
      </c>
      <c r="AD7069">
        <v>-1.114172066419</v>
      </c>
      <c r="AE7069">
        <v>18.121780000000001</v>
      </c>
      <c r="AF7069">
        <v>-4.4481800892085799</v>
      </c>
      <c r="AG7069">
        <v>-1.114172066419</v>
      </c>
      <c r="AH7069">
        <v>17.715850939275899</v>
      </c>
      <c r="AI7069">
        <v>93.490595992590698</v>
      </c>
      <c r="AJ7069">
        <v>104.09472440067699</v>
      </c>
      <c r="AK7069">
        <v>18.299701090516798</v>
      </c>
      <c r="AL7069">
        <v>88.956356956877201</v>
      </c>
      <c r="AM7069">
        <v>91.771030820087702</v>
      </c>
      <c r="AN7069">
        <v>0.99999999528716099</v>
      </c>
    </row>
    <row r="7070" spans="1:40" x14ac:dyDescent="0.25">
      <c r="A7070" t="str">
        <f>"20190312155012716"</f>
        <v>20190312155012716</v>
      </c>
      <c r="B7070" t="str">
        <f>"1552377012713061"</f>
        <v>1552377012713061</v>
      </c>
      <c r="C7070" t="s">
        <v>40</v>
      </c>
      <c r="D7070">
        <v>4.9000919999999999</v>
      </c>
      <c r="E7070">
        <v>0.41696270000000002</v>
      </c>
      <c r="F7070" t="s">
        <v>42</v>
      </c>
      <c r="G7070">
        <v>-187.41540000000001</v>
      </c>
      <c r="H7070" s="1">
        <v>-2.080667E-6</v>
      </c>
      <c r="I7070">
        <v>-16.585829999999898</v>
      </c>
      <c r="J7070">
        <v>-190.0292</v>
      </c>
      <c r="K7070">
        <v>1.1143289999999999</v>
      </c>
      <c r="L7070">
        <v>-34.533720000000002</v>
      </c>
      <c r="M7070">
        <v>0.38196239999999998</v>
      </c>
      <c r="N7070">
        <v>0</v>
      </c>
      <c r="O7070">
        <v>0.92407950000000005</v>
      </c>
      <c r="P7070">
        <v>0.35177199999999997</v>
      </c>
      <c r="Q7070">
        <v>6.7665700000000004E-3</v>
      </c>
      <c r="R7070">
        <v>0.93606129999999999</v>
      </c>
      <c r="S7070">
        <v>0.45259090000000002</v>
      </c>
      <c r="T7070">
        <v>-0.1863493</v>
      </c>
      <c r="U7070">
        <v>3.0413510000000001</v>
      </c>
      <c r="V7070">
        <v>-3.2694750000000002E-2</v>
      </c>
      <c r="W7070">
        <v>1.9889779999999999E-2</v>
      </c>
      <c r="X7070">
        <v>0.99926749999999998</v>
      </c>
      <c r="Y7070">
        <v>-0.24202080000000001</v>
      </c>
      <c r="Z7070">
        <v>-5.3072569999999999E-2</v>
      </c>
      <c r="AA7070">
        <v>0.96881850000000003</v>
      </c>
      <c r="AB7070">
        <v>26</v>
      </c>
      <c r="AC7070">
        <v>2.6137999999999901</v>
      </c>
      <c r="AD7070">
        <v>-1.1143310806669999</v>
      </c>
      <c r="AE7070">
        <v>17.947890000000001</v>
      </c>
      <c r="AF7070">
        <v>-4.4237652387540303</v>
      </c>
      <c r="AG7070">
        <v>-1.1143310806669999</v>
      </c>
      <c r="AH7070">
        <v>17.519119005196401</v>
      </c>
      <c r="AI7070">
        <v>93.529009026698304</v>
      </c>
      <c r="AJ7070">
        <v>104.171554605884</v>
      </c>
      <c r="AK7070">
        <v>18.103341220978599</v>
      </c>
      <c r="AL7070">
        <v>88.860324448228894</v>
      </c>
      <c r="AM7070">
        <v>91.873975848972904</v>
      </c>
      <c r="AN7070">
        <v>1.00000004329112</v>
      </c>
    </row>
    <row r="7071" spans="1:40" x14ac:dyDescent="0.25">
      <c r="A7071" t="str">
        <f>"20190312155012742"</f>
        <v>20190312155012742</v>
      </c>
      <c r="B7071" t="str">
        <f>"1552377012732581"</f>
        <v>1552377012732581</v>
      </c>
      <c r="C7071" t="s">
        <v>40</v>
      </c>
      <c r="D7071">
        <v>4.9252279999999997</v>
      </c>
      <c r="E7071">
        <v>0.41728310000000002</v>
      </c>
      <c r="F7071" t="s">
        <v>42</v>
      </c>
      <c r="G7071">
        <v>-187.44900000000001</v>
      </c>
      <c r="H7071" s="1">
        <v>-2.199051E-6</v>
      </c>
      <c r="I7071">
        <v>-16.295970000000001</v>
      </c>
      <c r="J7071">
        <v>-189.92660000000001</v>
      </c>
      <c r="K7071">
        <v>1.11452</v>
      </c>
      <c r="L7071">
        <v>-34.265009999999997</v>
      </c>
      <c r="M7071">
        <v>0.37533169999999999</v>
      </c>
      <c r="N7071">
        <v>0</v>
      </c>
      <c r="O7071">
        <v>0.92679049999999996</v>
      </c>
      <c r="P7071">
        <v>0.34386689999999998</v>
      </c>
      <c r="Q7071">
        <v>8.4544119999999997E-3</v>
      </c>
      <c r="R7071">
        <v>0.93898029999999999</v>
      </c>
      <c r="S7071">
        <v>0.43070979999999998</v>
      </c>
      <c r="T7071">
        <v>-0.18601380000000001</v>
      </c>
      <c r="U7071">
        <v>3.044403</v>
      </c>
      <c r="V7071">
        <v>-3.3985679999999997E-2</v>
      </c>
      <c r="W7071">
        <v>2.1683729999999998E-2</v>
      </c>
      <c r="X7071">
        <v>0.99918709999999999</v>
      </c>
      <c r="Y7071">
        <v>-0.24203089999999999</v>
      </c>
      <c r="Z7071">
        <v>-5.3192150000000001E-2</v>
      </c>
      <c r="AA7071">
        <v>0.96880940000000004</v>
      </c>
      <c r="AB7071">
        <v>26</v>
      </c>
      <c r="AC7071">
        <v>2.47759999999999</v>
      </c>
      <c r="AD7071">
        <v>-1.1145221990509999</v>
      </c>
      <c r="AE7071">
        <v>17.9690399999999</v>
      </c>
      <c r="AF7071">
        <v>-4.43181544875514</v>
      </c>
      <c r="AG7071">
        <v>-1.1145221990509999</v>
      </c>
      <c r="AH7071">
        <v>17.518949473303099</v>
      </c>
      <c r="AI7071">
        <v>93.529260462145899</v>
      </c>
      <c r="AJ7071">
        <v>104.19643361791</v>
      </c>
      <c r="AK7071">
        <v>18.105157788656498</v>
      </c>
      <c r="AL7071">
        <v>88.757516452272498</v>
      </c>
      <c r="AM7071">
        <v>91.948069210771493</v>
      </c>
      <c r="AN7071">
        <v>1.0000000356990899</v>
      </c>
    </row>
    <row r="7072" spans="1:40" x14ac:dyDescent="0.25">
      <c r="A7072" t="str">
        <f>"20190312155012766"</f>
        <v>20190312155012766</v>
      </c>
      <c r="B7072" t="str">
        <f>"1552377012753076"</f>
        <v>1552377012753076</v>
      </c>
      <c r="C7072" t="s">
        <v>40</v>
      </c>
      <c r="D7072">
        <v>4.880757</v>
      </c>
      <c r="E7072">
        <v>0.41777819999999999</v>
      </c>
      <c r="F7072" t="s">
        <v>42</v>
      </c>
      <c r="G7072">
        <v>-187.4496</v>
      </c>
      <c r="H7072" s="1">
        <v>-2.4431559999999998E-6</v>
      </c>
      <c r="I7072">
        <v>-15.7267299999999</v>
      </c>
      <c r="J7072">
        <v>-189.83</v>
      </c>
      <c r="K7072">
        <v>1.114719</v>
      </c>
      <c r="L7072">
        <v>-34.005949999999999</v>
      </c>
      <c r="M7072">
        <v>0.36866389999999999</v>
      </c>
      <c r="N7072">
        <v>0</v>
      </c>
      <c r="O7072">
        <v>0.92946119999999999</v>
      </c>
      <c r="P7072">
        <v>0.33640750000000003</v>
      </c>
      <c r="Q7072">
        <v>8.7841129999999996E-3</v>
      </c>
      <c r="R7072">
        <v>0.9416755</v>
      </c>
      <c r="S7072">
        <v>0.407196</v>
      </c>
      <c r="T7072">
        <v>-0.18321490000000001</v>
      </c>
      <c r="U7072">
        <v>3.047485</v>
      </c>
      <c r="V7072">
        <v>-3.4747670000000001E-2</v>
      </c>
      <c r="W7072">
        <v>2.21061E-2</v>
      </c>
      <c r="X7072">
        <v>0.99915160000000003</v>
      </c>
      <c r="Y7072">
        <v>-0.2425283</v>
      </c>
      <c r="Z7072">
        <v>-5.2598840000000001E-2</v>
      </c>
      <c r="AA7072">
        <v>0.96871739999999995</v>
      </c>
      <c r="AB7072">
        <v>26</v>
      </c>
      <c r="AC7072">
        <v>2.3803999999999998</v>
      </c>
      <c r="AD7072">
        <v>-1.114721443156</v>
      </c>
      <c r="AE7072">
        <v>18.279219999999999</v>
      </c>
      <c r="AF7072">
        <v>-4.5103325831404604</v>
      </c>
      <c r="AG7072">
        <v>-1.114721443156</v>
      </c>
      <c r="AH7072">
        <v>17.803972766471201</v>
      </c>
      <c r="AI7072">
        <v>93.473222405138799</v>
      </c>
      <c r="AJ7072">
        <v>104.21583174766199</v>
      </c>
      <c r="AK7072">
        <v>18.400194297224701</v>
      </c>
      <c r="AL7072">
        <v>88.733310586666093</v>
      </c>
      <c r="AM7072">
        <v>91.9917826187163</v>
      </c>
      <c r="AN7072">
        <v>1.0000000000050899</v>
      </c>
    </row>
    <row r="7073" spans="1:40" x14ac:dyDescent="0.25">
      <c r="A7073" t="str">
        <f>"20190312155012788"</f>
        <v>20190312155012788</v>
      </c>
      <c r="B7073" t="str">
        <f>"1552377012782358"</f>
        <v>1552377012782358</v>
      </c>
      <c r="C7073" t="s">
        <v>40</v>
      </c>
      <c r="D7073">
        <v>4.9226260000000002</v>
      </c>
      <c r="E7073">
        <v>0.41858119999999999</v>
      </c>
      <c r="F7073" t="s">
        <v>42</v>
      </c>
      <c r="G7073">
        <v>-187.46449999999999</v>
      </c>
      <c r="H7073" s="1">
        <v>-2.6039070000000002E-6</v>
      </c>
      <c r="I7073">
        <v>-15.34582</v>
      </c>
      <c r="J7073">
        <v>-189.74019999999999</v>
      </c>
      <c r="K7073">
        <v>1.1149290000000001</v>
      </c>
      <c r="L7073">
        <v>-33.758090000000003</v>
      </c>
      <c r="M7073">
        <v>0.36199209999999998</v>
      </c>
      <c r="N7073">
        <v>0</v>
      </c>
      <c r="O7073">
        <v>0.93207850000000003</v>
      </c>
      <c r="P7073">
        <v>0.32950570000000001</v>
      </c>
      <c r="Q7073">
        <v>9.4777490000000006E-3</v>
      </c>
      <c r="R7073">
        <v>0.944106</v>
      </c>
      <c r="S7073">
        <v>0.38656620000000003</v>
      </c>
      <c r="T7073">
        <v>-0.18216599999999999</v>
      </c>
      <c r="U7073">
        <v>3.0494080000000001</v>
      </c>
      <c r="V7073">
        <v>-3.4918100000000001E-2</v>
      </c>
      <c r="W7073">
        <v>2.2882670000000001E-2</v>
      </c>
      <c r="X7073">
        <v>0.99912820000000002</v>
      </c>
      <c r="Y7073">
        <v>-0.24209820000000001</v>
      </c>
      <c r="Z7073">
        <v>-5.2519690000000001E-2</v>
      </c>
      <c r="AA7073">
        <v>0.9688293</v>
      </c>
      <c r="AB7073">
        <v>26</v>
      </c>
      <c r="AC7073">
        <v>2.2757000000000001</v>
      </c>
      <c r="AD7073">
        <v>-1.1149316039070001</v>
      </c>
      <c r="AE7073">
        <v>18.412269999999999</v>
      </c>
      <c r="AF7073">
        <v>-4.5280467206933697</v>
      </c>
      <c r="AG7073">
        <v>-1.1149316039070001</v>
      </c>
      <c r="AH7073">
        <v>17.922459339841001</v>
      </c>
      <c r="AI7073">
        <v>93.451527202735406</v>
      </c>
      <c r="AJ7073">
        <v>104.17886832750401</v>
      </c>
      <c r="AK7073">
        <v>18.5192016127701</v>
      </c>
      <c r="AL7073">
        <v>88.688805173800603</v>
      </c>
      <c r="AM7073">
        <v>92.001590804997704</v>
      </c>
      <c r="AN7073">
        <v>1.00000002516458</v>
      </c>
    </row>
    <row r="7074" spans="1:40" x14ac:dyDescent="0.25">
      <c r="A7074" t="str">
        <f>"20190312155012808"</f>
        <v>20190312155012808</v>
      </c>
      <c r="B7074" t="str">
        <f>"1552377012802854"</f>
        <v>1552377012802854</v>
      </c>
      <c r="C7074" t="s">
        <v>40</v>
      </c>
      <c r="D7074">
        <v>4.8861100000000004</v>
      </c>
      <c r="E7074">
        <v>0.41911549999999997</v>
      </c>
      <c r="F7074" t="s">
        <v>42</v>
      </c>
      <c r="G7074">
        <v>-187.4547</v>
      </c>
      <c r="H7074" s="1">
        <v>-2.7850870000000001E-6</v>
      </c>
      <c r="I7074">
        <v>-14.92755</v>
      </c>
      <c r="J7074">
        <v>-189.66210000000001</v>
      </c>
      <c r="K7074">
        <v>1.1151059999999999</v>
      </c>
      <c r="L7074">
        <v>-33.537509999999997</v>
      </c>
      <c r="M7074">
        <v>0.3558656</v>
      </c>
      <c r="N7074">
        <v>0</v>
      </c>
      <c r="O7074">
        <v>0.93443350000000003</v>
      </c>
      <c r="P7074">
        <v>0.3234552</v>
      </c>
      <c r="Q7074">
        <v>1.141168E-2</v>
      </c>
      <c r="R7074">
        <v>0.94617470000000004</v>
      </c>
      <c r="S7074">
        <v>0.3702087</v>
      </c>
      <c r="T7074">
        <v>-0.1805985</v>
      </c>
      <c r="U7074">
        <v>3.0502009999999999</v>
      </c>
      <c r="V7074">
        <v>-3.478208E-2</v>
      </c>
      <c r="W7074">
        <v>2.4886249999999999E-2</v>
      </c>
      <c r="X7074">
        <v>0.999085</v>
      </c>
      <c r="Y7074">
        <v>-0.24087549999999999</v>
      </c>
      <c r="Z7074">
        <v>-5.2285619999999998E-2</v>
      </c>
      <c r="AA7074">
        <v>0.96914670000000003</v>
      </c>
      <c r="AB7074">
        <v>26</v>
      </c>
      <c r="AC7074">
        <v>2.2073999999999998</v>
      </c>
      <c r="AD7074">
        <v>-1.1151087850869901</v>
      </c>
      <c r="AE7074">
        <v>18.609960000000001</v>
      </c>
      <c r="AF7074">
        <v>-4.5443281759464798</v>
      </c>
      <c r="AG7074">
        <v>-1.1151087850869901</v>
      </c>
      <c r="AH7074">
        <v>18.112937860719999</v>
      </c>
      <c r="AI7074">
        <v>93.417276911501503</v>
      </c>
      <c r="AJ7074">
        <v>104.08414728294299</v>
      </c>
      <c r="AK7074">
        <v>18.707562751988402</v>
      </c>
      <c r="AL7074">
        <v>88.573975654177602</v>
      </c>
      <c r="AM7074">
        <v>91.993886252894697</v>
      </c>
      <c r="AN7074">
        <v>0.999999977876594</v>
      </c>
    </row>
    <row r="7075" spans="1:40" x14ac:dyDescent="0.25">
      <c r="A7075" t="str">
        <f>"20190312155012832"</f>
        <v>20190312155012832</v>
      </c>
      <c r="B7075" t="str">
        <f>"1552377012822374"</f>
        <v>1552377012822374</v>
      </c>
      <c r="C7075" t="s">
        <v>40</v>
      </c>
      <c r="D7075">
        <v>4.9357480000000002</v>
      </c>
      <c r="E7075">
        <v>0.4195334</v>
      </c>
      <c r="F7075" t="s">
        <v>42</v>
      </c>
      <c r="G7075">
        <v>-187.43270000000001</v>
      </c>
      <c r="H7075" s="1">
        <v>-3.0328119999999999E-6</v>
      </c>
      <c r="I7075">
        <v>-14.3592</v>
      </c>
      <c r="J7075">
        <v>-189.5752</v>
      </c>
      <c r="K7075">
        <v>1.1152879999999901</v>
      </c>
      <c r="L7075">
        <v>-33.285130000000002</v>
      </c>
      <c r="M7075">
        <v>0.34860449999999998</v>
      </c>
      <c r="N7075">
        <v>0</v>
      </c>
      <c r="O7075">
        <v>0.93716529999999998</v>
      </c>
      <c r="P7075">
        <v>0.3170579</v>
      </c>
      <c r="Q7075">
        <v>1.355805E-2</v>
      </c>
      <c r="R7075">
        <v>0.94830919999999996</v>
      </c>
      <c r="S7075">
        <v>0.3547363</v>
      </c>
      <c r="T7075">
        <v>-0.1774299</v>
      </c>
      <c r="U7075">
        <v>3.0515439999999998</v>
      </c>
      <c r="V7075">
        <v>-3.3806820000000001E-2</v>
      </c>
      <c r="W7075">
        <v>2.711471E-2</v>
      </c>
      <c r="X7075">
        <v>0.99906050000000002</v>
      </c>
      <c r="Y7075">
        <v>-0.23823649999999999</v>
      </c>
      <c r="Z7075">
        <v>-5.1615750000000002E-2</v>
      </c>
      <c r="AA7075">
        <v>0.96983459999999999</v>
      </c>
      <c r="AB7075">
        <v>26</v>
      </c>
      <c r="AC7075">
        <v>2.1424999999999801</v>
      </c>
      <c r="AD7075">
        <v>-1.11529103281199</v>
      </c>
      <c r="AE7075">
        <v>18.925929999999902</v>
      </c>
      <c r="AF7075">
        <v>-4.5745529606620803</v>
      </c>
      <c r="AG7075">
        <v>-1.11529103281199</v>
      </c>
      <c r="AH7075">
        <v>18.4222578986871</v>
      </c>
      <c r="AI7075">
        <v>93.362606139461803</v>
      </c>
      <c r="AJ7075">
        <v>103.945430996646</v>
      </c>
      <c r="AK7075">
        <v>19.014468043137899</v>
      </c>
      <c r="AL7075">
        <v>88.446251119824595</v>
      </c>
      <c r="AM7075">
        <v>91.938070112025002</v>
      </c>
      <c r="AN7075">
        <v>0.999999995618573</v>
      </c>
    </row>
    <row r="7076" spans="1:40" x14ac:dyDescent="0.25">
      <c r="A7076" t="str">
        <f>"20190312155012851"</f>
        <v>20190312155012851</v>
      </c>
      <c r="B7076" t="str">
        <f>"1552377012842868"</f>
        <v>1552377012842868</v>
      </c>
      <c r="C7076" t="s">
        <v>40</v>
      </c>
      <c r="D7076">
        <v>4.8826299999999998</v>
      </c>
      <c r="E7076">
        <v>0.4193423</v>
      </c>
      <c r="F7076" t="s">
        <v>42</v>
      </c>
      <c r="G7076">
        <v>-187.42429999999999</v>
      </c>
      <c r="H7076" s="1">
        <v>-3.272463E-6</v>
      </c>
      <c r="I7076">
        <v>-13.80402</v>
      </c>
      <c r="J7076">
        <v>-189.49979999999999</v>
      </c>
      <c r="K7076">
        <v>1.1154500000000001</v>
      </c>
      <c r="L7076">
        <v>-33.06024</v>
      </c>
      <c r="M7076">
        <v>0.34190110000000001</v>
      </c>
      <c r="N7076">
        <v>0</v>
      </c>
      <c r="O7076">
        <v>0.93963059999999998</v>
      </c>
      <c r="P7076">
        <v>0.3114422</v>
      </c>
      <c r="Q7076">
        <v>1.404564E-2</v>
      </c>
      <c r="R7076">
        <v>0.95016129999999999</v>
      </c>
      <c r="S7076">
        <v>0.33711239999999998</v>
      </c>
      <c r="T7076">
        <v>-0.17480179999999901</v>
      </c>
      <c r="U7076">
        <v>3.0533139999999999</v>
      </c>
      <c r="V7076">
        <v>-3.2595789999999999E-2</v>
      </c>
      <c r="W7076">
        <v>2.7674310000000001E-2</v>
      </c>
      <c r="X7076">
        <v>0.99908540000000001</v>
      </c>
      <c r="Y7076">
        <v>-0.23688680000000001</v>
      </c>
      <c r="Z7076">
        <v>-5.105701E-2</v>
      </c>
      <c r="AA7076">
        <v>0.97019480000000002</v>
      </c>
      <c r="AB7076">
        <v>26</v>
      </c>
      <c r="AC7076">
        <v>2.0754999999999999</v>
      </c>
      <c r="AD7076">
        <v>-1.115453272463</v>
      </c>
      <c r="AE7076">
        <v>19.256219999999999</v>
      </c>
      <c r="AF7076">
        <v>-4.6186581609768904</v>
      </c>
      <c r="AG7076">
        <v>-1.115453272463</v>
      </c>
      <c r="AH7076">
        <v>18.743040323158901</v>
      </c>
      <c r="AI7076">
        <v>93.307123038133497</v>
      </c>
      <c r="AJ7076">
        <v>103.84302308124001</v>
      </c>
      <c r="AK7076">
        <v>19.335919935875001</v>
      </c>
      <c r="AL7076">
        <v>88.414176361977198</v>
      </c>
      <c r="AM7076">
        <v>91.868648040639997</v>
      </c>
      <c r="AN7076">
        <v>0.99999999472642997</v>
      </c>
    </row>
    <row r="7077" spans="1:40" x14ac:dyDescent="0.25">
      <c r="A7077" t="str">
        <f>"20190312155012874"</f>
        <v>20190312155012874</v>
      </c>
      <c r="B7077" t="str">
        <f>"1552377012862389"</f>
        <v>1552377012862389</v>
      </c>
      <c r="C7077" t="s">
        <v>40</v>
      </c>
      <c r="D7077">
        <v>4.9596</v>
      </c>
      <c r="E7077">
        <v>0.4189367</v>
      </c>
      <c r="F7077" t="s">
        <v>42</v>
      </c>
      <c r="G7077">
        <v>-187.4639</v>
      </c>
      <c r="H7077" s="1">
        <v>-3.4129809999999999E-6</v>
      </c>
      <c r="I7077">
        <v>-13.460129999999999</v>
      </c>
      <c r="J7077">
        <v>-189.4203</v>
      </c>
      <c r="K7077">
        <v>1.1156330000000001</v>
      </c>
      <c r="L7077">
        <v>-32.816160000000004</v>
      </c>
      <c r="M7077">
        <v>0.33436359999999998</v>
      </c>
      <c r="N7077">
        <v>0</v>
      </c>
      <c r="O7077">
        <v>0.94233800000000001</v>
      </c>
      <c r="P7077">
        <v>0.30524970000000001</v>
      </c>
      <c r="Q7077">
        <v>1.497796E-2</v>
      </c>
      <c r="R7077">
        <v>0.95215450000000001</v>
      </c>
      <c r="S7077">
        <v>0.31742859999999901</v>
      </c>
      <c r="T7077">
        <v>-0.1739117</v>
      </c>
      <c r="U7077">
        <v>3.0558779999999999</v>
      </c>
      <c r="V7077">
        <v>-3.11185E-2</v>
      </c>
      <c r="W7077">
        <v>2.8684319999999999E-2</v>
      </c>
      <c r="X7077">
        <v>0.99910399999999999</v>
      </c>
      <c r="Y7077">
        <v>-0.23537130000000001</v>
      </c>
      <c r="Z7077">
        <v>-5.1009430000000001E-2</v>
      </c>
      <c r="AA7077">
        <v>0.97056600000000004</v>
      </c>
      <c r="AB7077">
        <v>26</v>
      </c>
      <c r="AC7077">
        <v>1.9563999999999999</v>
      </c>
      <c r="AD7077">
        <v>-1.1156364129809999</v>
      </c>
      <c r="AE7077">
        <v>19.356030000000001</v>
      </c>
      <c r="AF7077">
        <v>-4.6136528713502001</v>
      </c>
      <c r="AG7077">
        <v>-1.1156364129809999</v>
      </c>
      <c r="AH7077">
        <v>18.834026168958601</v>
      </c>
      <c r="AI7077">
        <v>93.292829335580194</v>
      </c>
      <c r="AJ7077">
        <v>103.764338992837</v>
      </c>
      <c r="AK7077">
        <v>19.422949805740299</v>
      </c>
      <c r="AL7077">
        <v>88.356284029907101</v>
      </c>
      <c r="AM7077">
        <v>91.783980948428606</v>
      </c>
      <c r="AN7077">
        <v>0.99999997703605603</v>
      </c>
    </row>
    <row r="7078" spans="1:40" x14ac:dyDescent="0.25">
      <c r="A7078" t="str">
        <f>"20190312155012896"</f>
        <v>20190312155012896</v>
      </c>
      <c r="B7078" t="str">
        <f>"1552377012892645"</f>
        <v>1552377012892645</v>
      </c>
      <c r="C7078" t="s">
        <v>40</v>
      </c>
      <c r="D7078">
        <v>5.209136</v>
      </c>
      <c r="E7078">
        <v>0.41872949999999998</v>
      </c>
      <c r="F7078" t="s">
        <v>42</v>
      </c>
      <c r="G7078">
        <v>-187.46180000000001</v>
      </c>
      <c r="H7078" s="1">
        <v>-3.8458289999999998E-6</v>
      </c>
      <c r="I7078">
        <v>-12.45201</v>
      </c>
      <c r="J7078">
        <v>-189.3432</v>
      </c>
      <c r="K7078">
        <v>1.115823</v>
      </c>
      <c r="L7078">
        <v>-32.57199</v>
      </c>
      <c r="M7078">
        <v>0.3265535</v>
      </c>
      <c r="N7078">
        <v>0</v>
      </c>
      <c r="O7078">
        <v>0.94507189999999996</v>
      </c>
      <c r="P7078">
        <v>0.29965360000000002</v>
      </c>
      <c r="Q7078">
        <v>1.562564E-2</v>
      </c>
      <c r="R7078">
        <v>0.95392010000000005</v>
      </c>
      <c r="S7078">
        <v>0.29420469999999999</v>
      </c>
      <c r="T7078">
        <v>-0.16758809999999999</v>
      </c>
      <c r="U7078">
        <v>3.0590519999999999</v>
      </c>
      <c r="V7078">
        <v>-2.8735750000000001E-2</v>
      </c>
      <c r="W7078">
        <v>2.9419770000000001E-2</v>
      </c>
      <c r="X7078">
        <v>0.99915399999999999</v>
      </c>
      <c r="Y7078">
        <v>-0.2347187</v>
      </c>
      <c r="Z7078">
        <v>-4.9352149999999997E-2</v>
      </c>
      <c r="AA7078">
        <v>0.9708097</v>
      </c>
      <c r="AB7078">
        <v>26</v>
      </c>
      <c r="AC7078">
        <v>1.88139999999998</v>
      </c>
      <c r="AD7078">
        <v>-1.1158268458289999</v>
      </c>
      <c r="AE7078">
        <v>20.119980000000002</v>
      </c>
      <c r="AF7078">
        <v>-4.7781070446338498</v>
      </c>
      <c r="AG7078">
        <v>-1.1158268458289999</v>
      </c>
      <c r="AH7078">
        <v>19.571513933856501</v>
      </c>
      <c r="AI7078">
        <v>93.170151952273699</v>
      </c>
      <c r="AJ7078">
        <v>103.719579728578</v>
      </c>
      <c r="AK7078">
        <v>20.1772033280876</v>
      </c>
      <c r="AL7078">
        <v>88.314128076388897</v>
      </c>
      <c r="AM7078">
        <v>91.647377156442801</v>
      </c>
      <c r="AN7078">
        <v>0.999999990955457</v>
      </c>
    </row>
    <row r="7079" spans="1:40" x14ac:dyDescent="0.25">
      <c r="A7079" t="str">
        <f>"20190312155012918"</f>
        <v>20190312155012918</v>
      </c>
      <c r="B7079" t="str">
        <f>"1552377012913141"</f>
        <v>1552377012913141</v>
      </c>
      <c r="C7079" t="s">
        <v>40</v>
      </c>
      <c r="D7079">
        <v>5.0284750000000003</v>
      </c>
      <c r="E7079">
        <v>0.41867589999999999</v>
      </c>
      <c r="F7079" t="s">
        <v>42</v>
      </c>
      <c r="G7079">
        <v>-187.4828</v>
      </c>
      <c r="H7079" s="1">
        <v>-4.1125890000000001E-6</v>
      </c>
      <c r="I7079">
        <v>-11.8215</v>
      </c>
      <c r="J7079">
        <v>-189.26650000000001</v>
      </c>
      <c r="K7079">
        <v>1.1160209999999999</v>
      </c>
      <c r="L7079">
        <v>-32.320680000000003</v>
      </c>
      <c r="M7079">
        <v>0.3182372</v>
      </c>
      <c r="N7079">
        <v>0</v>
      </c>
      <c r="O7079">
        <v>0.94790370000000002</v>
      </c>
      <c r="P7079">
        <v>0.29285480000000003</v>
      </c>
      <c r="Q7079">
        <v>1.5181439999999999E-2</v>
      </c>
      <c r="R7079">
        <v>0.95603640000000001</v>
      </c>
      <c r="S7079">
        <v>0.27447510000000003</v>
      </c>
      <c r="T7079">
        <v>-0.1646224</v>
      </c>
      <c r="U7079">
        <v>3.061401</v>
      </c>
      <c r="V7079">
        <v>-2.7080389999999999E-2</v>
      </c>
      <c r="W7079">
        <v>2.9053240000000001E-2</v>
      </c>
      <c r="X7079">
        <v>0.99921099999999996</v>
      </c>
      <c r="Y7079">
        <v>-0.2324483</v>
      </c>
      <c r="Z7079">
        <v>-4.8697589999999999E-2</v>
      </c>
      <c r="AA7079">
        <v>0.9713889</v>
      </c>
      <c r="AB7079">
        <v>26</v>
      </c>
      <c r="AC7079">
        <v>1.7837000000000101</v>
      </c>
      <c r="AD7079">
        <v>-1.1160251125889999</v>
      </c>
      <c r="AE7079">
        <v>20.499179999999999</v>
      </c>
      <c r="AF7079">
        <v>-4.8191415235143698</v>
      </c>
      <c r="AG7079">
        <v>-1.1160251125889999</v>
      </c>
      <c r="AH7079">
        <v>19.942260806346798</v>
      </c>
      <c r="AI7079">
        <v>93.113652133569701</v>
      </c>
      <c r="AJ7079">
        <v>103.58534467893701</v>
      </c>
      <c r="AK7079">
        <v>20.546615369543101</v>
      </c>
      <c r="AL7079">
        <v>88.335137745591396</v>
      </c>
      <c r="AM7079">
        <v>91.552437210237997</v>
      </c>
      <c r="AN7079">
        <v>1.00000003039902</v>
      </c>
    </row>
    <row r="7080" spans="1:40" x14ac:dyDescent="0.25">
      <c r="A7080" t="str">
        <f>"20190312155012943"</f>
        <v>20190312155012943</v>
      </c>
      <c r="B7080" t="str">
        <f>"1552377012932661"</f>
        <v>1552377012932661</v>
      </c>
      <c r="C7080" t="s">
        <v>40</v>
      </c>
      <c r="D7080">
        <v>5.1204599999999996</v>
      </c>
      <c r="E7080">
        <v>0.41843770000000002</v>
      </c>
      <c r="F7080" t="s">
        <v>42</v>
      </c>
      <c r="G7080">
        <v>-187.56909999999999</v>
      </c>
      <c r="H7080" s="1">
        <v>-4.1503860000000001E-6</v>
      </c>
      <c r="I7080">
        <v>-11.69772</v>
      </c>
      <c r="J7080">
        <v>-189.1891</v>
      </c>
      <c r="K7080">
        <v>1.1162350000000001</v>
      </c>
      <c r="L7080">
        <v>-32.057920000000003</v>
      </c>
      <c r="M7080">
        <v>0.30924220000000002</v>
      </c>
      <c r="N7080">
        <v>0</v>
      </c>
      <c r="O7080">
        <v>0.95087520000000003</v>
      </c>
      <c r="P7080">
        <v>0.28515190000000001</v>
      </c>
      <c r="Q7080">
        <v>1.52678E-2</v>
      </c>
      <c r="R7080">
        <v>0.95836069999999995</v>
      </c>
      <c r="S7080">
        <v>0.25213619999999998</v>
      </c>
      <c r="T7080">
        <v>-0.16577539999999999</v>
      </c>
      <c r="U7080">
        <v>3.0633539999999999</v>
      </c>
      <c r="V7080">
        <v>-2.5670399999999999E-2</v>
      </c>
      <c r="W7080">
        <v>2.9213389999999999E-2</v>
      </c>
      <c r="X7080">
        <v>0.99924349999999995</v>
      </c>
      <c r="Y7080">
        <v>-0.230322</v>
      </c>
      <c r="Z7080">
        <v>-4.9272690000000001E-2</v>
      </c>
      <c r="AA7080">
        <v>0.97186629999999996</v>
      </c>
      <c r="AB7080">
        <v>26</v>
      </c>
      <c r="AC7080">
        <v>1.62</v>
      </c>
      <c r="AD7080">
        <v>-1.1162391503860001</v>
      </c>
      <c r="AE7080">
        <v>20.360199999999999</v>
      </c>
      <c r="AF7080">
        <v>-4.7421402894290701</v>
      </c>
      <c r="AG7080">
        <v>-1.1162391503860001</v>
      </c>
      <c r="AH7080">
        <v>19.8038731109121</v>
      </c>
      <c r="AI7080">
        <v>93.137532671597</v>
      </c>
      <c r="AJ7080">
        <v>103.466214646635</v>
      </c>
      <c r="AK7080">
        <v>20.394295147383399</v>
      </c>
      <c r="AL7080">
        <v>88.325957849117998</v>
      </c>
      <c r="AM7080">
        <v>91.471595407064299</v>
      </c>
      <c r="AN7080">
        <v>0.99999998194185002</v>
      </c>
    </row>
    <row r="7081" spans="1:40" x14ac:dyDescent="0.25">
      <c r="A7081" t="str">
        <f>"20190312155012966"</f>
        <v>20190312155012966</v>
      </c>
      <c r="B7081" t="str">
        <f>"1552377012962917"</f>
        <v>1552377012962917</v>
      </c>
      <c r="C7081" t="s">
        <v>40</v>
      </c>
      <c r="D7081">
        <v>4.6122360000000002</v>
      </c>
      <c r="E7081">
        <v>0.41781249999999998</v>
      </c>
      <c r="F7081" t="s">
        <v>42</v>
      </c>
      <c r="G7081">
        <v>-187.66149999999999</v>
      </c>
      <c r="H7081" s="1">
        <v>-4.3103780000000001E-6</v>
      </c>
      <c r="I7081">
        <v>-11.28656</v>
      </c>
      <c r="J7081">
        <v>-189.11709999999999</v>
      </c>
      <c r="K7081">
        <v>1.1164350000000001</v>
      </c>
      <c r="L7081">
        <v>-31.803159999999998</v>
      </c>
      <c r="M7081">
        <v>0.30021870000000001</v>
      </c>
      <c r="N7081">
        <v>0</v>
      </c>
      <c r="O7081">
        <v>0.95376170000000005</v>
      </c>
      <c r="P7081">
        <v>0.27750829999999999</v>
      </c>
      <c r="Q7081">
        <v>1.408882E-2</v>
      </c>
      <c r="R7081">
        <v>0.96061989999999997</v>
      </c>
      <c r="S7081">
        <v>0.22547909999999999</v>
      </c>
      <c r="T7081">
        <v>-0.16475879999999901</v>
      </c>
      <c r="U7081">
        <v>3.065887</v>
      </c>
      <c r="V7081">
        <v>-2.4164519999999998E-2</v>
      </c>
      <c r="W7081">
        <v>2.8106630000000001E-2</v>
      </c>
      <c r="X7081">
        <v>0.9993128</v>
      </c>
      <c r="Y7081">
        <v>-0.22956599999999999</v>
      </c>
      <c r="Z7081">
        <v>-4.9181229999999999E-2</v>
      </c>
      <c r="AA7081">
        <v>0.97204970000000002</v>
      </c>
      <c r="AB7081">
        <v>26</v>
      </c>
      <c r="AC7081">
        <v>1.4556</v>
      </c>
      <c r="AD7081">
        <v>-1.1164393103779999</v>
      </c>
      <c r="AE7081">
        <v>20.5166</v>
      </c>
      <c r="AF7081">
        <v>-4.7576486595306999</v>
      </c>
      <c r="AG7081">
        <v>-1.1164393103779999</v>
      </c>
      <c r="AH7081">
        <v>19.948246207185399</v>
      </c>
      <c r="AI7081">
        <v>93.116099240135298</v>
      </c>
      <c r="AJ7081">
        <v>103.41442083321201</v>
      </c>
      <c r="AK7081">
        <v>20.5381154014622</v>
      </c>
      <c r="AL7081">
        <v>88.389396602079401</v>
      </c>
      <c r="AM7081">
        <v>91.385207162387601</v>
      </c>
      <c r="AN7081">
        <v>0.99999998946031299</v>
      </c>
    </row>
    <row r="7082" spans="1:40" x14ac:dyDescent="0.25">
      <c r="A7082" t="str">
        <f>"20190312155013210"</f>
        <v>20190312155013210</v>
      </c>
      <c r="B7082" t="str">
        <f>"1552377013203013"</f>
        <v>1552377013203013</v>
      </c>
      <c r="C7082" t="s">
        <v>40</v>
      </c>
      <c r="D7082">
        <v>4.8752469999999999</v>
      </c>
      <c r="E7082">
        <v>0.41827259999999999</v>
      </c>
      <c r="F7082" t="s">
        <v>42</v>
      </c>
      <c r="G7082">
        <v>-187.80350000000001</v>
      </c>
      <c r="H7082" s="1">
        <v>-4.2849950000000001E-6</v>
      </c>
      <c r="I7082">
        <v>-11.28703</v>
      </c>
      <c r="J7082">
        <v>-188.53200000000001</v>
      </c>
      <c r="K7082">
        <v>1.1169150000000001</v>
      </c>
      <c r="L7082">
        <v>-29.097930000000002</v>
      </c>
      <c r="M7082">
        <v>0.19522220000000001</v>
      </c>
      <c r="N7082">
        <v>0</v>
      </c>
      <c r="O7082">
        <v>0.98064879999999999</v>
      </c>
      <c r="P7082">
        <v>0.16920679999999999</v>
      </c>
      <c r="Q7082">
        <v>1.9412800000000001E-2</v>
      </c>
      <c r="R7082">
        <v>0.98538939999999997</v>
      </c>
      <c r="S7082">
        <v>0.19648740000000001</v>
      </c>
      <c r="T7082">
        <v>-0.16698940000000001</v>
      </c>
      <c r="U7082">
        <v>3.0686650000000002</v>
      </c>
      <c r="V7082">
        <v>-2.7005020000000001E-2</v>
      </c>
      <c r="W7082">
        <v>3.3662459999999998E-2</v>
      </c>
      <c r="X7082">
        <v>0.99906839999999997</v>
      </c>
      <c r="Y7082">
        <v>-0.13226309999999999</v>
      </c>
      <c r="Z7082">
        <v>-5.2480659999999998E-2</v>
      </c>
      <c r="AA7082">
        <v>0.98982440000000005</v>
      </c>
      <c r="AB7082">
        <v>26</v>
      </c>
      <c r="AC7082">
        <v>0.72849999999999604</v>
      </c>
      <c r="AD7082">
        <v>-1.11691928499499</v>
      </c>
      <c r="AE7082">
        <v>17.810899999999901</v>
      </c>
      <c r="AF7082">
        <v>-2.7521742315297901</v>
      </c>
      <c r="AG7082">
        <v>-1.11691928499499</v>
      </c>
      <c r="AH7082">
        <v>17.541493868905501</v>
      </c>
      <c r="AI7082">
        <v>93.599361212517394</v>
      </c>
      <c r="AJ7082">
        <v>98.916735580798004</v>
      </c>
      <c r="AK7082">
        <v>17.7911769943065</v>
      </c>
      <c r="AL7082">
        <v>88.070918766922901</v>
      </c>
      <c r="AM7082">
        <v>91.548339440689304</v>
      </c>
      <c r="AN7082">
        <v>1.0000000500985</v>
      </c>
    </row>
    <row r="7083" spans="1:40" x14ac:dyDescent="0.25">
      <c r="A7083" t="str">
        <f>"20190312155013232"</f>
        <v>20190312155013232</v>
      </c>
      <c r="B7083" t="str">
        <f>"1552377013222533"</f>
        <v>1552377013222533</v>
      </c>
      <c r="C7083" t="s">
        <v>40</v>
      </c>
      <c r="D7083">
        <v>4.9212680000000004</v>
      </c>
      <c r="E7083">
        <v>0.4186744</v>
      </c>
      <c r="F7083" t="s">
        <v>42</v>
      </c>
      <c r="G7083">
        <v>-189.565</v>
      </c>
      <c r="H7083" s="1">
        <v>-1.721095E-6</v>
      </c>
      <c r="I7083">
        <v>-6.5351720000000002</v>
      </c>
      <c r="J7083">
        <v>-188.4948</v>
      </c>
      <c r="K7083">
        <v>1.1168469999999999</v>
      </c>
      <c r="L7083">
        <v>-28.8569</v>
      </c>
      <c r="M7083">
        <v>0.18592220000000001</v>
      </c>
      <c r="N7083">
        <v>0</v>
      </c>
      <c r="O7083">
        <v>0.98245450000000001</v>
      </c>
      <c r="P7083">
        <v>0.1588533</v>
      </c>
      <c r="Q7083">
        <v>2.2707060000000001E-2</v>
      </c>
      <c r="R7083">
        <v>0.9870411</v>
      </c>
      <c r="S7083">
        <v>-0.140625</v>
      </c>
      <c r="T7083">
        <v>-0.15205360000000001</v>
      </c>
      <c r="U7083">
        <v>3.071625</v>
      </c>
      <c r="V7083">
        <v>-2.8061249999999999E-2</v>
      </c>
      <c r="W7083">
        <v>3.6941059999999998E-2</v>
      </c>
      <c r="X7083">
        <v>0.99892340000000002</v>
      </c>
      <c r="Y7083">
        <v>-0.23062869999999999</v>
      </c>
      <c r="Z7083">
        <v>-4.7456079999999998E-2</v>
      </c>
      <c r="AA7083">
        <v>0.97188390000000002</v>
      </c>
      <c r="AB7083">
        <v>26</v>
      </c>
      <c r="AC7083">
        <v>-1.07019999999999</v>
      </c>
      <c r="AD7083">
        <v>-1.116848721095</v>
      </c>
      <c r="AE7083">
        <v>22.321728</v>
      </c>
      <c r="AF7083">
        <v>-5.18912891847613</v>
      </c>
      <c r="AG7083">
        <v>-1.116848721095</v>
      </c>
      <c r="AH7083">
        <v>21.679308644089001</v>
      </c>
      <c r="AI7083">
        <v>92.868210242438195</v>
      </c>
      <c r="AJ7083">
        <v>103.460980081188</v>
      </c>
      <c r="AK7083">
        <v>22.319651280520699</v>
      </c>
      <c r="AL7083">
        <v>87.882951519550005</v>
      </c>
      <c r="AM7083">
        <v>91.609100831122802</v>
      </c>
      <c r="AN7083">
        <v>1.00000001736652</v>
      </c>
    </row>
    <row r="7084" spans="1:40" x14ac:dyDescent="0.25">
      <c r="A7084" t="str">
        <f>"20190312155013254"</f>
        <v>20190312155013254</v>
      </c>
      <c r="B7084" t="str">
        <f>"1552377013243029"</f>
        <v>1552377013243029</v>
      </c>
      <c r="C7084" t="s">
        <v>40</v>
      </c>
      <c r="D7084">
        <v>4.846209</v>
      </c>
      <c r="E7084">
        <v>0.4192767</v>
      </c>
      <c r="F7084" t="s">
        <v>42</v>
      </c>
      <c r="G7084">
        <v>-189.82849999999999</v>
      </c>
      <c r="H7084" s="1">
        <v>-2.4864360000000002E-6</v>
      </c>
      <c r="I7084">
        <v>-4.6421830000000002</v>
      </c>
      <c r="J7084">
        <v>-188.458</v>
      </c>
      <c r="K7084">
        <v>1.116754</v>
      </c>
      <c r="L7084">
        <v>-28.603000000000002</v>
      </c>
      <c r="M7084">
        <v>0.17624310000000001</v>
      </c>
      <c r="N7084">
        <v>0</v>
      </c>
      <c r="O7084">
        <v>0.98423700000000003</v>
      </c>
      <c r="P7084">
        <v>0.1481566</v>
      </c>
      <c r="Q7084">
        <v>2.3774440000000001E-2</v>
      </c>
      <c r="R7084">
        <v>0.9886781</v>
      </c>
      <c r="S7084">
        <v>-0.1690826</v>
      </c>
      <c r="T7084">
        <v>-0.1415901</v>
      </c>
      <c r="U7084">
        <v>3.069855</v>
      </c>
      <c r="V7084">
        <v>-2.9049889999999998E-2</v>
      </c>
      <c r="W7084">
        <v>3.7992690000000003E-2</v>
      </c>
      <c r="X7084">
        <v>0.99885570000000001</v>
      </c>
      <c r="Y7084">
        <v>-0.230072</v>
      </c>
      <c r="Z7084">
        <v>-4.433869E-2</v>
      </c>
      <c r="AA7084">
        <v>0.972163</v>
      </c>
      <c r="AB7084">
        <v>26</v>
      </c>
      <c r="AC7084">
        <v>-1.3704999999999901</v>
      </c>
      <c r="AD7084">
        <v>-1.116756486436</v>
      </c>
      <c r="AE7084">
        <v>23.960816999999999</v>
      </c>
      <c r="AF7084">
        <v>-5.5603877701423903</v>
      </c>
      <c r="AG7084">
        <v>-1.116756486436</v>
      </c>
      <c r="AH7084">
        <v>23.293666454272</v>
      </c>
      <c r="AI7084">
        <v>92.669900334240296</v>
      </c>
      <c r="AJ7084">
        <v>103.425725857505</v>
      </c>
      <c r="AK7084">
        <v>23.9741517907771</v>
      </c>
      <c r="AL7084">
        <v>87.822655238021198</v>
      </c>
      <c r="AM7084">
        <v>91.665873312076798</v>
      </c>
      <c r="AN7084">
        <v>1.0000000250124601</v>
      </c>
    </row>
    <row r="7085" spans="1:40" x14ac:dyDescent="0.25">
      <c r="A7085" t="str">
        <f>"20190312155013277"</f>
        <v>20190312155013277</v>
      </c>
      <c r="B7085" t="str">
        <f>"1552377013272309"</f>
        <v>1552377013272309</v>
      </c>
      <c r="C7085" t="s">
        <v>40</v>
      </c>
      <c r="D7085">
        <v>4.9064220000000001</v>
      </c>
      <c r="E7085">
        <v>0.42046499999999998</v>
      </c>
      <c r="F7085" t="s">
        <v>42</v>
      </c>
      <c r="G7085">
        <v>-190.05510000000001</v>
      </c>
      <c r="H7085" s="1">
        <v>-2.8612330000000001E-6</v>
      </c>
      <c r="I7085">
        <v>-3.7754599999999998</v>
      </c>
      <c r="J7085">
        <v>-188.42519999999999</v>
      </c>
      <c r="K7085">
        <v>1.1166499999999999</v>
      </c>
      <c r="L7085">
        <v>-28.36176</v>
      </c>
      <c r="M7085">
        <v>0.16717750000000001</v>
      </c>
      <c r="N7085">
        <v>0</v>
      </c>
      <c r="O7085">
        <v>0.98581739999999995</v>
      </c>
      <c r="P7085">
        <v>0.1384301</v>
      </c>
      <c r="Q7085">
        <v>2.2756419999999999E-2</v>
      </c>
      <c r="R7085">
        <v>0.99011079999999996</v>
      </c>
      <c r="S7085">
        <v>-0.1973114</v>
      </c>
      <c r="T7085">
        <v>-0.1379658</v>
      </c>
      <c r="U7085">
        <v>3.0672299999999999</v>
      </c>
      <c r="V7085">
        <v>-2.9654960000000001E-2</v>
      </c>
      <c r="W7085">
        <v>3.6963450000000002E-2</v>
      </c>
      <c r="X7085">
        <v>0.99887649999999994</v>
      </c>
      <c r="Y7085">
        <v>-0.2300798</v>
      </c>
      <c r="Z7085">
        <v>-4.3337390000000003E-2</v>
      </c>
      <c r="AA7085">
        <v>0.97220640000000003</v>
      </c>
      <c r="AB7085">
        <v>25</v>
      </c>
      <c r="AC7085">
        <v>-1.6299000000000201</v>
      </c>
      <c r="AD7085">
        <v>-1.116652861233</v>
      </c>
      <c r="AE7085">
        <v>24.586300000000001</v>
      </c>
      <c r="AF7085">
        <v>-5.7059581824371097</v>
      </c>
      <c r="AG7085">
        <v>-1.116652861233</v>
      </c>
      <c r="AH7085">
        <v>23.918582675882501</v>
      </c>
      <c r="AI7085">
        <v>92.600088719107504</v>
      </c>
      <c r="AJ7085">
        <v>103.41756192376199</v>
      </c>
      <c r="AK7085">
        <v>24.6151065326812</v>
      </c>
      <c r="AL7085">
        <v>87.881667727600203</v>
      </c>
      <c r="AM7085">
        <v>91.7005156482616</v>
      </c>
      <c r="AN7085">
        <v>0.99999998777037602</v>
      </c>
    </row>
    <row r="7086" spans="1:40" x14ac:dyDescent="0.25">
      <c r="A7086" t="str">
        <f>"20190312155013300"</f>
        <v>20190312155013300</v>
      </c>
      <c r="B7086" t="str">
        <f>"1552377013292805"</f>
        <v>1552377013292805</v>
      </c>
      <c r="C7086" t="s">
        <v>40</v>
      </c>
      <c r="D7086">
        <v>4.875909</v>
      </c>
      <c r="E7086">
        <v>0.42134339999999998</v>
      </c>
      <c r="F7086" t="s">
        <v>42</v>
      </c>
      <c r="G7086">
        <v>-190.15350000000001</v>
      </c>
      <c r="H7086" s="1">
        <v>-2.7495960000000002E-6</v>
      </c>
      <c r="I7086">
        <v>-4.0967159999999998</v>
      </c>
      <c r="J7086">
        <v>-188.392</v>
      </c>
      <c r="K7086">
        <v>1.116528</v>
      </c>
      <c r="L7086">
        <v>-28.09995</v>
      </c>
      <c r="M7086">
        <v>0.15749560000000001</v>
      </c>
      <c r="N7086">
        <v>0</v>
      </c>
      <c r="O7086">
        <v>0.98741069999999997</v>
      </c>
      <c r="P7086">
        <v>0.12864200000000001</v>
      </c>
      <c r="Q7086">
        <v>2.277742E-2</v>
      </c>
      <c r="R7086">
        <v>0.99142949999999996</v>
      </c>
      <c r="S7086">
        <v>-0.21821589999999999</v>
      </c>
      <c r="T7086">
        <v>-0.14098929999999901</v>
      </c>
      <c r="U7086">
        <v>3.0637210000000001</v>
      </c>
      <c r="V7086">
        <v>-2.9708769999999999E-2</v>
      </c>
      <c r="W7086">
        <v>3.6978700000000003E-2</v>
      </c>
      <c r="X7086">
        <v>0.99887440000000005</v>
      </c>
      <c r="Y7086">
        <v>-0.22720019999999999</v>
      </c>
      <c r="Z7086">
        <v>-4.445081E-2</v>
      </c>
      <c r="AA7086">
        <v>0.97283310000000001</v>
      </c>
      <c r="AB7086">
        <v>25</v>
      </c>
      <c r="AC7086">
        <v>-1.7615000000000101</v>
      </c>
      <c r="AD7086">
        <v>-1.116530749596</v>
      </c>
      <c r="AE7086">
        <v>24.003233999999999</v>
      </c>
      <c r="AF7086">
        <v>-5.5084668759841096</v>
      </c>
      <c r="AG7086">
        <v>-1.116530749596</v>
      </c>
      <c r="AH7086">
        <v>23.375834986901101</v>
      </c>
      <c r="AI7086">
        <v>92.661817684184996</v>
      </c>
      <c r="AJ7086">
        <v>103.259726324976</v>
      </c>
      <c r="AK7086">
        <v>24.042036302556301</v>
      </c>
      <c r="AL7086">
        <v>87.880793503501096</v>
      </c>
      <c r="AM7086">
        <v>91.703603058368799</v>
      </c>
      <c r="AN7086">
        <v>1.00000005112198</v>
      </c>
    </row>
    <row r="7087" spans="1:40" x14ac:dyDescent="0.25">
      <c r="A7087" t="str">
        <f>"20190312155013323"</f>
        <v>20190312155013323</v>
      </c>
      <c r="B7087" t="str">
        <f>"1552377013312325"</f>
        <v>1552377013312325</v>
      </c>
      <c r="C7087" t="s">
        <v>40</v>
      </c>
      <c r="D7087">
        <v>5.1742220000000003</v>
      </c>
      <c r="E7087">
        <v>0.4222651</v>
      </c>
      <c r="F7087" t="s">
        <v>42</v>
      </c>
      <c r="G7087">
        <v>-190.3073</v>
      </c>
      <c r="H7087" s="1">
        <v>-2.8950970000000002E-6</v>
      </c>
      <c r="I7087">
        <v>-3.8529599999999999</v>
      </c>
      <c r="J7087">
        <v>-188.36250000000001</v>
      </c>
      <c r="K7087">
        <v>1.116395</v>
      </c>
      <c r="L7087">
        <v>-27.849550000000001</v>
      </c>
      <c r="M7087">
        <v>0.14840519999999999</v>
      </c>
      <c r="N7087">
        <v>0</v>
      </c>
      <c r="O7087">
        <v>0.98881799999999997</v>
      </c>
      <c r="P7087">
        <v>0.11923010000000001</v>
      </c>
      <c r="Q7087">
        <v>2.3320730000000001E-2</v>
      </c>
      <c r="R7087">
        <v>0.99259280000000005</v>
      </c>
      <c r="S7087">
        <v>-0.24176030000000001</v>
      </c>
      <c r="T7087">
        <v>-0.1409328</v>
      </c>
      <c r="U7087">
        <v>3.0605470000000001</v>
      </c>
      <c r="V7087">
        <v>-2.9990139999999998E-2</v>
      </c>
      <c r="W7087">
        <v>3.7510479999999999E-2</v>
      </c>
      <c r="X7087">
        <v>0.99884609999999996</v>
      </c>
      <c r="Y7087">
        <v>-0.22575419999999999</v>
      </c>
      <c r="Z7087">
        <v>-4.457088E-2</v>
      </c>
      <c r="AA7087">
        <v>0.97316409999999998</v>
      </c>
      <c r="AB7087">
        <v>25</v>
      </c>
      <c r="AC7087">
        <v>-1.9447999999999801</v>
      </c>
      <c r="AD7087">
        <v>-1.1163978950969999</v>
      </c>
      <c r="AE7087">
        <v>23.996589999999902</v>
      </c>
      <c r="AF7087">
        <v>-5.4730925530094696</v>
      </c>
      <c r="AG7087">
        <v>-1.1163978950969999</v>
      </c>
      <c r="AH7087">
        <v>23.391861085540199</v>
      </c>
      <c r="AI7087">
        <v>92.660670000312194</v>
      </c>
      <c r="AJ7087">
        <v>103.16884172025</v>
      </c>
      <c r="AK7087">
        <v>24.049537446678499</v>
      </c>
      <c r="AL7087">
        <v>87.850303464895006</v>
      </c>
      <c r="AM7087">
        <v>91.7197768339297</v>
      </c>
      <c r="AN7087">
        <v>0.999999988046129</v>
      </c>
    </row>
    <row r="7088" spans="1:40" x14ac:dyDescent="0.25">
      <c r="A7088" t="str">
        <f>"20190312155013346"</f>
        <v>20190312155013346</v>
      </c>
      <c r="B7088" t="str">
        <f>"1552377013342581"</f>
        <v>1552377013342581</v>
      </c>
      <c r="C7088" t="s">
        <v>40</v>
      </c>
      <c r="D7088">
        <v>4.9420400000000004</v>
      </c>
      <c r="E7088">
        <v>0.45781149999999998</v>
      </c>
      <c r="F7088" t="s">
        <v>42</v>
      </c>
      <c r="G7088">
        <v>-190.4753</v>
      </c>
      <c r="H7088" s="1">
        <v>-3.1660120000000002E-6</v>
      </c>
      <c r="I7088">
        <v>-3.3256220000000001</v>
      </c>
      <c r="J7088">
        <v>-188.33449999999999</v>
      </c>
      <c r="K7088">
        <v>1.1162459999999901</v>
      </c>
      <c r="L7088">
        <v>-27.593109999999999</v>
      </c>
      <c r="M7088">
        <v>0.13929559999999999</v>
      </c>
      <c r="N7088">
        <v>0</v>
      </c>
      <c r="O7088">
        <v>0.99014259999999998</v>
      </c>
      <c r="P7088">
        <v>0.1100076</v>
      </c>
      <c r="Q7088">
        <v>2.4289979999999999E-2</v>
      </c>
      <c r="R7088">
        <v>0.99363389999999996</v>
      </c>
      <c r="S7088">
        <v>-0.2633972</v>
      </c>
      <c r="T7088">
        <v>-0.13917739999999901</v>
      </c>
      <c r="U7088">
        <v>3.057312</v>
      </c>
      <c r="V7088">
        <v>-3.0067159999999999E-2</v>
      </c>
      <c r="W7088">
        <v>3.8469179999999999E-2</v>
      </c>
      <c r="X7088">
        <v>0.99880729999999995</v>
      </c>
      <c r="Y7088">
        <v>-0.2237083</v>
      </c>
      <c r="Z7088">
        <v>-4.4151419999999997E-2</v>
      </c>
      <c r="AA7088">
        <v>0.97365559999999995</v>
      </c>
      <c r="AB7088">
        <v>25</v>
      </c>
      <c r="AC7088">
        <v>-2.1408000000000098</v>
      </c>
      <c r="AD7088">
        <v>-1.11624916601199</v>
      </c>
      <c r="AE7088">
        <v>24.267488</v>
      </c>
      <c r="AF7088">
        <v>-5.4891170523139898</v>
      </c>
      <c r="AG7088">
        <v>-1.11624916601199</v>
      </c>
      <c r="AH7088">
        <v>23.6828924325741</v>
      </c>
      <c r="AI7088">
        <v>92.628945075530496</v>
      </c>
      <c r="AJ7088">
        <v>103.049351018124</v>
      </c>
      <c r="AK7088">
        <v>24.3363064614888</v>
      </c>
      <c r="AL7088">
        <v>87.795334271574106</v>
      </c>
      <c r="AM7088">
        <v>91.724257801457895</v>
      </c>
      <c r="AN7088">
        <v>0.99999996722681295</v>
      </c>
    </row>
    <row r="7089" spans="1:40" x14ac:dyDescent="0.25">
      <c r="A7089" t="str">
        <f>"20190312155013369"</f>
        <v>20190312155013369</v>
      </c>
      <c r="B7089" t="str">
        <f>"1552377013363077"</f>
        <v>1552377013363077</v>
      </c>
      <c r="C7089" t="s">
        <v>40</v>
      </c>
      <c r="D7089">
        <v>4.9848150000000002</v>
      </c>
      <c r="E7089">
        <v>0.45792100000000002</v>
      </c>
      <c r="F7089" t="s">
        <v>42</v>
      </c>
      <c r="G7089">
        <v>-188.42330000000001</v>
      </c>
      <c r="H7089" s="1">
        <v>-1.015254E-6</v>
      </c>
      <c r="I7089">
        <v>1.347426</v>
      </c>
      <c r="J7089">
        <v>-188.3081</v>
      </c>
      <c r="K7089">
        <v>1.1160890000000001</v>
      </c>
      <c r="L7089">
        <v>-27.32986</v>
      </c>
      <c r="M7089">
        <v>0.13018560000000001</v>
      </c>
      <c r="N7089">
        <v>0</v>
      </c>
      <c r="O7089">
        <v>0.99138190000000004</v>
      </c>
      <c r="P7089">
        <v>0.101074</v>
      </c>
      <c r="Q7089">
        <v>2.8669610000000002E-2</v>
      </c>
      <c r="R7089">
        <v>0.99446570000000001</v>
      </c>
      <c r="S7089">
        <v>-9.2773439999999999E-3</v>
      </c>
      <c r="T7089">
        <v>-0.1166022</v>
      </c>
      <c r="U7089">
        <v>3.0231020000000002</v>
      </c>
      <c r="V7089">
        <v>-2.9890860000000002E-2</v>
      </c>
      <c r="W7089">
        <v>4.2837689999999998E-2</v>
      </c>
      <c r="X7089">
        <v>0.99863480000000004</v>
      </c>
      <c r="Y7089">
        <v>-0.13323889999999999</v>
      </c>
      <c r="Z7089">
        <v>-3.7877790000000001E-2</v>
      </c>
      <c r="AA7089">
        <v>0.99035980000000001</v>
      </c>
      <c r="AB7089">
        <v>25</v>
      </c>
      <c r="AC7089">
        <v>-0.115200000000015</v>
      </c>
      <c r="AD7089">
        <v>-1.1160900152540001</v>
      </c>
      <c r="AE7089">
        <v>28.677285999999899</v>
      </c>
      <c r="AF7089">
        <v>-3.8421683579428301</v>
      </c>
      <c r="AG7089">
        <v>-1.1160900152540001</v>
      </c>
      <c r="AH7089">
        <v>28.375201861198398</v>
      </c>
      <c r="AI7089">
        <v>92.232121470861998</v>
      </c>
      <c r="AJ7089">
        <v>97.711283884025903</v>
      </c>
      <c r="AK7089">
        <v>28.655889364608498</v>
      </c>
      <c r="AL7089">
        <v>87.544829861377593</v>
      </c>
      <c r="AM7089">
        <v>91.714449515206098</v>
      </c>
      <c r="AN7089">
        <v>0.99999999748355795</v>
      </c>
    </row>
    <row r="7090" spans="1:40" x14ac:dyDescent="0.25">
      <c r="A7090" t="str">
        <f>"20190312155013392"</f>
        <v>20190312155013392</v>
      </c>
      <c r="B7090" t="str">
        <f>"1552377013383105"</f>
        <v>1552377013383105</v>
      </c>
      <c r="C7090" t="s">
        <v>40</v>
      </c>
      <c r="D7090">
        <v>4.9564620000000001</v>
      </c>
      <c r="E7090">
        <v>0.45931090000000002</v>
      </c>
      <c r="F7090" t="s">
        <v>42</v>
      </c>
      <c r="G7090">
        <v>-188.63210000000001</v>
      </c>
      <c r="H7090" s="1">
        <v>-4.5094319999999996E-6</v>
      </c>
      <c r="I7090">
        <v>-0.42122749999999998</v>
      </c>
      <c r="J7090">
        <v>-188.28540000000001</v>
      </c>
      <c r="K7090">
        <v>1.115942</v>
      </c>
      <c r="L7090">
        <v>-27.083469999999998</v>
      </c>
      <c r="M7090">
        <v>0.1218378</v>
      </c>
      <c r="N7090">
        <v>0</v>
      </c>
      <c r="O7090">
        <v>0.99244279999999996</v>
      </c>
      <c r="P7090">
        <v>9.3605930000000004E-2</v>
      </c>
      <c r="Q7090">
        <v>2.9111060000000001E-2</v>
      </c>
      <c r="R7090">
        <v>0.99518359999999995</v>
      </c>
      <c r="S7090">
        <v>-3.6407469999999997E-2</v>
      </c>
      <c r="T7090">
        <v>-0.1254276</v>
      </c>
      <c r="U7090">
        <v>3.0240170000000002</v>
      </c>
      <c r="V7090">
        <v>-2.8970780000000002E-2</v>
      </c>
      <c r="W7090">
        <v>4.3279779999999997E-2</v>
      </c>
      <c r="X7090">
        <v>0.9986429</v>
      </c>
      <c r="Y7090">
        <v>-0.13378029999999999</v>
      </c>
      <c r="Z7090">
        <v>-4.079058E-2</v>
      </c>
      <c r="AA7090">
        <v>0.99017120000000003</v>
      </c>
      <c r="AB7090">
        <v>25</v>
      </c>
      <c r="AC7090">
        <v>-0.34669999999999801</v>
      </c>
      <c r="AD7090">
        <v>-1.115946509432</v>
      </c>
      <c r="AE7090">
        <v>26.662242499999898</v>
      </c>
      <c r="AF7090">
        <v>-3.5866491084925198</v>
      </c>
      <c r="AG7090">
        <v>-1.115946509432</v>
      </c>
      <c r="AH7090">
        <v>26.375124255406899</v>
      </c>
      <c r="AI7090">
        <v>92.400702718258401</v>
      </c>
      <c r="AJ7090">
        <v>97.743926088230893</v>
      </c>
      <c r="AK7090">
        <v>26.641256875896701</v>
      </c>
      <c r="AL7090">
        <v>87.519476570165395</v>
      </c>
      <c r="AM7090">
        <v>91.6616930898509</v>
      </c>
      <c r="AN7090">
        <v>1.0000000435855301</v>
      </c>
    </row>
    <row r="7091" spans="1:40" x14ac:dyDescent="0.25">
      <c r="A7091" t="str">
        <f>"20190312155013415"</f>
        <v>20190312155013415</v>
      </c>
      <c r="B7091" t="str">
        <f>"1552377013402625"</f>
        <v>1552377013402625</v>
      </c>
      <c r="C7091" t="s">
        <v>40</v>
      </c>
      <c r="D7091">
        <v>4.9919609999999999</v>
      </c>
      <c r="E7091">
        <v>0.46050760000000002</v>
      </c>
      <c r="F7091" t="s">
        <v>42</v>
      </c>
      <c r="G7091">
        <v>-188.69730000000001</v>
      </c>
      <c r="H7091" s="1">
        <v>-4.0767310000000001E-6</v>
      </c>
      <c r="I7091">
        <v>-1.40289</v>
      </c>
      <c r="J7091">
        <v>-188.2638</v>
      </c>
      <c r="K7091">
        <v>1.1157900000000001</v>
      </c>
      <c r="L7091">
        <v>-26.828250000000001</v>
      </c>
      <c r="M7091">
        <v>0.1133982</v>
      </c>
      <c r="N7091">
        <v>0</v>
      </c>
      <c r="O7091">
        <v>0.99344279999999996</v>
      </c>
      <c r="P7091">
        <v>8.6085700000000001E-2</v>
      </c>
      <c r="Q7091">
        <v>2.946824E-2</v>
      </c>
      <c r="R7091">
        <v>0.99585179999999995</v>
      </c>
      <c r="S7091">
        <v>-4.8492430000000003E-2</v>
      </c>
      <c r="T7091">
        <v>-0.13136049999999999</v>
      </c>
      <c r="U7091">
        <v>3.0229189999999999</v>
      </c>
      <c r="V7091">
        <v>-2.8012720000000001E-2</v>
      </c>
      <c r="W7091">
        <v>4.3636599999999998E-2</v>
      </c>
      <c r="X7091">
        <v>0.99865470000000001</v>
      </c>
      <c r="Y7091">
        <v>-0.1293165</v>
      </c>
      <c r="Z7091">
        <v>-4.2808730000000003E-2</v>
      </c>
      <c r="AA7091">
        <v>0.99067890000000003</v>
      </c>
      <c r="AB7091">
        <v>25</v>
      </c>
      <c r="AC7091">
        <v>-0.43350000000000899</v>
      </c>
      <c r="AD7091">
        <v>-1.115794076731</v>
      </c>
      <c r="AE7091">
        <v>25.425360000000001</v>
      </c>
      <c r="AF7091">
        <v>-3.3078305508183399</v>
      </c>
      <c r="AG7091">
        <v>-1.115794076731</v>
      </c>
      <c r="AH7091">
        <v>25.163709788005999</v>
      </c>
      <c r="AI7091">
        <v>92.5172842405495</v>
      </c>
      <c r="AJ7091">
        <v>97.488731420149193</v>
      </c>
      <c r="AK7091">
        <v>25.4047048727118</v>
      </c>
      <c r="AL7091">
        <v>87.499012942822802</v>
      </c>
      <c r="AM7091">
        <v>91.606751434186606</v>
      </c>
      <c r="AN7091">
        <v>1.00000003758672</v>
      </c>
    </row>
    <row r="7092" spans="1:40" x14ac:dyDescent="0.25">
      <c r="A7092" t="str">
        <f>"20190312155013435"</f>
        <v>20190312155013435</v>
      </c>
      <c r="B7092" t="str">
        <f>"1552377013423122"</f>
        <v>1552377013423122</v>
      </c>
      <c r="C7092" t="s">
        <v>40</v>
      </c>
      <c r="D7092">
        <v>4.9774399999999996</v>
      </c>
      <c r="E7092">
        <v>0.4615978</v>
      </c>
      <c r="F7092" t="s">
        <v>42</v>
      </c>
      <c r="G7092">
        <v>-188.7757</v>
      </c>
      <c r="H7092" s="1">
        <v>-3.7740569999999999E-6</v>
      </c>
      <c r="I7092">
        <v>-2.0760130000000001</v>
      </c>
      <c r="J7092">
        <v>-188.24639999999999</v>
      </c>
      <c r="K7092">
        <v>1.115656</v>
      </c>
      <c r="L7092">
        <v>-26.604430000000001</v>
      </c>
      <c r="M7092">
        <v>0.1061966</v>
      </c>
      <c r="N7092">
        <v>0</v>
      </c>
      <c r="O7092">
        <v>0.99423879999999998</v>
      </c>
      <c r="P7092">
        <v>8.0149600000000001E-2</v>
      </c>
      <c r="Q7092">
        <v>3.1146279999999998E-2</v>
      </c>
      <c r="R7092">
        <v>0.99629610000000002</v>
      </c>
      <c r="S7092">
        <v>-6.25E-2</v>
      </c>
      <c r="T7092">
        <v>-0.13622329999999999</v>
      </c>
      <c r="U7092">
        <v>3.0219119999999999</v>
      </c>
      <c r="V7092">
        <v>-2.67283E-2</v>
      </c>
      <c r="W7092">
        <v>4.5317690000000001E-2</v>
      </c>
      <c r="X7092">
        <v>0.99861500000000003</v>
      </c>
      <c r="Y7092">
        <v>-0.126725</v>
      </c>
      <c r="Z7092">
        <v>-4.4464419999999998E-2</v>
      </c>
      <c r="AA7092">
        <v>0.99094079999999996</v>
      </c>
      <c r="AB7092">
        <v>25</v>
      </c>
      <c r="AC7092">
        <v>-0.52930000000000599</v>
      </c>
      <c r="AD7092">
        <v>-1.115659774057</v>
      </c>
      <c r="AE7092">
        <v>24.528417000000001</v>
      </c>
      <c r="AF7092">
        <v>-3.1249542502663399</v>
      </c>
      <c r="AG7092">
        <v>-1.115659774057</v>
      </c>
      <c r="AH7092">
        <v>24.283252806181199</v>
      </c>
      <c r="AI7092">
        <v>92.609039208950193</v>
      </c>
      <c r="AJ7092">
        <v>97.332956141935597</v>
      </c>
      <c r="AK7092">
        <v>24.508904558274601</v>
      </c>
      <c r="AL7092">
        <v>87.402598080729106</v>
      </c>
      <c r="AM7092">
        <v>91.533176695223702</v>
      </c>
      <c r="AN7092">
        <v>1.0000000066364101</v>
      </c>
    </row>
    <row r="7093" spans="1:40" x14ac:dyDescent="0.25">
      <c r="A7093" t="str">
        <f>"20190312155013468"</f>
        <v>20190312155013468</v>
      </c>
      <c r="B7093" t="str">
        <f>"1552377013463136"</f>
        <v>1552377013463136</v>
      </c>
      <c r="C7093" t="s">
        <v>40</v>
      </c>
      <c r="D7093">
        <v>5.0349199999999996</v>
      </c>
      <c r="E7093">
        <v>0.46948699999999999</v>
      </c>
      <c r="F7093" t="s">
        <v>42</v>
      </c>
      <c r="G7093">
        <v>-188.8398</v>
      </c>
      <c r="H7093" s="1">
        <v>-3.8988709999999999E-6</v>
      </c>
      <c r="I7093">
        <v>-1.758554</v>
      </c>
      <c r="J7093">
        <v>-188.22110000000001</v>
      </c>
      <c r="K7093">
        <v>1.1153900000000001</v>
      </c>
      <c r="L7093">
        <v>-26.24005</v>
      </c>
      <c r="M7093">
        <v>9.4913529999999996E-2</v>
      </c>
      <c r="N7093">
        <v>0</v>
      </c>
      <c r="O7093">
        <v>0.99537989999999998</v>
      </c>
      <c r="P7093">
        <v>7.0809090000000005E-2</v>
      </c>
      <c r="Q7093">
        <v>3.2086469999999999E-2</v>
      </c>
      <c r="R7093">
        <v>0.99697369999999996</v>
      </c>
      <c r="S7093">
        <v>-7.2158810000000004E-2</v>
      </c>
      <c r="T7093">
        <v>-0.13566210000000001</v>
      </c>
      <c r="U7093">
        <v>3.02121</v>
      </c>
      <c r="V7093">
        <v>-2.4738179999999999E-2</v>
      </c>
      <c r="W7093">
        <v>4.6257979999999997E-2</v>
      </c>
      <c r="X7093">
        <v>0.99862320000000004</v>
      </c>
      <c r="Y7093">
        <v>-0.118641899999999</v>
      </c>
      <c r="Z7093">
        <v>-4.4389430000000001E-2</v>
      </c>
      <c r="AA7093">
        <v>0.99194439999999995</v>
      </c>
      <c r="AB7093">
        <v>25</v>
      </c>
      <c r="AC7093">
        <v>-0.61869999999998904</v>
      </c>
      <c r="AD7093">
        <v>-1.1153938988709999</v>
      </c>
      <c r="AE7093">
        <v>24.481496</v>
      </c>
      <c r="AF7093">
        <v>-2.9336900498749401</v>
      </c>
      <c r="AG7093">
        <v>-1.1153938988709999</v>
      </c>
      <c r="AH7093">
        <v>24.261892193694798</v>
      </c>
      <c r="AI7093">
        <v>92.613202152323396</v>
      </c>
      <c r="AJ7093">
        <v>96.894596691822699</v>
      </c>
      <c r="AK7093">
        <v>24.464056361871801</v>
      </c>
      <c r="AL7093">
        <v>87.348666947165</v>
      </c>
      <c r="AM7093">
        <v>91.419057236100699</v>
      </c>
      <c r="AN7093">
        <v>1.00000003692081</v>
      </c>
    </row>
    <row r="7094" spans="1:40" x14ac:dyDescent="0.25">
      <c r="A7094" t="str">
        <f>"20190312155013492"</f>
        <v>20190312155013492</v>
      </c>
      <c r="B7094" t="str">
        <f>"1552377013483164"</f>
        <v>1552377013483164</v>
      </c>
      <c r="C7094" t="s">
        <v>40</v>
      </c>
      <c r="D7094">
        <v>5.0009240000000004</v>
      </c>
      <c r="E7094">
        <v>0.47081970000000001</v>
      </c>
      <c r="F7094" t="s">
        <v>42</v>
      </c>
      <c r="G7094">
        <v>-188.44040000000001</v>
      </c>
      <c r="H7094" s="1">
        <v>-7.124846E-7</v>
      </c>
      <c r="I7094">
        <v>-9.4776539999999994</v>
      </c>
      <c r="J7094">
        <v>-188.20439999999999</v>
      </c>
      <c r="K7094">
        <v>1.1151530000000001</v>
      </c>
      <c r="L7094">
        <v>-25.96463</v>
      </c>
      <c r="M7094">
        <v>8.6798230000000004E-2</v>
      </c>
      <c r="N7094">
        <v>0</v>
      </c>
      <c r="O7094">
        <v>0.99612089999999998</v>
      </c>
      <c r="P7094">
        <v>6.4173590000000003E-2</v>
      </c>
      <c r="Q7094">
        <v>3.1943190000000003E-2</v>
      </c>
      <c r="R7094">
        <v>0.99742739999999996</v>
      </c>
      <c r="S7094">
        <v>-3.9489749999999997E-2</v>
      </c>
      <c r="T7094">
        <v>-0.2008461</v>
      </c>
      <c r="U7094">
        <v>3.0183719999999998</v>
      </c>
      <c r="V7094">
        <v>-2.3215010000000001E-2</v>
      </c>
      <c r="W7094">
        <v>4.6111270000000003E-2</v>
      </c>
      <c r="X7094">
        <v>0.99866650000000001</v>
      </c>
      <c r="Y7094">
        <v>-9.9803539999999996E-2</v>
      </c>
      <c r="Z7094">
        <v>-6.5850039999999999E-2</v>
      </c>
      <c r="AA7094">
        <v>0.99282579999999998</v>
      </c>
      <c r="AB7094">
        <v>25</v>
      </c>
      <c r="AC7094">
        <v>-0.236000000000018</v>
      </c>
      <c r="AD7094">
        <v>-1.1151537124846</v>
      </c>
      <c r="AE7094">
        <v>16.486975999999999</v>
      </c>
      <c r="AF7094">
        <v>-1.65871219769236</v>
      </c>
      <c r="AG7094">
        <v>-1.1151537124846</v>
      </c>
      <c r="AH7094">
        <v>16.329561314222602</v>
      </c>
      <c r="AI7094">
        <v>93.886752801613696</v>
      </c>
      <c r="AJ7094">
        <v>95.800055035018104</v>
      </c>
      <c r="AK7094">
        <v>16.451427496487899</v>
      </c>
      <c r="AL7094">
        <v>87.357081644898102</v>
      </c>
      <c r="AM7094">
        <v>91.331658349323206</v>
      </c>
      <c r="AN7094">
        <v>0.99999998206628105</v>
      </c>
    </row>
    <row r="7095" spans="1:40" x14ac:dyDescent="0.25">
      <c r="A7095" t="str">
        <f>"20190312155013515"</f>
        <v>20190312155013515</v>
      </c>
      <c r="B7095" t="str">
        <f>"1552377013502684"</f>
        <v>1552377013502684</v>
      </c>
      <c r="C7095" t="s">
        <v>40</v>
      </c>
      <c r="D7095">
        <v>5.0372519999999996</v>
      </c>
      <c r="E7095">
        <v>0.4714256</v>
      </c>
      <c r="F7095" t="s">
        <v>42</v>
      </c>
      <c r="G7095">
        <v>-188.5043</v>
      </c>
      <c r="H7095" s="1">
        <v>-1.6031799999999901E-6</v>
      </c>
      <c r="I7095">
        <v>-7.2486289999999904</v>
      </c>
      <c r="J7095">
        <v>-188.19110000000001</v>
      </c>
      <c r="K7095">
        <v>1.1148929999999999</v>
      </c>
      <c r="L7095">
        <v>-25.719059999999999</v>
      </c>
      <c r="M7095">
        <v>7.9818520000000004E-2</v>
      </c>
      <c r="N7095">
        <v>0</v>
      </c>
      <c r="O7095">
        <v>0.99670499999999995</v>
      </c>
      <c r="P7095">
        <v>5.9091100000000001E-2</v>
      </c>
      <c r="Q7095">
        <v>2.8179409999999998E-2</v>
      </c>
      <c r="R7095">
        <v>0.99785480000000004</v>
      </c>
      <c r="S7095">
        <v>-4.8324579999999999E-2</v>
      </c>
      <c r="T7095">
        <v>-0.17973800000000001</v>
      </c>
      <c r="U7095">
        <v>3.0166019999999998</v>
      </c>
      <c r="V7095">
        <v>-2.124846E-2</v>
      </c>
      <c r="W7095">
        <v>4.2351760000000002E-2</v>
      </c>
      <c r="X7095">
        <v>0.99887680000000001</v>
      </c>
      <c r="Y7095">
        <v>-9.5754610000000004E-2</v>
      </c>
      <c r="Z7095">
        <v>-5.9052420000000001E-2</v>
      </c>
      <c r="AA7095">
        <v>0.99365179999999997</v>
      </c>
      <c r="AB7095">
        <v>25</v>
      </c>
      <c r="AC7095">
        <v>-0.31319999999999398</v>
      </c>
      <c r="AD7095">
        <v>-1.11489460318</v>
      </c>
      <c r="AE7095">
        <v>18.470431000000001</v>
      </c>
      <c r="AF7095">
        <v>-1.7801523801685299</v>
      </c>
      <c r="AG7095">
        <v>-1.11489460318</v>
      </c>
      <c r="AH7095">
        <v>18.319757364269201</v>
      </c>
      <c r="AI7095">
        <v>93.466296379138797</v>
      </c>
      <c r="AJ7095">
        <v>95.550073712315196</v>
      </c>
      <c r="AK7095">
        <v>18.439778804489901</v>
      </c>
      <c r="AL7095">
        <v>87.572696933855894</v>
      </c>
      <c r="AM7095">
        <v>91.218632259870105</v>
      </c>
      <c r="AN7095">
        <v>1.0000000151028501</v>
      </c>
    </row>
    <row r="7096" spans="1:40" x14ac:dyDescent="0.25">
      <c r="A7096" t="str">
        <f>"20190312155013536"</f>
        <v>20190312155013536</v>
      </c>
      <c r="B7096" t="str">
        <f>"1552377013532940"</f>
        <v>1552377013532940</v>
      </c>
      <c r="C7096" t="s">
        <v>40</v>
      </c>
      <c r="D7096">
        <v>5.0941989999999997</v>
      </c>
      <c r="E7096">
        <v>0.47271639999999998</v>
      </c>
      <c r="F7096" t="s">
        <v>42</v>
      </c>
      <c r="G7096">
        <v>-188.5384</v>
      </c>
      <c r="H7096" s="1">
        <v>-1.2388910000000001E-6</v>
      </c>
      <c r="I7096">
        <v>-8.0836810000000003</v>
      </c>
      <c r="J7096">
        <v>-188.17930000000001</v>
      </c>
      <c r="K7096">
        <v>1.114614</v>
      </c>
      <c r="L7096">
        <v>-25.477689999999999</v>
      </c>
      <c r="M7096">
        <v>7.3261989999999999E-2</v>
      </c>
      <c r="N7096">
        <v>0</v>
      </c>
      <c r="O7096">
        <v>0.99720880000000001</v>
      </c>
      <c r="P7096">
        <v>5.5230960000000003E-2</v>
      </c>
      <c r="Q7096">
        <v>1.0078999999999999E-2</v>
      </c>
      <c r="R7096">
        <v>0.9984227</v>
      </c>
      <c r="S7096">
        <v>-5.9387210000000003E-2</v>
      </c>
      <c r="T7096">
        <v>-0.19062809999999999</v>
      </c>
      <c r="U7096">
        <v>3.0153500000000002</v>
      </c>
      <c r="V7096">
        <v>-1.8342560000000001E-2</v>
      </c>
      <c r="W7096">
        <v>2.4269889999999999E-2</v>
      </c>
      <c r="X7096">
        <v>0.99953720000000001</v>
      </c>
      <c r="Y7096">
        <v>-9.2854430000000002E-2</v>
      </c>
      <c r="Z7096">
        <v>-6.2696580000000002E-2</v>
      </c>
      <c r="AA7096">
        <v>0.99370380000000003</v>
      </c>
      <c r="AB7096">
        <v>25</v>
      </c>
      <c r="AC7096">
        <v>-0.35909999999998299</v>
      </c>
      <c r="AD7096">
        <v>-1.114615238891</v>
      </c>
      <c r="AE7096">
        <v>17.394008999999901</v>
      </c>
      <c r="AF7096">
        <v>-1.6259129713025</v>
      </c>
      <c r="AG7096">
        <v>-1.114615238891</v>
      </c>
      <c r="AH7096">
        <v>17.2501417219679</v>
      </c>
      <c r="AI7096">
        <v>93.680749911498097</v>
      </c>
      <c r="AJ7096">
        <v>95.384508814911896</v>
      </c>
      <c r="AK7096">
        <v>17.36241197383</v>
      </c>
      <c r="AL7096">
        <v>88.609301247770404</v>
      </c>
      <c r="AM7096">
        <v>91.051319874951702</v>
      </c>
      <c r="AN7096">
        <v>1.0000000456258999</v>
      </c>
    </row>
    <row r="7097" spans="1:40" x14ac:dyDescent="0.25">
      <c r="A7097" t="str">
        <f>"20190312155013561"</f>
        <v>20190312155013561</v>
      </c>
      <c r="B7097" t="str">
        <f>"1552377013552460"</f>
        <v>1552377013552460</v>
      </c>
      <c r="C7097" t="s">
        <v>40</v>
      </c>
      <c r="D7097">
        <v>5.1009589999999996</v>
      </c>
      <c r="E7097">
        <v>0.47338809999999898</v>
      </c>
      <c r="F7097" t="s">
        <v>42</v>
      </c>
      <c r="G7097">
        <v>-188.4528</v>
      </c>
      <c r="H7097" s="1">
        <v>-4.0894199999999999E-6</v>
      </c>
      <c r="I7097">
        <v>-11.474410000000001</v>
      </c>
      <c r="J7097">
        <v>-188.16810000000001</v>
      </c>
      <c r="K7097">
        <v>1.114328</v>
      </c>
      <c r="L7097">
        <v>-25.220310000000001</v>
      </c>
      <c r="M7097">
        <v>6.6643519999999998E-2</v>
      </c>
      <c r="N7097">
        <v>0</v>
      </c>
      <c r="O7097">
        <v>0.99767349999999999</v>
      </c>
      <c r="P7097">
        <v>5.2768799999999998E-2</v>
      </c>
      <c r="Q7097">
        <v>-3.7852860000000001E-3</v>
      </c>
      <c r="R7097">
        <v>0.99859960000000003</v>
      </c>
      <c r="S7097">
        <v>-5.8807369999999998E-2</v>
      </c>
      <c r="T7097">
        <v>-0.239619</v>
      </c>
      <c r="U7097">
        <v>3.0104060000000001</v>
      </c>
      <c r="V7097">
        <v>-1.401619E-2</v>
      </c>
      <c r="W7097">
        <v>1.0428069999999999E-2</v>
      </c>
      <c r="X7097">
        <v>0.99984740000000005</v>
      </c>
      <c r="Y7097">
        <v>-8.6063760000000003E-2</v>
      </c>
      <c r="Z7097">
        <v>-7.8926750000000004E-2</v>
      </c>
      <c r="AA7097">
        <v>0.9931584</v>
      </c>
      <c r="AB7097">
        <v>25</v>
      </c>
      <c r="AC7097">
        <v>-0.28469999999998602</v>
      </c>
      <c r="AD7097">
        <v>-1.1143320894199999</v>
      </c>
      <c r="AE7097">
        <v>13.745900000000001</v>
      </c>
      <c r="AF7097">
        <v>-1.19240372196649</v>
      </c>
      <c r="AG7097">
        <v>-1.1143320894199999</v>
      </c>
      <c r="AH7097">
        <v>13.606975432242599</v>
      </c>
      <c r="AI7097">
        <v>94.663948773944995</v>
      </c>
      <c r="AJ7097">
        <v>95.008138602150694</v>
      </c>
      <c r="AK7097">
        <v>13.7045008320378</v>
      </c>
      <c r="AL7097">
        <v>89.402504777558804</v>
      </c>
      <c r="AM7097">
        <v>90.803138492372</v>
      </c>
      <c r="AN7097">
        <v>1.0000000107564</v>
      </c>
    </row>
    <row r="7098" spans="1:40" x14ac:dyDescent="0.25">
      <c r="A7098" t="str">
        <f>"20190312155013581"</f>
        <v>20190312155013581</v>
      </c>
      <c r="B7098" t="str">
        <f>"1552377013572957"</f>
        <v>1552377013572957</v>
      </c>
      <c r="C7098" t="s">
        <v>40</v>
      </c>
      <c r="D7098">
        <v>5.0305309999999999</v>
      </c>
      <c r="E7098">
        <v>0.47430319999999998</v>
      </c>
      <c r="F7098" t="s">
        <v>42</v>
      </c>
      <c r="G7098">
        <v>-188.39519999999999</v>
      </c>
      <c r="H7098" s="1">
        <v>-3.284689E-6</v>
      </c>
      <c r="I7098">
        <v>-13.3741</v>
      </c>
      <c r="J7098">
        <v>-188.15880000000001</v>
      </c>
      <c r="K7098">
        <v>1.1140950000000001</v>
      </c>
      <c r="L7098">
        <v>-24.982240000000001</v>
      </c>
      <c r="M7098">
        <v>6.0890380000000001E-2</v>
      </c>
      <c r="N7098">
        <v>0</v>
      </c>
      <c r="O7098">
        <v>0.99804159999999997</v>
      </c>
      <c r="P7098">
        <v>5.3247290000000003E-2</v>
      </c>
      <c r="Q7098">
        <v>1.6036500000000001E-3</v>
      </c>
      <c r="R7098">
        <v>0.99858009999999997</v>
      </c>
      <c r="S7098">
        <v>-5.7632450000000002E-2</v>
      </c>
      <c r="T7098">
        <v>-0.28278219999999998</v>
      </c>
      <c r="U7098">
        <v>3.006195</v>
      </c>
      <c r="V7098">
        <v>-7.8184159999999999E-3</v>
      </c>
      <c r="W7098">
        <v>1.5851609999999999E-2</v>
      </c>
      <c r="X7098">
        <v>0.99984379999999995</v>
      </c>
      <c r="Y7098">
        <v>-7.9933489999999996E-2</v>
      </c>
      <c r="Z7098">
        <v>-9.3234220000000007E-2</v>
      </c>
      <c r="AA7098">
        <v>0.99243040000000005</v>
      </c>
      <c r="AB7098">
        <v>25</v>
      </c>
      <c r="AC7098">
        <v>-0.23639999999997399</v>
      </c>
      <c r="AD7098">
        <v>-1.114098284689</v>
      </c>
      <c r="AE7098">
        <v>11.608139999999899</v>
      </c>
      <c r="AF7098">
        <v>-0.93425573338716195</v>
      </c>
      <c r="AG7098">
        <v>-1.114098284689</v>
      </c>
      <c r="AH7098">
        <v>11.4666213334277</v>
      </c>
      <c r="AI7098">
        <v>95.531231486051595</v>
      </c>
      <c r="AJ7098">
        <v>94.657948536471807</v>
      </c>
      <c r="AK7098">
        <v>11.558436467253401</v>
      </c>
      <c r="AL7098">
        <v>89.091731620113606</v>
      </c>
      <c r="AM7098">
        <v>90.448023090343895</v>
      </c>
      <c r="AN7098">
        <v>1.0000000127833899</v>
      </c>
    </row>
    <row r="7099" spans="1:40" x14ac:dyDescent="0.25">
      <c r="A7099" t="str">
        <f>"20190312155013605"</f>
        <v>20190312155013605</v>
      </c>
      <c r="B7099" t="str">
        <f>"1552377013592476"</f>
        <v>1552377013592476</v>
      </c>
      <c r="C7099" t="s">
        <v>40</v>
      </c>
      <c r="D7099">
        <v>5.0487169999999999</v>
      </c>
      <c r="E7099">
        <v>0.47485129999999998</v>
      </c>
      <c r="F7099" t="s">
        <v>42</v>
      </c>
      <c r="G7099">
        <v>-188.36349999999999</v>
      </c>
      <c r="H7099" s="1">
        <v>-3.7924849999999999E-6</v>
      </c>
      <c r="I7099">
        <v>-12.2035</v>
      </c>
      <c r="J7099">
        <v>-188.1499</v>
      </c>
      <c r="K7099">
        <v>1.113869</v>
      </c>
      <c r="L7099">
        <v>-24.726559999999999</v>
      </c>
      <c r="M7099">
        <v>5.5106559999999999E-2</v>
      </c>
      <c r="N7099">
        <v>0</v>
      </c>
      <c r="O7099">
        <v>0.99837830000000005</v>
      </c>
      <c r="P7099">
        <v>5.5334149999999999E-2</v>
      </c>
      <c r="Q7099">
        <v>2.013587E-2</v>
      </c>
      <c r="R7099">
        <v>0.99826479999999995</v>
      </c>
      <c r="S7099">
        <v>-4.8172E-2</v>
      </c>
      <c r="T7099">
        <v>-0.26218459999999899</v>
      </c>
      <c r="U7099">
        <v>3.007263</v>
      </c>
      <c r="V7099" s="1">
        <v>-8.1737199999999994E-5</v>
      </c>
      <c r="W7099">
        <v>3.441781E-2</v>
      </c>
      <c r="X7099">
        <v>0.9994075</v>
      </c>
      <c r="Y7099">
        <v>-7.1036820000000001E-2</v>
      </c>
      <c r="Z7099">
        <v>-8.654125E-2</v>
      </c>
      <c r="AA7099">
        <v>0.99371240000000005</v>
      </c>
      <c r="AB7099">
        <v>25</v>
      </c>
      <c r="AC7099">
        <v>-0.213599999999985</v>
      </c>
      <c r="AD7099">
        <v>-1.113872792485</v>
      </c>
      <c r="AE7099">
        <v>12.523059999999999</v>
      </c>
      <c r="AF7099">
        <v>-0.89635919192929303</v>
      </c>
      <c r="AG7099">
        <v>-1.113872792485</v>
      </c>
      <c r="AH7099">
        <v>12.3942286115083</v>
      </c>
      <c r="AI7099">
        <v>95.122085697263401</v>
      </c>
      <c r="AJ7099">
        <v>94.136468829403498</v>
      </c>
      <c r="AK7099">
        <v>12.476420771724699</v>
      </c>
      <c r="AL7099">
        <v>88.027615150495095</v>
      </c>
      <c r="AM7099">
        <v>90.0046859730177</v>
      </c>
      <c r="AN7099">
        <v>0.99999997169120702</v>
      </c>
    </row>
    <row r="7100" spans="1:40" x14ac:dyDescent="0.25">
      <c r="A7100" t="str">
        <f>"20190312155013626"</f>
        <v>20190312155013626</v>
      </c>
      <c r="B7100" t="str">
        <f>"1552377013622732"</f>
        <v>1552377013622732</v>
      </c>
      <c r="C7100" t="s">
        <v>40</v>
      </c>
      <c r="D7100">
        <v>4.493919</v>
      </c>
      <c r="E7100">
        <v>0.4883362</v>
      </c>
      <c r="F7100" t="s">
        <v>42</v>
      </c>
      <c r="G7100">
        <v>-188.352</v>
      </c>
      <c r="H7100" s="1">
        <v>-1.068483E-6</v>
      </c>
      <c r="I7100">
        <v>-8.5579669999999997</v>
      </c>
      <c r="J7100">
        <v>-188.1429</v>
      </c>
      <c r="K7100">
        <v>1.1136490000000001</v>
      </c>
      <c r="L7100">
        <v>-24.49701</v>
      </c>
      <c r="M7100">
        <v>5.0292049999999998E-2</v>
      </c>
      <c r="N7100">
        <v>0</v>
      </c>
      <c r="O7100">
        <v>0.99863279999999999</v>
      </c>
      <c r="P7100">
        <v>5.431544E-2</v>
      </c>
      <c r="Q7100">
        <v>3.4862850000000001E-2</v>
      </c>
      <c r="R7100">
        <v>0.997915</v>
      </c>
      <c r="S7100">
        <v>-3.7643429999999999E-2</v>
      </c>
      <c r="T7100">
        <v>-0.20746339999999999</v>
      </c>
      <c r="U7100">
        <v>3.0114749999999999</v>
      </c>
      <c r="V7100">
        <v>3.6367679999999999E-3</v>
      </c>
      <c r="W7100">
        <v>4.9134789999999998E-2</v>
      </c>
      <c r="X7100">
        <v>0.99878560000000005</v>
      </c>
      <c r="Y7100">
        <v>-6.2746899999999994E-2</v>
      </c>
      <c r="Z7100">
        <v>-6.8527270000000001E-2</v>
      </c>
      <c r="AA7100">
        <v>0.99567410000000001</v>
      </c>
      <c r="AB7100">
        <v>25</v>
      </c>
      <c r="AC7100">
        <v>-0.209100000000006</v>
      </c>
      <c r="AD7100">
        <v>-1.113650068483</v>
      </c>
      <c r="AE7100">
        <v>15.939043</v>
      </c>
      <c r="AF7100">
        <v>-1.0056156698371901</v>
      </c>
      <c r="AG7100">
        <v>-1.113650068483</v>
      </c>
      <c r="AH7100">
        <v>15.831082127381899</v>
      </c>
      <c r="AI7100">
        <v>94.015821299056398</v>
      </c>
      <c r="AJ7100">
        <v>93.634636271000403</v>
      </c>
      <c r="AK7100">
        <v>15.902032595689301</v>
      </c>
      <c r="AL7100">
        <v>87.183650092279095</v>
      </c>
      <c r="AM7100">
        <v>89.791376110554296</v>
      </c>
      <c r="AN7100">
        <v>1.00000006421859</v>
      </c>
    </row>
    <row r="7101" spans="1:40" x14ac:dyDescent="0.25">
      <c r="A7101" t="str">
        <f>"20190312155013784"</f>
        <v>20190312155013784</v>
      </c>
      <c r="B7101" t="str">
        <f>"1552377013773036"</f>
        <v>1552377013773036</v>
      </c>
      <c r="C7101" t="s">
        <v>40</v>
      </c>
      <c r="D7101">
        <v>4.8352789999999999</v>
      </c>
      <c r="E7101">
        <v>0.4684798</v>
      </c>
      <c r="F7101" t="s">
        <v>78</v>
      </c>
      <c r="G7101">
        <v>-202.9853</v>
      </c>
      <c r="H7101">
        <v>105.0835</v>
      </c>
      <c r="I7101">
        <v>391.00349999999997</v>
      </c>
      <c r="J7101">
        <v>-188.11170000000001</v>
      </c>
      <c r="K7101">
        <v>1.112609</v>
      </c>
      <c r="L7101">
        <v>-22.757169999999999</v>
      </c>
      <c r="M7101">
        <v>2.190462E-2</v>
      </c>
      <c r="N7101">
        <v>0</v>
      </c>
      <c r="O7101">
        <v>0.99966140000000003</v>
      </c>
      <c r="P7101">
        <v>4.0674700000000001E-2</v>
      </c>
      <c r="Q7101">
        <v>9.0751929999999995E-2</v>
      </c>
      <c r="R7101">
        <v>0.9950426</v>
      </c>
      <c r="S7101">
        <v>-0.1062775</v>
      </c>
      <c r="T7101">
        <v>0.74303390000000002</v>
      </c>
      <c r="U7101">
        <v>2.9588320000000001</v>
      </c>
      <c r="V7101">
        <v>1.83036E-2</v>
      </c>
      <c r="W7101">
        <v>0.1048303</v>
      </c>
      <c r="X7101">
        <v>0.99432169999999998</v>
      </c>
      <c r="Y7101">
        <v>-5.6701050000000003E-2</v>
      </c>
      <c r="Z7101">
        <v>0.24320369999999999</v>
      </c>
      <c r="AA7101">
        <v>0.96831659999999997</v>
      </c>
      <c r="AB7101">
        <v>25</v>
      </c>
      <c r="AC7101">
        <v>-14.8735999999999</v>
      </c>
      <c r="AD7101">
        <v>103.97089099999999</v>
      </c>
      <c r="AE7101">
        <v>413.76067</v>
      </c>
      <c r="AF7101">
        <v>-22.5144029780284</v>
      </c>
      <c r="AG7101">
        <v>103.97089099999999</v>
      </c>
      <c r="AH7101">
        <v>388.816209585178</v>
      </c>
      <c r="AI7101">
        <v>75.053079235580995</v>
      </c>
      <c r="AJ7101">
        <v>93.314011523849302</v>
      </c>
      <c r="AK7101">
        <v>403.106548387614</v>
      </c>
      <c r="AL7101">
        <v>83.982610662590304</v>
      </c>
      <c r="AM7101">
        <v>88.945411130053699</v>
      </c>
      <c r="AN7101">
        <v>1.00000002833096</v>
      </c>
    </row>
    <row r="7102" spans="1:40" x14ac:dyDescent="0.25">
      <c r="A7102" t="str">
        <f>"20190312155013806"</f>
        <v>20190312155013806</v>
      </c>
      <c r="B7102" t="str">
        <f>"1552377013803293"</f>
        <v>1552377013803293</v>
      </c>
      <c r="C7102" t="s">
        <v>40</v>
      </c>
      <c r="D7102">
        <v>4.8614309999999996</v>
      </c>
      <c r="E7102">
        <v>0.46799879999999999</v>
      </c>
      <c r="F7102" t="s">
        <v>78</v>
      </c>
      <c r="G7102">
        <v>-203.1097</v>
      </c>
      <c r="H7102">
        <v>106.3005</v>
      </c>
      <c r="I7102">
        <v>391.00349999999997</v>
      </c>
      <c r="J7102">
        <v>-188.11009999999999</v>
      </c>
      <c r="K7102">
        <v>1.112552</v>
      </c>
      <c r="L7102">
        <v>-22.517060000000001</v>
      </c>
      <c r="M7102">
        <v>1.8780379999999999E-2</v>
      </c>
      <c r="N7102">
        <v>0</v>
      </c>
      <c r="O7102">
        <v>0.99972519999999998</v>
      </c>
      <c r="P7102">
        <v>4.0177160000000003E-2</v>
      </c>
      <c r="Q7102">
        <v>0.1059793</v>
      </c>
      <c r="R7102">
        <v>0.99355629999999995</v>
      </c>
      <c r="S7102">
        <v>-0.10696410000000001</v>
      </c>
      <c r="T7102">
        <v>0.75018890000000005</v>
      </c>
      <c r="U7102">
        <v>2.9508969999999999</v>
      </c>
      <c r="V7102">
        <v>2.0903990000000001E-2</v>
      </c>
      <c r="W7102">
        <v>0.120021</v>
      </c>
      <c r="X7102">
        <v>0.99255130000000003</v>
      </c>
      <c r="Y7102">
        <v>-5.3873289999999997E-2</v>
      </c>
      <c r="Z7102">
        <v>0.24606610000000001</v>
      </c>
      <c r="AA7102">
        <v>0.96775469999999997</v>
      </c>
      <c r="AB7102">
        <v>25</v>
      </c>
      <c r="AC7102">
        <v>-14.999599999999999</v>
      </c>
      <c r="AD7102">
        <v>105.187947999999</v>
      </c>
      <c r="AE7102">
        <v>413.52055999999999</v>
      </c>
      <c r="AF7102">
        <v>-21.3820822827856</v>
      </c>
      <c r="AG7102">
        <v>105.187947999999</v>
      </c>
      <c r="AH7102">
        <v>388.08767652528098</v>
      </c>
      <c r="AI7102">
        <v>74.856719100936502</v>
      </c>
      <c r="AJ7102">
        <v>93.153580415262098</v>
      </c>
      <c r="AK7102">
        <v>402.65834465212498</v>
      </c>
      <c r="AL7102">
        <v>83.106685797535604</v>
      </c>
      <c r="AM7102">
        <v>88.793479628115406</v>
      </c>
      <c r="AN7102">
        <v>1.0000000501852999</v>
      </c>
    </row>
    <row r="7103" spans="1:40" x14ac:dyDescent="0.25">
      <c r="A7103" t="str">
        <f>"20190312155013827"</f>
        <v>20190312155013827</v>
      </c>
      <c r="B7103" t="str">
        <f>"1552377013822814"</f>
        <v>1552377013822814</v>
      </c>
      <c r="C7103" t="s">
        <v>40</v>
      </c>
      <c r="D7103">
        <v>4.8456029999999997</v>
      </c>
      <c r="E7103">
        <v>0.46792610000000001</v>
      </c>
      <c r="F7103" t="s">
        <v>78</v>
      </c>
      <c r="G7103">
        <v>-204.07939999999999</v>
      </c>
      <c r="H7103">
        <v>107.5059</v>
      </c>
      <c r="I7103">
        <v>391.00349999999997</v>
      </c>
      <c r="J7103">
        <v>-188.10910000000001</v>
      </c>
      <c r="K7103">
        <v>1.1124799999999999</v>
      </c>
      <c r="L7103">
        <v>-22.28238</v>
      </c>
      <c r="M7103">
        <v>1.589086E-2</v>
      </c>
      <c r="N7103">
        <v>0</v>
      </c>
      <c r="O7103">
        <v>0.99977559999999999</v>
      </c>
      <c r="P7103">
        <v>3.9449459999999999E-2</v>
      </c>
      <c r="Q7103">
        <v>0.12095640000000001</v>
      </c>
      <c r="R7103">
        <v>0.99187360000000002</v>
      </c>
      <c r="S7103">
        <v>-0.11366270000000001</v>
      </c>
      <c r="T7103">
        <v>0.75726329999999997</v>
      </c>
      <c r="U7103">
        <v>2.9432680000000002</v>
      </c>
      <c r="V7103">
        <v>2.3041269999999999E-2</v>
      </c>
      <c r="W7103">
        <v>0.13495699999999999</v>
      </c>
      <c r="X7103">
        <v>0.99058349999999995</v>
      </c>
      <c r="Y7103">
        <v>-5.3250239999999997E-2</v>
      </c>
      <c r="Z7103">
        <v>0.2488599</v>
      </c>
      <c r="AA7103">
        <v>0.96707449999999995</v>
      </c>
      <c r="AB7103">
        <v>25</v>
      </c>
      <c r="AC7103">
        <v>-15.9702999999999</v>
      </c>
      <c r="AD7103">
        <v>106.39342000000001</v>
      </c>
      <c r="AE7103">
        <v>413.28588000000002</v>
      </c>
      <c r="AF7103">
        <v>-21.137654956277299</v>
      </c>
      <c r="AG7103">
        <v>106.39342000000001</v>
      </c>
      <c r="AH7103">
        <v>387.34792959450601</v>
      </c>
      <c r="AI7103">
        <v>74.662993210220293</v>
      </c>
      <c r="AJ7103">
        <v>93.123544207421304</v>
      </c>
      <c r="AK7103">
        <v>402.249647405063</v>
      </c>
      <c r="AL7103">
        <v>82.243866438286304</v>
      </c>
      <c r="AM7103">
        <v>88.667523218011496</v>
      </c>
      <c r="AN7103">
        <v>0.99999998122223099</v>
      </c>
    </row>
    <row r="7104" spans="1:40" x14ac:dyDescent="0.25">
      <c r="A7104" t="str">
        <f>"20190312155013850"</f>
        <v>20190312155013850</v>
      </c>
      <c r="B7104" t="str">
        <f>"1552377013843308"</f>
        <v>1552377013843308</v>
      </c>
      <c r="C7104" t="s">
        <v>40</v>
      </c>
      <c r="D7104">
        <v>4.7993459999999999</v>
      </c>
      <c r="E7104">
        <v>0.46668150000000003</v>
      </c>
      <c r="F7104" t="s">
        <v>78</v>
      </c>
      <c r="G7104">
        <v>-204.6362</v>
      </c>
      <c r="H7104">
        <v>110.8108</v>
      </c>
      <c r="I7104">
        <v>391.00349999999997</v>
      </c>
      <c r="J7104">
        <v>-188.1086</v>
      </c>
      <c r="K7104">
        <v>1.1124270000000001</v>
      </c>
      <c r="L7104">
        <v>-22.032409999999999</v>
      </c>
      <c r="M7104">
        <v>1.2954520000000001E-2</v>
      </c>
      <c r="N7104">
        <v>0</v>
      </c>
      <c r="O7104">
        <v>0.99981819999999999</v>
      </c>
      <c r="P7104">
        <v>3.7764979999999997E-2</v>
      </c>
      <c r="Q7104">
        <v>0.135033399999999</v>
      </c>
      <c r="R7104">
        <v>0.99012109999999998</v>
      </c>
      <c r="S7104">
        <v>-0.1173401</v>
      </c>
      <c r="T7104">
        <v>0.77884069999999905</v>
      </c>
      <c r="U7104">
        <v>2.9342649999999999</v>
      </c>
      <c r="V7104">
        <v>2.4265399999999999E-2</v>
      </c>
      <c r="W7104">
        <v>0.14898819999999999</v>
      </c>
      <c r="X7104">
        <v>0.98854120000000001</v>
      </c>
      <c r="Y7104">
        <v>-5.1565189999999997E-2</v>
      </c>
      <c r="Z7104">
        <v>0.2562468</v>
      </c>
      <c r="AA7104">
        <v>0.96523499999999995</v>
      </c>
      <c r="AB7104">
        <v>25</v>
      </c>
      <c r="AC7104">
        <v>-16.5276</v>
      </c>
      <c r="AD7104">
        <v>109.698373</v>
      </c>
      <c r="AE7104">
        <v>413.03591</v>
      </c>
      <c r="AF7104">
        <v>-20.4380581775564</v>
      </c>
      <c r="AG7104">
        <v>109.698373</v>
      </c>
      <c r="AH7104">
        <v>385.62900207322599</v>
      </c>
      <c r="AI7104">
        <v>74.141879890685104</v>
      </c>
      <c r="AJ7104">
        <v>93.033796428539205</v>
      </c>
      <c r="AK7104">
        <v>401.44884418927899</v>
      </c>
      <c r="AL7104">
        <v>81.431704158743202</v>
      </c>
      <c r="AM7104">
        <v>88.593861468481293</v>
      </c>
      <c r="AN7104">
        <v>0.99999999873692003</v>
      </c>
    </row>
    <row r="7105" spans="1:40" x14ac:dyDescent="0.25">
      <c r="A7105" t="str">
        <f>"20190312155013870"</f>
        <v>20190312155013870</v>
      </c>
      <c r="B7105" t="str">
        <f>"1552377013862829"</f>
        <v>1552377013862829</v>
      </c>
      <c r="C7105" t="s">
        <v>40</v>
      </c>
      <c r="D7105">
        <v>4.8124969999999996</v>
      </c>
      <c r="E7105">
        <v>0.46789130000000001</v>
      </c>
      <c r="F7105" t="s">
        <v>78</v>
      </c>
      <c r="G7105">
        <v>-207.59209999999999</v>
      </c>
      <c r="H7105">
        <v>96.536550000000005</v>
      </c>
      <c r="I7105">
        <v>391.87</v>
      </c>
      <c r="J7105">
        <v>-188.1086</v>
      </c>
      <c r="K7105">
        <v>1.112412</v>
      </c>
      <c r="L7105">
        <v>-21.810420000000001</v>
      </c>
      <c r="M7105">
        <v>1.04549E-2</v>
      </c>
      <c r="N7105">
        <v>0</v>
      </c>
      <c r="O7105">
        <v>0.99984770000000001</v>
      </c>
      <c r="P7105">
        <v>3.6110509999999998E-2</v>
      </c>
      <c r="Q7105">
        <v>0.14799470000000001</v>
      </c>
      <c r="R7105">
        <v>0.98832869999999995</v>
      </c>
      <c r="S7105">
        <v>-0.13851930000000001</v>
      </c>
      <c r="T7105">
        <v>0.67842899999999995</v>
      </c>
      <c r="U7105">
        <v>2.942688</v>
      </c>
      <c r="V7105">
        <v>2.5077459999999999E-2</v>
      </c>
      <c r="W7105">
        <v>0.16190689999999999</v>
      </c>
      <c r="X7105">
        <v>0.98648729999999996</v>
      </c>
      <c r="Y7105">
        <v>-5.6263300000000002E-2</v>
      </c>
      <c r="Z7105">
        <v>0.22433939999999999</v>
      </c>
      <c r="AA7105">
        <v>0.97288549999999996</v>
      </c>
      <c r="AB7105">
        <v>25</v>
      </c>
      <c r="AC7105">
        <v>-19.4834999999999</v>
      </c>
      <c r="AD7105">
        <v>95.424137999999999</v>
      </c>
      <c r="AE7105">
        <v>413.68042000000003</v>
      </c>
      <c r="AF7105">
        <v>-22.6075765631048</v>
      </c>
      <c r="AG7105">
        <v>95.424137999999999</v>
      </c>
      <c r="AH7105">
        <v>392.60987610556998</v>
      </c>
      <c r="AI7105">
        <v>76.360852029706606</v>
      </c>
      <c r="AJ7105">
        <v>93.295612206415697</v>
      </c>
      <c r="AK7105">
        <v>404.67194546537399</v>
      </c>
      <c r="AL7105">
        <v>80.682402729782694</v>
      </c>
      <c r="AM7105">
        <v>88.543799567519102</v>
      </c>
      <c r="AN7105">
        <v>0.99999995816447396</v>
      </c>
    </row>
    <row r="7106" spans="1:40" x14ac:dyDescent="0.25">
      <c r="A7106" t="str">
        <f>"20190312155013892"</f>
        <v>20190312155013892</v>
      </c>
      <c r="B7106" t="str">
        <f>"1552377013883324"</f>
        <v>1552377013883324</v>
      </c>
      <c r="C7106" t="s">
        <v>40</v>
      </c>
      <c r="D7106">
        <v>4.791398</v>
      </c>
      <c r="E7106">
        <v>0.46780260000000001</v>
      </c>
      <c r="F7106" t="s">
        <v>78</v>
      </c>
      <c r="G7106">
        <v>-206.94800000000001</v>
      </c>
      <c r="H7106">
        <v>99.500829999999993</v>
      </c>
      <c r="I7106">
        <v>391.87</v>
      </c>
      <c r="J7106">
        <v>-188.10910000000001</v>
      </c>
      <c r="K7106">
        <v>1.1124019999999999</v>
      </c>
      <c r="L7106">
        <v>-21.572849999999999</v>
      </c>
      <c r="M7106">
        <v>7.8968730000000004E-3</v>
      </c>
      <c r="N7106">
        <v>0</v>
      </c>
      <c r="O7106">
        <v>0.99987139999999997</v>
      </c>
      <c r="P7106">
        <v>3.4478969999999998E-2</v>
      </c>
      <c r="Q7106">
        <v>0.16112650000000001</v>
      </c>
      <c r="R7106">
        <v>0.98633130000000002</v>
      </c>
      <c r="S7106">
        <v>-0.1336975</v>
      </c>
      <c r="T7106">
        <v>0.69823179999999996</v>
      </c>
      <c r="U7106">
        <v>2.9357600000000001</v>
      </c>
      <c r="V7106">
        <v>2.5964979999999999E-2</v>
      </c>
      <c r="W7106">
        <v>0.1749937</v>
      </c>
      <c r="X7106">
        <v>0.98422710000000002</v>
      </c>
      <c r="Y7106">
        <v>-5.2150189999999999E-2</v>
      </c>
      <c r="Z7106">
        <v>0.23110049999999999</v>
      </c>
      <c r="AA7106">
        <v>0.97153120000000004</v>
      </c>
      <c r="AB7106">
        <v>25</v>
      </c>
      <c r="AC7106">
        <v>-18.838899999999899</v>
      </c>
      <c r="AD7106">
        <v>98.388428000000005</v>
      </c>
      <c r="AE7106">
        <v>413.44285000000002</v>
      </c>
      <c r="AF7106">
        <v>-20.921195124343701</v>
      </c>
      <c r="AG7106">
        <v>98.388428000000005</v>
      </c>
      <c r="AH7106">
        <v>391.174333858365</v>
      </c>
      <c r="AI7106">
        <v>75.901128277291605</v>
      </c>
      <c r="AJ7106">
        <v>93.0614360543685</v>
      </c>
      <c r="AK7106">
        <v>403.90015924641301</v>
      </c>
      <c r="AL7106">
        <v>79.921708307245396</v>
      </c>
      <c r="AM7106">
        <v>88.488825607892096</v>
      </c>
      <c r="AN7106">
        <v>0.99999997980025002</v>
      </c>
    </row>
    <row r="7107" spans="1:40" x14ac:dyDescent="0.25">
      <c r="A7107" t="str">
        <f>"20190312155013914"</f>
        <v>20190312155013914</v>
      </c>
      <c r="B7107" t="str">
        <f>"1552377013902845"</f>
        <v>1552377013902845</v>
      </c>
      <c r="C7107" t="s">
        <v>40</v>
      </c>
      <c r="D7107">
        <v>4.6527190000000003</v>
      </c>
      <c r="E7107">
        <v>0.4669856</v>
      </c>
      <c r="F7107" t="s">
        <v>78</v>
      </c>
      <c r="G7107">
        <v>-207.7518</v>
      </c>
      <c r="H7107">
        <v>103.66800000000001</v>
      </c>
      <c r="I7107">
        <v>391.87</v>
      </c>
      <c r="J7107">
        <v>-188.11009999999999</v>
      </c>
      <c r="K7107">
        <v>1.1123989999999999</v>
      </c>
      <c r="L7107">
        <v>-21.335909999999998</v>
      </c>
      <c r="M7107">
        <v>5.460421E-3</v>
      </c>
      <c r="N7107">
        <v>0</v>
      </c>
      <c r="O7107">
        <v>0.99988790000000005</v>
      </c>
      <c r="P7107">
        <v>3.3185590000000001E-2</v>
      </c>
      <c r="Q7107">
        <v>0.1776712</v>
      </c>
      <c r="R7107">
        <v>0.98353020000000002</v>
      </c>
      <c r="S7107">
        <v>-0.1390991</v>
      </c>
      <c r="T7107">
        <v>0.72624739999999999</v>
      </c>
      <c r="U7107">
        <v>2.9277950000000001</v>
      </c>
      <c r="V7107">
        <v>2.7056219999999999E-2</v>
      </c>
      <c r="W7107">
        <v>0.19147990000000001</v>
      </c>
      <c r="X7107">
        <v>0.98112359999999998</v>
      </c>
      <c r="Y7107">
        <v>-5.1517830000000001E-2</v>
      </c>
      <c r="Z7107">
        <v>0.24046290000000001</v>
      </c>
      <c r="AA7107">
        <v>0.96929019999999999</v>
      </c>
      <c r="AB7107">
        <v>25</v>
      </c>
      <c r="AC7107">
        <v>-19.6417</v>
      </c>
      <c r="AD7107">
        <v>102.555601</v>
      </c>
      <c r="AE7107">
        <v>413.20591000000002</v>
      </c>
      <c r="AF7107">
        <v>-20.629950108442198</v>
      </c>
      <c r="AG7107">
        <v>102.555601</v>
      </c>
      <c r="AH7107">
        <v>389.17318870120602</v>
      </c>
      <c r="AI7107">
        <v>75.256738025035602</v>
      </c>
      <c r="AJ7107">
        <v>93.034391398954696</v>
      </c>
      <c r="AK7107">
        <v>402.98761388138598</v>
      </c>
      <c r="AL7107">
        <v>78.960838534875606</v>
      </c>
      <c r="AM7107">
        <v>88.420367802288496</v>
      </c>
      <c r="AN7107">
        <v>1.0000000548108201</v>
      </c>
    </row>
    <row r="7108" spans="1:40" x14ac:dyDescent="0.25">
      <c r="A7108" t="str">
        <f>"20190312155013936"</f>
        <v>20190312155013936</v>
      </c>
      <c r="B7108" t="str">
        <f>"1552377013933102"</f>
        <v>1552377013933102</v>
      </c>
      <c r="C7108" t="s">
        <v>40</v>
      </c>
      <c r="D7108">
        <v>4.9065209999999997</v>
      </c>
      <c r="E7108">
        <v>0.4483279</v>
      </c>
      <c r="F7108" t="s">
        <v>78</v>
      </c>
      <c r="G7108">
        <v>-209.04560000000001</v>
      </c>
      <c r="H7108">
        <v>113.3907</v>
      </c>
      <c r="I7108">
        <v>391.87</v>
      </c>
      <c r="J7108">
        <v>-188.11160000000001</v>
      </c>
      <c r="K7108">
        <v>1.1123749999999999</v>
      </c>
      <c r="L7108">
        <v>-21.09375</v>
      </c>
      <c r="M7108">
        <v>3.0806560000000002E-3</v>
      </c>
      <c r="N7108">
        <v>0</v>
      </c>
      <c r="O7108">
        <v>0.99989839999999997</v>
      </c>
      <c r="P7108">
        <v>3.2176000000000003E-2</v>
      </c>
      <c r="Q7108">
        <v>0.19229750000000001</v>
      </c>
      <c r="R7108">
        <v>0.98080900000000004</v>
      </c>
      <c r="S7108">
        <v>-0.1475525</v>
      </c>
      <c r="T7108">
        <v>0.79133359999999997</v>
      </c>
      <c r="U7108">
        <v>2.9122620000000001</v>
      </c>
      <c r="V7108">
        <v>2.837829E-2</v>
      </c>
      <c r="W7108">
        <v>0.2060369</v>
      </c>
      <c r="X7108">
        <v>0.97813269999999997</v>
      </c>
      <c r="Y7108">
        <v>-5.191175E-2</v>
      </c>
      <c r="Z7108">
        <v>0.26188149999999999</v>
      </c>
      <c r="AA7108">
        <v>0.96370290000000003</v>
      </c>
      <c r="AB7108">
        <v>24</v>
      </c>
      <c r="AC7108">
        <v>-20.934000000000001</v>
      </c>
      <c r="AD7108">
        <v>112.278325</v>
      </c>
      <c r="AE7108">
        <v>412.96375</v>
      </c>
      <c r="AF7108">
        <v>-20.681354606791999</v>
      </c>
      <c r="AG7108">
        <v>112.278325</v>
      </c>
      <c r="AH7108">
        <v>384.54424644262599</v>
      </c>
      <c r="AI7108">
        <v>73.745623351594304</v>
      </c>
      <c r="AJ7108">
        <v>93.078485378090306</v>
      </c>
      <c r="AK7108">
        <v>401.13391550117598</v>
      </c>
      <c r="AL7108">
        <v>78.109795746236998</v>
      </c>
      <c r="AM7108">
        <v>88.338159773829602</v>
      </c>
      <c r="AN7108">
        <v>1.00000005515711</v>
      </c>
    </row>
    <row r="7109" spans="1:40" x14ac:dyDescent="0.25">
      <c r="A7109" t="str">
        <f>"20190312155013960"</f>
        <v>20190312155013960</v>
      </c>
      <c r="B7109" t="str">
        <f>"1552377013952621"</f>
        <v>1552377013952621</v>
      </c>
      <c r="C7109" t="s">
        <v>40</v>
      </c>
      <c r="D7109">
        <v>4.9908469999999996</v>
      </c>
      <c r="E7109">
        <v>0.44632820000000001</v>
      </c>
      <c r="F7109" t="s">
        <v>48</v>
      </c>
      <c r="G7109">
        <v>0</v>
      </c>
      <c r="H7109">
        <v>0</v>
      </c>
      <c r="I7109">
        <v>0</v>
      </c>
      <c r="J7109">
        <v>-188.11369999999999</v>
      </c>
      <c r="K7109">
        <v>1.112312</v>
      </c>
      <c r="L7109">
        <v>-20.831209999999999</v>
      </c>
      <c r="M7109">
        <v>6.266609E-4</v>
      </c>
      <c r="N7109">
        <v>0</v>
      </c>
      <c r="O7109">
        <v>0.99990369999999995</v>
      </c>
      <c r="P7109">
        <v>3.104003E-2</v>
      </c>
      <c r="Q7109">
        <v>0.20216219999999999</v>
      </c>
      <c r="R7109">
        <v>0.97885999999999995</v>
      </c>
      <c r="S7109">
        <v>-0.26300050000000003</v>
      </c>
      <c r="T7109">
        <v>1.3738049999999999</v>
      </c>
      <c r="U7109">
        <v>2.797974</v>
      </c>
      <c r="V7109">
        <v>2.9662689999999999E-2</v>
      </c>
      <c r="W7109">
        <v>0.2158167</v>
      </c>
      <c r="X7109">
        <v>0.9759833</v>
      </c>
      <c r="Y7109">
        <v>-8.4700460000000005E-2</v>
      </c>
      <c r="Z7109">
        <v>0.439166</v>
      </c>
      <c r="AA7109">
        <v>0.89440429999999904</v>
      </c>
      <c r="AB7109">
        <v>24</v>
      </c>
      <c r="AC7109">
        <v>-0.26300050000000003</v>
      </c>
      <c r="AD7109">
        <v>1.3738049999999999</v>
      </c>
      <c r="AE7109">
        <v>2.797974</v>
      </c>
      <c r="AF7109">
        <v>-0.21368886940404599</v>
      </c>
      <c r="AG7109">
        <v>1.3738049999999999</v>
      </c>
      <c r="AH7109">
        <v>2.2581738760464498</v>
      </c>
      <c r="AI7109">
        <v>58.798212049968903</v>
      </c>
      <c r="AJ7109">
        <v>95.405748517484099</v>
      </c>
      <c r="AK7109">
        <v>2.6518582853144399</v>
      </c>
      <c r="AL7109">
        <v>77.536555092974496</v>
      </c>
      <c r="AM7109">
        <v>88.259166997131402</v>
      </c>
      <c r="AN7109">
        <v>1.0000000625279</v>
      </c>
    </row>
    <row r="7110" spans="1:40" x14ac:dyDescent="0.25">
      <c r="A7110" t="str">
        <f>"20190312155013984"</f>
        <v>20190312155013984</v>
      </c>
      <c r="B7110" t="str">
        <f>"1552377013973117"</f>
        <v>1552377013973117</v>
      </c>
      <c r="C7110" t="s">
        <v>40</v>
      </c>
      <c r="D7110">
        <v>4.9036309999999999</v>
      </c>
      <c r="E7110">
        <v>0.44603490000000001</v>
      </c>
      <c r="F7110" t="s">
        <v>48</v>
      </c>
      <c r="G7110">
        <v>0</v>
      </c>
      <c r="H7110">
        <v>0</v>
      </c>
      <c r="I7110">
        <v>0</v>
      </c>
      <c r="J7110">
        <v>-188.11619999999999</v>
      </c>
      <c r="K7110">
        <v>1.1122320000000001</v>
      </c>
      <c r="L7110">
        <v>-20.571439999999999</v>
      </c>
      <c r="M7110">
        <v>-1.660351E-3</v>
      </c>
      <c r="N7110">
        <v>0</v>
      </c>
      <c r="O7110">
        <v>0.99990369999999995</v>
      </c>
      <c r="P7110">
        <v>3.011482E-2</v>
      </c>
      <c r="Q7110">
        <v>0.21080579999999999</v>
      </c>
      <c r="R7110">
        <v>0.97706400000000004</v>
      </c>
      <c r="S7110">
        <v>-0.28010559999999901</v>
      </c>
      <c r="T7110">
        <v>1.4186209999999999</v>
      </c>
      <c r="U7110">
        <v>2.7806700000000002</v>
      </c>
      <c r="V7110">
        <v>3.0995970000000001E-2</v>
      </c>
      <c r="W7110">
        <v>0.2243502</v>
      </c>
      <c r="X7110">
        <v>0.97401550000000003</v>
      </c>
      <c r="Y7110">
        <v>-8.7717710000000004E-2</v>
      </c>
      <c r="Z7110">
        <v>0.45266380000000001</v>
      </c>
      <c r="AA7110">
        <v>0.88735620000000004</v>
      </c>
      <c r="AB7110">
        <v>24</v>
      </c>
      <c r="AC7110">
        <v>-0.28010559999999901</v>
      </c>
      <c r="AD7110">
        <v>1.4186209999999999</v>
      </c>
      <c r="AE7110">
        <v>2.7806700000000002</v>
      </c>
      <c r="AF7110">
        <v>-0.219047754963028</v>
      </c>
      <c r="AG7110">
        <v>1.4186209999999999</v>
      </c>
      <c r="AH7110">
        <v>2.2113515405547099</v>
      </c>
      <c r="AI7110">
        <v>57.4461124261408</v>
      </c>
      <c r="AJ7110">
        <v>95.657039444415702</v>
      </c>
      <c r="AK7110">
        <v>2.6363882674046799</v>
      </c>
      <c r="AL7110">
        <v>77.035329175764105</v>
      </c>
      <c r="AM7110">
        <v>88.177298890798994</v>
      </c>
      <c r="AN7110">
        <v>0.99999997831826504</v>
      </c>
    </row>
    <row r="7111" spans="1:40" x14ac:dyDescent="0.25">
      <c r="A7111" t="str">
        <f>"20190312155014006"</f>
        <v>20190312155014006</v>
      </c>
      <c r="B7111" t="str">
        <f>"1552377014003373"</f>
        <v>1552377014003373</v>
      </c>
      <c r="C7111" t="s">
        <v>40</v>
      </c>
      <c r="D7111">
        <v>4.8970330000000004</v>
      </c>
      <c r="E7111">
        <v>0.44478859999999998</v>
      </c>
      <c r="F7111" t="s">
        <v>48</v>
      </c>
      <c r="G7111">
        <v>0</v>
      </c>
      <c r="H7111">
        <v>0</v>
      </c>
      <c r="I7111">
        <v>0</v>
      </c>
      <c r="J7111">
        <v>-188.1189</v>
      </c>
      <c r="K7111">
        <v>1.112144</v>
      </c>
      <c r="L7111">
        <v>-20.334689999999998</v>
      </c>
      <c r="M7111">
        <v>-3.5946900000000002E-3</v>
      </c>
      <c r="N7111">
        <v>0</v>
      </c>
      <c r="O7111">
        <v>0.99990000000000001</v>
      </c>
      <c r="P7111">
        <v>2.9414240000000001E-2</v>
      </c>
      <c r="Q7111">
        <v>0.2211919</v>
      </c>
      <c r="R7111">
        <v>0.97478659999999995</v>
      </c>
      <c r="S7111">
        <v>-0.28356930000000002</v>
      </c>
      <c r="T7111">
        <v>1.455848</v>
      </c>
      <c r="U7111">
        <v>2.7650450000000002</v>
      </c>
      <c r="V7111">
        <v>3.2197110000000001E-2</v>
      </c>
      <c r="W7111">
        <v>0.23460059999999999</v>
      </c>
      <c r="X7111">
        <v>0.97155849999999999</v>
      </c>
      <c r="Y7111">
        <v>-8.6793969999999998E-2</v>
      </c>
      <c r="Z7111">
        <v>0.464055</v>
      </c>
      <c r="AA7111">
        <v>0.88154399999999999</v>
      </c>
      <c r="AB7111">
        <v>24</v>
      </c>
      <c r="AC7111">
        <v>-0.28356930000000002</v>
      </c>
      <c r="AD7111">
        <v>1.455848</v>
      </c>
      <c r="AE7111">
        <v>2.7650450000000002</v>
      </c>
      <c r="AF7111">
        <v>-0.21472117391158199</v>
      </c>
      <c r="AG7111">
        <v>1.455848</v>
      </c>
      <c r="AH7111">
        <v>2.1705776135890602</v>
      </c>
      <c r="AI7111">
        <v>56.278424982706397</v>
      </c>
      <c r="AJ7111">
        <v>95.649519455366203</v>
      </c>
      <c r="AK7111">
        <v>2.6224045756221401</v>
      </c>
      <c r="AL7111">
        <v>76.431919410942001</v>
      </c>
      <c r="AM7111">
        <v>88.101932479486095</v>
      </c>
      <c r="AN7111">
        <v>1.0000000071674799</v>
      </c>
    </row>
    <row r="7112" spans="1:40" x14ac:dyDescent="0.25">
      <c r="A7112" t="str">
        <f>"20190312155014026"</f>
        <v>20190312155014026</v>
      </c>
      <c r="B7112" t="str">
        <f>"1552377014022893"</f>
        <v>1552377014022893</v>
      </c>
      <c r="C7112" t="s">
        <v>40</v>
      </c>
      <c r="D7112">
        <v>4.8839560000000004</v>
      </c>
      <c r="E7112">
        <v>0.44492969999999998</v>
      </c>
      <c r="F7112" t="s">
        <v>48</v>
      </c>
      <c r="G7112">
        <v>0</v>
      </c>
      <c r="H7112">
        <v>0</v>
      </c>
      <c r="I7112">
        <v>0</v>
      </c>
      <c r="J7112">
        <v>-188.1217</v>
      </c>
      <c r="K7112">
        <v>1.1120270000000001</v>
      </c>
      <c r="L7112">
        <v>-20.112729999999999</v>
      </c>
      <c r="M7112">
        <v>-5.2700910000000002E-3</v>
      </c>
      <c r="N7112">
        <v>0</v>
      </c>
      <c r="O7112">
        <v>0.99989410000000001</v>
      </c>
      <c r="P7112">
        <v>2.891264E-2</v>
      </c>
      <c r="Q7112">
        <v>0.2242971</v>
      </c>
      <c r="R7112">
        <v>0.97409179999999995</v>
      </c>
      <c r="S7112">
        <v>-0.29722599999999999</v>
      </c>
      <c r="T7112">
        <v>1.4539390000000001</v>
      </c>
      <c r="U7112">
        <v>2.756653</v>
      </c>
      <c r="V7112">
        <v>3.337072E-2</v>
      </c>
      <c r="W7112">
        <v>0.23758370000000001</v>
      </c>
      <c r="X7112">
        <v>0.97079369999999998</v>
      </c>
      <c r="Y7112">
        <v>-8.9692010000000003E-2</v>
      </c>
      <c r="Z7112">
        <v>0.46452130000000003</v>
      </c>
      <c r="AA7112">
        <v>0.88100809999999996</v>
      </c>
      <c r="AB7112">
        <v>24</v>
      </c>
      <c r="AC7112">
        <v>-0.29722599999999999</v>
      </c>
      <c r="AD7112">
        <v>1.4539390000000001</v>
      </c>
      <c r="AE7112">
        <v>2.756653</v>
      </c>
      <c r="AF7112">
        <v>-0.221722454591884</v>
      </c>
      <c r="AG7112">
        <v>1.4539390000000001</v>
      </c>
      <c r="AH7112">
        <v>2.16330549380536</v>
      </c>
      <c r="AI7112">
        <v>56.233752087695002</v>
      </c>
      <c r="AJ7112">
        <v>95.851950232924395</v>
      </c>
      <c r="AK7112">
        <v>2.6159109545471302</v>
      </c>
      <c r="AL7112">
        <v>76.256028051732898</v>
      </c>
      <c r="AM7112">
        <v>88.031251270574302</v>
      </c>
      <c r="AN7112">
        <v>1.0000000137093401</v>
      </c>
    </row>
    <row r="7113" spans="1:40" x14ac:dyDescent="0.25">
      <c r="A7113" t="str">
        <f>"20190312155014049"</f>
        <v>20190312155014049</v>
      </c>
      <c r="B7113" t="str">
        <f>"1552377014042413"</f>
        <v>1552377014042413</v>
      </c>
      <c r="C7113" t="s">
        <v>40</v>
      </c>
      <c r="D7113">
        <v>4.8067769999999896</v>
      </c>
      <c r="E7113">
        <v>0.4453339</v>
      </c>
      <c r="F7113" t="s">
        <v>48</v>
      </c>
      <c r="G7113">
        <v>0</v>
      </c>
      <c r="H7113">
        <v>0</v>
      </c>
      <c r="I7113">
        <v>0</v>
      </c>
      <c r="J7113">
        <v>-188.125</v>
      </c>
      <c r="K7113">
        <v>1.11189</v>
      </c>
      <c r="L7113">
        <v>-19.867280000000001</v>
      </c>
      <c r="M7113">
        <v>-6.9922409999999997E-3</v>
      </c>
      <c r="N7113">
        <v>0</v>
      </c>
      <c r="O7113">
        <v>0.99988529999999998</v>
      </c>
      <c r="P7113">
        <v>2.862048E-2</v>
      </c>
      <c r="Q7113">
        <v>0.22033630000000001</v>
      </c>
      <c r="R7113">
        <v>0.97500399999999998</v>
      </c>
      <c r="S7113">
        <v>-0.2989502</v>
      </c>
      <c r="T7113">
        <v>1.44095</v>
      </c>
      <c r="U7113">
        <v>2.756866</v>
      </c>
      <c r="V7113">
        <v>3.4828860000000003E-2</v>
      </c>
      <c r="W7113">
        <v>0.2335074</v>
      </c>
      <c r="X7113">
        <v>0.97173109999999996</v>
      </c>
      <c r="Y7113">
        <v>-8.8701199999999994E-2</v>
      </c>
      <c r="Z7113">
        <v>0.4612367</v>
      </c>
      <c r="AA7113">
        <v>0.88283230000000001</v>
      </c>
      <c r="AB7113">
        <v>24</v>
      </c>
      <c r="AC7113">
        <v>-0.2989502</v>
      </c>
      <c r="AD7113">
        <v>1.44095</v>
      </c>
      <c r="AE7113">
        <v>2.756866</v>
      </c>
      <c r="AF7113">
        <v>-0.22020547932873799</v>
      </c>
      <c r="AG7113">
        <v>1.44095</v>
      </c>
      <c r="AH7113">
        <v>2.17232628754837</v>
      </c>
      <c r="AI7113">
        <v>56.577615390723402</v>
      </c>
      <c r="AJ7113">
        <v>95.788216093015706</v>
      </c>
      <c r="AK7113">
        <v>2.6160712634024499</v>
      </c>
      <c r="AL7113">
        <v>76.496345155544603</v>
      </c>
      <c r="AM7113">
        <v>87.947279023974403</v>
      </c>
      <c r="AN7113">
        <v>1.0000000430254301</v>
      </c>
    </row>
    <row r="7114" spans="1:40" x14ac:dyDescent="0.25">
      <c r="A7114" t="str">
        <f>"20190312155014071"</f>
        <v>20190312155014071</v>
      </c>
      <c r="B7114" t="str">
        <f>"1552377014062909"</f>
        <v>1552377014062909</v>
      </c>
      <c r="C7114" t="s">
        <v>40</v>
      </c>
      <c r="D7114">
        <v>4.649788</v>
      </c>
      <c r="E7114">
        <v>0.4451851</v>
      </c>
      <c r="F7114" t="s">
        <v>48</v>
      </c>
      <c r="G7114">
        <v>0</v>
      </c>
      <c r="H7114">
        <v>0</v>
      </c>
      <c r="I7114">
        <v>0</v>
      </c>
      <c r="J7114">
        <v>-188.12860000000001</v>
      </c>
      <c r="K7114">
        <v>1.111756</v>
      </c>
      <c r="L7114">
        <v>-19.625730000000001</v>
      </c>
      <c r="M7114">
        <v>-8.5583540000000007E-3</v>
      </c>
      <c r="N7114">
        <v>0</v>
      </c>
      <c r="O7114">
        <v>0.99987479999999995</v>
      </c>
      <c r="P7114">
        <v>2.8061240000000001E-2</v>
      </c>
      <c r="Q7114">
        <v>0.2150832</v>
      </c>
      <c r="R7114">
        <v>0.97619250000000002</v>
      </c>
      <c r="S7114">
        <v>-0.29676819999999998</v>
      </c>
      <c r="T7114">
        <v>1.4140280000000001</v>
      </c>
      <c r="U7114">
        <v>2.7660830000000001</v>
      </c>
      <c r="V7114">
        <v>3.586926E-2</v>
      </c>
      <c r="W7114">
        <v>0.22813659999999999</v>
      </c>
      <c r="X7114">
        <v>0.97296819999999895</v>
      </c>
      <c r="Y7114">
        <v>-8.6575579999999999E-2</v>
      </c>
      <c r="Z7114">
        <v>0.45327590000000001</v>
      </c>
      <c r="AA7114">
        <v>0.8871559</v>
      </c>
      <c r="AB7114">
        <v>24</v>
      </c>
      <c r="AC7114">
        <v>-0.29676819999999998</v>
      </c>
      <c r="AD7114">
        <v>1.4140280000000001</v>
      </c>
      <c r="AE7114">
        <v>2.7660830000000001</v>
      </c>
      <c r="AF7114">
        <v>-0.217015345001909</v>
      </c>
      <c r="AG7114">
        <v>1.4140280000000001</v>
      </c>
      <c r="AH7114">
        <v>2.2001137025227502</v>
      </c>
      <c r="AI7114">
        <v>57.396904511163598</v>
      </c>
      <c r="AJ7114">
        <v>95.633332213524</v>
      </c>
      <c r="AK7114">
        <v>2.6243229886541601</v>
      </c>
      <c r="AL7114">
        <v>76.812609819442898</v>
      </c>
      <c r="AM7114">
        <v>87.8887008595743</v>
      </c>
      <c r="AN7114">
        <v>1.00000001514187</v>
      </c>
    </row>
    <row r="7115" spans="1:40" x14ac:dyDescent="0.25">
      <c r="A7115" t="str">
        <f>"20190312155014092"</f>
        <v>20190312155014092</v>
      </c>
      <c r="B7115" t="str">
        <f>"1552377014082429"</f>
        <v>1552377014082429</v>
      </c>
      <c r="C7115" t="s">
        <v>40</v>
      </c>
      <c r="D7115">
        <v>4.6779580000000003</v>
      </c>
      <c r="E7115">
        <v>0.44429740000000001</v>
      </c>
      <c r="F7115" t="s">
        <v>48</v>
      </c>
      <c r="G7115">
        <v>0</v>
      </c>
      <c r="H7115">
        <v>0</v>
      </c>
      <c r="I7115">
        <v>0</v>
      </c>
      <c r="J7115">
        <v>-188.13220000000001</v>
      </c>
      <c r="K7115">
        <v>1.111623</v>
      </c>
      <c r="L7115">
        <v>-19.396090000000001</v>
      </c>
      <c r="M7115">
        <v>-9.9165239999999995E-3</v>
      </c>
      <c r="N7115">
        <v>0</v>
      </c>
      <c r="O7115">
        <v>0.99986419999999998</v>
      </c>
      <c r="P7115">
        <v>2.8039120000000001E-2</v>
      </c>
      <c r="Q7115">
        <v>0.2086846</v>
      </c>
      <c r="R7115">
        <v>0.97758100000000003</v>
      </c>
      <c r="S7115">
        <v>-0.29797360000000001</v>
      </c>
      <c r="T7115">
        <v>1.405429</v>
      </c>
      <c r="U7115">
        <v>2.7720639999999999</v>
      </c>
      <c r="V7115">
        <v>3.724628E-2</v>
      </c>
      <c r="W7115">
        <v>0.2216101</v>
      </c>
      <c r="X7115">
        <v>0.97442379999999995</v>
      </c>
      <c r="Y7115">
        <v>-8.5562299999999994E-2</v>
      </c>
      <c r="Z7115">
        <v>0.45031789999999999</v>
      </c>
      <c r="AA7115">
        <v>0.88875910000000002</v>
      </c>
      <c r="AB7115">
        <v>24</v>
      </c>
      <c r="AC7115">
        <v>-0.29797360000000001</v>
      </c>
      <c r="AD7115">
        <v>1.405429</v>
      </c>
      <c r="AE7115">
        <v>2.7720639999999999</v>
      </c>
      <c r="AF7115">
        <v>-0.21566472477776399</v>
      </c>
      <c r="AG7115">
        <v>1.405429</v>
      </c>
      <c r="AH7115">
        <v>2.2126307965116601</v>
      </c>
      <c r="AI7115">
        <v>57.699389002676298</v>
      </c>
      <c r="AJ7115">
        <v>95.567024152082993</v>
      </c>
      <c r="AK7115">
        <v>2.6301096914817599</v>
      </c>
      <c r="AL7115">
        <v>77.196380886001194</v>
      </c>
      <c r="AM7115">
        <v>87.810997407211204</v>
      </c>
      <c r="AN7115">
        <v>1.00000003190114</v>
      </c>
    </row>
    <row r="7116" spans="1:40" x14ac:dyDescent="0.25">
      <c r="A7116" t="str">
        <f>"20190312155014115"</f>
        <v>20190312155014115</v>
      </c>
      <c r="B7116" t="str">
        <f>"1552377014112685"</f>
        <v>1552377014112685</v>
      </c>
      <c r="C7116" t="s">
        <v>40</v>
      </c>
      <c r="D7116">
        <v>4.7123759999999999</v>
      </c>
      <c r="E7116">
        <v>0.44408249999999999</v>
      </c>
      <c r="F7116" t="s">
        <v>48</v>
      </c>
      <c r="G7116">
        <v>0</v>
      </c>
      <c r="H7116">
        <v>0</v>
      </c>
      <c r="I7116">
        <v>0</v>
      </c>
      <c r="J7116">
        <v>-188.1362</v>
      </c>
      <c r="K7116">
        <v>1.1114740000000001</v>
      </c>
      <c r="L7116">
        <v>-19.14856</v>
      </c>
      <c r="M7116">
        <v>-1.123858E-2</v>
      </c>
      <c r="N7116">
        <v>0</v>
      </c>
      <c r="O7116">
        <v>0.99985259999999998</v>
      </c>
      <c r="P7116">
        <v>2.797003E-2</v>
      </c>
      <c r="Q7116">
        <v>0.20024649999999999</v>
      </c>
      <c r="R7116">
        <v>0.97934619999999994</v>
      </c>
      <c r="S7116">
        <v>-0.30258180000000001</v>
      </c>
      <c r="T7116">
        <v>1.410655</v>
      </c>
      <c r="U7116">
        <v>2.7763369999999998</v>
      </c>
      <c r="V7116">
        <v>3.8554150000000002E-2</v>
      </c>
      <c r="W7116">
        <v>0.2130157</v>
      </c>
      <c r="X7116">
        <v>0.97628780000000004</v>
      </c>
      <c r="Y7116">
        <v>-8.5518609999999995E-2</v>
      </c>
      <c r="Z7116">
        <v>0.45106190000000002</v>
      </c>
      <c r="AA7116">
        <v>0.88838600000000001</v>
      </c>
      <c r="AB7116">
        <v>24</v>
      </c>
      <c r="AC7116">
        <v>-0.30258180000000001</v>
      </c>
      <c r="AD7116">
        <v>1.410655</v>
      </c>
      <c r="AE7116">
        <v>2.7763369999999998</v>
      </c>
      <c r="AF7116">
        <v>-0.216198327846092</v>
      </c>
      <c r="AG7116">
        <v>1.410655</v>
      </c>
      <c r="AH7116">
        <v>2.2145535632889901</v>
      </c>
      <c r="AI7116">
        <v>57.626163847359699</v>
      </c>
      <c r="AJ7116">
        <v>95.575896521181804</v>
      </c>
      <c r="AK7116">
        <v>2.6345657575138302</v>
      </c>
      <c r="AL7116">
        <v>77.700861100287398</v>
      </c>
      <c r="AM7116">
        <v>87.738532796120296</v>
      </c>
      <c r="AN7116">
        <v>0.99999998967877601</v>
      </c>
    </row>
    <row r="7117" spans="1:40" x14ac:dyDescent="0.25">
      <c r="A7117" t="str">
        <f>"20190312155014137"</f>
        <v>20190312155014137</v>
      </c>
      <c r="B7117" t="str">
        <f>"1552377014133182"</f>
        <v>1552377014133182</v>
      </c>
      <c r="C7117" t="s">
        <v>40</v>
      </c>
      <c r="D7117">
        <v>3.7367840000000001</v>
      </c>
      <c r="E7117">
        <v>0.443214</v>
      </c>
      <c r="F7117" t="s">
        <v>48</v>
      </c>
      <c r="G7117">
        <v>0</v>
      </c>
      <c r="H7117">
        <v>0</v>
      </c>
      <c r="I7117">
        <v>0</v>
      </c>
      <c r="J7117">
        <v>-188.1403</v>
      </c>
      <c r="K7117">
        <v>1.1113280000000001</v>
      </c>
      <c r="L7117">
        <v>-18.90991</v>
      </c>
      <c r="M7117">
        <v>-1.2383389999999999E-2</v>
      </c>
      <c r="N7117">
        <v>0</v>
      </c>
      <c r="O7117">
        <v>0.99984139999999999</v>
      </c>
      <c r="P7117">
        <v>2.9039289999999999E-2</v>
      </c>
      <c r="Q7117">
        <v>0.19278870000000001</v>
      </c>
      <c r="R7117">
        <v>0.98081050000000003</v>
      </c>
      <c r="S7117">
        <v>-0.30393979999999998</v>
      </c>
      <c r="T7117">
        <v>1.3865730000000001</v>
      </c>
      <c r="U7117">
        <v>2.7884220000000002</v>
      </c>
      <c r="V7117">
        <v>4.0821459999999997E-2</v>
      </c>
      <c r="W7117">
        <v>0.2053962</v>
      </c>
      <c r="X7117">
        <v>0.97782720000000001</v>
      </c>
      <c r="Y7117">
        <v>-8.4809099999999998E-2</v>
      </c>
      <c r="Z7117">
        <v>0.44336039999999999</v>
      </c>
      <c r="AA7117">
        <v>0.89232219999999995</v>
      </c>
      <c r="AB7117">
        <v>24</v>
      </c>
      <c r="AC7117">
        <v>-0.30393979999999998</v>
      </c>
      <c r="AD7117">
        <v>1.3865730000000001</v>
      </c>
      <c r="AE7117">
        <v>2.7884220000000002</v>
      </c>
      <c r="AF7117">
        <v>-0.216482742881104</v>
      </c>
      <c r="AG7117">
        <v>1.3865730000000001</v>
      </c>
      <c r="AH7117">
        <v>2.2436924091221999</v>
      </c>
      <c r="AI7117">
        <v>58.4030589487311</v>
      </c>
      <c r="AJ7117">
        <v>95.511125909403503</v>
      </c>
      <c r="AK7117">
        <v>2.6464325211588</v>
      </c>
      <c r="AL7117">
        <v>78.147306944572307</v>
      </c>
      <c r="AM7117">
        <v>87.609454890751195</v>
      </c>
      <c r="AN7117">
        <v>1.0000000118154</v>
      </c>
    </row>
    <row r="7118" spans="1:40" x14ac:dyDescent="0.25">
      <c r="A7118" t="str">
        <f>"20190312155014161"</f>
        <v>20190312155014161</v>
      </c>
      <c r="B7118" t="str">
        <f>"1552377014152701"</f>
        <v>1552377014152701</v>
      </c>
      <c r="C7118" t="s">
        <v>40</v>
      </c>
      <c r="D7118">
        <v>4.6627090000000004</v>
      </c>
      <c r="E7118">
        <v>0.44270700000000002</v>
      </c>
      <c r="F7118" t="s">
        <v>48</v>
      </c>
      <c r="G7118">
        <v>0</v>
      </c>
      <c r="H7118">
        <v>0</v>
      </c>
      <c r="I7118">
        <v>0</v>
      </c>
      <c r="J7118">
        <v>-188.14500000000001</v>
      </c>
      <c r="K7118">
        <v>1.1111839999999999</v>
      </c>
      <c r="L7118">
        <v>-18.643190000000001</v>
      </c>
      <c r="M7118">
        <v>-1.35239E-2</v>
      </c>
      <c r="N7118">
        <v>0</v>
      </c>
      <c r="O7118">
        <v>0.99982919999999997</v>
      </c>
      <c r="P7118">
        <v>3.0514199999999998E-2</v>
      </c>
      <c r="Q7118">
        <v>0.18952749999999999</v>
      </c>
      <c r="R7118">
        <v>0.98140110000000003</v>
      </c>
      <c r="S7118">
        <v>-0.30693049999999999</v>
      </c>
      <c r="T7118">
        <v>1.3739570000000001</v>
      </c>
      <c r="U7118">
        <v>2.7977289999999999</v>
      </c>
      <c r="V7118">
        <v>4.3476849999999997E-2</v>
      </c>
      <c r="W7118">
        <v>0.20193829999999999</v>
      </c>
      <c r="X7118">
        <v>0.97843279999999999</v>
      </c>
      <c r="Y7118">
        <v>-8.4534799999999993E-2</v>
      </c>
      <c r="Z7118">
        <v>0.43891629999999998</v>
      </c>
      <c r="AA7118">
        <v>0.89454259999999997</v>
      </c>
      <c r="AB7118">
        <v>24</v>
      </c>
      <c r="AC7118">
        <v>-0.30693049999999999</v>
      </c>
      <c r="AD7118">
        <v>1.3739570000000001</v>
      </c>
      <c r="AE7118">
        <v>2.7977289999999999</v>
      </c>
      <c r="AF7118">
        <v>-0.21728289640646101</v>
      </c>
      <c r="AG7118">
        <v>1.3739570000000001</v>
      </c>
      <c r="AH7118">
        <v>2.2624610531866001</v>
      </c>
      <c r="AI7118">
        <v>58.8469167790687</v>
      </c>
      <c r="AJ7118">
        <v>95.485764400202797</v>
      </c>
      <c r="AK7118">
        <v>2.6558802141862499</v>
      </c>
      <c r="AL7118">
        <v>78.349671865623804</v>
      </c>
      <c r="AM7118">
        <v>87.455724661996101</v>
      </c>
      <c r="AN7118">
        <v>1.00000002880432</v>
      </c>
    </row>
    <row r="7119" spans="1:40" x14ac:dyDescent="0.25">
      <c r="A7119" t="str">
        <f>"20190312155014185"</f>
        <v>20190312155014185</v>
      </c>
      <c r="B7119" t="str">
        <f>"1552377014182957"</f>
        <v>1552377014182957</v>
      </c>
      <c r="C7119" t="s">
        <v>40</v>
      </c>
      <c r="D7119">
        <v>4.6543970000000003</v>
      </c>
      <c r="E7119">
        <v>0.44291439999999999</v>
      </c>
      <c r="F7119" t="s">
        <v>48</v>
      </c>
      <c r="G7119">
        <v>0</v>
      </c>
      <c r="H7119">
        <v>0</v>
      </c>
      <c r="I7119">
        <v>0</v>
      </c>
      <c r="J7119">
        <v>-188.1497</v>
      </c>
      <c r="K7119">
        <v>1.111062</v>
      </c>
      <c r="L7119">
        <v>-18.386050000000001</v>
      </c>
      <c r="M7119">
        <v>-1.449138E-2</v>
      </c>
      <c r="N7119">
        <v>0</v>
      </c>
      <c r="O7119">
        <v>0.99981799999999998</v>
      </c>
      <c r="P7119">
        <v>3.2461280000000002E-2</v>
      </c>
      <c r="Q7119">
        <v>0.18998039999999999</v>
      </c>
      <c r="R7119">
        <v>0.98125110000000004</v>
      </c>
      <c r="S7119">
        <v>-0.3051758</v>
      </c>
      <c r="T7119">
        <v>1.3701430000000001</v>
      </c>
      <c r="U7119">
        <v>2.801758</v>
      </c>
      <c r="V7119">
        <v>4.6413549999999998E-2</v>
      </c>
      <c r="W7119">
        <v>0.2021947</v>
      </c>
      <c r="X7119">
        <v>0.97824489999999997</v>
      </c>
      <c r="Y7119">
        <v>-8.295516E-2</v>
      </c>
      <c r="Z7119">
        <v>0.43746049999999997</v>
      </c>
      <c r="AA7119">
        <v>0.89540309999999901</v>
      </c>
      <c r="AB7119">
        <v>24</v>
      </c>
      <c r="AC7119">
        <v>-0.3051758</v>
      </c>
      <c r="AD7119">
        <v>1.3701430000000001</v>
      </c>
      <c r="AE7119">
        <v>2.801758</v>
      </c>
      <c r="AF7119">
        <v>-0.213968644128472</v>
      </c>
      <c r="AG7119">
        <v>1.3701430000000001</v>
      </c>
      <c r="AH7119">
        <v>2.26949934855707</v>
      </c>
      <c r="AI7119">
        <v>58.991818825181603</v>
      </c>
      <c r="AJ7119">
        <v>95.385931895023802</v>
      </c>
      <c r="AK7119">
        <v>2.6596431554289599</v>
      </c>
      <c r="AL7119">
        <v>78.334671455554499</v>
      </c>
      <c r="AM7119">
        <v>87.283596603037395</v>
      </c>
      <c r="AN7119">
        <v>0.99999999935385098</v>
      </c>
    </row>
    <row r="7120" spans="1:40" x14ac:dyDescent="0.25">
      <c r="A7120" t="str">
        <f>"20190312155014207"</f>
        <v>20190312155014207</v>
      </c>
      <c r="B7120" t="str">
        <f>"1552377014202477"</f>
        <v>1552377014202477</v>
      </c>
      <c r="C7120" t="s">
        <v>40</v>
      </c>
      <c r="D7120">
        <v>4.5135620000000003</v>
      </c>
      <c r="E7120">
        <v>0.44294440000000002</v>
      </c>
      <c r="F7120" t="s">
        <v>48</v>
      </c>
      <c r="G7120">
        <v>0</v>
      </c>
      <c r="H7120">
        <v>0</v>
      </c>
      <c r="I7120">
        <v>0</v>
      </c>
      <c r="J7120">
        <v>-188.154</v>
      </c>
      <c r="K7120">
        <v>1.110949</v>
      </c>
      <c r="L7120">
        <v>-18.151209999999999</v>
      </c>
      <c r="M7120">
        <v>-1.526098E-2</v>
      </c>
      <c r="N7120">
        <v>0</v>
      </c>
      <c r="O7120">
        <v>0.99980869999999999</v>
      </c>
      <c r="P7120">
        <v>3.3557910000000003E-2</v>
      </c>
      <c r="Q7120">
        <v>0.18535219999999999</v>
      </c>
      <c r="R7120">
        <v>0.98209900000000006</v>
      </c>
      <c r="S7120">
        <v>-0.29525759999999901</v>
      </c>
      <c r="T7120">
        <v>1.3809020000000001</v>
      </c>
      <c r="U7120">
        <v>2.799744</v>
      </c>
      <c r="V7120">
        <v>4.8317079999999998E-2</v>
      </c>
      <c r="W7120">
        <v>0.1974014</v>
      </c>
      <c r="X7120">
        <v>0.97913130000000004</v>
      </c>
      <c r="Y7120">
        <v>-7.895961E-2</v>
      </c>
      <c r="Z7120">
        <v>0.44061470000000003</v>
      </c>
      <c r="AA7120">
        <v>0.89421700000000004</v>
      </c>
      <c r="AB7120">
        <v>24</v>
      </c>
      <c r="AC7120">
        <v>-0.29525759999999901</v>
      </c>
      <c r="AD7120">
        <v>1.3809020000000001</v>
      </c>
      <c r="AE7120">
        <v>2.799744</v>
      </c>
      <c r="AF7120">
        <v>-0.203525950374387</v>
      </c>
      <c r="AG7120">
        <v>1.3809020000000001</v>
      </c>
      <c r="AH7120">
        <v>2.2601455616667101</v>
      </c>
      <c r="AI7120">
        <v>58.678777127036803</v>
      </c>
      <c r="AJ7120">
        <v>95.145602356409995</v>
      </c>
      <c r="AK7120">
        <v>2.6564207321133302</v>
      </c>
      <c r="AL7120">
        <v>78.614958785807801</v>
      </c>
      <c r="AM7120">
        <v>87.174923379272599</v>
      </c>
      <c r="AN7120">
        <v>0.99999997779068694</v>
      </c>
    </row>
    <row r="7121" spans="1:40" x14ac:dyDescent="0.25">
      <c r="A7121" t="str">
        <f>"20190312155014226"</f>
        <v>20190312155014226</v>
      </c>
      <c r="B7121" t="str">
        <f>"1552377014222973"</f>
        <v>1552377014222973</v>
      </c>
      <c r="C7121" t="s">
        <v>40</v>
      </c>
      <c r="D7121">
        <v>4.5430900000000003</v>
      </c>
      <c r="E7121">
        <v>0.4430133</v>
      </c>
      <c r="F7121" t="s">
        <v>48</v>
      </c>
      <c r="G7121">
        <v>0</v>
      </c>
      <c r="H7121">
        <v>0</v>
      </c>
      <c r="I7121">
        <v>0</v>
      </c>
      <c r="J7121">
        <v>-188.15819999999999</v>
      </c>
      <c r="K7121">
        <v>1.110862</v>
      </c>
      <c r="L7121">
        <v>-17.926269999999999</v>
      </c>
      <c r="M7121">
        <v>-1.5918459999999999E-2</v>
      </c>
      <c r="N7121">
        <v>0</v>
      </c>
      <c r="O7121">
        <v>0.99980040000000003</v>
      </c>
      <c r="P7121">
        <v>3.4866279999999999E-2</v>
      </c>
      <c r="Q7121">
        <v>0.1806306</v>
      </c>
      <c r="R7121">
        <v>0.98293280000000005</v>
      </c>
      <c r="S7121">
        <v>-0.28981020000000002</v>
      </c>
      <c r="T7121">
        <v>1.3728830000000001</v>
      </c>
      <c r="U7121">
        <v>2.8054809999999999</v>
      </c>
      <c r="V7121">
        <v>5.0314699999999997E-2</v>
      </c>
      <c r="W7121">
        <v>0.192522</v>
      </c>
      <c r="X7121">
        <v>0.98000189999999998</v>
      </c>
      <c r="Y7121">
        <v>-7.6532139999999999E-2</v>
      </c>
      <c r="Z7121">
        <v>0.4379015</v>
      </c>
      <c r="AA7121">
        <v>0.89575949999999904</v>
      </c>
      <c r="AB7121">
        <v>24</v>
      </c>
      <c r="AC7121">
        <v>-0.28981020000000002</v>
      </c>
      <c r="AD7121">
        <v>1.3728830000000001</v>
      </c>
      <c r="AE7121">
        <v>2.8054809999999999</v>
      </c>
      <c r="AF7121">
        <v>-0.19815903421398001</v>
      </c>
      <c r="AG7121">
        <v>1.3728830000000001</v>
      </c>
      <c r="AH7121">
        <v>2.2715200687305401</v>
      </c>
      <c r="AI7121">
        <v>58.947734493873703</v>
      </c>
      <c r="AJ7121">
        <v>94.985650858041396</v>
      </c>
      <c r="AK7121">
        <v>2.6615555897210199</v>
      </c>
      <c r="AL7121">
        <v>78.899998121522302</v>
      </c>
      <c r="AM7121">
        <v>87.060933276327205</v>
      </c>
      <c r="AN7121">
        <v>1.00000000676185</v>
      </c>
    </row>
    <row r="7122" spans="1:40" x14ac:dyDescent="0.25">
      <c r="A7122" t="str">
        <f>"20190312155014249"</f>
        <v>20190312155014249</v>
      </c>
      <c r="B7122" t="str">
        <f>"1552377014242493"</f>
        <v>1552377014242493</v>
      </c>
      <c r="C7122" t="s">
        <v>40</v>
      </c>
      <c r="D7122">
        <v>4.39459</v>
      </c>
      <c r="E7122">
        <v>0.4431464</v>
      </c>
      <c r="F7122" t="s">
        <v>48</v>
      </c>
      <c r="G7122">
        <v>0</v>
      </c>
      <c r="H7122">
        <v>0</v>
      </c>
      <c r="I7122">
        <v>0</v>
      </c>
      <c r="J7122">
        <v>-188.1628</v>
      </c>
      <c r="K7122">
        <v>1.110795</v>
      </c>
      <c r="L7122">
        <v>-17.683229999999998</v>
      </c>
      <c r="M7122">
        <v>-1.6564570000000001E-2</v>
      </c>
      <c r="N7122">
        <v>0</v>
      </c>
      <c r="O7122">
        <v>0.99979200000000001</v>
      </c>
      <c r="P7122">
        <v>3.6531899999999999E-2</v>
      </c>
      <c r="Q7122">
        <v>0.18114930000000001</v>
      </c>
      <c r="R7122">
        <v>0.98277689999999995</v>
      </c>
      <c r="S7122">
        <v>-0.28451539999999997</v>
      </c>
      <c r="T7122">
        <v>1.3632139999999999</v>
      </c>
      <c r="U7122">
        <v>2.8116759999999998</v>
      </c>
      <c r="V7122">
        <v>5.263118E-2</v>
      </c>
      <c r="W7122">
        <v>0.19286500000000001</v>
      </c>
      <c r="X7122">
        <v>0.97981269999999998</v>
      </c>
      <c r="Y7122">
        <v>-7.4173059999999999E-2</v>
      </c>
      <c r="Z7122">
        <v>0.43469819999999998</v>
      </c>
      <c r="AA7122">
        <v>0.89751650000000005</v>
      </c>
      <c r="AB7122">
        <v>25</v>
      </c>
      <c r="AC7122">
        <v>-0.28451539999999997</v>
      </c>
      <c r="AD7122">
        <v>1.3632139999999999</v>
      </c>
      <c r="AE7122">
        <v>2.8116759999999998</v>
      </c>
      <c r="AF7122">
        <v>-0.19299201656377399</v>
      </c>
      <c r="AG7122">
        <v>1.3632139999999999</v>
      </c>
      <c r="AH7122">
        <v>2.2844421295266502</v>
      </c>
      <c r="AI7122">
        <v>59.263432308601097</v>
      </c>
      <c r="AJ7122">
        <v>94.8289399436715</v>
      </c>
      <c r="AK7122">
        <v>2.6672596745366999</v>
      </c>
      <c r="AL7122">
        <v>78.879969556151295</v>
      </c>
      <c r="AM7122">
        <v>86.925280531135698</v>
      </c>
      <c r="AN7122">
        <v>0.99999993820723898</v>
      </c>
    </row>
    <row r="7123" spans="1:40" x14ac:dyDescent="0.25">
      <c r="A7123" t="str">
        <f>"20190312155014272"</f>
        <v>20190312155014272</v>
      </c>
      <c r="B7123" t="str">
        <f>"1552377014262989"</f>
        <v>1552377014262989</v>
      </c>
      <c r="C7123" t="s">
        <v>40</v>
      </c>
      <c r="D7123">
        <v>4.3604479999999999</v>
      </c>
      <c r="E7123">
        <v>0.44327739999999999</v>
      </c>
      <c r="F7123" t="s">
        <v>48</v>
      </c>
      <c r="G7123">
        <v>0</v>
      </c>
      <c r="H7123">
        <v>0</v>
      </c>
      <c r="I7123">
        <v>0</v>
      </c>
      <c r="J7123">
        <v>-188.1677</v>
      </c>
      <c r="K7123">
        <v>1.1107629999999999</v>
      </c>
      <c r="L7123">
        <v>-17.432590000000001</v>
      </c>
      <c r="M7123">
        <v>-1.7179750000000001E-2</v>
      </c>
      <c r="N7123">
        <v>0</v>
      </c>
      <c r="O7123">
        <v>0.99978370000000005</v>
      </c>
      <c r="P7123">
        <v>3.757075E-2</v>
      </c>
      <c r="Q7123">
        <v>0.18506159999999999</v>
      </c>
      <c r="R7123">
        <v>0.98200849999999995</v>
      </c>
      <c r="S7123">
        <v>-0.27659610000000001</v>
      </c>
      <c r="T7123">
        <v>1.3703449999999999</v>
      </c>
      <c r="U7123">
        <v>2.8102719999999999</v>
      </c>
      <c r="V7123">
        <v>5.4271020000000003E-2</v>
      </c>
      <c r="W7123">
        <v>0.19659499999999999</v>
      </c>
      <c r="X7123">
        <v>0.97898169999999995</v>
      </c>
      <c r="Y7123">
        <v>-7.0999950000000006E-2</v>
      </c>
      <c r="Z7123">
        <v>0.43680760000000002</v>
      </c>
      <c r="AA7123">
        <v>0.89674869999999995</v>
      </c>
      <c r="AB7123">
        <v>25</v>
      </c>
      <c r="AC7123">
        <v>-0.27659610000000001</v>
      </c>
      <c r="AD7123">
        <v>1.3703449999999999</v>
      </c>
      <c r="AE7123">
        <v>2.8102719999999999</v>
      </c>
      <c r="AF7123">
        <v>-0.18476216053195901</v>
      </c>
      <c r="AG7123">
        <v>1.3703449999999999</v>
      </c>
      <c r="AH7123">
        <v>2.2781282227987201</v>
      </c>
      <c r="AI7123">
        <v>59.0550477400799</v>
      </c>
      <c r="AJ7123">
        <v>94.636689278110097</v>
      </c>
      <c r="AK7123">
        <v>2.6649297691499299</v>
      </c>
      <c r="AL7123">
        <v>78.662086476541404</v>
      </c>
      <c r="AM7123">
        <v>86.826987763273294</v>
      </c>
      <c r="AN7123">
        <v>1.0000000532858599</v>
      </c>
    </row>
    <row r="7124" spans="1:40" x14ac:dyDescent="0.25">
      <c r="A7124" t="str">
        <f>"20190312155014293"</f>
        <v>20190312155014293</v>
      </c>
      <c r="B7124" t="str">
        <f>"1552377014282509"</f>
        <v>1552377014282509</v>
      </c>
      <c r="C7124" t="s">
        <v>40</v>
      </c>
      <c r="D7124">
        <v>4.4520429999999998</v>
      </c>
      <c r="E7124">
        <v>0.44324180000000002</v>
      </c>
      <c r="F7124" t="s">
        <v>48</v>
      </c>
      <c r="G7124">
        <v>0</v>
      </c>
      <c r="H7124">
        <v>0</v>
      </c>
      <c r="I7124">
        <v>0</v>
      </c>
      <c r="J7124">
        <v>-188.17240000000001</v>
      </c>
      <c r="K7124">
        <v>1.110757</v>
      </c>
      <c r="L7124">
        <v>-17.20035</v>
      </c>
      <c r="M7124">
        <v>-1.7713079999999999E-2</v>
      </c>
      <c r="N7124">
        <v>0</v>
      </c>
      <c r="O7124">
        <v>0.99977640000000001</v>
      </c>
      <c r="P7124">
        <v>3.9303249999999998E-2</v>
      </c>
      <c r="Q7124">
        <v>0.1914401</v>
      </c>
      <c r="R7124">
        <v>0.98071710000000001</v>
      </c>
      <c r="S7124">
        <v>-0.27108759999999998</v>
      </c>
      <c r="T7124">
        <v>1.3882270000000001</v>
      </c>
      <c r="U7124">
        <v>2.8037109999999998</v>
      </c>
      <c r="V7124">
        <v>5.6507809999999999E-2</v>
      </c>
      <c r="W7124">
        <v>0.20279469999999999</v>
      </c>
      <c r="X7124">
        <v>0.9775895</v>
      </c>
      <c r="Y7124">
        <v>-6.8669069999999999E-2</v>
      </c>
      <c r="Z7124">
        <v>0.44229089999999999</v>
      </c>
      <c r="AA7124">
        <v>0.89423889999999995</v>
      </c>
      <c r="AB7124">
        <v>25</v>
      </c>
      <c r="AC7124">
        <v>-0.27108759999999998</v>
      </c>
      <c r="AD7124">
        <v>1.3882270000000001</v>
      </c>
      <c r="AE7124">
        <v>2.8037109999999998</v>
      </c>
      <c r="AF7124">
        <v>-0.17811635349630001</v>
      </c>
      <c r="AG7124">
        <v>1.3882270000000001</v>
      </c>
      <c r="AH7124">
        <v>2.2593058368573899</v>
      </c>
      <c r="AI7124">
        <v>58.510537105660902</v>
      </c>
      <c r="AJ7124">
        <v>94.507690299041599</v>
      </c>
      <c r="AK7124">
        <v>2.65769872321331</v>
      </c>
      <c r="AL7124">
        <v>78.299567060094603</v>
      </c>
      <c r="AM7124">
        <v>86.691801278989999</v>
      </c>
      <c r="AN7124">
        <v>1.00000002672466</v>
      </c>
    </row>
    <row r="7125" spans="1:40" x14ac:dyDescent="0.25">
      <c r="A7125" t="str">
        <f>"20190312155014316"</f>
        <v>20190312155014316</v>
      </c>
      <c r="B7125" t="str">
        <f>"1552377014312765"</f>
        <v>1552377014312765</v>
      </c>
      <c r="C7125" t="s">
        <v>40</v>
      </c>
      <c r="D7125">
        <v>4.3977089999999999</v>
      </c>
      <c r="E7125">
        <v>0.44343129999999997</v>
      </c>
      <c r="F7125" t="s">
        <v>48</v>
      </c>
      <c r="G7125">
        <v>0</v>
      </c>
      <c r="H7125">
        <v>0</v>
      </c>
      <c r="I7125">
        <v>0</v>
      </c>
      <c r="J7125">
        <v>-188.17750000000001</v>
      </c>
      <c r="K7125">
        <v>1.1107199999999999</v>
      </c>
      <c r="L7125">
        <v>-16.947689999999898</v>
      </c>
      <c r="M7125">
        <v>-1.8257820000000001E-2</v>
      </c>
      <c r="N7125">
        <v>0</v>
      </c>
      <c r="O7125">
        <v>0.99976869999999995</v>
      </c>
      <c r="P7125">
        <v>4.1064780000000002E-2</v>
      </c>
      <c r="Q7125">
        <v>0.1919266</v>
      </c>
      <c r="R7125">
        <v>0.98054980000000003</v>
      </c>
      <c r="S7125">
        <v>-0.26512150000000001</v>
      </c>
      <c r="T7125">
        <v>1.4150069999999999</v>
      </c>
      <c r="U7125">
        <v>2.793396</v>
      </c>
      <c r="V7125">
        <v>5.8808829999999999E-2</v>
      </c>
      <c r="W7125">
        <v>0.20309489999999999</v>
      </c>
      <c r="X7125">
        <v>0.97739140000000002</v>
      </c>
      <c r="Y7125">
        <v>-6.6162680000000001E-2</v>
      </c>
      <c r="Z7125">
        <v>0.45049539999999999</v>
      </c>
      <c r="AA7125">
        <v>0.8903238</v>
      </c>
      <c r="AB7125">
        <v>25</v>
      </c>
      <c r="AC7125">
        <v>-0.26512150000000001</v>
      </c>
      <c r="AD7125">
        <v>1.4150069999999999</v>
      </c>
      <c r="AE7125">
        <v>2.793396</v>
      </c>
      <c r="AF7125">
        <v>-0.17067014566870001</v>
      </c>
      <c r="AG7125">
        <v>1.4150069999999999</v>
      </c>
      <c r="AH7125">
        <v>2.2305321756947398</v>
      </c>
      <c r="AI7125">
        <v>57.685338055703099</v>
      </c>
      <c r="AJ7125">
        <v>94.375486012199801</v>
      </c>
      <c r="AK7125">
        <v>2.6470071581846999</v>
      </c>
      <c r="AL7125">
        <v>78.282000806258907</v>
      </c>
      <c r="AM7125">
        <v>86.556711736244907</v>
      </c>
      <c r="AN7125">
        <v>0.99999998284296898</v>
      </c>
    </row>
    <row r="7126" spans="1:40" x14ac:dyDescent="0.25">
      <c r="A7126" t="str">
        <f>"20190312155014339"</f>
        <v>20190312155014339</v>
      </c>
      <c r="B7126" t="str">
        <f>"1552377014333262"</f>
        <v>1552377014333262</v>
      </c>
      <c r="C7126" t="s">
        <v>40</v>
      </c>
      <c r="D7126">
        <v>4.312182</v>
      </c>
      <c r="E7126">
        <v>0.44342150000000002</v>
      </c>
      <c r="F7126" t="s">
        <v>48</v>
      </c>
      <c r="G7126">
        <v>0</v>
      </c>
      <c r="H7126">
        <v>0</v>
      </c>
      <c r="I7126">
        <v>0</v>
      </c>
      <c r="J7126">
        <v>-188.18270000000001</v>
      </c>
      <c r="K7126">
        <v>1.1106579999999999</v>
      </c>
      <c r="L7126">
        <v>-16.69791</v>
      </c>
      <c r="M7126">
        <v>-1.876061E-2</v>
      </c>
      <c r="N7126">
        <v>0</v>
      </c>
      <c r="O7126">
        <v>0.99976160000000003</v>
      </c>
      <c r="P7126">
        <v>4.2542839999999998E-2</v>
      </c>
      <c r="Q7126">
        <v>0.1876708</v>
      </c>
      <c r="R7126">
        <v>0.98131020000000002</v>
      </c>
      <c r="S7126">
        <v>-0.25709530000000003</v>
      </c>
      <c r="T7126">
        <v>1.4256169999999999</v>
      </c>
      <c r="U7126">
        <v>2.791229</v>
      </c>
      <c r="V7126">
        <v>6.0807340000000001E-2</v>
      </c>
      <c r="W7126">
        <v>0.19865550000000001</v>
      </c>
      <c r="X7126">
        <v>0.97818119999999997</v>
      </c>
      <c r="Y7126">
        <v>-6.3045989999999996E-2</v>
      </c>
      <c r="Z7126">
        <v>0.4535458</v>
      </c>
      <c r="AA7126">
        <v>0.88900020000000002</v>
      </c>
      <c r="AB7126">
        <v>25</v>
      </c>
      <c r="AC7126">
        <v>-0.25709530000000003</v>
      </c>
      <c r="AD7126">
        <v>1.4256169999999999</v>
      </c>
      <c r="AE7126">
        <v>2.791229</v>
      </c>
      <c r="AF7126">
        <v>-0.16261740179857501</v>
      </c>
      <c r="AG7126">
        <v>1.4256169999999999</v>
      </c>
      <c r="AH7126">
        <v>2.2210441144416802</v>
      </c>
      <c r="AI7126">
        <v>57.374481574499498</v>
      </c>
      <c r="AJ7126">
        <v>94.187532830710097</v>
      </c>
      <c r="AK7126">
        <v>2.6442135330477199</v>
      </c>
      <c r="AL7126">
        <v>78.541652661660606</v>
      </c>
      <c r="AM7126">
        <v>86.442860944130999</v>
      </c>
      <c r="AN7126">
        <v>1.0000000001557801</v>
      </c>
    </row>
    <row r="7127" spans="1:40" x14ac:dyDescent="0.25">
      <c r="A7127" t="str">
        <f>"20190312155014361"</f>
        <v>20190312155014361</v>
      </c>
      <c r="B7127" t="str">
        <f>"1552377014352781"</f>
        <v>1552377014352781</v>
      </c>
      <c r="C7127" t="s">
        <v>40</v>
      </c>
      <c r="D7127">
        <v>4.2898620000000003</v>
      </c>
      <c r="E7127">
        <v>0.44354870000000002</v>
      </c>
      <c r="F7127" t="s">
        <v>48</v>
      </c>
      <c r="G7127">
        <v>0</v>
      </c>
      <c r="H7127">
        <v>0</v>
      </c>
      <c r="I7127">
        <v>0</v>
      </c>
      <c r="J7127">
        <v>-188.18790000000001</v>
      </c>
      <c r="K7127">
        <v>1.110579</v>
      </c>
      <c r="L7127">
        <v>-16.448090000000001</v>
      </c>
      <c r="M7127">
        <v>-1.9221869999999999E-2</v>
      </c>
      <c r="N7127">
        <v>0</v>
      </c>
      <c r="O7127">
        <v>0.99975510000000001</v>
      </c>
      <c r="P7127">
        <v>4.4208169999999998E-2</v>
      </c>
      <c r="Q7127">
        <v>0.18110999999999999</v>
      </c>
      <c r="R7127">
        <v>0.98246869999999997</v>
      </c>
      <c r="S7127">
        <v>-0.25331120000000001</v>
      </c>
      <c r="T7127">
        <v>1.4177660000000001</v>
      </c>
      <c r="U7127">
        <v>2.796967</v>
      </c>
      <c r="V7127">
        <v>6.2964649999999997E-2</v>
      </c>
      <c r="W7127">
        <v>0.19190009999999999</v>
      </c>
      <c r="X7127">
        <v>0.97939259999999995</v>
      </c>
      <c r="Y7127">
        <v>-6.1348729999999997E-2</v>
      </c>
      <c r="Z7127">
        <v>0.45086569999999998</v>
      </c>
      <c r="AA7127">
        <v>0.89048109999999903</v>
      </c>
      <c r="AB7127">
        <v>25</v>
      </c>
      <c r="AC7127">
        <v>-0.25331120000000001</v>
      </c>
      <c r="AD7127">
        <v>1.4177660000000001</v>
      </c>
      <c r="AE7127">
        <v>2.796967</v>
      </c>
      <c r="AF7127">
        <v>-0.15898157259069601</v>
      </c>
      <c r="AG7127">
        <v>1.4177660000000001</v>
      </c>
      <c r="AH7127">
        <v>2.23239176641163</v>
      </c>
      <c r="AI7127">
        <v>57.646397215118903</v>
      </c>
      <c r="AJ7127">
        <v>94.073487754237505</v>
      </c>
      <c r="AK7127">
        <v>2.6493222850234401</v>
      </c>
      <c r="AL7127">
        <v>78.936307667124893</v>
      </c>
      <c r="AM7127">
        <v>86.321545880410994</v>
      </c>
      <c r="AN7127">
        <v>1.0000000302321901</v>
      </c>
    </row>
    <row r="7128" spans="1:40" x14ac:dyDescent="0.25">
      <c r="A7128" t="str">
        <f>"20190312155014385"</f>
        <v>20190312155014385</v>
      </c>
      <c r="B7128" t="str">
        <f>"1552377014383037"</f>
        <v>1552377014383037</v>
      </c>
      <c r="C7128" t="s">
        <v>40</v>
      </c>
      <c r="D7128">
        <v>4.409357</v>
      </c>
      <c r="E7128">
        <v>0.4449438</v>
      </c>
      <c r="F7128" t="s">
        <v>48</v>
      </c>
      <c r="G7128">
        <v>0</v>
      </c>
      <c r="H7128">
        <v>0</v>
      </c>
      <c r="I7128">
        <v>0</v>
      </c>
      <c r="J7128">
        <v>-188.1935</v>
      </c>
      <c r="K7128">
        <v>1.110474</v>
      </c>
      <c r="L7128">
        <v>-16.183989999999898</v>
      </c>
      <c r="M7128">
        <v>-1.9652090000000001E-2</v>
      </c>
      <c r="N7128">
        <v>0</v>
      </c>
      <c r="O7128">
        <v>0.99974929999999995</v>
      </c>
      <c r="P7128">
        <v>4.6728409999999998E-2</v>
      </c>
      <c r="Q7128">
        <v>0.1741084</v>
      </c>
      <c r="R7128">
        <v>0.98361719999999997</v>
      </c>
      <c r="S7128">
        <v>-0.2492828</v>
      </c>
      <c r="T7128">
        <v>1.400026</v>
      </c>
      <c r="U7128">
        <v>2.8066710000000001</v>
      </c>
      <c r="V7128">
        <v>6.5950579999999995E-2</v>
      </c>
      <c r="W7128">
        <v>0.18467420000000001</v>
      </c>
      <c r="X7128">
        <v>0.98058449999999997</v>
      </c>
      <c r="Y7128">
        <v>-5.9627399999999997E-2</v>
      </c>
      <c r="Z7128">
        <v>0.44516509999999998</v>
      </c>
      <c r="AA7128">
        <v>0.89346099999999995</v>
      </c>
      <c r="AB7128">
        <v>25</v>
      </c>
      <c r="AC7128">
        <v>-0.2492828</v>
      </c>
      <c r="AD7128">
        <v>1.400026</v>
      </c>
      <c r="AE7128">
        <v>2.8066710000000001</v>
      </c>
      <c r="AF7128">
        <v>-0.15564877626138399</v>
      </c>
      <c r="AG7128">
        <v>1.400026</v>
      </c>
      <c r="AH7128">
        <v>2.25445912781298</v>
      </c>
      <c r="AI7128">
        <v>58.220613713662601</v>
      </c>
      <c r="AJ7128">
        <v>93.9494567753366</v>
      </c>
      <c r="AK7128">
        <v>2.6583613940183</v>
      </c>
      <c r="AL7128">
        <v>79.357861858276493</v>
      </c>
      <c r="AM7128">
        <v>86.152286960847803</v>
      </c>
      <c r="AN7128">
        <v>1.0000000003941101</v>
      </c>
    </row>
    <row r="7129" spans="1:40" x14ac:dyDescent="0.25">
      <c r="A7129" t="str">
        <f>"20190312155014409"</f>
        <v>20190312155014409</v>
      </c>
      <c r="B7129" t="str">
        <f>"1552377014402557"</f>
        <v>1552377014402557</v>
      </c>
      <c r="C7129" t="s">
        <v>40</v>
      </c>
      <c r="D7129">
        <v>4.4180539999999997</v>
      </c>
      <c r="E7129">
        <v>0.4952781</v>
      </c>
      <c r="F7129" t="s">
        <v>48</v>
      </c>
      <c r="G7129">
        <v>0</v>
      </c>
      <c r="H7129">
        <v>0</v>
      </c>
      <c r="I7129">
        <v>0</v>
      </c>
      <c r="J7129">
        <v>-188.19909999999999</v>
      </c>
      <c r="K7129">
        <v>1.110363</v>
      </c>
      <c r="L7129">
        <v>-15.923220000000001</v>
      </c>
      <c r="M7129">
        <v>-1.9996360000000001E-2</v>
      </c>
      <c r="N7129">
        <v>0</v>
      </c>
      <c r="O7129">
        <v>0.99974510000000005</v>
      </c>
      <c r="P7129">
        <v>4.9239669999999999E-2</v>
      </c>
      <c r="Q7129">
        <v>0.166007399999999</v>
      </c>
      <c r="R7129">
        <v>0.98489439999999995</v>
      </c>
      <c r="S7129">
        <v>-0.23384089999999999</v>
      </c>
      <c r="T7129">
        <v>1.375864</v>
      </c>
      <c r="U7129">
        <v>2.8175349999999999</v>
      </c>
      <c r="V7129">
        <v>6.8848740000000005E-2</v>
      </c>
      <c r="W7129">
        <v>0.17633859999999901</v>
      </c>
      <c r="X7129">
        <v>0.98191879999999998</v>
      </c>
      <c r="Y7129">
        <v>-5.4419219999999997E-2</v>
      </c>
      <c r="Z7129">
        <v>0.43775649999999999</v>
      </c>
      <c r="AA7129">
        <v>0.897445099999999</v>
      </c>
      <c r="AB7129">
        <v>25</v>
      </c>
      <c r="AC7129">
        <v>-0.23384089999999999</v>
      </c>
      <c r="AD7129">
        <v>1.375864</v>
      </c>
      <c r="AE7129">
        <v>2.8175349999999999</v>
      </c>
      <c r="AF7129">
        <v>-0.14347245362746999</v>
      </c>
      <c r="AG7129">
        <v>1.375864</v>
      </c>
      <c r="AH7129">
        <v>2.2813601948306399</v>
      </c>
      <c r="AI7129">
        <v>58.9562547740708</v>
      </c>
      <c r="AJ7129">
        <v>93.598534978746201</v>
      </c>
      <c r="AK7129">
        <v>2.6679937087638699</v>
      </c>
      <c r="AL7129">
        <v>79.843434132247495</v>
      </c>
      <c r="AM7129">
        <v>85.989182934063393</v>
      </c>
      <c r="AN7129">
        <v>0.999999990321493</v>
      </c>
    </row>
    <row r="7130" spans="1:40" x14ac:dyDescent="0.25">
      <c r="A7130" t="str">
        <f>"20190312155014429"</f>
        <v>20190312155014429</v>
      </c>
      <c r="B7130" t="str">
        <f>"1552377014423053"</f>
        <v>1552377014423053</v>
      </c>
      <c r="C7130" t="s">
        <v>40</v>
      </c>
      <c r="D7130">
        <v>4.4195820000000001</v>
      </c>
      <c r="E7130">
        <v>0.49551790000000001</v>
      </c>
      <c r="F7130" t="s">
        <v>48</v>
      </c>
      <c r="G7130">
        <v>0</v>
      </c>
      <c r="H7130">
        <v>0</v>
      </c>
      <c r="I7130">
        <v>0</v>
      </c>
      <c r="J7130">
        <v>-188.20400000000001</v>
      </c>
      <c r="K7130">
        <v>1.1102609999999999</v>
      </c>
      <c r="L7130">
        <v>-15.68994</v>
      </c>
      <c r="M7130">
        <v>-2.0249659999999999E-2</v>
      </c>
      <c r="N7130">
        <v>0</v>
      </c>
      <c r="O7130">
        <v>0.99974229999999997</v>
      </c>
      <c r="P7130">
        <v>5.0208830000000003E-2</v>
      </c>
      <c r="Q7130">
        <v>0.16038640000000001</v>
      </c>
      <c r="R7130">
        <v>0.98577650000000006</v>
      </c>
      <c r="S7130">
        <v>0.13661189999999901</v>
      </c>
      <c r="T7130">
        <v>0.86016930000000003</v>
      </c>
      <c r="U7130">
        <v>2.894196</v>
      </c>
      <c r="V7130">
        <v>7.0103319999999997E-2</v>
      </c>
      <c r="W7130">
        <v>0.170508299999999</v>
      </c>
      <c r="X7130">
        <v>0.98285929999999999</v>
      </c>
      <c r="Y7130">
        <v>6.5420400000000004E-2</v>
      </c>
      <c r="Z7130">
        <v>0.28434920000000002</v>
      </c>
      <c r="AA7130">
        <v>0.95648610000000001</v>
      </c>
      <c r="AB7130">
        <v>25</v>
      </c>
      <c r="AC7130">
        <v>0.13661189999999901</v>
      </c>
      <c r="AD7130">
        <v>0.86016930000000003</v>
      </c>
      <c r="AE7130">
        <v>2.894196</v>
      </c>
      <c r="AF7130">
        <v>0.179383590641437</v>
      </c>
      <c r="AG7130">
        <v>0.86016930000000003</v>
      </c>
      <c r="AH7130">
        <v>2.6566902077272601</v>
      </c>
      <c r="AI7130">
        <v>72.097508030035399</v>
      </c>
      <c r="AJ7130">
        <v>86.137168836594597</v>
      </c>
      <c r="AK7130">
        <v>2.7982266807905001</v>
      </c>
      <c r="AL7130">
        <v>80.182625800456805</v>
      </c>
      <c r="AM7130">
        <v>85.920236281588998</v>
      </c>
      <c r="AN7130">
        <v>0.99999997972020105</v>
      </c>
    </row>
    <row r="7131" spans="1:40" x14ac:dyDescent="0.25">
      <c r="A7131" t="str">
        <f>"20190312155014452"</f>
        <v>20190312155014452</v>
      </c>
      <c r="B7131" t="str">
        <f>"1552377014442573"</f>
        <v>1552377014442573</v>
      </c>
      <c r="C7131" t="s">
        <v>40</v>
      </c>
      <c r="D7131">
        <v>4.449573</v>
      </c>
      <c r="E7131">
        <v>0.49551869999999998</v>
      </c>
      <c r="F7131" t="s">
        <v>48</v>
      </c>
      <c r="G7131">
        <v>0</v>
      </c>
      <c r="H7131">
        <v>0</v>
      </c>
      <c r="I7131">
        <v>0</v>
      </c>
      <c r="J7131">
        <v>-188.20939999999999</v>
      </c>
      <c r="K7131">
        <v>1.1101700000000001</v>
      </c>
      <c r="L7131">
        <v>-15.44055</v>
      </c>
      <c r="M7131">
        <v>-2.045261E-2</v>
      </c>
      <c r="N7131">
        <v>0</v>
      </c>
      <c r="O7131">
        <v>0.99974039999999997</v>
      </c>
      <c r="P7131">
        <v>4.9663569999999997E-2</v>
      </c>
      <c r="Q7131">
        <v>0.15485829999999901</v>
      </c>
      <c r="R7131">
        <v>0.9866876</v>
      </c>
      <c r="S7131">
        <v>0.13725279999999901</v>
      </c>
      <c r="T7131">
        <v>0.79675280000000004</v>
      </c>
      <c r="U7131">
        <v>2.9066770000000002</v>
      </c>
      <c r="V7131">
        <v>6.9794960000000003E-2</v>
      </c>
      <c r="W7131">
        <v>0.16476250000000001</v>
      </c>
      <c r="X7131">
        <v>0.98386079999999998</v>
      </c>
      <c r="Y7131">
        <v>6.5915630000000003E-2</v>
      </c>
      <c r="Z7131">
        <v>0.26385120000000001</v>
      </c>
      <c r="AA7131">
        <v>0.96230850000000001</v>
      </c>
      <c r="AB7131">
        <v>25</v>
      </c>
      <c r="AC7131">
        <v>0.13725279999999901</v>
      </c>
      <c r="AD7131">
        <v>0.79675280000000004</v>
      </c>
      <c r="AE7131">
        <v>2.9066770000000002</v>
      </c>
      <c r="AF7131">
        <v>0.18295975810028201</v>
      </c>
      <c r="AG7131">
        <v>0.79675280000000004</v>
      </c>
      <c r="AH7131">
        <v>2.7007843385308798</v>
      </c>
      <c r="AI7131">
        <v>73.5990862050744</v>
      </c>
      <c r="AJ7131">
        <v>86.124522011399193</v>
      </c>
      <c r="AK7131">
        <v>2.8217947020727201</v>
      </c>
      <c r="AL7131">
        <v>80.516562545479204</v>
      </c>
      <c r="AM7131">
        <v>85.942242420678596</v>
      </c>
      <c r="AN7131">
        <v>1.0000000458121401</v>
      </c>
    </row>
    <row r="7132" spans="1:40" x14ac:dyDescent="0.25">
      <c r="A7132" t="str">
        <f>"20190312155014473"</f>
        <v>20190312155014473</v>
      </c>
      <c r="B7132" t="str">
        <f>"1552377014463069"</f>
        <v>1552377014463069</v>
      </c>
      <c r="C7132" t="s">
        <v>40</v>
      </c>
      <c r="D7132">
        <v>4.4263209999999997</v>
      </c>
      <c r="E7132">
        <v>0.49546030000000002</v>
      </c>
      <c r="F7132" t="s">
        <v>48</v>
      </c>
      <c r="G7132">
        <v>0</v>
      </c>
      <c r="H7132">
        <v>0</v>
      </c>
      <c r="I7132">
        <v>0</v>
      </c>
      <c r="J7132">
        <v>-188.21459999999999</v>
      </c>
      <c r="K7132">
        <v>1.1100760000000001</v>
      </c>
      <c r="L7132">
        <v>-15.195830000000001</v>
      </c>
      <c r="M7132">
        <v>-2.057989E-2</v>
      </c>
      <c r="N7132">
        <v>0</v>
      </c>
      <c r="O7132">
        <v>0.99973990000000001</v>
      </c>
      <c r="P7132">
        <v>4.8599629999999998E-2</v>
      </c>
      <c r="Q7132">
        <v>0.1472647</v>
      </c>
      <c r="R7132">
        <v>0.98790239999999996</v>
      </c>
      <c r="S7132">
        <v>0.13427729999999999</v>
      </c>
      <c r="T7132">
        <v>0.76779280000000005</v>
      </c>
      <c r="U7132">
        <v>2.913208</v>
      </c>
      <c r="V7132">
        <v>6.8899290000000002E-2</v>
      </c>
      <c r="W7132">
        <v>0.1569661</v>
      </c>
      <c r="X7132">
        <v>0.98519769999999895</v>
      </c>
      <c r="Y7132">
        <v>6.5077369999999995E-2</v>
      </c>
      <c r="Z7132">
        <v>0.25437480000000001</v>
      </c>
      <c r="AA7132">
        <v>0.96491369999999999</v>
      </c>
      <c r="AB7132">
        <v>25</v>
      </c>
      <c r="AC7132">
        <v>0.13427729999999999</v>
      </c>
      <c r="AD7132">
        <v>0.76779280000000005</v>
      </c>
      <c r="AE7132">
        <v>2.913208</v>
      </c>
      <c r="AF7132">
        <v>0.18161661087314299</v>
      </c>
      <c r="AG7132">
        <v>0.76779280000000005</v>
      </c>
      <c r="AH7132">
        <v>2.7212085096929699</v>
      </c>
      <c r="AI7132">
        <v>74.276757095073293</v>
      </c>
      <c r="AJ7132">
        <v>86.181675953675196</v>
      </c>
      <c r="AK7132">
        <v>2.8332783361862499</v>
      </c>
      <c r="AL7132">
        <v>80.969158445509095</v>
      </c>
      <c r="AM7132">
        <v>85.999562724062201</v>
      </c>
      <c r="AN7132">
        <v>0.99999998839850102</v>
      </c>
    </row>
    <row r="7133" spans="1:40" x14ac:dyDescent="0.25">
      <c r="A7133" t="str">
        <f>"20190312155014497"</f>
        <v>20190312155014497</v>
      </c>
      <c r="B7133" t="str">
        <f>"1552377014492350"</f>
        <v>1552377014492350</v>
      </c>
      <c r="C7133" t="s">
        <v>40</v>
      </c>
      <c r="D7133">
        <v>4.4634309999999999</v>
      </c>
      <c r="E7133">
        <v>0.49561430000000001</v>
      </c>
      <c r="F7133" t="s">
        <v>48</v>
      </c>
      <c r="G7133">
        <v>0</v>
      </c>
      <c r="H7133">
        <v>0</v>
      </c>
      <c r="I7133">
        <v>0</v>
      </c>
      <c r="J7133">
        <v>-188.2201</v>
      </c>
      <c r="K7133">
        <v>1.1099749999999999</v>
      </c>
      <c r="L7133">
        <v>-14.932589999999999</v>
      </c>
      <c r="M7133">
        <v>-2.0647889999999999E-2</v>
      </c>
      <c r="N7133">
        <v>0</v>
      </c>
      <c r="O7133">
        <v>0.99974050000000003</v>
      </c>
      <c r="P7133">
        <v>4.6592939999999999E-2</v>
      </c>
      <c r="Q7133">
        <v>0.13899819999999999</v>
      </c>
      <c r="R7133">
        <v>0.98919590000000002</v>
      </c>
      <c r="S7133">
        <v>0.1295471</v>
      </c>
      <c r="T7133">
        <v>0.74071529999999997</v>
      </c>
      <c r="U7133">
        <v>2.9199519999999999</v>
      </c>
      <c r="V7133">
        <v>6.700304E-2</v>
      </c>
      <c r="W7133">
        <v>0.1484955</v>
      </c>
      <c r="X7133">
        <v>0.98664059999999998</v>
      </c>
      <c r="Y7133">
        <v>6.3584920000000003E-2</v>
      </c>
      <c r="Z7133">
        <v>0.245444</v>
      </c>
      <c r="AA7133">
        <v>0.96732320000000005</v>
      </c>
      <c r="AB7133">
        <v>25</v>
      </c>
      <c r="AC7133">
        <v>0.1295471</v>
      </c>
      <c r="AD7133">
        <v>0.74071529999999997</v>
      </c>
      <c r="AE7133">
        <v>2.9199519999999999</v>
      </c>
      <c r="AF7133">
        <v>0.17835824272913101</v>
      </c>
      <c r="AG7133">
        <v>0.74071529999999997</v>
      </c>
      <c r="AH7133">
        <v>2.7406396583188002</v>
      </c>
      <c r="AI7133">
        <v>74.906423917310093</v>
      </c>
      <c r="AJ7133">
        <v>86.276495512373899</v>
      </c>
      <c r="AK7133">
        <v>2.84456966080166</v>
      </c>
      <c r="AL7133">
        <v>81.460251333890994</v>
      </c>
      <c r="AM7133">
        <v>86.114992509341505</v>
      </c>
      <c r="AN7133">
        <v>0.99999999722892496</v>
      </c>
    </row>
    <row r="7134" spans="1:40" x14ac:dyDescent="0.25">
      <c r="A7134" t="str">
        <f>"20190312155014518"</f>
        <v>20190312155014518</v>
      </c>
      <c r="B7134" t="str">
        <f>"1552377014512845"</f>
        <v>1552377014512845</v>
      </c>
      <c r="C7134" t="s">
        <v>40</v>
      </c>
      <c r="D7134">
        <v>4.4925660000000001</v>
      </c>
      <c r="E7134">
        <v>0.49557020000000002</v>
      </c>
      <c r="F7134" t="s">
        <v>48</v>
      </c>
      <c r="G7134">
        <v>0</v>
      </c>
      <c r="H7134">
        <v>0</v>
      </c>
      <c r="I7134">
        <v>0</v>
      </c>
      <c r="J7134">
        <v>-188.22499999999999</v>
      </c>
      <c r="K7134">
        <v>1.1099209999999999</v>
      </c>
      <c r="L7134">
        <v>-14.697329999999999</v>
      </c>
      <c r="M7134">
        <v>-2.0666509999999999E-2</v>
      </c>
      <c r="N7134">
        <v>0</v>
      </c>
      <c r="O7134">
        <v>0.99974189999999996</v>
      </c>
      <c r="P7134">
        <v>4.4282910000000002E-2</v>
      </c>
      <c r="Q7134">
        <v>0.13710629999999999</v>
      </c>
      <c r="R7134">
        <v>0.98956599999999995</v>
      </c>
      <c r="S7134">
        <v>0.1249237</v>
      </c>
      <c r="T7134">
        <v>0.71753299999999998</v>
      </c>
      <c r="U7134">
        <v>2.926056</v>
      </c>
      <c r="V7134">
        <v>6.4730140000000005E-2</v>
      </c>
      <c r="W7134">
        <v>0.1464279</v>
      </c>
      <c r="X7134">
        <v>0.98710129999999996</v>
      </c>
      <c r="Y7134">
        <v>6.2070189999999997E-2</v>
      </c>
      <c r="Z7134">
        <v>0.23775669999999999</v>
      </c>
      <c r="AA7134">
        <v>0.96933950000000002</v>
      </c>
      <c r="AB7134">
        <v>25</v>
      </c>
      <c r="AC7134">
        <v>0.1249237</v>
      </c>
      <c r="AD7134">
        <v>0.71753299999999998</v>
      </c>
      <c r="AE7134">
        <v>2.926056</v>
      </c>
      <c r="AF7134">
        <v>0.17487435191996001</v>
      </c>
      <c r="AG7134">
        <v>0.71753299999999998</v>
      </c>
      <c r="AH7134">
        <v>2.75734147610236</v>
      </c>
      <c r="AI7134">
        <v>75.441638066300001</v>
      </c>
      <c r="AJ7134">
        <v>86.371083910930196</v>
      </c>
      <c r="AK7134">
        <v>2.8545344035206202</v>
      </c>
      <c r="AL7134">
        <v>81.580025946667504</v>
      </c>
      <c r="AM7134">
        <v>86.248144593208906</v>
      </c>
      <c r="AN7134">
        <v>1.00000004869225</v>
      </c>
    </row>
    <row r="7135" spans="1:40" x14ac:dyDescent="0.25">
      <c r="A7135" t="str">
        <f>"20190312155014540"</f>
        <v>20190312155014540</v>
      </c>
      <c r="B7135" t="str">
        <f>"1552377014532365"</f>
        <v>1552377014532365</v>
      </c>
      <c r="C7135" t="s">
        <v>40</v>
      </c>
      <c r="D7135">
        <v>4.5038980000000004</v>
      </c>
      <c r="E7135">
        <v>0.49537520000000002</v>
      </c>
      <c r="F7135" t="s">
        <v>48</v>
      </c>
      <c r="G7135">
        <v>0</v>
      </c>
      <c r="H7135">
        <v>0</v>
      </c>
      <c r="I7135">
        <v>0</v>
      </c>
      <c r="J7135">
        <v>-188.2303</v>
      </c>
      <c r="K7135">
        <v>1.109904</v>
      </c>
      <c r="L7135">
        <v>-14.445919999999999</v>
      </c>
      <c r="M7135">
        <v>-2.0658820000000001E-2</v>
      </c>
      <c r="N7135">
        <v>0</v>
      </c>
      <c r="O7135">
        <v>0.99974359999999995</v>
      </c>
      <c r="P7135">
        <v>4.1122859999999997E-2</v>
      </c>
      <c r="Q7135">
        <v>0.14100199999999999</v>
      </c>
      <c r="R7135">
        <v>0.98915489999999995</v>
      </c>
      <c r="S7135">
        <v>0.1178131</v>
      </c>
      <c r="T7135">
        <v>0.71582769999999996</v>
      </c>
      <c r="U7135">
        <v>2.9271850000000001</v>
      </c>
      <c r="V7135">
        <v>6.1562079999999998E-2</v>
      </c>
      <c r="W7135">
        <v>0.15014810000000001</v>
      </c>
      <c r="X7135">
        <v>0.98674499999999998</v>
      </c>
      <c r="Y7135">
        <v>5.9701589999999999E-2</v>
      </c>
      <c r="Z7135">
        <v>0.23716590000000001</v>
      </c>
      <c r="AA7135">
        <v>0.96963299999999997</v>
      </c>
      <c r="AB7135">
        <v>25</v>
      </c>
      <c r="AC7135">
        <v>0.1178131</v>
      </c>
      <c r="AD7135">
        <v>0.71582769999999996</v>
      </c>
      <c r="AE7135">
        <v>2.9271850000000001</v>
      </c>
      <c r="AF7135">
        <v>0.16821914762556001</v>
      </c>
      <c r="AG7135">
        <v>0.71582769999999996</v>
      </c>
      <c r="AH7135">
        <v>2.7593765343465302</v>
      </c>
      <c r="AI7135">
        <v>75.482914721063807</v>
      </c>
      <c r="AJ7135">
        <v>86.511409882567193</v>
      </c>
      <c r="AK7135">
        <v>2.85567257157004</v>
      </c>
      <c r="AL7135">
        <v>81.364490894618996</v>
      </c>
      <c r="AM7135">
        <v>86.429998081922903</v>
      </c>
      <c r="AN7135">
        <v>1.0000000183262601</v>
      </c>
    </row>
    <row r="7136" spans="1:40" x14ac:dyDescent="0.25">
      <c r="A7136" t="str">
        <f>"20190312155014561"</f>
        <v>20190312155014561</v>
      </c>
      <c r="B7136" t="str">
        <f>"1552377014552861"</f>
        <v>1552377014552861</v>
      </c>
      <c r="C7136" t="s">
        <v>40</v>
      </c>
      <c r="D7136">
        <v>4.5148519999999897</v>
      </c>
      <c r="E7136">
        <v>0.49561640000000001</v>
      </c>
      <c r="F7136" t="s">
        <v>48</v>
      </c>
      <c r="G7136">
        <v>0</v>
      </c>
      <c r="H7136">
        <v>0</v>
      </c>
      <c r="I7136">
        <v>0</v>
      </c>
      <c r="J7136">
        <v>-188.23519999999999</v>
      </c>
      <c r="K7136">
        <v>1.10991</v>
      </c>
      <c r="L7136">
        <v>-14.20819</v>
      </c>
      <c r="M7136">
        <v>-2.0635489999999999E-2</v>
      </c>
      <c r="N7136">
        <v>0</v>
      </c>
      <c r="O7136">
        <v>0.99974540000000001</v>
      </c>
      <c r="P7136">
        <v>3.8248629999999999E-2</v>
      </c>
      <c r="Q7136">
        <v>0.14641419999999999</v>
      </c>
      <c r="R7136">
        <v>0.98848369999999997</v>
      </c>
      <c r="S7136">
        <v>0.10688780000000001</v>
      </c>
      <c r="T7136">
        <v>0.72708569999999995</v>
      </c>
      <c r="U7136">
        <v>2.9248050000000001</v>
      </c>
      <c r="V7136">
        <v>5.8655100000000002E-2</v>
      </c>
      <c r="W7136">
        <v>0.1554104</v>
      </c>
      <c r="X7136">
        <v>0.98610710000000001</v>
      </c>
      <c r="Y7136">
        <v>5.6059360000000003E-2</v>
      </c>
      <c r="Z7136">
        <v>0.24090719999999999</v>
      </c>
      <c r="AA7136">
        <v>0.96892780000000001</v>
      </c>
      <c r="AB7136">
        <v>25</v>
      </c>
      <c r="AC7136">
        <v>0.10688780000000001</v>
      </c>
      <c r="AD7136">
        <v>0.72708569999999995</v>
      </c>
      <c r="AE7136">
        <v>2.9248050000000001</v>
      </c>
      <c r="AF7136">
        <v>0.15750194723906599</v>
      </c>
      <c r="AG7136">
        <v>0.72708569999999995</v>
      </c>
      <c r="AH7136">
        <v>2.7521261770493202</v>
      </c>
      <c r="AI7136">
        <v>75.224233701187799</v>
      </c>
      <c r="AJ7136">
        <v>86.724581788537094</v>
      </c>
      <c r="AK7136">
        <v>2.85090493930063</v>
      </c>
      <c r="AL7136">
        <v>81.059401241287105</v>
      </c>
      <c r="AM7136">
        <v>86.595973555725607</v>
      </c>
      <c r="AN7136">
        <v>1.0000000129272899</v>
      </c>
    </row>
    <row r="7137" spans="1:40" x14ac:dyDescent="0.25">
      <c r="A7137" t="str">
        <f>"20190312155014587"</f>
        <v>20190312155014587</v>
      </c>
      <c r="B7137" t="str">
        <f>"1552377014583117"</f>
        <v>1552377014583117</v>
      </c>
      <c r="C7137" t="s">
        <v>40</v>
      </c>
      <c r="D7137">
        <v>4.5576720000000002</v>
      </c>
      <c r="E7137">
        <v>0.49608390000000002</v>
      </c>
      <c r="F7137" t="s">
        <v>78</v>
      </c>
      <c r="G7137">
        <v>-174.27269999999999</v>
      </c>
      <c r="H7137">
        <v>104.714</v>
      </c>
      <c r="I7137">
        <v>391.00349999999997</v>
      </c>
      <c r="J7137">
        <v>-188.24109999999999</v>
      </c>
      <c r="K7137">
        <v>1.1099139999999901</v>
      </c>
      <c r="L7137">
        <v>-13.920529999999999</v>
      </c>
      <c r="M7137">
        <v>-2.0599269999999999E-2</v>
      </c>
      <c r="N7137">
        <v>0</v>
      </c>
      <c r="O7137">
        <v>0.99974759999999996</v>
      </c>
      <c r="P7137">
        <v>3.6471379999999998E-2</v>
      </c>
      <c r="Q7137">
        <v>0.15069479999999999</v>
      </c>
      <c r="R7137">
        <v>0.98790739999999999</v>
      </c>
      <c r="S7137">
        <v>0.1006317</v>
      </c>
      <c r="T7137">
        <v>0.74670269999999905</v>
      </c>
      <c r="U7137">
        <v>2.920471</v>
      </c>
      <c r="V7137">
        <v>5.6831300000000001E-2</v>
      </c>
      <c r="W7137">
        <v>0.15953399999999901</v>
      </c>
      <c r="X7137">
        <v>0.98555519999999996</v>
      </c>
      <c r="Y7137">
        <v>5.3946399999999999E-2</v>
      </c>
      <c r="Z7137">
        <v>0.24738180000000001</v>
      </c>
      <c r="AA7137">
        <v>0.96741520000000003</v>
      </c>
      <c r="AB7137">
        <v>25</v>
      </c>
      <c r="AC7137">
        <v>13.968400000000001</v>
      </c>
      <c r="AD7137">
        <v>103.604086</v>
      </c>
      <c r="AE7137">
        <v>404.92403000000002</v>
      </c>
      <c r="AF7137">
        <v>20.9378512787282</v>
      </c>
      <c r="AG7137">
        <v>103.604086</v>
      </c>
      <c r="AH7137">
        <v>379.72156992625997</v>
      </c>
      <c r="AI7137">
        <v>74.760820502425403</v>
      </c>
      <c r="AJ7137">
        <v>86.843906155694995</v>
      </c>
      <c r="AK7137">
        <v>394.15818007410297</v>
      </c>
      <c r="AL7137">
        <v>80.820150791240096</v>
      </c>
      <c r="AM7137">
        <v>86.699736666084704</v>
      </c>
      <c r="AN7137">
        <v>0.99999997303136401</v>
      </c>
    </row>
    <row r="7138" spans="1:40" x14ac:dyDescent="0.25">
      <c r="A7138" t="str">
        <f>"20190312155014608"</f>
        <v>20190312155014608</v>
      </c>
      <c r="B7138" t="str">
        <f>"1552377014602637"</f>
        <v>1552377014602637</v>
      </c>
      <c r="C7138" t="s">
        <v>40</v>
      </c>
      <c r="D7138">
        <v>4.5734469999999998</v>
      </c>
      <c r="E7138">
        <v>0.49641220000000003</v>
      </c>
      <c r="F7138" t="s">
        <v>78</v>
      </c>
      <c r="G7138">
        <v>-174.46690000000001</v>
      </c>
      <c r="H7138">
        <v>107.1349</v>
      </c>
      <c r="I7138">
        <v>391.00349999999997</v>
      </c>
      <c r="J7138">
        <v>-188.24619999999999</v>
      </c>
      <c r="K7138">
        <v>1.109934</v>
      </c>
      <c r="L7138">
        <v>-13.6725799999999</v>
      </c>
      <c r="M7138">
        <v>-2.0569859999999999E-2</v>
      </c>
      <c r="N7138">
        <v>0</v>
      </c>
      <c r="O7138">
        <v>0.9997492</v>
      </c>
      <c r="P7138">
        <v>3.5335890000000002E-2</v>
      </c>
      <c r="Q7138">
        <v>0.15570809999999999</v>
      </c>
      <c r="R7138">
        <v>0.98717089999999996</v>
      </c>
      <c r="S7138">
        <v>9.9212649999999999E-2</v>
      </c>
      <c r="T7138">
        <v>0.76367069999999904</v>
      </c>
      <c r="U7138">
        <v>2.9165649999999999</v>
      </c>
      <c r="V7138">
        <v>5.5650930000000001E-2</v>
      </c>
      <c r="W7138">
        <v>0.16442799999999999</v>
      </c>
      <c r="X7138">
        <v>0.98481790000000002</v>
      </c>
      <c r="Y7138">
        <v>5.3442330000000003E-2</v>
      </c>
      <c r="Z7138">
        <v>0.25296950000000001</v>
      </c>
      <c r="AA7138">
        <v>0.96599699999999999</v>
      </c>
      <c r="AB7138">
        <v>25</v>
      </c>
      <c r="AC7138">
        <v>13.7792999999999</v>
      </c>
      <c r="AD7138">
        <v>106.024965999999</v>
      </c>
      <c r="AE7138">
        <v>404.67608000000001</v>
      </c>
      <c r="AF7138">
        <v>20.682743427369498</v>
      </c>
      <c r="AG7138">
        <v>106.024965999999</v>
      </c>
      <c r="AH7138">
        <v>378.364695318141</v>
      </c>
      <c r="AI7138">
        <v>74.368313910632807</v>
      </c>
      <c r="AJ7138">
        <v>86.871125397478593</v>
      </c>
      <c r="AK7138">
        <v>393.48305167335099</v>
      </c>
      <c r="AL7138">
        <v>80.535992025070499</v>
      </c>
      <c r="AM7138">
        <v>86.765720909117107</v>
      </c>
      <c r="AN7138">
        <v>0.99999994467713604</v>
      </c>
    </row>
    <row r="7139" spans="1:40" x14ac:dyDescent="0.25">
      <c r="A7139" t="str">
        <f>"20190312155014629"</f>
        <v>20190312155014629</v>
      </c>
      <c r="B7139" t="str">
        <f>"1552377014623133"</f>
        <v>1552377014623133</v>
      </c>
      <c r="C7139" t="s">
        <v>40</v>
      </c>
      <c r="D7139">
        <v>4.5935040000000003</v>
      </c>
      <c r="E7139">
        <v>0.49670989999999998</v>
      </c>
      <c r="F7139" t="s">
        <v>78</v>
      </c>
      <c r="G7139">
        <v>-174.61539999999999</v>
      </c>
      <c r="H7139">
        <v>109.55549999999999</v>
      </c>
      <c r="I7139">
        <v>391.00349999999997</v>
      </c>
      <c r="J7139">
        <v>-188.25120000000001</v>
      </c>
      <c r="K7139">
        <v>1.109955</v>
      </c>
      <c r="L7139">
        <v>-13.432740000000001</v>
      </c>
      <c r="M7139">
        <v>-2.0548540000000001E-2</v>
      </c>
      <c r="N7139">
        <v>0</v>
      </c>
      <c r="O7139">
        <v>0.99975049999999999</v>
      </c>
      <c r="P7139">
        <v>3.3992969999999997E-2</v>
      </c>
      <c r="Q7139">
        <v>0.16167210000000001</v>
      </c>
      <c r="R7139">
        <v>0.98625890000000005</v>
      </c>
      <c r="S7139">
        <v>9.8098749999999998E-2</v>
      </c>
      <c r="T7139">
        <v>0.7804643</v>
      </c>
      <c r="U7139">
        <v>2.9123839999999999</v>
      </c>
      <c r="V7139">
        <v>5.4267339999999997E-2</v>
      </c>
      <c r="W7139">
        <v>0.17028850000000001</v>
      </c>
      <c r="X7139">
        <v>0.98389879999999996</v>
      </c>
      <c r="Y7139">
        <v>5.3049689999999997E-2</v>
      </c>
      <c r="Z7139">
        <v>0.25851469999999999</v>
      </c>
      <c r="AA7139">
        <v>0.96454949999999995</v>
      </c>
      <c r="AB7139">
        <v>26</v>
      </c>
      <c r="AC7139">
        <v>13.6358</v>
      </c>
      <c r="AD7139">
        <v>108.445545</v>
      </c>
      <c r="AE7139">
        <v>404.43624</v>
      </c>
      <c r="AF7139">
        <v>20.473462055985699</v>
      </c>
      <c r="AG7139">
        <v>108.445545</v>
      </c>
      <c r="AH7139">
        <v>376.99576325554398</v>
      </c>
      <c r="AI7139">
        <v>73.974137471548204</v>
      </c>
      <c r="AJ7139">
        <v>86.891498726044404</v>
      </c>
      <c r="AK7139">
        <v>392.81726590303401</v>
      </c>
      <c r="AL7139">
        <v>80.195406357842899</v>
      </c>
      <c r="AM7139">
        <v>86.843026592873301</v>
      </c>
      <c r="AN7139">
        <v>0.99999998303218196</v>
      </c>
    </row>
    <row r="7140" spans="1:40" x14ac:dyDescent="0.25">
      <c r="A7140" t="str">
        <f>"20190312155014653"</f>
        <v>20190312155014653</v>
      </c>
      <c r="B7140" t="str">
        <f>"1552377014642654"</f>
        <v>1552377014642654</v>
      </c>
      <c r="C7140" t="s">
        <v>40</v>
      </c>
      <c r="D7140">
        <v>4.4900159999999998</v>
      </c>
      <c r="E7140">
        <v>0.48444500000000001</v>
      </c>
      <c r="F7140" t="s">
        <v>78</v>
      </c>
      <c r="G7140">
        <v>-174.95849999999999</v>
      </c>
      <c r="H7140">
        <v>112.17659999999999</v>
      </c>
      <c r="I7140">
        <v>391.00349999999997</v>
      </c>
      <c r="J7140">
        <v>-188.2567</v>
      </c>
      <c r="K7140">
        <v>1.1099669999999999</v>
      </c>
      <c r="L7140">
        <v>-13.16394</v>
      </c>
      <c r="M7140">
        <v>-2.0534589999999998E-2</v>
      </c>
      <c r="N7140">
        <v>0</v>
      </c>
      <c r="O7140">
        <v>0.99975159999999996</v>
      </c>
      <c r="P7140">
        <v>3.2742809999999997E-2</v>
      </c>
      <c r="Q7140">
        <v>0.16561909999999999</v>
      </c>
      <c r="R7140">
        <v>0.98564609999999997</v>
      </c>
      <c r="S7140">
        <v>9.5565800000000006E-2</v>
      </c>
      <c r="T7140">
        <v>0.79849399999999904</v>
      </c>
      <c r="U7140">
        <v>2.9076230000000001</v>
      </c>
      <c r="V7140">
        <v>5.2989750000000002E-2</v>
      </c>
      <c r="W7140">
        <v>0.17413770000000001</v>
      </c>
      <c r="X7140">
        <v>0.98329449999999996</v>
      </c>
      <c r="Y7140">
        <v>5.2196380000000001E-2</v>
      </c>
      <c r="Z7140">
        <v>0.26448539999999998</v>
      </c>
      <c r="AA7140">
        <v>0.96297619999999895</v>
      </c>
      <c r="AB7140">
        <v>26</v>
      </c>
      <c r="AC7140">
        <v>13.2982</v>
      </c>
      <c r="AD7140">
        <v>111.066633</v>
      </c>
      <c r="AE7140">
        <v>404.16744</v>
      </c>
      <c r="AF7140">
        <v>20.080352438238801</v>
      </c>
      <c r="AG7140">
        <v>111.066633</v>
      </c>
      <c r="AH7140">
        <v>375.48435168118198</v>
      </c>
      <c r="AI7140">
        <v>73.544252807487197</v>
      </c>
      <c r="AJ7140">
        <v>86.938821795789494</v>
      </c>
      <c r="AK7140">
        <v>392.08100677977001</v>
      </c>
      <c r="AL7140">
        <v>79.971518132650601</v>
      </c>
      <c r="AM7140">
        <v>86.9153136987875</v>
      </c>
      <c r="AN7140">
        <v>0.99999996294829996</v>
      </c>
    </row>
    <row r="7141" spans="1:40" x14ac:dyDescent="0.25">
      <c r="A7141" t="str">
        <f>"20190312155014675"</f>
        <v>20190312155014675</v>
      </c>
      <c r="B7141" t="str">
        <f>"1552377014672910"</f>
        <v>1552377014672910</v>
      </c>
      <c r="C7141" t="s">
        <v>40</v>
      </c>
      <c r="D7141">
        <v>4.610328</v>
      </c>
      <c r="E7141">
        <v>0.46825270000000002</v>
      </c>
      <c r="F7141" t="s">
        <v>78</v>
      </c>
      <c r="G7141">
        <v>-187.51679999999999</v>
      </c>
      <c r="H7141">
        <v>143.72239999999999</v>
      </c>
      <c r="I7141">
        <v>391.87</v>
      </c>
      <c r="J7141">
        <v>-188.262</v>
      </c>
      <c r="K7141">
        <v>1.10996299999999</v>
      </c>
      <c r="L7141">
        <v>-12.90573</v>
      </c>
      <c r="M7141">
        <v>-2.0529249999999999E-2</v>
      </c>
      <c r="N7141">
        <v>0</v>
      </c>
      <c r="O7141">
        <v>0.99975239999999999</v>
      </c>
      <c r="P7141">
        <v>3.1564920000000003E-2</v>
      </c>
      <c r="Q7141">
        <v>0.16801389999999999</v>
      </c>
      <c r="R7141">
        <v>0.98527909999999996</v>
      </c>
      <c r="S7141">
        <v>5.2490230000000002E-3</v>
      </c>
      <c r="T7141">
        <v>1.0117609999999999</v>
      </c>
      <c r="U7141">
        <v>2.8735050000000002</v>
      </c>
      <c r="V7141">
        <v>5.1798179999999999E-2</v>
      </c>
      <c r="W7141">
        <v>0.17645259999999999</v>
      </c>
      <c r="X7141">
        <v>0.98294530000000002</v>
      </c>
      <c r="Y7141">
        <v>2.2252520000000001E-2</v>
      </c>
      <c r="Z7141">
        <v>0.33196999999999999</v>
      </c>
      <c r="AA7141">
        <v>0.94302739999999996</v>
      </c>
      <c r="AB7141">
        <v>26</v>
      </c>
      <c r="AC7141">
        <v>0.74520000000001096</v>
      </c>
      <c r="AD7141">
        <v>142.612437</v>
      </c>
      <c r="AE7141">
        <v>404.77572999999899</v>
      </c>
      <c r="AF7141">
        <v>8.0551837196810094</v>
      </c>
      <c r="AG7141">
        <v>142.612437</v>
      </c>
      <c r="AH7141">
        <v>359.988909356867</v>
      </c>
      <c r="AI7141">
        <v>68.393525838173005</v>
      </c>
      <c r="AJ7141">
        <v>88.718152106008901</v>
      </c>
      <c r="AK7141">
        <v>387.292148166966</v>
      </c>
      <c r="AL7141">
        <v>79.836798635634906</v>
      </c>
      <c r="AM7141">
        <v>86.983479655873097</v>
      </c>
      <c r="AN7141">
        <v>1.00000001714508</v>
      </c>
    </row>
    <row r="7142" spans="1:40" x14ac:dyDescent="0.25">
      <c r="A7142" t="str">
        <f>"20190312155014698"</f>
        <v>20190312155014698</v>
      </c>
      <c r="B7142" t="str">
        <f>"1552377014692429"</f>
        <v>1552377014692429</v>
      </c>
      <c r="C7142" t="s">
        <v>40</v>
      </c>
      <c r="D7142">
        <v>4.6325669999999999</v>
      </c>
      <c r="E7142">
        <v>0.46481729999999999</v>
      </c>
      <c r="F7142" t="s">
        <v>48</v>
      </c>
      <c r="G7142">
        <v>0</v>
      </c>
      <c r="H7142">
        <v>0</v>
      </c>
      <c r="I7142">
        <v>0</v>
      </c>
      <c r="J7142">
        <v>-188.26740000000001</v>
      </c>
      <c r="K7142">
        <v>1.1099669999999999</v>
      </c>
      <c r="L7142">
        <v>-12.64542</v>
      </c>
      <c r="M7142">
        <v>-2.0529209999999999E-2</v>
      </c>
      <c r="N7142">
        <v>0</v>
      </c>
      <c r="O7142">
        <v>0.999753</v>
      </c>
      <c r="P7142">
        <v>3.0905970000000001E-2</v>
      </c>
      <c r="Q7142">
        <v>0.17065920000000001</v>
      </c>
      <c r="R7142">
        <v>0.98484530000000003</v>
      </c>
      <c r="S7142">
        <v>-0.12608339999999901</v>
      </c>
      <c r="T7142">
        <v>1.0601959999999999</v>
      </c>
      <c r="U7142">
        <v>2.8680729999999999</v>
      </c>
      <c r="V7142">
        <v>5.1129500000000001E-2</v>
      </c>
      <c r="W7142">
        <v>0.17902779999999999</v>
      </c>
      <c r="X7142">
        <v>0.98251460000000002</v>
      </c>
      <c r="Y7142">
        <v>-2.0679019999999999E-2</v>
      </c>
      <c r="Z7142">
        <v>0.34643699999999999</v>
      </c>
      <c r="AA7142">
        <v>0.93784529999999999</v>
      </c>
      <c r="AB7142">
        <v>26</v>
      </c>
      <c r="AC7142">
        <v>-0.12608339999999901</v>
      </c>
      <c r="AD7142">
        <v>1.0601959999999999</v>
      </c>
      <c r="AE7142">
        <v>2.8680729999999999</v>
      </c>
      <c r="AF7142">
        <v>-5.9113473017518001E-2</v>
      </c>
      <c r="AG7142">
        <v>1.0601959999999999</v>
      </c>
      <c r="AH7142">
        <v>2.5256118847985598</v>
      </c>
      <c r="AI7142">
        <v>67.234012318254599</v>
      </c>
      <c r="AJ7142">
        <v>91.340797553703595</v>
      </c>
      <c r="AK7142">
        <v>2.7397491406594101</v>
      </c>
      <c r="AL7142">
        <v>79.686863581988206</v>
      </c>
      <c r="AM7142">
        <v>87.021047441739299</v>
      </c>
      <c r="AN7142">
        <v>1.00000005907812</v>
      </c>
    </row>
    <row r="7143" spans="1:40" x14ac:dyDescent="0.25">
      <c r="A7143" t="str">
        <f>"20190312155014718"</f>
        <v>20190312155014718</v>
      </c>
      <c r="B7143" t="str">
        <f>"1552377014712925"</f>
        <v>1552377014712925</v>
      </c>
      <c r="C7143" t="s">
        <v>40</v>
      </c>
      <c r="D7143">
        <v>4.627637</v>
      </c>
      <c r="E7143">
        <v>0.4633833</v>
      </c>
      <c r="F7143" t="s">
        <v>48</v>
      </c>
      <c r="G7143">
        <v>0</v>
      </c>
      <c r="H7143">
        <v>0</v>
      </c>
      <c r="I7143">
        <v>0</v>
      </c>
      <c r="J7143">
        <v>-188.2724</v>
      </c>
      <c r="K7143">
        <v>1.1099669999999999</v>
      </c>
      <c r="L7143">
        <v>-12.403230000000001</v>
      </c>
      <c r="M7143">
        <v>-2.053147E-2</v>
      </c>
      <c r="N7143">
        <v>0</v>
      </c>
      <c r="O7143">
        <v>0.99975340000000001</v>
      </c>
      <c r="P7143">
        <v>3.005153E-2</v>
      </c>
      <c r="Q7143">
        <v>0.17308750000000001</v>
      </c>
      <c r="R7143">
        <v>0.98444790000000004</v>
      </c>
      <c r="S7143">
        <v>-0.15452579999999999</v>
      </c>
      <c r="T7143">
        <v>1.0867659999999999</v>
      </c>
      <c r="U7143">
        <v>2.8627009999999999</v>
      </c>
      <c r="V7143">
        <v>5.0268489999999999E-2</v>
      </c>
      <c r="W7143">
        <v>0.1813997</v>
      </c>
      <c r="X7143">
        <v>0.98212390000000005</v>
      </c>
      <c r="Y7143">
        <v>-2.9885760000000001E-2</v>
      </c>
      <c r="Z7143">
        <v>0.35450670000000001</v>
      </c>
      <c r="AA7143">
        <v>0.93457570000000001</v>
      </c>
      <c r="AB7143">
        <v>26</v>
      </c>
      <c r="AC7143">
        <v>-0.15452579999999999</v>
      </c>
      <c r="AD7143">
        <v>1.0867659999999999</v>
      </c>
      <c r="AE7143">
        <v>2.8627009999999999</v>
      </c>
      <c r="AF7143">
        <v>-8.3689488055838701E-2</v>
      </c>
      <c r="AG7143">
        <v>1.0867659999999999</v>
      </c>
      <c r="AH7143">
        <v>2.50526403335954</v>
      </c>
      <c r="AI7143">
        <v>66.560800455053595</v>
      </c>
      <c r="AJ7143">
        <v>91.913280175296407</v>
      </c>
      <c r="AK7143">
        <v>2.7321076380721099</v>
      </c>
      <c r="AL7143">
        <v>79.548701682086502</v>
      </c>
      <c r="AM7143">
        <v>87.069961173717999</v>
      </c>
      <c r="AN7143">
        <v>1.00000006359908</v>
      </c>
    </row>
    <row r="7144" spans="1:40" x14ac:dyDescent="0.25">
      <c r="A7144" t="str">
        <f>"20190312155014743"</f>
        <v>20190312155014743</v>
      </c>
      <c r="B7144" t="str">
        <f>"1552377014732446"</f>
        <v>1552377014732446</v>
      </c>
      <c r="C7144" t="s">
        <v>40</v>
      </c>
      <c r="D7144">
        <v>4.6756830000000003</v>
      </c>
      <c r="E7144">
        <v>0.46288479999999999</v>
      </c>
      <c r="F7144" t="s">
        <v>48</v>
      </c>
      <c r="G7144">
        <v>0</v>
      </c>
      <c r="H7144">
        <v>0</v>
      </c>
      <c r="I7144">
        <v>0</v>
      </c>
      <c r="J7144">
        <v>-188.27799999999999</v>
      </c>
      <c r="K7144">
        <v>1.109961</v>
      </c>
      <c r="L7144">
        <v>-12.12692</v>
      </c>
      <c r="M7144">
        <v>-2.0534730000000001E-2</v>
      </c>
      <c r="N7144">
        <v>0</v>
      </c>
      <c r="O7144">
        <v>0.99975380000000003</v>
      </c>
      <c r="P7144">
        <v>2.953737E-2</v>
      </c>
      <c r="Q7144">
        <v>0.1744097</v>
      </c>
      <c r="R7144">
        <v>0.98423000000000005</v>
      </c>
      <c r="S7144">
        <v>-0.16816710000000001</v>
      </c>
      <c r="T7144">
        <v>1.0986560000000001</v>
      </c>
      <c r="U7144">
        <v>2.8593440000000001</v>
      </c>
      <c r="V7144">
        <v>4.975218E-2</v>
      </c>
      <c r="W7144">
        <v>0.182668</v>
      </c>
      <c r="X7144">
        <v>0.98191510000000004</v>
      </c>
      <c r="Y7144">
        <v>-3.4303350000000003E-2</v>
      </c>
      <c r="Z7144">
        <v>0.3581896</v>
      </c>
      <c r="AA7144">
        <v>0.93301849999999997</v>
      </c>
      <c r="AB7144">
        <v>26</v>
      </c>
      <c r="AC7144">
        <v>-0.16816710000000001</v>
      </c>
      <c r="AD7144">
        <v>1.0986560000000001</v>
      </c>
      <c r="AE7144">
        <v>2.8593440000000001</v>
      </c>
      <c r="AF7144">
        <v>-9.5380677140124104E-2</v>
      </c>
      <c r="AG7144">
        <v>1.0986560000000001</v>
      </c>
      <c r="AH7144">
        <v>2.49509912414729</v>
      </c>
      <c r="AI7144">
        <v>66.250303109316903</v>
      </c>
      <c r="AJ7144">
        <v>92.189191817089693</v>
      </c>
      <c r="AK7144">
        <v>2.7279410036194398</v>
      </c>
      <c r="AL7144">
        <v>79.474798767329105</v>
      </c>
      <c r="AM7144">
        <v>87.099388482755103</v>
      </c>
      <c r="AN7144">
        <v>1.00000007062337</v>
      </c>
    </row>
    <row r="7145" spans="1:40" x14ac:dyDescent="0.25">
      <c r="A7145" t="str">
        <f>"20190312155014765"</f>
        <v>20190312155014765</v>
      </c>
      <c r="B7145" t="str">
        <f>"1552377014752942"</f>
        <v>1552377014752942</v>
      </c>
      <c r="C7145" t="s">
        <v>40</v>
      </c>
      <c r="D7145">
        <v>4.6028149999999997</v>
      </c>
      <c r="E7145">
        <v>0.46230339999999998</v>
      </c>
      <c r="F7145" t="s">
        <v>48</v>
      </c>
      <c r="G7145">
        <v>0</v>
      </c>
      <c r="H7145">
        <v>0</v>
      </c>
      <c r="I7145">
        <v>0</v>
      </c>
      <c r="J7145">
        <v>-188.2834</v>
      </c>
      <c r="K7145">
        <v>1.1099600000000001</v>
      </c>
      <c r="L7145">
        <v>-11.867520000000001</v>
      </c>
      <c r="M7145">
        <v>-2.053746E-2</v>
      </c>
      <c r="N7145">
        <v>0</v>
      </c>
      <c r="O7145">
        <v>0.99975409999999998</v>
      </c>
      <c r="P7145">
        <v>2.9265240000000001E-2</v>
      </c>
      <c r="Q7145">
        <v>0.17467369999999999</v>
      </c>
      <c r="R7145">
        <v>0.98419140000000005</v>
      </c>
      <c r="S7145">
        <v>-0.17366029999999999</v>
      </c>
      <c r="T7145">
        <v>1.101431</v>
      </c>
      <c r="U7145">
        <v>2.8580930000000002</v>
      </c>
      <c r="V7145">
        <v>4.9481110000000002E-2</v>
      </c>
      <c r="W7145">
        <v>0.18289069999999999</v>
      </c>
      <c r="X7145">
        <v>0.98188730000000002</v>
      </c>
      <c r="Y7145">
        <v>-3.6090530000000003E-2</v>
      </c>
      <c r="Z7145">
        <v>0.35908509999999999</v>
      </c>
      <c r="AA7145">
        <v>0.93260679999999996</v>
      </c>
      <c r="AB7145">
        <v>26</v>
      </c>
      <c r="AC7145">
        <v>-0.17366029999999999</v>
      </c>
      <c r="AD7145">
        <v>1.101431</v>
      </c>
      <c r="AE7145">
        <v>2.8580930000000002</v>
      </c>
      <c r="AF7145">
        <v>-0.10011068437852599</v>
      </c>
      <c r="AG7145">
        <v>1.101431</v>
      </c>
      <c r="AH7145">
        <v>2.4922839218857198</v>
      </c>
      <c r="AI7145">
        <v>66.174691008772101</v>
      </c>
      <c r="AJ7145">
        <v>92.300234610225999</v>
      </c>
      <c r="AK7145">
        <v>2.7266557436130099</v>
      </c>
      <c r="AL7145">
        <v>79.461819921344798</v>
      </c>
      <c r="AM7145">
        <v>87.115083878896399</v>
      </c>
      <c r="AN7145">
        <v>1.0000000291472999</v>
      </c>
    </row>
    <row r="7146" spans="1:40" x14ac:dyDescent="0.25">
      <c r="A7146" t="str">
        <f>"20190312155014790"</f>
        <v>20190312155014790</v>
      </c>
      <c r="B7146" t="str">
        <f>"1552377014783197"</f>
        <v>1552377014783197</v>
      </c>
      <c r="C7146" t="s">
        <v>40</v>
      </c>
      <c r="D7146">
        <v>4.5775990000000002</v>
      </c>
      <c r="E7146">
        <v>0.46159470000000002</v>
      </c>
      <c r="F7146" t="s">
        <v>48</v>
      </c>
      <c r="G7146">
        <v>0</v>
      </c>
      <c r="H7146">
        <v>0</v>
      </c>
      <c r="I7146">
        <v>0</v>
      </c>
      <c r="J7146">
        <v>-188.28909999999999</v>
      </c>
      <c r="K7146">
        <v>1.1099460000000001</v>
      </c>
      <c r="L7146">
        <v>-11.58939</v>
      </c>
      <c r="M7146">
        <v>-2.0539600000000002E-2</v>
      </c>
      <c r="N7146">
        <v>0</v>
      </c>
      <c r="O7146">
        <v>0.99975440000000004</v>
      </c>
      <c r="P7146">
        <v>2.9589130000000002E-2</v>
      </c>
      <c r="Q7146">
        <v>0.17360880000000001</v>
      </c>
      <c r="R7146">
        <v>0.98437010000000003</v>
      </c>
      <c r="S7146">
        <v>-0.17851259999999999</v>
      </c>
      <c r="T7146">
        <v>1.11114</v>
      </c>
      <c r="U7146">
        <v>2.856293</v>
      </c>
      <c r="V7146">
        <v>4.9809909999999999E-2</v>
      </c>
      <c r="W7146">
        <v>0.18179129999999999</v>
      </c>
      <c r="X7146">
        <v>0.98207480000000003</v>
      </c>
      <c r="Y7146">
        <v>-3.7631810000000002E-2</v>
      </c>
      <c r="Z7146">
        <v>0.36200850000000001</v>
      </c>
      <c r="AA7146">
        <v>0.93141479999999999</v>
      </c>
      <c r="AB7146">
        <v>26</v>
      </c>
      <c r="AC7146">
        <v>-0.17851259999999999</v>
      </c>
      <c r="AD7146">
        <v>1.11114</v>
      </c>
      <c r="AE7146">
        <v>2.856293</v>
      </c>
      <c r="AF7146">
        <v>-0.104111625270479</v>
      </c>
      <c r="AG7146">
        <v>1.11114</v>
      </c>
      <c r="AH7146">
        <v>2.4847907002323502</v>
      </c>
      <c r="AI7146">
        <v>65.925649136265903</v>
      </c>
      <c r="AJ7146">
        <v>92.399264309284902</v>
      </c>
      <c r="AK7146">
        <v>2.7239045787394298</v>
      </c>
      <c r="AL7146">
        <v>79.525884709939305</v>
      </c>
      <c r="AM7146">
        <v>87.096499933489497</v>
      </c>
      <c r="AN7146">
        <v>1.0000000083424601</v>
      </c>
    </row>
    <row r="7147" spans="1:40" x14ac:dyDescent="0.25">
      <c r="A7147" t="str">
        <f>"20190312155014811"</f>
        <v>20190312155014811</v>
      </c>
      <c r="B7147" t="str">
        <f>"1552377014802718"</f>
        <v>1552377014802718</v>
      </c>
      <c r="C7147" t="s">
        <v>40</v>
      </c>
      <c r="D7147">
        <v>4.6382849999999998</v>
      </c>
      <c r="E7147">
        <v>0.46113199999999999</v>
      </c>
      <c r="F7147" t="s">
        <v>48</v>
      </c>
      <c r="G7147">
        <v>0</v>
      </c>
      <c r="H7147">
        <v>0</v>
      </c>
      <c r="I7147">
        <v>0</v>
      </c>
      <c r="J7147">
        <v>-188.2944</v>
      </c>
      <c r="K7147">
        <v>1.1099349999999999</v>
      </c>
      <c r="L7147">
        <v>-11.33121</v>
      </c>
      <c r="M7147">
        <v>-2.054106E-2</v>
      </c>
      <c r="N7147">
        <v>0</v>
      </c>
      <c r="O7147">
        <v>0.99975449999999999</v>
      </c>
      <c r="P7147">
        <v>3.1156030000000001E-2</v>
      </c>
      <c r="Q7147">
        <v>0.17164450000000001</v>
      </c>
      <c r="R7147">
        <v>0.98466620000000005</v>
      </c>
      <c r="S7147">
        <v>-0.18165590000000001</v>
      </c>
      <c r="T7147">
        <v>1.1288419999999999</v>
      </c>
      <c r="U7147">
        <v>2.8540040000000002</v>
      </c>
      <c r="V7147">
        <v>5.1383400000000003E-2</v>
      </c>
      <c r="W7147">
        <v>0.17980090000000001</v>
      </c>
      <c r="X7147">
        <v>0.98236009999999996</v>
      </c>
      <c r="Y7147">
        <v>-3.8568489999999997E-2</v>
      </c>
      <c r="Z7147">
        <v>0.36724030000000002</v>
      </c>
      <c r="AA7147">
        <v>0.92932610000000004</v>
      </c>
      <c r="AB7147">
        <v>26</v>
      </c>
      <c r="AC7147">
        <v>-0.18165590000000001</v>
      </c>
      <c r="AD7147">
        <v>1.1288419999999999</v>
      </c>
      <c r="AE7147">
        <v>2.8540040000000002</v>
      </c>
      <c r="AF7147">
        <v>-0.106411133658164</v>
      </c>
      <c r="AG7147">
        <v>1.1288419999999999</v>
      </c>
      <c r="AH7147">
        <v>2.4719703475467898</v>
      </c>
      <c r="AI7147">
        <v>65.475903808039703</v>
      </c>
      <c r="AJ7147">
        <v>92.464894886876706</v>
      </c>
      <c r="AK7147">
        <v>2.7196038295091798</v>
      </c>
      <c r="AL7147">
        <v>79.641836901646101</v>
      </c>
      <c r="AM7147">
        <v>87.005811358067206</v>
      </c>
      <c r="AN7147">
        <v>0.99999999175418997</v>
      </c>
    </row>
    <row r="7148" spans="1:40" x14ac:dyDescent="0.25">
      <c r="A7148" t="str">
        <f>"20190312155014837"</f>
        <v>20190312155014837</v>
      </c>
      <c r="B7148" t="str">
        <f>"1552377014832973"</f>
        <v>1552377014832973</v>
      </c>
      <c r="C7148" t="s">
        <v>40</v>
      </c>
      <c r="D7148">
        <v>4.7038539999999998</v>
      </c>
      <c r="E7148">
        <v>0.46119349999999998</v>
      </c>
      <c r="F7148" t="s">
        <v>48</v>
      </c>
      <c r="G7148">
        <v>0</v>
      </c>
      <c r="H7148">
        <v>0</v>
      </c>
      <c r="I7148">
        <v>0</v>
      </c>
      <c r="J7148">
        <v>-188.30029999999999</v>
      </c>
      <c r="K7148">
        <v>1.1099220000000001</v>
      </c>
      <c r="L7148">
        <v>-11.045260000000001</v>
      </c>
      <c r="M7148">
        <v>-2.054218E-2</v>
      </c>
      <c r="N7148">
        <v>0</v>
      </c>
      <c r="O7148">
        <v>0.99975480000000005</v>
      </c>
      <c r="P7148">
        <v>3.3232150000000002E-2</v>
      </c>
      <c r="Q7148">
        <v>0.1704031</v>
      </c>
      <c r="R7148">
        <v>0.98481390000000002</v>
      </c>
      <c r="S7148">
        <v>-0.18067929999999999</v>
      </c>
      <c r="T7148">
        <v>1.1328959999999999</v>
      </c>
      <c r="U7148">
        <v>2.8549500000000001</v>
      </c>
      <c r="V7148">
        <v>5.3462830000000003E-2</v>
      </c>
      <c r="W7148">
        <v>0.17853429999999901</v>
      </c>
      <c r="X7148">
        <v>0.98248020000000003</v>
      </c>
      <c r="Y7148">
        <v>-3.820523E-2</v>
      </c>
      <c r="Z7148">
        <v>0.36828100000000003</v>
      </c>
      <c r="AA7148">
        <v>0.92892920000000001</v>
      </c>
      <c r="AB7148">
        <v>26</v>
      </c>
      <c r="AC7148">
        <v>-0.18067929999999999</v>
      </c>
      <c r="AD7148">
        <v>1.1328959999999999</v>
      </c>
      <c r="AE7148">
        <v>2.8549500000000001</v>
      </c>
      <c r="AF7148">
        <v>-0.10545333832883499</v>
      </c>
      <c r="AG7148">
        <v>1.1328959999999999</v>
      </c>
      <c r="AH7148">
        <v>2.4705818089193099</v>
      </c>
      <c r="AI7148">
        <v>65.385723234811707</v>
      </c>
      <c r="AJ7148">
        <v>92.444106849700205</v>
      </c>
      <c r="AK7148">
        <v>2.7199904830612298</v>
      </c>
      <c r="AL7148">
        <v>79.715602034344101</v>
      </c>
      <c r="AM7148">
        <v>86.885253888190206</v>
      </c>
      <c r="AN7148">
        <v>1.00000005693006</v>
      </c>
    </row>
    <row r="7149" spans="1:40" x14ac:dyDescent="0.25">
      <c r="A7149" t="str">
        <f>"20190312155014858"</f>
        <v>20190312155014858</v>
      </c>
      <c r="B7149" t="str">
        <f>"1552377014852495"</f>
        <v>1552377014852495</v>
      </c>
      <c r="C7149" t="s">
        <v>40</v>
      </c>
      <c r="D7149">
        <v>4.8189599999999997</v>
      </c>
      <c r="E7149">
        <v>0.48490240000000001</v>
      </c>
      <c r="F7149" t="s">
        <v>48</v>
      </c>
      <c r="G7149">
        <v>0</v>
      </c>
      <c r="H7149">
        <v>0</v>
      </c>
      <c r="I7149">
        <v>0</v>
      </c>
      <c r="J7149">
        <v>-188.30590000000001</v>
      </c>
      <c r="K7149">
        <v>1.1099110000000001</v>
      </c>
      <c r="L7149">
        <v>-10.773350000000001</v>
      </c>
      <c r="M7149">
        <v>-2.0542919999999999E-2</v>
      </c>
      <c r="N7149">
        <v>0</v>
      </c>
      <c r="O7149">
        <v>0.9997549</v>
      </c>
      <c r="P7149">
        <v>3.5319780000000002E-2</v>
      </c>
      <c r="Q7149">
        <v>0.16855979999999901</v>
      </c>
      <c r="R7149">
        <v>0.9850584</v>
      </c>
      <c r="S7149">
        <v>-0.17452999999999999</v>
      </c>
      <c r="T7149">
        <v>1.134709</v>
      </c>
      <c r="U7149">
        <v>2.855804</v>
      </c>
      <c r="V7149">
        <v>5.5555550000000002E-2</v>
      </c>
      <c r="W7149">
        <v>0.17667179999999999</v>
      </c>
      <c r="X7149">
        <v>0.98270069999999998</v>
      </c>
      <c r="Y7149">
        <v>-3.6183449999999999E-2</v>
      </c>
      <c r="Z7149">
        <v>0.36873</v>
      </c>
      <c r="AA7149">
        <v>0.92883210000000005</v>
      </c>
      <c r="AB7149">
        <v>26</v>
      </c>
      <c r="AC7149">
        <v>-0.17452999999999999</v>
      </c>
      <c r="AD7149">
        <v>1.134709</v>
      </c>
      <c r="AE7149">
        <v>2.855804</v>
      </c>
      <c r="AF7149">
        <v>-0.100082868844204</v>
      </c>
      <c r="AG7149">
        <v>1.134709</v>
      </c>
      <c r="AH7149">
        <v>2.47024850683021</v>
      </c>
      <c r="AI7149">
        <v>65.346126698912002</v>
      </c>
      <c r="AJ7149">
        <v>92.320087005196996</v>
      </c>
      <c r="AK7149">
        <v>2.7202405740694999</v>
      </c>
      <c r="AL7149">
        <v>79.824038813787695</v>
      </c>
      <c r="AM7149">
        <v>86.764310916979696</v>
      </c>
      <c r="AN7149">
        <v>1.00000000491576</v>
      </c>
    </row>
    <row r="7150" spans="1:40" x14ac:dyDescent="0.25">
      <c r="A7150" t="str">
        <f>"20190312155014897"</f>
        <v>20190312155014897</v>
      </c>
      <c r="B7150" t="str">
        <f>"1552377014892510"</f>
        <v>1552377014892510</v>
      </c>
      <c r="C7150" t="s">
        <v>40</v>
      </c>
      <c r="D7150">
        <v>4.7707739999999896</v>
      </c>
      <c r="E7150">
        <v>0.49918750000000001</v>
      </c>
      <c r="F7150" t="s">
        <v>78</v>
      </c>
      <c r="G7150">
        <v>-187.6277</v>
      </c>
      <c r="H7150">
        <v>119.4736</v>
      </c>
      <c r="I7150">
        <v>391.87</v>
      </c>
      <c r="J7150">
        <v>-188.31540000000001</v>
      </c>
      <c r="K7150">
        <v>1.1099000000000001</v>
      </c>
      <c r="L7150">
        <v>-10.311680000000001</v>
      </c>
      <c r="M7150">
        <v>-2.054373E-2</v>
      </c>
      <c r="N7150">
        <v>0</v>
      </c>
      <c r="O7150">
        <v>0.99975510000000001</v>
      </c>
      <c r="P7150">
        <v>3.6991070000000001E-2</v>
      </c>
      <c r="Q7150">
        <v>0.16798940000000001</v>
      </c>
      <c r="R7150">
        <v>0.98509449999999998</v>
      </c>
      <c r="S7150">
        <v>4.8828129999999997E-3</v>
      </c>
      <c r="T7150">
        <v>0.85234889999999996</v>
      </c>
      <c r="U7150">
        <v>2.8994749999999998</v>
      </c>
      <c r="V7150">
        <v>5.7228000000000001E-2</v>
      </c>
      <c r="W7150">
        <v>0.1760776</v>
      </c>
      <c r="X7150">
        <v>0.98271140000000001</v>
      </c>
      <c r="Y7150">
        <v>2.2159649999999999E-2</v>
      </c>
      <c r="Z7150">
        <v>0.28190999999999999</v>
      </c>
      <c r="AA7150">
        <v>0.95918490000000001</v>
      </c>
      <c r="AB7150">
        <v>26</v>
      </c>
      <c r="AC7150">
        <v>0.68770000000000597</v>
      </c>
      <c r="AD7150">
        <v>118.36369999999999</v>
      </c>
      <c r="AE7150">
        <v>402.18167999999997</v>
      </c>
      <c r="AF7150">
        <v>8.2367254870804807</v>
      </c>
      <c r="AG7150">
        <v>118.36369999999999</v>
      </c>
      <c r="AH7150">
        <v>370.03244612860999</v>
      </c>
      <c r="AI7150">
        <v>72.266003120247603</v>
      </c>
      <c r="AJ7150">
        <v>88.724836994683898</v>
      </c>
      <c r="AK7150">
        <v>388.58952676617798</v>
      </c>
      <c r="AL7150">
        <v>79.858626450862602</v>
      </c>
      <c r="AM7150">
        <v>86.667155993929796</v>
      </c>
      <c r="AN7150">
        <v>1.00000003044785</v>
      </c>
    </row>
    <row r="7151" spans="1:40" x14ac:dyDescent="0.25">
      <c r="A7151" t="str">
        <f>"20190312155014919"</f>
        <v>20190312155014919</v>
      </c>
      <c r="B7151" t="str">
        <f>"1552377014913005"</f>
        <v>1552377014913005</v>
      </c>
      <c r="C7151" t="s">
        <v>40</v>
      </c>
      <c r="D7151">
        <v>4.7865630000000001</v>
      </c>
      <c r="E7151">
        <v>0.49922030000000001</v>
      </c>
      <c r="F7151" t="s">
        <v>78</v>
      </c>
      <c r="G7151">
        <v>-177.2251</v>
      </c>
      <c r="H7151">
        <v>13.46644</v>
      </c>
      <c r="I7151">
        <v>391.00349999999997</v>
      </c>
      <c r="J7151">
        <v>-188.32079999999999</v>
      </c>
      <c r="K7151">
        <v>1.1098840000000001</v>
      </c>
      <c r="L7151">
        <v>-10.04935</v>
      </c>
      <c r="M7151">
        <v>-2.0544090000000001E-2</v>
      </c>
      <c r="N7151">
        <v>0</v>
      </c>
      <c r="O7151">
        <v>0.99975510000000001</v>
      </c>
      <c r="P7151">
        <v>3.6733059999999998E-2</v>
      </c>
      <c r="Q7151">
        <v>0.16593089999999999</v>
      </c>
      <c r="R7151">
        <v>0.98545300000000002</v>
      </c>
      <c r="S7151">
        <v>8.363342E-2</v>
      </c>
      <c r="T7151">
        <v>9.3182210000000001E-2</v>
      </c>
      <c r="U7151">
        <v>3.026367</v>
      </c>
      <c r="V7151">
        <v>5.6977769999999997E-2</v>
      </c>
      <c r="W7151">
        <v>0.17401800000000001</v>
      </c>
      <c r="X7151">
        <v>0.98309270000000004</v>
      </c>
      <c r="Y7151">
        <v>4.814243E-2</v>
      </c>
      <c r="Z7151">
        <v>3.0742080000000001E-2</v>
      </c>
      <c r="AA7151">
        <v>0.99836729999999996</v>
      </c>
      <c r="AB7151">
        <v>26</v>
      </c>
      <c r="AC7151">
        <v>11.0956999999999</v>
      </c>
      <c r="AD7151">
        <v>12.3565559999999</v>
      </c>
      <c r="AE7151">
        <v>401.05284999999998</v>
      </c>
      <c r="AF7151">
        <v>19.314581937830798</v>
      </c>
      <c r="AG7151">
        <v>12.3565559999999</v>
      </c>
      <c r="AH7151">
        <v>400.360481267426</v>
      </c>
      <c r="AI7151">
        <v>88.234260822439296</v>
      </c>
      <c r="AJ7151">
        <v>87.238022362739798</v>
      </c>
      <c r="AK7151">
        <v>401.01652398909903</v>
      </c>
      <c r="AL7151">
        <v>79.978483085937199</v>
      </c>
      <c r="AM7151">
        <v>86.682980406410707</v>
      </c>
      <c r="AN7151">
        <v>0.999999993695731</v>
      </c>
    </row>
    <row r="7152" spans="1:40" x14ac:dyDescent="0.25">
      <c r="A7152" t="str">
        <f>"20190312155014943"</f>
        <v>20190312155014943</v>
      </c>
      <c r="B7152" t="str">
        <f>"1552377014932526"</f>
        <v>1552377014932526</v>
      </c>
      <c r="C7152" t="s">
        <v>40</v>
      </c>
      <c r="D7152">
        <v>4.7963300000000002</v>
      </c>
      <c r="E7152">
        <v>0.49934339999999999</v>
      </c>
      <c r="F7152" t="s">
        <v>78</v>
      </c>
      <c r="G7152">
        <v>-177.85409999999999</v>
      </c>
      <c r="H7152">
        <v>1.8332820000000001</v>
      </c>
      <c r="I7152">
        <v>391.87</v>
      </c>
      <c r="J7152">
        <v>-188.32650000000001</v>
      </c>
      <c r="K7152">
        <v>1.109866</v>
      </c>
      <c r="L7152">
        <v>-9.7716670000000008</v>
      </c>
      <c r="M7152">
        <v>-2.0544429999999999E-2</v>
      </c>
      <c r="N7152">
        <v>0</v>
      </c>
      <c r="O7152">
        <v>0.99975510000000001</v>
      </c>
      <c r="P7152">
        <v>3.6312280000000002E-2</v>
      </c>
      <c r="Q7152">
        <v>0.16308320000000001</v>
      </c>
      <c r="R7152">
        <v>0.98594389999999998</v>
      </c>
      <c r="S7152">
        <v>7.9177860000000003E-2</v>
      </c>
      <c r="T7152">
        <v>5.4723019999999897E-3</v>
      </c>
      <c r="U7152">
        <v>3.0404049999999998</v>
      </c>
      <c r="V7152">
        <v>5.6567439999999997E-2</v>
      </c>
      <c r="W7152">
        <v>0.17117550000000001</v>
      </c>
      <c r="X7152">
        <v>0.98361529999999997</v>
      </c>
      <c r="Y7152">
        <v>4.6565679999999998E-2</v>
      </c>
      <c r="Z7152">
        <v>1.798006E-3</v>
      </c>
      <c r="AA7152">
        <v>0.99891359999999996</v>
      </c>
      <c r="AB7152">
        <v>26</v>
      </c>
      <c r="AC7152">
        <v>10.4724</v>
      </c>
      <c r="AD7152">
        <v>0.72341599999999995</v>
      </c>
      <c r="AE7152">
        <v>401.64166699999998</v>
      </c>
      <c r="AF7152">
        <v>18.721907161890599</v>
      </c>
      <c r="AG7152">
        <v>0.72341599999999995</v>
      </c>
      <c r="AH7152">
        <v>401.34043325858897</v>
      </c>
      <c r="AI7152">
        <v>89.896836672423404</v>
      </c>
      <c r="AJ7152">
        <v>87.3291771585438</v>
      </c>
      <c r="AK7152">
        <v>401.77752115652203</v>
      </c>
      <c r="AL7152">
        <v>80.143827791710095</v>
      </c>
      <c r="AM7152">
        <v>86.708561262987502</v>
      </c>
      <c r="AN7152">
        <v>0.99999999273124596</v>
      </c>
    </row>
    <row r="7153" spans="1:40" x14ac:dyDescent="0.25">
      <c r="A7153" t="str">
        <f>"20190312155014964"</f>
        <v>20190312155014964</v>
      </c>
      <c r="B7153" t="str">
        <f>"1552377014953023"</f>
        <v>1552377014953023</v>
      </c>
      <c r="C7153" t="s">
        <v>40</v>
      </c>
      <c r="D7153">
        <v>4.8184329999999997</v>
      </c>
      <c r="E7153">
        <v>0.49934620000000002</v>
      </c>
      <c r="F7153" t="s">
        <v>42</v>
      </c>
      <c r="G7153">
        <v>-186.24860000000001</v>
      </c>
      <c r="H7153" s="1">
        <v>-2.0071630000000001E-6</v>
      </c>
      <c r="I7153">
        <v>72.61309</v>
      </c>
      <c r="J7153">
        <v>-188.33179999999999</v>
      </c>
      <c r="K7153">
        <v>1.109853</v>
      </c>
      <c r="L7153">
        <v>-9.5143740000000001</v>
      </c>
      <c r="M7153">
        <v>-2.0544710000000001E-2</v>
      </c>
      <c r="N7153">
        <v>0</v>
      </c>
      <c r="O7153">
        <v>0.99975510000000001</v>
      </c>
      <c r="P7153">
        <v>3.6257110000000002E-2</v>
      </c>
      <c r="Q7153">
        <v>0.1606766</v>
      </c>
      <c r="R7153">
        <v>0.98634089999999996</v>
      </c>
      <c r="S7153">
        <v>7.6843259999999997E-2</v>
      </c>
      <c r="T7153">
        <v>-4.1044709999999998E-2</v>
      </c>
      <c r="U7153">
        <v>3.0467219999999999</v>
      </c>
      <c r="V7153">
        <v>5.6520679999999997E-2</v>
      </c>
      <c r="W7153">
        <v>0.1687786</v>
      </c>
      <c r="X7153">
        <v>0.98403209999999997</v>
      </c>
      <c r="Y7153">
        <v>4.574487E-2</v>
      </c>
      <c r="Z7153">
        <v>-1.345709E-2</v>
      </c>
      <c r="AA7153">
        <v>0.99886249999999999</v>
      </c>
      <c r="AB7153">
        <v>27</v>
      </c>
      <c r="AC7153">
        <v>2.08319999999997</v>
      </c>
      <c r="AD7153">
        <v>-1.109855007163</v>
      </c>
      <c r="AE7153">
        <v>82.127464000000003</v>
      </c>
      <c r="AF7153">
        <v>3.7694143509280398</v>
      </c>
      <c r="AG7153">
        <v>-1.109855007163</v>
      </c>
      <c r="AH7153">
        <v>82.052353401616799</v>
      </c>
      <c r="AI7153">
        <v>90.774129509151393</v>
      </c>
      <c r="AJ7153">
        <v>87.369730573251204</v>
      </c>
      <c r="AK7153">
        <v>82.146387391228103</v>
      </c>
      <c r="AL7153">
        <v>80.283188009143004</v>
      </c>
      <c r="AM7153">
        <v>86.712665997997107</v>
      </c>
      <c r="AN7153">
        <v>0.99999998845801596</v>
      </c>
    </row>
    <row r="7154" spans="1:40" x14ac:dyDescent="0.25">
      <c r="A7154" t="str">
        <f>"20190312155014990"</f>
        <v>20190312155014990</v>
      </c>
      <c r="B7154" t="str">
        <f>"1552377014984254"</f>
        <v>1552377014984254</v>
      </c>
      <c r="C7154" t="s">
        <v>40</v>
      </c>
      <c r="D7154">
        <v>4.8004110000000004</v>
      </c>
      <c r="E7154">
        <v>0.49986960000000003</v>
      </c>
      <c r="F7154" t="s">
        <v>42</v>
      </c>
      <c r="G7154">
        <v>-187.14580000000001</v>
      </c>
      <c r="H7154" s="1">
        <v>-4.2383020000000002E-6</v>
      </c>
      <c r="I7154">
        <v>38.3322</v>
      </c>
      <c r="J7154">
        <v>-188.33799999999999</v>
      </c>
      <c r="K7154">
        <v>1.1098539999999999</v>
      </c>
      <c r="L7154">
        <v>-9.2131349999999994</v>
      </c>
      <c r="M7154">
        <v>-2.054404E-2</v>
      </c>
      <c r="N7154">
        <v>0</v>
      </c>
      <c r="O7154">
        <v>0.99975499999999995</v>
      </c>
      <c r="P7154">
        <v>3.5356470000000001E-2</v>
      </c>
      <c r="Q7154">
        <v>0.16022990000000001</v>
      </c>
      <c r="R7154">
        <v>0.9864463</v>
      </c>
      <c r="S7154">
        <v>7.5607300000000002E-2</v>
      </c>
      <c r="T7154">
        <v>-7.0755120000000005E-2</v>
      </c>
      <c r="U7154">
        <v>3.0502929999999999</v>
      </c>
      <c r="V7154">
        <v>5.5621940000000002E-2</v>
      </c>
      <c r="W7154">
        <v>0.16834660000000001</v>
      </c>
      <c r="X7154">
        <v>0.98415730000000001</v>
      </c>
      <c r="Y7154">
        <v>4.5305829999999998E-2</v>
      </c>
      <c r="Z7154">
        <v>-2.3167130000000001E-2</v>
      </c>
      <c r="AA7154">
        <v>0.9987045</v>
      </c>
      <c r="AB7154">
        <v>27</v>
      </c>
      <c r="AC7154">
        <v>1.1921999999999799</v>
      </c>
      <c r="AD7154">
        <v>-1.1098582383019999</v>
      </c>
      <c r="AE7154">
        <v>47.545334999999902</v>
      </c>
      <c r="AF7154">
        <v>2.1675744108133701</v>
      </c>
      <c r="AG7154">
        <v>-1.1098582383019999</v>
      </c>
      <c r="AH7154">
        <v>47.4849479576704</v>
      </c>
      <c r="AI7154">
        <v>91.337529211583302</v>
      </c>
      <c r="AJ7154">
        <v>87.386398887693105</v>
      </c>
      <c r="AK7154">
        <v>47.547349523167</v>
      </c>
      <c r="AL7154">
        <v>80.308299063959097</v>
      </c>
      <c r="AM7154">
        <v>86.765236930415199</v>
      </c>
      <c r="AN7154">
        <v>0.99999998454210604</v>
      </c>
    </row>
    <row r="7155" spans="1:40" x14ac:dyDescent="0.25">
      <c r="A7155" t="str">
        <f>"20190312155015012"</f>
        <v>20190312155015012</v>
      </c>
      <c r="B7155" t="str">
        <f>"1552377015002798"</f>
        <v>1552377015002798</v>
      </c>
      <c r="C7155" t="s">
        <v>40</v>
      </c>
      <c r="D7155">
        <v>4.8115119999999996</v>
      </c>
      <c r="E7155">
        <v>0.50000690000000003</v>
      </c>
      <c r="F7155" t="s">
        <v>42</v>
      </c>
      <c r="G7155">
        <v>-187.45670000000001</v>
      </c>
      <c r="H7155" s="1">
        <v>-3.3596310000000002E-6</v>
      </c>
      <c r="I7155">
        <v>26.41254</v>
      </c>
      <c r="J7155">
        <v>-188.3434</v>
      </c>
      <c r="K7155">
        <v>1.1098440000000001</v>
      </c>
      <c r="L7155">
        <v>-8.9494929999999897</v>
      </c>
      <c r="M7155">
        <v>-2.053951E-2</v>
      </c>
      <c r="N7155">
        <v>0</v>
      </c>
      <c r="O7155">
        <v>0.9997549</v>
      </c>
      <c r="P7155">
        <v>3.4573060000000003E-2</v>
      </c>
      <c r="Q7155">
        <v>0.15806400000000001</v>
      </c>
      <c r="R7155">
        <v>0.98682340000000002</v>
      </c>
      <c r="S7155">
        <v>7.5546260000000004E-2</v>
      </c>
      <c r="T7155">
        <v>-9.5140810000000006E-2</v>
      </c>
      <c r="U7155">
        <v>3.0539550000000002</v>
      </c>
      <c r="V7155">
        <v>5.4842750000000003E-2</v>
      </c>
      <c r="W7155">
        <v>0.1661986</v>
      </c>
      <c r="X7155">
        <v>0.98456600000000005</v>
      </c>
      <c r="Y7155">
        <v>4.5246359999999999E-2</v>
      </c>
      <c r="Z7155">
        <v>-3.1107650000000001E-2</v>
      </c>
      <c r="AA7155">
        <v>0.99849140000000003</v>
      </c>
      <c r="AB7155">
        <v>27</v>
      </c>
      <c r="AC7155">
        <v>0.88669999999999005</v>
      </c>
      <c r="AD7155">
        <v>-1.1098473596309999</v>
      </c>
      <c r="AE7155">
        <v>35.362032999999997</v>
      </c>
      <c r="AF7155">
        <v>1.6112703929355501</v>
      </c>
      <c r="AG7155">
        <v>-1.1098473596309999</v>
      </c>
      <c r="AH7155">
        <v>35.301608081097697</v>
      </c>
      <c r="AI7155">
        <v>91.798857493432394</v>
      </c>
      <c r="AJ7155">
        <v>87.386663968174901</v>
      </c>
      <c r="AK7155">
        <v>35.355784343615603</v>
      </c>
      <c r="AL7155">
        <v>80.433128913735104</v>
      </c>
      <c r="AM7155">
        <v>86.811778739736994</v>
      </c>
      <c r="AN7155">
        <v>0.99999995511275996</v>
      </c>
    </row>
    <row r="7156" spans="1:40" x14ac:dyDescent="0.25">
      <c r="A7156" t="str">
        <f>"20190312155015055"</f>
        <v>20190312155015055</v>
      </c>
      <c r="B7156" t="str">
        <f>"1552377015042814"</f>
        <v>1552377015042814</v>
      </c>
      <c r="C7156" t="s">
        <v>40</v>
      </c>
      <c r="D7156">
        <v>4.8230789999999999</v>
      </c>
      <c r="E7156">
        <v>0.50021009999999999</v>
      </c>
      <c r="F7156" t="s">
        <v>42</v>
      </c>
      <c r="G7156">
        <v>-187.63140000000001</v>
      </c>
      <c r="H7156" s="1">
        <v>-9.5567359999999996E-7</v>
      </c>
      <c r="I7156">
        <v>20.604379999999999</v>
      </c>
      <c r="J7156">
        <v>-188.35400000000001</v>
      </c>
      <c r="K7156">
        <v>1.1098059999999901</v>
      </c>
      <c r="L7156">
        <v>-8.4323119999999996</v>
      </c>
      <c r="M7156">
        <v>-2.0505200000000001E-2</v>
      </c>
      <c r="N7156">
        <v>0</v>
      </c>
      <c r="O7156">
        <v>0.99975539999999996</v>
      </c>
      <c r="P7156">
        <v>3.3948399999999997E-2</v>
      </c>
      <c r="Q7156">
        <v>0.1498631</v>
      </c>
      <c r="R7156">
        <v>0.9881238</v>
      </c>
      <c r="S7156">
        <v>7.3623659999999994E-2</v>
      </c>
      <c r="T7156">
        <v>-0.1147571</v>
      </c>
      <c r="U7156">
        <v>3.055847</v>
      </c>
      <c r="V7156">
        <v>5.4215439999999997E-2</v>
      </c>
      <c r="W7156">
        <v>0.15803449999999999</v>
      </c>
      <c r="X7156">
        <v>0.98594409999999999</v>
      </c>
      <c r="Y7156">
        <v>4.4563680000000001E-2</v>
      </c>
      <c r="Z7156">
        <v>-3.7490910000000002E-2</v>
      </c>
      <c r="AA7156">
        <v>0.99830280000000005</v>
      </c>
      <c r="AB7156">
        <v>27</v>
      </c>
      <c r="AC7156">
        <v>0.72259999999999902</v>
      </c>
      <c r="AD7156">
        <v>-1.1098069556736001</v>
      </c>
      <c r="AE7156">
        <v>29.036691999999999</v>
      </c>
      <c r="AF7156">
        <v>1.3159504890432201</v>
      </c>
      <c r="AG7156">
        <v>-1.1098069556736001</v>
      </c>
      <c r="AH7156">
        <v>28.9734697334071</v>
      </c>
      <c r="AI7156">
        <v>92.191342421782494</v>
      </c>
      <c r="AJ7156">
        <v>87.399461390258907</v>
      </c>
      <c r="AK7156">
        <v>29.024564519750001</v>
      </c>
      <c r="AL7156">
        <v>80.907169988214306</v>
      </c>
      <c r="AM7156">
        <v>86.852569340226793</v>
      </c>
      <c r="AN7156">
        <v>0.99999999272472595</v>
      </c>
    </row>
    <row r="7157" spans="1:40" x14ac:dyDescent="0.25">
      <c r="A7157" t="str">
        <f>"20190312155015077"</f>
        <v>20190312155015077</v>
      </c>
      <c r="B7157" t="str">
        <f>"1552377015073069"</f>
        <v>1552377015073069</v>
      </c>
      <c r="C7157" t="s">
        <v>40</v>
      </c>
      <c r="D7157">
        <v>4.8865270000000001</v>
      </c>
      <c r="E7157">
        <v>0.50044630000000001</v>
      </c>
      <c r="F7157" t="s">
        <v>42</v>
      </c>
      <c r="G7157">
        <v>-187.82579999999999</v>
      </c>
      <c r="H7157" s="1">
        <v>-2.0899920000000001E-6</v>
      </c>
      <c r="I7157">
        <v>13.605589999999999</v>
      </c>
      <c r="J7157">
        <v>-188.3596</v>
      </c>
      <c r="K7157">
        <v>1.1097809999999999</v>
      </c>
      <c r="L7157">
        <v>-8.15566999999999</v>
      </c>
      <c r="M7157">
        <v>-2.0459209999999999E-2</v>
      </c>
      <c r="N7157">
        <v>0</v>
      </c>
      <c r="O7157">
        <v>0.99975619999999998</v>
      </c>
      <c r="P7157">
        <v>3.4736679999999999E-2</v>
      </c>
      <c r="Q7157">
        <v>0.1466132</v>
      </c>
      <c r="R7157">
        <v>0.98858380000000001</v>
      </c>
      <c r="S7157">
        <v>7.3272710000000005E-2</v>
      </c>
      <c r="T7157">
        <v>-0.15394189999999999</v>
      </c>
      <c r="U7157">
        <v>3.0568849999999999</v>
      </c>
      <c r="V7157">
        <v>5.4972600000000003E-2</v>
      </c>
      <c r="W7157">
        <v>0.1548013</v>
      </c>
      <c r="X7157">
        <v>0.98641500000000004</v>
      </c>
      <c r="Y7157">
        <v>4.4381589999999999E-2</v>
      </c>
      <c r="Z7157">
        <v>-5.0247569999999998E-2</v>
      </c>
      <c r="AA7157">
        <v>0.99775020000000003</v>
      </c>
      <c r="AB7157">
        <v>27</v>
      </c>
      <c r="AC7157">
        <v>0.53380000000001304</v>
      </c>
      <c r="AD7157">
        <v>-1.10978308999199</v>
      </c>
      <c r="AE7157">
        <v>21.76126</v>
      </c>
      <c r="AF7157">
        <v>0.97638394303891396</v>
      </c>
      <c r="AG7157">
        <v>-1.10978308999199</v>
      </c>
      <c r="AH7157">
        <v>21.689407259337599</v>
      </c>
      <c r="AI7157">
        <v>92.926143625714303</v>
      </c>
      <c r="AJ7157">
        <v>87.422477474088595</v>
      </c>
      <c r="AK7157">
        <v>21.739717831022201</v>
      </c>
      <c r="AL7157">
        <v>81.094727426394101</v>
      </c>
      <c r="AM7157">
        <v>86.810223631561399</v>
      </c>
      <c r="AN7157">
        <v>0.99999999072872503</v>
      </c>
    </row>
    <row r="7158" spans="1:40" x14ac:dyDescent="0.25">
      <c r="A7158" t="str">
        <f>"20190312155015099"</f>
        <v>20190312155015099</v>
      </c>
      <c r="B7158" t="str">
        <f>"1552377015093286"</f>
        <v>1552377015093286</v>
      </c>
      <c r="C7158" t="s">
        <v>40</v>
      </c>
      <c r="D7158">
        <v>4.8655589999999904</v>
      </c>
      <c r="E7158">
        <v>0.50063219999999997</v>
      </c>
      <c r="F7158" t="s">
        <v>42</v>
      </c>
      <c r="G7158">
        <v>-187.8468</v>
      </c>
      <c r="H7158" s="1">
        <v>-1.344852E-6</v>
      </c>
      <c r="I7158">
        <v>11.877330000000001</v>
      </c>
      <c r="J7158">
        <v>-188.3647</v>
      </c>
      <c r="K7158">
        <v>1.109766</v>
      </c>
      <c r="L7158">
        <v>-7.9078669999999898</v>
      </c>
      <c r="M7158">
        <v>-2.0385360000000002E-2</v>
      </c>
      <c r="N7158">
        <v>0</v>
      </c>
      <c r="O7158">
        <v>0.99975760000000002</v>
      </c>
      <c r="P7158">
        <v>3.514316E-2</v>
      </c>
      <c r="Q7158">
        <v>0.1478226</v>
      </c>
      <c r="R7158">
        <v>0.98838930000000003</v>
      </c>
      <c r="S7158">
        <v>7.8262330000000005E-2</v>
      </c>
      <c r="T7158">
        <v>-0.16935120000000001</v>
      </c>
      <c r="U7158">
        <v>3.057007</v>
      </c>
      <c r="V7158">
        <v>5.5310289999999998E-2</v>
      </c>
      <c r="W7158">
        <v>0.15601570000000001</v>
      </c>
      <c r="X7158">
        <v>0.98620479999999999</v>
      </c>
      <c r="Y7158">
        <v>4.5927519999999999E-2</v>
      </c>
      <c r="Z7158">
        <v>-5.5257470000000003E-2</v>
      </c>
      <c r="AA7158">
        <v>0.9974153</v>
      </c>
      <c r="AB7158">
        <v>27</v>
      </c>
      <c r="AC7158">
        <v>0.51789999999999703</v>
      </c>
      <c r="AD7158">
        <v>-1.109767344852</v>
      </c>
      <c r="AE7158">
        <v>19.785197</v>
      </c>
      <c r="AF7158">
        <v>0.91824769492837199</v>
      </c>
      <c r="AG7158">
        <v>-1.109767344852</v>
      </c>
      <c r="AH7158">
        <v>19.708563181116901</v>
      </c>
      <c r="AI7158">
        <v>93.219373499748897</v>
      </c>
      <c r="AJ7158">
        <v>87.332443895986302</v>
      </c>
      <c r="AK7158">
        <v>19.761129144181499</v>
      </c>
      <c r="AL7158">
        <v>81.024291891674494</v>
      </c>
      <c r="AM7158">
        <v>86.789987450403103</v>
      </c>
      <c r="AN7158">
        <v>1.0000000171847001</v>
      </c>
    </row>
    <row r="7159" spans="1:40" x14ac:dyDescent="0.25">
      <c r="A7159" t="str">
        <f>"20190312155015122"</f>
        <v>20190312155015122</v>
      </c>
      <c r="B7159" t="str">
        <f>"1552377015112805"</f>
        <v>1552377015112805</v>
      </c>
      <c r="C7159" t="s">
        <v>40</v>
      </c>
      <c r="D7159">
        <v>4.8536250000000001</v>
      </c>
      <c r="E7159">
        <v>0.50079899999999999</v>
      </c>
      <c r="F7159" t="s">
        <v>42</v>
      </c>
      <c r="G7159">
        <v>-187.82660000000001</v>
      </c>
      <c r="H7159" s="1">
        <v>-1.5162490000000001E-6</v>
      </c>
      <c r="I7159">
        <v>12.2685</v>
      </c>
      <c r="J7159">
        <v>-188.37039999999999</v>
      </c>
      <c r="K7159">
        <v>1.1097159999999999</v>
      </c>
      <c r="L7159">
        <v>-7.6195979999999999</v>
      </c>
      <c r="M7159">
        <v>-2.0237450000000001E-2</v>
      </c>
      <c r="N7159">
        <v>0</v>
      </c>
      <c r="O7159">
        <v>0.9997606</v>
      </c>
      <c r="P7159">
        <v>3.5448649999999998E-2</v>
      </c>
      <c r="Q7159">
        <v>0.15068790000000001</v>
      </c>
      <c r="R7159">
        <v>0.98794559999999998</v>
      </c>
      <c r="S7159">
        <v>8.1542970000000006E-2</v>
      </c>
      <c r="T7159">
        <v>-0.1681725</v>
      </c>
      <c r="U7159">
        <v>3.0574949999999999</v>
      </c>
      <c r="V7159">
        <v>5.5477020000000002E-2</v>
      </c>
      <c r="W7159">
        <v>0.15887770000000001</v>
      </c>
      <c r="X7159">
        <v>0.98573840000000001</v>
      </c>
      <c r="Y7159">
        <v>4.6845699999999997E-2</v>
      </c>
      <c r="Z7159">
        <v>-5.4863589999999997E-2</v>
      </c>
      <c r="AA7159">
        <v>0.99739429999999996</v>
      </c>
      <c r="AB7159">
        <v>27</v>
      </c>
      <c r="AC7159">
        <v>0.54379999999997597</v>
      </c>
      <c r="AD7159">
        <v>-1.1097175162489901</v>
      </c>
      <c r="AE7159">
        <v>19.888097999999999</v>
      </c>
      <c r="AF7159">
        <v>0.94325238487370799</v>
      </c>
      <c r="AG7159">
        <v>-1.1097175162489901</v>
      </c>
      <c r="AH7159">
        <v>19.8113839928936</v>
      </c>
      <c r="AI7159">
        <v>93.202403118734196</v>
      </c>
      <c r="AJ7159">
        <v>87.274112753221004</v>
      </c>
      <c r="AK7159">
        <v>19.864846683056001</v>
      </c>
      <c r="AL7159">
        <v>80.858240148054804</v>
      </c>
      <c r="AM7159">
        <v>86.778811189107401</v>
      </c>
      <c r="AN7159">
        <v>1.0000000082699601</v>
      </c>
    </row>
    <row r="7160" spans="1:40" x14ac:dyDescent="0.25">
      <c r="A7160" t="str">
        <f>"20190312155015144"</f>
        <v>20190312155015144</v>
      </c>
      <c r="B7160" t="str">
        <f>"1552377015133302"</f>
        <v>1552377015133302</v>
      </c>
      <c r="C7160" t="s">
        <v>40</v>
      </c>
      <c r="D7160">
        <v>4.8615769999999996</v>
      </c>
      <c r="E7160">
        <v>0.50091090000000005</v>
      </c>
      <c r="F7160" t="s">
        <v>42</v>
      </c>
      <c r="G7160">
        <v>-187.79169999999999</v>
      </c>
      <c r="H7160" s="1">
        <v>-2.0363490000000002E-6</v>
      </c>
      <c r="I7160">
        <v>13.466430000000001</v>
      </c>
      <c r="J7160">
        <v>-188.37559999999999</v>
      </c>
      <c r="K7160">
        <v>1.1096280000000001</v>
      </c>
      <c r="L7160">
        <v>-7.3533629999999999</v>
      </c>
      <c r="M7160">
        <v>-2.0025330000000001E-2</v>
      </c>
      <c r="N7160">
        <v>0</v>
      </c>
      <c r="O7160">
        <v>0.99976489999999996</v>
      </c>
      <c r="P7160">
        <v>3.5926010000000001E-2</v>
      </c>
      <c r="Q7160">
        <v>0.14134759999999999</v>
      </c>
      <c r="R7160">
        <v>0.98930790000000002</v>
      </c>
      <c r="S7160">
        <v>8.3938600000000002E-2</v>
      </c>
      <c r="T7160">
        <v>-0.160943899999999</v>
      </c>
      <c r="U7160">
        <v>3.0581360000000002</v>
      </c>
      <c r="V7160">
        <v>5.5788890000000001E-2</v>
      </c>
      <c r="W7160">
        <v>0.1495408</v>
      </c>
      <c r="X7160">
        <v>0.98718039999999996</v>
      </c>
      <c r="Y7160">
        <v>4.7412419999999997E-2</v>
      </c>
      <c r="Z7160">
        <v>-5.2500140000000001E-2</v>
      </c>
      <c r="AA7160">
        <v>0.99749480000000001</v>
      </c>
      <c r="AB7160">
        <v>27</v>
      </c>
      <c r="AC7160">
        <v>0.58389999999999898</v>
      </c>
      <c r="AD7160">
        <v>-1.1096300363489999</v>
      </c>
      <c r="AE7160">
        <v>20.819793000000001</v>
      </c>
      <c r="AF7160">
        <v>0.99788821027557495</v>
      </c>
      <c r="AG7160">
        <v>-1.1096300363489999</v>
      </c>
      <c r="AH7160">
        <v>20.7450434087106</v>
      </c>
      <c r="AI7160">
        <v>93.058242418247104</v>
      </c>
      <c r="AJ7160">
        <v>87.246053193326304</v>
      </c>
      <c r="AK7160">
        <v>20.7986510554666</v>
      </c>
      <c r="AL7160">
        <v>81.399683777851493</v>
      </c>
      <c r="AM7160">
        <v>86.765463000797396</v>
      </c>
      <c r="AN7160">
        <v>0.99999999662811501</v>
      </c>
    </row>
    <row r="7161" spans="1:40" x14ac:dyDescent="0.25">
      <c r="A7161" t="str">
        <f>"20190312155015167"</f>
        <v>20190312155015167</v>
      </c>
      <c r="B7161" t="str">
        <f>"1552377015162582"</f>
        <v>1552377015162582</v>
      </c>
      <c r="C7161" t="s">
        <v>40</v>
      </c>
      <c r="D7161">
        <v>4.8031519999999999</v>
      </c>
      <c r="E7161">
        <v>0.50113069999999904</v>
      </c>
      <c r="F7161" t="s">
        <v>42</v>
      </c>
      <c r="G7161">
        <v>-187.87190000000001</v>
      </c>
      <c r="H7161" s="1">
        <v>-8.2902699999999897E-7</v>
      </c>
      <c r="I7161">
        <v>10.42029</v>
      </c>
      <c r="J7161">
        <v>-188.3809</v>
      </c>
      <c r="K7161">
        <v>1.109532</v>
      </c>
      <c r="L7161">
        <v>-7.0769039999999901</v>
      </c>
      <c r="M7161">
        <v>-1.9716930000000001E-2</v>
      </c>
      <c r="N7161">
        <v>0</v>
      </c>
      <c r="O7161">
        <v>0.99977110000000002</v>
      </c>
      <c r="P7161">
        <v>3.6304429999999999E-2</v>
      </c>
      <c r="Q7161">
        <v>0.1353319</v>
      </c>
      <c r="R7161">
        <v>0.99013499999999999</v>
      </c>
      <c r="S7161">
        <v>8.6624149999999997E-2</v>
      </c>
      <c r="T7161">
        <v>-0.19082379999999999</v>
      </c>
      <c r="U7161">
        <v>3.056549</v>
      </c>
      <c r="V7161">
        <v>5.5899119999999997E-2</v>
      </c>
      <c r="W7161">
        <v>0.14351220000000001</v>
      </c>
      <c r="X7161">
        <v>0.98806859999999996</v>
      </c>
      <c r="Y7161">
        <v>4.7978359999999998E-2</v>
      </c>
      <c r="Z7161">
        <v>-6.2243310000000003E-2</v>
      </c>
      <c r="AA7161">
        <v>0.99690710000000005</v>
      </c>
      <c r="AB7161">
        <v>27</v>
      </c>
      <c r="AC7161">
        <v>0.50899999999998602</v>
      </c>
      <c r="AD7161">
        <v>-1.1095328290269999</v>
      </c>
      <c r="AE7161">
        <v>17.497194</v>
      </c>
      <c r="AF7161">
        <v>0.85048690479332301</v>
      </c>
      <c r="AG7161">
        <v>-1.1095328290269999</v>
      </c>
      <c r="AH7161">
        <v>17.413792915149401</v>
      </c>
      <c r="AI7161">
        <v>93.641386570681505</v>
      </c>
      <c r="AJ7161">
        <v>87.2039049387283</v>
      </c>
      <c r="AK7161">
        <v>17.469818967740402</v>
      </c>
      <c r="AL7161">
        <v>81.748866620485003</v>
      </c>
      <c r="AM7161">
        <v>86.761992816981405</v>
      </c>
      <c r="AN7161">
        <v>1.00000001073578</v>
      </c>
    </row>
    <row r="7162" spans="1:40" x14ac:dyDescent="0.25">
      <c r="A7162" t="str">
        <f>"20190312155015186"</f>
        <v>20190312155015186</v>
      </c>
      <c r="B7162" t="str">
        <f>"1552377015172342"</f>
        <v>1552377015172342</v>
      </c>
      <c r="C7162" t="s">
        <v>40</v>
      </c>
      <c r="D7162">
        <v>4.7866799999999996</v>
      </c>
      <c r="E7162">
        <v>0.50113980000000002</v>
      </c>
      <c r="F7162" t="s">
        <v>41</v>
      </c>
      <c r="G7162">
        <v>-188.3528</v>
      </c>
      <c r="H7162">
        <v>1.043677</v>
      </c>
      <c r="I7162">
        <v>-6.1188890000000002</v>
      </c>
      <c r="J7162">
        <v>-188.38550000000001</v>
      </c>
      <c r="K7162">
        <v>1.109451</v>
      </c>
      <c r="L7162">
        <v>-6.8258359999999998</v>
      </c>
      <c r="M7162">
        <v>-1.9356959999999999E-2</v>
      </c>
      <c r="N7162">
        <v>0</v>
      </c>
      <c r="O7162">
        <v>0.99977830000000001</v>
      </c>
      <c r="P7162">
        <v>3.6465169999999998E-2</v>
      </c>
      <c r="Q7162">
        <v>0.1342005</v>
      </c>
      <c r="R7162">
        <v>0.99028309999999997</v>
      </c>
      <c r="S7162">
        <v>8.9447020000000002E-2</v>
      </c>
      <c r="T7162">
        <v>-0.21002190000000001</v>
      </c>
      <c r="U7162">
        <v>3.0553279999999998</v>
      </c>
      <c r="V7162">
        <v>5.5727260000000001E-2</v>
      </c>
      <c r="W7162">
        <v>0.14235449999999999</v>
      </c>
      <c r="X7162">
        <v>0.98824579999999995</v>
      </c>
      <c r="Y7162">
        <v>4.8538289999999998E-2</v>
      </c>
      <c r="Z7162">
        <v>-6.8503410000000001E-2</v>
      </c>
      <c r="AA7162">
        <v>0.99646939999999995</v>
      </c>
      <c r="AB7162">
        <v>27</v>
      </c>
      <c r="AC7162">
        <v>3.2700000000005502E-2</v>
      </c>
      <c r="AD7162">
        <v>-6.5773999999999999E-2</v>
      </c>
      <c r="AE7162">
        <v>0.70694699999999899</v>
      </c>
      <c r="AF7162">
        <v>4.5981505192462899E-2</v>
      </c>
      <c r="AG7162">
        <v>-6.5773999999999999E-2</v>
      </c>
      <c r="AH7162">
        <v>0.70013387605999799</v>
      </c>
      <c r="AI7162">
        <v>95.355424025320204</v>
      </c>
      <c r="AJ7162">
        <v>86.242478430441693</v>
      </c>
      <c r="AK7162">
        <v>0.70471835672313898</v>
      </c>
      <c r="AL7162">
        <v>81.815886374583499</v>
      </c>
      <c r="AM7162">
        <v>86.772504471806599</v>
      </c>
      <c r="AN7162">
        <v>1.0000000461974901</v>
      </c>
    </row>
    <row r="7163" spans="1:40" x14ac:dyDescent="0.25">
      <c r="A7163" t="str">
        <f>"20190312155015211"</f>
        <v>20190312155015211</v>
      </c>
      <c r="B7163" t="str">
        <f>"1552377015203163"</f>
        <v>1552377015203163</v>
      </c>
      <c r="C7163" t="s">
        <v>40</v>
      </c>
      <c r="D7163">
        <v>4.7336530000000003</v>
      </c>
      <c r="E7163">
        <v>0.48571730000000002</v>
      </c>
      <c r="F7163" t="s">
        <v>41</v>
      </c>
      <c r="G7163">
        <v>-188.35720000000001</v>
      </c>
      <c r="H7163">
        <v>1.0426799999999901</v>
      </c>
      <c r="I7163">
        <v>-5.8742140000000003</v>
      </c>
      <c r="J7163">
        <v>-188.39070000000001</v>
      </c>
      <c r="K7163">
        <v>1.1093649999999999</v>
      </c>
      <c r="L7163">
        <v>-6.5294189999999999</v>
      </c>
      <c r="M7163">
        <v>-1.8847630000000001E-2</v>
      </c>
      <c r="N7163">
        <v>0</v>
      </c>
      <c r="O7163">
        <v>0.99978829999999996</v>
      </c>
      <c r="P7163">
        <v>3.6214059999999999E-2</v>
      </c>
      <c r="Q7163">
        <v>0.1302286</v>
      </c>
      <c r="R7163">
        <v>0.99082239999999999</v>
      </c>
      <c r="S7163">
        <v>9.017944E-2</v>
      </c>
      <c r="T7163">
        <v>-0.21432329999999999</v>
      </c>
      <c r="U7163">
        <v>3.055145</v>
      </c>
      <c r="V7163">
        <v>5.5000889999999997E-2</v>
      </c>
      <c r="W7163">
        <v>0.13834949999999999</v>
      </c>
      <c r="X7163">
        <v>0.98885509999999999</v>
      </c>
      <c r="Y7163">
        <v>4.8266990000000003E-2</v>
      </c>
      <c r="Z7163">
        <v>-6.9905010000000004E-2</v>
      </c>
      <c r="AA7163">
        <v>0.99638530000000003</v>
      </c>
      <c r="AB7163">
        <v>27</v>
      </c>
      <c r="AC7163">
        <v>3.3500000000003603E-2</v>
      </c>
      <c r="AD7163">
        <v>-6.6685000000000105E-2</v>
      </c>
      <c r="AE7163">
        <v>0.65520499999999904</v>
      </c>
      <c r="AF7163">
        <v>4.5374736819164603E-2</v>
      </c>
      <c r="AG7163">
        <v>-6.6685000000000105E-2</v>
      </c>
      <c r="AH7163">
        <v>0.64776473581486504</v>
      </c>
      <c r="AI7163">
        <v>95.863417505229606</v>
      </c>
      <c r="AJ7163">
        <v>85.993080369849693</v>
      </c>
      <c r="AK7163">
        <v>0.65276711691974099</v>
      </c>
      <c r="AL7163">
        <v>82.047650195339898</v>
      </c>
      <c r="AM7163">
        <v>86.816444420669598</v>
      </c>
      <c r="AN7163">
        <v>1.0000000454235201</v>
      </c>
    </row>
    <row r="7164" spans="1:40" x14ac:dyDescent="0.25">
      <c r="A7164" t="str">
        <f>"20190312155015235"</f>
        <v>20190312155015235</v>
      </c>
      <c r="B7164" t="str">
        <f>"1552377015222682"</f>
        <v>1552377015222682</v>
      </c>
      <c r="C7164" t="s">
        <v>40</v>
      </c>
      <c r="D7164">
        <v>4.6725750000000001</v>
      </c>
      <c r="E7164">
        <v>0.48460750000000002</v>
      </c>
      <c r="F7164" t="s">
        <v>42</v>
      </c>
      <c r="G7164">
        <v>-188.6412</v>
      </c>
      <c r="H7164" s="1">
        <v>-4.4659150000000001E-6</v>
      </c>
      <c r="I7164">
        <v>19.481089999999998</v>
      </c>
      <c r="J7164">
        <v>-188.3955</v>
      </c>
      <c r="K7164">
        <v>1.109291</v>
      </c>
      <c r="L7164">
        <v>-6.2409059999999998</v>
      </c>
      <c r="M7164">
        <v>-1.8272900000000002E-2</v>
      </c>
      <c r="N7164">
        <v>0</v>
      </c>
      <c r="O7164">
        <v>0.99979929999999995</v>
      </c>
      <c r="P7164">
        <v>3.6278650000000003E-2</v>
      </c>
      <c r="Q7164">
        <v>0.1282731</v>
      </c>
      <c r="R7164">
        <v>0.99107509999999999</v>
      </c>
      <c r="S7164">
        <v>-2.9342650000000001E-2</v>
      </c>
      <c r="T7164">
        <v>-0.12991130000000001</v>
      </c>
      <c r="U7164">
        <v>3.0459290000000001</v>
      </c>
      <c r="V7164">
        <v>5.4516729999999999E-2</v>
      </c>
      <c r="W7164">
        <v>0.13634689999999999</v>
      </c>
      <c r="X7164">
        <v>0.98915989999999998</v>
      </c>
      <c r="Y7164">
        <v>8.6500659999999997E-3</v>
      </c>
      <c r="Z7164">
        <v>-4.2599600000000001E-2</v>
      </c>
      <c r="AA7164">
        <v>0.99905480000000002</v>
      </c>
      <c r="AB7164">
        <v>27</v>
      </c>
      <c r="AC7164">
        <v>-0.245699999999999</v>
      </c>
      <c r="AD7164">
        <v>-1.1092954659150001</v>
      </c>
      <c r="AE7164">
        <v>25.721996000000001</v>
      </c>
      <c r="AF7164">
        <v>0.223955847790164</v>
      </c>
      <c r="AG7164">
        <v>-1.1092954659150001</v>
      </c>
      <c r="AH7164">
        <v>25.6744438298925</v>
      </c>
      <c r="AI7164">
        <v>92.473900903067502</v>
      </c>
      <c r="AJ7164">
        <v>89.500226781002496</v>
      </c>
      <c r="AK7164">
        <v>25.699372728274199</v>
      </c>
      <c r="AL7164">
        <v>82.163487643794397</v>
      </c>
      <c r="AM7164">
        <v>86.845382030542197</v>
      </c>
      <c r="AN7164">
        <v>0.99999992937875404</v>
      </c>
    </row>
    <row r="7165" spans="1:40" x14ac:dyDescent="0.25">
      <c r="A7165" t="str">
        <f>"20190312155015255"</f>
        <v>20190312155015255</v>
      </c>
      <c r="B7165" t="str">
        <f>"1552377015243179"</f>
        <v>1552377015243179</v>
      </c>
      <c r="C7165" t="s">
        <v>40</v>
      </c>
      <c r="D7165">
        <v>4.6525299999999996</v>
      </c>
      <c r="E7165">
        <v>0.48414550000000001</v>
      </c>
      <c r="F7165" t="s">
        <v>42</v>
      </c>
      <c r="G7165">
        <v>-188.75309999999999</v>
      </c>
      <c r="H7165" s="1">
        <v>-1.5926169999999901E-6</v>
      </c>
      <c r="I7165">
        <v>22.829599999999999</v>
      </c>
      <c r="J7165">
        <v>-188.3997</v>
      </c>
      <c r="K7165">
        <v>1.109232</v>
      </c>
      <c r="L7165">
        <v>-5.981293</v>
      </c>
      <c r="M7165">
        <v>-1.7691950000000001E-2</v>
      </c>
      <c r="N7165">
        <v>0</v>
      </c>
      <c r="O7165">
        <v>0.99981019999999998</v>
      </c>
      <c r="P7165">
        <v>3.6544609999999998E-2</v>
      </c>
      <c r="Q7165">
        <v>0.12753599999999901</v>
      </c>
      <c r="R7165">
        <v>0.9911605</v>
      </c>
      <c r="S7165">
        <v>-3.7429810000000001E-2</v>
      </c>
      <c r="T7165">
        <v>-0.11613320000000001</v>
      </c>
      <c r="U7165">
        <v>3.0434269999999999</v>
      </c>
      <c r="V7165">
        <v>5.4221999999999999E-2</v>
      </c>
      <c r="W7165">
        <v>0.13554949999999999</v>
      </c>
      <c r="X7165">
        <v>0.98928579999999999</v>
      </c>
      <c r="Y7165">
        <v>5.4044239999999997E-3</v>
      </c>
      <c r="Z7165">
        <v>-3.8120290000000001E-2</v>
      </c>
      <c r="AA7165">
        <v>0.99925850000000005</v>
      </c>
      <c r="AB7165">
        <v>27</v>
      </c>
      <c r="AC7165">
        <v>-0.353399999999993</v>
      </c>
      <c r="AD7165">
        <v>-1.1092335926170001</v>
      </c>
      <c r="AE7165">
        <v>28.810893</v>
      </c>
      <c r="AF7165">
        <v>0.15616171668128401</v>
      </c>
      <c r="AG7165">
        <v>-1.1092335926170001</v>
      </c>
      <c r="AH7165">
        <v>28.769996906741401</v>
      </c>
      <c r="AI7165">
        <v>92.207925342316003</v>
      </c>
      <c r="AJ7165">
        <v>89.689005200558995</v>
      </c>
      <c r="AK7165">
        <v>28.7917958394168</v>
      </c>
      <c r="AL7165">
        <v>82.209604336411203</v>
      </c>
      <c r="AM7165">
        <v>86.862800958464504</v>
      </c>
      <c r="AN7165">
        <v>1.0000000431579401</v>
      </c>
    </row>
    <row r="7166" spans="1:40" x14ac:dyDescent="0.25">
      <c r="A7166" t="str">
        <f>"20190312155015278"</f>
        <v>20190312155015278</v>
      </c>
      <c r="B7166" t="str">
        <f>"1552377015272459"</f>
        <v>1552377015272459</v>
      </c>
      <c r="C7166" t="s">
        <v>40</v>
      </c>
      <c r="D7166">
        <v>4.6186889999999998</v>
      </c>
      <c r="E7166">
        <v>0.4839408</v>
      </c>
      <c r="F7166" t="s">
        <v>42</v>
      </c>
      <c r="G7166">
        <v>-188.81180000000001</v>
      </c>
      <c r="H7166" s="1">
        <v>-2.7788080000000002E-6</v>
      </c>
      <c r="I7166">
        <v>25.618950000000002</v>
      </c>
      <c r="J7166">
        <v>-188.40389999999999</v>
      </c>
      <c r="K7166">
        <v>1.109173</v>
      </c>
      <c r="L7166">
        <v>-5.7060550000000001</v>
      </c>
      <c r="M7166">
        <v>-1.7016980000000001E-2</v>
      </c>
      <c r="N7166">
        <v>0</v>
      </c>
      <c r="O7166">
        <v>0.99982260000000001</v>
      </c>
      <c r="P7166">
        <v>3.6745029999999998E-2</v>
      </c>
      <c r="Q7166">
        <v>0.1266593</v>
      </c>
      <c r="R7166">
        <v>0.99126550000000002</v>
      </c>
      <c r="S7166">
        <v>-3.9672850000000003E-2</v>
      </c>
      <c r="T7166">
        <v>-0.1067792</v>
      </c>
      <c r="U7166">
        <v>3.0419619999999998</v>
      </c>
      <c r="V7166">
        <v>5.3768709999999997E-2</v>
      </c>
      <c r="W7166">
        <v>0.1345894</v>
      </c>
      <c r="X7166">
        <v>0.98944160000000003</v>
      </c>
      <c r="Y7166">
        <v>3.9852409999999996E-3</v>
      </c>
      <c r="Z7166">
        <v>-3.5071239999999997E-2</v>
      </c>
      <c r="AA7166">
        <v>0.99937690000000001</v>
      </c>
      <c r="AB7166">
        <v>28</v>
      </c>
      <c r="AC7166">
        <v>-0.40790000000001198</v>
      </c>
      <c r="AD7166">
        <v>-1.1091757788079999</v>
      </c>
      <c r="AE7166">
        <v>31.325004999999901</v>
      </c>
      <c r="AF7166">
        <v>0.12507663619366499</v>
      </c>
      <c r="AG7166">
        <v>-1.1091757788079999</v>
      </c>
      <c r="AH7166">
        <v>31.288188723694901</v>
      </c>
      <c r="AI7166">
        <v>92.030286325402301</v>
      </c>
      <c r="AJ7166">
        <v>89.770957492646303</v>
      </c>
      <c r="AK7166">
        <v>31.308092702730502</v>
      </c>
      <c r="AL7166">
        <v>82.265122677605007</v>
      </c>
      <c r="AM7166">
        <v>86.889464773480398</v>
      </c>
      <c r="AN7166">
        <v>1.00000003028899</v>
      </c>
    </row>
    <row r="7167" spans="1:40" x14ac:dyDescent="0.25">
      <c r="A7167" t="str">
        <f>"20190312155015299"</f>
        <v>20190312155015299</v>
      </c>
      <c r="B7167" t="str">
        <f>"1552377015292954"</f>
        <v>1552377015292954</v>
      </c>
      <c r="C7167" t="s">
        <v>40</v>
      </c>
      <c r="D7167">
        <v>4.6060499999999998</v>
      </c>
      <c r="E7167">
        <v>0.4840392</v>
      </c>
      <c r="F7167" t="s">
        <v>42</v>
      </c>
      <c r="G7167">
        <v>-188.84909999999999</v>
      </c>
      <c r="H7167" s="1">
        <v>-3.7883560000000001E-6</v>
      </c>
      <c r="I7167">
        <v>27.987639999999999</v>
      </c>
      <c r="J7167">
        <v>-188.40780000000001</v>
      </c>
      <c r="K7167">
        <v>1.109108</v>
      </c>
      <c r="L7167">
        <v>-5.4340820000000001</v>
      </c>
      <c r="M7167">
        <v>-1.6301320000000001E-2</v>
      </c>
      <c r="N7167">
        <v>0</v>
      </c>
      <c r="O7167">
        <v>0.99983540000000004</v>
      </c>
      <c r="P7167">
        <v>3.6738130000000001E-2</v>
      </c>
      <c r="Q7167">
        <v>0.12638840000000001</v>
      </c>
      <c r="R7167">
        <v>0.99130030000000002</v>
      </c>
      <c r="S7167">
        <v>-4.0176389999999999E-2</v>
      </c>
      <c r="T7167">
        <v>-0.1000984</v>
      </c>
      <c r="U7167">
        <v>3.0407099999999998</v>
      </c>
      <c r="V7167">
        <v>5.3066189999999999E-2</v>
      </c>
      <c r="W7167">
        <v>0.13421240000000001</v>
      </c>
      <c r="X7167">
        <v>0.98953069999999999</v>
      </c>
      <c r="Y7167">
        <v>3.0976409999999999E-3</v>
      </c>
      <c r="Z7167">
        <v>-3.2893520000000002E-2</v>
      </c>
      <c r="AA7167">
        <v>0.99945410000000001</v>
      </c>
      <c r="AB7167">
        <v>28</v>
      </c>
      <c r="AC7167">
        <v>-0.44129999999998398</v>
      </c>
      <c r="AD7167">
        <v>-1.109111788356</v>
      </c>
      <c r="AE7167">
        <v>33.421721999999903</v>
      </c>
      <c r="AF7167">
        <v>0.10348016977480499</v>
      </c>
      <c r="AG7167">
        <v>-1.109111788356</v>
      </c>
      <c r="AH7167">
        <v>33.387712388102599</v>
      </c>
      <c r="AI7167">
        <v>91.902608935882895</v>
      </c>
      <c r="AJ7167">
        <v>89.822420957205097</v>
      </c>
      <c r="AK7167">
        <v>33.4062894619451</v>
      </c>
      <c r="AL7167">
        <v>82.2869207067681</v>
      </c>
      <c r="AM7167">
        <v>86.930303402460595</v>
      </c>
      <c r="AN7167">
        <v>0.99999999753868296</v>
      </c>
    </row>
    <row r="7168" spans="1:40" x14ac:dyDescent="0.25">
      <c r="A7168" t="str">
        <f>"20190312155015322"</f>
        <v>20190312155015322</v>
      </c>
      <c r="B7168" t="str">
        <f>"1552377015313451"</f>
        <v>1552377015313451</v>
      </c>
      <c r="C7168" t="s">
        <v>40</v>
      </c>
      <c r="D7168">
        <v>4.6041980000000002</v>
      </c>
      <c r="E7168">
        <v>0.48433389999999998</v>
      </c>
      <c r="F7168" t="s">
        <v>42</v>
      </c>
      <c r="G7168">
        <v>-188.8792</v>
      </c>
      <c r="H7168" s="1">
        <v>-7.9169190000000003E-7</v>
      </c>
      <c r="I7168">
        <v>31.014769999999999</v>
      </c>
      <c r="J7168">
        <v>-188.41159999999999</v>
      </c>
      <c r="K7168">
        <v>1.1090439999999999</v>
      </c>
      <c r="L7168">
        <v>-5.1541750000000004</v>
      </c>
      <c r="M7168">
        <v>-1.5527859999999999E-2</v>
      </c>
      <c r="N7168">
        <v>0</v>
      </c>
      <c r="O7168">
        <v>0.99984870000000003</v>
      </c>
      <c r="P7168">
        <v>3.7501909999999999E-2</v>
      </c>
      <c r="Q7168">
        <v>0.12617600000000001</v>
      </c>
      <c r="R7168">
        <v>0.99129869999999998</v>
      </c>
      <c r="S7168">
        <v>-3.9306639999999997E-2</v>
      </c>
      <c r="T7168">
        <v>-9.2491980000000001E-2</v>
      </c>
      <c r="U7168">
        <v>3.0395810000000001</v>
      </c>
      <c r="V7168">
        <v>5.3075240000000003E-2</v>
      </c>
      <c r="W7168">
        <v>0.1338646</v>
      </c>
      <c r="X7168">
        <v>0.98957740000000005</v>
      </c>
      <c r="Y7168">
        <v>2.6040640000000001E-3</v>
      </c>
      <c r="Z7168">
        <v>-3.0408290000000001E-2</v>
      </c>
      <c r="AA7168">
        <v>0.99953420000000004</v>
      </c>
      <c r="AB7168">
        <v>28</v>
      </c>
      <c r="AC7168">
        <v>-0.46760000000000401</v>
      </c>
      <c r="AD7168">
        <v>-1.1090447916919</v>
      </c>
      <c r="AE7168">
        <v>36.168945000000001</v>
      </c>
      <c r="AF7168">
        <v>9.4011577864188497E-2</v>
      </c>
      <c r="AG7168">
        <v>-1.1090447916919</v>
      </c>
      <c r="AH7168">
        <v>36.137873453017697</v>
      </c>
      <c r="AI7168">
        <v>91.757807727112507</v>
      </c>
      <c r="AJ7168">
        <v>89.850947109746002</v>
      </c>
      <c r="AK7168">
        <v>36.155009559299998</v>
      </c>
      <c r="AL7168">
        <v>82.307030211283106</v>
      </c>
      <c r="AM7168">
        <v>86.929925504740993</v>
      </c>
      <c r="AN7168">
        <v>1.0000000714124799</v>
      </c>
    </row>
    <row r="7169" spans="1:40" x14ac:dyDescent="0.25">
      <c r="A7169" t="str">
        <f>"20190312155015343"</f>
        <v>20190312155015343</v>
      </c>
      <c r="B7169" t="str">
        <f>"1552377015332971"</f>
        <v>1552377015332971</v>
      </c>
      <c r="C7169" t="s">
        <v>40</v>
      </c>
      <c r="D7169">
        <v>4.5747689999999999</v>
      </c>
      <c r="E7169">
        <v>0.4844908</v>
      </c>
      <c r="F7169" t="s">
        <v>42</v>
      </c>
      <c r="G7169">
        <v>-188.8451</v>
      </c>
      <c r="H7169" s="1">
        <v>-1.627467E-6</v>
      </c>
      <c r="I7169">
        <v>32.948920000000001</v>
      </c>
      <c r="J7169">
        <v>-188.41499999999999</v>
      </c>
      <c r="K7169">
        <v>1.108986</v>
      </c>
      <c r="L7169">
        <v>-4.8875120000000001</v>
      </c>
      <c r="M7169">
        <v>-1.476647E-2</v>
      </c>
      <c r="N7169">
        <v>0</v>
      </c>
      <c r="O7169">
        <v>0.99986140000000001</v>
      </c>
      <c r="P7169">
        <v>3.847561E-2</v>
      </c>
      <c r="Q7169">
        <v>0.12582769999999999</v>
      </c>
      <c r="R7169">
        <v>0.99130569999999896</v>
      </c>
      <c r="S7169">
        <v>-3.4576419999999997E-2</v>
      </c>
      <c r="T7169">
        <v>-8.8451859999999993E-2</v>
      </c>
      <c r="U7169">
        <v>3.03891</v>
      </c>
      <c r="V7169">
        <v>5.330294E-2</v>
      </c>
      <c r="W7169">
        <v>0.13336879999999901</v>
      </c>
      <c r="X7169">
        <v>0.98963199999999996</v>
      </c>
      <c r="Y7169">
        <v>3.394846E-3</v>
      </c>
      <c r="Z7169">
        <v>-2.9088340000000001E-2</v>
      </c>
      <c r="AA7169">
        <v>0.99957110000000005</v>
      </c>
      <c r="AB7169">
        <v>28</v>
      </c>
      <c r="AC7169">
        <v>-0.43010000000000997</v>
      </c>
      <c r="AD7169">
        <v>-1.1089876274670001</v>
      </c>
      <c r="AE7169">
        <v>37.836432000000002</v>
      </c>
      <c r="AF7169">
        <v>0.128563522395888</v>
      </c>
      <c r="AG7169">
        <v>-1.1089876274670001</v>
      </c>
      <c r="AH7169">
        <v>37.806183388355997</v>
      </c>
      <c r="AI7169">
        <v>91.680194156503404</v>
      </c>
      <c r="AJ7169">
        <v>89.805161003347195</v>
      </c>
      <c r="AK7169">
        <v>37.822663636121199</v>
      </c>
      <c r="AL7169">
        <v>82.335693688414295</v>
      </c>
      <c r="AM7169">
        <v>86.916949604834699</v>
      </c>
      <c r="AN7169">
        <v>0.99999996782504097</v>
      </c>
    </row>
    <row r="7170" spans="1:40" x14ac:dyDescent="0.25">
      <c r="A7170" t="str">
        <f>"20190312155015366"</f>
        <v>20190312155015366</v>
      </c>
      <c r="B7170" t="str">
        <f>"1552377015363226"</f>
        <v>1552377015363226</v>
      </c>
      <c r="C7170" t="s">
        <v>40</v>
      </c>
      <c r="D7170">
        <v>4.5825500000000003</v>
      </c>
      <c r="E7170">
        <v>0.48466700000000001</v>
      </c>
      <c r="F7170" t="s">
        <v>42</v>
      </c>
      <c r="G7170">
        <v>-188.81209999999999</v>
      </c>
      <c r="H7170" s="1">
        <v>-2.2886590000000001E-6</v>
      </c>
      <c r="I7170">
        <v>34.476520000000001</v>
      </c>
      <c r="J7170">
        <v>-188.41839999999999</v>
      </c>
      <c r="K7170">
        <v>1.1089310000000001</v>
      </c>
      <c r="L7170">
        <v>-4.6020810000000001</v>
      </c>
      <c r="M7170">
        <v>-1.3934739999999999E-2</v>
      </c>
      <c r="N7170">
        <v>0</v>
      </c>
      <c r="O7170">
        <v>0.99987470000000001</v>
      </c>
      <c r="P7170">
        <v>3.9787059999999999E-2</v>
      </c>
      <c r="Q7170">
        <v>0.1244398</v>
      </c>
      <c r="R7170">
        <v>0.99142920000000001</v>
      </c>
      <c r="S7170">
        <v>-3.065491E-2</v>
      </c>
      <c r="T7170">
        <v>-8.5598590000000002E-2</v>
      </c>
      <c r="U7170">
        <v>3.0383610000000001</v>
      </c>
      <c r="V7170">
        <v>5.3796099999999999E-2</v>
      </c>
      <c r="W7170">
        <v>0.13180729999999999</v>
      </c>
      <c r="X7170">
        <v>0.98981450000000004</v>
      </c>
      <c r="Y7170">
        <v>3.850624E-3</v>
      </c>
      <c r="Z7170">
        <v>-2.8156529999999999E-2</v>
      </c>
      <c r="AA7170">
        <v>0.99959609999999999</v>
      </c>
      <c r="AB7170">
        <v>28</v>
      </c>
      <c r="AC7170">
        <v>-0.393699999999995</v>
      </c>
      <c r="AD7170">
        <v>-1.108933288659</v>
      </c>
      <c r="AE7170">
        <v>39.078600999999999</v>
      </c>
      <c r="AF7170">
        <v>0.150782325476153</v>
      </c>
      <c r="AG7170">
        <v>-1.108933288659</v>
      </c>
      <c r="AH7170">
        <v>39.048851733114901</v>
      </c>
      <c r="AI7170">
        <v>91.626671434167207</v>
      </c>
      <c r="AJ7170">
        <v>89.778760512679298</v>
      </c>
      <c r="AK7170">
        <v>39.0648856394482</v>
      </c>
      <c r="AL7170">
        <v>82.425957958540494</v>
      </c>
      <c r="AM7170">
        <v>86.889053514959997</v>
      </c>
      <c r="AN7170">
        <v>0.99999996455937401</v>
      </c>
    </row>
    <row r="7171" spans="1:40" x14ac:dyDescent="0.25">
      <c r="A7171" t="str">
        <f>"20190312155015388"</f>
        <v>20190312155015388</v>
      </c>
      <c r="B7171" t="str">
        <f>"1552377015382747"</f>
        <v>1552377015382747</v>
      </c>
      <c r="C7171" t="s">
        <v>40</v>
      </c>
      <c r="D7171">
        <v>4.5475110000000001</v>
      </c>
      <c r="E7171">
        <v>0.48459000000000002</v>
      </c>
      <c r="F7171" t="s">
        <v>42</v>
      </c>
      <c r="G7171">
        <v>-188.74619999999999</v>
      </c>
      <c r="H7171" s="1">
        <v>-2.577927E-6</v>
      </c>
      <c r="I7171">
        <v>35.123559999999998</v>
      </c>
      <c r="J7171">
        <v>-188.42150000000001</v>
      </c>
      <c r="K7171">
        <v>1.1088789999999999</v>
      </c>
      <c r="L7171">
        <v>-4.316376</v>
      </c>
      <c r="M7171">
        <v>-1.309273E-2</v>
      </c>
      <c r="N7171">
        <v>0</v>
      </c>
      <c r="O7171">
        <v>0.99988739999999998</v>
      </c>
      <c r="P7171">
        <v>4.148255E-2</v>
      </c>
      <c r="Q7171">
        <v>0.122519</v>
      </c>
      <c r="R7171">
        <v>0.9915988</v>
      </c>
      <c r="S7171">
        <v>-2.5070189999999999E-2</v>
      </c>
      <c r="T7171">
        <v>-8.4793930000000003E-2</v>
      </c>
      <c r="U7171">
        <v>3.037598</v>
      </c>
      <c r="V7171">
        <v>5.4659850000000003E-2</v>
      </c>
      <c r="W7171">
        <v>0.12969559999999999</v>
      </c>
      <c r="X7171">
        <v>0.99004610000000004</v>
      </c>
      <c r="Y7171">
        <v>4.8435459999999998E-3</v>
      </c>
      <c r="Z7171">
        <v>-2.78997E-2</v>
      </c>
      <c r="AA7171">
        <v>0.99959900000000002</v>
      </c>
      <c r="AB7171">
        <v>28</v>
      </c>
      <c r="AC7171">
        <v>-0.32469999999997801</v>
      </c>
      <c r="AD7171">
        <v>-1.108881577927</v>
      </c>
      <c r="AE7171">
        <v>39.439936000000003</v>
      </c>
      <c r="AF7171">
        <v>0.19156672682013201</v>
      </c>
      <c r="AG7171">
        <v>-1.108881577927</v>
      </c>
      <c r="AH7171">
        <v>39.409655669662698</v>
      </c>
      <c r="AI7171">
        <v>91.611704655143001</v>
      </c>
      <c r="AJ7171">
        <v>89.7214926568534</v>
      </c>
      <c r="AK7171">
        <v>39.4257184610004</v>
      </c>
      <c r="AL7171">
        <v>82.547997165030594</v>
      </c>
      <c r="AM7171">
        <v>86.839942551964597</v>
      </c>
      <c r="AN7171">
        <v>0.99999996399329505</v>
      </c>
    </row>
    <row r="7172" spans="1:40" x14ac:dyDescent="0.25">
      <c r="A7172" t="str">
        <f>"20190312155015414"</f>
        <v>20190312155015414</v>
      </c>
      <c r="B7172" t="str">
        <f>"1552377015403243"</f>
        <v>1552377015403243</v>
      </c>
      <c r="C7172" t="s">
        <v>40</v>
      </c>
      <c r="D7172">
        <v>4.3796580000000001</v>
      </c>
      <c r="E7172">
        <v>0.48474929999999999</v>
      </c>
      <c r="F7172" t="s">
        <v>42</v>
      </c>
      <c r="G7172">
        <v>-188.6782</v>
      </c>
      <c r="H7172" s="1">
        <v>-1.8390009999999999E-6</v>
      </c>
      <c r="I7172">
        <v>33.372990000000001</v>
      </c>
      <c r="J7172">
        <v>-188.4246</v>
      </c>
      <c r="K7172">
        <v>1.10883</v>
      </c>
      <c r="L7172">
        <v>-4.008972</v>
      </c>
      <c r="M7172">
        <v>-1.218495E-2</v>
      </c>
      <c r="N7172">
        <v>0</v>
      </c>
      <c r="O7172">
        <v>0.99990040000000002</v>
      </c>
      <c r="P7172">
        <v>4.3401219999999997E-2</v>
      </c>
      <c r="Q7172">
        <v>0.12031360000000001</v>
      </c>
      <c r="R7172">
        <v>0.99178679999999997</v>
      </c>
      <c r="S7172">
        <v>-2.0690920000000002E-2</v>
      </c>
      <c r="T7172">
        <v>-8.9362860000000002E-2</v>
      </c>
      <c r="U7172">
        <v>3.0373230000000002</v>
      </c>
      <c r="V7172">
        <v>5.5679470000000002E-2</v>
      </c>
      <c r="W7172">
        <v>0.12728200000000001</v>
      </c>
      <c r="X7172">
        <v>0.99030249999999997</v>
      </c>
      <c r="Y7172">
        <v>5.3763639999999998E-3</v>
      </c>
      <c r="Z7172">
        <v>-2.9405029999999999E-2</v>
      </c>
      <c r="AA7172">
        <v>0.99955309999999997</v>
      </c>
      <c r="AB7172">
        <v>28</v>
      </c>
      <c r="AC7172">
        <v>-0.25360000000000499</v>
      </c>
      <c r="AD7172">
        <v>-1.1088318390009999</v>
      </c>
      <c r="AE7172">
        <v>37.381962000000001</v>
      </c>
      <c r="AF7172">
        <v>0.201750215920978</v>
      </c>
      <c r="AG7172">
        <v>-1.1088318390009999</v>
      </c>
      <c r="AH7172">
        <v>37.349416569346701</v>
      </c>
      <c r="AI7172">
        <v>91.700476449405699</v>
      </c>
      <c r="AJ7172">
        <v>89.690508593613401</v>
      </c>
      <c r="AK7172">
        <v>37.366417131796297</v>
      </c>
      <c r="AL7172">
        <v>82.687442254333504</v>
      </c>
      <c r="AM7172">
        <v>86.7819495956129</v>
      </c>
      <c r="AN7172">
        <v>0.99999997620486503</v>
      </c>
    </row>
    <row r="7173" spans="1:40" x14ac:dyDescent="0.25">
      <c r="A7173" t="str">
        <f>"20190312155015589"</f>
        <v>20190312155015589</v>
      </c>
      <c r="B7173" t="str">
        <f>"1552377015582827"</f>
        <v>1552377015582827</v>
      </c>
      <c r="C7173" t="s">
        <v>40</v>
      </c>
      <c r="D7173">
        <v>3.8843809999999999</v>
      </c>
      <c r="E7173">
        <v>0.50385789999999997</v>
      </c>
      <c r="F7173" t="s">
        <v>42</v>
      </c>
      <c r="G7173">
        <v>-188.57919999999999</v>
      </c>
      <c r="H7173" s="1">
        <v>-9.093152E-7</v>
      </c>
      <c r="I7173">
        <v>31.164929999999998</v>
      </c>
      <c r="J7173">
        <v>-188.4392</v>
      </c>
      <c r="K7173">
        <v>1.108584</v>
      </c>
      <c r="L7173">
        <v>-1.7192080000000001</v>
      </c>
      <c r="M7173">
        <v>-5.6454640000000002E-3</v>
      </c>
      <c r="N7173">
        <v>0</v>
      </c>
      <c r="O7173">
        <v>0.99996819999999997</v>
      </c>
      <c r="P7173">
        <v>5.1166669999999997E-2</v>
      </c>
      <c r="Q7173">
        <v>0.1142608</v>
      </c>
      <c r="R7173">
        <v>0.99213220000000002</v>
      </c>
      <c r="S7173">
        <v>-1.3351439999999999E-2</v>
      </c>
      <c r="T7173">
        <v>-9.5740679999999995E-2</v>
      </c>
      <c r="U7173">
        <v>3.037048</v>
      </c>
      <c r="V7173">
        <v>5.6953690000000001E-2</v>
      </c>
      <c r="W7173">
        <v>0.1197531</v>
      </c>
      <c r="X7173">
        <v>0.99116870000000001</v>
      </c>
      <c r="Y7173">
        <v>1.2516039999999999E-3</v>
      </c>
      <c r="Z7173">
        <v>-3.1507689999999998E-2</v>
      </c>
      <c r="AA7173">
        <v>0.99950269999999997</v>
      </c>
      <c r="AB7173">
        <v>29</v>
      </c>
      <c r="AC7173">
        <v>-0.139999999999986</v>
      </c>
      <c r="AD7173">
        <v>-1.1085849093152</v>
      </c>
      <c r="AE7173">
        <v>32.884138</v>
      </c>
      <c r="AF7173">
        <v>4.5599571019787198E-2</v>
      </c>
      <c r="AG7173">
        <v>-1.1085849093152</v>
      </c>
      <c r="AH7173">
        <v>32.847074684997402</v>
      </c>
      <c r="AI7173">
        <v>91.932990256963905</v>
      </c>
      <c r="AJ7173">
        <v>89.920459848747001</v>
      </c>
      <c r="AK7173">
        <v>32.865808299566297</v>
      </c>
      <c r="AL7173">
        <v>83.122146223801195</v>
      </c>
      <c r="AM7173">
        <v>86.711335117423701</v>
      </c>
      <c r="AN7173">
        <v>0.999999959811957</v>
      </c>
    </row>
    <row r="7174" spans="1:40" x14ac:dyDescent="0.25">
      <c r="A7174" t="str">
        <f>"20190312155015613"</f>
        <v>20190312155015613</v>
      </c>
      <c r="B7174" t="str">
        <f>"1552377015603322"</f>
        <v>1552377015603322</v>
      </c>
      <c r="C7174" t="s">
        <v>40</v>
      </c>
      <c r="D7174">
        <v>4.3356709999999996</v>
      </c>
      <c r="E7174">
        <v>0.50366259999999996</v>
      </c>
      <c r="F7174" t="s">
        <v>41</v>
      </c>
      <c r="G7174">
        <v>-188.4023</v>
      </c>
      <c r="H7174">
        <v>0.90812000000000004</v>
      </c>
      <c r="I7174">
        <v>-0.85143609999999903</v>
      </c>
      <c r="J7174">
        <v>-188.4401</v>
      </c>
      <c r="K7174">
        <v>1.1085739999999999</v>
      </c>
      <c r="L7174">
        <v>-1.4193420000000001</v>
      </c>
      <c r="M7174">
        <v>-4.8446119999999999E-3</v>
      </c>
      <c r="N7174">
        <v>0</v>
      </c>
      <c r="O7174">
        <v>0.99997320000000001</v>
      </c>
      <c r="P7174">
        <v>5.1617400000000001E-2</v>
      </c>
      <c r="Q7174">
        <v>0.1143581</v>
      </c>
      <c r="R7174">
        <v>0.99209769999999997</v>
      </c>
      <c r="S7174">
        <v>0.13180539999999999</v>
      </c>
      <c r="T7174">
        <v>-0.71597730000000004</v>
      </c>
      <c r="U7174">
        <v>3.0994570000000001</v>
      </c>
      <c r="V7174">
        <v>5.6607970000000001E-2</v>
      </c>
      <c r="W7174">
        <v>0.11971619999999999</v>
      </c>
      <c r="X7174">
        <v>0.99119299999999999</v>
      </c>
      <c r="Y7174">
        <v>4.6238689999999999E-2</v>
      </c>
      <c r="Z7174">
        <v>-0.22485279999999999</v>
      </c>
      <c r="AA7174">
        <v>0.97329500000000002</v>
      </c>
      <c r="AB7174">
        <v>29</v>
      </c>
      <c r="AC7174">
        <v>3.7800000000004198E-2</v>
      </c>
      <c r="AD7174">
        <v>-0.20045399999999899</v>
      </c>
      <c r="AE7174">
        <v>0.56790589999999996</v>
      </c>
      <c r="AF7174">
        <v>3.6076057488879099E-2</v>
      </c>
      <c r="AG7174">
        <v>-0.20045399999999899</v>
      </c>
      <c r="AH7174">
        <v>0.50506815354846502</v>
      </c>
      <c r="AI7174">
        <v>111.59744670131499</v>
      </c>
      <c r="AJ7174">
        <v>85.914410216760601</v>
      </c>
      <c r="AK7174">
        <v>0.544588953035954</v>
      </c>
      <c r="AL7174">
        <v>83.124276015305</v>
      </c>
      <c r="AM7174">
        <v>86.731334497320603</v>
      </c>
      <c r="AN7174">
        <v>0.99999999702947995</v>
      </c>
    </row>
    <row r="7175" spans="1:40" x14ac:dyDescent="0.25">
      <c r="A7175" t="str">
        <f>"20190312155015635"</f>
        <v>20190312155015635</v>
      </c>
      <c r="B7175" t="str">
        <f>"1552377015632603"</f>
        <v>1552377015632603</v>
      </c>
      <c r="C7175" t="s">
        <v>40</v>
      </c>
      <c r="D7175">
        <v>4.4806119999999998</v>
      </c>
      <c r="E7175">
        <v>0.5040251</v>
      </c>
      <c r="F7175" t="s">
        <v>41</v>
      </c>
      <c r="G7175">
        <v>-188.40369999999999</v>
      </c>
      <c r="H7175">
        <v>0.92427250000000005</v>
      </c>
      <c r="I7175">
        <v>-0.57880339999999997</v>
      </c>
      <c r="J7175">
        <v>-188.4408</v>
      </c>
      <c r="K7175">
        <v>1.1085670000000001</v>
      </c>
      <c r="L7175">
        <v>-1.1063229999999999</v>
      </c>
      <c r="M7175">
        <v>-4.0310509999999999E-3</v>
      </c>
      <c r="N7175">
        <v>0</v>
      </c>
      <c r="O7175">
        <v>0.99997749999999996</v>
      </c>
      <c r="P7175">
        <v>5.1733019999999998E-2</v>
      </c>
      <c r="Q7175">
        <v>0.1133178</v>
      </c>
      <c r="R7175">
        <v>0.99221099999999995</v>
      </c>
      <c r="S7175">
        <v>0.13418579999999999</v>
      </c>
      <c r="T7175">
        <v>-0.67866680000000001</v>
      </c>
      <c r="U7175">
        <v>3.095154</v>
      </c>
      <c r="V7175">
        <v>5.5912629999999998E-2</v>
      </c>
      <c r="W7175">
        <v>0.1185515</v>
      </c>
      <c r="X7175">
        <v>0.99137249999999999</v>
      </c>
      <c r="Y7175">
        <v>4.6336670000000003E-2</v>
      </c>
      <c r="Z7175">
        <v>-0.21396560000000001</v>
      </c>
      <c r="AA7175">
        <v>0.97574159999999999</v>
      </c>
      <c r="AB7175">
        <v>30</v>
      </c>
      <c r="AC7175">
        <v>3.7100000000009403E-2</v>
      </c>
      <c r="AD7175">
        <v>-0.1842945</v>
      </c>
      <c r="AE7175">
        <v>0.52751959999999898</v>
      </c>
      <c r="AF7175">
        <v>3.49780346006534E-2</v>
      </c>
      <c r="AG7175">
        <v>-0.1842945</v>
      </c>
      <c r="AH7175">
        <v>0.470252628357409</v>
      </c>
      <c r="AI7175">
        <v>111.346833437846</v>
      </c>
      <c r="AJ7175">
        <v>85.746094936105806</v>
      </c>
      <c r="AK7175">
        <v>0.50628594698236096</v>
      </c>
      <c r="AL7175">
        <v>83.191487488035804</v>
      </c>
      <c r="AM7175">
        <v>86.771982794767993</v>
      </c>
      <c r="AN7175">
        <v>1.0000000570509999</v>
      </c>
    </row>
    <row r="7176" spans="1:40" x14ac:dyDescent="0.25">
      <c r="A7176" t="str">
        <f>"20190312155015657"</f>
        <v>20190312155015657</v>
      </c>
      <c r="B7176" t="str">
        <f>"1552377015653099"</f>
        <v>1552377015653099</v>
      </c>
      <c r="C7176" t="s">
        <v>40</v>
      </c>
      <c r="D7176">
        <v>4.9194370000000003</v>
      </c>
      <c r="E7176">
        <v>0.49435000000000001</v>
      </c>
      <c r="F7176" t="s">
        <v>41</v>
      </c>
      <c r="G7176">
        <v>-188.40260000000001</v>
      </c>
      <c r="H7176">
        <v>0.96685659999999896</v>
      </c>
      <c r="I7176">
        <v>-0.2923962</v>
      </c>
      <c r="J7176">
        <v>-188.44130000000001</v>
      </c>
      <c r="K7176">
        <v>1.108565</v>
      </c>
      <c r="L7176">
        <v>-0.82427980000000001</v>
      </c>
      <c r="M7176">
        <v>-3.3261810000000001E-3</v>
      </c>
      <c r="N7176">
        <v>0</v>
      </c>
      <c r="O7176">
        <v>0.9999806</v>
      </c>
      <c r="P7176">
        <v>5.186706E-2</v>
      </c>
      <c r="Q7176">
        <v>0.1123248</v>
      </c>
      <c r="R7176">
        <v>0.992317</v>
      </c>
      <c r="S7176">
        <v>0.14411930000000001</v>
      </c>
      <c r="T7176">
        <v>-0.53571610000000003</v>
      </c>
      <c r="U7176">
        <v>3.0772089999999999</v>
      </c>
      <c r="V7176">
        <v>5.5342460000000003E-2</v>
      </c>
      <c r="W7176">
        <v>0.1174563</v>
      </c>
      <c r="X7176">
        <v>0.99153480000000005</v>
      </c>
      <c r="Y7176">
        <v>4.9413789999999999E-2</v>
      </c>
      <c r="Z7176">
        <v>-0.17131440000000001</v>
      </c>
      <c r="AA7176">
        <v>0.98397639999999997</v>
      </c>
      <c r="AB7176">
        <v>30</v>
      </c>
      <c r="AC7176">
        <v>3.8700000000005702E-2</v>
      </c>
      <c r="AD7176">
        <v>-0.14170840000000001</v>
      </c>
      <c r="AE7176">
        <v>0.53188360000000001</v>
      </c>
      <c r="AF7176">
        <v>3.7799908270620498E-2</v>
      </c>
      <c r="AG7176">
        <v>-0.14170840000000001</v>
      </c>
      <c r="AH7176">
        <v>0.49668136919351502</v>
      </c>
      <c r="AI7176">
        <v>105.880405918509</v>
      </c>
      <c r="AJ7176">
        <v>85.647897319986399</v>
      </c>
      <c r="AK7176">
        <v>0.51788269540483001</v>
      </c>
      <c r="AL7176">
        <v>83.254679053279702</v>
      </c>
      <c r="AM7176">
        <v>86.805353920754797</v>
      </c>
      <c r="AN7176">
        <v>1.0000000149497901</v>
      </c>
    </row>
    <row r="7177" spans="1:40" x14ac:dyDescent="0.25">
      <c r="A7177" t="str">
        <f>"20190312155015680"</f>
        <v>20190312155015680</v>
      </c>
      <c r="B7177" t="str">
        <f>"1552377015672619"</f>
        <v>1552377015672619</v>
      </c>
      <c r="C7177" t="s">
        <v>40</v>
      </c>
      <c r="D7177">
        <v>4.446072</v>
      </c>
      <c r="E7177">
        <v>0.49760710000000002</v>
      </c>
      <c r="F7177" t="s">
        <v>42</v>
      </c>
      <c r="G7177">
        <v>-186.5882</v>
      </c>
      <c r="H7177" s="1">
        <v>-1.2524939999999999E-6</v>
      </c>
      <c r="I7177">
        <v>60.661019999999901</v>
      </c>
      <c r="J7177">
        <v>-188.44159999999999</v>
      </c>
      <c r="K7177">
        <v>1.108568</v>
      </c>
      <c r="L7177">
        <v>-0.51428220000000002</v>
      </c>
      <c r="M7177">
        <v>-2.5913469999999999E-3</v>
      </c>
      <c r="N7177">
        <v>0</v>
      </c>
      <c r="O7177">
        <v>0.99998339999999997</v>
      </c>
      <c r="P7177">
        <v>5.1897499999999999E-2</v>
      </c>
      <c r="Q7177">
        <v>0.11073620000000001</v>
      </c>
      <c r="R7177">
        <v>0.99249390000000004</v>
      </c>
      <c r="S7177">
        <v>9.1156009999999996E-2</v>
      </c>
      <c r="T7177">
        <v>-5.4533360000000003E-2</v>
      </c>
      <c r="U7177">
        <v>3.0246279999999999</v>
      </c>
      <c r="V7177">
        <v>5.4635690000000001E-2</v>
      </c>
      <c r="W7177">
        <v>0.1157675</v>
      </c>
      <c r="X7177">
        <v>0.9917726</v>
      </c>
      <c r="Y7177">
        <v>3.2709460000000003E-2</v>
      </c>
      <c r="Z7177">
        <v>-1.8017849999999998E-2</v>
      </c>
      <c r="AA7177">
        <v>0.99930249999999998</v>
      </c>
      <c r="AB7177">
        <v>30</v>
      </c>
      <c r="AC7177">
        <v>1.8533999999999899</v>
      </c>
      <c r="AD7177">
        <v>-1.1085692524940001</v>
      </c>
      <c r="AE7177">
        <v>61.175302199999898</v>
      </c>
      <c r="AF7177">
        <v>2.0112624643839201</v>
      </c>
      <c r="AG7177">
        <v>-1.1085692524940001</v>
      </c>
      <c r="AH7177">
        <v>61.150231982889601</v>
      </c>
      <c r="AI7177">
        <v>91.038018405083704</v>
      </c>
      <c r="AJ7177">
        <v>88.116191549004498</v>
      </c>
      <c r="AK7177">
        <v>61.193340928972198</v>
      </c>
      <c r="AL7177">
        <v>83.352104967962106</v>
      </c>
      <c r="AM7177">
        <v>86.846824055413904</v>
      </c>
      <c r="AN7177">
        <v>1.00000003139439</v>
      </c>
    </row>
    <row r="7178" spans="1:40" x14ac:dyDescent="0.25">
      <c r="A7178" t="str">
        <f>"20190312155015701"</f>
        <v>20190312155015701</v>
      </c>
      <c r="B7178" t="str">
        <f>"1552377015693116"</f>
        <v>1552377015693116</v>
      </c>
      <c r="C7178" t="s">
        <v>40</v>
      </c>
      <c r="D7178">
        <v>4.4408770000000004</v>
      </c>
      <c r="E7178">
        <v>0.49878460000000002</v>
      </c>
      <c r="F7178" t="s">
        <v>63</v>
      </c>
      <c r="G7178">
        <v>-182.67019999999999</v>
      </c>
      <c r="H7178" s="1">
        <v>-1.0445799999999999E-5</v>
      </c>
      <c r="I7178">
        <v>146.12719999999999</v>
      </c>
      <c r="J7178">
        <v>-188.4417</v>
      </c>
      <c r="K7178">
        <v>1.108576</v>
      </c>
      <c r="L7178">
        <v>-0.22891239999999999</v>
      </c>
      <c r="M7178">
        <v>-1.961417E-3</v>
      </c>
      <c r="N7178">
        <v>0</v>
      </c>
      <c r="O7178">
        <v>0.99998529999999997</v>
      </c>
      <c r="P7178">
        <v>5.2333959999999999E-2</v>
      </c>
      <c r="Q7178">
        <v>0.1083803</v>
      </c>
      <c r="R7178">
        <v>0.99273100000000003</v>
      </c>
      <c r="S7178">
        <v>0.1188202</v>
      </c>
      <c r="T7178">
        <v>-2.2823099999999999E-2</v>
      </c>
      <c r="U7178">
        <v>3.019012</v>
      </c>
      <c r="V7178">
        <v>5.4436369999999998E-2</v>
      </c>
      <c r="W7178">
        <v>0.113327</v>
      </c>
      <c r="X7178">
        <v>0.99206539999999999</v>
      </c>
      <c r="Y7178">
        <v>4.1285580000000002E-2</v>
      </c>
      <c r="Z7178">
        <v>-7.5534039999999997E-3</v>
      </c>
      <c r="AA7178">
        <v>0.99911890000000003</v>
      </c>
      <c r="AB7178">
        <v>30</v>
      </c>
      <c r="AC7178">
        <v>5.7714999999999996</v>
      </c>
      <c r="AD7178">
        <v>-1.1085864457999901</v>
      </c>
      <c r="AE7178">
        <v>146.3561124</v>
      </c>
      <c r="AF7178">
        <v>6.0582108864759299</v>
      </c>
      <c r="AG7178">
        <v>-1.1085864457999901</v>
      </c>
      <c r="AH7178">
        <v>146.336127505544</v>
      </c>
      <c r="AI7178">
        <v>90.433671113198102</v>
      </c>
      <c r="AJ7178">
        <v>87.629349492793693</v>
      </c>
      <c r="AK7178">
        <v>146.46567207496699</v>
      </c>
      <c r="AL7178">
        <v>83.492861912891399</v>
      </c>
      <c r="AM7178">
        <v>86.859229664203497</v>
      </c>
      <c r="AN7178">
        <v>1.00000004259246</v>
      </c>
    </row>
    <row r="7179" spans="1:40" x14ac:dyDescent="0.25">
      <c r="A7179" t="str">
        <f>"20190312155015722"</f>
        <v>20190312155015722</v>
      </c>
      <c r="B7179" t="str">
        <f>"1552377015713611"</f>
        <v>1552377015713611</v>
      </c>
      <c r="C7179" t="s">
        <v>40</v>
      </c>
      <c r="D7179">
        <v>4.4387720000000002</v>
      </c>
      <c r="E7179">
        <v>0.49988969999999999</v>
      </c>
      <c r="F7179" t="s">
        <v>46</v>
      </c>
      <c r="G7179">
        <v>-141.863</v>
      </c>
      <c r="H7179">
        <v>-0.1</v>
      </c>
      <c r="I7179">
        <v>1075.7349999999999</v>
      </c>
      <c r="J7179">
        <v>-188.4417</v>
      </c>
      <c r="K7179">
        <v>1.1085879999999999</v>
      </c>
      <c r="L7179">
        <v>6.0760500000000002E-2</v>
      </c>
      <c r="M7179">
        <v>-1.3749770000000001E-3</v>
      </c>
      <c r="N7179">
        <v>0</v>
      </c>
      <c r="O7179">
        <v>0.99998670000000001</v>
      </c>
      <c r="P7179">
        <v>5.2970160000000002E-2</v>
      </c>
      <c r="Q7179">
        <v>0.1064007</v>
      </c>
      <c r="R7179">
        <v>0.9929114</v>
      </c>
      <c r="S7179">
        <v>0.13053890000000001</v>
      </c>
      <c r="T7179">
        <v>-3.3870940000000002E-3</v>
      </c>
      <c r="U7179">
        <v>3.0154420000000002</v>
      </c>
      <c r="V7179">
        <v>5.4478279999999997E-2</v>
      </c>
      <c r="W7179">
        <v>0.1112664</v>
      </c>
      <c r="X7179">
        <v>0.99229630000000002</v>
      </c>
      <c r="Y7179">
        <v>4.4623290000000003E-2</v>
      </c>
      <c r="Z7179">
        <v>-1.1221619999999999E-3</v>
      </c>
      <c r="AA7179">
        <v>0.99900319999999998</v>
      </c>
      <c r="AB7179">
        <v>30</v>
      </c>
      <c r="AC7179">
        <v>46.578699999999998</v>
      </c>
      <c r="AD7179">
        <v>-1.208588</v>
      </c>
      <c r="AE7179">
        <v>1075.6742395000001</v>
      </c>
      <c r="AF7179">
        <v>48.057641026767897</v>
      </c>
      <c r="AG7179">
        <v>-1.208588</v>
      </c>
      <c r="AH7179">
        <v>1075.6078219277399</v>
      </c>
      <c r="AI7179">
        <v>90.064315215018496</v>
      </c>
      <c r="AJ7179">
        <v>87.4417534848412</v>
      </c>
      <c r="AK7179">
        <v>1076.6815611582399</v>
      </c>
      <c r="AL7179">
        <v>83.611677013266004</v>
      </c>
      <c r="AM7179">
        <v>86.857546393633697</v>
      </c>
      <c r="AN7179">
        <v>1.0000000208772</v>
      </c>
    </row>
    <row r="7180" spans="1:40" x14ac:dyDescent="0.25">
      <c r="A7180" t="str">
        <f>"20190312155015745"</f>
        <v>20190312155015745</v>
      </c>
      <c r="B7180" t="str">
        <f>"1552377015742891"</f>
        <v>1552377015742891</v>
      </c>
      <c r="C7180" t="s">
        <v>40</v>
      </c>
      <c r="D7180">
        <v>4.4630460000000003</v>
      </c>
      <c r="E7180">
        <v>0.50032940000000004</v>
      </c>
      <c r="F7180" t="s">
        <v>42</v>
      </c>
      <c r="G7180">
        <v>-180.27629999999999</v>
      </c>
      <c r="H7180" s="1">
        <v>-4.353819E-6</v>
      </c>
      <c r="I7180">
        <v>174.83930000000001</v>
      </c>
      <c r="J7180">
        <v>-188.44149999999999</v>
      </c>
      <c r="K7180">
        <v>1.108609</v>
      </c>
      <c r="L7180">
        <v>0.36981199999999997</v>
      </c>
      <c r="M7180">
        <v>-8.1223789999999895E-4</v>
      </c>
      <c r="N7180">
        <v>0</v>
      </c>
      <c r="O7180">
        <v>0.99998779999999998</v>
      </c>
      <c r="P7180">
        <v>5.4096409999999998E-2</v>
      </c>
      <c r="Q7180">
        <v>0.1050729</v>
      </c>
      <c r="R7180">
        <v>0.99299199999999999</v>
      </c>
      <c r="S7180">
        <v>0.14089969999999999</v>
      </c>
      <c r="T7180">
        <v>-1.9129750000000001E-2</v>
      </c>
      <c r="U7180">
        <v>3.0159609999999999</v>
      </c>
      <c r="V7180">
        <v>5.503247E-2</v>
      </c>
      <c r="W7180">
        <v>0.1098531</v>
      </c>
      <c r="X7180">
        <v>0.99242319999999995</v>
      </c>
      <c r="Y7180">
        <v>4.7477520000000002E-2</v>
      </c>
      <c r="Z7180">
        <v>-6.3356790000000003E-3</v>
      </c>
      <c r="AA7180">
        <v>0.99885219999999997</v>
      </c>
      <c r="AB7180">
        <v>30</v>
      </c>
      <c r="AC7180">
        <v>8.1651999999999898</v>
      </c>
      <c r="AD7180">
        <v>-1.1086133538189999</v>
      </c>
      <c r="AE7180">
        <v>174.46948799999899</v>
      </c>
      <c r="AF7180">
        <v>8.3065750674959897</v>
      </c>
      <c r="AG7180">
        <v>-1.1086133538189999</v>
      </c>
      <c r="AH7180">
        <v>174.45576988471501</v>
      </c>
      <c r="AI7180">
        <v>90.363680342514002</v>
      </c>
      <c r="AJ7180">
        <v>87.273965093989901</v>
      </c>
      <c r="AK7180">
        <v>174.656931895041</v>
      </c>
      <c r="AL7180">
        <v>83.693152766284598</v>
      </c>
      <c r="AM7180">
        <v>86.826049343200197</v>
      </c>
      <c r="AN7180">
        <v>1.00000004211607</v>
      </c>
    </row>
    <row r="7181" spans="1:40" x14ac:dyDescent="0.25">
      <c r="A7181" t="str">
        <f>"20190312155015769"</f>
        <v>20190312155015769</v>
      </c>
      <c r="B7181" t="str">
        <f>"1552377015762411"</f>
        <v>1552377015762411</v>
      </c>
      <c r="C7181" t="s">
        <v>40</v>
      </c>
      <c r="D7181">
        <v>4.4984279999999996</v>
      </c>
      <c r="E7181">
        <v>0.50027509999999997</v>
      </c>
      <c r="F7181" t="s">
        <v>42</v>
      </c>
      <c r="G7181">
        <v>-183.7535</v>
      </c>
      <c r="H7181" s="1">
        <v>-3.9770750000000004E-6</v>
      </c>
      <c r="I7181">
        <v>96.320589999999996</v>
      </c>
      <c r="J7181">
        <v>-188.44120000000001</v>
      </c>
      <c r="K7181">
        <v>1.1086320000000001</v>
      </c>
      <c r="L7181">
        <v>0.69940190000000002</v>
      </c>
      <c r="M7181">
        <v>-2.910864E-4</v>
      </c>
      <c r="N7181">
        <v>0</v>
      </c>
      <c r="O7181">
        <v>0.99998849999999995</v>
      </c>
      <c r="P7181">
        <v>5.4738189999999999E-2</v>
      </c>
      <c r="Q7181">
        <v>0.10390580000000001</v>
      </c>
      <c r="R7181">
        <v>0.99307970000000001</v>
      </c>
      <c r="S7181">
        <v>0.1473999</v>
      </c>
      <c r="T7181">
        <v>-3.4856560000000002E-2</v>
      </c>
      <c r="U7181">
        <v>3.0168460000000001</v>
      </c>
      <c r="V7181">
        <v>5.5142579999999997E-2</v>
      </c>
      <c r="W7181">
        <v>0.1085985</v>
      </c>
      <c r="X7181">
        <v>0.99255510000000002</v>
      </c>
      <c r="Y7181">
        <v>4.9088229999999997E-2</v>
      </c>
      <c r="Z7181">
        <v>-1.153936E-2</v>
      </c>
      <c r="AA7181">
        <v>0.99872780000000005</v>
      </c>
      <c r="AB7181">
        <v>30</v>
      </c>
      <c r="AC7181">
        <v>4.6877000000000004</v>
      </c>
      <c r="AD7181">
        <v>-1.1086359770750001</v>
      </c>
      <c r="AE7181">
        <v>95.621188099999998</v>
      </c>
      <c r="AF7181">
        <v>4.71490188172102</v>
      </c>
      <c r="AG7181">
        <v>-1.1086359770750001</v>
      </c>
      <c r="AH7181">
        <v>95.606998656469301</v>
      </c>
      <c r="AI7181">
        <v>90.663552110517102</v>
      </c>
      <c r="AJ7181">
        <v>87.176720286951706</v>
      </c>
      <c r="AK7181">
        <v>95.729606525787204</v>
      </c>
      <c r="AL7181">
        <v>83.765468348545298</v>
      </c>
      <c r="AM7181">
        <v>86.820133624945299</v>
      </c>
      <c r="AN7181">
        <v>0.99999998243365795</v>
      </c>
    </row>
    <row r="7182" spans="1:40" x14ac:dyDescent="0.25">
      <c r="A7182" t="str">
        <f>"20190312155015793"</f>
        <v>20190312155015793</v>
      </c>
      <c r="B7182" t="str">
        <f>"1552377015782907"</f>
        <v>1552377015782907</v>
      </c>
      <c r="C7182" t="s">
        <v>40</v>
      </c>
      <c r="D7182">
        <v>4.5264340000000001</v>
      </c>
      <c r="E7182">
        <v>0.50007729999999995</v>
      </c>
      <c r="F7182" t="s">
        <v>42</v>
      </c>
      <c r="G7182">
        <v>-184.74930000000001</v>
      </c>
      <c r="H7182" s="1">
        <v>-3.5346579999999999E-6</v>
      </c>
      <c r="I7182">
        <v>75.701070000000001</v>
      </c>
      <c r="J7182">
        <v>-188.4409</v>
      </c>
      <c r="K7182">
        <v>1.108646</v>
      </c>
      <c r="L7182">
        <v>1.02475</v>
      </c>
      <c r="M7182">
        <v>1.6515519999999999E-4</v>
      </c>
      <c r="N7182">
        <v>0</v>
      </c>
      <c r="O7182">
        <v>0.99998900000000002</v>
      </c>
      <c r="P7182">
        <v>5.5124190000000003E-2</v>
      </c>
      <c r="Q7182">
        <v>0.103732</v>
      </c>
      <c r="R7182">
        <v>0.99307659999999998</v>
      </c>
      <c r="S7182">
        <v>0.1485291</v>
      </c>
      <c r="T7182">
        <v>-4.4601559999999998E-2</v>
      </c>
      <c r="U7182">
        <v>3.017395</v>
      </c>
      <c r="V7182">
        <v>5.5064170000000003E-2</v>
      </c>
      <c r="W7182">
        <v>0.1083407</v>
      </c>
      <c r="X7182">
        <v>0.99258760000000001</v>
      </c>
      <c r="Y7182">
        <v>4.8994419999999997E-2</v>
      </c>
      <c r="Z7182">
        <v>-1.4762050000000001E-2</v>
      </c>
      <c r="AA7182">
        <v>0.99868990000000002</v>
      </c>
      <c r="AB7182">
        <v>31</v>
      </c>
      <c r="AC7182">
        <v>3.69159999999999</v>
      </c>
      <c r="AD7182">
        <v>-1.1086495346580001</v>
      </c>
      <c r="AE7182">
        <v>74.676319999999905</v>
      </c>
      <c r="AF7182">
        <v>3.6784578551376299</v>
      </c>
      <c r="AG7182">
        <v>-1.1086495346580001</v>
      </c>
      <c r="AH7182">
        <v>74.660513191475104</v>
      </c>
      <c r="AI7182">
        <v>90.849703928110401</v>
      </c>
      <c r="AJ7182">
        <v>87.179368144108906</v>
      </c>
      <c r="AK7182">
        <v>74.759296318231506</v>
      </c>
      <c r="AL7182">
        <v>83.780326710014194</v>
      </c>
      <c r="AM7182">
        <v>86.824749733952999</v>
      </c>
      <c r="AN7182">
        <v>0.99999995688401799</v>
      </c>
    </row>
    <row r="7183" spans="1:40" x14ac:dyDescent="0.25">
      <c r="A7183" t="str">
        <f>"20190312155015817"</f>
        <v>20190312155015817</v>
      </c>
      <c r="B7183" t="str">
        <f>"1552377015803403"</f>
        <v>1552377015803403</v>
      </c>
      <c r="C7183" t="s">
        <v>40</v>
      </c>
      <c r="D7183">
        <v>4.5195470000000002</v>
      </c>
      <c r="E7183">
        <v>0.4997663</v>
      </c>
      <c r="F7183" t="s">
        <v>42</v>
      </c>
      <c r="G7183">
        <v>-185.04</v>
      </c>
      <c r="H7183" s="1">
        <v>-1.524556E-6</v>
      </c>
      <c r="I7183">
        <v>70.249949999999998</v>
      </c>
      <c r="J7183">
        <v>-188.44040000000001</v>
      </c>
      <c r="K7183">
        <v>1.1086560000000001</v>
      </c>
      <c r="L7183">
        <v>1.344849</v>
      </c>
      <c r="M7183">
        <v>5.5994789999999997E-4</v>
      </c>
      <c r="N7183">
        <v>0</v>
      </c>
      <c r="O7183">
        <v>0.99998929999999997</v>
      </c>
      <c r="P7183">
        <v>5.5442060000000001E-2</v>
      </c>
      <c r="Q7183">
        <v>0.1012673</v>
      </c>
      <c r="R7183">
        <v>0.99331320000000001</v>
      </c>
      <c r="S7183">
        <v>0.14825439999999901</v>
      </c>
      <c r="T7183">
        <v>-4.8329230000000001E-2</v>
      </c>
      <c r="U7183">
        <v>3.0177309999999999</v>
      </c>
      <c r="V7183">
        <v>5.4978150000000003E-2</v>
      </c>
      <c r="W7183">
        <v>0.10579089999999999</v>
      </c>
      <c r="X7183">
        <v>0.99286739999999996</v>
      </c>
      <c r="Y7183">
        <v>4.8503039999999997E-2</v>
      </c>
      <c r="Z7183">
        <v>-1.599397E-2</v>
      </c>
      <c r="AA7183">
        <v>0.998695</v>
      </c>
      <c r="AB7183">
        <v>31</v>
      </c>
      <c r="AC7183">
        <v>3.4004000000000101</v>
      </c>
      <c r="AD7183">
        <v>-1.108657524556</v>
      </c>
      <c r="AE7183">
        <v>68.905101000000002</v>
      </c>
      <c r="AF7183">
        <v>3.3609478379643898</v>
      </c>
      <c r="AG7183">
        <v>-1.108657524556</v>
      </c>
      <c r="AH7183">
        <v>68.889203816861894</v>
      </c>
      <c r="AI7183">
        <v>90.920905839193196</v>
      </c>
      <c r="AJ7183">
        <v>87.206883703592695</v>
      </c>
      <c r="AK7183">
        <v>68.980051423563097</v>
      </c>
      <c r="AL7183">
        <v>83.927264360586506</v>
      </c>
      <c r="AM7183">
        <v>86.830591512589507</v>
      </c>
      <c r="AN7183">
        <v>0.99999999274149598</v>
      </c>
    </row>
    <row r="7184" spans="1:40" x14ac:dyDescent="0.25">
      <c r="A7184" t="str">
        <f>"20190312155015839"</f>
        <v>20190312155015839</v>
      </c>
      <c r="B7184" t="str">
        <f>"1552377015832683"</f>
        <v>1552377015832683</v>
      </c>
      <c r="C7184" t="s">
        <v>40</v>
      </c>
      <c r="D7184">
        <v>4.5861159999999996</v>
      </c>
      <c r="E7184">
        <v>0.49928729999999899</v>
      </c>
      <c r="F7184" t="s">
        <v>42</v>
      </c>
      <c r="G7184">
        <v>-185.59540000000001</v>
      </c>
      <c r="H7184" s="1">
        <v>-1.206693E-6</v>
      </c>
      <c r="I7184">
        <v>59.750140000000002</v>
      </c>
      <c r="J7184">
        <v>-188.43989999999999</v>
      </c>
      <c r="K7184">
        <v>1.10866</v>
      </c>
      <c r="L7184">
        <v>1.6635439999999999</v>
      </c>
      <c r="M7184">
        <v>9.0389400000000003E-4</v>
      </c>
      <c r="N7184">
        <v>0</v>
      </c>
      <c r="O7184">
        <v>0.99998940000000003</v>
      </c>
      <c r="P7184">
        <v>5.5429630000000001E-2</v>
      </c>
      <c r="Q7184">
        <v>9.9137030000000001E-2</v>
      </c>
      <c r="R7184">
        <v>0.99352879999999999</v>
      </c>
      <c r="S7184">
        <v>0.1470032</v>
      </c>
      <c r="T7184">
        <v>-5.7284710000000003E-2</v>
      </c>
      <c r="U7184">
        <v>3.0178219999999998</v>
      </c>
      <c r="V7184">
        <v>5.4613710000000003E-2</v>
      </c>
      <c r="W7184">
        <v>0.1035692</v>
      </c>
      <c r="X7184">
        <v>0.9931217</v>
      </c>
      <c r="Y7184">
        <v>4.7742390000000003E-2</v>
      </c>
      <c r="Z7184">
        <v>-1.8956649999999999E-2</v>
      </c>
      <c r="AA7184">
        <v>0.99867980000000001</v>
      </c>
      <c r="AB7184">
        <v>31</v>
      </c>
      <c r="AC7184">
        <v>2.84449999999998</v>
      </c>
      <c r="AD7184">
        <v>-1.1086612066929999</v>
      </c>
      <c r="AE7184">
        <v>58.086595999999901</v>
      </c>
      <c r="AF7184">
        <v>2.79097988680248</v>
      </c>
      <c r="AG7184">
        <v>-1.1086612066929999</v>
      </c>
      <c r="AH7184">
        <v>58.068040490946899</v>
      </c>
      <c r="AI7184">
        <v>91.092523053573601</v>
      </c>
      <c r="AJ7184">
        <v>87.248255704262405</v>
      </c>
      <c r="AK7184">
        <v>58.145644934577902</v>
      </c>
      <c r="AL7184">
        <v>84.055261532285897</v>
      </c>
      <c r="AM7184">
        <v>86.852363100484595</v>
      </c>
      <c r="AN7184">
        <v>0.99999997375974603</v>
      </c>
    </row>
    <row r="7185" spans="1:40" x14ac:dyDescent="0.25">
      <c r="A7185" t="str">
        <f>"20190312155015862"</f>
        <v>20190312155015862</v>
      </c>
      <c r="B7185" t="str">
        <f>"1552377015853180"</f>
        <v>1552377015853180</v>
      </c>
      <c r="C7185" t="s">
        <v>40</v>
      </c>
      <c r="D7185">
        <v>4.5890690000000003</v>
      </c>
      <c r="E7185">
        <v>0.49900630000000001</v>
      </c>
      <c r="F7185" t="s">
        <v>42</v>
      </c>
      <c r="G7185">
        <v>-186.10329999999999</v>
      </c>
      <c r="H7185" s="1">
        <v>-1.4491400000000001E-6</v>
      </c>
      <c r="I7185">
        <v>50.85971</v>
      </c>
      <c r="J7185">
        <v>-188.4393</v>
      </c>
      <c r="K7185">
        <v>1.1086659999999999</v>
      </c>
      <c r="L7185">
        <v>1.9796750000000001</v>
      </c>
      <c r="M7185">
        <v>1.2027310000000001E-3</v>
      </c>
      <c r="N7185">
        <v>0</v>
      </c>
      <c r="O7185">
        <v>0.99998960000000003</v>
      </c>
      <c r="P7185">
        <v>5.601627E-2</v>
      </c>
      <c r="Q7185">
        <v>9.7838670000000003E-2</v>
      </c>
      <c r="R7185">
        <v>0.99362459999999997</v>
      </c>
      <c r="S7185">
        <v>0.14335629999999999</v>
      </c>
      <c r="T7185">
        <v>-6.8019869999999996E-2</v>
      </c>
      <c r="U7185">
        <v>3.0183409999999999</v>
      </c>
      <c r="V7185">
        <v>5.489467E-2</v>
      </c>
      <c r="W7185">
        <v>0.1021724</v>
      </c>
      <c r="X7185">
        <v>0.99325090000000005</v>
      </c>
      <c r="Y7185">
        <v>4.6228159999999997E-2</v>
      </c>
      <c r="Z7185">
        <v>-2.2505049999999999E-2</v>
      </c>
      <c r="AA7185">
        <v>0.99867740000000005</v>
      </c>
      <c r="AB7185">
        <v>31</v>
      </c>
      <c r="AC7185">
        <v>2.3360000000000101</v>
      </c>
      <c r="AD7185">
        <v>-1.1086674491399999</v>
      </c>
      <c r="AE7185">
        <v>48.880034999999999</v>
      </c>
      <c r="AF7185">
        <v>2.2760399771940198</v>
      </c>
      <c r="AG7185">
        <v>-1.1086674491399999</v>
      </c>
      <c r="AH7185">
        <v>48.8577318749414</v>
      </c>
      <c r="AI7185">
        <v>91.298510687228799</v>
      </c>
      <c r="AJ7185">
        <v>87.332801442132805</v>
      </c>
      <c r="AK7185">
        <v>48.923281425658999</v>
      </c>
      <c r="AL7185">
        <v>84.1357192149176</v>
      </c>
      <c r="AM7185">
        <v>86.836613612110099</v>
      </c>
      <c r="AN7185">
        <v>0.99999998723348904</v>
      </c>
    </row>
    <row r="7186" spans="1:40" x14ac:dyDescent="0.25">
      <c r="A7186" t="str">
        <f>"20190312155015882"</f>
        <v>20190312155015882</v>
      </c>
      <c r="B7186" t="str">
        <f>"1552377015872700"</f>
        <v>1552377015872700</v>
      </c>
      <c r="C7186" t="s">
        <v>40</v>
      </c>
      <c r="D7186">
        <v>4.5999109999999996</v>
      </c>
      <c r="E7186">
        <v>0.49881389999999998</v>
      </c>
      <c r="F7186" t="s">
        <v>42</v>
      </c>
      <c r="G7186">
        <v>-186.2586</v>
      </c>
      <c r="H7186" s="1">
        <v>-4.2456740000000004E-6</v>
      </c>
      <c r="I7186">
        <v>47.982520000000001</v>
      </c>
      <c r="J7186">
        <v>-188.43870000000001</v>
      </c>
      <c r="K7186">
        <v>1.1086640000000001</v>
      </c>
      <c r="L7186">
        <v>2.2595209999999999</v>
      </c>
      <c r="M7186">
        <v>1.436414E-3</v>
      </c>
      <c r="N7186">
        <v>0</v>
      </c>
      <c r="O7186">
        <v>0.99998969999999998</v>
      </c>
      <c r="P7186">
        <v>5.6168780000000001E-2</v>
      </c>
      <c r="Q7186">
        <v>9.5991510000000002E-2</v>
      </c>
      <c r="R7186">
        <v>0.99379609999999996</v>
      </c>
      <c r="S7186">
        <v>0.14308170000000001</v>
      </c>
      <c r="T7186">
        <v>-7.2742100000000004E-2</v>
      </c>
      <c r="U7186">
        <v>3.0183409999999999</v>
      </c>
      <c r="V7186">
        <v>5.48072E-2</v>
      </c>
      <c r="W7186">
        <v>0.1002345</v>
      </c>
      <c r="X7186">
        <v>0.99345309999999998</v>
      </c>
      <c r="Y7186">
        <v>4.5902320000000003E-2</v>
      </c>
      <c r="Z7186">
        <v>-2.4066790000000001E-2</v>
      </c>
      <c r="AA7186">
        <v>0.99865599999999999</v>
      </c>
      <c r="AB7186">
        <v>31</v>
      </c>
      <c r="AC7186">
        <v>2.1801000000000101</v>
      </c>
      <c r="AD7186">
        <v>-1.10866824567399</v>
      </c>
      <c r="AE7186">
        <v>45.722999000000002</v>
      </c>
      <c r="AF7186">
        <v>2.1131803788957999</v>
      </c>
      <c r="AG7186">
        <v>-1.10866824567399</v>
      </c>
      <c r="AH7186">
        <v>45.699275848519498</v>
      </c>
      <c r="AI7186">
        <v>91.388244973043399</v>
      </c>
      <c r="AJ7186">
        <v>87.352471587269505</v>
      </c>
      <c r="AK7186">
        <v>45.761539415450102</v>
      </c>
      <c r="AL7186">
        <v>84.247325370725804</v>
      </c>
      <c r="AM7186">
        <v>86.842285514190294</v>
      </c>
      <c r="AN7186">
        <v>0.99999992303084695</v>
      </c>
    </row>
    <row r="7187" spans="1:40" x14ac:dyDescent="0.25">
      <c r="A7187" t="str">
        <f>"20190312155015904"</f>
        <v>20190312155015904</v>
      </c>
      <c r="B7187" t="str">
        <f>"1552377015893195"</f>
        <v>1552377015893195</v>
      </c>
      <c r="C7187" t="s">
        <v>40</v>
      </c>
      <c r="D7187">
        <v>4.6416279999999999</v>
      </c>
      <c r="E7187">
        <v>0.49873070000000003</v>
      </c>
      <c r="F7187" t="s">
        <v>42</v>
      </c>
      <c r="G7187">
        <v>-186.45570000000001</v>
      </c>
      <c r="H7187" s="1">
        <v>-2.698222E-6</v>
      </c>
      <c r="I7187">
        <v>44.456870000000002</v>
      </c>
      <c r="J7187">
        <v>-188.43799999999999</v>
      </c>
      <c r="K7187">
        <v>1.1086549999999999</v>
      </c>
      <c r="L7187">
        <v>2.5768430000000002</v>
      </c>
      <c r="M7187">
        <v>1.6754910000000001E-3</v>
      </c>
      <c r="N7187">
        <v>0</v>
      </c>
      <c r="O7187">
        <v>0.99998980000000004</v>
      </c>
      <c r="P7187">
        <v>5.6424370000000001E-2</v>
      </c>
      <c r="Q7187">
        <v>9.321778E-2</v>
      </c>
      <c r="R7187">
        <v>0.99404559999999997</v>
      </c>
      <c r="S7187">
        <v>0.14184569999999999</v>
      </c>
      <c r="T7187">
        <v>-7.9302789999999998E-2</v>
      </c>
      <c r="U7187">
        <v>3.0183719999999998</v>
      </c>
      <c r="V7187">
        <v>5.4816869999999997E-2</v>
      </c>
      <c r="W7187">
        <v>9.7356659999999998E-2</v>
      </c>
      <c r="X7187">
        <v>0.99373880000000003</v>
      </c>
      <c r="Y7187">
        <v>4.5252420000000002E-2</v>
      </c>
      <c r="Z7187">
        <v>-2.6236329999999999E-2</v>
      </c>
      <c r="AA7187">
        <v>0.99863100000000005</v>
      </c>
      <c r="AB7187">
        <v>31</v>
      </c>
      <c r="AC7187">
        <v>1.98229999999998</v>
      </c>
      <c r="AD7187">
        <v>-1.108657698222</v>
      </c>
      <c r="AE7187">
        <v>41.880026999999998</v>
      </c>
      <c r="AF7187">
        <v>1.9107909431713099</v>
      </c>
      <c r="AG7187">
        <v>-1.108657698222</v>
      </c>
      <c r="AH7187">
        <v>41.854024715061101</v>
      </c>
      <c r="AI7187">
        <v>91.515756469039999</v>
      </c>
      <c r="AJ7187">
        <v>87.386050910873607</v>
      </c>
      <c r="AK7187">
        <v>41.912284938538903</v>
      </c>
      <c r="AL7187">
        <v>84.413024631345294</v>
      </c>
      <c r="AM7187">
        <v>86.842635671017106</v>
      </c>
      <c r="AN7187">
        <v>1.00000000555419</v>
      </c>
    </row>
    <row r="7188" spans="1:40" x14ac:dyDescent="0.25">
      <c r="A7188" t="str">
        <f>"20190312155015926"</f>
        <v>20190312155015926</v>
      </c>
      <c r="B7188" t="str">
        <f>"1552377015912714"</f>
        <v>1552377015912714</v>
      </c>
      <c r="C7188" t="s">
        <v>40</v>
      </c>
      <c r="D7188">
        <v>4.6722049999999999</v>
      </c>
      <c r="E7188">
        <v>0.49869720000000001</v>
      </c>
      <c r="F7188" t="s">
        <v>42</v>
      </c>
      <c r="G7188">
        <v>-186.67099999999999</v>
      </c>
      <c r="H7188" s="1">
        <v>-1.071124E-6</v>
      </c>
      <c r="I7188">
        <v>40.192749999999997</v>
      </c>
      <c r="J7188">
        <v>-188.43729999999999</v>
      </c>
      <c r="K7188">
        <v>1.1086370000000001</v>
      </c>
      <c r="L7188">
        <v>2.8815309999999998</v>
      </c>
      <c r="M7188">
        <v>1.8837109999999999E-3</v>
      </c>
      <c r="N7188">
        <v>0</v>
      </c>
      <c r="O7188">
        <v>0.99998989999999999</v>
      </c>
      <c r="P7188">
        <v>5.6937599999999998E-2</v>
      </c>
      <c r="Q7188">
        <v>8.8296230000000003E-2</v>
      </c>
      <c r="R7188">
        <v>0.99446559999999995</v>
      </c>
      <c r="S7188">
        <v>0.14178470000000001</v>
      </c>
      <c r="T7188">
        <v>-8.8957069999999999E-2</v>
      </c>
      <c r="U7188">
        <v>3.0182500000000001</v>
      </c>
      <c r="V7188">
        <v>5.5114820000000002E-2</v>
      </c>
      <c r="W7188">
        <v>9.2334959999999994E-2</v>
      </c>
      <c r="X7188">
        <v>0.99420149999999996</v>
      </c>
      <c r="Y7188">
        <v>4.5022E-2</v>
      </c>
      <c r="Z7188">
        <v>-2.9429049999999998E-2</v>
      </c>
      <c r="AA7188">
        <v>0.99855240000000001</v>
      </c>
      <c r="AB7188">
        <v>31</v>
      </c>
      <c r="AC7188">
        <v>1.7663</v>
      </c>
      <c r="AD7188">
        <v>-1.108638071124</v>
      </c>
      <c r="AE7188">
        <v>37.311219000000001</v>
      </c>
      <c r="AF7188">
        <v>1.69452001814051</v>
      </c>
      <c r="AG7188">
        <v>-1.108638071124</v>
      </c>
      <c r="AH7188">
        <v>37.281638488771499</v>
      </c>
      <c r="AI7188">
        <v>91.701537772160606</v>
      </c>
      <c r="AJ7188">
        <v>87.397591031113905</v>
      </c>
      <c r="AK7188">
        <v>37.336591232624201</v>
      </c>
      <c r="AL7188">
        <v>84.702050092330694</v>
      </c>
      <c r="AM7188">
        <v>86.826983614799602</v>
      </c>
      <c r="AN7188">
        <v>1.0000000054120399</v>
      </c>
    </row>
    <row r="7189" spans="1:40" x14ac:dyDescent="0.25">
      <c r="A7189" t="str">
        <f>"20190312155015949"</f>
        <v>20190312155015949</v>
      </c>
      <c r="B7189" t="str">
        <f>"1552377015942971"</f>
        <v>1552377015942971</v>
      </c>
      <c r="C7189" t="s">
        <v>40</v>
      </c>
      <c r="D7189">
        <v>4.701308</v>
      </c>
      <c r="E7189">
        <v>0.49858780000000003</v>
      </c>
      <c r="F7189" t="s">
        <v>42</v>
      </c>
      <c r="G7189">
        <v>-186.9342</v>
      </c>
      <c r="H7189" s="1">
        <v>-2.679872E-6</v>
      </c>
      <c r="I7189">
        <v>34.611960000000003</v>
      </c>
      <c r="J7189">
        <v>-188.43639999999999</v>
      </c>
      <c r="K7189">
        <v>1.1086100000000001</v>
      </c>
      <c r="L7189">
        <v>3.2206730000000001</v>
      </c>
      <c r="M7189">
        <v>2.097734E-3</v>
      </c>
      <c r="N7189">
        <v>0</v>
      </c>
      <c r="O7189">
        <v>0.99998989999999999</v>
      </c>
      <c r="P7189">
        <v>5.7228309999999998E-2</v>
      </c>
      <c r="Q7189">
        <v>8.2843109999999998E-2</v>
      </c>
      <c r="R7189">
        <v>0.99491799999999997</v>
      </c>
      <c r="S7189">
        <v>0.14295959999999999</v>
      </c>
      <c r="T7189">
        <v>-0.1054428</v>
      </c>
      <c r="U7189">
        <v>3.0178829999999999</v>
      </c>
      <c r="V7189">
        <v>5.5185339999999999E-2</v>
      </c>
      <c r="W7189">
        <v>8.6776000000000006E-2</v>
      </c>
      <c r="X7189">
        <v>0.99469819999999998</v>
      </c>
      <c r="Y7189">
        <v>4.5193450000000003E-2</v>
      </c>
      <c r="Z7189">
        <v>-3.4880510000000003E-2</v>
      </c>
      <c r="AA7189">
        <v>0.99836910000000001</v>
      </c>
      <c r="AB7189">
        <v>32</v>
      </c>
      <c r="AC7189">
        <v>1.50219999999998</v>
      </c>
      <c r="AD7189">
        <v>-1.108612679872</v>
      </c>
      <c r="AE7189">
        <v>31.391286999999899</v>
      </c>
      <c r="AF7189">
        <v>1.43456048659486</v>
      </c>
      <c r="AG7189">
        <v>-1.108612679872</v>
      </c>
      <c r="AH7189">
        <v>31.355351646522099</v>
      </c>
      <c r="AI7189">
        <v>92.022815372751793</v>
      </c>
      <c r="AJ7189">
        <v>87.380447713480194</v>
      </c>
      <c r="AK7189">
        <v>31.407722979240798</v>
      </c>
      <c r="AL7189">
        <v>85.021840416302993</v>
      </c>
      <c r="AM7189">
        <v>86.824515231403694</v>
      </c>
      <c r="AN7189">
        <v>1.0000000025050699</v>
      </c>
    </row>
    <row r="7190" spans="1:40" x14ac:dyDescent="0.25">
      <c r="A7190" t="str">
        <f>"20190312155015970"</f>
        <v>20190312155015970</v>
      </c>
      <c r="B7190" t="str">
        <f>"1552377015963468"</f>
        <v>1552377015963468</v>
      </c>
      <c r="C7190" t="s">
        <v>40</v>
      </c>
      <c r="D7190">
        <v>4.7358029999999998</v>
      </c>
      <c r="E7190">
        <v>0.49845099999999998</v>
      </c>
      <c r="F7190" t="s">
        <v>42</v>
      </c>
      <c r="G7190">
        <v>-187.16650000000001</v>
      </c>
      <c r="H7190" s="1">
        <v>-8.9705600000000001E-7</v>
      </c>
      <c r="I7190">
        <v>30.068670000000001</v>
      </c>
      <c r="J7190">
        <v>-188.4357</v>
      </c>
      <c r="K7190">
        <v>1.1085830000000001</v>
      </c>
      <c r="L7190">
        <v>3.5165099999999998</v>
      </c>
      <c r="M7190">
        <v>2.2755169999999999E-3</v>
      </c>
      <c r="N7190">
        <v>0</v>
      </c>
      <c r="O7190">
        <v>0.99998980000000004</v>
      </c>
      <c r="P7190">
        <v>5.7513870000000002E-2</v>
      </c>
      <c r="Q7190">
        <v>7.8596620000000006E-2</v>
      </c>
      <c r="R7190">
        <v>0.99524610000000002</v>
      </c>
      <c r="S7190">
        <v>0.14273069999999999</v>
      </c>
      <c r="T7190">
        <v>-0.1245984</v>
      </c>
      <c r="U7190">
        <v>3.017487</v>
      </c>
      <c r="V7190">
        <v>5.5289140000000001E-2</v>
      </c>
      <c r="W7190">
        <v>8.2442840000000003E-2</v>
      </c>
      <c r="X7190">
        <v>0.99506090000000003</v>
      </c>
      <c r="Y7190">
        <v>4.493511E-2</v>
      </c>
      <c r="Z7190">
        <v>-4.121296E-2</v>
      </c>
      <c r="AA7190">
        <v>0.99813940000000001</v>
      </c>
      <c r="AB7190">
        <v>32</v>
      </c>
      <c r="AC7190">
        <v>1.2691999999999799</v>
      </c>
      <c r="AD7190">
        <v>-1.108583897056</v>
      </c>
      <c r="AE7190">
        <v>26.552159999999901</v>
      </c>
      <c r="AF7190">
        <v>1.20667772462645</v>
      </c>
      <c r="AG7190">
        <v>-1.108583897056</v>
      </c>
      <c r="AH7190">
        <v>26.508875475735099</v>
      </c>
      <c r="AI7190">
        <v>92.392202612346296</v>
      </c>
      <c r="AJ7190">
        <v>87.393708832493303</v>
      </c>
      <c r="AK7190">
        <v>26.559471161451</v>
      </c>
      <c r="AL7190">
        <v>85.2710056187736</v>
      </c>
      <c r="AM7190">
        <v>86.819711868148502</v>
      </c>
      <c r="AN7190">
        <v>0.999999952789006</v>
      </c>
    </row>
    <row r="7191" spans="1:40" x14ac:dyDescent="0.25">
      <c r="A7191" t="str">
        <f>"20190312155015999"</f>
        <v>20190312155015999</v>
      </c>
      <c r="B7191" t="str">
        <f>"1552377015992747"</f>
        <v>1552377015992747</v>
      </c>
      <c r="C7191" t="s">
        <v>40</v>
      </c>
      <c r="D7191">
        <v>4.7387499999999996</v>
      </c>
      <c r="E7191">
        <v>0.52197990000000005</v>
      </c>
      <c r="F7191" t="s">
        <v>42</v>
      </c>
      <c r="G7191">
        <v>-187.29679999999999</v>
      </c>
      <c r="H7191" s="1">
        <v>-3.9238969999999999E-6</v>
      </c>
      <c r="I7191">
        <v>27.661740000000002</v>
      </c>
      <c r="J7191">
        <v>-188.43450000000001</v>
      </c>
      <c r="K7191">
        <v>1.1085640000000001</v>
      </c>
      <c r="L7191">
        <v>3.9252929999999999</v>
      </c>
      <c r="M7191">
        <v>2.5127529999999999E-3</v>
      </c>
      <c r="N7191">
        <v>0</v>
      </c>
      <c r="O7191">
        <v>0.99998969999999998</v>
      </c>
      <c r="P7191">
        <v>5.8410740000000003E-2</v>
      </c>
      <c r="Q7191">
        <v>7.6689300000000002E-2</v>
      </c>
      <c r="R7191">
        <v>0.99534259999999997</v>
      </c>
      <c r="S7191">
        <v>0.1423035</v>
      </c>
      <c r="T7191">
        <v>-0.13852310000000001</v>
      </c>
      <c r="U7191">
        <v>3.0170590000000002</v>
      </c>
      <c r="V7191">
        <v>5.5947049999999998E-2</v>
      </c>
      <c r="W7191">
        <v>8.0422069999999998E-2</v>
      </c>
      <c r="X7191">
        <v>0.99518949999999995</v>
      </c>
      <c r="Y7191">
        <v>4.4554299999999998E-2</v>
      </c>
      <c r="Z7191">
        <v>-4.5816559999999999E-2</v>
      </c>
      <c r="AA7191">
        <v>0.99795579999999995</v>
      </c>
      <c r="AB7191">
        <v>32</v>
      </c>
      <c r="AC7191">
        <v>1.1377000000000199</v>
      </c>
      <c r="AD7191">
        <v>-1.1085679238970001</v>
      </c>
      <c r="AE7191">
        <v>23.736446999999998</v>
      </c>
      <c r="AF7191">
        <v>1.0757112028936</v>
      </c>
      <c r="AG7191">
        <v>-1.1085679238970001</v>
      </c>
      <c r="AH7191">
        <v>23.687681969468098</v>
      </c>
      <c r="AI7191">
        <v>92.676695151176503</v>
      </c>
      <c r="AJ7191">
        <v>87.399855511179098</v>
      </c>
      <c r="AK7191">
        <v>23.737993902614999</v>
      </c>
      <c r="AL7191">
        <v>85.387173084324502</v>
      </c>
      <c r="AM7191">
        <v>86.782362248082194</v>
      </c>
      <c r="AN7191">
        <v>0.99999996132851698</v>
      </c>
    </row>
    <row r="7192" spans="1:40" x14ac:dyDescent="0.25">
      <c r="A7192" t="str">
        <f>"20190312155016019"</f>
        <v>20190312155016019</v>
      </c>
      <c r="B7192" t="str">
        <f>"1552377016013244"</f>
        <v>1552377016013244</v>
      </c>
      <c r="C7192" t="s">
        <v>40</v>
      </c>
      <c r="D7192">
        <v>4.7710850000000002</v>
      </c>
      <c r="E7192">
        <v>0.52480799999999905</v>
      </c>
      <c r="F7192" t="s">
        <v>42</v>
      </c>
      <c r="G7192">
        <v>-185.42140000000001</v>
      </c>
      <c r="H7192" s="1">
        <v>-1.7055959999999999E-6</v>
      </c>
      <c r="I7192">
        <v>31.08015</v>
      </c>
      <c r="J7192">
        <v>-188.43360000000001</v>
      </c>
      <c r="K7192">
        <v>1.108557</v>
      </c>
      <c r="L7192">
        <v>4.2158199999999999</v>
      </c>
      <c r="M7192">
        <v>2.6787159999999998E-3</v>
      </c>
      <c r="N7192">
        <v>0</v>
      </c>
      <c r="O7192">
        <v>0.99998960000000003</v>
      </c>
      <c r="P7192">
        <v>5.9146799999999999E-2</v>
      </c>
      <c r="Q7192">
        <v>7.7505679999999993E-2</v>
      </c>
      <c r="R7192">
        <v>0.99523589999999995</v>
      </c>
      <c r="S7192">
        <v>0.33331300000000003</v>
      </c>
      <c r="T7192">
        <v>-0.1226323</v>
      </c>
      <c r="U7192">
        <v>3.0039370000000001</v>
      </c>
      <c r="V7192">
        <v>5.651784E-2</v>
      </c>
      <c r="W7192">
        <v>8.1159700000000001E-2</v>
      </c>
      <c r="X7192">
        <v>0.99509740000000002</v>
      </c>
      <c r="Y7192">
        <v>0.107528399999999</v>
      </c>
      <c r="Z7192">
        <v>-4.0547199999999999E-2</v>
      </c>
      <c r="AA7192">
        <v>0.9933748</v>
      </c>
      <c r="AB7192">
        <v>32</v>
      </c>
      <c r="AC7192">
        <v>3.0122</v>
      </c>
      <c r="AD7192">
        <v>-1.108558705596</v>
      </c>
      <c r="AE7192">
        <v>26.864329999999999</v>
      </c>
      <c r="AF7192">
        <v>2.9352906184196899</v>
      </c>
      <c r="AG7192">
        <v>-1.108558705596</v>
      </c>
      <c r="AH7192">
        <v>26.827188173542901</v>
      </c>
      <c r="AI7192">
        <v>92.3522199348442</v>
      </c>
      <c r="AJ7192">
        <v>83.755833957407106</v>
      </c>
      <c r="AK7192">
        <v>27.0100510683896</v>
      </c>
      <c r="AL7192">
        <v>85.344771565048603</v>
      </c>
      <c r="AM7192">
        <v>86.749304702904396</v>
      </c>
      <c r="AN7192">
        <v>0.99999999931455696</v>
      </c>
    </row>
    <row r="7193" spans="1:40" x14ac:dyDescent="0.25">
      <c r="A7193" t="str">
        <f>"20190312155016040"</f>
        <v>20190312155016040</v>
      </c>
      <c r="B7193" t="str">
        <f>"1552377016032764"</f>
        <v>1552377016032764</v>
      </c>
      <c r="C7193" t="s">
        <v>40</v>
      </c>
      <c r="D7193">
        <v>4.7917949999999996</v>
      </c>
      <c r="E7193">
        <v>0.52569940000000004</v>
      </c>
      <c r="F7193" t="s">
        <v>42</v>
      </c>
      <c r="G7193">
        <v>-185.14420000000001</v>
      </c>
      <c r="H7193" s="1">
        <v>-2.03058E-6</v>
      </c>
      <c r="I7193">
        <v>31.81842</v>
      </c>
      <c r="J7193">
        <v>-188.43260000000001</v>
      </c>
      <c r="K7193">
        <v>1.108555</v>
      </c>
      <c r="L7193">
        <v>4.5256040000000004</v>
      </c>
      <c r="M7193">
        <v>2.8549959999999998E-3</v>
      </c>
      <c r="N7193">
        <v>0</v>
      </c>
      <c r="O7193">
        <v>0.99998940000000003</v>
      </c>
      <c r="P7193">
        <v>5.9053950000000001E-2</v>
      </c>
      <c r="Q7193">
        <v>7.9602839999999994E-2</v>
      </c>
      <c r="R7193">
        <v>0.99507590000000001</v>
      </c>
      <c r="S7193">
        <v>0.35780329999999999</v>
      </c>
      <c r="T7193">
        <v>-0.1205847</v>
      </c>
      <c r="U7193">
        <v>3.0025019999999998</v>
      </c>
      <c r="V7193">
        <v>5.6250399999999999E-2</v>
      </c>
      <c r="W7193">
        <v>8.3176079999999999E-2</v>
      </c>
      <c r="X7193">
        <v>0.99494610000000006</v>
      </c>
      <c r="Y7193">
        <v>0.1154017</v>
      </c>
      <c r="Z7193">
        <v>-3.9853989999999999E-2</v>
      </c>
      <c r="AA7193">
        <v>0.99251909999999999</v>
      </c>
      <c r="AB7193">
        <v>32</v>
      </c>
      <c r="AC7193">
        <v>3.28839999999999</v>
      </c>
      <c r="AD7193">
        <v>-1.1085570305800001</v>
      </c>
      <c r="AE7193">
        <v>27.292815999999998</v>
      </c>
      <c r="AF7193">
        <v>3.20525299267335</v>
      </c>
      <c r="AG7193">
        <v>-1.1085570305800001</v>
      </c>
      <c r="AH7193">
        <v>27.257768026465801</v>
      </c>
      <c r="AI7193">
        <v>92.312982447855703</v>
      </c>
      <c r="AJ7193">
        <v>83.293362827706204</v>
      </c>
      <c r="AK7193">
        <v>27.467953386113699</v>
      </c>
      <c r="AL7193">
        <v>85.2288497562228</v>
      </c>
      <c r="AM7193">
        <v>86.764163150380597</v>
      </c>
      <c r="AN7193">
        <v>1.0000000548447601</v>
      </c>
    </row>
    <row r="7194" spans="1:40" x14ac:dyDescent="0.25">
      <c r="A7194" t="str">
        <f>"20190312155016062"</f>
        <v>20190312155016062</v>
      </c>
      <c r="B7194" t="str">
        <f>"1552377016053261"</f>
        <v>1552377016053261</v>
      </c>
      <c r="C7194" t="s">
        <v>40</v>
      </c>
      <c r="D7194">
        <v>4.7260790000000004</v>
      </c>
      <c r="E7194">
        <v>0.52587759999999995</v>
      </c>
      <c r="F7194" t="s">
        <v>42</v>
      </c>
      <c r="G7194">
        <v>-184.96789999999999</v>
      </c>
      <c r="H7194" s="1">
        <v>-2.5072650000000002E-6</v>
      </c>
      <c r="I7194">
        <v>33.081330000000001</v>
      </c>
      <c r="J7194">
        <v>-188.4315</v>
      </c>
      <c r="K7194">
        <v>1.1085480000000001</v>
      </c>
      <c r="L7194">
        <v>4.8406979999999997</v>
      </c>
      <c r="M7194">
        <v>3.0340639999999999E-3</v>
      </c>
      <c r="N7194">
        <v>0</v>
      </c>
      <c r="O7194">
        <v>0.99998920000000002</v>
      </c>
      <c r="P7194">
        <v>5.8214750000000003E-2</v>
      </c>
      <c r="Q7194">
        <v>8.1846160000000001E-2</v>
      </c>
      <c r="R7194">
        <v>0.99494329999999997</v>
      </c>
      <c r="S7194">
        <v>0.36430360000000001</v>
      </c>
      <c r="T7194">
        <v>-0.1165621</v>
      </c>
      <c r="U7194">
        <v>3.0025629999999999</v>
      </c>
      <c r="V7194">
        <v>5.5234070000000003E-2</v>
      </c>
      <c r="W7194">
        <v>8.5342260000000003E-2</v>
      </c>
      <c r="X7194">
        <v>0.99481949999999997</v>
      </c>
      <c r="Y7194">
        <v>0.11734559999999999</v>
      </c>
      <c r="Z7194">
        <v>-3.8516359999999999E-2</v>
      </c>
      <c r="AA7194">
        <v>0.992344</v>
      </c>
      <c r="AB7194">
        <v>32</v>
      </c>
      <c r="AC7194">
        <v>3.4636000000000098</v>
      </c>
      <c r="AD7194">
        <v>-1.1085505072649999</v>
      </c>
      <c r="AE7194">
        <v>28.240632000000002</v>
      </c>
      <c r="AF7194">
        <v>3.37277968732307</v>
      </c>
      <c r="AG7194">
        <v>-1.1085505072649999</v>
      </c>
      <c r="AH7194">
        <v>28.208190203566399</v>
      </c>
      <c r="AI7194">
        <v>92.2346019933088</v>
      </c>
      <c r="AJ7194">
        <v>83.181662685415304</v>
      </c>
      <c r="AK7194">
        <v>28.430731992105901</v>
      </c>
      <c r="AL7194">
        <v>85.104293416843902</v>
      </c>
      <c r="AM7194">
        <v>86.822103686072197</v>
      </c>
      <c r="AN7194">
        <v>0.99999997070545998</v>
      </c>
    </row>
    <row r="7195" spans="1:40" x14ac:dyDescent="0.25">
      <c r="A7195" t="str">
        <f>"20190312155016083"</f>
        <v>20190312155016083</v>
      </c>
      <c r="B7195" t="str">
        <f>"1552377016072779"</f>
        <v>1552377016072779</v>
      </c>
      <c r="C7195" t="s">
        <v>40</v>
      </c>
      <c r="D7195">
        <v>4.7535069999999999</v>
      </c>
      <c r="E7195">
        <v>0.52601249999999999</v>
      </c>
      <c r="F7195" t="s">
        <v>42</v>
      </c>
      <c r="G7195">
        <v>-184.73679999999999</v>
      </c>
      <c r="H7195" s="1">
        <v>-3.3982010000000002E-6</v>
      </c>
      <c r="I7195">
        <v>35.377830000000003</v>
      </c>
      <c r="J7195">
        <v>-188.43039999999999</v>
      </c>
      <c r="K7195">
        <v>1.10853</v>
      </c>
      <c r="L7195">
        <v>5.1654049999999998</v>
      </c>
      <c r="M7195">
        <v>3.2191989999999998E-3</v>
      </c>
      <c r="N7195">
        <v>0</v>
      </c>
      <c r="O7195">
        <v>0.99998880000000001</v>
      </c>
      <c r="P7195">
        <v>5.7644130000000002E-2</v>
      </c>
      <c r="Q7195">
        <v>8.1302669999999994E-2</v>
      </c>
      <c r="R7195">
        <v>0.99502109999999999</v>
      </c>
      <c r="S7195">
        <v>0.36332700000000001</v>
      </c>
      <c r="T7195">
        <v>-0.1090127</v>
      </c>
      <c r="U7195">
        <v>3.0029599999999999</v>
      </c>
      <c r="V7195">
        <v>5.4478449999999998E-2</v>
      </c>
      <c r="W7195">
        <v>8.472557E-2</v>
      </c>
      <c r="X7195">
        <v>0.99491390000000002</v>
      </c>
      <c r="Y7195">
        <v>0.1168392</v>
      </c>
      <c r="Z7195">
        <v>-3.6022159999999998E-2</v>
      </c>
      <c r="AA7195">
        <v>0.99249739999999997</v>
      </c>
      <c r="AB7195">
        <v>33</v>
      </c>
      <c r="AC7195">
        <v>3.6936</v>
      </c>
      <c r="AD7195">
        <v>-1.1085333982009999</v>
      </c>
      <c r="AE7195">
        <v>30.212425</v>
      </c>
      <c r="AF7195">
        <v>3.5915565290767901</v>
      </c>
      <c r="AG7195">
        <v>-1.1085333982009999</v>
      </c>
      <c r="AH7195">
        <v>30.184121914355</v>
      </c>
      <c r="AI7195">
        <v>92.088563068493997</v>
      </c>
      <c r="AJ7195">
        <v>83.214378228355002</v>
      </c>
      <c r="AK7195">
        <v>30.417253990738999</v>
      </c>
      <c r="AL7195">
        <v>85.139755718275893</v>
      </c>
      <c r="AM7195">
        <v>86.865787864945304</v>
      </c>
      <c r="AN7195">
        <v>0.99999999606971801</v>
      </c>
    </row>
    <row r="7196" spans="1:40" x14ac:dyDescent="0.25">
      <c r="A7196" t="str">
        <f>"20190312155016104"</f>
        <v>20190312155016104</v>
      </c>
      <c r="B7196" t="str">
        <f>"1552377016093275"</f>
        <v>1552377016093275</v>
      </c>
      <c r="C7196" t="s">
        <v>40</v>
      </c>
      <c r="D7196">
        <v>4.7431419999999997</v>
      </c>
      <c r="E7196">
        <v>0.52606390000000003</v>
      </c>
      <c r="F7196" t="s">
        <v>42</v>
      </c>
      <c r="G7196">
        <v>-184.75129999999999</v>
      </c>
      <c r="H7196" s="1">
        <v>-3.4898180000000001E-6</v>
      </c>
      <c r="I7196">
        <v>35.597369999999998</v>
      </c>
      <c r="J7196">
        <v>-188.42930000000001</v>
      </c>
      <c r="K7196">
        <v>1.1085130000000001</v>
      </c>
      <c r="L7196">
        <v>5.4638059999999999</v>
      </c>
      <c r="M7196">
        <v>3.389123E-3</v>
      </c>
      <c r="N7196">
        <v>0</v>
      </c>
      <c r="O7196">
        <v>0.99998849999999995</v>
      </c>
      <c r="P7196">
        <v>5.7928720000000003E-2</v>
      </c>
      <c r="Q7196">
        <v>7.9749070000000005E-2</v>
      </c>
      <c r="R7196">
        <v>0.99513030000000002</v>
      </c>
      <c r="S7196">
        <v>0.3630371</v>
      </c>
      <c r="T7196">
        <v>-0.1093866</v>
      </c>
      <c r="U7196">
        <v>3.0029300000000001</v>
      </c>
      <c r="V7196">
        <v>5.4592790000000002E-2</v>
      </c>
      <c r="W7196">
        <v>8.3110500000000004E-2</v>
      </c>
      <c r="X7196">
        <v>0.99504389999999998</v>
      </c>
      <c r="Y7196">
        <v>0.11657670000000001</v>
      </c>
      <c r="Z7196">
        <v>-3.6146640000000001E-2</v>
      </c>
      <c r="AA7196">
        <v>0.99252370000000001</v>
      </c>
      <c r="AB7196">
        <v>33</v>
      </c>
      <c r="AC7196">
        <v>3.6780000000000199</v>
      </c>
      <c r="AD7196">
        <v>-1.10851648981799</v>
      </c>
      <c r="AE7196">
        <v>30.133564</v>
      </c>
      <c r="AF7196">
        <v>3.5710902361621102</v>
      </c>
      <c r="AG7196">
        <v>-1.10851648981799</v>
      </c>
      <c r="AH7196">
        <v>30.105713195563801</v>
      </c>
      <c r="AI7196">
        <v>92.094056536272305</v>
      </c>
      <c r="AJ7196">
        <v>83.235277852430897</v>
      </c>
      <c r="AK7196">
        <v>30.3370311879154</v>
      </c>
      <c r="AL7196">
        <v>85.232620223253903</v>
      </c>
      <c r="AM7196">
        <v>86.8596324136834</v>
      </c>
      <c r="AN7196">
        <v>1.0000000454287199</v>
      </c>
    </row>
    <row r="7197" spans="1:40" x14ac:dyDescent="0.25">
      <c r="A7197" t="str">
        <f>"20190312155016125"</f>
        <v>20190312155016125</v>
      </c>
      <c r="B7197" t="str">
        <f>"1552377016112795"</f>
        <v>1552377016112795</v>
      </c>
      <c r="C7197" t="s">
        <v>40</v>
      </c>
      <c r="D7197">
        <v>4.7858970000000003</v>
      </c>
      <c r="E7197">
        <v>0.5263253</v>
      </c>
      <c r="F7197" t="s">
        <v>42</v>
      </c>
      <c r="G7197">
        <v>-184.92080000000001</v>
      </c>
      <c r="H7197" s="1">
        <v>-2.9630139999999998E-6</v>
      </c>
      <c r="I7197">
        <v>34.383740000000003</v>
      </c>
      <c r="J7197">
        <v>-188.428</v>
      </c>
      <c r="K7197">
        <v>1.108501</v>
      </c>
      <c r="L7197">
        <v>5.780945</v>
      </c>
      <c r="M7197">
        <v>3.5694329999999999E-3</v>
      </c>
      <c r="N7197">
        <v>0</v>
      </c>
      <c r="O7197">
        <v>0.99998799999999999</v>
      </c>
      <c r="P7197">
        <v>5.7865769999999997E-2</v>
      </c>
      <c r="Q7197">
        <v>7.9284679999999996E-2</v>
      </c>
      <c r="R7197">
        <v>0.99517109999999998</v>
      </c>
      <c r="S7197">
        <v>0.36427310000000002</v>
      </c>
      <c r="T7197">
        <v>-0.1150944</v>
      </c>
      <c r="U7197">
        <v>3.0026860000000002</v>
      </c>
      <c r="V7197">
        <v>5.4349889999999998E-2</v>
      </c>
      <c r="W7197">
        <v>8.2589220000000005E-2</v>
      </c>
      <c r="X7197">
        <v>0.9951006</v>
      </c>
      <c r="Y7197">
        <v>0.1168014</v>
      </c>
      <c r="Z7197">
        <v>-3.8031710000000003E-2</v>
      </c>
      <c r="AA7197">
        <v>0.99242680000000005</v>
      </c>
      <c r="AB7197">
        <v>33</v>
      </c>
      <c r="AC7197">
        <v>3.5071999999999801</v>
      </c>
      <c r="AD7197">
        <v>-1.1085039630139999</v>
      </c>
      <c r="AE7197">
        <v>28.602795</v>
      </c>
      <c r="AF7197">
        <v>3.40005023483375</v>
      </c>
      <c r="AG7197">
        <v>-1.1085039630139999</v>
      </c>
      <c r="AH7197">
        <v>28.572852044489899</v>
      </c>
      <c r="AI7197">
        <v>92.206166794421605</v>
      </c>
      <c r="AJ7197">
        <v>83.213951290497306</v>
      </c>
      <c r="AK7197">
        <v>28.795780881784101</v>
      </c>
      <c r="AL7197">
        <v>85.262590409719493</v>
      </c>
      <c r="AM7197">
        <v>86.873754875553402</v>
      </c>
      <c r="AN7197">
        <v>1.00000004696178</v>
      </c>
    </row>
    <row r="7198" spans="1:40" x14ac:dyDescent="0.25">
      <c r="A7198" t="str">
        <f>"20190312155016147"</f>
        <v>20190312155016147</v>
      </c>
      <c r="B7198" t="str">
        <f>"1552377016143052"</f>
        <v>1552377016143052</v>
      </c>
      <c r="C7198" t="s">
        <v>40</v>
      </c>
      <c r="D7198">
        <v>4.7489589999999904</v>
      </c>
      <c r="E7198">
        <v>0.52647969999999999</v>
      </c>
      <c r="F7198" t="s">
        <v>42</v>
      </c>
      <c r="G7198">
        <v>-184.9443</v>
      </c>
      <c r="H7198" s="1">
        <v>-2.9446370000000001E-6</v>
      </c>
      <c r="I7198">
        <v>34.34807</v>
      </c>
      <c r="J7198">
        <v>-188.42660000000001</v>
      </c>
      <c r="K7198">
        <v>1.1084940000000001</v>
      </c>
      <c r="L7198">
        <v>6.1197509999999999</v>
      </c>
      <c r="M7198">
        <v>3.75844E-3</v>
      </c>
      <c r="N7198">
        <v>0</v>
      </c>
      <c r="O7198">
        <v>0.99998750000000003</v>
      </c>
      <c r="P7198">
        <v>5.7620039999999997E-2</v>
      </c>
      <c r="Q7198">
        <v>7.9414990000000005E-2</v>
      </c>
      <c r="R7198">
        <v>0.99517489999999997</v>
      </c>
      <c r="S7198">
        <v>0.36616520000000002</v>
      </c>
      <c r="T7198">
        <v>-0.1165099</v>
      </c>
      <c r="U7198">
        <v>3.0025629999999999</v>
      </c>
      <c r="V7198">
        <v>5.3915869999999998E-2</v>
      </c>
      <c r="W7198">
        <v>8.2664299999999996E-2</v>
      </c>
      <c r="X7198">
        <v>0.9951179</v>
      </c>
      <c r="Y7198">
        <v>0.11723260000000001</v>
      </c>
      <c r="Z7198">
        <v>-3.8497820000000002E-2</v>
      </c>
      <c r="AA7198">
        <v>0.99235799999999996</v>
      </c>
      <c r="AB7198">
        <v>33</v>
      </c>
      <c r="AC7198">
        <v>3.4823</v>
      </c>
      <c r="AD7198">
        <v>-1.1084969446369899</v>
      </c>
      <c r="AE7198">
        <v>28.228318999999999</v>
      </c>
      <c r="AF7198">
        <v>3.3710599586378498</v>
      </c>
      <c r="AG7198">
        <v>-1.1084969446369899</v>
      </c>
      <c r="AH7198">
        <v>28.198376169380701</v>
      </c>
      <c r="AI7198">
        <v>92.235276125533701</v>
      </c>
      <c r="AJ7198">
        <v>83.182757040071905</v>
      </c>
      <c r="AK7198">
        <v>28.420788682070398</v>
      </c>
      <c r="AL7198">
        <v>85.258273522717502</v>
      </c>
      <c r="AM7198">
        <v>86.898724901679003</v>
      </c>
      <c r="AN7198">
        <v>0.99999997121637796</v>
      </c>
    </row>
    <row r="7199" spans="1:40" x14ac:dyDescent="0.25">
      <c r="A7199" t="str">
        <f>"20190312155016182"</f>
        <v>20190312155016182</v>
      </c>
      <c r="B7199" t="str">
        <f>"1552377016173308"</f>
        <v>1552377016173308</v>
      </c>
      <c r="C7199" t="s">
        <v>40</v>
      </c>
      <c r="D7199">
        <v>4.7462980000000003</v>
      </c>
      <c r="E7199">
        <v>0.52673419999999904</v>
      </c>
      <c r="F7199" t="s">
        <v>42</v>
      </c>
      <c r="G7199">
        <v>-184.97</v>
      </c>
      <c r="H7199" s="1">
        <v>-2.9653740000000001E-6</v>
      </c>
      <c r="I7199">
        <v>34.429109999999902</v>
      </c>
      <c r="J7199">
        <v>-188.42439999999999</v>
      </c>
      <c r="K7199">
        <v>1.108474</v>
      </c>
      <c r="L7199">
        <v>6.6388850000000001</v>
      </c>
      <c r="M7199">
        <v>4.0379450000000002E-3</v>
      </c>
      <c r="N7199">
        <v>0</v>
      </c>
      <c r="O7199">
        <v>0.99998659999999995</v>
      </c>
      <c r="P7199">
        <v>5.8233939999999998E-2</v>
      </c>
      <c r="Q7199">
        <v>7.7481229999999998E-2</v>
      </c>
      <c r="R7199">
        <v>0.9952917</v>
      </c>
      <c r="S7199">
        <v>0.36663820000000003</v>
      </c>
      <c r="T7199">
        <v>-0.11757479999999999</v>
      </c>
      <c r="U7199">
        <v>3.0026860000000002</v>
      </c>
      <c r="V7199">
        <v>5.4249409999999998E-2</v>
      </c>
      <c r="W7199">
        <v>8.0658759999999996E-2</v>
      </c>
      <c r="X7199">
        <v>0.99526440000000005</v>
      </c>
      <c r="Y7199">
        <v>0.1171026</v>
      </c>
      <c r="Z7199">
        <v>-3.8847449999999999E-2</v>
      </c>
      <c r="AA7199">
        <v>0.99235980000000001</v>
      </c>
      <c r="AB7199">
        <v>33</v>
      </c>
      <c r="AC7199">
        <v>3.4543999999999899</v>
      </c>
      <c r="AD7199">
        <v>-1.1084769653740001</v>
      </c>
      <c r="AE7199">
        <v>27.7902249999999</v>
      </c>
      <c r="AF7199">
        <v>3.33692759125003</v>
      </c>
      <c r="AG7199">
        <v>-1.1084769653740001</v>
      </c>
      <c r="AH7199">
        <v>27.7604524493082</v>
      </c>
      <c r="AI7199">
        <v>92.270284397009405</v>
      </c>
      <c r="AJ7199">
        <v>83.145683768206197</v>
      </c>
      <c r="AK7199">
        <v>27.982253789184099</v>
      </c>
      <c r="AL7199">
        <v>85.373567864293605</v>
      </c>
      <c r="AM7199">
        <v>86.880035676750097</v>
      </c>
      <c r="AN7199">
        <v>1.00000002997872</v>
      </c>
    </row>
    <row r="7200" spans="1:40" x14ac:dyDescent="0.25">
      <c r="A7200" t="str">
        <f>"20190312155016203"</f>
        <v>20190312155016203</v>
      </c>
      <c r="B7200" t="str">
        <f>"1552377016192828"</f>
        <v>1552377016192828</v>
      </c>
      <c r="C7200" t="s">
        <v>40</v>
      </c>
      <c r="D7200">
        <v>4.7617979999999998</v>
      </c>
      <c r="E7200">
        <v>0.5268834</v>
      </c>
      <c r="F7200" t="s">
        <v>42</v>
      </c>
      <c r="G7200">
        <v>-185.07679999999999</v>
      </c>
      <c r="H7200" s="1">
        <v>-2.707044E-6</v>
      </c>
      <c r="I7200">
        <v>33.753540000000001</v>
      </c>
      <c r="J7200">
        <v>-188.423</v>
      </c>
      <c r="K7200">
        <v>1.1084579999999999</v>
      </c>
      <c r="L7200">
        <v>6.9569700000000001</v>
      </c>
      <c r="M7200">
        <v>4.2011729999999999E-3</v>
      </c>
      <c r="N7200">
        <v>0</v>
      </c>
      <c r="O7200">
        <v>0.99998609999999999</v>
      </c>
      <c r="P7200">
        <v>5.9253430000000003E-2</v>
      </c>
      <c r="Q7200">
        <v>7.5484109999999993E-2</v>
      </c>
      <c r="R7200">
        <v>0.99538490000000002</v>
      </c>
      <c r="S7200">
        <v>0.37063600000000002</v>
      </c>
      <c r="T7200">
        <v>-0.12272810000000001</v>
      </c>
      <c r="U7200">
        <v>3.002075</v>
      </c>
      <c r="V7200">
        <v>5.510441E-2</v>
      </c>
      <c r="W7200">
        <v>7.8625329999999993E-2</v>
      </c>
      <c r="X7200">
        <v>0.99538009999999999</v>
      </c>
      <c r="Y7200">
        <v>0.1182583</v>
      </c>
      <c r="Z7200">
        <v>-4.0549450000000001E-2</v>
      </c>
      <c r="AA7200">
        <v>0.9921546</v>
      </c>
      <c r="AB7200">
        <v>34</v>
      </c>
      <c r="AC7200">
        <v>3.3462000000000098</v>
      </c>
      <c r="AD7200">
        <v>-1.108460707044</v>
      </c>
      <c r="AE7200">
        <v>26.796569999999999</v>
      </c>
      <c r="AF7200">
        <v>3.22815390415089</v>
      </c>
      <c r="AG7200">
        <v>-1.108460707044</v>
      </c>
      <c r="AH7200">
        <v>26.765295941582199</v>
      </c>
      <c r="AI7200">
        <v>92.354454564255207</v>
      </c>
      <c r="AJ7200">
        <v>83.122792600672796</v>
      </c>
      <c r="AK7200">
        <v>26.982044577985999</v>
      </c>
      <c r="AL7200">
        <v>85.490445922665501</v>
      </c>
      <c r="AM7200">
        <v>86.831330412021202</v>
      </c>
      <c r="AN7200">
        <v>0.99999999099753301</v>
      </c>
    </row>
    <row r="7201" spans="1:40" x14ac:dyDescent="0.25">
      <c r="A7201" t="str">
        <f>"20190312155016228"</f>
        <v>20190312155016228</v>
      </c>
      <c r="B7201" t="str">
        <f>"1552377016223084"</f>
        <v>1552377016223084</v>
      </c>
      <c r="C7201" t="s">
        <v>40</v>
      </c>
      <c r="D7201">
        <v>4.7667250000000001</v>
      </c>
      <c r="E7201">
        <v>0.52700119999999995</v>
      </c>
      <c r="F7201" t="s">
        <v>42</v>
      </c>
      <c r="G7201">
        <v>-185.20939999999999</v>
      </c>
      <c r="H7201" s="1">
        <v>-2.312966E-6</v>
      </c>
      <c r="I7201">
        <v>32.699210000000001</v>
      </c>
      <c r="J7201">
        <v>-188.4212</v>
      </c>
      <c r="K7201">
        <v>1.1084560000000001</v>
      </c>
      <c r="L7201">
        <v>7.3382569999999996</v>
      </c>
      <c r="M7201">
        <v>4.3797189999999998E-3</v>
      </c>
      <c r="N7201">
        <v>0</v>
      </c>
      <c r="O7201">
        <v>0.99998549999999997</v>
      </c>
      <c r="P7201">
        <v>6.0146699999999997E-2</v>
      </c>
      <c r="Q7201">
        <v>7.4602959999999996E-2</v>
      </c>
      <c r="R7201">
        <v>0.9953978</v>
      </c>
      <c r="S7201">
        <v>0.3746796</v>
      </c>
      <c r="T7201">
        <v>-0.12924040000000001</v>
      </c>
      <c r="U7201">
        <v>3.001404</v>
      </c>
      <c r="V7201">
        <v>5.5817890000000002E-2</v>
      </c>
      <c r="W7201">
        <v>7.7710230000000005E-2</v>
      </c>
      <c r="X7201">
        <v>0.99541219999999997</v>
      </c>
      <c r="Y7201">
        <v>0.11941309999999999</v>
      </c>
      <c r="Z7201">
        <v>-4.2700189999999999E-2</v>
      </c>
      <c r="AA7201">
        <v>0.99192599999999997</v>
      </c>
      <c r="AB7201">
        <v>34</v>
      </c>
      <c r="AC7201">
        <v>3.21180000000001</v>
      </c>
      <c r="AD7201">
        <v>-1.1084583129659999</v>
      </c>
      <c r="AE7201">
        <v>25.360952999999999</v>
      </c>
      <c r="AF7201">
        <v>3.0948759057955502</v>
      </c>
      <c r="AG7201">
        <v>-1.1084583129659999</v>
      </c>
      <c r="AH7201">
        <v>25.327157219573898</v>
      </c>
      <c r="AI7201">
        <v>92.487505939634005</v>
      </c>
      <c r="AJ7201">
        <v>83.033226688330203</v>
      </c>
      <c r="AK7201">
        <v>25.539612947906502</v>
      </c>
      <c r="AL7201">
        <v>85.543038174951803</v>
      </c>
      <c r="AM7201">
        <v>86.790491679610199</v>
      </c>
      <c r="AN7201">
        <v>0.99999998229977205</v>
      </c>
    </row>
    <row r="7202" spans="1:40" x14ac:dyDescent="0.25">
      <c r="A7202" t="str">
        <f>"20190312155016250"</f>
        <v>20190312155016250</v>
      </c>
      <c r="B7202" t="str">
        <f>"1552377016242604"</f>
        <v>1552377016242604</v>
      </c>
      <c r="C7202" t="s">
        <v>40</v>
      </c>
      <c r="D7202">
        <v>4.7604449999999998</v>
      </c>
      <c r="E7202">
        <v>0.52718030000000005</v>
      </c>
      <c r="F7202" t="s">
        <v>42</v>
      </c>
      <c r="G7202">
        <v>-185.2714</v>
      </c>
      <c r="H7202" s="1">
        <v>-2.177474E-6</v>
      </c>
      <c r="I7202">
        <v>32.349539999999998</v>
      </c>
      <c r="J7202">
        <v>-188.4196</v>
      </c>
      <c r="K7202">
        <v>1.1084670000000001</v>
      </c>
      <c r="L7202">
        <v>7.6740110000000001</v>
      </c>
      <c r="M7202">
        <v>4.518312E-3</v>
      </c>
      <c r="N7202">
        <v>0</v>
      </c>
      <c r="O7202">
        <v>0.99998489999999995</v>
      </c>
      <c r="P7202">
        <v>6.09651999999999E-2</v>
      </c>
      <c r="Q7202">
        <v>7.6701660000000005E-2</v>
      </c>
      <c r="R7202">
        <v>0.99518850000000003</v>
      </c>
      <c r="S7202">
        <v>0.37792969999999998</v>
      </c>
      <c r="T7202">
        <v>-0.13299949999999999</v>
      </c>
      <c r="U7202">
        <v>3.001007</v>
      </c>
      <c r="V7202">
        <v>5.6498039999999999E-2</v>
      </c>
      <c r="W7202">
        <v>7.9786579999999996E-2</v>
      </c>
      <c r="X7202">
        <v>0.99520960000000003</v>
      </c>
      <c r="Y7202">
        <v>0.12034250000000001</v>
      </c>
      <c r="Z7202">
        <v>-4.3940100000000003E-2</v>
      </c>
      <c r="AA7202">
        <v>0.99175950000000002</v>
      </c>
      <c r="AB7202">
        <v>34</v>
      </c>
      <c r="AC7202">
        <v>3.1482000000000001</v>
      </c>
      <c r="AD7202">
        <v>-1.1084691774740001</v>
      </c>
      <c r="AE7202">
        <v>24.675529000000001</v>
      </c>
      <c r="AF7202">
        <v>3.0306577649547699</v>
      </c>
      <c r="AG7202">
        <v>-1.1084691774740001</v>
      </c>
      <c r="AH7202">
        <v>24.640574269512399</v>
      </c>
      <c r="AI7202">
        <v>92.556505606923494</v>
      </c>
      <c r="AJ7202">
        <v>82.988144250735402</v>
      </c>
      <c r="AK7202">
        <v>24.850985709565901</v>
      </c>
      <c r="AL7202">
        <v>85.423701714341703</v>
      </c>
      <c r="AM7202">
        <v>86.750806654564101</v>
      </c>
      <c r="AN7202">
        <v>1.0000000374020399</v>
      </c>
    </row>
    <row r="7203" spans="1:40" x14ac:dyDescent="0.25">
      <c r="A7203" t="str">
        <f>"20190312155016270"</f>
        <v>20190312155016270</v>
      </c>
      <c r="B7203" t="str">
        <f>"1552377016263100"</f>
        <v>1552377016263100</v>
      </c>
      <c r="C7203" t="s">
        <v>40</v>
      </c>
      <c r="D7203">
        <v>4.7627639999999998</v>
      </c>
      <c r="E7203">
        <v>0.52728260000000005</v>
      </c>
      <c r="F7203" t="s">
        <v>42</v>
      </c>
      <c r="G7203">
        <v>-185.0754</v>
      </c>
      <c r="H7203" s="1">
        <v>-2.774152E-6</v>
      </c>
      <c r="I7203">
        <v>33.949640000000002</v>
      </c>
      <c r="J7203">
        <v>-188.41810000000001</v>
      </c>
      <c r="K7203">
        <v>1.108476</v>
      </c>
      <c r="L7203">
        <v>7.990723</v>
      </c>
      <c r="M7203">
        <v>4.633748E-3</v>
      </c>
      <c r="N7203">
        <v>0</v>
      </c>
      <c r="O7203">
        <v>0.9999844</v>
      </c>
      <c r="P7203">
        <v>6.1828330000000001E-2</v>
      </c>
      <c r="Q7203">
        <v>7.9331589999999994E-2</v>
      </c>
      <c r="R7203">
        <v>0.99492899999999995</v>
      </c>
      <c r="S7203">
        <v>0.38192749999999998</v>
      </c>
      <c r="T7203">
        <v>-0.12659480000000001</v>
      </c>
      <c r="U7203">
        <v>3.0008539999999999</v>
      </c>
      <c r="V7203">
        <v>5.7246060000000001E-2</v>
      </c>
      <c r="W7203">
        <v>8.2400080000000001E-2</v>
      </c>
      <c r="X7203">
        <v>0.9949538</v>
      </c>
      <c r="Y7203">
        <v>0.121546</v>
      </c>
      <c r="Z7203">
        <v>-4.1823440000000003E-2</v>
      </c>
      <c r="AA7203">
        <v>0.99170429999999998</v>
      </c>
      <c r="AB7203">
        <v>34</v>
      </c>
      <c r="AC7203">
        <v>3.3426999999999998</v>
      </c>
      <c r="AD7203">
        <v>-1.1084787741519999</v>
      </c>
      <c r="AE7203">
        <v>25.958917</v>
      </c>
      <c r="AF7203">
        <v>3.2166069576706802</v>
      </c>
      <c r="AG7203">
        <v>-1.1084787741519999</v>
      </c>
      <c r="AH7203">
        <v>25.9276223428975</v>
      </c>
      <c r="AI7203">
        <v>92.429462782605995</v>
      </c>
      <c r="AJ7203">
        <v>82.927962352045995</v>
      </c>
      <c r="AK7203">
        <v>26.149892655014899</v>
      </c>
      <c r="AL7203">
        <v>85.273464052891498</v>
      </c>
      <c r="AM7203">
        <v>86.707037614148902</v>
      </c>
      <c r="AN7203">
        <v>0.99999997435198396</v>
      </c>
    </row>
    <row r="7204" spans="1:40" x14ac:dyDescent="0.25">
      <c r="A7204" t="str">
        <f>"20190312155016293"</f>
        <v>20190312155016293</v>
      </c>
      <c r="B7204" t="str">
        <f>"1552377016283595"</f>
        <v>1552377016283595</v>
      </c>
      <c r="C7204" t="s">
        <v>40</v>
      </c>
      <c r="D7204">
        <v>4.7235519999999998</v>
      </c>
      <c r="E7204">
        <v>0.52733859999999999</v>
      </c>
      <c r="F7204" t="s">
        <v>42</v>
      </c>
      <c r="G7204">
        <v>-184.8074</v>
      </c>
      <c r="H7204" s="1">
        <v>-3.6874259999999999E-6</v>
      </c>
      <c r="I7204">
        <v>36.081180000000003</v>
      </c>
      <c r="J7204">
        <v>-188.41640000000001</v>
      </c>
      <c r="K7204">
        <v>1.108487</v>
      </c>
      <c r="L7204">
        <v>8.3341060000000002</v>
      </c>
      <c r="M7204">
        <v>4.7374260000000003E-3</v>
      </c>
      <c r="N7204">
        <v>0</v>
      </c>
      <c r="O7204">
        <v>0.99998399999999998</v>
      </c>
      <c r="P7204">
        <v>6.2512369999999998E-2</v>
      </c>
      <c r="Q7204">
        <v>7.9088539999999999E-2</v>
      </c>
      <c r="R7204">
        <v>0.9949057</v>
      </c>
      <c r="S7204">
        <v>0.38571169999999999</v>
      </c>
      <c r="T7204">
        <v>-0.1184133</v>
      </c>
      <c r="U7204">
        <v>3.0007630000000001</v>
      </c>
      <c r="V7204">
        <v>5.7823899999999998E-2</v>
      </c>
      <c r="W7204">
        <v>8.2146789999999997E-2</v>
      </c>
      <c r="X7204">
        <v>0.99494139999999998</v>
      </c>
      <c r="Y7204">
        <v>0.1226912</v>
      </c>
      <c r="Z7204">
        <v>-3.9120099999999998E-2</v>
      </c>
      <c r="AA7204">
        <v>0.99167360000000004</v>
      </c>
      <c r="AB7204">
        <v>34</v>
      </c>
      <c r="AC7204">
        <v>3.609</v>
      </c>
      <c r="AD7204">
        <v>-1.1084906874259901</v>
      </c>
      <c r="AE7204">
        <v>27.747074000000001</v>
      </c>
      <c r="AF7204">
        <v>3.4720599826722198</v>
      </c>
      <c r="AG7204">
        <v>-1.1084906874259901</v>
      </c>
      <c r="AH7204">
        <v>27.720354725233101</v>
      </c>
      <c r="AI7204">
        <v>92.272207074647497</v>
      </c>
      <c r="AJ7204">
        <v>82.860706408136494</v>
      </c>
      <c r="AK7204">
        <v>27.9589344972253</v>
      </c>
      <c r="AL7204">
        <v>85.288026197661196</v>
      </c>
      <c r="AM7204">
        <v>86.673831446378799</v>
      </c>
      <c r="AN7204">
        <v>1.00000004397623</v>
      </c>
    </row>
    <row r="7205" spans="1:40" x14ac:dyDescent="0.25">
      <c r="A7205" t="str">
        <f>"20190312155016315"</f>
        <v>20190312155016315</v>
      </c>
      <c r="B7205" t="str">
        <f>"1552377016303116"</f>
        <v>1552377016303116</v>
      </c>
      <c r="C7205" t="s">
        <v>40</v>
      </c>
      <c r="D7205">
        <v>4.7327339999999998</v>
      </c>
      <c r="E7205">
        <v>0.52739939999999996</v>
      </c>
      <c r="F7205" t="s">
        <v>42</v>
      </c>
      <c r="G7205">
        <v>-184.7859</v>
      </c>
      <c r="H7205" s="1">
        <v>-3.8340390000000001E-6</v>
      </c>
      <c r="I7205">
        <v>36.414050000000003</v>
      </c>
      <c r="J7205">
        <v>-188.41470000000001</v>
      </c>
      <c r="K7205">
        <v>1.108498</v>
      </c>
      <c r="L7205">
        <v>8.6819459999999999</v>
      </c>
      <c r="M7205">
        <v>4.8174359999999996E-3</v>
      </c>
      <c r="N7205">
        <v>0</v>
      </c>
      <c r="O7205">
        <v>0.99998370000000003</v>
      </c>
      <c r="P7205">
        <v>6.2994380000000003E-2</v>
      </c>
      <c r="Q7205">
        <v>7.7950259999999993E-2</v>
      </c>
      <c r="R7205">
        <v>0.99496510000000005</v>
      </c>
      <c r="S7205">
        <v>0.3879242</v>
      </c>
      <c r="T7205">
        <v>-0.11844440000000001</v>
      </c>
      <c r="U7205">
        <v>3.000397</v>
      </c>
      <c r="V7205">
        <v>5.8222160000000002E-2</v>
      </c>
      <c r="W7205">
        <v>8.1003809999999996E-2</v>
      </c>
      <c r="X7205">
        <v>0.99501189999999995</v>
      </c>
      <c r="Y7205">
        <v>0.12334630000000001</v>
      </c>
      <c r="Z7205">
        <v>-3.9131649999999997E-2</v>
      </c>
      <c r="AA7205">
        <v>0.99159189999999997</v>
      </c>
      <c r="AB7205">
        <v>34</v>
      </c>
      <c r="AC7205">
        <v>3.6288000000000098</v>
      </c>
      <c r="AD7205">
        <v>-1.108501834039</v>
      </c>
      <c r="AE7205">
        <v>27.732104</v>
      </c>
      <c r="AF7205">
        <v>3.48967787578077</v>
      </c>
      <c r="AG7205">
        <v>-1.108501834039</v>
      </c>
      <c r="AH7205">
        <v>27.705742292063999</v>
      </c>
      <c r="AI7205">
        <v>92.273229935752994</v>
      </c>
      <c r="AJ7205">
        <v>82.821112086229903</v>
      </c>
      <c r="AK7205">
        <v>27.946641729321399</v>
      </c>
      <c r="AL7205">
        <v>85.353733188373397</v>
      </c>
      <c r="AM7205">
        <v>86.651211298417707</v>
      </c>
      <c r="AN7205">
        <v>1.00000005914559</v>
      </c>
    </row>
    <row r="7206" spans="1:40" x14ac:dyDescent="0.25">
      <c r="A7206" t="str">
        <f>"20190312155016337"</f>
        <v>20190312155016337</v>
      </c>
      <c r="B7206" t="str">
        <f>"1552377016333371"</f>
        <v>1552377016333371</v>
      </c>
      <c r="C7206" t="s">
        <v>40</v>
      </c>
      <c r="D7206">
        <v>4.689997</v>
      </c>
      <c r="E7206">
        <v>0.52750719999999995</v>
      </c>
      <c r="F7206" t="s">
        <v>42</v>
      </c>
      <c r="G7206">
        <v>-184.84610000000001</v>
      </c>
      <c r="H7206" s="1">
        <v>-3.7072900000000002E-6</v>
      </c>
      <c r="I7206">
        <v>36.143479999999997</v>
      </c>
      <c r="J7206">
        <v>-188.41300000000001</v>
      </c>
      <c r="K7206">
        <v>1.1085130000000001</v>
      </c>
      <c r="L7206">
        <v>9.0142520000000008</v>
      </c>
      <c r="M7206">
        <v>4.8705889999999998E-3</v>
      </c>
      <c r="N7206">
        <v>0</v>
      </c>
      <c r="O7206">
        <v>0.99998339999999997</v>
      </c>
      <c r="P7206">
        <v>6.3190360000000001E-2</v>
      </c>
      <c r="Q7206">
        <v>7.7205759999999998E-2</v>
      </c>
      <c r="R7206">
        <v>0.99501070000000003</v>
      </c>
      <c r="S7206">
        <v>0.38984679999999999</v>
      </c>
      <c r="T7206">
        <v>-0.1210968</v>
      </c>
      <c r="U7206">
        <v>3</v>
      </c>
      <c r="V7206">
        <v>5.8361280000000001E-2</v>
      </c>
      <c r="W7206">
        <v>8.0259520000000001E-2</v>
      </c>
      <c r="X7206">
        <v>0.99506399999999995</v>
      </c>
      <c r="Y7206">
        <v>0.12393079999999999</v>
      </c>
      <c r="Z7206">
        <v>-4.0008670000000003E-2</v>
      </c>
      <c r="AA7206">
        <v>0.99148400000000003</v>
      </c>
      <c r="AB7206">
        <v>35</v>
      </c>
      <c r="AC7206">
        <v>3.5668999999999702</v>
      </c>
      <c r="AD7206">
        <v>-1.10851670729</v>
      </c>
      <c r="AE7206">
        <v>27.129228000000001</v>
      </c>
      <c r="AF7206">
        <v>3.4290938542176801</v>
      </c>
      <c r="AG7206">
        <v>-1.10851670729</v>
      </c>
      <c r="AH7206">
        <v>27.1017992255933</v>
      </c>
      <c r="AI7206">
        <v>92.323698547492398</v>
      </c>
      <c r="AJ7206">
        <v>82.788887502243099</v>
      </c>
      <c r="AK7206">
        <v>27.340355067477599</v>
      </c>
      <c r="AL7206">
        <v>85.396516881143995</v>
      </c>
      <c r="AM7206">
        <v>86.643403103830494</v>
      </c>
      <c r="AN7206">
        <v>0.99999999682493401</v>
      </c>
    </row>
    <row r="7207" spans="1:40" x14ac:dyDescent="0.25">
      <c r="A7207" t="str">
        <f>"20190312155016360"</f>
        <v>20190312155016360</v>
      </c>
      <c r="B7207" t="str">
        <f>"1552377016352891"</f>
        <v>1552377016352891</v>
      </c>
      <c r="C7207" t="s">
        <v>40</v>
      </c>
      <c r="D7207">
        <v>4.7026640000000004</v>
      </c>
      <c r="E7207">
        <v>0.52759659999999997</v>
      </c>
      <c r="F7207" t="s">
        <v>42</v>
      </c>
      <c r="G7207">
        <v>-184.85769999999999</v>
      </c>
      <c r="H7207" s="1">
        <v>-3.7463290000000002E-6</v>
      </c>
      <c r="I7207">
        <v>36.239280000000001</v>
      </c>
      <c r="J7207">
        <v>-188.4111</v>
      </c>
      <c r="K7207">
        <v>1.1085210000000001</v>
      </c>
      <c r="L7207">
        <v>9.3913879999999992</v>
      </c>
      <c r="M7207">
        <v>4.9090940000000001E-3</v>
      </c>
      <c r="N7207">
        <v>0</v>
      </c>
      <c r="O7207">
        <v>0.99998319999999996</v>
      </c>
      <c r="P7207">
        <v>6.3254820000000003E-2</v>
      </c>
      <c r="Q7207">
        <v>7.6802280000000001E-2</v>
      </c>
      <c r="R7207">
        <v>0.99503779999999997</v>
      </c>
      <c r="S7207">
        <v>0.39172360000000001</v>
      </c>
      <c r="T7207">
        <v>-0.12213549999999999</v>
      </c>
      <c r="U7207">
        <v>2.9996339999999999</v>
      </c>
      <c r="V7207">
        <v>5.8383589999999999E-2</v>
      </c>
      <c r="W7207">
        <v>7.9860730000000005E-2</v>
      </c>
      <c r="X7207">
        <v>0.99509479999999995</v>
      </c>
      <c r="Y7207">
        <v>0.12451619999999999</v>
      </c>
      <c r="Z7207">
        <v>-4.0353029999999998E-2</v>
      </c>
      <c r="AA7207">
        <v>0.99139670000000002</v>
      </c>
      <c r="AB7207">
        <v>35</v>
      </c>
      <c r="AC7207">
        <v>3.5534000000000101</v>
      </c>
      <c r="AD7207">
        <v>-1.10852474632899</v>
      </c>
      <c r="AE7207">
        <v>26.847891999999899</v>
      </c>
      <c r="AF7207">
        <v>3.4158347084081702</v>
      </c>
      <c r="AG7207">
        <v>-1.10852474632899</v>
      </c>
      <c r="AH7207">
        <v>26.820077146184602</v>
      </c>
      <c r="AI7207">
        <v>92.347852288245505</v>
      </c>
      <c r="AJ7207">
        <v>82.741822388741596</v>
      </c>
      <c r="AK7207">
        <v>27.059439979343299</v>
      </c>
      <c r="AL7207">
        <v>85.419439554022105</v>
      </c>
      <c r="AM7207">
        <v>86.642226594248697</v>
      </c>
      <c r="AN7207">
        <v>1.0000000203822299</v>
      </c>
    </row>
    <row r="7208" spans="1:40" x14ac:dyDescent="0.25">
      <c r="A7208" t="str">
        <f>"20190312155016381"</f>
        <v>20190312155016381</v>
      </c>
      <c r="B7208" t="str">
        <f>"1552377016373388"</f>
        <v>1552377016373388</v>
      </c>
      <c r="C7208" t="s">
        <v>40</v>
      </c>
      <c r="D7208">
        <v>4.681527</v>
      </c>
      <c r="E7208">
        <v>0.52759719999999999</v>
      </c>
      <c r="F7208" t="s">
        <v>42</v>
      </c>
      <c r="G7208">
        <v>-184.8629</v>
      </c>
      <c r="H7208" s="1">
        <v>-3.8441670000000001E-6</v>
      </c>
      <c r="I7208">
        <v>36.469520000000003</v>
      </c>
      <c r="J7208">
        <v>-188.40960000000001</v>
      </c>
      <c r="K7208">
        <v>1.1085339999999999</v>
      </c>
      <c r="L7208">
        <v>9.7089540000000003</v>
      </c>
      <c r="M7208">
        <v>4.9280699999999997E-3</v>
      </c>
      <c r="N7208">
        <v>0</v>
      </c>
      <c r="O7208">
        <v>0.99998310000000001</v>
      </c>
      <c r="P7208">
        <v>6.3399689999999995E-2</v>
      </c>
      <c r="Q7208">
        <v>7.7600959999999997E-2</v>
      </c>
      <c r="R7208">
        <v>0.99496660000000003</v>
      </c>
      <c r="S7208">
        <v>0.39303589999999999</v>
      </c>
      <c r="T7208">
        <v>-0.1227915</v>
      </c>
      <c r="U7208">
        <v>2.9994510000000001</v>
      </c>
      <c r="V7208">
        <v>5.8507570000000002E-2</v>
      </c>
      <c r="W7208">
        <v>8.0666360000000006E-2</v>
      </c>
      <c r="X7208">
        <v>0.99502250000000003</v>
      </c>
      <c r="Y7208">
        <v>0.124930399999999</v>
      </c>
      <c r="Z7208">
        <v>-4.056966E-2</v>
      </c>
      <c r="AA7208">
        <v>0.99133570000000004</v>
      </c>
      <c r="AB7208">
        <v>35</v>
      </c>
      <c r="AC7208">
        <v>3.5467000000000102</v>
      </c>
      <c r="AD7208">
        <v>-1.108537844167</v>
      </c>
      <c r="AE7208">
        <v>26.760566000000001</v>
      </c>
      <c r="AF7208">
        <v>3.4090295398183099</v>
      </c>
      <c r="AG7208">
        <v>-1.108537844167</v>
      </c>
      <c r="AH7208">
        <v>26.732638884416701</v>
      </c>
      <c r="AI7208">
        <v>92.355503104268493</v>
      </c>
      <c r="AJ7208">
        <v>82.732688018755596</v>
      </c>
      <c r="AK7208">
        <v>26.9719172525784</v>
      </c>
      <c r="AL7208">
        <v>85.373130790956495</v>
      </c>
      <c r="AM7208">
        <v>86.634868651820398</v>
      </c>
      <c r="AN7208">
        <v>0.99999998644460197</v>
      </c>
    </row>
    <row r="7209" spans="1:40" x14ac:dyDescent="0.25">
      <c r="A7209" t="str">
        <f>"20190312155016404"</f>
        <v>20190312155016404</v>
      </c>
      <c r="B7209" t="str">
        <f>"1552377016392907"</f>
        <v>1552377016392907</v>
      </c>
      <c r="C7209" t="s">
        <v>40</v>
      </c>
      <c r="D7209">
        <v>4.6708470000000002</v>
      </c>
      <c r="E7209">
        <v>0.52758879999999997</v>
      </c>
      <c r="F7209" t="s">
        <v>42</v>
      </c>
      <c r="G7209">
        <v>-184.7586</v>
      </c>
      <c r="H7209" s="1">
        <v>-4.3125319999999998E-6</v>
      </c>
      <c r="I7209">
        <v>37.518149999999999</v>
      </c>
      <c r="J7209">
        <v>-188.40780000000001</v>
      </c>
      <c r="K7209">
        <v>1.108541</v>
      </c>
      <c r="L7209">
        <v>10.07596</v>
      </c>
      <c r="M7209">
        <v>4.9398819999999996E-3</v>
      </c>
      <c r="N7209">
        <v>0</v>
      </c>
      <c r="O7209">
        <v>0.99998299999999996</v>
      </c>
      <c r="P7209">
        <v>6.2570680000000004E-2</v>
      </c>
      <c r="Q7209">
        <v>7.8673989999999999E-2</v>
      </c>
      <c r="R7209">
        <v>0.99493489999999996</v>
      </c>
      <c r="S7209">
        <v>0.39378360000000001</v>
      </c>
      <c r="T7209">
        <v>-0.1195638</v>
      </c>
      <c r="U7209">
        <v>2.9994200000000002</v>
      </c>
      <c r="V7209">
        <v>5.7664899999999998E-2</v>
      </c>
      <c r="W7209">
        <v>8.1749970000000005E-2</v>
      </c>
      <c r="X7209">
        <v>0.99498330000000001</v>
      </c>
      <c r="Y7209">
        <v>0.12516849999999999</v>
      </c>
      <c r="Z7209">
        <v>-3.95041E-2</v>
      </c>
      <c r="AA7209">
        <v>0.99134869999999997</v>
      </c>
      <c r="AB7209">
        <v>35</v>
      </c>
      <c r="AC7209">
        <v>3.6492</v>
      </c>
      <c r="AD7209">
        <v>-1.1085453125319999</v>
      </c>
      <c r="AE7209">
        <v>27.44219</v>
      </c>
      <c r="AF7209">
        <v>3.5079687731267701</v>
      </c>
      <c r="AG7209">
        <v>-1.1085453125319999</v>
      </c>
      <c r="AH7209">
        <v>27.415921670025899</v>
      </c>
      <c r="AI7209">
        <v>92.296752229632801</v>
      </c>
      <c r="AJ7209">
        <v>82.708413416633903</v>
      </c>
      <c r="AK7209">
        <v>27.661660807698599</v>
      </c>
      <c r="AL7209">
        <v>85.310838984700297</v>
      </c>
      <c r="AM7209">
        <v>86.683096427794197</v>
      </c>
      <c r="AN7209">
        <v>1.0000000327829499</v>
      </c>
    </row>
    <row r="7210" spans="1:40" x14ac:dyDescent="0.25">
      <c r="A7210" t="str">
        <f>"20190312155016428"</f>
        <v>20190312155016428</v>
      </c>
      <c r="B7210" t="str">
        <f>"1552377016423165"</f>
        <v>1552377016423165</v>
      </c>
      <c r="C7210" t="s">
        <v>40</v>
      </c>
      <c r="D7210">
        <v>4.7112740000000004</v>
      </c>
      <c r="E7210">
        <v>0.49856699999999998</v>
      </c>
      <c r="F7210" t="s">
        <v>42</v>
      </c>
      <c r="G7210">
        <v>-184.65889999999999</v>
      </c>
      <c r="H7210" s="1">
        <v>-4.8821560000000001E-6</v>
      </c>
      <c r="I7210">
        <v>38.804749999999999</v>
      </c>
      <c r="J7210">
        <v>-188.40600000000001</v>
      </c>
      <c r="K7210">
        <v>1.1085419999999999</v>
      </c>
      <c r="L7210">
        <v>10.4389</v>
      </c>
      <c r="M7210">
        <v>4.9437639999999998E-3</v>
      </c>
      <c r="N7210">
        <v>0</v>
      </c>
      <c r="O7210">
        <v>0.99998299999999996</v>
      </c>
      <c r="P7210">
        <v>6.1500020000000002E-2</v>
      </c>
      <c r="Q7210">
        <v>7.7951380000000001E-2</v>
      </c>
      <c r="R7210">
        <v>0.99505849999999996</v>
      </c>
      <c r="S7210">
        <v>0.39144899999999999</v>
      </c>
      <c r="T7210">
        <v>-0.1157527</v>
      </c>
      <c r="U7210">
        <v>2.9998170000000002</v>
      </c>
      <c r="V7210">
        <v>5.658825E-2</v>
      </c>
      <c r="W7210">
        <v>8.1040890000000004E-2</v>
      </c>
      <c r="X7210">
        <v>0.99510310000000002</v>
      </c>
      <c r="Y7210">
        <v>0.12439550000000001</v>
      </c>
      <c r="Z7210">
        <v>-3.824557E-2</v>
      </c>
      <c r="AA7210">
        <v>0.99149540000000003</v>
      </c>
      <c r="AB7210">
        <v>35</v>
      </c>
      <c r="AC7210">
        <v>3.7470999999999801</v>
      </c>
      <c r="AD7210">
        <v>-1.1085468821559901</v>
      </c>
      <c r="AE7210">
        <v>28.365849999999998</v>
      </c>
      <c r="AF7210">
        <v>3.60141346578179</v>
      </c>
      <c r="AG7210">
        <v>-1.1085468821559901</v>
      </c>
      <c r="AH7210">
        <v>28.341485426221801</v>
      </c>
      <c r="AI7210">
        <v>92.222071013001198</v>
      </c>
      <c r="AJ7210">
        <v>82.7581147574315</v>
      </c>
      <c r="AK7210">
        <v>28.590887557160499</v>
      </c>
      <c r="AL7210">
        <v>85.351601460313901</v>
      </c>
      <c r="AM7210">
        <v>86.745282286631493</v>
      </c>
      <c r="AN7210">
        <v>1.0000000177598301</v>
      </c>
    </row>
    <row r="7211" spans="1:40" x14ac:dyDescent="0.25">
      <c r="A7211" t="str">
        <f>"20190312155016451"</f>
        <v>20190312155016451</v>
      </c>
      <c r="B7211" t="str">
        <f>"1552377016442684"</f>
        <v>1552377016442684</v>
      </c>
      <c r="C7211" t="s">
        <v>40</v>
      </c>
      <c r="D7211">
        <v>4.7424099999999996</v>
      </c>
      <c r="E7211">
        <v>0.4897301</v>
      </c>
      <c r="F7211" t="s">
        <v>42</v>
      </c>
      <c r="G7211">
        <v>-186.14349999999999</v>
      </c>
      <c r="H7211" s="1">
        <v>-2.2534459999999999E-6</v>
      </c>
      <c r="I7211">
        <v>53.25461</v>
      </c>
      <c r="J7211">
        <v>-188.4041</v>
      </c>
      <c r="K7211">
        <v>1.108536</v>
      </c>
      <c r="L7211">
        <v>10.8222</v>
      </c>
      <c r="M7211">
        <v>4.9442430000000001E-3</v>
      </c>
      <c r="N7211">
        <v>0</v>
      </c>
      <c r="O7211">
        <v>0.99998290000000001</v>
      </c>
      <c r="P7211">
        <v>6.0178009999999997E-2</v>
      </c>
      <c r="Q7211">
        <v>7.5719659999999994E-2</v>
      </c>
      <c r="R7211">
        <v>0.99531159999999996</v>
      </c>
      <c r="S7211">
        <v>0.1591187</v>
      </c>
      <c r="T7211">
        <v>-7.7962399999999904E-2</v>
      </c>
      <c r="U7211">
        <v>3.0111690000000002</v>
      </c>
      <c r="V7211">
        <v>5.5263199999999901E-2</v>
      </c>
      <c r="W7211">
        <v>7.8826419999999994E-2</v>
      </c>
      <c r="X7211">
        <v>0.9953554</v>
      </c>
      <c r="Y7211">
        <v>4.781353E-2</v>
      </c>
      <c r="Z7211">
        <v>-2.58491E-2</v>
      </c>
      <c r="AA7211">
        <v>0.99852169999999896</v>
      </c>
      <c r="AB7211">
        <v>36</v>
      </c>
      <c r="AC7211">
        <v>2.2606000000000099</v>
      </c>
      <c r="AD7211">
        <v>-1.108538253446</v>
      </c>
      <c r="AE7211">
        <v>42.432409999999997</v>
      </c>
      <c r="AF7211">
        <v>2.0493804452943101</v>
      </c>
      <c r="AG7211">
        <v>-1.108538253446</v>
      </c>
      <c r="AH7211">
        <v>42.414202375477203</v>
      </c>
      <c r="AI7211">
        <v>91.495398743914393</v>
      </c>
      <c r="AJ7211">
        <v>87.233719077031196</v>
      </c>
      <c r="AK7211">
        <v>42.478151800859202</v>
      </c>
      <c r="AL7211">
        <v>85.478888479733101</v>
      </c>
      <c r="AM7211">
        <v>86.822139499624498</v>
      </c>
      <c r="AN7211">
        <v>0.999999999036708</v>
      </c>
    </row>
    <row r="7212" spans="1:40" x14ac:dyDescent="0.25">
      <c r="A7212" t="str">
        <f>"20190312155016472"</f>
        <v>20190312155016472</v>
      </c>
      <c r="B7212" t="str">
        <f>"1552377016463180"</f>
        <v>1552377016463180</v>
      </c>
      <c r="C7212" t="s">
        <v>40</v>
      </c>
      <c r="D7212">
        <v>4.716863</v>
      </c>
      <c r="E7212">
        <v>0.48597630000000003</v>
      </c>
      <c r="F7212" t="s">
        <v>42</v>
      </c>
      <c r="G7212">
        <v>-187.5258</v>
      </c>
      <c r="H7212" s="1">
        <v>-1.642646E-6</v>
      </c>
      <c r="I7212">
        <v>42.438769999999998</v>
      </c>
      <c r="J7212">
        <v>-188.4024</v>
      </c>
      <c r="K7212">
        <v>1.10853</v>
      </c>
      <c r="L7212">
        <v>11.160130000000001</v>
      </c>
      <c r="M7212">
        <v>4.9434550000000002E-3</v>
      </c>
      <c r="N7212">
        <v>0</v>
      </c>
      <c r="O7212">
        <v>0.99998279999999995</v>
      </c>
      <c r="P7212">
        <v>5.883182E-2</v>
      </c>
      <c r="Q7212">
        <v>7.3058890000000001E-2</v>
      </c>
      <c r="R7212">
        <v>0.99559089999999995</v>
      </c>
      <c r="S7212">
        <v>8.381653E-2</v>
      </c>
      <c r="T7212">
        <v>-0.10578609999999999</v>
      </c>
      <c r="U7212">
        <v>3.0171199999999998</v>
      </c>
      <c r="V7212">
        <v>5.3915459999999998E-2</v>
      </c>
      <c r="W7212">
        <v>7.618366E-2</v>
      </c>
      <c r="X7212">
        <v>0.99563500000000005</v>
      </c>
      <c r="Y7212">
        <v>2.281064E-2</v>
      </c>
      <c r="Z7212">
        <v>-3.5028450000000003E-2</v>
      </c>
      <c r="AA7212">
        <v>0.99912599999999996</v>
      </c>
      <c r="AB7212">
        <v>36</v>
      </c>
      <c r="AC7212">
        <v>0.87659999999999605</v>
      </c>
      <c r="AD7212">
        <v>-1.1085316426459999</v>
      </c>
      <c r="AE7212">
        <v>31.278639999999999</v>
      </c>
      <c r="AF7212">
        <v>0.72105900736866202</v>
      </c>
      <c r="AG7212">
        <v>-1.1085316426459999</v>
      </c>
      <c r="AH7212">
        <v>31.2433793937426</v>
      </c>
      <c r="AI7212">
        <v>92.031491700350699</v>
      </c>
      <c r="AJ7212">
        <v>88.677918135421507</v>
      </c>
      <c r="AK7212">
        <v>31.271353095703901</v>
      </c>
      <c r="AL7212">
        <v>85.630764109769999</v>
      </c>
      <c r="AM7212">
        <v>86.900355985296201</v>
      </c>
      <c r="AN7212">
        <v>0.99999994005150095</v>
      </c>
    </row>
    <row r="7213" spans="1:40" x14ac:dyDescent="0.25">
      <c r="A7213" t="str">
        <f>"20190312155016494"</f>
        <v>20190312155016494</v>
      </c>
      <c r="B7213" t="str">
        <f>"1552377016482700"</f>
        <v>1552377016482700</v>
      </c>
      <c r="C7213" t="s">
        <v>40</v>
      </c>
      <c r="D7213">
        <v>4.6720389999999998</v>
      </c>
      <c r="E7213">
        <v>0.48380230000000002</v>
      </c>
      <c r="F7213" t="s">
        <v>42</v>
      </c>
      <c r="G7213">
        <v>-187.95089999999999</v>
      </c>
      <c r="H7213" s="1">
        <v>-4.2242860000000004E-6</v>
      </c>
      <c r="I7213">
        <v>38.632420000000003</v>
      </c>
      <c r="J7213">
        <v>-188.4007</v>
      </c>
      <c r="K7213">
        <v>1.1085210000000001</v>
      </c>
      <c r="L7213">
        <v>11.504390000000001</v>
      </c>
      <c r="M7213">
        <v>4.9424869999999997E-3</v>
      </c>
      <c r="N7213">
        <v>0</v>
      </c>
      <c r="O7213">
        <v>0.99998279999999995</v>
      </c>
      <c r="P7213">
        <v>5.7749010000000003E-2</v>
      </c>
      <c r="Q7213">
        <v>7.1547490000000005E-2</v>
      </c>
      <c r="R7213">
        <v>0.99576399999999998</v>
      </c>
      <c r="S7213">
        <v>4.9621579999999998E-2</v>
      </c>
      <c r="T7213">
        <v>-0.1218312</v>
      </c>
      <c r="U7213">
        <v>3.0192869999999998</v>
      </c>
      <c r="V7213">
        <v>5.283202E-2</v>
      </c>
      <c r="W7213">
        <v>7.4691590000000002E-2</v>
      </c>
      <c r="X7213">
        <v>0.99580619999999997</v>
      </c>
      <c r="Y7213">
        <v>1.147724E-2</v>
      </c>
      <c r="Z7213">
        <v>-4.0313380000000003E-2</v>
      </c>
      <c r="AA7213">
        <v>0.99912120000000004</v>
      </c>
      <c r="AB7213">
        <v>36</v>
      </c>
      <c r="AC7213">
        <v>0.44980000000001003</v>
      </c>
      <c r="AD7213">
        <v>-1.108525224286</v>
      </c>
      <c r="AE7213">
        <v>27.128029999999999</v>
      </c>
      <c r="AF7213">
        <v>0.31518775792554399</v>
      </c>
      <c r="AG7213">
        <v>-1.108525224286</v>
      </c>
      <c r="AH7213">
        <v>27.0847091962425</v>
      </c>
      <c r="AI7213">
        <v>92.343539849076507</v>
      </c>
      <c r="AJ7213">
        <v>89.333272769348099</v>
      </c>
      <c r="AK7213">
        <v>27.1092169518163</v>
      </c>
      <c r="AL7213">
        <v>85.716498084289697</v>
      </c>
      <c r="AM7213">
        <v>86.963047235010293</v>
      </c>
      <c r="AN7213">
        <v>1.00000002195622</v>
      </c>
    </row>
    <row r="7214" spans="1:40" x14ac:dyDescent="0.25">
      <c r="A7214" t="str">
        <f>"20190312155016516"</f>
        <v>20190312155016516</v>
      </c>
      <c r="B7214" t="str">
        <f>"1552377016512551"</f>
        <v>1552377016512551</v>
      </c>
      <c r="C7214" t="s">
        <v>40</v>
      </c>
      <c r="D7214">
        <v>4.7138280000000004</v>
      </c>
      <c r="E7214">
        <v>0.48173890000000003</v>
      </c>
      <c r="F7214" t="s">
        <v>42</v>
      </c>
      <c r="G7214">
        <v>-188.14680000000001</v>
      </c>
      <c r="H7214" s="1">
        <v>-3.8576869999999998E-6</v>
      </c>
      <c r="I7214">
        <v>37.858870000000003</v>
      </c>
      <c r="J7214">
        <v>-188.3989</v>
      </c>
      <c r="K7214">
        <v>1.1085210000000001</v>
      </c>
      <c r="L7214">
        <v>11.872590000000001</v>
      </c>
      <c r="M7214">
        <v>4.9417439999999997E-3</v>
      </c>
      <c r="N7214">
        <v>0</v>
      </c>
      <c r="O7214">
        <v>0.9999827</v>
      </c>
      <c r="P7214">
        <v>5.6669879999999999E-2</v>
      </c>
      <c r="Q7214">
        <v>7.1329320000000002E-2</v>
      </c>
      <c r="R7214">
        <v>0.99584170000000005</v>
      </c>
      <c r="S7214">
        <v>2.9098510000000001E-2</v>
      </c>
      <c r="T7214">
        <v>-0.12703610000000001</v>
      </c>
      <c r="U7214">
        <v>3.020203</v>
      </c>
      <c r="V7214">
        <v>5.175271E-2</v>
      </c>
      <c r="W7214">
        <v>7.4495210000000006E-2</v>
      </c>
      <c r="X7214">
        <v>0.99587760000000003</v>
      </c>
      <c r="Y7214">
        <v>4.6840079999999999E-3</v>
      </c>
      <c r="Z7214">
        <v>-4.2022980000000001E-2</v>
      </c>
      <c r="AA7214">
        <v>0.99910569999999999</v>
      </c>
      <c r="AB7214">
        <v>36</v>
      </c>
      <c r="AC7214">
        <v>0.252099999999984</v>
      </c>
      <c r="AD7214">
        <v>-1.1085248576869999</v>
      </c>
      <c r="AE7214">
        <v>25.986280000000001</v>
      </c>
      <c r="AF7214">
        <v>0.123454095103709</v>
      </c>
      <c r="AG7214">
        <v>-1.1085248576869999</v>
      </c>
      <c r="AH7214">
        <v>25.940009608372002</v>
      </c>
      <c r="AI7214">
        <v>92.446971221559707</v>
      </c>
      <c r="AJ7214">
        <v>89.727319098331293</v>
      </c>
      <c r="AK7214">
        <v>25.9639782536524</v>
      </c>
      <c r="AL7214">
        <v>85.727781327114897</v>
      </c>
      <c r="AM7214">
        <v>87.025189710791594</v>
      </c>
      <c r="AN7214">
        <v>1.00000003674352</v>
      </c>
    </row>
    <row r="7215" spans="1:40" x14ac:dyDescent="0.25">
      <c r="A7215" t="str">
        <f>"20190312155016537"</f>
        <v>20190312155016537</v>
      </c>
      <c r="B7215" t="str">
        <f>"1552377016533047"</f>
        <v>1552377016533047</v>
      </c>
      <c r="C7215" t="s">
        <v>40</v>
      </c>
      <c r="D7215">
        <v>4.6850050000000003</v>
      </c>
      <c r="E7215">
        <v>0.48089219999999999</v>
      </c>
      <c r="F7215" t="s">
        <v>42</v>
      </c>
      <c r="G7215">
        <v>-188.3177</v>
      </c>
      <c r="H7215" s="1">
        <v>-3.9971759999999998E-6</v>
      </c>
      <c r="I7215">
        <v>38.2547</v>
      </c>
      <c r="J7215">
        <v>-188.3972</v>
      </c>
      <c r="K7215">
        <v>1.108519</v>
      </c>
      <c r="L7215">
        <v>12.22672</v>
      </c>
      <c r="M7215">
        <v>4.9413579999999999E-3</v>
      </c>
      <c r="N7215">
        <v>0</v>
      </c>
      <c r="O7215">
        <v>0.9999827</v>
      </c>
      <c r="P7215">
        <v>5.6173580000000001E-2</v>
      </c>
      <c r="Q7215">
        <v>7.0432499999999995E-2</v>
      </c>
      <c r="R7215">
        <v>0.99593370000000003</v>
      </c>
      <c r="S7215">
        <v>9.292603E-3</v>
      </c>
      <c r="T7215">
        <v>-0.12694030000000001</v>
      </c>
      <c r="U7215">
        <v>3.0210880000000002</v>
      </c>
      <c r="V7215">
        <v>5.1255809999999999E-2</v>
      </c>
      <c r="W7215">
        <v>7.3620710000000006E-2</v>
      </c>
      <c r="X7215">
        <v>0.99596830000000003</v>
      </c>
      <c r="Y7215">
        <v>-1.8682099999999999E-3</v>
      </c>
      <c r="Z7215">
        <v>-4.1980120000000003E-2</v>
      </c>
      <c r="AA7215">
        <v>0.99911669999999997</v>
      </c>
      <c r="AB7215">
        <v>36</v>
      </c>
      <c r="AC7215">
        <v>7.9499999999995893E-2</v>
      </c>
      <c r="AD7215">
        <v>-1.108522997176</v>
      </c>
      <c r="AE7215">
        <v>26.027979999999999</v>
      </c>
      <c r="AF7215">
        <v>-4.9026265690072603E-2</v>
      </c>
      <c r="AG7215">
        <v>-1.108522997176</v>
      </c>
      <c r="AH7215">
        <v>25.980929230883799</v>
      </c>
      <c r="AI7215">
        <v>92.443141142318694</v>
      </c>
      <c r="AJ7215">
        <v>90.108117563858997</v>
      </c>
      <c r="AK7215">
        <v>26.004613254386001</v>
      </c>
      <c r="AL7215">
        <v>85.778024347064004</v>
      </c>
      <c r="AM7215">
        <v>87.053969412510796</v>
      </c>
      <c r="AN7215">
        <v>1.00000001080227</v>
      </c>
    </row>
    <row r="7216" spans="1:40" x14ac:dyDescent="0.25">
      <c r="A7216" t="str">
        <f>"20190312155016562"</f>
        <v>20190312155016562</v>
      </c>
      <c r="B7216" t="str">
        <f>"1552377016552567"</f>
        <v>1552377016552567</v>
      </c>
      <c r="C7216" t="s">
        <v>40</v>
      </c>
      <c r="D7216">
        <v>4.6586210000000001</v>
      </c>
      <c r="E7216">
        <v>0.48012779999999999</v>
      </c>
      <c r="F7216" t="s">
        <v>42</v>
      </c>
      <c r="G7216">
        <v>-188.3854</v>
      </c>
      <c r="H7216" s="1">
        <v>-4.0319780000000003E-6</v>
      </c>
      <c r="I7216">
        <v>38.363799999999998</v>
      </c>
      <c r="J7216">
        <v>-188.39529999999999</v>
      </c>
      <c r="K7216">
        <v>1.1085069999999999</v>
      </c>
      <c r="L7216">
        <v>12.60764</v>
      </c>
      <c r="M7216">
        <v>4.9411589999999997E-3</v>
      </c>
      <c r="N7216">
        <v>0</v>
      </c>
      <c r="O7216">
        <v>0.99998260000000005</v>
      </c>
      <c r="P7216">
        <v>5.5543740000000001E-2</v>
      </c>
      <c r="Q7216">
        <v>6.8364099999999997E-2</v>
      </c>
      <c r="R7216">
        <v>0.99611309999999997</v>
      </c>
      <c r="S7216">
        <v>1.3580319999999999E-3</v>
      </c>
      <c r="T7216">
        <v>-0.12813649999999999</v>
      </c>
      <c r="U7216">
        <v>3.0212400000000001</v>
      </c>
      <c r="V7216">
        <v>5.0624799999999998E-2</v>
      </c>
      <c r="W7216">
        <v>7.1578580000000003E-2</v>
      </c>
      <c r="X7216">
        <v>0.99614939999999996</v>
      </c>
      <c r="Y7216">
        <v>-4.4920990000000003E-3</v>
      </c>
      <c r="Z7216">
        <v>-4.2372800000000002E-2</v>
      </c>
      <c r="AA7216">
        <v>0.99909170000000003</v>
      </c>
      <c r="AB7216">
        <v>36</v>
      </c>
      <c r="AC7216">
        <v>9.8999999999875802E-3</v>
      </c>
      <c r="AD7216">
        <v>-1.1085110319779901</v>
      </c>
      <c r="AE7216">
        <v>25.756160000000001</v>
      </c>
      <c r="AF7216">
        <v>-0.117149065032705</v>
      </c>
      <c r="AG7216">
        <v>-1.1085110319779901</v>
      </c>
      <c r="AH7216">
        <v>25.708274353053501</v>
      </c>
      <c r="AI7216">
        <v>92.468972697615598</v>
      </c>
      <c r="AJ7216">
        <v>90.261087167868496</v>
      </c>
      <c r="AK7216">
        <v>25.732428778164799</v>
      </c>
      <c r="AL7216">
        <v>85.895339308160104</v>
      </c>
      <c r="AM7216">
        <v>87.090703358216004</v>
      </c>
      <c r="AN7216">
        <v>0.99999999530510797</v>
      </c>
    </row>
    <row r="7217" spans="1:40" x14ac:dyDescent="0.25">
      <c r="A7217" t="str">
        <f>"20190312155016584"</f>
        <v>20190312155016584</v>
      </c>
      <c r="B7217" t="str">
        <f>"1552377016573063"</f>
        <v>1552377016573063</v>
      </c>
      <c r="C7217" t="s">
        <v>40</v>
      </c>
      <c r="D7217">
        <v>4.6391739999999997</v>
      </c>
      <c r="E7217">
        <v>0.47952489999999998</v>
      </c>
      <c r="F7217" t="s">
        <v>42</v>
      </c>
      <c r="G7217">
        <v>-188.4502</v>
      </c>
      <c r="H7217" s="1">
        <v>-3.5031259999999998E-6</v>
      </c>
      <c r="I7217">
        <v>37.157829999999997</v>
      </c>
      <c r="J7217">
        <v>-188.39340000000001</v>
      </c>
      <c r="K7217">
        <v>1.1084940000000001</v>
      </c>
      <c r="L7217">
        <v>12.975250000000001</v>
      </c>
      <c r="M7217">
        <v>4.9410010000000004E-3</v>
      </c>
      <c r="N7217">
        <v>0</v>
      </c>
      <c r="O7217">
        <v>0.9999825</v>
      </c>
      <c r="P7217">
        <v>5.5229220000000002E-2</v>
      </c>
      <c r="Q7217">
        <v>6.5024709999999999E-2</v>
      </c>
      <c r="R7217">
        <v>0.99635410000000002</v>
      </c>
      <c r="S7217">
        <v>-6.7596440000000004E-3</v>
      </c>
      <c r="T7217">
        <v>-0.1364272</v>
      </c>
      <c r="U7217">
        <v>3.0214539999999999</v>
      </c>
      <c r="V7217">
        <v>5.0308810000000002E-2</v>
      </c>
      <c r="W7217">
        <v>6.8265069999999997E-2</v>
      </c>
      <c r="X7217">
        <v>0.99639800000000001</v>
      </c>
      <c r="Y7217">
        <v>-7.175921E-3</v>
      </c>
      <c r="Z7217">
        <v>-4.5105409999999999E-2</v>
      </c>
      <c r="AA7217">
        <v>0.99895639999999997</v>
      </c>
      <c r="AB7217">
        <v>36</v>
      </c>
      <c r="AC7217">
        <v>-5.6799999999981303E-2</v>
      </c>
      <c r="AD7217">
        <v>-1.108497503126</v>
      </c>
      <c r="AE7217">
        <v>24.182579999999898</v>
      </c>
      <c r="AF7217">
        <v>-0.17591646017888901</v>
      </c>
      <c r="AG7217">
        <v>-1.108497503126</v>
      </c>
      <c r="AH7217">
        <v>24.131300121987799</v>
      </c>
      <c r="AI7217">
        <v>92.630025227523205</v>
      </c>
      <c r="AJ7217">
        <v>90.417677129705893</v>
      </c>
      <c r="AK7217">
        <v>24.1573872530298</v>
      </c>
      <c r="AL7217">
        <v>86.085655496128197</v>
      </c>
      <c r="AM7217">
        <v>87.109551826232106</v>
      </c>
      <c r="AN7217">
        <v>1.0000000352748599</v>
      </c>
    </row>
    <row r="7218" spans="1:40" x14ac:dyDescent="0.25">
      <c r="A7218" t="str">
        <f>"20190312155016606"</f>
        <v>20190312155016606</v>
      </c>
      <c r="B7218" t="str">
        <f>"1552377016603023"</f>
        <v>1552377016603023</v>
      </c>
      <c r="C7218" t="s">
        <v>40</v>
      </c>
      <c r="D7218">
        <v>4.6412440000000004</v>
      </c>
      <c r="E7218">
        <v>0.47883900000000001</v>
      </c>
      <c r="F7218" t="s">
        <v>42</v>
      </c>
      <c r="G7218">
        <v>-188.4853</v>
      </c>
      <c r="H7218" s="1">
        <v>-3.1257450000000002E-6</v>
      </c>
      <c r="I7218">
        <v>36.292659999999998</v>
      </c>
      <c r="J7218">
        <v>-188.39169999999999</v>
      </c>
      <c r="K7218">
        <v>1.1084750000000001</v>
      </c>
      <c r="L7218">
        <v>13.338900000000001</v>
      </c>
      <c r="M7218">
        <v>4.9407330000000001E-3</v>
      </c>
      <c r="N7218">
        <v>0</v>
      </c>
      <c r="O7218">
        <v>0.99998240000000005</v>
      </c>
      <c r="P7218">
        <v>5.5042180000000003E-2</v>
      </c>
      <c r="Q7218">
        <v>6.2529210000000002E-2</v>
      </c>
      <c r="R7218">
        <v>0.99652419999999997</v>
      </c>
      <c r="S7218">
        <v>-1.190186E-2</v>
      </c>
      <c r="T7218">
        <v>-0.14361660000000001</v>
      </c>
      <c r="U7218">
        <v>3.0209959999999998</v>
      </c>
      <c r="V7218">
        <v>5.0120860000000003E-2</v>
      </c>
      <c r="W7218">
        <v>6.579583E-2</v>
      </c>
      <c r="X7218">
        <v>0.9965735</v>
      </c>
      <c r="Y7218">
        <v>-8.8759129999999992E-3</v>
      </c>
      <c r="Z7218">
        <v>-4.7483860000000003E-2</v>
      </c>
      <c r="AA7218">
        <v>0.99883259999999996</v>
      </c>
      <c r="AB7218">
        <v>37</v>
      </c>
      <c r="AC7218">
        <v>-9.3600000000009204E-2</v>
      </c>
      <c r="AD7218">
        <v>-1.108478125745</v>
      </c>
      <c r="AE7218">
        <v>22.953759999999999</v>
      </c>
      <c r="AF7218">
        <v>-0.20652623765820399</v>
      </c>
      <c r="AG7218">
        <v>-1.108478125745</v>
      </c>
      <c r="AH7218">
        <v>22.899614149888201</v>
      </c>
      <c r="AI7218">
        <v>92.771182328261006</v>
      </c>
      <c r="AJ7218">
        <v>90.516723159082701</v>
      </c>
      <c r="AK7218">
        <v>22.927357131947399</v>
      </c>
      <c r="AL7218">
        <v>86.227451207050194</v>
      </c>
      <c r="AM7218">
        <v>87.120838383491602</v>
      </c>
      <c r="AN7218">
        <v>0.99999996637738797</v>
      </c>
    </row>
    <row r="7219" spans="1:40" x14ac:dyDescent="0.25">
      <c r="A7219" t="str">
        <f>"20190312155016629"</f>
        <v>20190312155016629</v>
      </c>
      <c r="B7219" t="str">
        <f>"1552377016622544"</f>
        <v>1552377016622544</v>
      </c>
      <c r="C7219" t="s">
        <v>40</v>
      </c>
      <c r="D7219">
        <v>4.6309709999999997</v>
      </c>
      <c r="E7219">
        <v>0.47848289999999999</v>
      </c>
      <c r="F7219" t="s">
        <v>42</v>
      </c>
      <c r="G7219">
        <v>-188.5232</v>
      </c>
      <c r="H7219" s="1">
        <v>-2.9250980000000001E-6</v>
      </c>
      <c r="I7219">
        <v>35.840600000000002</v>
      </c>
      <c r="J7219">
        <v>-188.38980000000001</v>
      </c>
      <c r="K7219">
        <v>1.108468</v>
      </c>
      <c r="L7219">
        <v>13.72012</v>
      </c>
      <c r="M7219">
        <v>4.9402680000000003E-3</v>
      </c>
      <c r="N7219">
        <v>0</v>
      </c>
      <c r="O7219">
        <v>0.99998229999999999</v>
      </c>
      <c r="P7219">
        <v>5.450617E-2</v>
      </c>
      <c r="Q7219">
        <v>6.095478E-2</v>
      </c>
      <c r="R7219">
        <v>0.99665119999999896</v>
      </c>
      <c r="S7219">
        <v>-1.7654420000000001E-2</v>
      </c>
      <c r="T7219">
        <v>-0.14880969999999999</v>
      </c>
      <c r="U7219">
        <v>3.0207820000000001</v>
      </c>
      <c r="V7219">
        <v>4.9584469999999999E-2</v>
      </c>
      <c r="W7219">
        <v>6.4250349999999998E-2</v>
      </c>
      <c r="X7219">
        <v>0.99670119999999895</v>
      </c>
      <c r="Y7219">
        <v>-1.077728E-2</v>
      </c>
      <c r="Z7219">
        <v>-4.9199550000000002E-2</v>
      </c>
      <c r="AA7219">
        <v>0.99873080000000003</v>
      </c>
      <c r="AB7219">
        <v>37</v>
      </c>
      <c r="AC7219">
        <v>-0.133399999999994</v>
      </c>
      <c r="AD7219">
        <v>-1.108470925098</v>
      </c>
      <c r="AE7219">
        <v>22.120480000000001</v>
      </c>
      <c r="AF7219">
        <v>-0.24207223306123801</v>
      </c>
      <c r="AG7219">
        <v>-1.108470925098</v>
      </c>
      <c r="AH7219">
        <v>22.064148325773001</v>
      </c>
      <c r="AI7219">
        <v>92.875866375262106</v>
      </c>
      <c r="AJ7219">
        <v>90.628583556964301</v>
      </c>
      <c r="AK7219">
        <v>22.093300977887399</v>
      </c>
      <c r="AL7219">
        <v>86.316188630782506</v>
      </c>
      <c r="AM7219">
        <v>87.151964299901195</v>
      </c>
      <c r="AN7219">
        <v>1.0000000046108699</v>
      </c>
    </row>
    <row r="7220" spans="1:40" x14ac:dyDescent="0.25">
      <c r="A7220" t="str">
        <f>"20190312155016652"</f>
        <v>20190312155016652</v>
      </c>
      <c r="B7220" t="str">
        <f>"1552377016643040"</f>
        <v>1552377016643040</v>
      </c>
      <c r="C7220" t="s">
        <v>40</v>
      </c>
      <c r="D7220">
        <v>4.606992</v>
      </c>
      <c r="E7220">
        <v>0.47815479999999999</v>
      </c>
      <c r="F7220" t="s">
        <v>42</v>
      </c>
      <c r="G7220">
        <v>-188.55240000000001</v>
      </c>
      <c r="H7220" s="1">
        <v>-2.9754259999999998E-6</v>
      </c>
      <c r="I7220">
        <v>35.970019999999998</v>
      </c>
      <c r="J7220">
        <v>-188.3879</v>
      </c>
      <c r="K7220">
        <v>1.108452</v>
      </c>
      <c r="L7220">
        <v>14.106629999999999</v>
      </c>
      <c r="M7220">
        <v>4.939639E-3</v>
      </c>
      <c r="N7220">
        <v>0</v>
      </c>
      <c r="O7220">
        <v>0.99998220000000004</v>
      </c>
      <c r="P7220">
        <v>5.4253259999999998E-2</v>
      </c>
      <c r="Q7220">
        <v>5.7594619999999999E-2</v>
      </c>
      <c r="R7220">
        <v>0.9968648</v>
      </c>
      <c r="S7220">
        <v>-2.207947E-2</v>
      </c>
      <c r="T7220">
        <v>-0.15047759999999999</v>
      </c>
      <c r="U7220">
        <v>3.0204770000000001</v>
      </c>
      <c r="V7220">
        <v>4.9330909999999999E-2</v>
      </c>
      <c r="W7220">
        <v>6.091999E-2</v>
      </c>
      <c r="X7220">
        <v>0.99692289999999995</v>
      </c>
      <c r="Y7220">
        <v>-1.224012E-2</v>
      </c>
      <c r="Z7220">
        <v>-4.9754020000000003E-2</v>
      </c>
      <c r="AA7220">
        <v>0.99868650000000003</v>
      </c>
      <c r="AB7220">
        <v>37</v>
      </c>
      <c r="AC7220">
        <v>-0.164500000000003</v>
      </c>
      <c r="AD7220">
        <v>-1.108454975426</v>
      </c>
      <c r="AE7220">
        <v>21.863389999999999</v>
      </c>
      <c r="AF7220">
        <v>-0.27179726297190898</v>
      </c>
      <c r="AG7220">
        <v>-1.108454975426</v>
      </c>
      <c r="AH7220">
        <v>21.806262989621398</v>
      </c>
      <c r="AI7220">
        <v>92.909726247254298</v>
      </c>
      <c r="AJ7220">
        <v>90.714108129863405</v>
      </c>
      <c r="AK7220">
        <v>21.836108896899098</v>
      </c>
      <c r="AL7220">
        <v>86.507379171922693</v>
      </c>
      <c r="AM7220">
        <v>87.167133597291695</v>
      </c>
      <c r="AN7220">
        <v>1.0000000262037101</v>
      </c>
    </row>
    <row r="7221" spans="1:40" x14ac:dyDescent="0.25">
      <c r="A7221" t="str">
        <f>"20190312155016673"</f>
        <v>20190312155016673</v>
      </c>
      <c r="B7221" t="str">
        <f>"1552377016662560"</f>
        <v>1552377016662560</v>
      </c>
      <c r="C7221" t="s">
        <v>40</v>
      </c>
      <c r="D7221">
        <v>4.6092930000000001</v>
      </c>
      <c r="E7221">
        <v>0.47784080000000001</v>
      </c>
      <c r="F7221" t="s">
        <v>42</v>
      </c>
      <c r="G7221">
        <v>-188.56360000000001</v>
      </c>
      <c r="H7221" s="1">
        <v>-2.656704E-6</v>
      </c>
      <c r="I7221">
        <v>35.231670000000001</v>
      </c>
      <c r="J7221">
        <v>-188.38630000000001</v>
      </c>
      <c r="K7221">
        <v>1.108441</v>
      </c>
      <c r="L7221">
        <v>14.435790000000001</v>
      </c>
      <c r="M7221">
        <v>4.9390049999999998E-3</v>
      </c>
      <c r="N7221">
        <v>0</v>
      </c>
      <c r="O7221">
        <v>0.99998209999999998</v>
      </c>
      <c r="P7221">
        <v>5.4038629999999997E-2</v>
      </c>
      <c r="Q7221">
        <v>5.4336469999999998E-2</v>
      </c>
      <c r="R7221">
        <v>0.99705929999999998</v>
      </c>
      <c r="S7221">
        <v>-2.5115970000000001E-2</v>
      </c>
      <c r="T7221">
        <v>-0.15846060000000001</v>
      </c>
      <c r="U7221">
        <v>3.0199579999999999</v>
      </c>
      <c r="V7221">
        <v>4.9115770000000003E-2</v>
      </c>
      <c r="W7221">
        <v>5.7688440000000001E-2</v>
      </c>
      <c r="X7221">
        <v>0.9971257</v>
      </c>
      <c r="Y7221">
        <v>-1.3243710000000001E-2</v>
      </c>
      <c r="Z7221">
        <v>-5.239489E-2</v>
      </c>
      <c r="AA7221">
        <v>0.99853860000000005</v>
      </c>
      <c r="AB7221">
        <v>37</v>
      </c>
      <c r="AC7221">
        <v>-0.17730000000000201</v>
      </c>
      <c r="AD7221">
        <v>-1.1084436567039999</v>
      </c>
      <c r="AE7221">
        <v>20.79588</v>
      </c>
      <c r="AF7221">
        <v>-0.27921618043473101</v>
      </c>
      <c r="AG7221">
        <v>-1.1084436567039999</v>
      </c>
      <c r="AH7221">
        <v>20.7358442177235</v>
      </c>
      <c r="AI7221">
        <v>93.059581930931003</v>
      </c>
      <c r="AJ7221">
        <v>90.771463257153499</v>
      </c>
      <c r="AK7221">
        <v>20.7673263670893</v>
      </c>
      <c r="AL7221">
        <v>86.692859753682598</v>
      </c>
      <c r="AM7221">
        <v>87.180040914490405</v>
      </c>
      <c r="AN7221">
        <v>0.99999998828640801</v>
      </c>
    </row>
    <row r="7222" spans="1:40" x14ac:dyDescent="0.25">
      <c r="A7222" t="str">
        <f>"20190312155016695"</f>
        <v>20190312155016695</v>
      </c>
      <c r="B7222" t="str">
        <f>"1552377016683056"</f>
        <v>1552377016683056</v>
      </c>
      <c r="C7222" t="s">
        <v>40</v>
      </c>
      <c r="D7222">
        <v>4.5988949999999997</v>
      </c>
      <c r="E7222">
        <v>0.47766720000000001</v>
      </c>
      <c r="F7222" t="s">
        <v>42</v>
      </c>
      <c r="G7222">
        <v>-188.57480000000001</v>
      </c>
      <c r="H7222" s="1">
        <v>-2.39893E-6</v>
      </c>
      <c r="I7222">
        <v>34.635440000000003</v>
      </c>
      <c r="J7222">
        <v>-188.3844</v>
      </c>
      <c r="K7222">
        <v>1.108441</v>
      </c>
      <c r="L7222">
        <v>14.825100000000001</v>
      </c>
      <c r="M7222">
        <v>4.938179E-3</v>
      </c>
      <c r="N7222">
        <v>0</v>
      </c>
      <c r="O7222">
        <v>0.99998209999999998</v>
      </c>
      <c r="P7222">
        <v>5.418622E-2</v>
      </c>
      <c r="Q7222">
        <v>5.3769160000000003E-2</v>
      </c>
      <c r="R7222">
        <v>0.99708209999999997</v>
      </c>
      <c r="S7222">
        <v>-2.818298E-2</v>
      </c>
      <c r="T7222">
        <v>-0.16568829999999901</v>
      </c>
      <c r="U7222">
        <v>3.019409</v>
      </c>
      <c r="V7222">
        <v>4.9264009999999997E-2</v>
      </c>
      <c r="W7222">
        <v>5.7151939999999998E-2</v>
      </c>
      <c r="X7222">
        <v>0.99714930000000002</v>
      </c>
      <c r="Y7222">
        <v>-1.425739E-2</v>
      </c>
      <c r="Z7222">
        <v>-5.4787000000000002E-2</v>
      </c>
      <c r="AA7222">
        <v>0.99839630000000001</v>
      </c>
      <c r="AB7222">
        <v>37</v>
      </c>
      <c r="AC7222">
        <v>-0.190400000000011</v>
      </c>
      <c r="AD7222">
        <v>-1.10844339893</v>
      </c>
      <c r="AE7222">
        <v>19.81034</v>
      </c>
      <c r="AF7222">
        <v>-0.28732579037558997</v>
      </c>
      <c r="AG7222">
        <v>-1.10844339893</v>
      </c>
      <c r="AH7222">
        <v>19.7473406819494</v>
      </c>
      <c r="AI7222">
        <v>93.212374524454802</v>
      </c>
      <c r="AJ7222">
        <v>90.833600524194907</v>
      </c>
      <c r="AK7222">
        <v>19.7805123009345</v>
      </c>
      <c r="AL7222">
        <v>86.723649800955499</v>
      </c>
      <c r="AM7222">
        <v>87.171610417769301</v>
      </c>
      <c r="AN7222">
        <v>1.00000000670876</v>
      </c>
    </row>
    <row r="7223" spans="1:40" x14ac:dyDescent="0.25">
      <c r="A7223" t="str">
        <f>"20190312155016716"</f>
        <v>20190312155016716</v>
      </c>
      <c r="B7223" t="str">
        <f>"1552377016713083"</f>
        <v>1552377016713083</v>
      </c>
      <c r="C7223" t="s">
        <v>40</v>
      </c>
      <c r="D7223">
        <v>4.6129410000000002</v>
      </c>
      <c r="E7223">
        <v>0.4773867</v>
      </c>
      <c r="F7223" t="s">
        <v>42</v>
      </c>
      <c r="G7223">
        <v>-188.57839999999999</v>
      </c>
      <c r="H7223" s="1">
        <v>-2.6465559999999998E-6</v>
      </c>
      <c r="I7223">
        <v>35.21414</v>
      </c>
      <c r="J7223">
        <v>-188.3826</v>
      </c>
      <c r="K7223">
        <v>1.1084400000000001</v>
      </c>
      <c r="L7223">
        <v>15.182499999999999</v>
      </c>
      <c r="M7223">
        <v>4.9373890000000004E-3</v>
      </c>
      <c r="N7223">
        <v>0</v>
      </c>
      <c r="O7223">
        <v>0.99998189999999998</v>
      </c>
      <c r="P7223">
        <v>5.4420900000000001E-2</v>
      </c>
      <c r="Q7223">
        <v>5.3190399999999999E-2</v>
      </c>
      <c r="R7223">
        <v>0.9971004</v>
      </c>
      <c r="S7223">
        <v>-2.8732299999999999E-2</v>
      </c>
      <c r="T7223">
        <v>-0.16413759999999999</v>
      </c>
      <c r="U7223">
        <v>3.019196</v>
      </c>
      <c r="V7223">
        <v>4.9499330000000001E-2</v>
      </c>
      <c r="W7223">
        <v>5.6602079999999999E-2</v>
      </c>
      <c r="X7223">
        <v>0.99716899999999997</v>
      </c>
      <c r="Y7223">
        <v>-1.4439159999999999E-2</v>
      </c>
      <c r="Z7223">
        <v>-5.4279470000000003E-2</v>
      </c>
      <c r="AA7223">
        <v>0.99842140000000001</v>
      </c>
      <c r="AB7223">
        <v>37</v>
      </c>
      <c r="AC7223">
        <v>-0.19579999999999101</v>
      </c>
      <c r="AD7223">
        <v>-1.10844264655599</v>
      </c>
      <c r="AE7223">
        <v>20.031639999999999</v>
      </c>
      <c r="AF7223">
        <v>-0.29380268343370503</v>
      </c>
      <c r="AG7223">
        <v>-1.10844264655599</v>
      </c>
      <c r="AH7223">
        <v>19.9692906125997</v>
      </c>
      <c r="AI7223">
        <v>93.1767342299989</v>
      </c>
      <c r="AJ7223">
        <v>90.842916237056002</v>
      </c>
      <c r="AK7223">
        <v>20.002188197493801</v>
      </c>
      <c r="AL7223">
        <v>86.755205509097095</v>
      </c>
      <c r="AM7223">
        <v>87.158178161717402</v>
      </c>
      <c r="AN7223">
        <v>0.99999999684588703</v>
      </c>
    </row>
    <row r="7224" spans="1:40" x14ac:dyDescent="0.25">
      <c r="A7224" t="str">
        <f>"20190312155016740"</f>
        <v>20190312155016740</v>
      </c>
      <c r="B7224" t="str">
        <f>"1552377016732603"</f>
        <v>1552377016732603</v>
      </c>
      <c r="C7224" t="s">
        <v>40</v>
      </c>
      <c r="D7224">
        <v>4.7637850000000004</v>
      </c>
      <c r="E7224">
        <v>0.47721989999999997</v>
      </c>
      <c r="F7224" t="s">
        <v>42</v>
      </c>
      <c r="G7224">
        <v>-188.58940000000001</v>
      </c>
      <c r="H7224" s="1">
        <v>-2.9225340000000001E-6</v>
      </c>
      <c r="I7224">
        <v>35.862020000000001</v>
      </c>
      <c r="J7224">
        <v>-188.38069999999999</v>
      </c>
      <c r="K7224">
        <v>1.1084350000000001</v>
      </c>
      <c r="L7224">
        <v>15.570919999999999</v>
      </c>
      <c r="M7224">
        <v>4.9365219999999996E-3</v>
      </c>
      <c r="N7224">
        <v>0</v>
      </c>
      <c r="O7224">
        <v>0.99998180000000003</v>
      </c>
      <c r="P7224">
        <v>5.4179770000000002E-2</v>
      </c>
      <c r="Q7224">
        <v>5.3784659999999998E-2</v>
      </c>
      <c r="R7224">
        <v>0.99708160000000001</v>
      </c>
      <c r="S7224">
        <v>-3.0197140000000001E-2</v>
      </c>
      <c r="T7224">
        <v>-0.1618221</v>
      </c>
      <c r="U7224">
        <v>3.019012</v>
      </c>
      <c r="V7224">
        <v>4.9259160000000003E-2</v>
      </c>
      <c r="W7224">
        <v>5.7227149999999997E-2</v>
      </c>
      <c r="X7224">
        <v>0.99714519999999995</v>
      </c>
      <c r="Y7224">
        <v>-1.492367E-2</v>
      </c>
      <c r="Z7224">
        <v>-5.3518870000000003E-2</v>
      </c>
      <c r="AA7224">
        <v>0.99845530000000005</v>
      </c>
      <c r="AB7224">
        <v>38</v>
      </c>
      <c r="AC7224">
        <v>-0.20870000000002101</v>
      </c>
      <c r="AD7224">
        <v>-1.108437922534</v>
      </c>
      <c r="AE7224">
        <v>20.2911</v>
      </c>
      <c r="AF7224">
        <v>-0.30794667844583901</v>
      </c>
      <c r="AG7224">
        <v>-1.108437922534</v>
      </c>
      <c r="AH7224">
        <v>20.2294623950479</v>
      </c>
      <c r="AI7224">
        <v>93.135923000145098</v>
      </c>
      <c r="AJ7224">
        <v>90.872128084759396</v>
      </c>
      <c r="AK7224">
        <v>20.2621473338226</v>
      </c>
      <c r="AL7224">
        <v>86.719333435737894</v>
      </c>
      <c r="AM7224">
        <v>87.171876808666596</v>
      </c>
      <c r="AN7224">
        <v>0.999999980712033</v>
      </c>
    </row>
    <row r="7225" spans="1:40" x14ac:dyDescent="0.25">
      <c r="A7225" t="str">
        <f>"20190312155016763"</f>
        <v>20190312155016763</v>
      </c>
      <c r="B7225" t="str">
        <f>"1552377016753099"</f>
        <v>1552377016753099</v>
      </c>
      <c r="C7225" t="s">
        <v>40</v>
      </c>
      <c r="D7225">
        <v>4.781377</v>
      </c>
      <c r="E7225">
        <v>0.47705940000000002</v>
      </c>
      <c r="F7225" t="s">
        <v>42</v>
      </c>
      <c r="G7225">
        <v>-188.607</v>
      </c>
      <c r="H7225" s="1">
        <v>-3.3710710000000001E-6</v>
      </c>
      <c r="I7225">
        <v>36.914830000000002</v>
      </c>
      <c r="J7225">
        <v>-188.37880000000001</v>
      </c>
      <c r="K7225">
        <v>1.1084430000000001</v>
      </c>
      <c r="L7225">
        <v>15.96411</v>
      </c>
      <c r="M7225">
        <v>4.9356169999999998E-3</v>
      </c>
      <c r="N7225">
        <v>0</v>
      </c>
      <c r="O7225">
        <v>0.99998180000000003</v>
      </c>
      <c r="P7225">
        <v>5.3961629999999997E-2</v>
      </c>
      <c r="Q7225">
        <v>5.4193449999999997E-2</v>
      </c>
      <c r="R7225">
        <v>0.99707129999999999</v>
      </c>
      <c r="S7225">
        <v>-3.2012939999999997E-2</v>
      </c>
      <c r="T7225">
        <v>-0.1567827</v>
      </c>
      <c r="U7225">
        <v>3.0189819999999998</v>
      </c>
      <c r="V7225">
        <v>4.9041979999999999E-2</v>
      </c>
      <c r="W7225">
        <v>5.7668450000000003E-2</v>
      </c>
      <c r="X7225">
        <v>0.99713050000000003</v>
      </c>
      <c r="Y7225">
        <v>-1.552427E-2</v>
      </c>
      <c r="Z7225">
        <v>-5.1856920000000001E-2</v>
      </c>
      <c r="AA7225">
        <v>0.99853380000000003</v>
      </c>
      <c r="AB7225">
        <v>38</v>
      </c>
      <c r="AC7225">
        <v>-0.228199999999986</v>
      </c>
      <c r="AD7225">
        <v>-1.108446371071</v>
      </c>
      <c r="AE7225">
        <v>20.95072</v>
      </c>
      <c r="AF7225">
        <v>-0.33067705653727902</v>
      </c>
      <c r="AG7225">
        <v>-1.108446371071</v>
      </c>
      <c r="AH7225">
        <v>20.890868048499598</v>
      </c>
      <c r="AI7225">
        <v>93.036823016413607</v>
      </c>
      <c r="AJ7225">
        <v>90.906846837209997</v>
      </c>
      <c r="AK7225">
        <v>20.9228671193287</v>
      </c>
      <c r="AL7225">
        <v>86.694007044958596</v>
      </c>
      <c r="AM7225">
        <v>87.184284242512405</v>
      </c>
      <c r="AN7225">
        <v>0.99999999997898603</v>
      </c>
    </row>
    <row r="7226" spans="1:40" x14ac:dyDescent="0.25">
      <c r="A7226" t="str">
        <f>"20190312155016786"</f>
        <v>20190312155016786</v>
      </c>
      <c r="B7226" t="str">
        <f>"1552377016783355"</f>
        <v>1552377016783355</v>
      </c>
      <c r="C7226" t="s">
        <v>40</v>
      </c>
      <c r="D7226">
        <v>4.6527450000000004</v>
      </c>
      <c r="E7226">
        <v>0.47698239999999997</v>
      </c>
      <c r="F7226" t="s">
        <v>42</v>
      </c>
      <c r="G7226">
        <v>-188.62430000000001</v>
      </c>
      <c r="H7226" s="1">
        <v>-3.8447669999999997E-6</v>
      </c>
      <c r="I7226">
        <v>38.02619</v>
      </c>
      <c r="J7226">
        <v>-188.37690000000001</v>
      </c>
      <c r="K7226">
        <v>1.1084449999999999</v>
      </c>
      <c r="L7226">
        <v>16.34393</v>
      </c>
      <c r="M7226">
        <v>4.9347480000000001E-3</v>
      </c>
      <c r="N7226">
        <v>0</v>
      </c>
      <c r="O7226">
        <v>0.99998160000000003</v>
      </c>
      <c r="P7226">
        <v>5.3712389999999999E-2</v>
      </c>
      <c r="Q7226">
        <v>5.4366810000000002E-2</v>
      </c>
      <c r="R7226">
        <v>0.9970753</v>
      </c>
      <c r="S7226">
        <v>-3.3599850000000001E-2</v>
      </c>
      <c r="T7226">
        <v>-0.15167420000000001</v>
      </c>
      <c r="U7226">
        <v>3.0188600000000001</v>
      </c>
      <c r="V7226">
        <v>4.879356E-2</v>
      </c>
      <c r="W7226">
        <v>5.7873140000000003E-2</v>
      </c>
      <c r="X7226">
        <v>0.99713079999999998</v>
      </c>
      <c r="Y7226">
        <v>-1.6049620000000001E-2</v>
      </c>
      <c r="Z7226">
        <v>-5.0173219999999998E-2</v>
      </c>
      <c r="AA7226">
        <v>0.99861160000000004</v>
      </c>
      <c r="AB7226">
        <v>38</v>
      </c>
      <c r="AC7226">
        <v>-0.24739999999999801</v>
      </c>
      <c r="AD7226">
        <v>-1.108448844767</v>
      </c>
      <c r="AE7226">
        <v>21.682259999999999</v>
      </c>
      <c r="AF7226">
        <v>-0.353470468556984</v>
      </c>
      <c r="AG7226">
        <v>-1.108448844767</v>
      </c>
      <c r="AH7226">
        <v>21.624267502066601</v>
      </c>
      <c r="AI7226">
        <v>92.933992701927707</v>
      </c>
      <c r="AJ7226">
        <v>90.936473920387598</v>
      </c>
      <c r="AK7226">
        <v>21.655543059792802</v>
      </c>
      <c r="AL7226">
        <v>86.682259459324399</v>
      </c>
      <c r="AM7226">
        <v>87.1985251895902</v>
      </c>
      <c r="AN7226">
        <v>0.99999997206978597</v>
      </c>
    </row>
    <row r="7227" spans="1:40" x14ac:dyDescent="0.25">
      <c r="A7227" t="str">
        <f>"20190312155016807"</f>
        <v>20190312155016807</v>
      </c>
      <c r="B7227" t="str">
        <f>"1552377016802875"</f>
        <v>1552377016802875</v>
      </c>
      <c r="C7227" t="s">
        <v>40</v>
      </c>
      <c r="D7227">
        <v>4.6231169999999997</v>
      </c>
      <c r="E7227">
        <v>0.4771165</v>
      </c>
      <c r="F7227" t="s">
        <v>42</v>
      </c>
      <c r="G7227">
        <v>-188.64019999999999</v>
      </c>
      <c r="H7227" s="1">
        <v>-4.4021590000000003E-6</v>
      </c>
      <c r="I7227">
        <v>39.332050000000002</v>
      </c>
      <c r="J7227">
        <v>-188.375</v>
      </c>
      <c r="K7227">
        <v>1.1084430000000001</v>
      </c>
      <c r="L7227">
        <v>16.72174</v>
      </c>
      <c r="M7227">
        <v>4.9341369999999999E-3</v>
      </c>
      <c r="N7227">
        <v>0</v>
      </c>
      <c r="O7227">
        <v>0.99998149999999997</v>
      </c>
      <c r="P7227">
        <v>5.3744519999999997E-2</v>
      </c>
      <c r="Q7227">
        <v>5.453881E-2</v>
      </c>
      <c r="R7227">
        <v>0.99706419999999996</v>
      </c>
      <c r="S7227">
        <v>-3.4576419999999997E-2</v>
      </c>
      <c r="T7227">
        <v>-0.14555119999999999</v>
      </c>
      <c r="U7227">
        <v>3.0185849999999999</v>
      </c>
      <c r="V7227">
        <v>4.8826340000000003E-2</v>
      </c>
      <c r="W7227">
        <v>5.8076889999999999E-2</v>
      </c>
      <c r="X7227">
        <v>0.99711740000000004</v>
      </c>
      <c r="Y7227">
        <v>-1.637417E-2</v>
      </c>
      <c r="Z7227">
        <v>-4.815672E-2</v>
      </c>
      <c r="AA7227">
        <v>0.99870559999999997</v>
      </c>
      <c r="AB7227">
        <v>38</v>
      </c>
      <c r="AC7227">
        <v>-0.265199999999993</v>
      </c>
      <c r="AD7227">
        <v>-1.1084474021590001</v>
      </c>
      <c r="AE7227">
        <v>22.610309999999998</v>
      </c>
      <c r="AF7227">
        <v>-0.37585665361779802</v>
      </c>
      <c r="AG7227">
        <v>-1.1084474021590001</v>
      </c>
      <c r="AH7227">
        <v>22.554527239191199</v>
      </c>
      <c r="AI7227">
        <v>92.813160552178203</v>
      </c>
      <c r="AJ7227">
        <v>90.954708854213393</v>
      </c>
      <c r="AK7227">
        <v>22.584875975989799</v>
      </c>
      <c r="AL7227">
        <v>86.670565945307004</v>
      </c>
      <c r="AM7227">
        <v>87.196608518673301</v>
      </c>
      <c r="AN7227">
        <v>1.00000002300631</v>
      </c>
    </row>
    <row r="7228" spans="1:40" x14ac:dyDescent="0.25">
      <c r="A7228" t="str">
        <f>"20190312155016831"</f>
        <v>20190312155016831</v>
      </c>
      <c r="B7228" t="str">
        <f>"1552377016823371"</f>
        <v>1552377016823371</v>
      </c>
      <c r="C7228" t="s">
        <v>40</v>
      </c>
      <c r="D7228">
        <v>4.4941620000000002</v>
      </c>
      <c r="E7228">
        <v>0.47696240000000001</v>
      </c>
      <c r="F7228" t="s">
        <v>42</v>
      </c>
      <c r="G7228">
        <v>-188.63050000000001</v>
      </c>
      <c r="H7228" s="1">
        <v>-4.4236289999999998E-7</v>
      </c>
      <c r="I7228">
        <v>39.877209999999998</v>
      </c>
      <c r="J7228">
        <v>-188.37299999999999</v>
      </c>
      <c r="K7228">
        <v>1.108444</v>
      </c>
      <c r="L7228">
        <v>17.123169999999998</v>
      </c>
      <c r="M7228">
        <v>4.9332769999999998E-3</v>
      </c>
      <c r="N7228">
        <v>0</v>
      </c>
      <c r="O7228">
        <v>0.99998140000000002</v>
      </c>
      <c r="P7228">
        <v>5.3781809999999999E-2</v>
      </c>
      <c r="Q7228">
        <v>5.4092929999999997E-2</v>
      </c>
      <c r="R7228">
        <v>0.99708649999999999</v>
      </c>
      <c r="S7228">
        <v>-3.3309940000000003E-2</v>
      </c>
      <c r="T7228">
        <v>-0.1444956</v>
      </c>
      <c r="U7228">
        <v>3.0185240000000002</v>
      </c>
      <c r="V7228">
        <v>4.8864339999999999E-2</v>
      </c>
      <c r="W7228">
        <v>5.766512E-2</v>
      </c>
      <c r="X7228">
        <v>0.99713940000000001</v>
      </c>
      <c r="Y7228">
        <v>-1.5954759999999998E-2</v>
      </c>
      <c r="Z7228">
        <v>-4.7809499999999998E-2</v>
      </c>
      <c r="AA7228">
        <v>0.99872910000000004</v>
      </c>
      <c r="AB7228">
        <v>38</v>
      </c>
      <c r="AC7228">
        <v>-0.25750000000002099</v>
      </c>
      <c r="AD7228">
        <v>-1.1084444423628901</v>
      </c>
      <c r="AE7228">
        <v>22.75404</v>
      </c>
      <c r="AF7228">
        <v>-0.368874317592159</v>
      </c>
      <c r="AG7228">
        <v>-1.1084444423628901</v>
      </c>
      <c r="AH7228">
        <v>22.6986341980015</v>
      </c>
      <c r="AI7228">
        <v>92.795340570857505</v>
      </c>
      <c r="AJ7228">
        <v>90.931028763539004</v>
      </c>
      <c r="AK7228">
        <v>22.7286759798864</v>
      </c>
      <c r="AL7228">
        <v>86.694198113032897</v>
      </c>
      <c r="AM7228">
        <v>87.194492012751496</v>
      </c>
      <c r="AN7228">
        <v>0.99999998641030496</v>
      </c>
    </row>
    <row r="7229" spans="1:40" x14ac:dyDescent="0.25">
      <c r="A7229" t="str">
        <f>"20190312155016853"</f>
        <v>20190312155016853</v>
      </c>
      <c r="B7229" t="str">
        <f>"1552377016842890"</f>
        <v>1552377016842890</v>
      </c>
      <c r="C7229" t="s">
        <v>40</v>
      </c>
      <c r="D7229">
        <v>4.3560169999999996</v>
      </c>
      <c r="E7229">
        <v>0.4445598</v>
      </c>
      <c r="F7229" t="s">
        <v>42</v>
      </c>
      <c r="G7229">
        <v>-188.63659999999999</v>
      </c>
      <c r="H7229" s="1">
        <v>-6.3959689999999996E-7</v>
      </c>
      <c r="I7229">
        <v>40.461539999999999</v>
      </c>
      <c r="J7229">
        <v>-188.37110000000001</v>
      </c>
      <c r="K7229">
        <v>1.108439</v>
      </c>
      <c r="L7229">
        <v>17.506869999999999</v>
      </c>
      <c r="M7229">
        <v>4.9324420000000004E-3</v>
      </c>
      <c r="N7229">
        <v>0</v>
      </c>
      <c r="O7229">
        <v>0.99998129999999996</v>
      </c>
      <c r="P7229">
        <v>5.3671259999999998E-2</v>
      </c>
      <c r="Q7229">
        <v>5.3892309999999999E-2</v>
      </c>
      <c r="R7229">
        <v>0.99710330000000003</v>
      </c>
      <c r="S7229">
        <v>-3.4088130000000001E-2</v>
      </c>
      <c r="T7229">
        <v>-0.14335609999999999</v>
      </c>
      <c r="U7229">
        <v>3.0183719999999998</v>
      </c>
      <c r="V7229">
        <v>4.8754529999999997E-2</v>
      </c>
      <c r="W7229">
        <v>5.7497560000000003E-2</v>
      </c>
      <c r="X7229">
        <v>0.99715450000000005</v>
      </c>
      <c r="Y7229">
        <v>-1.621214E-2</v>
      </c>
      <c r="Z7229">
        <v>-4.7435539999999998E-2</v>
      </c>
      <c r="AA7229">
        <v>0.99874269999999998</v>
      </c>
      <c r="AB7229">
        <v>38</v>
      </c>
      <c r="AC7229">
        <v>-0.26549999999997398</v>
      </c>
      <c r="AD7229">
        <v>-1.1084396395968901</v>
      </c>
      <c r="AE7229">
        <v>22.95467</v>
      </c>
      <c r="AF7229">
        <v>-0.37783917995463001</v>
      </c>
      <c r="AG7229">
        <v>-1.1084396395968901</v>
      </c>
      <c r="AH7229">
        <v>22.8996919759036</v>
      </c>
      <c r="AI7229">
        <v>92.770812827494893</v>
      </c>
      <c r="AJ7229">
        <v>90.945280230834101</v>
      </c>
      <c r="AK7229">
        <v>22.929616077723601</v>
      </c>
      <c r="AL7229">
        <v>86.703814710522494</v>
      </c>
      <c r="AM7229">
        <v>87.200828950926507</v>
      </c>
      <c r="AN7229">
        <v>1.00000003523586</v>
      </c>
    </row>
    <row r="7230" spans="1:40" x14ac:dyDescent="0.25">
      <c r="A7230" t="str">
        <f>"20190312155016874"</f>
        <v>20190312155016874</v>
      </c>
      <c r="B7230" t="str">
        <f>"1552377016863387"</f>
        <v>1552377016863387</v>
      </c>
      <c r="C7230" t="s">
        <v>40</v>
      </c>
      <c r="D7230">
        <v>4.4198940000000002</v>
      </c>
      <c r="E7230">
        <v>0.42795179999999999</v>
      </c>
      <c r="F7230" t="s">
        <v>42</v>
      </c>
      <c r="G7230">
        <v>-194.4016</v>
      </c>
      <c r="H7230" s="1">
        <v>-1.610291E-6</v>
      </c>
      <c r="I7230">
        <v>80.612769999999998</v>
      </c>
      <c r="J7230">
        <v>-188.36940000000001</v>
      </c>
      <c r="K7230">
        <v>1.1084459999999901</v>
      </c>
      <c r="L7230">
        <v>17.866060000000001</v>
      </c>
      <c r="M7230">
        <v>4.931609E-3</v>
      </c>
      <c r="N7230">
        <v>0</v>
      </c>
      <c r="O7230">
        <v>0.99998120000000001</v>
      </c>
      <c r="P7230">
        <v>5.3252399999999998E-2</v>
      </c>
      <c r="Q7230">
        <v>5.4252330000000001E-2</v>
      </c>
      <c r="R7230">
        <v>0.9971063</v>
      </c>
      <c r="S7230">
        <v>-0.28927609999999998</v>
      </c>
      <c r="T7230">
        <v>-5.3171400000000001E-2</v>
      </c>
      <c r="U7230">
        <v>3.027161</v>
      </c>
      <c r="V7230">
        <v>4.8336480000000001E-2</v>
      </c>
      <c r="W7230">
        <v>5.7888849999999999E-2</v>
      </c>
      <c r="X7230">
        <v>0.99715209999999999</v>
      </c>
      <c r="Y7230">
        <v>-0.1000205</v>
      </c>
      <c r="Z7230">
        <v>-1.7477920000000001E-2</v>
      </c>
      <c r="AA7230">
        <v>0.99483189999999999</v>
      </c>
      <c r="AB7230">
        <v>39</v>
      </c>
      <c r="AC7230">
        <v>-6.03219999999998</v>
      </c>
      <c r="AD7230">
        <v>-1.1084476102909999</v>
      </c>
      <c r="AE7230">
        <v>62.746709999999901</v>
      </c>
      <c r="AF7230">
        <v>-6.3396106700520001</v>
      </c>
      <c r="AG7230">
        <v>-1.1084476102909999</v>
      </c>
      <c r="AH7230">
        <v>62.696811850955399</v>
      </c>
      <c r="AI7230">
        <v>91.007717158066001</v>
      </c>
      <c r="AJ7230">
        <v>95.773858790807694</v>
      </c>
      <c r="AK7230">
        <v>63.026260684152099</v>
      </c>
      <c r="AL7230">
        <v>86.681357665972399</v>
      </c>
      <c r="AM7230">
        <v>87.224786335412105</v>
      </c>
      <c r="AN7230">
        <v>0.99999992239375801</v>
      </c>
    </row>
    <row r="7231" spans="1:40" x14ac:dyDescent="0.25">
      <c r="A7231" t="str">
        <f>"20190312155016895"</f>
        <v>20190312155016895</v>
      </c>
      <c r="B7231" t="str">
        <f>"1552377016892667"</f>
        <v>1552377016892667</v>
      </c>
      <c r="C7231" t="s">
        <v>40</v>
      </c>
      <c r="D7231">
        <v>4.4196650000000002</v>
      </c>
      <c r="E7231">
        <v>0.41995270000000001</v>
      </c>
      <c r="F7231" t="s">
        <v>42</v>
      </c>
      <c r="G7231">
        <v>-194.23099999999999</v>
      </c>
      <c r="H7231" s="1">
        <v>-1.231571E-6</v>
      </c>
      <c r="I7231">
        <v>59.835709999999999</v>
      </c>
      <c r="J7231">
        <v>-188.36750000000001</v>
      </c>
      <c r="K7231">
        <v>1.1084480000000001</v>
      </c>
      <c r="L7231">
        <v>18.24615</v>
      </c>
      <c r="M7231">
        <v>4.9306669999999997E-3</v>
      </c>
      <c r="N7231">
        <v>0</v>
      </c>
      <c r="O7231">
        <v>0.99998100000000001</v>
      </c>
      <c r="P7231">
        <v>5.2694940000000003E-2</v>
      </c>
      <c r="Q7231">
        <v>5.4963489999999997E-2</v>
      </c>
      <c r="R7231">
        <v>0.99709689999999995</v>
      </c>
      <c r="S7231">
        <v>-0.42398069999999999</v>
      </c>
      <c r="T7231">
        <v>-8.0175040000000003E-2</v>
      </c>
      <c r="U7231">
        <v>3.0357059999999998</v>
      </c>
      <c r="V7231">
        <v>4.7780040000000003E-2</v>
      </c>
      <c r="W7231">
        <v>5.8636689999999998E-2</v>
      </c>
      <c r="X7231">
        <v>0.99713529999999995</v>
      </c>
      <c r="Y7231">
        <v>-0.14315649999999999</v>
      </c>
      <c r="Z7231">
        <v>-2.613826E-2</v>
      </c>
      <c r="AA7231">
        <v>0.98935479999999998</v>
      </c>
      <c r="AB7231">
        <v>39</v>
      </c>
      <c r="AC7231">
        <v>-5.8634999999999797</v>
      </c>
      <c r="AD7231">
        <v>-1.1084492315709999</v>
      </c>
      <c r="AE7231">
        <v>41.589559999999999</v>
      </c>
      <c r="AF7231">
        <v>-6.0642706902749799</v>
      </c>
      <c r="AG7231">
        <v>-1.1084492315709999</v>
      </c>
      <c r="AH7231">
        <v>41.531217171046102</v>
      </c>
      <c r="AI7231">
        <v>91.512800671777001</v>
      </c>
      <c r="AJ7231">
        <v>98.307458273032395</v>
      </c>
      <c r="AK7231">
        <v>41.986260114619498</v>
      </c>
      <c r="AL7231">
        <v>86.638436936630896</v>
      </c>
      <c r="AM7231">
        <v>87.256638809388704</v>
      </c>
      <c r="AN7231">
        <v>1.0000000000713201</v>
      </c>
    </row>
    <row r="7232" spans="1:40" x14ac:dyDescent="0.25">
      <c r="A7232" t="str">
        <f>"20190312155016918"</f>
        <v>20190312155016918</v>
      </c>
      <c r="B7232" t="str">
        <f>"1552377016913163"</f>
        <v>1552377016913163</v>
      </c>
      <c r="C7232" t="s">
        <v>40</v>
      </c>
      <c r="D7232">
        <v>4.4670809999999896</v>
      </c>
      <c r="E7232">
        <v>0.41735670000000002</v>
      </c>
      <c r="F7232" t="s">
        <v>42</v>
      </c>
      <c r="G7232">
        <v>-193.59690000000001</v>
      </c>
      <c r="H7232" s="1">
        <v>-1.4216029999999999E-6</v>
      </c>
      <c r="I7232">
        <v>50.672020000000003</v>
      </c>
      <c r="J7232">
        <v>-188.3655</v>
      </c>
      <c r="K7232">
        <v>1.1084510000000001</v>
      </c>
      <c r="L7232">
        <v>18.64499</v>
      </c>
      <c r="M7232">
        <v>4.9296599999999998E-3</v>
      </c>
      <c r="N7232">
        <v>0</v>
      </c>
      <c r="O7232">
        <v>0.99998089999999995</v>
      </c>
      <c r="P7232">
        <v>5.2198799999999997E-2</v>
      </c>
      <c r="Q7232">
        <v>5.5119189999999998E-2</v>
      </c>
      <c r="R7232">
        <v>0.99711439999999996</v>
      </c>
      <c r="S7232">
        <v>-0.49032589999999998</v>
      </c>
      <c r="T7232">
        <v>-0.1039325</v>
      </c>
      <c r="U7232">
        <v>3.040375</v>
      </c>
      <c r="V7232">
        <v>4.7284840000000002E-2</v>
      </c>
      <c r="W7232">
        <v>5.8834240000000003E-2</v>
      </c>
      <c r="X7232">
        <v>0.99714729999999996</v>
      </c>
      <c r="Y7232">
        <v>-0.16398869999999999</v>
      </c>
      <c r="Z7232">
        <v>-3.3714710000000002E-2</v>
      </c>
      <c r="AA7232">
        <v>0.98588589999999998</v>
      </c>
      <c r="AB7232">
        <v>39</v>
      </c>
      <c r="AC7232">
        <v>-5.2313999999999998</v>
      </c>
      <c r="AD7232">
        <v>-1.1084524216030001</v>
      </c>
      <c r="AE7232">
        <v>32.027029999999897</v>
      </c>
      <c r="AF7232">
        <v>-5.3829395360353196</v>
      </c>
      <c r="AG7232">
        <v>-1.1084524216030001</v>
      </c>
      <c r="AH7232">
        <v>31.963559232766499</v>
      </c>
      <c r="AI7232">
        <v>91.958585114004293</v>
      </c>
      <c r="AJ7232">
        <v>99.559404898214495</v>
      </c>
      <c r="AK7232">
        <v>32.432604330305303</v>
      </c>
      <c r="AL7232">
        <v>86.627098684713104</v>
      </c>
      <c r="AM7232">
        <v>87.285061304823003</v>
      </c>
      <c r="AN7232">
        <v>1.00000003089374</v>
      </c>
    </row>
    <row r="7233" spans="1:40" x14ac:dyDescent="0.25">
      <c r="A7233" t="str">
        <f>"20190312155016941"</f>
        <v>20190312155016941</v>
      </c>
      <c r="B7233" t="str">
        <f>"1552377016932683"</f>
        <v>1552377016932683</v>
      </c>
      <c r="C7233" t="s">
        <v>40</v>
      </c>
      <c r="D7233">
        <v>4.3881690000000004</v>
      </c>
      <c r="E7233">
        <v>0.41597410000000001</v>
      </c>
      <c r="F7233" t="s">
        <v>42</v>
      </c>
      <c r="G7233">
        <v>-193.38390000000001</v>
      </c>
      <c r="H7233" s="1">
        <v>-4.4920350000000003E-6</v>
      </c>
      <c r="I7233">
        <v>48.422980000000003</v>
      </c>
      <c r="J7233">
        <v>-188.36359999999999</v>
      </c>
      <c r="K7233">
        <v>1.108449</v>
      </c>
      <c r="L7233">
        <v>19.044309999999999</v>
      </c>
      <c r="M7233">
        <v>4.9286679999999998E-3</v>
      </c>
      <c r="N7233">
        <v>0</v>
      </c>
      <c r="O7233">
        <v>0.99998069999999895</v>
      </c>
      <c r="P7233">
        <v>5.2285129999999999E-2</v>
      </c>
      <c r="Q7233">
        <v>5.5305849999999997E-2</v>
      </c>
      <c r="R7233">
        <v>0.99709959999999997</v>
      </c>
      <c r="S7233">
        <v>-0.51261899999999905</v>
      </c>
      <c r="T7233">
        <v>-0.1132271</v>
      </c>
      <c r="U7233">
        <v>3.041779</v>
      </c>
      <c r="V7233">
        <v>4.7372240000000003E-2</v>
      </c>
      <c r="W7233">
        <v>5.9063200000000003E-2</v>
      </c>
      <c r="X7233">
        <v>0.99712959999999995</v>
      </c>
      <c r="Y7233">
        <v>-0.1709291</v>
      </c>
      <c r="Z7233">
        <v>-3.6665669999999997E-2</v>
      </c>
      <c r="AA7233">
        <v>0.98460080000000005</v>
      </c>
      <c r="AB7233">
        <v>39</v>
      </c>
      <c r="AC7233">
        <v>-5.0203000000000104</v>
      </c>
      <c r="AD7233">
        <v>-1.108453492035</v>
      </c>
      <c r="AE7233">
        <v>29.37867</v>
      </c>
      <c r="AF7233">
        <v>-5.1579035939166404</v>
      </c>
      <c r="AG7233">
        <v>-1.108453492035</v>
      </c>
      <c r="AH7233">
        <v>29.313025163174402</v>
      </c>
      <c r="AI7233">
        <v>92.132836333600196</v>
      </c>
      <c r="AJ7233">
        <v>99.979575370558294</v>
      </c>
      <c r="AK7233">
        <v>29.783990378138299</v>
      </c>
      <c r="AL7233">
        <v>86.613957336836293</v>
      </c>
      <c r="AM7233">
        <v>87.280002406526606</v>
      </c>
      <c r="AN7233">
        <v>1.0000000149565</v>
      </c>
    </row>
    <row r="7234" spans="1:40" x14ac:dyDescent="0.25">
      <c r="A7234" t="str">
        <f>"20190312155016962"</f>
        <v>20190312155016962</v>
      </c>
      <c r="B7234" t="str">
        <f>"1552377016953180"</f>
        <v>1552377016953180</v>
      </c>
      <c r="C7234" t="s">
        <v>40</v>
      </c>
      <c r="D7234">
        <v>4.4050219999999998</v>
      </c>
      <c r="E7234">
        <v>0.41497970000000001</v>
      </c>
      <c r="F7234" t="s">
        <v>42</v>
      </c>
      <c r="G7234">
        <v>-193.29060000000001</v>
      </c>
      <c r="H7234" s="1">
        <v>-4.2230419999999999E-6</v>
      </c>
      <c r="I7234">
        <v>47.681139999999999</v>
      </c>
      <c r="J7234">
        <v>-188.36170000000001</v>
      </c>
      <c r="K7234">
        <v>1.1084510000000001</v>
      </c>
      <c r="L7234">
        <v>19.422090000000001</v>
      </c>
      <c r="M7234">
        <v>4.9277339999999996E-3</v>
      </c>
      <c r="N7234">
        <v>0</v>
      </c>
      <c r="O7234">
        <v>0.9999806</v>
      </c>
      <c r="P7234">
        <v>5.2424350000000002E-2</v>
      </c>
      <c r="Q7234">
        <v>5.5544759999999999E-2</v>
      </c>
      <c r="R7234">
        <v>0.99707900000000005</v>
      </c>
      <c r="S7234">
        <v>-0.52351380000000003</v>
      </c>
      <c r="T7234">
        <v>-0.11777559999999999</v>
      </c>
      <c r="U7234">
        <v>3.0427249999999999</v>
      </c>
      <c r="V7234">
        <v>4.7512480000000003E-2</v>
      </c>
      <c r="W7234">
        <v>5.934213E-2</v>
      </c>
      <c r="X7234">
        <v>0.99710639999999995</v>
      </c>
      <c r="Y7234">
        <v>-0.174294</v>
      </c>
      <c r="Z7234">
        <v>-3.8102080000000003E-2</v>
      </c>
      <c r="AA7234">
        <v>0.98395619999999995</v>
      </c>
      <c r="AB7234">
        <v>39</v>
      </c>
      <c r="AC7234">
        <v>-4.9288999999999898</v>
      </c>
      <c r="AD7234">
        <v>-1.1084552230419999</v>
      </c>
      <c r="AE7234">
        <v>28.259049999999998</v>
      </c>
      <c r="AF7234">
        <v>-5.0605380582270998</v>
      </c>
      <c r="AG7234">
        <v>-1.1084552230419999</v>
      </c>
      <c r="AH7234">
        <v>28.192322777439799</v>
      </c>
      <c r="AI7234">
        <v>92.216190222666498</v>
      </c>
      <c r="AJ7234">
        <v>100.176254214651</v>
      </c>
      <c r="AK7234">
        <v>28.6643468791389</v>
      </c>
      <c r="AL7234">
        <v>86.597947858531001</v>
      </c>
      <c r="AM7234">
        <v>87.271898938442206</v>
      </c>
      <c r="AN7234">
        <v>1.0000000485348199</v>
      </c>
    </row>
    <row r="7235" spans="1:40" x14ac:dyDescent="0.25">
      <c r="A7235" t="str">
        <f>"20190312155016987"</f>
        <v>20190312155016987</v>
      </c>
      <c r="B7235" t="str">
        <f>"1552377016982459"</f>
        <v>1552377016982459</v>
      </c>
      <c r="C7235" t="s">
        <v>40</v>
      </c>
      <c r="D7235">
        <v>4.3912570000000004</v>
      </c>
      <c r="E7235">
        <v>0.41391220000000001</v>
      </c>
      <c r="F7235" t="s">
        <v>42</v>
      </c>
      <c r="G7235">
        <v>-193.2732</v>
      </c>
      <c r="H7235" s="1">
        <v>-4.1764660000000001E-6</v>
      </c>
      <c r="I7235">
        <v>47.553350000000002</v>
      </c>
      <c r="J7235">
        <v>-188.3596</v>
      </c>
      <c r="K7235">
        <v>1.1084560000000001</v>
      </c>
      <c r="L7235">
        <v>19.837250000000001</v>
      </c>
      <c r="M7235">
        <v>4.9267260000000002E-3</v>
      </c>
      <c r="N7235">
        <v>0</v>
      </c>
      <c r="O7235">
        <v>0.99998039999999999</v>
      </c>
      <c r="P7235">
        <v>5.2591010000000001E-2</v>
      </c>
      <c r="Q7235">
        <v>5.6094159999999997E-2</v>
      </c>
      <c r="R7235">
        <v>0.99703940000000002</v>
      </c>
      <c r="S7235">
        <v>-0.53135679999999996</v>
      </c>
      <c r="T7235">
        <v>-0.11991880000000001</v>
      </c>
      <c r="U7235">
        <v>3.043396</v>
      </c>
      <c r="V7235">
        <v>4.7680359999999998E-2</v>
      </c>
      <c r="W7235">
        <v>5.9935219999999997E-2</v>
      </c>
      <c r="X7235">
        <v>0.99706289999999997</v>
      </c>
      <c r="Y7235">
        <v>-0.1767136</v>
      </c>
      <c r="Z7235">
        <v>-3.8769100000000001E-2</v>
      </c>
      <c r="AA7235">
        <v>0.98349850000000005</v>
      </c>
      <c r="AB7235">
        <v>39</v>
      </c>
      <c r="AC7235">
        <v>-4.9135999999999997</v>
      </c>
      <c r="AD7235">
        <v>-1.10846017646599</v>
      </c>
      <c r="AE7235">
        <v>27.716100000000001</v>
      </c>
      <c r="AF7235">
        <v>-5.0422718082293896</v>
      </c>
      <c r="AG7235">
        <v>-1.10846017646599</v>
      </c>
      <c r="AH7235">
        <v>27.648679815414098</v>
      </c>
      <c r="AI7235">
        <v>92.258597179283598</v>
      </c>
      <c r="AJ7235">
        <v>100.335412647966</v>
      </c>
      <c r="AK7235">
        <v>28.126547681615001</v>
      </c>
      <c r="AL7235">
        <v>86.563905671927998</v>
      </c>
      <c r="AM7235">
        <v>87.262154880006094</v>
      </c>
      <c r="AN7235">
        <v>1.00000003694129</v>
      </c>
    </row>
    <row r="7236" spans="1:40" x14ac:dyDescent="0.25">
      <c r="A7236" t="str">
        <f>"20190312155017006"</f>
        <v>20190312155017006</v>
      </c>
      <c r="B7236" t="str">
        <f>"1552377017002955"</f>
        <v>1552377017002955</v>
      </c>
      <c r="C7236" t="s">
        <v>40</v>
      </c>
      <c r="D7236">
        <v>4.4151280000000002</v>
      </c>
      <c r="E7236">
        <v>0.41348400000000002</v>
      </c>
      <c r="F7236" t="s">
        <v>42</v>
      </c>
      <c r="G7236">
        <v>-193.31110000000001</v>
      </c>
      <c r="H7236" s="1">
        <v>-4.2553130000000003E-6</v>
      </c>
      <c r="I7236">
        <v>47.765340000000002</v>
      </c>
      <c r="J7236">
        <v>-188.3578</v>
      </c>
      <c r="K7236">
        <v>1.108457</v>
      </c>
      <c r="L7236">
        <v>20.199829999999999</v>
      </c>
      <c r="M7236">
        <v>4.9258339999999996E-3</v>
      </c>
      <c r="N7236">
        <v>0</v>
      </c>
      <c r="O7236">
        <v>0.99998030000000004</v>
      </c>
      <c r="P7236">
        <v>5.3114109999999999E-2</v>
      </c>
      <c r="Q7236">
        <v>5.6459080000000002E-2</v>
      </c>
      <c r="R7236">
        <v>0.99699110000000002</v>
      </c>
      <c r="S7236">
        <v>-0.53970340000000006</v>
      </c>
      <c r="T7236">
        <v>-0.1208221</v>
      </c>
      <c r="U7236">
        <v>3.0441590000000001</v>
      </c>
      <c r="V7236">
        <v>4.8204589999999999E-2</v>
      </c>
      <c r="W7236">
        <v>6.0337420000000003E-2</v>
      </c>
      <c r="X7236">
        <v>0.99701340000000005</v>
      </c>
      <c r="Y7236">
        <v>-0.1792842</v>
      </c>
      <c r="Z7236">
        <v>-3.9032690000000002E-2</v>
      </c>
      <c r="AA7236">
        <v>0.98302270000000003</v>
      </c>
      <c r="AB7236">
        <v>39</v>
      </c>
      <c r="AC7236">
        <v>-4.9533000000000103</v>
      </c>
      <c r="AD7236">
        <v>-1.108461255313</v>
      </c>
      <c r="AE7236">
        <v>27.56551</v>
      </c>
      <c r="AF7236">
        <v>-5.0810649893860704</v>
      </c>
      <c r="AG7236">
        <v>-1.108461255313</v>
      </c>
      <c r="AH7236">
        <v>27.4977033620514</v>
      </c>
      <c r="AI7236">
        <v>92.270015713238493</v>
      </c>
      <c r="AJ7236">
        <v>100.469109034669</v>
      </c>
      <c r="AK7236">
        <v>27.985167463645301</v>
      </c>
      <c r="AL7236">
        <v>86.540819411560193</v>
      </c>
      <c r="AM7236">
        <v>87.231962516130494</v>
      </c>
      <c r="AN7236">
        <v>1.0000000032644401</v>
      </c>
    </row>
    <row r="7237" spans="1:40" x14ac:dyDescent="0.25">
      <c r="A7237" t="str">
        <f>"20190312155017032"</f>
        <v>20190312155017032</v>
      </c>
      <c r="B7237" t="str">
        <f>"1552377017023451"</f>
        <v>1552377017023451</v>
      </c>
      <c r="C7237" t="s">
        <v>40</v>
      </c>
      <c r="D7237">
        <v>4.4277709999999999</v>
      </c>
      <c r="E7237">
        <v>0.4131261</v>
      </c>
      <c r="F7237" t="s">
        <v>42</v>
      </c>
      <c r="G7237">
        <v>-193.39250000000001</v>
      </c>
      <c r="H7237" s="1">
        <v>-4.5183340000000001E-6</v>
      </c>
      <c r="I7237">
        <v>48.495780000000003</v>
      </c>
      <c r="J7237">
        <v>-188.35570000000001</v>
      </c>
      <c r="K7237">
        <v>1.1084560000000001</v>
      </c>
      <c r="L7237">
        <v>20.639220000000002</v>
      </c>
      <c r="M7237">
        <v>4.9247630000000004E-3</v>
      </c>
      <c r="N7237">
        <v>0</v>
      </c>
      <c r="O7237">
        <v>0.99998019999999999</v>
      </c>
      <c r="P7237">
        <v>5.3726080000000002E-2</v>
      </c>
      <c r="Q7237">
        <v>5.7023409999999997E-2</v>
      </c>
      <c r="R7237">
        <v>0.99692619999999998</v>
      </c>
      <c r="S7237">
        <v>-0.54173280000000001</v>
      </c>
      <c r="T7237">
        <v>-0.1192718</v>
      </c>
      <c r="U7237">
        <v>3.0446780000000002</v>
      </c>
      <c r="V7237">
        <v>4.8817960000000001E-2</v>
      </c>
      <c r="W7237">
        <v>6.0946640000000003E-2</v>
      </c>
      <c r="X7237">
        <v>0.99694649999999996</v>
      </c>
      <c r="Y7237">
        <v>-0.179893</v>
      </c>
      <c r="Z7237">
        <v>-3.8521779999999999E-2</v>
      </c>
      <c r="AA7237">
        <v>0.98293160000000002</v>
      </c>
      <c r="AB7237">
        <v>40</v>
      </c>
      <c r="AC7237">
        <v>-5.0368000000000004</v>
      </c>
      <c r="AD7237">
        <v>-1.1084605183339999</v>
      </c>
      <c r="AE7237">
        <v>27.856559999999899</v>
      </c>
      <c r="AF7237">
        <v>-5.1660061254034799</v>
      </c>
      <c r="AG7237">
        <v>-1.1084605183339999</v>
      </c>
      <c r="AH7237">
        <v>27.7888096303537</v>
      </c>
      <c r="AI7237">
        <v>92.245808106603803</v>
      </c>
      <c r="AJ7237">
        <v>100.531202219774</v>
      </c>
      <c r="AK7237">
        <v>28.286644281011</v>
      </c>
      <c r="AL7237">
        <v>86.505849322703995</v>
      </c>
      <c r="AM7237">
        <v>87.196609175450604</v>
      </c>
      <c r="AN7237">
        <v>1.0000000050040501</v>
      </c>
    </row>
    <row r="7238" spans="1:40" x14ac:dyDescent="0.25">
      <c r="A7238" t="str">
        <f>"20190312155017053"</f>
        <v>20190312155017053</v>
      </c>
      <c r="B7238" t="str">
        <f>"1552377017042971"</f>
        <v>1552377017042971</v>
      </c>
      <c r="C7238" t="s">
        <v>40</v>
      </c>
      <c r="D7238">
        <v>4.4336250000000001</v>
      </c>
      <c r="E7238">
        <v>0.41278389999999998</v>
      </c>
      <c r="F7238" t="s">
        <v>42</v>
      </c>
      <c r="G7238">
        <v>-193.49539999999999</v>
      </c>
      <c r="H7238" s="1">
        <v>-4.8715730000000004E-6</v>
      </c>
      <c r="I7238">
        <v>49.480170000000001</v>
      </c>
      <c r="J7238">
        <v>-188.3537</v>
      </c>
      <c r="K7238">
        <v>1.108455</v>
      </c>
      <c r="L7238">
        <v>21.03745</v>
      </c>
      <c r="M7238">
        <v>4.9237939999999996E-3</v>
      </c>
      <c r="N7238">
        <v>0</v>
      </c>
      <c r="O7238">
        <v>0.99997999999999998</v>
      </c>
      <c r="P7238">
        <v>5.4049050000000001E-2</v>
      </c>
      <c r="Q7238">
        <v>5.7203219999999999E-2</v>
      </c>
      <c r="R7238">
        <v>0.99689839999999996</v>
      </c>
      <c r="S7238">
        <v>-0.54267880000000002</v>
      </c>
      <c r="T7238">
        <v>-0.1170378</v>
      </c>
      <c r="U7238">
        <v>3.0451969999999999</v>
      </c>
      <c r="V7238">
        <v>4.9142039999999998E-2</v>
      </c>
      <c r="W7238">
        <v>6.1166060000000001E-2</v>
      </c>
      <c r="X7238">
        <v>0.9969171</v>
      </c>
      <c r="Y7238">
        <v>-0.18016399999999999</v>
      </c>
      <c r="Z7238">
        <v>-3.7793010000000002E-2</v>
      </c>
      <c r="AA7238">
        <v>0.98291030000000001</v>
      </c>
      <c r="AB7238">
        <v>40</v>
      </c>
      <c r="AC7238">
        <v>-5.1416999999999797</v>
      </c>
      <c r="AD7238">
        <v>-1.1084598715729901</v>
      </c>
      <c r="AE7238">
        <v>28.442720000000001</v>
      </c>
      <c r="AF7238">
        <v>-5.2739283563832098</v>
      </c>
      <c r="AG7238">
        <v>-1.1084598715729901</v>
      </c>
      <c r="AH7238">
        <v>28.375325964132699</v>
      </c>
      <c r="AI7238">
        <v>92.199447651546805</v>
      </c>
      <c r="AJ7238">
        <v>100.529030760738</v>
      </c>
      <c r="AK7238">
        <v>28.8825574900481</v>
      </c>
      <c r="AL7238">
        <v>86.493253845696799</v>
      </c>
      <c r="AM7238">
        <v>87.177945647775502</v>
      </c>
      <c r="AN7238">
        <v>0.99999996563184701</v>
      </c>
    </row>
    <row r="7239" spans="1:40" x14ac:dyDescent="0.25">
      <c r="A7239" t="str">
        <f>"20190312155017076"</f>
        <v>20190312155017076</v>
      </c>
      <c r="B7239" t="str">
        <f>"1552377017073228"</f>
        <v>1552377017073228</v>
      </c>
      <c r="C7239" t="s">
        <v>40</v>
      </c>
      <c r="D7239">
        <v>4.4337799999999996</v>
      </c>
      <c r="E7239">
        <v>0.41221259999999998</v>
      </c>
      <c r="F7239" t="s">
        <v>42</v>
      </c>
      <c r="G7239">
        <v>-193.4958</v>
      </c>
      <c r="H7239" s="1">
        <v>-1.0171369999999999E-6</v>
      </c>
      <c r="I7239">
        <v>49.791919999999998</v>
      </c>
      <c r="J7239">
        <v>-188.3518</v>
      </c>
      <c r="K7239">
        <v>1.1084499999999999</v>
      </c>
      <c r="L7239">
        <v>21.431000000000001</v>
      </c>
      <c r="M7239">
        <v>4.922839E-3</v>
      </c>
      <c r="N7239">
        <v>0</v>
      </c>
      <c r="O7239">
        <v>0.99997979999999997</v>
      </c>
      <c r="P7239">
        <v>5.4330389999999999E-2</v>
      </c>
      <c r="Q7239">
        <v>5.6998989999999999E-2</v>
      </c>
      <c r="R7239">
        <v>0.99689479999999997</v>
      </c>
      <c r="S7239">
        <v>-0.54463200000000001</v>
      </c>
      <c r="T7239">
        <v>-0.1174046</v>
      </c>
      <c r="U7239">
        <v>3.0455930000000002</v>
      </c>
      <c r="V7239">
        <v>4.9424349999999999E-2</v>
      </c>
      <c r="W7239">
        <v>6.1001380000000001E-2</v>
      </c>
      <c r="X7239">
        <v>0.9969133</v>
      </c>
      <c r="Y7239">
        <v>-0.1807511</v>
      </c>
      <c r="Z7239">
        <v>-3.790226E-2</v>
      </c>
      <c r="AA7239">
        <v>0.98279830000000001</v>
      </c>
      <c r="AB7239">
        <v>40</v>
      </c>
      <c r="AC7239">
        <v>-5.1440000000000001</v>
      </c>
      <c r="AD7239">
        <v>-1.1084510171369999</v>
      </c>
      <c r="AE7239">
        <v>28.36092</v>
      </c>
      <c r="AF7239">
        <v>-5.2757527933053501</v>
      </c>
      <c r="AG7239">
        <v>-1.1084510171369999</v>
      </c>
      <c r="AH7239">
        <v>28.293410272240799</v>
      </c>
      <c r="AI7239">
        <v>92.205552743024597</v>
      </c>
      <c r="AJ7239">
        <v>100.562400568494</v>
      </c>
      <c r="AK7239">
        <v>28.802418232273499</v>
      </c>
      <c r="AL7239">
        <v>86.502707197013905</v>
      </c>
      <c r="AM7239">
        <v>87.161749210436696</v>
      </c>
      <c r="AN7239">
        <v>1.0000000312258499</v>
      </c>
    </row>
    <row r="7240" spans="1:40" x14ac:dyDescent="0.25">
      <c r="A7240" t="str">
        <f>"20190312155017097"</f>
        <v>20190312155017097</v>
      </c>
      <c r="B7240" t="str">
        <f>"1552377017092747"</f>
        <v>1552377017092747</v>
      </c>
      <c r="C7240" t="s">
        <v>40</v>
      </c>
      <c r="D7240">
        <v>4.5292110000000001</v>
      </c>
      <c r="E7240">
        <v>0.41229359999999998</v>
      </c>
      <c r="F7240" t="s">
        <v>42</v>
      </c>
      <c r="G7240">
        <v>-193.4753</v>
      </c>
      <c r="H7240" s="1">
        <v>-1.0560219999999999E-6</v>
      </c>
      <c r="I7240">
        <v>49.895229999999998</v>
      </c>
      <c r="J7240">
        <v>-188.34979999999999</v>
      </c>
      <c r="K7240">
        <v>1.108449</v>
      </c>
      <c r="L7240">
        <v>21.816960000000002</v>
      </c>
      <c r="M7240">
        <v>4.9219140000000003E-3</v>
      </c>
      <c r="N7240">
        <v>0</v>
      </c>
      <c r="O7240">
        <v>0.99997970000000003</v>
      </c>
      <c r="P7240">
        <v>5.4576039999999999E-2</v>
      </c>
      <c r="Q7240">
        <v>5.6830119999999998E-2</v>
      </c>
      <c r="R7240">
        <v>0.99689110000000003</v>
      </c>
      <c r="S7240">
        <v>-0.54827879999999996</v>
      </c>
      <c r="T7240">
        <v>-0.1186166</v>
      </c>
      <c r="U7240">
        <v>3.0459900000000002</v>
      </c>
      <c r="V7240">
        <v>4.967092E-2</v>
      </c>
      <c r="W7240">
        <v>6.0870489999999999E-2</v>
      </c>
      <c r="X7240">
        <v>0.99690900000000005</v>
      </c>
      <c r="Y7240">
        <v>-0.18186530000000001</v>
      </c>
      <c r="Z7240">
        <v>-3.8280080000000001E-2</v>
      </c>
      <c r="AA7240">
        <v>0.98257799999999995</v>
      </c>
      <c r="AB7240">
        <v>40</v>
      </c>
      <c r="AC7240">
        <v>-5.1255000000000104</v>
      </c>
      <c r="AD7240">
        <v>-1.1084500560220001</v>
      </c>
      <c r="AE7240">
        <v>28.07827</v>
      </c>
      <c r="AF7240">
        <v>-5.2557112693224397</v>
      </c>
      <c r="AG7240">
        <v>-1.1084500560220001</v>
      </c>
      <c r="AH7240">
        <v>28.010457340923701</v>
      </c>
      <c r="AI7240">
        <v>92.227338495127299</v>
      </c>
      <c r="AJ7240">
        <v>100.627066283286</v>
      </c>
      <c r="AK7240">
        <v>28.520814906325601</v>
      </c>
      <c r="AL7240">
        <v>86.510220444136294</v>
      </c>
      <c r="AM7240">
        <v>87.147600684315293</v>
      </c>
      <c r="AN7240">
        <v>0.99999998556374303</v>
      </c>
    </row>
    <row r="7241" spans="1:40" x14ac:dyDescent="0.25">
      <c r="A7241" t="str">
        <f>"20190312155017120"</f>
        <v>20190312155017120</v>
      </c>
      <c r="B7241" t="str">
        <f>"1552377017113243"</f>
        <v>1552377017113243</v>
      </c>
      <c r="C7241" t="s">
        <v>40</v>
      </c>
      <c r="D7241">
        <v>4.6760479999999998</v>
      </c>
      <c r="E7241">
        <v>0.46027020000000002</v>
      </c>
      <c r="F7241" t="s">
        <v>42</v>
      </c>
      <c r="G7241">
        <v>-193.5402</v>
      </c>
      <c r="H7241" s="1">
        <v>-1.4254520000000001E-6</v>
      </c>
      <c r="I7241">
        <v>50.716160000000002</v>
      </c>
      <c r="J7241">
        <v>-188.34780000000001</v>
      </c>
      <c r="K7241">
        <v>1.1084499999999999</v>
      </c>
      <c r="L7241">
        <v>22.225370000000002</v>
      </c>
      <c r="M7241">
        <v>4.9209429999999997E-3</v>
      </c>
      <c r="N7241">
        <v>0</v>
      </c>
      <c r="O7241">
        <v>0.99997950000000002</v>
      </c>
      <c r="P7241">
        <v>5.5085729999999999E-2</v>
      </c>
      <c r="Q7241">
        <v>5.6476810000000002E-2</v>
      </c>
      <c r="R7241">
        <v>0.99688310000000002</v>
      </c>
      <c r="S7241">
        <v>-0.54705809999999999</v>
      </c>
      <c r="T7241">
        <v>-0.11683</v>
      </c>
      <c r="U7241">
        <v>3.0459589999999999</v>
      </c>
      <c r="V7241">
        <v>5.0181589999999998E-2</v>
      </c>
      <c r="W7241">
        <v>6.0556359999999997E-2</v>
      </c>
      <c r="X7241">
        <v>0.99690259999999997</v>
      </c>
      <c r="Y7241">
        <v>-0.1814885</v>
      </c>
      <c r="Z7241">
        <v>-3.7707360000000002E-2</v>
      </c>
      <c r="AA7241">
        <v>0.98266989999999999</v>
      </c>
      <c r="AB7241">
        <v>40</v>
      </c>
      <c r="AC7241">
        <v>-5.1923999999999904</v>
      </c>
      <c r="AD7241">
        <v>-1.1084514254519999</v>
      </c>
      <c r="AE7241">
        <v>28.490790000000001</v>
      </c>
      <c r="AF7241">
        <v>-5.3247391845404204</v>
      </c>
      <c r="AG7241">
        <v>-1.1084514254519999</v>
      </c>
      <c r="AH7241">
        <v>28.4232536047708</v>
      </c>
      <c r="AI7241">
        <v>92.195142775610506</v>
      </c>
      <c r="AJ7241">
        <v>100.610656589549</v>
      </c>
      <c r="AK7241">
        <v>28.938950523940601</v>
      </c>
      <c r="AL7241">
        <v>86.528252183694306</v>
      </c>
      <c r="AM7241">
        <v>87.118305688477193</v>
      </c>
      <c r="AN7241">
        <v>1.0000000292990601</v>
      </c>
    </row>
    <row r="7242" spans="1:40" x14ac:dyDescent="0.25">
      <c r="A7242" t="str">
        <f>"20190312155017141"</f>
        <v>20190312155017141</v>
      </c>
      <c r="B7242" t="str">
        <f>"1552377017132763"</f>
        <v>1552377017132763</v>
      </c>
      <c r="C7242" t="s">
        <v>40</v>
      </c>
      <c r="D7242">
        <v>4.6345809999999998</v>
      </c>
      <c r="E7242">
        <v>0.46978429999999999</v>
      </c>
      <c r="F7242" t="s">
        <v>42</v>
      </c>
      <c r="G7242">
        <v>-192.09299999999999</v>
      </c>
      <c r="H7242" s="1">
        <v>-1.9087360000000002E-6</v>
      </c>
      <c r="I7242">
        <v>92.740290000000002</v>
      </c>
      <c r="J7242">
        <v>-188.3459</v>
      </c>
      <c r="K7242">
        <v>1.1084449999999999</v>
      </c>
      <c r="L7242">
        <v>22.620539999999998</v>
      </c>
      <c r="M7242">
        <v>4.9200349999999997E-3</v>
      </c>
      <c r="N7242">
        <v>0</v>
      </c>
      <c r="O7242">
        <v>0.99997939999999996</v>
      </c>
      <c r="P7242">
        <v>5.5593499999999997E-2</v>
      </c>
      <c r="Q7242">
        <v>5.6413079999999997E-2</v>
      </c>
      <c r="R7242">
        <v>0.99685849999999998</v>
      </c>
      <c r="S7242">
        <v>-0.16044620000000001</v>
      </c>
      <c r="T7242">
        <v>-4.7487260000000003E-2</v>
      </c>
      <c r="U7242">
        <v>3.0209350000000001</v>
      </c>
      <c r="V7242">
        <v>5.0690399999999997E-2</v>
      </c>
      <c r="W7242">
        <v>6.0530189999999998E-2</v>
      </c>
      <c r="X7242">
        <v>0.99687840000000005</v>
      </c>
      <c r="Y7242">
        <v>-5.7942670000000002E-2</v>
      </c>
      <c r="Z7242">
        <v>-1.5692910000000001E-2</v>
      </c>
      <c r="AA7242">
        <v>0.99819650000000004</v>
      </c>
      <c r="AB7242">
        <v>40</v>
      </c>
      <c r="AC7242">
        <v>-3.7470999999999801</v>
      </c>
      <c r="AD7242">
        <v>-1.108446908736</v>
      </c>
      <c r="AE7242">
        <v>70.119749999999996</v>
      </c>
      <c r="AF7242">
        <v>-4.0910298049988096</v>
      </c>
      <c r="AG7242">
        <v>-1.108446908736</v>
      </c>
      <c r="AH7242">
        <v>70.083002095130894</v>
      </c>
      <c r="AI7242">
        <v>90.904586427385595</v>
      </c>
      <c r="AJ7242">
        <v>93.340796446038794</v>
      </c>
      <c r="AK7242">
        <v>70.211055839383206</v>
      </c>
      <c r="AL7242">
        <v>86.529754207143299</v>
      </c>
      <c r="AM7242">
        <v>87.089066564101998</v>
      </c>
      <c r="AN7242">
        <v>0.99999998247007704</v>
      </c>
    </row>
    <row r="7243" spans="1:40" x14ac:dyDescent="0.25">
      <c r="A7243" t="str">
        <f>"20190312155017164"</f>
        <v>20190312155017164</v>
      </c>
      <c r="B7243" t="str">
        <f>"1552377017153259"</f>
        <v>1552377017153259</v>
      </c>
      <c r="C7243" t="s">
        <v>40</v>
      </c>
      <c r="D7243">
        <v>4.5904170000000004</v>
      </c>
      <c r="E7243">
        <v>0.4728213</v>
      </c>
      <c r="F7243" t="s">
        <v>42</v>
      </c>
      <c r="G7243">
        <v>-189.6173</v>
      </c>
      <c r="H7243" s="1">
        <v>-3.7806080000000001E-6</v>
      </c>
      <c r="I7243">
        <v>68.287199999999999</v>
      </c>
      <c r="J7243">
        <v>-188.34379999999999</v>
      </c>
      <c r="K7243">
        <v>1.1084430000000001</v>
      </c>
      <c r="L7243">
        <v>23.041899999999998</v>
      </c>
      <c r="M7243">
        <v>4.9190630000000004E-3</v>
      </c>
      <c r="N7243">
        <v>0</v>
      </c>
      <c r="O7243">
        <v>0.99997919999999996</v>
      </c>
      <c r="P7243">
        <v>5.563974E-2</v>
      </c>
      <c r="Q7243">
        <v>5.6360979999999998E-2</v>
      </c>
      <c r="R7243">
        <v>0.99685889999999999</v>
      </c>
      <c r="S7243">
        <v>-8.4030149999999998E-2</v>
      </c>
      <c r="T7243">
        <v>-7.3261499999999993E-2</v>
      </c>
      <c r="U7243">
        <v>3.0182799999999999</v>
      </c>
      <c r="V7243">
        <v>5.0737589999999999E-2</v>
      </c>
      <c r="W7243">
        <v>6.0517809999999998E-2</v>
      </c>
      <c r="X7243">
        <v>0.99687680000000001</v>
      </c>
      <c r="Y7243">
        <v>-3.273831E-2</v>
      </c>
      <c r="Z7243">
        <v>-2.4253810000000001E-2</v>
      </c>
      <c r="AA7243">
        <v>0.99916959999999999</v>
      </c>
      <c r="AB7243">
        <v>40</v>
      </c>
      <c r="AC7243">
        <v>-1.2735000000000101</v>
      </c>
      <c r="AD7243">
        <v>-1.1084467806080001</v>
      </c>
      <c r="AE7243">
        <v>45.2453</v>
      </c>
      <c r="AF7243">
        <v>-1.4951543559139699</v>
      </c>
      <c r="AG7243">
        <v>-1.1084467806080001</v>
      </c>
      <c r="AH7243">
        <v>45.211374542155802</v>
      </c>
      <c r="AI7243">
        <v>91.403671614336204</v>
      </c>
      <c r="AJ7243">
        <v>91.894099133874704</v>
      </c>
      <c r="AK7243">
        <v>45.249668825357602</v>
      </c>
      <c r="AL7243">
        <v>86.530465001539497</v>
      </c>
      <c r="AM7243">
        <v>87.086356642632495</v>
      </c>
      <c r="AN7243">
        <v>1.0000000313722199</v>
      </c>
    </row>
    <row r="7244" spans="1:40" x14ac:dyDescent="0.25">
      <c r="A7244" t="str">
        <f>"20190312155017186"</f>
        <v>20190312155017186</v>
      </c>
      <c r="B7244" t="str">
        <f>"1552377017182540"</f>
        <v>1552377017182540</v>
      </c>
      <c r="C7244" t="s">
        <v>40</v>
      </c>
      <c r="D7244">
        <v>4.5915369999999998</v>
      </c>
      <c r="E7244">
        <v>0.47452109999999897</v>
      </c>
      <c r="F7244" t="s">
        <v>42</v>
      </c>
      <c r="G7244">
        <v>-189.19560000000001</v>
      </c>
      <c r="H7244" s="1">
        <v>-2.843509E-6</v>
      </c>
      <c r="I7244">
        <v>65.928430000000006</v>
      </c>
      <c r="J7244">
        <v>-188.34190000000001</v>
      </c>
      <c r="K7244">
        <v>1.108444</v>
      </c>
      <c r="L7244">
        <v>23.425840000000001</v>
      </c>
      <c r="M7244">
        <v>4.9181829999999996E-3</v>
      </c>
      <c r="N7244">
        <v>0</v>
      </c>
      <c r="O7244">
        <v>0.99997910000000001</v>
      </c>
      <c r="P7244">
        <v>5.5714710000000001E-2</v>
      </c>
      <c r="Q7244">
        <v>5.6122859999999997E-2</v>
      </c>
      <c r="R7244">
        <v>0.99686810000000003</v>
      </c>
      <c r="S7244">
        <v>-5.9921259999999997E-2</v>
      </c>
      <c r="T7244">
        <v>-7.7982899999999994E-2</v>
      </c>
      <c r="U7244">
        <v>3.0172119999999998</v>
      </c>
      <c r="V7244">
        <v>5.0813379999999998E-2</v>
      </c>
      <c r="W7244">
        <v>6.0315529999999999E-2</v>
      </c>
      <c r="X7244">
        <v>0.99688520000000003</v>
      </c>
      <c r="Y7244">
        <v>-2.476629E-2</v>
      </c>
      <c r="Z7244">
        <v>-2.5830410000000002E-2</v>
      </c>
      <c r="AA7244">
        <v>0.99935949999999996</v>
      </c>
      <c r="AB7244">
        <v>41</v>
      </c>
      <c r="AC7244">
        <v>-0.85370000000000301</v>
      </c>
      <c r="AD7244">
        <v>-1.108446843509</v>
      </c>
      <c r="AE7244">
        <v>42.502589999999998</v>
      </c>
      <c r="AF7244">
        <v>-1.06200500932106</v>
      </c>
      <c r="AG7244">
        <v>-1.108446843509</v>
      </c>
      <c r="AH7244">
        <v>42.469003998710299</v>
      </c>
      <c r="AI7244">
        <v>91.494621260991394</v>
      </c>
      <c r="AJ7244">
        <v>91.432473579516198</v>
      </c>
      <c r="AK7244">
        <v>42.496738812374602</v>
      </c>
      <c r="AL7244">
        <v>86.542076005362503</v>
      </c>
      <c r="AM7244">
        <v>87.082036407669506</v>
      </c>
      <c r="AN7244">
        <v>1.0000000323626199</v>
      </c>
    </row>
    <row r="7245" spans="1:40" x14ac:dyDescent="0.25">
      <c r="A7245" t="str">
        <f>"20190312155017207"</f>
        <v>20190312155017207</v>
      </c>
      <c r="B7245" t="str">
        <f>"1552377017203035"</f>
        <v>1552377017203035</v>
      </c>
      <c r="C7245" t="s">
        <v>40</v>
      </c>
      <c r="D7245">
        <v>4.6045410000000002</v>
      </c>
      <c r="E7245">
        <v>0.475024</v>
      </c>
      <c r="F7245" t="s">
        <v>42</v>
      </c>
      <c r="G7245">
        <v>-188.94980000000001</v>
      </c>
      <c r="H7245" s="1">
        <v>-1.490087E-6</v>
      </c>
      <c r="I7245">
        <v>62.671939999999999</v>
      </c>
      <c r="J7245">
        <v>-188.3399</v>
      </c>
      <c r="K7245">
        <v>1.1084480000000001</v>
      </c>
      <c r="L7245">
        <v>23.828250000000001</v>
      </c>
      <c r="M7245">
        <v>4.9172299999999999E-3</v>
      </c>
      <c r="N7245">
        <v>0</v>
      </c>
      <c r="O7245">
        <v>0.9999789</v>
      </c>
      <c r="P7245">
        <v>5.5594860000000003E-2</v>
      </c>
      <c r="Q7245">
        <v>5.5630520000000003E-2</v>
      </c>
      <c r="R7245">
        <v>0.99690239999999997</v>
      </c>
      <c r="S7245">
        <v>-4.6722409999999999E-2</v>
      </c>
      <c r="T7245">
        <v>-8.5206149999999994E-2</v>
      </c>
      <c r="U7245">
        <v>3.0168460000000001</v>
      </c>
      <c r="V7245">
        <v>5.0694290000000003E-2</v>
      </c>
      <c r="W7245">
        <v>5.9860490000000002E-2</v>
      </c>
      <c r="X7245">
        <v>0.99691870000000005</v>
      </c>
      <c r="Y7245">
        <v>-2.039564E-2</v>
      </c>
      <c r="Z7245">
        <v>-2.8227060000000002E-2</v>
      </c>
      <c r="AA7245">
        <v>0.99939350000000005</v>
      </c>
      <c r="AB7245">
        <v>41</v>
      </c>
      <c r="AC7245">
        <v>-0.60990000000000999</v>
      </c>
      <c r="AD7245">
        <v>-1.1084494900870001</v>
      </c>
      <c r="AE7245">
        <v>38.843690000000002</v>
      </c>
      <c r="AF7245">
        <v>-0.80024621565584297</v>
      </c>
      <c r="AG7245">
        <v>-1.1084494900870001</v>
      </c>
      <c r="AH7245">
        <v>38.808626796384303</v>
      </c>
      <c r="AI7245">
        <v>91.6356860454448</v>
      </c>
      <c r="AJ7245">
        <v>91.181289770636994</v>
      </c>
      <c r="AK7245">
        <v>38.8326997271473</v>
      </c>
      <c r="AL7245">
        <v>86.568195103853597</v>
      </c>
      <c r="AM7245">
        <v>87.088961042040495</v>
      </c>
      <c r="AN7245">
        <v>1.00000004185566</v>
      </c>
    </row>
    <row r="7246" spans="1:40" x14ac:dyDescent="0.25">
      <c r="A7246" t="str">
        <f>"20190312155017244"</f>
        <v>20190312155017244</v>
      </c>
      <c r="B7246" t="str">
        <f>"1552377017233291"</f>
        <v>1552377017233291</v>
      </c>
      <c r="C7246" t="s">
        <v>40</v>
      </c>
      <c r="D7246">
        <v>4.7809839999999904</v>
      </c>
      <c r="E7246">
        <v>0.47534379999999998</v>
      </c>
      <c r="F7246" t="s">
        <v>42</v>
      </c>
      <c r="G7246">
        <v>-188.8792</v>
      </c>
      <c r="H7246" s="1">
        <v>-1.086065E-6</v>
      </c>
      <c r="I7246">
        <v>61.700969999999998</v>
      </c>
      <c r="J7246">
        <v>-188.33670000000001</v>
      </c>
      <c r="K7246">
        <v>1.1084499999999999</v>
      </c>
      <c r="L7246">
        <v>24.481809999999999</v>
      </c>
      <c r="M7246">
        <v>4.9157050000000002E-3</v>
      </c>
      <c r="N7246">
        <v>0</v>
      </c>
      <c r="O7246">
        <v>0.9999787</v>
      </c>
      <c r="P7246">
        <v>5.4985810000000003E-2</v>
      </c>
      <c r="Q7246">
        <v>5.5551280000000001E-2</v>
      </c>
      <c r="R7246">
        <v>0.99694059999999995</v>
      </c>
      <c r="S7246">
        <v>-4.2953489999999997E-2</v>
      </c>
      <c r="T7246">
        <v>-8.8289980000000004E-2</v>
      </c>
      <c r="U7246">
        <v>3.016632</v>
      </c>
      <c r="V7246">
        <v>5.0086579999999999E-2</v>
      </c>
      <c r="W7246">
        <v>5.9840499999999998E-2</v>
      </c>
      <c r="X7246">
        <v>0.99695060000000002</v>
      </c>
      <c r="Y7246">
        <v>-1.9146429999999999E-2</v>
      </c>
      <c r="Z7246">
        <v>-2.925051E-2</v>
      </c>
      <c r="AA7246">
        <v>0.99938870000000002</v>
      </c>
      <c r="AB7246">
        <v>41</v>
      </c>
      <c r="AC7246">
        <v>-0.54249999999998899</v>
      </c>
      <c r="AD7246">
        <v>-1.1084510860650001</v>
      </c>
      <c r="AE7246">
        <v>37.219159999999903</v>
      </c>
      <c r="AF7246">
        <v>-0.72481080713007495</v>
      </c>
      <c r="AG7246">
        <v>-1.1084510860650001</v>
      </c>
      <c r="AH7246">
        <v>37.183070929797601</v>
      </c>
      <c r="AI7246">
        <v>91.707193956218006</v>
      </c>
      <c r="AJ7246">
        <v>91.116727057917203</v>
      </c>
      <c r="AK7246">
        <v>37.206649651462698</v>
      </c>
      <c r="AL7246">
        <v>86.569342445042196</v>
      </c>
      <c r="AM7246">
        <v>87.123890748389897</v>
      </c>
      <c r="AN7246">
        <v>1.00000002488835</v>
      </c>
    </row>
    <row r="7247" spans="1:40" x14ac:dyDescent="0.25">
      <c r="A7247" t="str">
        <f>"20190312155017267"</f>
        <v>20190312155017267</v>
      </c>
      <c r="B7247" t="str">
        <f>"1552377017262571"</f>
        <v>1552377017262571</v>
      </c>
      <c r="C7247" t="s">
        <v>40</v>
      </c>
      <c r="D7247">
        <v>4.5981529999999999</v>
      </c>
      <c r="E7247">
        <v>0.475553</v>
      </c>
      <c r="F7247" t="s">
        <v>42</v>
      </c>
      <c r="G7247">
        <v>-188.87270000000001</v>
      </c>
      <c r="H7247" s="1">
        <v>-1.593128E-6</v>
      </c>
      <c r="I7247">
        <v>62.880249999999997</v>
      </c>
      <c r="J7247">
        <v>-188.33459999999999</v>
      </c>
      <c r="K7247">
        <v>1.1084430000000001</v>
      </c>
      <c r="L7247">
        <v>24.9086</v>
      </c>
      <c r="M7247">
        <v>4.9147059999999996E-3</v>
      </c>
      <c r="N7247">
        <v>0</v>
      </c>
      <c r="O7247">
        <v>0.99997849999999999</v>
      </c>
      <c r="P7247">
        <v>5.488146E-2</v>
      </c>
      <c r="Q7247">
        <v>5.4987220000000003E-2</v>
      </c>
      <c r="R7247">
        <v>0.99697760000000002</v>
      </c>
      <c r="S7247">
        <v>-4.2098999999999998E-2</v>
      </c>
      <c r="T7247">
        <v>-8.7074399999999996E-2</v>
      </c>
      <c r="U7247">
        <v>3.0163880000000001</v>
      </c>
      <c r="V7247">
        <v>4.9983029999999998E-2</v>
      </c>
      <c r="W7247">
        <v>5.9315479999999997E-2</v>
      </c>
      <c r="X7247">
        <v>0.99698719999999996</v>
      </c>
      <c r="Y7247">
        <v>-1.8863700000000001E-2</v>
      </c>
      <c r="Z7247">
        <v>-2.8850600000000001E-2</v>
      </c>
      <c r="AA7247">
        <v>0.99940569999999895</v>
      </c>
      <c r="AB7247">
        <v>41</v>
      </c>
      <c r="AC7247">
        <v>-0.53810000000001401</v>
      </c>
      <c r="AD7247">
        <v>-1.108444593128</v>
      </c>
      <c r="AE7247">
        <v>37.971649999999997</v>
      </c>
      <c r="AF7247">
        <v>-0.72409784952684397</v>
      </c>
      <c r="AG7247">
        <v>-1.108444593128</v>
      </c>
      <c r="AH7247">
        <v>37.936226427265801</v>
      </c>
      <c r="AI7247">
        <v>91.673323446784295</v>
      </c>
      <c r="AJ7247">
        <v>91.093485500011099</v>
      </c>
      <c r="AK7247">
        <v>37.9593235273299</v>
      </c>
      <c r="AL7247">
        <v>86.599477501341894</v>
      </c>
      <c r="AM7247">
        <v>87.1299321111712</v>
      </c>
      <c r="AN7247">
        <v>1.00000005320972</v>
      </c>
    </row>
    <row r="7248" spans="1:40" x14ac:dyDescent="0.25">
      <c r="A7248" t="str">
        <f>"20190312155017286"</f>
        <v>20190312155017286</v>
      </c>
      <c r="B7248" t="str">
        <f>"1552377017283068"</f>
        <v>1552377017283068</v>
      </c>
      <c r="C7248" t="s">
        <v>40</v>
      </c>
      <c r="D7248">
        <v>4.6335100000000002</v>
      </c>
      <c r="E7248">
        <v>0.47591129999999998</v>
      </c>
      <c r="F7248" t="s">
        <v>42</v>
      </c>
      <c r="G7248">
        <v>-188.83279999999999</v>
      </c>
      <c r="H7248" s="1">
        <v>-1.1138469999999899E-6</v>
      </c>
      <c r="I7248">
        <v>61.746540000000003</v>
      </c>
      <c r="J7248">
        <v>-188.33279999999999</v>
      </c>
      <c r="K7248">
        <v>1.10843799999999</v>
      </c>
      <c r="L7248">
        <v>25.282589999999999</v>
      </c>
      <c r="M7248">
        <v>4.9138289999999998E-3</v>
      </c>
      <c r="N7248">
        <v>0</v>
      </c>
      <c r="O7248">
        <v>0.99997840000000005</v>
      </c>
      <c r="P7248">
        <v>5.4642919999999998E-2</v>
      </c>
      <c r="Q7248">
        <v>5.3137999999999998E-2</v>
      </c>
      <c r="R7248">
        <v>0.99709099999999995</v>
      </c>
      <c r="S7248">
        <v>-4.0786740000000002E-2</v>
      </c>
      <c r="T7248">
        <v>-9.0761419999999995E-2</v>
      </c>
      <c r="U7248">
        <v>3.0163570000000002</v>
      </c>
      <c r="V7248">
        <v>4.9744740000000003E-2</v>
      </c>
      <c r="W7248">
        <v>5.7499929999999998E-2</v>
      </c>
      <c r="X7248">
        <v>0.99710540000000003</v>
      </c>
      <c r="Y7248">
        <v>-1.8427760000000001E-2</v>
      </c>
      <c r="Z7248">
        <v>-3.007166E-2</v>
      </c>
      <c r="AA7248">
        <v>0.99937779999999998</v>
      </c>
      <c r="AB7248">
        <v>41</v>
      </c>
      <c r="AC7248">
        <v>-0.5</v>
      </c>
      <c r="AD7248">
        <v>-1.10843911384699</v>
      </c>
      <c r="AE7248">
        <v>36.463949999999997</v>
      </c>
      <c r="AF7248">
        <v>-0.678546391356458</v>
      </c>
      <c r="AG7248">
        <v>-1.10843911384699</v>
      </c>
      <c r="AH7248">
        <v>36.427398356207</v>
      </c>
      <c r="AI7248">
        <v>91.742597348446907</v>
      </c>
      <c r="AJ7248">
        <v>91.067145899085602</v>
      </c>
      <c r="AK7248">
        <v>36.450574940268403</v>
      </c>
      <c r="AL7248">
        <v>86.703678511923499</v>
      </c>
      <c r="AM7248">
        <v>87.143930257213498</v>
      </c>
      <c r="AN7248">
        <v>0.99999997990841605</v>
      </c>
    </row>
    <row r="7249" spans="1:40" x14ac:dyDescent="0.25">
      <c r="A7249" t="str">
        <f>"20190312155017308"</f>
        <v>20190312155017308</v>
      </c>
      <c r="B7249" t="str">
        <f>"1552377017302587"</f>
        <v>1552377017302587</v>
      </c>
      <c r="C7249" t="s">
        <v>40</v>
      </c>
      <c r="D7249">
        <v>4.6533439999999997</v>
      </c>
      <c r="E7249">
        <v>0.47597099999999998</v>
      </c>
      <c r="F7249" t="s">
        <v>42</v>
      </c>
      <c r="G7249">
        <v>-188.7637</v>
      </c>
      <c r="H7249" s="1">
        <v>-4.1238459999999901E-6</v>
      </c>
      <c r="I7249">
        <v>58.734349999999999</v>
      </c>
      <c r="J7249">
        <v>-188.33080000000001</v>
      </c>
      <c r="K7249">
        <v>1.1084270000000001</v>
      </c>
      <c r="L7249">
        <v>25.690339999999999</v>
      </c>
      <c r="M7249">
        <v>4.9128610000000001E-3</v>
      </c>
      <c r="N7249">
        <v>0</v>
      </c>
      <c r="O7249">
        <v>0.99997820000000004</v>
      </c>
      <c r="P7249">
        <v>5.4301139999999998E-2</v>
      </c>
      <c r="Q7249">
        <v>5.1720830000000002E-2</v>
      </c>
      <c r="R7249">
        <v>0.99718419999999997</v>
      </c>
      <c r="S7249">
        <v>-3.8848880000000002E-2</v>
      </c>
      <c r="T7249">
        <v>-9.994364E-2</v>
      </c>
      <c r="U7249">
        <v>3.0162049999999998</v>
      </c>
      <c r="V7249">
        <v>4.9403429999999998E-2</v>
      </c>
      <c r="W7249">
        <v>5.6119809999999999E-2</v>
      </c>
      <c r="X7249">
        <v>0.997201</v>
      </c>
      <c r="Y7249">
        <v>-1.7784270000000001E-2</v>
      </c>
      <c r="Z7249">
        <v>-3.3112790000000003E-2</v>
      </c>
      <c r="AA7249">
        <v>0.9992934</v>
      </c>
      <c r="AB7249">
        <v>41</v>
      </c>
      <c r="AC7249">
        <v>-0.43289999999998902</v>
      </c>
      <c r="AD7249">
        <v>-1.1084311238460001</v>
      </c>
      <c r="AE7249">
        <v>33.04401</v>
      </c>
      <c r="AF7249">
        <v>-0.59456808685048701</v>
      </c>
      <c r="AG7249">
        <v>-1.1084311238460001</v>
      </c>
      <c r="AH7249">
        <v>33.004354097510898</v>
      </c>
      <c r="AI7249">
        <v>91.923209062811495</v>
      </c>
      <c r="AJ7249">
        <v>91.032062539512793</v>
      </c>
      <c r="AK7249">
        <v>33.028313916397501</v>
      </c>
      <c r="AL7249">
        <v>86.782881493240495</v>
      </c>
      <c r="AM7249">
        <v>87.163765776681601</v>
      </c>
      <c r="AN7249">
        <v>0.99999998318560002</v>
      </c>
    </row>
    <row r="7250" spans="1:40" x14ac:dyDescent="0.25">
      <c r="A7250" t="str">
        <f>"20190312155017330"</f>
        <v>20190312155017330</v>
      </c>
      <c r="B7250" t="str">
        <f>"1552377017323083"</f>
        <v>1552377017323083</v>
      </c>
      <c r="C7250" t="s">
        <v>40</v>
      </c>
      <c r="D7250">
        <v>4.6120859999999997</v>
      </c>
      <c r="E7250">
        <v>0.4759639</v>
      </c>
      <c r="F7250" t="s">
        <v>42</v>
      </c>
      <c r="G7250">
        <v>-188.75139999999999</v>
      </c>
      <c r="H7250" s="1">
        <v>-3.6986949999999999E-6</v>
      </c>
      <c r="I7250">
        <v>57.738239999999998</v>
      </c>
      <c r="J7250">
        <v>-188.3288</v>
      </c>
      <c r="K7250">
        <v>1.1084160000000001</v>
      </c>
      <c r="L7250">
        <v>26.10632</v>
      </c>
      <c r="M7250">
        <v>4.9118570000000004E-3</v>
      </c>
      <c r="N7250">
        <v>0</v>
      </c>
      <c r="O7250">
        <v>0.99997809999999998</v>
      </c>
      <c r="P7250">
        <v>5.357671E-2</v>
      </c>
      <c r="Q7250">
        <v>5.0818189999999999E-2</v>
      </c>
      <c r="R7250">
        <v>0.99726979999999998</v>
      </c>
      <c r="S7250">
        <v>-3.95813E-2</v>
      </c>
      <c r="T7250">
        <v>-0.1043153</v>
      </c>
      <c r="U7250">
        <v>3.0160520000000002</v>
      </c>
      <c r="V7250">
        <v>4.8679559999999997E-2</v>
      </c>
      <c r="W7250">
        <v>5.5253789999999997E-2</v>
      </c>
      <c r="X7250">
        <v>0.99728490000000003</v>
      </c>
      <c r="Y7250">
        <v>-1.8025900000000001E-2</v>
      </c>
      <c r="Z7250">
        <v>-3.4561109999999999E-2</v>
      </c>
      <c r="AA7250">
        <v>0.99924000000000002</v>
      </c>
      <c r="AB7250">
        <v>42</v>
      </c>
      <c r="AC7250">
        <v>-0.42259999999998799</v>
      </c>
      <c r="AD7250">
        <v>-1.1084196986949999</v>
      </c>
      <c r="AE7250">
        <v>31.631920000000001</v>
      </c>
      <c r="AF7250">
        <v>-0.57725921709313399</v>
      </c>
      <c r="AG7250">
        <v>-1.1084196986949999</v>
      </c>
      <c r="AH7250">
        <v>31.590679867589898</v>
      </c>
      <c r="AI7250">
        <v>92.009173013793998</v>
      </c>
      <c r="AJ7250">
        <v>91.046854212827</v>
      </c>
      <c r="AK7250">
        <v>31.6153898746911</v>
      </c>
      <c r="AL7250">
        <v>86.832577720918593</v>
      </c>
      <c r="AM7250">
        <v>87.205491279869506</v>
      </c>
      <c r="AN7250">
        <v>0.99999992631958101</v>
      </c>
    </row>
    <row r="7251" spans="1:40" x14ac:dyDescent="0.25">
      <c r="A7251" t="str">
        <f>"20190312155017354"</f>
        <v>20190312155017354</v>
      </c>
      <c r="B7251" t="str">
        <f>"1552377017342603"</f>
        <v>1552377017342603</v>
      </c>
      <c r="C7251" t="s">
        <v>40</v>
      </c>
      <c r="D7251">
        <v>4.6595829999999996</v>
      </c>
      <c r="E7251">
        <v>0.47617779999999998</v>
      </c>
      <c r="F7251" t="s">
        <v>42</v>
      </c>
      <c r="G7251">
        <v>-188.76609999999999</v>
      </c>
      <c r="H7251" s="1">
        <v>-3.5989590000000001E-6</v>
      </c>
      <c r="I7251">
        <v>57.511809999999997</v>
      </c>
      <c r="J7251">
        <v>-188.32660000000001</v>
      </c>
      <c r="K7251">
        <v>1.1084099999999999</v>
      </c>
      <c r="L7251">
        <v>26.544830000000001</v>
      </c>
      <c r="M7251">
        <v>4.9107049999999996E-3</v>
      </c>
      <c r="N7251">
        <v>0</v>
      </c>
      <c r="O7251">
        <v>0.99997789999999998</v>
      </c>
      <c r="P7251">
        <v>5.2710449999999999E-2</v>
      </c>
      <c r="Q7251">
        <v>5.019303E-2</v>
      </c>
      <c r="R7251">
        <v>0.9973476</v>
      </c>
      <c r="S7251">
        <v>-4.1992189999999999E-2</v>
      </c>
      <c r="T7251">
        <v>-0.1064426</v>
      </c>
      <c r="U7251">
        <v>3.0158999999999998</v>
      </c>
      <c r="V7251">
        <v>4.7814059999999999E-2</v>
      </c>
      <c r="W7251">
        <v>5.4667210000000001E-2</v>
      </c>
      <c r="X7251">
        <v>0.9973592</v>
      </c>
      <c r="Y7251">
        <v>-1.8823699999999999E-2</v>
      </c>
      <c r="Z7251">
        <v>-3.526638E-2</v>
      </c>
      <c r="AA7251">
        <v>0.99920059999999999</v>
      </c>
      <c r="AB7251">
        <v>42</v>
      </c>
      <c r="AC7251">
        <v>-0.43949999999998102</v>
      </c>
      <c r="AD7251">
        <v>-1.108413598959</v>
      </c>
      <c r="AE7251">
        <v>30.96698</v>
      </c>
      <c r="AF7251">
        <v>-0.59080915807068601</v>
      </c>
      <c r="AG7251">
        <v>-1.108413598959</v>
      </c>
      <c r="AH7251">
        <v>30.924836406181001</v>
      </c>
      <c r="AI7251">
        <v>92.052352820192098</v>
      </c>
      <c r="AJ7251">
        <v>91.094484488622896</v>
      </c>
      <c r="AK7251">
        <v>30.950333486356399</v>
      </c>
      <c r="AL7251">
        <v>86.866237485866904</v>
      </c>
      <c r="AM7251">
        <v>87.255303848556593</v>
      </c>
      <c r="AN7251">
        <v>1.00000003100375</v>
      </c>
    </row>
    <row r="7252" spans="1:40" x14ac:dyDescent="0.25">
      <c r="A7252" t="str">
        <f>"20190312155017374"</f>
        <v>20190312155017374</v>
      </c>
      <c r="B7252" t="str">
        <f>"1552377017363099"</f>
        <v>1552377017363099</v>
      </c>
      <c r="C7252" t="s">
        <v>40</v>
      </c>
      <c r="D7252">
        <v>4.6194989999999896</v>
      </c>
      <c r="E7252">
        <v>0.47622120000000001</v>
      </c>
      <c r="F7252" t="s">
        <v>42</v>
      </c>
      <c r="G7252">
        <v>-188.75729999999999</v>
      </c>
      <c r="H7252" s="1">
        <v>-3.2973120000000001E-6</v>
      </c>
      <c r="I7252">
        <v>56.805050000000001</v>
      </c>
      <c r="J7252">
        <v>-188.32470000000001</v>
      </c>
      <c r="K7252">
        <v>1.108411</v>
      </c>
      <c r="L7252">
        <v>26.93787</v>
      </c>
      <c r="M7252">
        <v>4.9096189999999996E-3</v>
      </c>
      <c r="N7252">
        <v>0</v>
      </c>
      <c r="O7252">
        <v>0.99997769999999997</v>
      </c>
      <c r="P7252">
        <v>5.1672580000000003E-2</v>
      </c>
      <c r="Q7252">
        <v>4.9054430000000003E-2</v>
      </c>
      <c r="R7252">
        <v>0.99745859999999997</v>
      </c>
      <c r="S7252">
        <v>-4.2922969999999998E-2</v>
      </c>
      <c r="T7252">
        <v>-0.1104672</v>
      </c>
      <c r="U7252">
        <v>3.0158079999999998</v>
      </c>
      <c r="V7252">
        <v>4.6776720000000001E-2</v>
      </c>
      <c r="W7252">
        <v>5.3563529999999998E-2</v>
      </c>
      <c r="X7252">
        <v>0.99746820000000003</v>
      </c>
      <c r="Y7252">
        <v>-1.9130680000000001E-2</v>
      </c>
      <c r="Z7252">
        <v>-3.6598970000000002E-2</v>
      </c>
      <c r="AA7252">
        <v>0.99914689999999995</v>
      </c>
      <c r="AB7252">
        <v>42</v>
      </c>
      <c r="AC7252">
        <v>-0.432599999999979</v>
      </c>
      <c r="AD7252">
        <v>-1.1084142973119999</v>
      </c>
      <c r="AE7252">
        <v>29.867179999999902</v>
      </c>
      <c r="AF7252">
        <v>-0.57843627338532</v>
      </c>
      <c r="AG7252">
        <v>-1.1084142973119999</v>
      </c>
      <c r="AH7252">
        <v>29.8236298385116</v>
      </c>
      <c r="AI7252">
        <v>92.128054833908607</v>
      </c>
      <c r="AJ7252">
        <v>91.111125727254404</v>
      </c>
      <c r="AK7252">
        <v>29.8498252511034</v>
      </c>
      <c r="AL7252">
        <v>86.929566276552706</v>
      </c>
      <c r="AM7252">
        <v>87.315055717560796</v>
      </c>
      <c r="AN7252">
        <v>0.99999996164562899</v>
      </c>
    </row>
    <row r="7253" spans="1:40" x14ac:dyDescent="0.25">
      <c r="A7253" t="str">
        <f>"20190312155017397"</f>
        <v>20190312155017397</v>
      </c>
      <c r="B7253" t="str">
        <f>"1552377017393355"</f>
        <v>1552377017393355</v>
      </c>
      <c r="C7253" t="s">
        <v>40</v>
      </c>
      <c r="D7253">
        <v>4.5949260000000001</v>
      </c>
      <c r="E7253">
        <v>0.47650369999999997</v>
      </c>
      <c r="F7253" t="s">
        <v>42</v>
      </c>
      <c r="G7253">
        <v>-188.7662</v>
      </c>
      <c r="H7253" s="1">
        <v>-3.0394690000000001E-6</v>
      </c>
      <c r="I7253">
        <v>56.207680000000003</v>
      </c>
      <c r="J7253">
        <v>-188.32259999999999</v>
      </c>
      <c r="K7253">
        <v>1.108411</v>
      </c>
      <c r="L7253">
        <v>27.35934</v>
      </c>
      <c r="M7253">
        <v>4.9085889999999997E-3</v>
      </c>
      <c r="N7253">
        <v>0</v>
      </c>
      <c r="O7253">
        <v>0.99997760000000002</v>
      </c>
      <c r="P7253">
        <v>5.0821570000000003E-2</v>
      </c>
      <c r="Q7253">
        <v>4.7944970000000003E-2</v>
      </c>
      <c r="R7253">
        <v>0.9975562</v>
      </c>
      <c r="S7253">
        <v>-4.5486449999999998E-2</v>
      </c>
      <c r="T7253">
        <v>-0.1141982</v>
      </c>
      <c r="U7253">
        <v>3.015625</v>
      </c>
      <c r="V7253">
        <v>4.5926219999999997E-2</v>
      </c>
      <c r="W7253">
        <v>5.2491200000000002E-2</v>
      </c>
      <c r="X7253">
        <v>0.99756480000000003</v>
      </c>
      <c r="Y7253">
        <v>-1.9978969999999999E-2</v>
      </c>
      <c r="Z7253">
        <v>-3.7835100000000003E-2</v>
      </c>
      <c r="AA7253">
        <v>0.99908419999999998</v>
      </c>
      <c r="AB7253">
        <v>42</v>
      </c>
      <c r="AC7253">
        <v>-0.44360000000000299</v>
      </c>
      <c r="AD7253">
        <v>-1.1084140394689901</v>
      </c>
      <c r="AE7253">
        <v>28.84834</v>
      </c>
      <c r="AF7253">
        <v>-0.584338335697559</v>
      </c>
      <c r="AG7253">
        <v>-1.1084140394689901</v>
      </c>
      <c r="AH7253">
        <v>28.8033039111811</v>
      </c>
      <c r="AI7253">
        <v>92.203326394534201</v>
      </c>
      <c r="AJ7253">
        <v>91.162211409426703</v>
      </c>
      <c r="AK7253">
        <v>28.830545419282601</v>
      </c>
      <c r="AL7253">
        <v>86.991093056217295</v>
      </c>
      <c r="AM7253">
        <v>87.364059114678199</v>
      </c>
      <c r="AN7253">
        <v>1.00000003697998</v>
      </c>
    </row>
    <row r="7254" spans="1:40" x14ac:dyDescent="0.25">
      <c r="A7254" t="str">
        <f>"20190312155017420"</f>
        <v>20190312155017420</v>
      </c>
      <c r="B7254" t="str">
        <f>"1552377017412875"</f>
        <v>1552377017412875</v>
      </c>
      <c r="C7254" t="s">
        <v>40</v>
      </c>
      <c r="D7254">
        <v>4.5645419999999897</v>
      </c>
      <c r="E7254">
        <v>0.47678979999999999</v>
      </c>
      <c r="F7254" t="s">
        <v>42</v>
      </c>
      <c r="G7254">
        <v>-188.7561</v>
      </c>
      <c r="H7254" s="1">
        <v>-2.8929209999999998E-6</v>
      </c>
      <c r="I7254">
        <v>55.861899999999999</v>
      </c>
      <c r="J7254">
        <v>-188.32050000000001</v>
      </c>
      <c r="K7254">
        <v>1.108409</v>
      </c>
      <c r="L7254">
        <v>27.79749</v>
      </c>
      <c r="M7254">
        <v>4.9075660000000004E-3</v>
      </c>
      <c r="N7254">
        <v>0</v>
      </c>
      <c r="O7254">
        <v>0.99997740000000002</v>
      </c>
      <c r="P7254">
        <v>5.0727300000000003E-2</v>
      </c>
      <c r="Q7254">
        <v>4.7548930000000003E-2</v>
      </c>
      <c r="R7254">
        <v>0.99758000000000002</v>
      </c>
      <c r="S7254">
        <v>-4.5852660000000003E-2</v>
      </c>
      <c r="T7254">
        <v>-0.1172605</v>
      </c>
      <c r="U7254">
        <v>3.01532</v>
      </c>
      <c r="V7254">
        <v>4.5832829999999998E-2</v>
      </c>
      <c r="W7254">
        <v>5.213359E-2</v>
      </c>
      <c r="X7254">
        <v>0.99758780000000002</v>
      </c>
      <c r="Y7254">
        <v>-2.010019E-2</v>
      </c>
      <c r="Z7254">
        <v>-3.8851980000000001E-2</v>
      </c>
      <c r="AA7254">
        <v>0.99904280000000001</v>
      </c>
      <c r="AB7254">
        <v>42</v>
      </c>
      <c r="AC7254">
        <v>-0.43559999999999299</v>
      </c>
      <c r="AD7254">
        <v>-1.1084118929210001</v>
      </c>
      <c r="AE7254">
        <v>28.064409999999899</v>
      </c>
      <c r="AF7254">
        <v>-0.57243144482904795</v>
      </c>
      <c r="AG7254">
        <v>-1.1084118929210001</v>
      </c>
      <c r="AH7254">
        <v>28.018239780112399</v>
      </c>
      <c r="AI7254">
        <v>92.2649886410492</v>
      </c>
      <c r="AJ7254">
        <v>91.170428400658693</v>
      </c>
      <c r="AK7254">
        <v>28.0459982004433</v>
      </c>
      <c r="AL7254">
        <v>87.011610549475293</v>
      </c>
      <c r="AM7254">
        <v>87.369472272453507</v>
      </c>
      <c r="AN7254">
        <v>0.99999998911046795</v>
      </c>
    </row>
    <row r="7255" spans="1:40" x14ac:dyDescent="0.25">
      <c r="A7255" t="str">
        <f>"20190312155017444"</f>
        <v>20190312155017444</v>
      </c>
      <c r="B7255" t="str">
        <f>"1552377017433372"</f>
        <v>1552377017433372</v>
      </c>
      <c r="C7255" t="s">
        <v>40</v>
      </c>
      <c r="D7255">
        <v>4.5610290000000004</v>
      </c>
      <c r="E7255">
        <v>0.4770336</v>
      </c>
      <c r="F7255" t="s">
        <v>42</v>
      </c>
      <c r="G7255">
        <v>-188.73849999999999</v>
      </c>
      <c r="H7255" s="1">
        <v>-3.259345E-6</v>
      </c>
      <c r="I7255">
        <v>56.708779999999997</v>
      </c>
      <c r="J7255">
        <v>-188.31829999999999</v>
      </c>
      <c r="K7255">
        <v>1.1084050000000001</v>
      </c>
      <c r="L7255">
        <v>28.242650000000001</v>
      </c>
      <c r="M7255">
        <v>4.9065970000000004E-3</v>
      </c>
      <c r="N7255">
        <v>0</v>
      </c>
      <c r="O7255">
        <v>0.99997720000000001</v>
      </c>
      <c r="P7255">
        <v>5.0335659999999997E-2</v>
      </c>
      <c r="Q7255">
        <v>4.766724E-2</v>
      </c>
      <c r="R7255">
        <v>0.99759419999999999</v>
      </c>
      <c r="S7255">
        <v>-4.3594359999999999E-2</v>
      </c>
      <c r="T7255">
        <v>-0.11559079999999999</v>
      </c>
      <c r="U7255">
        <v>3.015015</v>
      </c>
      <c r="V7255">
        <v>4.5442089999999997E-2</v>
      </c>
      <c r="W7255">
        <v>5.2290250000000003E-2</v>
      </c>
      <c r="X7255">
        <v>0.99759750000000003</v>
      </c>
      <c r="Y7255">
        <v>-1.9352930000000001E-2</v>
      </c>
      <c r="Z7255">
        <v>-3.8303959999999998E-2</v>
      </c>
      <c r="AA7255">
        <v>0.99907869999999999</v>
      </c>
      <c r="AB7255">
        <v>42</v>
      </c>
      <c r="AC7255">
        <v>-0.42019999999999402</v>
      </c>
      <c r="AD7255">
        <v>-1.10840825934499</v>
      </c>
      <c r="AE7255">
        <v>28.46613</v>
      </c>
      <c r="AF7255">
        <v>-0.55902089722753701</v>
      </c>
      <c r="AG7255">
        <v>-1.10840825934499</v>
      </c>
      <c r="AH7255">
        <v>28.420644938445999</v>
      </c>
      <c r="AI7255">
        <v>92.232978297908005</v>
      </c>
      <c r="AJ7255">
        <v>91.126836088900902</v>
      </c>
      <c r="AK7255">
        <v>28.447743881547801</v>
      </c>
      <c r="AL7255">
        <v>87.002622404232795</v>
      </c>
      <c r="AM7255">
        <v>87.391892614484703</v>
      </c>
      <c r="AN7255">
        <v>1.00000001289744</v>
      </c>
    </row>
    <row r="7256" spans="1:40" x14ac:dyDescent="0.25">
      <c r="A7256" t="str">
        <f>"20190312155017468"</f>
        <v>20190312155017468</v>
      </c>
      <c r="B7256" t="str">
        <f>"1552377017452893"</f>
        <v>1552377017452893</v>
      </c>
      <c r="C7256" t="s">
        <v>40</v>
      </c>
      <c r="D7256">
        <v>4.5637449999999999</v>
      </c>
      <c r="E7256">
        <v>0.4772497</v>
      </c>
      <c r="F7256" t="s">
        <v>42</v>
      </c>
      <c r="G7256">
        <v>-188.73920000000001</v>
      </c>
      <c r="H7256" s="1">
        <v>-3.8304580000000001E-6</v>
      </c>
      <c r="I7256">
        <v>58.04036</v>
      </c>
      <c r="J7256">
        <v>-188.31610000000001</v>
      </c>
      <c r="K7256">
        <v>1.1084069999999999</v>
      </c>
      <c r="L7256">
        <v>28.690860000000001</v>
      </c>
      <c r="M7256">
        <v>4.9056309999999997E-3</v>
      </c>
      <c r="N7256">
        <v>0</v>
      </c>
      <c r="O7256">
        <v>0.99997709999999995</v>
      </c>
      <c r="P7256">
        <v>5.0492670000000003E-2</v>
      </c>
      <c r="Q7256">
        <v>4.7359209999999999E-2</v>
      </c>
      <c r="R7256">
        <v>0.99760090000000001</v>
      </c>
      <c r="S7256">
        <v>-4.2587279999999998E-2</v>
      </c>
      <c r="T7256">
        <v>-0.11214159999999999</v>
      </c>
      <c r="U7256">
        <v>3.0147400000000002</v>
      </c>
      <c r="V7256">
        <v>4.5600010000000003E-2</v>
      </c>
      <c r="W7256">
        <v>5.2020730000000001E-2</v>
      </c>
      <c r="X7256">
        <v>0.99760439999999995</v>
      </c>
      <c r="Y7256">
        <v>-1.9020209999999999E-2</v>
      </c>
      <c r="Z7256">
        <v>-3.716618E-2</v>
      </c>
      <c r="AA7256">
        <v>0.99912800000000002</v>
      </c>
      <c r="AB7256">
        <v>42</v>
      </c>
      <c r="AC7256">
        <v>-0.42310000000000503</v>
      </c>
      <c r="AD7256">
        <v>-1.10841083045799</v>
      </c>
      <c r="AE7256">
        <v>29.349499999999999</v>
      </c>
      <c r="AF7256">
        <v>-0.56626681204100204</v>
      </c>
      <c r="AG7256">
        <v>-1.10841083045799</v>
      </c>
      <c r="AH7256">
        <v>29.305282840634799</v>
      </c>
      <c r="AI7256">
        <v>92.165656242198395</v>
      </c>
      <c r="AJ7256">
        <v>91.106990211564707</v>
      </c>
      <c r="AK7256">
        <v>29.331703582320301</v>
      </c>
      <c r="AL7256">
        <v>87.018085853951206</v>
      </c>
      <c r="AM7256">
        <v>87.382859596876301</v>
      </c>
      <c r="AN7256">
        <v>1.0000000280805399</v>
      </c>
    </row>
    <row r="7257" spans="1:40" x14ac:dyDescent="0.25">
      <c r="A7257" t="str">
        <f>"20190312155017489"</f>
        <v>20190312155017489</v>
      </c>
      <c r="B7257" t="str">
        <f>"1552377017483148"</f>
        <v>1552377017483148</v>
      </c>
      <c r="C7257" t="s">
        <v>40</v>
      </c>
      <c r="D7257">
        <v>4.5136399999999997</v>
      </c>
      <c r="E7257">
        <v>0.477626</v>
      </c>
      <c r="F7257" t="s">
        <v>42</v>
      </c>
      <c r="G7257">
        <v>-188.72200000000001</v>
      </c>
      <c r="H7257" s="1">
        <v>-4.2997170000000004E-6</v>
      </c>
      <c r="I7257">
        <v>59.127099999999999</v>
      </c>
      <c r="J7257">
        <v>-188.31399999999999</v>
      </c>
      <c r="K7257">
        <v>1.108406</v>
      </c>
      <c r="L7257">
        <v>29.115780000000001</v>
      </c>
      <c r="M7257">
        <v>4.9047029999999998E-3</v>
      </c>
      <c r="N7257">
        <v>0</v>
      </c>
      <c r="O7257">
        <v>0.99997689999999995</v>
      </c>
      <c r="P7257">
        <v>5.059665E-2</v>
      </c>
      <c r="Q7257">
        <v>4.7254879999999999E-2</v>
      </c>
      <c r="R7257">
        <v>0.99760059999999995</v>
      </c>
      <c r="S7257">
        <v>-4.0206909999999998E-2</v>
      </c>
      <c r="T7257">
        <v>-0.10977919999999999</v>
      </c>
      <c r="U7257">
        <v>3.014465</v>
      </c>
      <c r="V7257">
        <v>4.57049E-2</v>
      </c>
      <c r="W7257">
        <v>5.1953109999999997E-2</v>
      </c>
      <c r="X7257">
        <v>0.99760309999999996</v>
      </c>
      <c r="Y7257">
        <v>-1.8232140000000001E-2</v>
      </c>
      <c r="Z7257">
        <v>-3.638806E-2</v>
      </c>
      <c r="AA7257">
        <v>0.99917140000000004</v>
      </c>
      <c r="AB7257">
        <v>43</v>
      </c>
      <c r="AC7257">
        <v>-0.40799999999998698</v>
      </c>
      <c r="AD7257">
        <v>-1.108410299717</v>
      </c>
      <c r="AE7257">
        <v>30.011320000000001</v>
      </c>
      <c r="AF7257">
        <v>-0.55443719201182196</v>
      </c>
      <c r="AG7257">
        <v>-1.108410299717</v>
      </c>
      <c r="AH7257">
        <v>29.9680873967203</v>
      </c>
      <c r="AI7257">
        <v>92.117834375905502</v>
      </c>
      <c r="AJ7257">
        <v>91.059903723431503</v>
      </c>
      <c r="AK7257">
        <v>29.993703276018898</v>
      </c>
      <c r="AL7257">
        <v>87.021965369757993</v>
      </c>
      <c r="AM7257">
        <v>87.376844586807096</v>
      </c>
      <c r="AN7257">
        <v>1.0000000043261399</v>
      </c>
    </row>
    <row r="7258" spans="1:40" x14ac:dyDescent="0.25">
      <c r="A7258" t="str">
        <f>"20190312155017510"</f>
        <v>20190312155017510</v>
      </c>
      <c r="B7258" t="str">
        <f>"1552377017502669"</f>
        <v>1552377017502669</v>
      </c>
      <c r="C7258" t="s">
        <v>40</v>
      </c>
      <c r="D7258">
        <v>4.5249090000000001</v>
      </c>
      <c r="E7258">
        <v>0.47783490000000001</v>
      </c>
      <c r="F7258" t="s">
        <v>42</v>
      </c>
      <c r="G7258">
        <v>-188.70349999999999</v>
      </c>
      <c r="H7258" s="1">
        <v>-9.7158149999999996E-7</v>
      </c>
      <c r="I7258">
        <v>61.36148</v>
      </c>
      <c r="J7258">
        <v>-188.31209999999999</v>
      </c>
      <c r="K7258">
        <v>1.108403</v>
      </c>
      <c r="L7258">
        <v>29.512730000000001</v>
      </c>
      <c r="M7258">
        <v>4.9038279999999998E-3</v>
      </c>
      <c r="N7258">
        <v>0</v>
      </c>
      <c r="O7258">
        <v>0.99997670000000005</v>
      </c>
      <c r="P7258">
        <v>5.0242460000000003E-2</v>
      </c>
      <c r="Q7258">
        <v>4.6978619999999999E-2</v>
      </c>
      <c r="R7258">
        <v>0.9976315</v>
      </c>
      <c r="S7258">
        <v>-3.6407469999999997E-2</v>
      </c>
      <c r="T7258">
        <v>-0.10360179999999999</v>
      </c>
      <c r="U7258">
        <v>3.0139770000000001</v>
      </c>
      <c r="V7258">
        <v>4.5351429999999998E-2</v>
      </c>
      <c r="W7258">
        <v>5.1710249999999999E-2</v>
      </c>
      <c r="X7258">
        <v>0.99763179999999996</v>
      </c>
      <c r="Y7258">
        <v>-1.6974920000000001E-2</v>
      </c>
      <c r="Z7258">
        <v>-3.4349159999999997E-2</v>
      </c>
      <c r="AA7258">
        <v>0.99926570000000003</v>
      </c>
      <c r="AB7258">
        <v>43</v>
      </c>
      <c r="AC7258">
        <v>-0.39140000000000402</v>
      </c>
      <c r="AD7258">
        <v>-1.1084039715814999</v>
      </c>
      <c r="AE7258">
        <v>31.848749999999999</v>
      </c>
      <c r="AF7258">
        <v>-0.54691552969929202</v>
      </c>
      <c r="AG7258">
        <v>-1.1084039715814999</v>
      </c>
      <c r="AH7258">
        <v>31.807928121372601</v>
      </c>
      <c r="AI7258">
        <v>91.9954713285575</v>
      </c>
      <c r="AJ7258">
        <v>90.985064601814301</v>
      </c>
      <c r="AK7258">
        <v>31.8319331385207</v>
      </c>
      <c r="AL7258">
        <v>87.035898806223798</v>
      </c>
      <c r="AM7258">
        <v>87.3971781679721</v>
      </c>
      <c r="AN7258">
        <v>0.999999955264672</v>
      </c>
    </row>
    <row r="7259" spans="1:40" x14ac:dyDescent="0.25">
      <c r="A7259" t="str">
        <f>"20190312155017532"</f>
        <v>20190312155017532</v>
      </c>
      <c r="B7259" t="str">
        <f>"1552377017523164"</f>
        <v>1552377017523164</v>
      </c>
      <c r="C7259" t="s">
        <v>40</v>
      </c>
      <c r="D7259">
        <v>4.5077600000000002</v>
      </c>
      <c r="E7259">
        <v>0.47804439999999998</v>
      </c>
      <c r="F7259" t="s">
        <v>42</v>
      </c>
      <c r="G7259">
        <v>-188.70490000000001</v>
      </c>
      <c r="H7259" s="1">
        <v>-1.5946039999999901E-6</v>
      </c>
      <c r="I7259">
        <v>62.814349999999997</v>
      </c>
      <c r="J7259">
        <v>-188.31</v>
      </c>
      <c r="K7259">
        <v>1.1084149999999999</v>
      </c>
      <c r="L7259">
        <v>29.93393</v>
      </c>
      <c r="M7259">
        <v>4.9028839999999997E-3</v>
      </c>
      <c r="N7259">
        <v>0</v>
      </c>
      <c r="O7259">
        <v>0.99997659999999999</v>
      </c>
      <c r="P7259">
        <v>5.0024470000000001E-2</v>
      </c>
      <c r="Q7259">
        <v>4.7127420000000003E-2</v>
      </c>
      <c r="R7259">
        <v>0.99763550000000001</v>
      </c>
      <c r="S7259">
        <v>-3.5552979999999998E-2</v>
      </c>
      <c r="T7259">
        <v>-0.1003054</v>
      </c>
      <c r="U7259">
        <v>3.0136409999999998</v>
      </c>
      <c r="V7259">
        <v>4.513437E-2</v>
      </c>
      <c r="W7259">
        <v>5.1895009999999998E-2</v>
      </c>
      <c r="X7259">
        <v>0.99763210000000002</v>
      </c>
      <c r="Y7259">
        <v>-1.6692459999999999E-2</v>
      </c>
      <c r="Z7259">
        <v>-3.3261310000000002E-2</v>
      </c>
      <c r="AA7259">
        <v>0.99930730000000001</v>
      </c>
      <c r="AB7259">
        <v>43</v>
      </c>
      <c r="AC7259">
        <v>-0.39490000000000602</v>
      </c>
      <c r="AD7259">
        <v>-1.1084165946040001</v>
      </c>
      <c r="AE7259">
        <v>32.880420000000001</v>
      </c>
      <c r="AF7259">
        <v>-0.55547482262716896</v>
      </c>
      <c r="AG7259">
        <v>-1.1084165946040001</v>
      </c>
      <c r="AH7259">
        <v>32.840773742022598</v>
      </c>
      <c r="AI7259">
        <v>91.932793144045306</v>
      </c>
      <c r="AJ7259">
        <v>90.969018838285393</v>
      </c>
      <c r="AK7259">
        <v>32.864168323578298</v>
      </c>
      <c r="AL7259">
        <v>87.025298753699801</v>
      </c>
      <c r="AM7259">
        <v>87.409619504176106</v>
      </c>
      <c r="AN7259">
        <v>1.0000000051843001</v>
      </c>
    </row>
    <row r="7260" spans="1:40" x14ac:dyDescent="0.25">
      <c r="A7260" t="str">
        <f>"20190312155017555"</f>
        <v>20190312155017555</v>
      </c>
      <c r="B7260" t="str">
        <f>"1552377017542684"</f>
        <v>1552377017542684</v>
      </c>
      <c r="C7260" t="s">
        <v>40</v>
      </c>
      <c r="D7260">
        <v>4.5180550000000004</v>
      </c>
      <c r="E7260">
        <v>0.47819410000000001</v>
      </c>
      <c r="F7260" t="s">
        <v>42</v>
      </c>
      <c r="G7260">
        <v>-188.70439999999999</v>
      </c>
      <c r="H7260" s="1">
        <v>-2.4058739999999998E-6</v>
      </c>
      <c r="I7260">
        <v>64.705219999999997</v>
      </c>
      <c r="J7260">
        <v>-188.30779999999999</v>
      </c>
      <c r="K7260">
        <v>1.10842</v>
      </c>
      <c r="L7260">
        <v>30.374880000000001</v>
      </c>
      <c r="M7260">
        <v>4.9018859999999899E-3</v>
      </c>
      <c r="N7260">
        <v>0</v>
      </c>
      <c r="O7260">
        <v>0.99997639999999999</v>
      </c>
      <c r="P7260">
        <v>5.0185380000000002E-2</v>
      </c>
      <c r="Q7260">
        <v>4.7715130000000001E-2</v>
      </c>
      <c r="R7260">
        <v>0.99759949999999997</v>
      </c>
      <c r="S7260">
        <v>-3.4179689999999999E-2</v>
      </c>
      <c r="T7260">
        <v>-9.6058249999999998E-2</v>
      </c>
      <c r="U7260">
        <v>3.0133670000000001</v>
      </c>
      <c r="V7260">
        <v>4.5296490000000002E-2</v>
      </c>
      <c r="W7260">
        <v>5.2520249999999997E-2</v>
      </c>
      <c r="X7260">
        <v>0.99759200000000003</v>
      </c>
      <c r="Y7260">
        <v>-1.6237689999999999E-2</v>
      </c>
      <c r="Z7260">
        <v>-3.1857509999999999E-2</v>
      </c>
      <c r="AA7260">
        <v>0.99936049999999998</v>
      </c>
      <c r="AB7260">
        <v>43</v>
      </c>
      <c r="AC7260">
        <v>-0.396600000000006</v>
      </c>
      <c r="AD7260">
        <v>-1.108422405874</v>
      </c>
      <c r="AE7260">
        <v>34.33034</v>
      </c>
      <c r="AF7260">
        <v>-0.564292430715303</v>
      </c>
      <c r="AG7260">
        <v>-1.108422405874</v>
      </c>
      <c r="AH7260">
        <v>34.2922403187534</v>
      </c>
      <c r="AI7260">
        <v>91.851067018307205</v>
      </c>
      <c r="AJ7260">
        <v>90.942739716500398</v>
      </c>
      <c r="AK7260">
        <v>34.314789410053898</v>
      </c>
      <c r="AL7260">
        <v>86.989426123728705</v>
      </c>
      <c r="AM7260">
        <v>87.400223396834704</v>
      </c>
      <c r="AN7260">
        <v>0.99999997356519099</v>
      </c>
    </row>
    <row r="7261" spans="1:40" x14ac:dyDescent="0.25">
      <c r="A7261" t="str">
        <f>"20190312155017576"</f>
        <v>20190312155017576</v>
      </c>
      <c r="B7261" t="str">
        <f>"1552377017563179"</f>
        <v>1552377017563179</v>
      </c>
      <c r="C7261" t="s">
        <v>40</v>
      </c>
      <c r="D7261">
        <v>4.5048349999999999</v>
      </c>
      <c r="E7261">
        <v>0.47830600000000001</v>
      </c>
      <c r="F7261" t="s">
        <v>42</v>
      </c>
      <c r="G7261">
        <v>-188.69040000000001</v>
      </c>
      <c r="H7261" s="1">
        <v>-3.106207E-6</v>
      </c>
      <c r="I7261">
        <v>66.331919999999997</v>
      </c>
      <c r="J7261">
        <v>-188.3058</v>
      </c>
      <c r="K7261">
        <v>1.1084229999999999</v>
      </c>
      <c r="L7261">
        <v>30.784549999999999</v>
      </c>
      <c r="M7261">
        <v>4.9010879999999996E-3</v>
      </c>
      <c r="N7261">
        <v>0</v>
      </c>
      <c r="O7261">
        <v>0.99997619999999998</v>
      </c>
      <c r="P7261">
        <v>5.0014049999999997E-2</v>
      </c>
      <c r="Q7261">
        <v>4.7807339999999997E-2</v>
      </c>
      <c r="R7261">
        <v>0.99760369999999998</v>
      </c>
      <c r="S7261">
        <v>-3.2058719999999999E-2</v>
      </c>
      <c r="T7261">
        <v>-9.2888239999999997E-2</v>
      </c>
      <c r="U7261">
        <v>3.0132750000000001</v>
      </c>
      <c r="V7261">
        <v>4.512592E-2</v>
      </c>
      <c r="W7261">
        <v>5.2646440000000003E-2</v>
      </c>
      <c r="X7261">
        <v>0.99759310000000001</v>
      </c>
      <c r="Y7261">
        <v>-1.5534249999999999E-2</v>
      </c>
      <c r="Z7261">
        <v>-3.080842E-2</v>
      </c>
      <c r="AA7261">
        <v>0.99940459999999998</v>
      </c>
      <c r="AB7261">
        <v>43</v>
      </c>
      <c r="AC7261">
        <v>-0.38460000000000599</v>
      </c>
      <c r="AD7261">
        <v>-1.108426106207</v>
      </c>
      <c r="AE7261">
        <v>35.547370000000001</v>
      </c>
      <c r="AF7261">
        <v>-0.55827547768536401</v>
      </c>
      <c r="AG7261">
        <v>-1.108426106207</v>
      </c>
      <c r="AH7261">
        <v>35.510535357228598</v>
      </c>
      <c r="AI7261">
        <v>91.787629621619104</v>
      </c>
      <c r="AJ7261">
        <v>90.900695904205506</v>
      </c>
      <c r="AK7261">
        <v>35.532216385962897</v>
      </c>
      <c r="AL7261">
        <v>86.982186016563404</v>
      </c>
      <c r="AM7261">
        <v>87.410002699780605</v>
      </c>
      <c r="AN7261">
        <v>0.99999999473406498</v>
      </c>
    </row>
    <row r="7262" spans="1:40" x14ac:dyDescent="0.25">
      <c r="A7262" t="str">
        <f>"20190312155017600"</f>
        <v>20190312155017600</v>
      </c>
      <c r="B7262" t="str">
        <f>"1552377017593435"</f>
        <v>1552377017593435</v>
      </c>
      <c r="C7262" t="s">
        <v>40</v>
      </c>
      <c r="D7262">
        <v>4.5322719999999999</v>
      </c>
      <c r="E7262">
        <v>0.47849219999999998</v>
      </c>
      <c r="F7262" t="s">
        <v>42</v>
      </c>
      <c r="G7262">
        <v>-188.6876</v>
      </c>
      <c r="H7262" s="1">
        <v>-3.595089E-6</v>
      </c>
      <c r="I7262">
        <v>67.470369999999903</v>
      </c>
      <c r="J7262">
        <v>-188.30359999999999</v>
      </c>
      <c r="K7262">
        <v>1.1084290000000001</v>
      </c>
      <c r="L7262">
        <v>31.248290000000001</v>
      </c>
      <c r="M7262">
        <v>4.9001590000000003E-3</v>
      </c>
      <c r="N7262">
        <v>0</v>
      </c>
      <c r="O7262">
        <v>0.99997599999999998</v>
      </c>
      <c r="P7262">
        <v>5.0169360000000003E-2</v>
      </c>
      <c r="Q7262">
        <v>4.7686029999999997E-2</v>
      </c>
      <c r="R7262">
        <v>0.99760170000000004</v>
      </c>
      <c r="S7262">
        <v>-3.1356809999999999E-2</v>
      </c>
      <c r="T7262">
        <v>-9.1039540000000002E-2</v>
      </c>
      <c r="U7262">
        <v>3.013153</v>
      </c>
      <c r="V7262">
        <v>4.5282160000000002E-2</v>
      </c>
      <c r="W7262">
        <v>5.2564050000000001E-2</v>
      </c>
      <c r="X7262">
        <v>0.99759039999999999</v>
      </c>
      <c r="Y7262">
        <v>-1.5301159999999999E-2</v>
      </c>
      <c r="Z7262">
        <v>-3.0197129999999999E-2</v>
      </c>
      <c r="AA7262">
        <v>0.99942679999999995</v>
      </c>
      <c r="AB7262">
        <v>43</v>
      </c>
      <c r="AC7262">
        <v>-0.384000000000014</v>
      </c>
      <c r="AD7262">
        <v>-1.1084325950889999</v>
      </c>
      <c r="AE7262">
        <v>36.222079999999899</v>
      </c>
      <c r="AF7262">
        <v>-0.56096622751680703</v>
      </c>
      <c r="AG7262">
        <v>-1.1084325950889999</v>
      </c>
      <c r="AH7262">
        <v>36.185881965496399</v>
      </c>
      <c r="AI7262">
        <v>91.754303923947106</v>
      </c>
      <c r="AJ7262">
        <v>90.888148116688001</v>
      </c>
      <c r="AK7262">
        <v>36.207200382618801</v>
      </c>
      <c r="AL7262">
        <v>86.986913266798595</v>
      </c>
      <c r="AM7262">
        <v>87.401040571748098</v>
      </c>
      <c r="AN7262">
        <v>1.00000002976941</v>
      </c>
    </row>
    <row r="7263" spans="1:40" x14ac:dyDescent="0.25">
      <c r="A7263" t="str">
        <f>"20190312155017621"</f>
        <v>20190312155017621</v>
      </c>
      <c r="B7263" t="str">
        <f>"1552377017612956"</f>
        <v>1552377017612956</v>
      </c>
      <c r="C7263" t="s">
        <v>40</v>
      </c>
      <c r="D7263">
        <v>4.5079669999999998</v>
      </c>
      <c r="E7263">
        <v>0.47862369999999999</v>
      </c>
      <c r="F7263" t="s">
        <v>42</v>
      </c>
      <c r="G7263">
        <v>-188.66569999999999</v>
      </c>
      <c r="H7263" s="1">
        <v>-4.1437669999999998E-6</v>
      </c>
      <c r="I7263">
        <v>68.740259999999907</v>
      </c>
      <c r="J7263">
        <v>-188.30160000000001</v>
      </c>
      <c r="K7263">
        <v>1.108428</v>
      </c>
      <c r="L7263">
        <v>31.659610000000001</v>
      </c>
      <c r="M7263">
        <v>4.8992590000000004E-3</v>
      </c>
      <c r="N7263">
        <v>0</v>
      </c>
      <c r="O7263">
        <v>0.99997590000000003</v>
      </c>
      <c r="P7263">
        <v>5.003378E-2</v>
      </c>
      <c r="Q7263">
        <v>4.6188800000000002E-2</v>
      </c>
      <c r="R7263">
        <v>0.99767890000000004</v>
      </c>
      <c r="S7263">
        <v>-2.9098510000000001E-2</v>
      </c>
      <c r="T7263">
        <v>-8.9076160000000001E-2</v>
      </c>
      <c r="U7263">
        <v>3.0129389999999998</v>
      </c>
      <c r="V7263">
        <v>4.5147060000000003E-2</v>
      </c>
      <c r="W7263">
        <v>5.1102130000000003E-2</v>
      </c>
      <c r="X7263">
        <v>0.99767240000000001</v>
      </c>
      <c r="Y7263">
        <v>-1.455216E-2</v>
      </c>
      <c r="Z7263">
        <v>-2.954884E-2</v>
      </c>
      <c r="AA7263">
        <v>0.99945740000000005</v>
      </c>
      <c r="AB7263">
        <v>43</v>
      </c>
      <c r="AC7263">
        <v>-0.364099999999979</v>
      </c>
      <c r="AD7263">
        <v>-1.1084321437669999</v>
      </c>
      <c r="AE7263">
        <v>37.080649999999899</v>
      </c>
      <c r="AF7263">
        <v>-0.54527834457504598</v>
      </c>
      <c r="AG7263">
        <v>-1.1084321437669999</v>
      </c>
      <c r="AH7263">
        <v>37.045322112637002</v>
      </c>
      <c r="AI7263">
        <v>91.713648728217393</v>
      </c>
      <c r="AJ7263">
        <v>90.843288438445299</v>
      </c>
      <c r="AK7263">
        <v>37.0659121123362</v>
      </c>
      <c r="AL7263">
        <v>87.070787634964205</v>
      </c>
      <c r="AM7263">
        <v>87.408996706705693</v>
      </c>
      <c r="AN7263">
        <v>0.99999995121946905</v>
      </c>
    </row>
    <row r="7264" spans="1:40" x14ac:dyDescent="0.25">
      <c r="A7264" t="str">
        <f>"20190312155017645"</f>
        <v>20190312155017645</v>
      </c>
      <c r="B7264" t="str">
        <f>"1552377017633453"</f>
        <v>1552377017633453</v>
      </c>
      <c r="C7264" t="s">
        <v>40</v>
      </c>
      <c r="D7264">
        <v>4.5284500000000003</v>
      </c>
      <c r="E7264">
        <v>0.47875640000000003</v>
      </c>
      <c r="F7264" t="s">
        <v>42</v>
      </c>
      <c r="G7264">
        <v>-188.64230000000001</v>
      </c>
      <c r="H7264" s="1">
        <v>-3.9962519999999997E-6</v>
      </c>
      <c r="I7264">
        <v>68.386759999999995</v>
      </c>
      <c r="J7264">
        <v>-188.29929999999999</v>
      </c>
      <c r="K7264">
        <v>1.108422</v>
      </c>
      <c r="L7264">
        <v>32.120820000000002</v>
      </c>
      <c r="M7264">
        <v>4.8982469999999997E-3</v>
      </c>
      <c r="N7264">
        <v>0</v>
      </c>
      <c r="O7264">
        <v>0.99997570000000002</v>
      </c>
      <c r="P7264">
        <v>5.0175530000000003E-2</v>
      </c>
      <c r="Q7264">
        <v>4.6027810000000002E-2</v>
      </c>
      <c r="R7264">
        <v>0.99767919999999999</v>
      </c>
      <c r="S7264">
        <v>-2.7954099999999999E-2</v>
      </c>
      <c r="T7264">
        <v>-9.0920929999999997E-2</v>
      </c>
      <c r="U7264">
        <v>3.0126040000000001</v>
      </c>
      <c r="V7264">
        <v>4.5289799999999998E-2</v>
      </c>
      <c r="W7264">
        <v>5.0979740000000003E-2</v>
      </c>
      <c r="X7264">
        <v>0.99767229999999996</v>
      </c>
      <c r="Y7264">
        <v>-1.417241E-2</v>
      </c>
      <c r="Z7264">
        <v>-3.0163740000000001E-2</v>
      </c>
      <c r="AA7264">
        <v>0.99944449999999996</v>
      </c>
      <c r="AB7264">
        <v>43</v>
      </c>
      <c r="AC7264">
        <v>-0.34300000000001701</v>
      </c>
      <c r="AD7264">
        <v>-1.108425996252</v>
      </c>
      <c r="AE7264">
        <v>36.265939999999901</v>
      </c>
      <c r="AF7264">
        <v>-0.52015174742869796</v>
      </c>
      <c r="AG7264">
        <v>-1.108425996252</v>
      </c>
      <c r="AH7264">
        <v>36.229983678972303</v>
      </c>
      <c r="AI7264">
        <v>91.752189305467496</v>
      </c>
      <c r="AJ7264">
        <v>90.822535629696901</v>
      </c>
      <c r="AK7264">
        <v>36.250667351210502</v>
      </c>
      <c r="AL7264">
        <v>87.0778095332833</v>
      </c>
      <c r="AM7264">
        <v>87.400815771748597</v>
      </c>
      <c r="AN7264">
        <v>1.00000005903089</v>
      </c>
    </row>
    <row r="7265" spans="1:40" x14ac:dyDescent="0.25">
      <c r="A7265" t="str">
        <f>"20190312155017667"</f>
        <v>20190312155017667</v>
      </c>
      <c r="B7265" t="str">
        <f>"1552377017652971"</f>
        <v>1552377017652971</v>
      </c>
      <c r="C7265" t="s">
        <v>40</v>
      </c>
      <c r="D7265">
        <v>4.5374049999999997</v>
      </c>
      <c r="E7265">
        <v>0.47886109999999998</v>
      </c>
      <c r="F7265" t="s">
        <v>42</v>
      </c>
      <c r="G7265">
        <v>-188.62450000000001</v>
      </c>
      <c r="H7265" s="1">
        <v>-4.1586130000000002E-7</v>
      </c>
      <c r="I7265">
        <v>69.794619999999995</v>
      </c>
      <c r="J7265">
        <v>-188.2972</v>
      </c>
      <c r="K7265">
        <v>1.1084229999999999</v>
      </c>
      <c r="L7265">
        <v>32.549709999999997</v>
      </c>
      <c r="M7265">
        <v>4.8972989999999999E-3</v>
      </c>
      <c r="N7265">
        <v>0</v>
      </c>
      <c r="O7265">
        <v>0.99997550000000002</v>
      </c>
      <c r="P7265">
        <v>4.9772709999999998E-2</v>
      </c>
      <c r="Q7265">
        <v>4.565164E-2</v>
      </c>
      <c r="R7265">
        <v>0.99771670000000001</v>
      </c>
      <c r="S7265">
        <v>-2.600098E-2</v>
      </c>
      <c r="T7265">
        <v>-8.8628289999999998E-2</v>
      </c>
      <c r="U7265">
        <v>3.0123600000000001</v>
      </c>
      <c r="V7265">
        <v>4.4887759999999999E-2</v>
      </c>
      <c r="W7265">
        <v>5.0639240000000002E-2</v>
      </c>
      <c r="X7265">
        <v>0.99770769999999998</v>
      </c>
      <c r="Y7265">
        <v>-1.352445E-2</v>
      </c>
      <c r="Z7265">
        <v>-2.9406410000000001E-2</v>
      </c>
      <c r="AA7265">
        <v>0.99947600000000003</v>
      </c>
      <c r="AB7265">
        <v>44</v>
      </c>
      <c r="AC7265">
        <v>-0.32730000000000797</v>
      </c>
      <c r="AD7265">
        <v>-1.1084234158613</v>
      </c>
      <c r="AE7265">
        <v>37.244909999999997</v>
      </c>
      <c r="AF7265">
        <v>-0.50924682134249999</v>
      </c>
      <c r="AG7265">
        <v>-1.1084234158613</v>
      </c>
      <c r="AH7265">
        <v>37.2099068701364</v>
      </c>
      <c r="AI7265">
        <v>91.706085098472997</v>
      </c>
      <c r="AJ7265">
        <v>90.784088824302899</v>
      </c>
      <c r="AK7265">
        <v>37.229895300391298</v>
      </c>
      <c r="AL7265">
        <v>87.097343657273399</v>
      </c>
      <c r="AM7265">
        <v>87.423948929661094</v>
      </c>
      <c r="AN7265">
        <v>0.99999994913244095</v>
      </c>
    </row>
    <row r="7266" spans="1:40" x14ac:dyDescent="0.25">
      <c r="A7266" t="str">
        <f>"20190312155017689"</f>
        <v>20190312155017689</v>
      </c>
      <c r="B7266" t="str">
        <f>"1552377017683228"</f>
        <v>1552377017683228</v>
      </c>
      <c r="C7266" t="s">
        <v>40</v>
      </c>
      <c r="D7266">
        <v>4.5329480000000002</v>
      </c>
      <c r="E7266">
        <v>0.47898279999999899</v>
      </c>
      <c r="F7266" t="s">
        <v>42</v>
      </c>
      <c r="G7266">
        <v>-188.62639999999999</v>
      </c>
      <c r="H7266" s="1">
        <v>-6.5200659999999997E-7</v>
      </c>
      <c r="I7266">
        <v>70.490069999999903</v>
      </c>
      <c r="J7266">
        <v>-188.29509999999999</v>
      </c>
      <c r="K7266">
        <v>1.108417</v>
      </c>
      <c r="L7266">
        <v>32.979370000000003</v>
      </c>
      <c r="M7266">
        <v>4.8963560000000001E-3</v>
      </c>
      <c r="N7266">
        <v>0</v>
      </c>
      <c r="O7266">
        <v>0.99997530000000001</v>
      </c>
      <c r="P7266">
        <v>4.9613610000000002E-2</v>
      </c>
      <c r="Q7266">
        <v>4.3856920000000001E-2</v>
      </c>
      <c r="R7266">
        <v>0.9978051</v>
      </c>
      <c r="S7266">
        <v>-2.6138310000000001E-2</v>
      </c>
      <c r="T7266">
        <v>-8.8001369999999995E-2</v>
      </c>
      <c r="U7266">
        <v>3.0122070000000001</v>
      </c>
      <c r="V7266">
        <v>4.4729089999999999E-2</v>
      </c>
      <c r="W7266">
        <v>4.8880949999999999E-2</v>
      </c>
      <c r="X7266">
        <v>0.99780259999999998</v>
      </c>
      <c r="Y7266">
        <v>-1.356956E-2</v>
      </c>
      <c r="Z7266">
        <v>-2.920004E-2</v>
      </c>
      <c r="AA7266">
        <v>0.99948150000000002</v>
      </c>
      <c r="AB7266">
        <v>44</v>
      </c>
      <c r="AC7266">
        <v>-0.33129999999999798</v>
      </c>
      <c r="AD7266">
        <v>-1.1084176520066</v>
      </c>
      <c r="AE7266">
        <v>37.5106999999999</v>
      </c>
      <c r="AF7266">
        <v>-0.51451488288160696</v>
      </c>
      <c r="AG7266">
        <v>-1.1084176520066</v>
      </c>
      <c r="AH7266">
        <v>37.475908041376201</v>
      </c>
      <c r="AI7266">
        <v>91.693972704499799</v>
      </c>
      <c r="AJ7266">
        <v>90.786576785542195</v>
      </c>
      <c r="AK7266">
        <v>37.495826418171802</v>
      </c>
      <c r="AL7266">
        <v>87.198211463540702</v>
      </c>
      <c r="AM7266">
        <v>87.4332864104382</v>
      </c>
      <c r="AN7266">
        <v>1.00000003366594</v>
      </c>
    </row>
    <row r="7267" spans="1:40" x14ac:dyDescent="0.25">
      <c r="A7267" t="str">
        <f>"20190312155017711"</f>
        <v>20190312155017711</v>
      </c>
      <c r="B7267" t="str">
        <f>"1552377017702748"</f>
        <v>1552377017702748</v>
      </c>
      <c r="C7267" t="s">
        <v>40</v>
      </c>
      <c r="D7267">
        <v>4.5642509999999996</v>
      </c>
      <c r="E7267">
        <v>0.47905609999999998</v>
      </c>
      <c r="F7267" t="s">
        <v>42</v>
      </c>
      <c r="G7267">
        <v>-188.59790000000001</v>
      </c>
      <c r="H7267" s="1">
        <v>-4.3245760000000002E-6</v>
      </c>
      <c r="I7267">
        <v>69.133709999999994</v>
      </c>
      <c r="J7267">
        <v>-188.29300000000001</v>
      </c>
      <c r="K7267">
        <v>1.108409</v>
      </c>
      <c r="L7267">
        <v>33.416629999999998</v>
      </c>
      <c r="M7267">
        <v>4.8954130000000004E-3</v>
      </c>
      <c r="N7267">
        <v>0</v>
      </c>
      <c r="O7267">
        <v>0.99997510000000001</v>
      </c>
      <c r="P7267">
        <v>4.9294690000000002E-2</v>
      </c>
      <c r="Q7267">
        <v>4.2723219999999999E-2</v>
      </c>
      <c r="R7267">
        <v>0.99787009999999998</v>
      </c>
      <c r="S7267">
        <v>-2.522278E-2</v>
      </c>
      <c r="T7267">
        <v>-9.2339039999999997E-2</v>
      </c>
      <c r="U7267">
        <v>3.0119020000000001</v>
      </c>
      <c r="V7267">
        <v>4.4410749999999999E-2</v>
      </c>
      <c r="W7267">
        <v>4.7783600000000002E-2</v>
      </c>
      <c r="X7267">
        <v>0.99786989999999998</v>
      </c>
      <c r="Y7267">
        <v>-1.326535E-2</v>
      </c>
      <c r="Z7267">
        <v>-3.064122E-2</v>
      </c>
      <c r="AA7267">
        <v>0.99944239999999995</v>
      </c>
      <c r="AB7267">
        <v>44</v>
      </c>
      <c r="AC7267">
        <v>-0.304900000000003</v>
      </c>
      <c r="AD7267">
        <v>-1.1084133245759999</v>
      </c>
      <c r="AE7267">
        <v>35.717080000000003</v>
      </c>
      <c r="AF7267">
        <v>-0.47928691621920999</v>
      </c>
      <c r="AG7267">
        <v>-1.1084133245759999</v>
      </c>
      <c r="AH7267">
        <v>35.680799267342103</v>
      </c>
      <c r="AI7267">
        <v>91.779143596414002</v>
      </c>
      <c r="AJ7267">
        <v>90.769586628222996</v>
      </c>
      <c r="AK7267">
        <v>35.701228723988201</v>
      </c>
      <c r="AL7267">
        <v>87.261158357931507</v>
      </c>
      <c r="AM7267">
        <v>87.451701368429696</v>
      </c>
      <c r="AN7267">
        <v>0.99999996223526499</v>
      </c>
    </row>
    <row r="7268" spans="1:40" x14ac:dyDescent="0.25">
      <c r="A7268" t="str">
        <f>"20190312155017733"</f>
        <v>20190312155017733</v>
      </c>
      <c r="B7268" t="str">
        <f>"1552377017723244"</f>
        <v>1552377017723244</v>
      </c>
      <c r="C7268" t="s">
        <v>40</v>
      </c>
      <c r="D7268">
        <v>4.5730320000000004</v>
      </c>
      <c r="E7268">
        <v>0.47915350000000001</v>
      </c>
      <c r="F7268" t="s">
        <v>42</v>
      </c>
      <c r="G7268">
        <v>-188.58969999999999</v>
      </c>
      <c r="H7268" s="1">
        <v>-4.1028989999999999E-6</v>
      </c>
      <c r="I7268">
        <v>68.613590000000002</v>
      </c>
      <c r="J7268">
        <v>-188.29079999999999</v>
      </c>
      <c r="K7268">
        <v>1.1084069999999999</v>
      </c>
      <c r="L7268">
        <v>33.850709999999999</v>
      </c>
      <c r="M7268">
        <v>4.894476E-3</v>
      </c>
      <c r="N7268">
        <v>0</v>
      </c>
      <c r="O7268">
        <v>0.99997499999999995</v>
      </c>
      <c r="P7268">
        <v>4.9185130000000001E-2</v>
      </c>
      <c r="Q7268">
        <v>4.301609E-2</v>
      </c>
      <c r="R7268">
        <v>0.9978629</v>
      </c>
      <c r="S7268">
        <v>-2.5390630000000001E-2</v>
      </c>
      <c r="T7268">
        <v>-9.4844220000000007E-2</v>
      </c>
      <c r="U7268">
        <v>3.0117189999999998</v>
      </c>
      <c r="V7268">
        <v>4.4302179999999997E-2</v>
      </c>
      <c r="W7268">
        <v>4.8112240000000001E-2</v>
      </c>
      <c r="X7268">
        <v>0.99785900000000005</v>
      </c>
      <c r="Y7268">
        <v>-1.33204E-2</v>
      </c>
      <c r="Z7268">
        <v>-3.1473599999999997E-2</v>
      </c>
      <c r="AA7268">
        <v>0.99941579999999997</v>
      </c>
      <c r="AB7268">
        <v>44</v>
      </c>
      <c r="AC7268">
        <v>-0.298900000000003</v>
      </c>
      <c r="AD7268">
        <v>-1.108411102899</v>
      </c>
      <c r="AE7268">
        <v>34.762879999999903</v>
      </c>
      <c r="AF7268">
        <v>-0.46856838368462</v>
      </c>
      <c r="AG7268">
        <v>-1.108411102899</v>
      </c>
      <c r="AH7268">
        <v>34.7256994481221</v>
      </c>
      <c r="AI7268">
        <v>91.828039462139799</v>
      </c>
      <c r="AJ7268">
        <v>90.773068996110993</v>
      </c>
      <c r="AK7268">
        <v>34.746544197438197</v>
      </c>
      <c r="AL7268">
        <v>87.242307169675001</v>
      </c>
      <c r="AM7268">
        <v>87.457895225066196</v>
      </c>
      <c r="AN7268">
        <v>1.0000000273357801</v>
      </c>
    </row>
    <row r="7269" spans="1:40" x14ac:dyDescent="0.25">
      <c r="A7269" t="str">
        <f>"20190312155017756"</f>
        <v>20190312155017756</v>
      </c>
      <c r="B7269" t="str">
        <f>"1552377017742764"</f>
        <v>1552377017742764</v>
      </c>
      <c r="C7269" t="s">
        <v>40</v>
      </c>
      <c r="D7269">
        <v>4.578684</v>
      </c>
      <c r="E7269">
        <v>0.47924060000000002</v>
      </c>
      <c r="F7269" t="s">
        <v>42</v>
      </c>
      <c r="G7269">
        <v>-188.58709999999999</v>
      </c>
      <c r="H7269" s="1">
        <v>-3.9462270000000002E-7</v>
      </c>
      <c r="I7269">
        <v>69.70299</v>
      </c>
      <c r="J7269">
        <v>-188.2886</v>
      </c>
      <c r="K7269">
        <v>1.1084099999999999</v>
      </c>
      <c r="L7269">
        <v>34.314639999999997</v>
      </c>
      <c r="M7269">
        <v>4.8934490000000002E-3</v>
      </c>
      <c r="N7269">
        <v>0</v>
      </c>
      <c r="O7269">
        <v>0.99997480000000005</v>
      </c>
      <c r="P7269">
        <v>4.9828310000000001E-2</v>
      </c>
      <c r="Q7269">
        <v>4.4108590000000003E-2</v>
      </c>
      <c r="R7269">
        <v>0.99778330000000004</v>
      </c>
      <c r="S7269">
        <v>-2.4887079999999999E-2</v>
      </c>
      <c r="T7269">
        <v>-9.3108300000000005E-2</v>
      </c>
      <c r="U7269">
        <v>3.0116580000000002</v>
      </c>
      <c r="V7269">
        <v>4.4946800000000002E-2</v>
      </c>
      <c r="W7269">
        <v>4.9242910000000001E-2</v>
      </c>
      <c r="X7269">
        <v>0.99777499999999997</v>
      </c>
      <c r="Y7269">
        <v>-1.31526E-2</v>
      </c>
      <c r="Z7269">
        <v>-3.0898780000000001E-2</v>
      </c>
      <c r="AA7269">
        <v>0.99943599999999999</v>
      </c>
      <c r="AB7269">
        <v>44</v>
      </c>
      <c r="AC7269">
        <v>-0.29849999999999</v>
      </c>
      <c r="AD7269">
        <v>-1.1084103946227</v>
      </c>
      <c r="AE7269">
        <v>35.388350000000003</v>
      </c>
      <c r="AF7269">
        <v>-0.47120756839887201</v>
      </c>
      <c r="AG7269">
        <v>-1.1084103946227</v>
      </c>
      <c r="AH7269">
        <v>35.351787012851801</v>
      </c>
      <c r="AI7269">
        <v>91.795688693475896</v>
      </c>
      <c r="AJ7269">
        <v>90.763656055808099</v>
      </c>
      <c r="AK7269">
        <v>35.372297849835299</v>
      </c>
      <c r="AL7269">
        <v>87.177447625508705</v>
      </c>
      <c r="AM7269">
        <v>87.420739021011897</v>
      </c>
      <c r="AN7269">
        <v>1.0000000148202499</v>
      </c>
    </row>
    <row r="7270" spans="1:40" x14ac:dyDescent="0.25">
      <c r="A7270" t="str">
        <f>"20190312155017778"</f>
        <v>20190312155017778</v>
      </c>
      <c r="B7270" t="str">
        <f>"1552377017773021"</f>
        <v>1552377017773021</v>
      </c>
      <c r="C7270" t="s">
        <v>40</v>
      </c>
      <c r="D7270">
        <v>4.6180620000000001</v>
      </c>
      <c r="E7270">
        <v>0.47916379999999997</v>
      </c>
      <c r="F7270" t="s">
        <v>42</v>
      </c>
      <c r="G7270">
        <v>-188.5658</v>
      </c>
      <c r="H7270" s="1">
        <v>-1.1453249999999999E-6</v>
      </c>
      <c r="I7270">
        <v>71.709509999999995</v>
      </c>
      <c r="J7270">
        <v>-188.28649999999999</v>
      </c>
      <c r="K7270">
        <v>1.1084210000000001</v>
      </c>
      <c r="L7270">
        <v>34.738680000000002</v>
      </c>
      <c r="M7270">
        <v>4.8925100000000001E-3</v>
      </c>
      <c r="N7270">
        <v>0</v>
      </c>
      <c r="O7270">
        <v>0.99997460000000005</v>
      </c>
      <c r="P7270">
        <v>4.9888780000000001E-2</v>
      </c>
      <c r="Q7270">
        <v>4.4894200000000002E-2</v>
      </c>
      <c r="R7270">
        <v>0.99774529999999995</v>
      </c>
      <c r="S7270">
        <v>-2.2323610000000001E-2</v>
      </c>
      <c r="T7270">
        <v>-8.9269520000000005E-2</v>
      </c>
      <c r="U7270">
        <v>3.0117189999999998</v>
      </c>
      <c r="V7270">
        <v>4.5008409999999999E-2</v>
      </c>
      <c r="W7270">
        <v>5.0063490000000002E-2</v>
      </c>
      <c r="X7270">
        <v>0.99773140000000005</v>
      </c>
      <c r="Y7270">
        <v>-1.230115E-2</v>
      </c>
      <c r="Z7270">
        <v>-2.962565E-2</v>
      </c>
      <c r="AA7270">
        <v>0.99948539999999997</v>
      </c>
      <c r="AB7270">
        <v>44</v>
      </c>
      <c r="AC7270">
        <v>-0.27930000000000599</v>
      </c>
      <c r="AD7270">
        <v>-1.1084221453249901</v>
      </c>
      <c r="AE7270">
        <v>36.9708299999999</v>
      </c>
      <c r="AF7270">
        <v>-0.45976600051514099</v>
      </c>
      <c r="AG7270">
        <v>-1.1084221453249901</v>
      </c>
      <c r="AH7270">
        <v>36.935822776285399</v>
      </c>
      <c r="AI7270">
        <v>91.718763436672603</v>
      </c>
      <c r="AJ7270">
        <v>90.713163779328198</v>
      </c>
      <c r="AK7270">
        <v>36.955310695333601</v>
      </c>
      <c r="AL7270">
        <v>87.130373828084899</v>
      </c>
      <c r="AM7270">
        <v>87.417095617794999</v>
      </c>
      <c r="AN7270">
        <v>1.0000000282738299</v>
      </c>
    </row>
    <row r="7271" spans="1:40" x14ac:dyDescent="0.25">
      <c r="A7271" t="str">
        <f>"20190312155017802"</f>
        <v>20190312155017802</v>
      </c>
      <c r="B7271" t="str">
        <f>"1552377017792540"</f>
        <v>1552377017792540</v>
      </c>
      <c r="C7271" t="s">
        <v>40</v>
      </c>
      <c r="D7271">
        <v>4.6225579999999997</v>
      </c>
      <c r="E7271">
        <v>0.47895939999999998</v>
      </c>
      <c r="F7271" t="s">
        <v>42</v>
      </c>
      <c r="G7271">
        <v>-188.57759999999999</v>
      </c>
      <c r="H7271" s="1">
        <v>-1.840437E-6</v>
      </c>
      <c r="I7271">
        <v>73.33475</v>
      </c>
      <c r="J7271">
        <v>-188.2842</v>
      </c>
      <c r="K7271">
        <v>1.10843</v>
      </c>
      <c r="L7271">
        <v>35.217039999999997</v>
      </c>
      <c r="M7271">
        <v>4.8914659999999997E-3</v>
      </c>
      <c r="N7271">
        <v>0</v>
      </c>
      <c r="O7271">
        <v>0.99997440000000004</v>
      </c>
      <c r="P7271">
        <v>5.0174530000000002E-2</v>
      </c>
      <c r="Q7271">
        <v>4.6692110000000002E-2</v>
      </c>
      <c r="R7271">
        <v>0.99764839999999999</v>
      </c>
      <c r="S7271">
        <v>-2.2720339999999999E-2</v>
      </c>
      <c r="T7271">
        <v>-8.6494799999999997E-2</v>
      </c>
      <c r="U7271">
        <v>3.0118100000000001</v>
      </c>
      <c r="V7271">
        <v>4.5295750000000003E-2</v>
      </c>
      <c r="W7271">
        <v>5.1900259999999997E-2</v>
      </c>
      <c r="X7271">
        <v>0.99762450000000003</v>
      </c>
      <c r="Y7271">
        <v>-1.243173E-2</v>
      </c>
      <c r="Z7271">
        <v>-2.870468E-2</v>
      </c>
      <c r="AA7271">
        <v>0.99951060000000003</v>
      </c>
      <c r="AB7271">
        <v>44</v>
      </c>
      <c r="AC7271">
        <v>-0.293399999999991</v>
      </c>
      <c r="AD7271">
        <v>-1.1084318404369999</v>
      </c>
      <c r="AE7271">
        <v>38.117710000000002</v>
      </c>
      <c r="AF7271">
        <v>-0.47944512070334599</v>
      </c>
      <c r="AG7271">
        <v>-1.1084318404369999</v>
      </c>
      <c r="AH7271">
        <v>38.083617243610803</v>
      </c>
      <c r="AI7271">
        <v>91.667003273667405</v>
      </c>
      <c r="AJ7271">
        <v>90.721274206661803</v>
      </c>
      <c r="AK7271">
        <v>38.102760938369201</v>
      </c>
      <c r="AL7271">
        <v>87.0249975071183</v>
      </c>
      <c r="AM7271">
        <v>87.4003503869708</v>
      </c>
      <c r="AN7271">
        <v>0.99999999247819005</v>
      </c>
    </row>
    <row r="7272" spans="1:40" x14ac:dyDescent="0.25">
      <c r="A7272" t="str">
        <f>"20190312155017823"</f>
        <v>20190312155017823</v>
      </c>
      <c r="B7272" t="str">
        <f>"1552377017814012"</f>
        <v>1552377017814012</v>
      </c>
      <c r="C7272" t="s">
        <v>40</v>
      </c>
      <c r="D7272">
        <v>4.6727179999999997</v>
      </c>
      <c r="E7272">
        <v>0.4787846</v>
      </c>
      <c r="F7272" t="s">
        <v>42</v>
      </c>
      <c r="G7272">
        <v>-188.60429999999999</v>
      </c>
      <c r="H7272" s="1">
        <v>-3.0760560000000001E-6</v>
      </c>
      <c r="I7272">
        <v>76.226039999999998</v>
      </c>
      <c r="J7272">
        <v>-188.28210000000001</v>
      </c>
      <c r="K7272">
        <v>1.1084309999999999</v>
      </c>
      <c r="L7272">
        <v>35.646479999999997</v>
      </c>
      <c r="M7272">
        <v>4.8905340000000002E-3</v>
      </c>
      <c r="N7272">
        <v>0</v>
      </c>
      <c r="O7272">
        <v>0.99997429999999998</v>
      </c>
      <c r="P7272">
        <v>5.0664479999999998E-2</v>
      </c>
      <c r="Q7272">
        <v>4.8260690000000002E-2</v>
      </c>
      <c r="R7272">
        <v>0.99754900000000002</v>
      </c>
      <c r="S7272">
        <v>-2.351379E-2</v>
      </c>
      <c r="T7272">
        <v>-8.1412910000000005E-2</v>
      </c>
      <c r="U7272">
        <v>3.012054</v>
      </c>
      <c r="V7272">
        <v>4.578716E-2</v>
      </c>
      <c r="W7272">
        <v>5.3503530000000001E-2</v>
      </c>
      <c r="X7272">
        <v>0.99751730000000005</v>
      </c>
      <c r="Y7272">
        <v>-1.269384E-2</v>
      </c>
      <c r="Z7272">
        <v>-2.7017179999999998E-2</v>
      </c>
      <c r="AA7272">
        <v>0.99955439999999995</v>
      </c>
      <c r="AB7272">
        <v>45</v>
      </c>
      <c r="AC7272">
        <v>-0.32219999999998</v>
      </c>
      <c r="AD7272">
        <v>-1.1084340760560001</v>
      </c>
      <c r="AE7272">
        <v>40.579560000000001</v>
      </c>
      <c r="AF7272">
        <v>-0.52026643821695095</v>
      </c>
      <c r="AG7272">
        <v>-1.1084340760560001</v>
      </c>
      <c r="AH7272">
        <v>40.547248000860499</v>
      </c>
      <c r="AI7272">
        <v>91.565767374665398</v>
      </c>
      <c r="AJ7272">
        <v>90.735128445603706</v>
      </c>
      <c r="AK7272">
        <v>40.565732135769203</v>
      </c>
      <c r="AL7272">
        <v>86.933008856092201</v>
      </c>
      <c r="AM7272">
        <v>87.371904309999394</v>
      </c>
      <c r="AN7272">
        <v>0.99999992777130498</v>
      </c>
    </row>
    <row r="7273" spans="1:40" x14ac:dyDescent="0.25">
      <c r="A7273" t="str">
        <f>"20190312155017846"</f>
        <v>20190312155017846</v>
      </c>
      <c r="B7273" t="str">
        <f>"1552377017832557"</f>
        <v>1552377017832557</v>
      </c>
      <c r="C7273" t="s">
        <v>40</v>
      </c>
      <c r="D7273">
        <v>4.7157200000000001</v>
      </c>
      <c r="E7273">
        <v>0.48050320000000002</v>
      </c>
      <c r="F7273" t="s">
        <v>42</v>
      </c>
      <c r="G7273">
        <v>-188.62</v>
      </c>
      <c r="H7273" s="1">
        <v>-4.2729439999999997E-6</v>
      </c>
      <c r="I7273">
        <v>79.022509999999997</v>
      </c>
      <c r="J7273">
        <v>-188.27979999999999</v>
      </c>
      <c r="K7273">
        <v>1.1084350000000001</v>
      </c>
      <c r="L7273">
        <v>36.097659999999998</v>
      </c>
      <c r="M7273">
        <v>4.8895509999999998E-3</v>
      </c>
      <c r="N7273">
        <v>0</v>
      </c>
      <c r="O7273">
        <v>0.99997400000000003</v>
      </c>
      <c r="P7273">
        <v>5.0736589999999998E-2</v>
      </c>
      <c r="Q7273">
        <v>4.8953200000000002E-2</v>
      </c>
      <c r="R7273">
        <v>0.99751160000000005</v>
      </c>
      <c r="S7273">
        <v>-2.3468019999999999E-2</v>
      </c>
      <c r="T7273">
        <v>-7.697582E-2</v>
      </c>
      <c r="U7273">
        <v>3.0122680000000002</v>
      </c>
      <c r="V7273">
        <v>4.586047E-2</v>
      </c>
      <c r="W7273">
        <v>5.4232509999999998E-2</v>
      </c>
      <c r="X7273">
        <v>0.99747459999999999</v>
      </c>
      <c r="Y7273">
        <v>-1.267742E-2</v>
      </c>
      <c r="Z7273">
        <v>-2.5543900000000001E-2</v>
      </c>
      <c r="AA7273">
        <v>0.99959330000000002</v>
      </c>
      <c r="AB7273">
        <v>45</v>
      </c>
      <c r="AC7273">
        <v>-0.34020000000000999</v>
      </c>
      <c r="AD7273">
        <v>-1.108439272944</v>
      </c>
      <c r="AE7273">
        <v>42.924849999999999</v>
      </c>
      <c r="AF7273">
        <v>-0.5497155881279</v>
      </c>
      <c r="AG7273">
        <v>-1.108439272944</v>
      </c>
      <c r="AH7273">
        <v>42.894072744150797</v>
      </c>
      <c r="AI7273">
        <v>91.480147395804096</v>
      </c>
      <c r="AJ7273">
        <v>90.734242680981197</v>
      </c>
      <c r="AK7273">
        <v>42.911913280930897</v>
      </c>
      <c r="AL7273">
        <v>86.891180751740393</v>
      </c>
      <c r="AM7273">
        <v>87.367589844358207</v>
      </c>
      <c r="AN7273">
        <v>0.99999996274733904</v>
      </c>
    </row>
    <row r="7274" spans="1:40" x14ac:dyDescent="0.25">
      <c r="A7274" t="str">
        <f>"20190312155017869"</f>
        <v>20190312155017869</v>
      </c>
      <c r="B7274" t="str">
        <f>"1552377017862812"</f>
        <v>1552377017862812</v>
      </c>
      <c r="C7274" t="s">
        <v>40</v>
      </c>
      <c r="D7274">
        <v>4.6467159999999996</v>
      </c>
      <c r="E7274">
        <v>0.47295019999999999</v>
      </c>
      <c r="F7274" t="s">
        <v>42</v>
      </c>
      <c r="G7274">
        <v>-188.3665</v>
      </c>
      <c r="H7274" s="1">
        <v>-3.8594059999999996E-6</v>
      </c>
      <c r="I7274">
        <v>57.95373</v>
      </c>
      <c r="J7274">
        <v>-188.27760000000001</v>
      </c>
      <c r="K7274">
        <v>1.108439</v>
      </c>
      <c r="L7274">
        <v>36.567659999999997</v>
      </c>
      <c r="M7274">
        <v>4.8885170000000002E-3</v>
      </c>
      <c r="N7274">
        <v>0</v>
      </c>
      <c r="O7274">
        <v>0.99997380000000002</v>
      </c>
      <c r="P7274">
        <v>5.137647E-2</v>
      </c>
      <c r="Q7274">
        <v>4.9903629999999997E-2</v>
      </c>
      <c r="R7274">
        <v>0.99743179999999998</v>
      </c>
      <c r="S7274">
        <v>-1.196289E-2</v>
      </c>
      <c r="T7274">
        <v>-0.15293689999999999</v>
      </c>
      <c r="U7274">
        <v>3.0155940000000001</v>
      </c>
      <c r="V7274">
        <v>4.6501800000000003E-2</v>
      </c>
      <c r="W7274">
        <v>5.522142E-2</v>
      </c>
      <c r="X7274">
        <v>0.99739069999999996</v>
      </c>
      <c r="Y7274">
        <v>-8.850386E-3</v>
      </c>
      <c r="Z7274">
        <v>-5.0648159999999998E-2</v>
      </c>
      <c r="AA7274">
        <v>0.99867729999999999</v>
      </c>
      <c r="AB7274">
        <v>45</v>
      </c>
      <c r="AC7274">
        <v>-8.8899999999995302E-2</v>
      </c>
      <c r="AD7274">
        <v>-1.1084428594059901</v>
      </c>
      <c r="AE7274">
        <v>21.38607</v>
      </c>
      <c r="AF7274">
        <v>-0.19292832786557701</v>
      </c>
      <c r="AG7274">
        <v>-1.1084428594059901</v>
      </c>
      <c r="AH7274">
        <v>21.328085873223301</v>
      </c>
      <c r="AI7274">
        <v>92.974923311751795</v>
      </c>
      <c r="AJ7274">
        <v>90.518268611487201</v>
      </c>
      <c r="AK7274">
        <v>21.357741311474101</v>
      </c>
      <c r="AL7274">
        <v>86.834435504115007</v>
      </c>
      <c r="AM7274">
        <v>87.330605901706605</v>
      </c>
      <c r="AN7274">
        <v>1.00000001553827</v>
      </c>
    </row>
    <row r="7275" spans="1:40" x14ac:dyDescent="0.25">
      <c r="A7275" t="str">
        <f>"20190312155017891"</f>
        <v>20190312155017891</v>
      </c>
      <c r="B7275" t="str">
        <f>"1552377017883308"</f>
        <v>1552377017883308</v>
      </c>
      <c r="C7275" t="s">
        <v>40</v>
      </c>
      <c r="D7275">
        <v>4.68865</v>
      </c>
      <c r="E7275">
        <v>0.47315879999999999</v>
      </c>
      <c r="F7275" t="s">
        <v>42</v>
      </c>
      <c r="G7275">
        <v>-189.00460000000001</v>
      </c>
      <c r="H7275" s="1">
        <v>-3.8715379999999999E-6</v>
      </c>
      <c r="I7275">
        <v>68.245829999999998</v>
      </c>
      <c r="J7275">
        <v>-188.27539999999999</v>
      </c>
      <c r="K7275">
        <v>1.10843</v>
      </c>
      <c r="L7275">
        <v>37.013489999999997</v>
      </c>
      <c r="M7275">
        <v>4.8875419999999999E-3</v>
      </c>
      <c r="N7275">
        <v>0</v>
      </c>
      <c r="O7275">
        <v>0.99997369999999997</v>
      </c>
      <c r="P7275">
        <v>5.1499429999999999E-2</v>
      </c>
      <c r="Q7275">
        <v>4.964586E-2</v>
      </c>
      <c r="R7275">
        <v>0.9974383</v>
      </c>
      <c r="S7275">
        <v>-6.922913E-2</v>
      </c>
      <c r="T7275">
        <v>-0.1055521</v>
      </c>
      <c r="U7275">
        <v>3.0165709999999999</v>
      </c>
      <c r="V7275">
        <v>4.6625689999999997E-2</v>
      </c>
      <c r="W7275">
        <v>5.499954E-2</v>
      </c>
      <c r="X7275">
        <v>0.99739719999999998</v>
      </c>
      <c r="Y7275">
        <v>-2.7815599999999999E-2</v>
      </c>
      <c r="Z7275">
        <v>-3.495736E-2</v>
      </c>
      <c r="AA7275">
        <v>0.99900160000000005</v>
      </c>
      <c r="AB7275">
        <v>45</v>
      </c>
      <c r="AC7275">
        <v>-0.72920000000001906</v>
      </c>
      <c r="AD7275">
        <v>-1.108433871538</v>
      </c>
      <c r="AE7275">
        <v>31.232339999999901</v>
      </c>
      <c r="AF7275">
        <v>-0.88073414319316701</v>
      </c>
      <c r="AG7275">
        <v>-1.108433871538</v>
      </c>
      <c r="AH7275">
        <v>31.189140462322602</v>
      </c>
      <c r="AI7275">
        <v>92.034573255428299</v>
      </c>
      <c r="AJ7275">
        <v>91.617516284420802</v>
      </c>
      <c r="AK7275">
        <v>31.221255597061599</v>
      </c>
      <c r="AL7275">
        <v>86.847167716527807</v>
      </c>
      <c r="AM7275">
        <v>87.323521852547799</v>
      </c>
      <c r="AN7275">
        <v>1.00000003946801</v>
      </c>
    </row>
    <row r="7276" spans="1:40" x14ac:dyDescent="0.25">
      <c r="A7276" t="str">
        <f>"20190312155017912"</f>
        <v>20190312155017912</v>
      </c>
      <c r="B7276" t="str">
        <f>"1552377017902828"</f>
        <v>1552377017902828</v>
      </c>
      <c r="C7276" t="s">
        <v>40</v>
      </c>
      <c r="D7276">
        <v>4.695443</v>
      </c>
      <c r="E7276">
        <v>0.47268749999999998</v>
      </c>
      <c r="F7276" t="s">
        <v>42</v>
      </c>
      <c r="G7276">
        <v>-189.0078</v>
      </c>
      <c r="H7276" s="1">
        <v>-3.4137959999999998E-7</v>
      </c>
      <c r="I7276">
        <v>69.875479999999996</v>
      </c>
      <c r="J7276">
        <v>-188.2732</v>
      </c>
      <c r="K7276">
        <v>1.108414</v>
      </c>
      <c r="L7276">
        <v>37.450099999999999</v>
      </c>
      <c r="M7276">
        <v>4.8865899999999997E-3</v>
      </c>
      <c r="N7276">
        <v>0</v>
      </c>
      <c r="O7276">
        <v>0.99997349999999996</v>
      </c>
      <c r="P7276">
        <v>5.097003E-2</v>
      </c>
      <c r="Q7276">
        <v>4.6163790000000003E-2</v>
      </c>
      <c r="R7276">
        <v>0.99763270000000004</v>
      </c>
      <c r="S7276">
        <v>-6.7230219999999993E-2</v>
      </c>
      <c r="T7276">
        <v>-0.1017371</v>
      </c>
      <c r="U7276">
        <v>3.016235</v>
      </c>
      <c r="V7276">
        <v>4.6096169999999999E-2</v>
      </c>
      <c r="W7276">
        <v>5.1554059999999999E-2</v>
      </c>
      <c r="X7276">
        <v>0.99760579999999999</v>
      </c>
      <c r="Y7276">
        <v>-2.715644E-2</v>
      </c>
      <c r="Z7276">
        <v>-3.3699670000000001E-2</v>
      </c>
      <c r="AA7276">
        <v>0.99906300000000003</v>
      </c>
      <c r="AB7276">
        <v>45</v>
      </c>
      <c r="AC7276">
        <v>-0.73460000000000003</v>
      </c>
      <c r="AD7276">
        <v>-1.1084143413795999</v>
      </c>
      <c r="AE7276">
        <v>32.425379999999997</v>
      </c>
      <c r="AF7276">
        <v>-0.89200129200622502</v>
      </c>
      <c r="AG7276">
        <v>-1.1084143413795999</v>
      </c>
      <c r="AH7276">
        <v>32.383581831559198</v>
      </c>
      <c r="AI7276">
        <v>91.959592697054106</v>
      </c>
      <c r="AJ7276">
        <v>91.577805382298905</v>
      </c>
      <c r="AK7276">
        <v>32.414821006731003</v>
      </c>
      <c r="AL7276">
        <v>87.044859934233401</v>
      </c>
      <c r="AM7276">
        <v>87.354427226966806</v>
      </c>
      <c r="AN7276">
        <v>1.0000000050923901</v>
      </c>
    </row>
    <row r="7277" spans="1:40" x14ac:dyDescent="0.25">
      <c r="A7277" t="str">
        <f>"20190312155017936"</f>
        <v>20190312155017936</v>
      </c>
      <c r="B7277" t="str">
        <f>"1552377017923324"</f>
        <v>1552377017923324</v>
      </c>
      <c r="C7277" t="s">
        <v>40</v>
      </c>
      <c r="D7277">
        <v>4.702331</v>
      </c>
      <c r="E7277">
        <v>0.47268900000000003</v>
      </c>
      <c r="F7277" t="s">
        <v>42</v>
      </c>
      <c r="G7277">
        <v>-188.96510000000001</v>
      </c>
      <c r="H7277" s="1">
        <v>-2.9861199999999998E-6</v>
      </c>
      <c r="I7277">
        <v>66.165580000000006</v>
      </c>
      <c r="J7277">
        <v>-188.27099999999999</v>
      </c>
      <c r="K7277">
        <v>1.108403</v>
      </c>
      <c r="L7277">
        <v>37.910130000000002</v>
      </c>
      <c r="M7277">
        <v>4.8855829999999998E-3</v>
      </c>
      <c r="N7277">
        <v>0</v>
      </c>
      <c r="O7277">
        <v>0.99997320000000001</v>
      </c>
      <c r="P7277">
        <v>5.0823790000000001E-2</v>
      </c>
      <c r="Q7277">
        <v>4.326203E-2</v>
      </c>
      <c r="R7277">
        <v>0.99777020000000005</v>
      </c>
      <c r="S7277">
        <v>-7.2677610000000004E-2</v>
      </c>
      <c r="T7277">
        <v>-0.11642660000000001</v>
      </c>
      <c r="U7277">
        <v>3.016235</v>
      </c>
      <c r="V7277">
        <v>4.5950159999999997E-2</v>
      </c>
      <c r="W7277">
        <v>4.8691390000000001E-2</v>
      </c>
      <c r="X7277">
        <v>0.99775639999999999</v>
      </c>
      <c r="Y7277">
        <v>-2.8954520000000001E-2</v>
      </c>
      <c r="Z7277">
        <v>-3.8556880000000002E-2</v>
      </c>
      <c r="AA7277">
        <v>0.99883679999999997</v>
      </c>
      <c r="AB7277">
        <v>45</v>
      </c>
      <c r="AC7277">
        <v>-0.69410000000002003</v>
      </c>
      <c r="AD7277">
        <v>-1.10840598612</v>
      </c>
      <c r="AE7277">
        <v>28.25545</v>
      </c>
      <c r="AF7277">
        <v>-0.83086032483245897</v>
      </c>
      <c r="AG7277">
        <v>-1.10840598612</v>
      </c>
      <c r="AH7277">
        <v>28.208339717867698</v>
      </c>
      <c r="AI7277">
        <v>92.249222870685003</v>
      </c>
      <c r="AJ7277">
        <v>91.687126250543002</v>
      </c>
      <c r="AK7277">
        <v>28.242332098254298</v>
      </c>
      <c r="AL7277">
        <v>87.209085448321105</v>
      </c>
      <c r="AM7277">
        <v>87.363192745599903</v>
      </c>
      <c r="AN7277">
        <v>1.00000005120255</v>
      </c>
    </row>
    <row r="7278" spans="1:40" x14ac:dyDescent="0.25">
      <c r="A7278" t="str">
        <f>"20190312155017956"</f>
        <v>20190312155017956</v>
      </c>
      <c r="B7278" t="str">
        <f>"1552377017942845"</f>
        <v>1552377017942845</v>
      </c>
      <c r="C7278" t="s">
        <v>40</v>
      </c>
      <c r="D7278">
        <v>4.6816360000000001</v>
      </c>
      <c r="E7278">
        <v>0.4724681</v>
      </c>
      <c r="F7278" t="s">
        <v>42</v>
      </c>
      <c r="G7278">
        <v>-188.9949</v>
      </c>
      <c r="H7278" s="1">
        <v>-3.7539959999999999E-6</v>
      </c>
      <c r="I7278">
        <v>67.967819999999904</v>
      </c>
      <c r="J7278">
        <v>-188.2689</v>
      </c>
      <c r="K7278">
        <v>1.1084050000000001</v>
      </c>
      <c r="L7278">
        <v>38.33878</v>
      </c>
      <c r="M7278">
        <v>4.884645E-3</v>
      </c>
      <c r="N7278">
        <v>0</v>
      </c>
      <c r="O7278">
        <v>0.99997309999999995</v>
      </c>
      <c r="P7278">
        <v>5.0561139999999997E-2</v>
      </c>
      <c r="Q7278">
        <v>4.366594E-2</v>
      </c>
      <c r="R7278">
        <v>0.99776600000000004</v>
      </c>
      <c r="S7278">
        <v>-7.261658E-2</v>
      </c>
      <c r="T7278">
        <v>-0.1111895</v>
      </c>
      <c r="U7278">
        <v>3.015228</v>
      </c>
      <c r="V7278">
        <v>4.5688479999999997E-2</v>
      </c>
      <c r="W7278">
        <v>4.9134789999999998E-2</v>
      </c>
      <c r="X7278">
        <v>0.99774660000000004</v>
      </c>
      <c r="Y7278">
        <v>-2.8942969999999998E-2</v>
      </c>
      <c r="Z7278">
        <v>-3.6837229999999999E-2</v>
      </c>
      <c r="AA7278">
        <v>0.99890210000000002</v>
      </c>
      <c r="AB7278">
        <v>45</v>
      </c>
      <c r="AC7278">
        <v>-0.72599999999999898</v>
      </c>
      <c r="AD7278">
        <v>-1.1084087539959999</v>
      </c>
      <c r="AE7278">
        <v>29.6290399999999</v>
      </c>
      <c r="AF7278">
        <v>-0.86950472844564397</v>
      </c>
      <c r="AG7278">
        <v>-1.1084087539959999</v>
      </c>
      <c r="AH7278">
        <v>29.583763355588701</v>
      </c>
      <c r="AI7278">
        <v>92.144760200771898</v>
      </c>
      <c r="AJ7278">
        <v>91.683511753187105</v>
      </c>
      <c r="AK7278">
        <v>29.617286552251802</v>
      </c>
      <c r="AL7278">
        <v>87.183649830383303</v>
      </c>
      <c r="AM7278">
        <v>87.378162280618497</v>
      </c>
      <c r="AN7278">
        <v>0.999999971302306</v>
      </c>
    </row>
    <row r="7279" spans="1:40" x14ac:dyDescent="0.25">
      <c r="A7279" t="str">
        <f>"20190312155017978"</f>
        <v>20190312155017978</v>
      </c>
      <c r="B7279" t="str">
        <f>"1552377017973100"</f>
        <v>1552377017973100</v>
      </c>
      <c r="C7279" t="s">
        <v>40</v>
      </c>
      <c r="D7279">
        <v>4.6866459999999996</v>
      </c>
      <c r="E7279">
        <v>0.47214840000000002</v>
      </c>
      <c r="F7279" t="s">
        <v>42</v>
      </c>
      <c r="G7279">
        <v>-189.02610000000001</v>
      </c>
      <c r="H7279" s="1">
        <v>-4.0622069999999998E-6</v>
      </c>
      <c r="I7279">
        <v>68.699200000000005</v>
      </c>
      <c r="J7279">
        <v>-188.26660000000001</v>
      </c>
      <c r="K7279">
        <v>1.108409</v>
      </c>
      <c r="L7279">
        <v>38.804989999999997</v>
      </c>
      <c r="M7279">
        <v>4.8836419999999997E-3</v>
      </c>
      <c r="N7279">
        <v>0</v>
      </c>
      <c r="O7279">
        <v>0.9999728</v>
      </c>
      <c r="P7279">
        <v>5.068785E-2</v>
      </c>
      <c r="Q7279">
        <v>4.3137639999999998E-2</v>
      </c>
      <c r="R7279">
        <v>0.99778250000000002</v>
      </c>
      <c r="S7279">
        <v>-7.5210570000000004E-2</v>
      </c>
      <c r="T7279">
        <v>-0.1100855</v>
      </c>
      <c r="U7279">
        <v>3.0153500000000002</v>
      </c>
      <c r="V7279">
        <v>4.5816089999999997E-2</v>
      </c>
      <c r="W7279">
        <v>4.8656629999999999E-2</v>
      </c>
      <c r="X7279">
        <v>0.99776419999999999</v>
      </c>
      <c r="Y7279">
        <v>-2.9800130000000001E-2</v>
      </c>
      <c r="Z7279">
        <v>-3.6469639999999998E-2</v>
      </c>
      <c r="AA7279">
        <v>0.99889030000000001</v>
      </c>
      <c r="AB7279">
        <v>45</v>
      </c>
      <c r="AC7279">
        <v>-0.75950000000000195</v>
      </c>
      <c r="AD7279">
        <v>-1.1084130622069901</v>
      </c>
      <c r="AE7279">
        <v>29.894209999999902</v>
      </c>
      <c r="AF7279">
        <v>-0.90424346997942195</v>
      </c>
      <c r="AG7279">
        <v>-1.1084130622069901</v>
      </c>
      <c r="AH7279">
        <v>29.849135179956999</v>
      </c>
      <c r="AI7279">
        <v>92.125661025093393</v>
      </c>
      <c r="AJ7279">
        <v>91.735175715387598</v>
      </c>
      <c r="AK7279">
        <v>29.883391821558899</v>
      </c>
      <c r="AL7279">
        <v>87.211079242865395</v>
      </c>
      <c r="AM7279">
        <v>87.370895941475695</v>
      </c>
      <c r="AN7279">
        <v>0.99999999027374198</v>
      </c>
    </row>
    <row r="7280" spans="1:40" x14ac:dyDescent="0.25">
      <c r="A7280" t="str">
        <f>"20190312155018002"</f>
        <v>20190312155018002</v>
      </c>
      <c r="B7280" t="str">
        <f>"1552377017992620"</f>
        <v>1552377017992620</v>
      </c>
      <c r="C7280" t="s">
        <v>40</v>
      </c>
      <c r="D7280">
        <v>4.8154370000000002</v>
      </c>
      <c r="E7280">
        <v>0.4722866</v>
      </c>
      <c r="F7280" t="s">
        <v>42</v>
      </c>
      <c r="G7280">
        <v>-189.0129</v>
      </c>
      <c r="H7280" s="1">
        <v>-3.6753280000000001E-6</v>
      </c>
      <c r="I7280">
        <v>67.791889999999995</v>
      </c>
      <c r="J7280">
        <v>-188.26429999999999</v>
      </c>
      <c r="K7280">
        <v>1.108409</v>
      </c>
      <c r="L7280">
        <v>39.270229999999998</v>
      </c>
      <c r="M7280">
        <v>4.8826649999999996E-3</v>
      </c>
      <c r="N7280">
        <v>0</v>
      </c>
      <c r="O7280">
        <v>0.99997250000000004</v>
      </c>
      <c r="P7280">
        <v>5.0761569999999999E-2</v>
      </c>
      <c r="Q7280">
        <v>4.2825040000000002E-2</v>
      </c>
      <c r="R7280">
        <v>0.99779220000000002</v>
      </c>
      <c r="S7280">
        <v>-7.7636720000000006E-2</v>
      </c>
      <c r="T7280">
        <v>-0.1153115</v>
      </c>
      <c r="U7280">
        <v>3.0155940000000001</v>
      </c>
      <c r="V7280">
        <v>4.5890739999999999E-2</v>
      </c>
      <c r="W7280">
        <v>4.840324E-2</v>
      </c>
      <c r="X7280">
        <v>0.99777309999999997</v>
      </c>
      <c r="Y7280">
        <v>-3.0598589999999998E-2</v>
      </c>
      <c r="Z7280">
        <v>-3.8194529999999997E-2</v>
      </c>
      <c r="AA7280">
        <v>0.99880170000000001</v>
      </c>
      <c r="AB7280">
        <v>46</v>
      </c>
      <c r="AC7280">
        <v>-0.74860000000001004</v>
      </c>
      <c r="AD7280">
        <v>-1.1084126753279999</v>
      </c>
      <c r="AE7280">
        <v>28.521660000000001</v>
      </c>
      <c r="AF7280">
        <v>-0.88651700233957897</v>
      </c>
      <c r="AG7280">
        <v>-1.1084126753279999</v>
      </c>
      <c r="AH7280">
        <v>28.474690039378402</v>
      </c>
      <c r="AI7280">
        <v>92.228105412403593</v>
      </c>
      <c r="AJ7280">
        <v>91.783242620312805</v>
      </c>
      <c r="AK7280">
        <v>28.510041457229502</v>
      </c>
      <c r="AL7280">
        <v>87.225614564083003</v>
      </c>
      <c r="AM7280">
        <v>87.366641717969301</v>
      </c>
      <c r="AN7280">
        <v>0.99999999637192705</v>
      </c>
    </row>
    <row r="7281" spans="1:40" x14ac:dyDescent="0.25">
      <c r="A7281" t="str">
        <f>"20190312155018023"</f>
        <v>20190312155018023</v>
      </c>
      <c r="B7281" t="str">
        <f>"1552377018013116"</f>
        <v>1552377018013116</v>
      </c>
      <c r="C7281" t="s">
        <v>40</v>
      </c>
      <c r="D7281">
        <v>4.7757489999999896</v>
      </c>
      <c r="E7281">
        <v>0.50263170000000001</v>
      </c>
      <c r="F7281" t="s">
        <v>42</v>
      </c>
      <c r="G7281">
        <v>-188.99270000000001</v>
      </c>
      <c r="H7281" s="1">
        <v>-3.810807E-6</v>
      </c>
      <c r="I7281">
        <v>68.099360000000004</v>
      </c>
      <c r="J7281">
        <v>-188.26220000000001</v>
      </c>
      <c r="K7281">
        <v>1.1084149999999999</v>
      </c>
      <c r="L7281">
        <v>39.713900000000002</v>
      </c>
      <c r="M7281">
        <v>4.8817499999999998E-3</v>
      </c>
      <c r="N7281">
        <v>0</v>
      </c>
      <c r="O7281">
        <v>0.99997199999999997</v>
      </c>
      <c r="P7281">
        <v>5.0972509999999999E-2</v>
      </c>
      <c r="Q7281">
        <v>4.2159969999999998E-2</v>
      </c>
      <c r="R7281">
        <v>0.99780979999999997</v>
      </c>
      <c r="S7281">
        <v>-7.6187130000000006E-2</v>
      </c>
      <c r="T7281">
        <v>-0.1159379</v>
      </c>
      <c r="U7281">
        <v>3.0154719999999999</v>
      </c>
      <c r="V7281">
        <v>4.6102459999999998E-2</v>
      </c>
      <c r="W7281">
        <v>4.7805510000000002E-2</v>
      </c>
      <c r="X7281">
        <v>0.99779220000000002</v>
      </c>
      <c r="Y7281">
        <v>-3.0118679999999998E-2</v>
      </c>
      <c r="Z7281">
        <v>-3.840379E-2</v>
      </c>
      <c r="AA7281">
        <v>0.99880829999999998</v>
      </c>
      <c r="AB7281">
        <v>46</v>
      </c>
      <c r="AC7281">
        <v>-0.73050000000000603</v>
      </c>
      <c r="AD7281">
        <v>-1.1084188108070001</v>
      </c>
      <c r="AE7281">
        <v>28.385459999999998</v>
      </c>
      <c r="AF7281">
        <v>-0.867741976942213</v>
      </c>
      <c r="AG7281">
        <v>-1.1084188108070001</v>
      </c>
      <c r="AH7281">
        <v>28.338373524343901</v>
      </c>
      <c r="AI7281">
        <v>92.238860179435804</v>
      </c>
      <c r="AJ7281">
        <v>91.753891156387994</v>
      </c>
      <c r="AK7281">
        <v>28.373314617857702</v>
      </c>
      <c r="AL7281">
        <v>87.259901781566001</v>
      </c>
      <c r="AM7281">
        <v>87.354560332360506</v>
      </c>
      <c r="AN7281">
        <v>1.00000003899262</v>
      </c>
    </row>
    <row r="7282" spans="1:40" x14ac:dyDescent="0.25">
      <c r="A7282" t="str">
        <f>"20190312155018047"</f>
        <v>20190312155018047</v>
      </c>
      <c r="B7282" t="str">
        <f>"1552377018032636"</f>
        <v>1552377018032636</v>
      </c>
      <c r="C7282" t="s">
        <v>40</v>
      </c>
      <c r="D7282">
        <v>4.6770750000000003</v>
      </c>
      <c r="E7282">
        <v>0.50840470000000004</v>
      </c>
      <c r="F7282" t="s">
        <v>42</v>
      </c>
      <c r="G7282">
        <v>-186.70179999999999</v>
      </c>
      <c r="H7282" s="1">
        <v>-4.1266469999999998E-6</v>
      </c>
      <c r="I7282">
        <v>67.888319999999993</v>
      </c>
      <c r="J7282">
        <v>-188.25980000000001</v>
      </c>
      <c r="K7282">
        <v>1.10842</v>
      </c>
      <c r="L7282">
        <v>40.186680000000003</v>
      </c>
      <c r="M7282">
        <v>4.8807720000000002E-3</v>
      </c>
      <c r="N7282">
        <v>0</v>
      </c>
      <c r="O7282">
        <v>0.99997159999999996</v>
      </c>
      <c r="P7282">
        <v>5.120355E-2</v>
      </c>
      <c r="Q7282">
        <v>4.1066480000000002E-2</v>
      </c>
      <c r="R7282">
        <v>0.99784360000000005</v>
      </c>
      <c r="S7282">
        <v>0.16632079999999999</v>
      </c>
      <c r="T7282">
        <v>-0.11814520000000001</v>
      </c>
      <c r="U7282">
        <v>3.003082</v>
      </c>
      <c r="V7282">
        <v>4.6334260000000002E-2</v>
      </c>
      <c r="W7282">
        <v>4.6796219999999999E-2</v>
      </c>
      <c r="X7282">
        <v>0.99782930000000003</v>
      </c>
      <c r="Y7282">
        <v>5.0381960000000003E-2</v>
      </c>
      <c r="Z7282">
        <v>-3.925522E-2</v>
      </c>
      <c r="AA7282">
        <v>0.99795820000000002</v>
      </c>
      <c r="AB7282">
        <v>46</v>
      </c>
      <c r="AC7282">
        <v>1.55800000000002</v>
      </c>
      <c r="AD7282">
        <v>-1.1084241266470001</v>
      </c>
      <c r="AE7282">
        <v>27.701640000000001</v>
      </c>
      <c r="AF7282">
        <v>1.4205067132320801</v>
      </c>
      <c r="AG7282">
        <v>-1.1084241266470001</v>
      </c>
      <c r="AH7282">
        <v>27.664761797169099</v>
      </c>
      <c r="AI7282">
        <v>92.291386159734898</v>
      </c>
      <c r="AJ7282">
        <v>87.060606385846199</v>
      </c>
      <c r="AK7282">
        <v>27.7233744097102</v>
      </c>
      <c r="AL7282">
        <v>87.317794617548401</v>
      </c>
      <c r="AM7282">
        <v>87.341376992992707</v>
      </c>
      <c r="AN7282">
        <v>1.0000000308972601</v>
      </c>
    </row>
    <row r="7283" spans="1:40" x14ac:dyDescent="0.25">
      <c r="A7283" t="str">
        <f>"20190312155018072"</f>
        <v>20190312155018072</v>
      </c>
      <c r="B7283" t="str">
        <f>"1552377018063868"</f>
        <v>1552377018063868</v>
      </c>
      <c r="C7283" t="s">
        <v>40</v>
      </c>
      <c r="D7283">
        <v>4.6391299999999998</v>
      </c>
      <c r="E7283">
        <v>0.51227650000000002</v>
      </c>
      <c r="F7283" t="s">
        <v>42</v>
      </c>
      <c r="G7283">
        <v>-186.26929999999999</v>
      </c>
      <c r="H7283" s="1">
        <v>-4.3478710000000002E-6</v>
      </c>
      <c r="I7283">
        <v>68.225169999999906</v>
      </c>
      <c r="J7283">
        <v>-188.25739999999999</v>
      </c>
      <c r="K7283">
        <v>1.108436</v>
      </c>
      <c r="L7283">
        <v>40.69717</v>
      </c>
      <c r="M7283">
        <v>4.8797520000000002E-3</v>
      </c>
      <c r="N7283">
        <v>0</v>
      </c>
      <c r="O7283">
        <v>0.99997100000000005</v>
      </c>
      <c r="P7283">
        <v>5.1270160000000002E-2</v>
      </c>
      <c r="Q7283">
        <v>4.0506670000000002E-2</v>
      </c>
      <c r="R7283">
        <v>0.99786300000000006</v>
      </c>
      <c r="S7283">
        <v>0.2130127</v>
      </c>
      <c r="T7283">
        <v>-0.1186136</v>
      </c>
      <c r="U7283">
        <v>3.0004270000000002</v>
      </c>
      <c r="V7283">
        <v>4.6401789999999998E-2</v>
      </c>
      <c r="W7283">
        <v>4.634228E-2</v>
      </c>
      <c r="X7283">
        <v>0.99784729999999999</v>
      </c>
      <c r="Y7283">
        <v>6.5892469999999995E-2</v>
      </c>
      <c r="Z7283">
        <v>-3.9408249999999999E-2</v>
      </c>
      <c r="AA7283">
        <v>0.9970483</v>
      </c>
      <c r="AB7283">
        <v>46</v>
      </c>
      <c r="AC7283">
        <v>1.9881</v>
      </c>
      <c r="AD7283">
        <v>-1.1084403478710001</v>
      </c>
      <c r="AE7283">
        <v>27.527999999999899</v>
      </c>
      <c r="AF7283">
        <v>1.8507590713669</v>
      </c>
      <c r="AG7283">
        <v>-1.1084403478710001</v>
      </c>
      <c r="AH7283">
        <v>27.493029459081001</v>
      </c>
      <c r="AI7283">
        <v>92.303543761098894</v>
      </c>
      <c r="AJ7283">
        <v>86.148807869153899</v>
      </c>
      <c r="AK7283">
        <v>27.577538287217301</v>
      </c>
      <c r="AL7283">
        <v>87.343831585914401</v>
      </c>
      <c r="AM7283">
        <v>87.337555706124604</v>
      </c>
      <c r="AN7283">
        <v>0.99999998357404596</v>
      </c>
    </row>
    <row r="7284" spans="1:40" x14ac:dyDescent="0.25">
      <c r="A7284" t="str">
        <f>"20190312155018093"</f>
        <v>20190312155018093</v>
      </c>
      <c r="B7284" t="str">
        <f>"1552377018083389"</f>
        <v>1552377018083389</v>
      </c>
      <c r="C7284" t="s">
        <v>40</v>
      </c>
      <c r="D7284">
        <v>4.6395499999999998</v>
      </c>
      <c r="E7284">
        <v>0.51354149999999998</v>
      </c>
      <c r="F7284" t="s">
        <v>42</v>
      </c>
      <c r="G7284">
        <v>-185.8306</v>
      </c>
      <c r="H7284" s="1">
        <v>-1.392684E-6</v>
      </c>
      <c r="I7284">
        <v>70.480609999999999</v>
      </c>
      <c r="J7284">
        <v>-188.2552</v>
      </c>
      <c r="K7284">
        <v>1.108455</v>
      </c>
      <c r="L7284">
        <v>41.143250000000002</v>
      </c>
      <c r="M7284">
        <v>4.8788470000000004E-3</v>
      </c>
      <c r="N7284">
        <v>0</v>
      </c>
      <c r="O7284">
        <v>0.99997040000000004</v>
      </c>
      <c r="P7284">
        <v>5.176712E-2</v>
      </c>
      <c r="Q7284">
        <v>4.0508040000000002E-2</v>
      </c>
      <c r="R7284">
        <v>0.99783730000000004</v>
      </c>
      <c r="S7284">
        <v>0.24430850000000001</v>
      </c>
      <c r="T7284">
        <v>-0.1115906</v>
      </c>
      <c r="U7284">
        <v>2.9984130000000002</v>
      </c>
      <c r="V7284">
        <v>4.6899780000000002E-2</v>
      </c>
      <c r="W7284">
        <v>4.6445180000000003E-2</v>
      </c>
      <c r="X7284">
        <v>0.99781920000000002</v>
      </c>
      <c r="Y7284">
        <v>7.6290529999999995E-2</v>
      </c>
      <c r="Z7284">
        <v>-3.7074610000000001E-2</v>
      </c>
      <c r="AA7284">
        <v>0.99639610000000001</v>
      </c>
      <c r="AB7284">
        <v>46</v>
      </c>
      <c r="AC7284">
        <v>2.4245999999999901</v>
      </c>
      <c r="AD7284">
        <v>-1.1084563926840001</v>
      </c>
      <c r="AE7284">
        <v>29.33736</v>
      </c>
      <c r="AF7284">
        <v>2.2782058999189401</v>
      </c>
      <c r="AG7284">
        <v>-1.1084563926840001</v>
      </c>
      <c r="AH7284">
        <v>29.307286127034999</v>
      </c>
      <c r="AI7284">
        <v>92.159492537633895</v>
      </c>
      <c r="AJ7284">
        <v>85.555043608316296</v>
      </c>
      <c r="AK7284">
        <v>29.416592559791901</v>
      </c>
      <c r="AL7284">
        <v>87.337929405471698</v>
      </c>
      <c r="AM7284">
        <v>87.308948118361201</v>
      </c>
      <c r="AN7284">
        <v>0.99999994999895903</v>
      </c>
    </row>
    <row r="7285" spans="1:40" x14ac:dyDescent="0.25">
      <c r="A7285" t="str">
        <f>"20190312155018115"</f>
        <v>20190312155018115</v>
      </c>
      <c r="B7285" t="str">
        <f>"1552377018102908"</f>
        <v>1552377018102908</v>
      </c>
      <c r="C7285" t="s">
        <v>40</v>
      </c>
      <c r="D7285">
        <v>4.6472189999999998</v>
      </c>
      <c r="E7285">
        <v>0.51427460000000003</v>
      </c>
      <c r="F7285" t="s">
        <v>42</v>
      </c>
      <c r="G7285">
        <v>-185.65190000000001</v>
      </c>
      <c r="H7285" s="1">
        <v>-1.8357939999999999E-6</v>
      </c>
      <c r="I7285">
        <v>71.642969999999906</v>
      </c>
      <c r="J7285">
        <v>-188.25290000000001</v>
      </c>
      <c r="K7285">
        <v>1.1084700000000001</v>
      </c>
      <c r="L7285">
        <v>41.606169999999999</v>
      </c>
      <c r="M7285">
        <v>4.8778989999999998E-3</v>
      </c>
      <c r="N7285">
        <v>0</v>
      </c>
      <c r="O7285">
        <v>0.99996969999999996</v>
      </c>
      <c r="P7285">
        <v>5.1838519999999999E-2</v>
      </c>
      <c r="Q7285">
        <v>4.0942300000000001E-2</v>
      </c>
      <c r="R7285">
        <v>0.99781580000000003</v>
      </c>
      <c r="S7285">
        <v>0.25585940000000001</v>
      </c>
      <c r="T7285">
        <v>-0.1089442</v>
      </c>
      <c r="U7285">
        <v>2.9976500000000001</v>
      </c>
      <c r="V7285">
        <v>4.6972239999999998E-2</v>
      </c>
      <c r="W7285">
        <v>4.7002460000000003E-2</v>
      </c>
      <c r="X7285">
        <v>0.9977897</v>
      </c>
      <c r="Y7285">
        <v>8.0127039999999997E-2</v>
      </c>
      <c r="Z7285">
        <v>-3.6194469999999999E-2</v>
      </c>
      <c r="AA7285">
        <v>0.99612730000000005</v>
      </c>
      <c r="AB7285">
        <v>46</v>
      </c>
      <c r="AC7285">
        <v>2.6009999999999902</v>
      </c>
      <c r="AD7285">
        <v>-1.108471835794</v>
      </c>
      <c r="AE7285">
        <v>30.0367999999999</v>
      </c>
      <c r="AF7285">
        <v>2.45113654852315</v>
      </c>
      <c r="AG7285">
        <v>-1.108471835794</v>
      </c>
      <c r="AH7285">
        <v>30.0085660939178</v>
      </c>
      <c r="AI7285">
        <v>92.108443629554699</v>
      </c>
      <c r="AJ7285">
        <v>85.330376887334396</v>
      </c>
      <c r="AK7285">
        <v>30.128903385342301</v>
      </c>
      <c r="AL7285">
        <v>87.305964711856205</v>
      </c>
      <c r="AM7285">
        <v>87.304717011161799</v>
      </c>
      <c r="AN7285">
        <v>0.99999995400137798</v>
      </c>
    </row>
    <row r="7286" spans="1:40" x14ac:dyDescent="0.25">
      <c r="A7286" t="str">
        <f>"20190312155018137"</f>
        <v>20190312155018137</v>
      </c>
      <c r="B7286" t="str">
        <f>"1552377018123405"</f>
        <v>1552377018123405</v>
      </c>
      <c r="C7286" t="s">
        <v>40</v>
      </c>
      <c r="D7286">
        <v>4.6574090000000004</v>
      </c>
      <c r="E7286">
        <v>0.51473970000000002</v>
      </c>
      <c r="F7286" t="s">
        <v>42</v>
      </c>
      <c r="G7286">
        <v>-185.50810000000001</v>
      </c>
      <c r="H7286" s="1">
        <v>-2.3405100000000001E-6</v>
      </c>
      <c r="I7286">
        <v>73.013649999999998</v>
      </c>
      <c r="J7286">
        <v>-188.25069999999999</v>
      </c>
      <c r="K7286">
        <v>1.1084889999999901</v>
      </c>
      <c r="L7286">
        <v>42.05142</v>
      </c>
      <c r="M7286">
        <v>4.8769979999999996E-3</v>
      </c>
      <c r="N7286">
        <v>0</v>
      </c>
      <c r="O7286">
        <v>0.99996879999999999</v>
      </c>
      <c r="P7286">
        <v>5.1801880000000002E-2</v>
      </c>
      <c r="Q7286">
        <v>4.0604920000000003E-2</v>
      </c>
      <c r="R7286">
        <v>0.99783149999999998</v>
      </c>
      <c r="S7286">
        <v>0.2619476</v>
      </c>
      <c r="T7286">
        <v>-0.105785</v>
      </c>
      <c r="U7286">
        <v>2.9973139999999998</v>
      </c>
      <c r="V7286">
        <v>4.6936409999999998E-2</v>
      </c>
      <c r="W7286">
        <v>4.681051E-2</v>
      </c>
      <c r="X7286">
        <v>0.99780049999999998</v>
      </c>
      <c r="Y7286">
        <v>8.2148879999999994E-2</v>
      </c>
      <c r="Z7286">
        <v>-3.5144170000000002E-2</v>
      </c>
      <c r="AA7286">
        <v>0.9960002</v>
      </c>
      <c r="AB7286">
        <v>46</v>
      </c>
      <c r="AC7286">
        <v>2.7425999999999799</v>
      </c>
      <c r="AD7286">
        <v>-1.1084913405100001</v>
      </c>
      <c r="AE7286">
        <v>30.962230000000002</v>
      </c>
      <c r="AF7286">
        <v>2.5882700690115499</v>
      </c>
      <c r="AG7286">
        <v>-1.1084913405100001</v>
      </c>
      <c r="AH7286">
        <v>30.935894578734899</v>
      </c>
      <c r="AI7286">
        <v>92.044998832297594</v>
      </c>
      <c r="AJ7286">
        <v>85.217452851931199</v>
      </c>
      <c r="AK7286">
        <v>31.063764555969801</v>
      </c>
      <c r="AL7286">
        <v>87.316974998132693</v>
      </c>
      <c r="AM7286">
        <v>87.306799028475893</v>
      </c>
      <c r="AN7286">
        <v>1.0000000441151899</v>
      </c>
    </row>
    <row r="7287" spans="1:40" x14ac:dyDescent="0.25">
      <c r="A7287" t="str">
        <f>"20190312155018158"</f>
        <v>20190312155018158</v>
      </c>
      <c r="B7287" t="str">
        <f>"1552377018152685"</f>
        <v>1552377018152685</v>
      </c>
      <c r="C7287" t="s">
        <v>40</v>
      </c>
      <c r="D7287">
        <v>4.697508</v>
      </c>
      <c r="E7287">
        <v>0.51553689999999996</v>
      </c>
      <c r="F7287" t="s">
        <v>42</v>
      </c>
      <c r="G7287">
        <v>-185.40360000000001</v>
      </c>
      <c r="H7287" s="1">
        <v>-2.7733050000000001E-6</v>
      </c>
      <c r="I7287">
        <v>74.196869999999905</v>
      </c>
      <c r="J7287">
        <v>-188.24850000000001</v>
      </c>
      <c r="K7287">
        <v>1.1085119999999999</v>
      </c>
      <c r="L7287">
        <v>42.501620000000003</v>
      </c>
      <c r="M7287">
        <v>4.8761120000000002E-3</v>
      </c>
      <c r="N7287">
        <v>0</v>
      </c>
      <c r="O7287">
        <v>0.99996759999999996</v>
      </c>
      <c r="P7287">
        <v>5.1417629999999999E-2</v>
      </c>
      <c r="Q7287">
        <v>4.040697E-2</v>
      </c>
      <c r="R7287">
        <v>0.99785950000000001</v>
      </c>
      <c r="S7287">
        <v>0.26544190000000001</v>
      </c>
      <c r="T7287">
        <v>-0.1033456</v>
      </c>
      <c r="U7287">
        <v>2.9969480000000002</v>
      </c>
      <c r="V7287">
        <v>4.6552929999999999E-2</v>
      </c>
      <c r="W7287">
        <v>4.6797169999999999E-2</v>
      </c>
      <c r="X7287">
        <v>0.99781909999999896</v>
      </c>
      <c r="Y7287">
        <v>8.3315100000000003E-2</v>
      </c>
      <c r="Z7287">
        <v>-3.4335490000000003E-2</v>
      </c>
      <c r="AA7287">
        <v>0.99593160000000003</v>
      </c>
      <c r="AB7287">
        <v>46</v>
      </c>
      <c r="AC7287">
        <v>2.8448999999999902</v>
      </c>
      <c r="AD7287">
        <v>-1.108514773305</v>
      </c>
      <c r="AE7287">
        <v>31.695249999999898</v>
      </c>
      <c r="AF7287">
        <v>2.6870529054513899</v>
      </c>
      <c r="AG7287">
        <v>-1.108514773305</v>
      </c>
      <c r="AH7287">
        <v>31.670316246915</v>
      </c>
      <c r="AI7287">
        <v>91.997460356596704</v>
      </c>
      <c r="AJ7287">
        <v>85.1503814186715</v>
      </c>
      <c r="AK7287">
        <v>31.8034273231508</v>
      </c>
      <c r="AL7287">
        <v>87.317740187178302</v>
      </c>
      <c r="AM7287">
        <v>87.328820746422096</v>
      </c>
      <c r="AN7287">
        <v>1.0000000533682001</v>
      </c>
    </row>
    <row r="7288" spans="1:40" x14ac:dyDescent="0.25">
      <c r="A7288" t="str">
        <f>"20190312155018181"</f>
        <v>20190312155018181</v>
      </c>
      <c r="B7288" t="str">
        <f>"1552377018173180"</f>
        <v>1552377018173180</v>
      </c>
      <c r="C7288" t="s">
        <v>40</v>
      </c>
      <c r="D7288">
        <v>4.681</v>
      </c>
      <c r="E7288">
        <v>0.51568309999999995</v>
      </c>
      <c r="F7288" t="s">
        <v>42</v>
      </c>
      <c r="G7288">
        <v>-185.31569999999999</v>
      </c>
      <c r="H7288" s="1">
        <v>-3.120247E-6</v>
      </c>
      <c r="I7288">
        <v>74.969239999999999</v>
      </c>
      <c r="J7288">
        <v>-188.24619999999999</v>
      </c>
      <c r="K7288">
        <v>1.1085529999999999</v>
      </c>
      <c r="L7288">
        <v>42.970120000000001</v>
      </c>
      <c r="M7288">
        <v>4.8752359999999998E-3</v>
      </c>
      <c r="N7288">
        <v>0</v>
      </c>
      <c r="O7288">
        <v>0.99996600000000002</v>
      </c>
      <c r="P7288">
        <v>5.1160560000000001E-2</v>
      </c>
      <c r="Q7288">
        <v>4.0263559999999997E-2</v>
      </c>
      <c r="R7288">
        <v>0.9978785</v>
      </c>
      <c r="S7288">
        <v>0.27069090000000001</v>
      </c>
      <c r="T7288">
        <v>-0.1023109</v>
      </c>
      <c r="U7288">
        <v>2.996613</v>
      </c>
      <c r="V7288">
        <v>4.629664E-2</v>
      </c>
      <c r="W7288">
        <v>4.6903390000000003E-2</v>
      </c>
      <c r="X7288">
        <v>0.99782599999999999</v>
      </c>
      <c r="Y7288">
        <v>8.5057369999999993E-2</v>
      </c>
      <c r="Z7288">
        <v>-3.399075E-2</v>
      </c>
      <c r="AA7288">
        <v>0.99579609999999996</v>
      </c>
      <c r="AB7288">
        <v>46</v>
      </c>
      <c r="AC7288">
        <v>2.9304999999999901</v>
      </c>
      <c r="AD7288">
        <v>-1.108556120247</v>
      </c>
      <c r="AE7288">
        <v>31.999120000000001</v>
      </c>
      <c r="AF7288">
        <v>2.7711602852744699</v>
      </c>
      <c r="AG7288">
        <v>-1.108556120247</v>
      </c>
      <c r="AH7288">
        <v>31.974970980757</v>
      </c>
      <c r="AI7288">
        <v>91.978211046329207</v>
      </c>
      <c r="AJ7288">
        <v>85.046749398673299</v>
      </c>
      <c r="AK7288">
        <v>32.113968848752897</v>
      </c>
      <c r="AL7288">
        <v>87.311647440610599</v>
      </c>
      <c r="AM7288">
        <v>87.343523732437703</v>
      </c>
      <c r="AN7288">
        <v>1.0000000165723899</v>
      </c>
    </row>
    <row r="7289" spans="1:40" x14ac:dyDescent="0.25">
      <c r="A7289" t="str">
        <f>"20190312155018203"</f>
        <v>20190312155018203</v>
      </c>
      <c r="B7289" t="str">
        <f>"1552377018193676"</f>
        <v>1552377018193676</v>
      </c>
      <c r="C7289" t="s">
        <v>40</v>
      </c>
      <c r="D7289">
        <v>4.6936</v>
      </c>
      <c r="E7289">
        <v>0.51596430000000004</v>
      </c>
      <c r="F7289" t="s">
        <v>42</v>
      </c>
      <c r="G7289">
        <v>-185.44890000000001</v>
      </c>
      <c r="H7289" s="1">
        <v>-2.6673970000000002E-6</v>
      </c>
      <c r="I7289">
        <v>73.92792</v>
      </c>
      <c r="J7289">
        <v>-188.244</v>
      </c>
      <c r="K7289">
        <v>1.108617</v>
      </c>
      <c r="L7289">
        <v>43.42606</v>
      </c>
      <c r="M7289">
        <v>4.87442E-3</v>
      </c>
      <c r="N7289">
        <v>0</v>
      </c>
      <c r="O7289">
        <v>0.99996379999999996</v>
      </c>
      <c r="P7289">
        <v>5.1471650000000001E-2</v>
      </c>
      <c r="Q7289">
        <v>3.919098E-2</v>
      </c>
      <c r="R7289">
        <v>0.99790520000000005</v>
      </c>
      <c r="S7289">
        <v>0.27079769999999997</v>
      </c>
      <c r="T7289">
        <v>-0.1073122</v>
      </c>
      <c r="U7289">
        <v>2.996826</v>
      </c>
      <c r="V7289">
        <v>4.6608370000000003E-2</v>
      </c>
      <c r="W7289">
        <v>4.6145100000000001E-2</v>
      </c>
      <c r="X7289">
        <v>0.99784680000000003</v>
      </c>
      <c r="Y7289">
        <v>8.5081850000000001E-2</v>
      </c>
      <c r="Z7289">
        <v>-3.5647650000000003E-2</v>
      </c>
      <c r="AA7289">
        <v>0.99573610000000001</v>
      </c>
      <c r="AB7289">
        <v>46</v>
      </c>
      <c r="AC7289">
        <v>2.7951000000000099</v>
      </c>
      <c r="AD7289">
        <v>-1.1086196673969999</v>
      </c>
      <c r="AE7289">
        <v>30.501859999999901</v>
      </c>
      <c r="AF7289">
        <v>2.6429219963919302</v>
      </c>
      <c r="AG7289">
        <v>-1.1086196673969999</v>
      </c>
      <c r="AH7289">
        <v>30.475199055249099</v>
      </c>
      <c r="AI7289">
        <v>92.075590009668105</v>
      </c>
      <c r="AJ7289">
        <v>85.043499175005493</v>
      </c>
      <c r="AK7289">
        <v>30.609668925080001</v>
      </c>
      <c r="AL7289">
        <v>87.355141240063205</v>
      </c>
      <c r="AM7289">
        <v>87.325718379803902</v>
      </c>
      <c r="AN7289">
        <v>0.99999997333915303</v>
      </c>
    </row>
    <row r="7290" spans="1:40" x14ac:dyDescent="0.25">
      <c r="A7290" t="str">
        <f>"20190312155018226"</f>
        <v>20190312155018226</v>
      </c>
      <c r="B7290" t="str">
        <f>"1552377018212743"</f>
        <v>1552377018212743</v>
      </c>
      <c r="C7290" t="s">
        <v>40</v>
      </c>
      <c r="D7290">
        <v>4.7228089999999998</v>
      </c>
      <c r="E7290">
        <v>0.51628229999999997</v>
      </c>
      <c r="F7290" t="s">
        <v>42</v>
      </c>
      <c r="G7290">
        <v>-185.4641</v>
      </c>
      <c r="H7290" s="1">
        <v>-2.6319959999999998E-6</v>
      </c>
      <c r="I7290">
        <v>73.83578</v>
      </c>
      <c r="J7290">
        <v>-188.24170000000001</v>
      </c>
      <c r="K7290">
        <v>1.1086929999999999</v>
      </c>
      <c r="L7290">
        <v>43.90155</v>
      </c>
      <c r="M7290">
        <v>4.8736589999999998E-3</v>
      </c>
      <c r="N7290">
        <v>0</v>
      </c>
      <c r="O7290">
        <v>0.99996079999999998</v>
      </c>
      <c r="P7290">
        <v>5.1908280000000001E-2</v>
      </c>
      <c r="Q7290">
        <v>3.7873829999999997E-2</v>
      </c>
      <c r="R7290">
        <v>0.99793339999999997</v>
      </c>
      <c r="S7290">
        <v>0.2739258</v>
      </c>
      <c r="T7290">
        <v>-0.10923919999999999</v>
      </c>
      <c r="U7290">
        <v>2.9964599999999999</v>
      </c>
      <c r="V7290">
        <v>4.704556E-2</v>
      </c>
      <c r="W7290">
        <v>4.5242900000000003E-2</v>
      </c>
      <c r="X7290">
        <v>0.99786759999999997</v>
      </c>
      <c r="Y7290">
        <v>8.6122279999999996E-2</v>
      </c>
      <c r="Z7290">
        <v>-3.6288010000000002E-2</v>
      </c>
      <c r="AA7290">
        <v>0.99562349999999999</v>
      </c>
      <c r="AB7290">
        <v>47</v>
      </c>
      <c r="AC7290">
        <v>2.7776000000000001</v>
      </c>
      <c r="AD7290">
        <v>-1.108695631996</v>
      </c>
      <c r="AE7290">
        <v>29.934229999999999</v>
      </c>
      <c r="AF7290">
        <v>2.6280993630362501</v>
      </c>
      <c r="AG7290">
        <v>-1.108695631996</v>
      </c>
      <c r="AH7290">
        <v>29.9067362907861</v>
      </c>
      <c r="AI7290">
        <v>92.114940754263003</v>
      </c>
      <c r="AJ7290">
        <v>84.977948049315103</v>
      </c>
      <c r="AK7290">
        <v>30.042453092798901</v>
      </c>
      <c r="AL7290">
        <v>87.406887552054101</v>
      </c>
      <c r="AM7290">
        <v>87.300726530710804</v>
      </c>
      <c r="AN7290">
        <v>0.99999997592294099</v>
      </c>
    </row>
    <row r="7291" spans="1:40" x14ac:dyDescent="0.25">
      <c r="A7291" t="str">
        <f>"20190312155018247"</f>
        <v>20190312155018247</v>
      </c>
      <c r="B7291" t="str">
        <f>"1552377018233239"</f>
        <v>1552377018233239</v>
      </c>
      <c r="C7291" t="s">
        <v>40</v>
      </c>
      <c r="D7291">
        <v>4.70364</v>
      </c>
      <c r="E7291">
        <v>0.51663859999999995</v>
      </c>
      <c r="F7291" t="s">
        <v>42</v>
      </c>
      <c r="G7291">
        <v>-185.5076</v>
      </c>
      <c r="H7291" s="1">
        <v>-2.468158E-6</v>
      </c>
      <c r="I7291">
        <v>73.388369999999995</v>
      </c>
      <c r="J7291">
        <v>-188.23949999999999</v>
      </c>
      <c r="K7291">
        <v>1.108776</v>
      </c>
      <c r="L7291">
        <v>44.349879999999999</v>
      </c>
      <c r="M7291">
        <v>4.8730939999999997E-3</v>
      </c>
      <c r="N7291">
        <v>0</v>
      </c>
      <c r="O7291">
        <v>0.99995730000000005</v>
      </c>
      <c r="P7291">
        <v>5.2565250000000001E-2</v>
      </c>
      <c r="Q7291">
        <v>3.7078220000000002E-2</v>
      </c>
      <c r="R7291">
        <v>0.99792890000000001</v>
      </c>
      <c r="S7291">
        <v>0.27780149999999998</v>
      </c>
      <c r="T7291">
        <v>-0.1126499</v>
      </c>
      <c r="U7291">
        <v>2.9960330000000002</v>
      </c>
      <c r="V7291">
        <v>4.770307E-2</v>
      </c>
      <c r="W7291">
        <v>4.4920399999999999E-2</v>
      </c>
      <c r="X7291">
        <v>0.99785100000000004</v>
      </c>
      <c r="Y7291">
        <v>8.7408910000000006E-2</v>
      </c>
      <c r="Z7291">
        <v>-3.7420439999999999E-2</v>
      </c>
      <c r="AA7291">
        <v>0.99546950000000001</v>
      </c>
      <c r="AB7291">
        <v>47</v>
      </c>
      <c r="AC7291">
        <v>2.7318999999999898</v>
      </c>
      <c r="AD7291">
        <v>-1.108778468158</v>
      </c>
      <c r="AE7291">
        <v>29.038489999999999</v>
      </c>
      <c r="AF7291">
        <v>2.5866178419462802</v>
      </c>
      <c r="AG7291">
        <v>-1.108778468158</v>
      </c>
      <c r="AH7291">
        <v>29.009535114734302</v>
      </c>
      <c r="AI7291">
        <v>92.180205387563007</v>
      </c>
      <c r="AJ7291">
        <v>84.904730548862503</v>
      </c>
      <c r="AK7291">
        <v>29.1457219695228</v>
      </c>
      <c r="AL7291">
        <v>87.4253843649294</v>
      </c>
      <c r="AM7291">
        <v>87.263012918919401</v>
      </c>
      <c r="AN7291">
        <v>1.00000002171229</v>
      </c>
    </row>
    <row r="7292" spans="1:40" x14ac:dyDescent="0.25">
      <c r="A7292" t="str">
        <f>"20190312155018272"</f>
        <v>20190312155018272</v>
      </c>
      <c r="B7292" t="str">
        <f>"1552377018263496"</f>
        <v>1552377018263496</v>
      </c>
      <c r="C7292" t="s">
        <v>40</v>
      </c>
      <c r="D7292">
        <v>4.692628</v>
      </c>
      <c r="E7292">
        <v>0.51695199999999997</v>
      </c>
      <c r="F7292" t="s">
        <v>42</v>
      </c>
      <c r="G7292">
        <v>-185.51840000000001</v>
      </c>
      <c r="H7292" s="1">
        <v>-2.4014430000000001E-6</v>
      </c>
      <c r="I7292">
        <v>73.200800000000001</v>
      </c>
      <c r="J7292">
        <v>-188.23699999999999</v>
      </c>
      <c r="K7292">
        <v>1.1088769999999999</v>
      </c>
      <c r="L7292">
        <v>44.85333</v>
      </c>
      <c r="M7292">
        <v>4.8726999999999998E-3</v>
      </c>
      <c r="N7292">
        <v>0</v>
      </c>
      <c r="O7292">
        <v>0.99995250000000002</v>
      </c>
      <c r="P7292">
        <v>5.3521869999999999E-2</v>
      </c>
      <c r="Q7292">
        <v>3.6926199999999902E-2</v>
      </c>
      <c r="R7292">
        <v>0.99788370000000004</v>
      </c>
      <c r="S7292">
        <v>0.2825317</v>
      </c>
      <c r="T7292">
        <v>-0.11512509999999999</v>
      </c>
      <c r="U7292">
        <v>2.9956049999999999</v>
      </c>
      <c r="V7292">
        <v>4.8660290000000002E-2</v>
      </c>
      <c r="W7292">
        <v>4.5347699999999998E-2</v>
      </c>
      <c r="X7292">
        <v>0.99778540000000004</v>
      </c>
      <c r="Y7292">
        <v>8.8977570000000006E-2</v>
      </c>
      <c r="Z7292">
        <v>-3.8241400000000002E-2</v>
      </c>
      <c r="AA7292">
        <v>0.99529920000000005</v>
      </c>
      <c r="AB7292">
        <v>47</v>
      </c>
      <c r="AC7292">
        <v>2.7185999999999799</v>
      </c>
      <c r="AD7292">
        <v>-1.1088794014429999</v>
      </c>
      <c r="AE7292">
        <v>28.347470000000001</v>
      </c>
      <c r="AF7292">
        <v>2.5765274870238901</v>
      </c>
      <c r="AG7292">
        <v>-1.1088794014429999</v>
      </c>
      <c r="AH7292">
        <v>28.3174451927717</v>
      </c>
      <c r="AI7292">
        <v>92.233276875851999</v>
      </c>
      <c r="AJ7292">
        <v>84.8011275932882</v>
      </c>
      <c r="AK7292">
        <v>28.456032922105699</v>
      </c>
      <c r="AL7292">
        <v>87.400876772428504</v>
      </c>
      <c r="AM7292">
        <v>87.207994729187106</v>
      </c>
      <c r="AN7292">
        <v>0.99999997108566596</v>
      </c>
    </row>
    <row r="7293" spans="1:40" x14ac:dyDescent="0.25">
      <c r="A7293" t="str">
        <f>"20190312155018302"</f>
        <v>20190312155018302</v>
      </c>
      <c r="B7293" t="str">
        <f>"1552377018292775"</f>
        <v>1552377018292775</v>
      </c>
      <c r="C7293" t="s">
        <v>40</v>
      </c>
      <c r="D7293">
        <v>4.7143649999999999</v>
      </c>
      <c r="E7293">
        <v>0.51720359999999999</v>
      </c>
      <c r="F7293" t="s">
        <v>42</v>
      </c>
      <c r="G7293">
        <v>-185.48589999999999</v>
      </c>
      <c r="H7293" s="1">
        <v>-2.505431E-6</v>
      </c>
      <c r="I7293">
        <v>73.480940000000004</v>
      </c>
      <c r="J7293">
        <v>-188.23390000000001</v>
      </c>
      <c r="K7293">
        <v>1.109003</v>
      </c>
      <c r="L7293">
        <v>45.490360000000003</v>
      </c>
      <c r="M7293">
        <v>4.8724019999999996E-3</v>
      </c>
      <c r="N7293">
        <v>0</v>
      </c>
      <c r="O7293">
        <v>0.99994530000000004</v>
      </c>
      <c r="P7293">
        <v>5.422859E-2</v>
      </c>
      <c r="Q7293">
        <v>3.6851889999999998E-2</v>
      </c>
      <c r="R7293">
        <v>0.99784830000000002</v>
      </c>
      <c r="S7293">
        <v>0.28784179999999998</v>
      </c>
      <c r="T7293">
        <v>-0.1160183</v>
      </c>
      <c r="U7293">
        <v>2.995209</v>
      </c>
      <c r="V7293">
        <v>4.9367460000000002E-2</v>
      </c>
      <c r="W7293">
        <v>4.6079349999999998E-2</v>
      </c>
      <c r="X7293">
        <v>0.99771710000000002</v>
      </c>
      <c r="Y7293">
        <v>9.0737579999999998E-2</v>
      </c>
      <c r="Z7293">
        <v>-3.8536439999999998E-2</v>
      </c>
      <c r="AA7293">
        <v>0.99512889999999998</v>
      </c>
      <c r="AB7293">
        <v>47</v>
      </c>
      <c r="AC7293">
        <v>2.74800000000001</v>
      </c>
      <c r="AD7293">
        <v>-1.109005505431</v>
      </c>
      <c r="AE7293">
        <v>27.990580000000001</v>
      </c>
      <c r="AF7293">
        <v>2.6075259675156799</v>
      </c>
      <c r="AG7293">
        <v>-1.109005505431</v>
      </c>
      <c r="AH7293">
        <v>27.9601648694902</v>
      </c>
      <c r="AI7293">
        <v>92.261572819359401</v>
      </c>
      <c r="AJ7293">
        <v>84.672085797924396</v>
      </c>
      <c r="AK7293">
        <v>28.103378878907399</v>
      </c>
      <c r="AL7293">
        <v>87.358912340286196</v>
      </c>
      <c r="AM7293">
        <v>87.167291108980905</v>
      </c>
      <c r="AN7293">
        <v>0.999999932117839</v>
      </c>
    </row>
    <row r="7294" spans="1:40" x14ac:dyDescent="0.25">
      <c r="A7294" t="str">
        <f>"20190312155018325"</f>
        <v>20190312155018325</v>
      </c>
      <c r="B7294" t="str">
        <f>"1552377018312918"</f>
        <v>1552377018312918</v>
      </c>
      <c r="C7294" t="s">
        <v>40</v>
      </c>
      <c r="D7294">
        <v>4.6848479999999997</v>
      </c>
      <c r="E7294">
        <v>0.51741170000000003</v>
      </c>
      <c r="F7294" t="s">
        <v>42</v>
      </c>
      <c r="G7294">
        <v>-185.46430000000001</v>
      </c>
      <c r="H7294" s="1">
        <v>-2.648466E-6</v>
      </c>
      <c r="I7294">
        <v>73.884399999999999</v>
      </c>
      <c r="J7294">
        <v>-188.23159999999999</v>
      </c>
      <c r="K7294">
        <v>1.1091</v>
      </c>
      <c r="L7294">
        <v>45.972560000000001</v>
      </c>
      <c r="M7294">
        <v>4.8721299999999997E-3</v>
      </c>
      <c r="N7294">
        <v>0</v>
      </c>
      <c r="O7294">
        <v>0.99993900000000002</v>
      </c>
      <c r="P7294">
        <v>5.4120689999999999E-2</v>
      </c>
      <c r="Q7294">
        <v>3.5918520000000002E-2</v>
      </c>
      <c r="R7294">
        <v>0.99788809999999994</v>
      </c>
      <c r="S7294">
        <v>0.29212949999999999</v>
      </c>
      <c r="T7294">
        <v>-0.1169752</v>
      </c>
      <c r="U7294">
        <v>2.9949340000000002</v>
      </c>
      <c r="V7294">
        <v>4.9259600000000001E-2</v>
      </c>
      <c r="W7294">
        <v>4.5810700000000003E-2</v>
      </c>
      <c r="X7294">
        <v>0.99773480000000003</v>
      </c>
      <c r="Y7294">
        <v>9.2156689999999999E-2</v>
      </c>
      <c r="Z7294">
        <v>-3.885214E-2</v>
      </c>
      <c r="AA7294">
        <v>0.99498620000000004</v>
      </c>
      <c r="AB7294">
        <v>46</v>
      </c>
      <c r="AC7294">
        <v>2.7672999999999699</v>
      </c>
      <c r="AD7294">
        <v>-1.109102648466</v>
      </c>
      <c r="AE7294">
        <v>27.911840000000002</v>
      </c>
      <c r="AF7294">
        <v>2.6271625940771202</v>
      </c>
      <c r="AG7294">
        <v>-1.109102648466</v>
      </c>
      <c r="AH7294">
        <v>27.8813973628022</v>
      </c>
      <c r="AI7294">
        <v>92.267950009457195</v>
      </c>
      <c r="AJ7294">
        <v>84.617120514826397</v>
      </c>
      <c r="AK7294">
        <v>28.026851604898901</v>
      </c>
      <c r="AL7294">
        <v>87.374321118542994</v>
      </c>
      <c r="AM7294">
        <v>87.173520139024404</v>
      </c>
      <c r="AN7294">
        <v>0.999999929778842</v>
      </c>
    </row>
    <row r="7295" spans="1:40" x14ac:dyDescent="0.25">
      <c r="A7295" t="str">
        <f>"20190312155018348"</f>
        <v>20190312155018348</v>
      </c>
      <c r="B7295" t="str">
        <f>"1552377018333414"</f>
        <v>1552377018333414</v>
      </c>
      <c r="C7295" t="s">
        <v>40</v>
      </c>
      <c r="D7295">
        <v>4.6871</v>
      </c>
      <c r="E7295">
        <v>0.51760289999999998</v>
      </c>
      <c r="F7295" t="s">
        <v>42</v>
      </c>
      <c r="G7295">
        <v>-185.512</v>
      </c>
      <c r="H7295" s="1">
        <v>-2.5828379999999999E-6</v>
      </c>
      <c r="I7295">
        <v>73.728809999999996</v>
      </c>
      <c r="J7295">
        <v>-188.2294</v>
      </c>
      <c r="K7295">
        <v>1.1091799999999901</v>
      </c>
      <c r="L7295">
        <v>46.423830000000002</v>
      </c>
      <c r="M7295">
        <v>4.8717999999999999E-3</v>
      </c>
      <c r="N7295">
        <v>0</v>
      </c>
      <c r="O7295">
        <v>0.99993259999999995</v>
      </c>
      <c r="P7295">
        <v>5.3794540000000002E-2</v>
      </c>
      <c r="Q7295">
        <v>3.507325E-2</v>
      </c>
      <c r="R7295">
        <v>0.99793589999999999</v>
      </c>
      <c r="S7295">
        <v>0.29342649999999998</v>
      </c>
      <c r="T7295">
        <v>-0.11966499999999999</v>
      </c>
      <c r="U7295">
        <v>2.99472</v>
      </c>
      <c r="V7295">
        <v>4.8933530000000003E-2</v>
      </c>
      <c r="W7295">
        <v>4.5592059999999997E-2</v>
      </c>
      <c r="X7295">
        <v>0.99776100000000001</v>
      </c>
      <c r="Y7295">
        <v>9.2587249999999996E-2</v>
      </c>
      <c r="Z7295">
        <v>-3.9745330000000002E-2</v>
      </c>
      <c r="AA7295">
        <v>0.99491099999999999</v>
      </c>
      <c r="AB7295">
        <v>46</v>
      </c>
      <c r="AC7295">
        <v>2.7173999999999898</v>
      </c>
      <c r="AD7295">
        <v>-1.10918258283799</v>
      </c>
      <c r="AE7295">
        <v>27.30498</v>
      </c>
      <c r="AF7295">
        <v>2.5801201390767199</v>
      </c>
      <c r="AG7295">
        <v>-1.10918258283799</v>
      </c>
      <c r="AH7295">
        <v>27.2733316856716</v>
      </c>
      <c r="AI7295">
        <v>92.318545368645303</v>
      </c>
      <c r="AJ7295">
        <v>84.595770583270706</v>
      </c>
      <c r="AK7295">
        <v>27.417547796453299</v>
      </c>
      <c r="AL7295">
        <v>87.3868617373207</v>
      </c>
      <c r="AM7295">
        <v>87.192273369287093</v>
      </c>
      <c r="AN7295">
        <v>1.0000000697071401</v>
      </c>
    </row>
    <row r="7296" spans="1:40" x14ac:dyDescent="0.25">
      <c r="A7296" t="str">
        <f>"20190312155018370"</f>
        <v>20190312155018370</v>
      </c>
      <c r="B7296" t="str">
        <f>"1552377018362695"</f>
        <v>1552377018362695</v>
      </c>
      <c r="C7296" t="s">
        <v>40</v>
      </c>
      <c r="D7296">
        <v>4.6832050000000001</v>
      </c>
      <c r="E7296">
        <v>0.51784579999999902</v>
      </c>
      <c r="F7296" t="s">
        <v>42</v>
      </c>
      <c r="G7296">
        <v>-185.55359999999999</v>
      </c>
      <c r="H7296" s="1">
        <v>-2.550394E-6</v>
      </c>
      <c r="I7296">
        <v>73.665980000000005</v>
      </c>
      <c r="J7296">
        <v>-188.227</v>
      </c>
      <c r="K7296">
        <v>1.109254</v>
      </c>
      <c r="L7296">
        <v>46.911099999999998</v>
      </c>
      <c r="M7296">
        <v>4.8713879999999999E-3</v>
      </c>
      <c r="N7296">
        <v>0</v>
      </c>
      <c r="O7296">
        <v>0.99992559999999997</v>
      </c>
      <c r="P7296">
        <v>5.362227E-2</v>
      </c>
      <c r="Q7296">
        <v>3.3747390000000002E-2</v>
      </c>
      <c r="R7296">
        <v>0.99799079999999996</v>
      </c>
      <c r="S7296">
        <v>0.29414370000000001</v>
      </c>
      <c r="T7296">
        <v>-0.1219283</v>
      </c>
      <c r="U7296">
        <v>2.9946290000000002</v>
      </c>
      <c r="V7296">
        <v>4.876138E-2</v>
      </c>
      <c r="W7296">
        <v>4.490326E-2</v>
      </c>
      <c r="X7296">
        <v>0.99780060000000004</v>
      </c>
      <c r="Y7296">
        <v>9.2823630000000004E-2</v>
      </c>
      <c r="Z7296">
        <v>-4.0496150000000002E-2</v>
      </c>
      <c r="AA7296">
        <v>0.99485869999999998</v>
      </c>
      <c r="AB7296">
        <v>46</v>
      </c>
      <c r="AC7296">
        <v>2.6734000000000102</v>
      </c>
      <c r="AD7296">
        <v>-1.109256550394</v>
      </c>
      <c r="AE7296">
        <v>26.75488</v>
      </c>
      <c r="AF7296">
        <v>2.5387060071040399</v>
      </c>
      <c r="AG7296">
        <v>-1.109256550394</v>
      </c>
      <c r="AH7296">
        <v>26.722107162645798</v>
      </c>
      <c r="AI7296">
        <v>92.366386999533802</v>
      </c>
      <c r="AJ7296">
        <v>84.572962624498004</v>
      </c>
      <c r="AK7296">
        <v>26.865339928931199</v>
      </c>
      <c r="AL7296">
        <v>87.4263673664219</v>
      </c>
      <c r="AM7296">
        <v>87.202246197699495</v>
      </c>
      <c r="AN7296">
        <v>1.00000000614924</v>
      </c>
    </row>
    <row r="7297" spans="1:40" x14ac:dyDescent="0.25">
      <c r="A7297" t="str">
        <f>"20190312155018391"</f>
        <v>20190312155018391</v>
      </c>
      <c r="B7297" t="str">
        <f>"1552377018383190"</f>
        <v>1552377018383190</v>
      </c>
      <c r="C7297" t="s">
        <v>40</v>
      </c>
      <c r="D7297">
        <v>4.6671469999999999</v>
      </c>
      <c r="E7297">
        <v>0.51798080000000002</v>
      </c>
      <c r="F7297" t="s">
        <v>42</v>
      </c>
      <c r="G7297">
        <v>-185.6164</v>
      </c>
      <c r="H7297" s="1">
        <v>-2.428503E-6</v>
      </c>
      <c r="I7297">
        <v>73.356930000000006</v>
      </c>
      <c r="J7297">
        <v>-188.22489999999999</v>
      </c>
      <c r="K7297">
        <v>1.109307</v>
      </c>
      <c r="L7297">
        <v>47.349269999999997</v>
      </c>
      <c r="M7297">
        <v>4.8710480000000002E-3</v>
      </c>
      <c r="N7297">
        <v>0</v>
      </c>
      <c r="O7297">
        <v>0.99991969999999997</v>
      </c>
      <c r="P7297">
        <v>5.3211590000000003E-2</v>
      </c>
      <c r="Q7297">
        <v>3.2808200000000003E-2</v>
      </c>
      <c r="R7297">
        <v>0.99804409999999999</v>
      </c>
      <c r="S7297">
        <v>0.2955933</v>
      </c>
      <c r="T7297">
        <v>-0.12559909999999999</v>
      </c>
      <c r="U7297">
        <v>2.994415</v>
      </c>
      <c r="V7297">
        <v>4.8350749999999998E-2</v>
      </c>
      <c r="W7297">
        <v>4.4488819999999998E-2</v>
      </c>
      <c r="X7297">
        <v>0.99783920000000004</v>
      </c>
      <c r="Y7297">
        <v>9.3302889999999999E-2</v>
      </c>
      <c r="Z7297">
        <v>-4.1714269999999998E-2</v>
      </c>
      <c r="AA7297">
        <v>0.99476359999999997</v>
      </c>
      <c r="AB7297">
        <v>46</v>
      </c>
      <c r="AC7297">
        <v>2.60849999999999</v>
      </c>
      <c r="AD7297">
        <v>-1.1093094285030001</v>
      </c>
      <c r="AE7297">
        <v>26.007660000000001</v>
      </c>
      <c r="AF7297">
        <v>2.47731374382519</v>
      </c>
      <c r="AG7297">
        <v>-1.1093094285030001</v>
      </c>
      <c r="AH7297">
        <v>25.973276000379499</v>
      </c>
      <c r="AI7297">
        <v>92.434560770906401</v>
      </c>
      <c r="AJ7297">
        <v>84.551648481565906</v>
      </c>
      <c r="AK7297">
        <v>26.114722226847402</v>
      </c>
      <c r="AL7297">
        <v>87.450136920053893</v>
      </c>
      <c r="AM7297">
        <v>87.225876867026003</v>
      </c>
      <c r="AN7297">
        <v>1.0000000595935901</v>
      </c>
    </row>
    <row r="7298" spans="1:40" x14ac:dyDescent="0.25">
      <c r="A7298" t="str">
        <f>"20190312155018415"</f>
        <v>20190312155018415</v>
      </c>
      <c r="B7298" t="str">
        <f>"1552377018402711"</f>
        <v>1552377018402711</v>
      </c>
      <c r="C7298" t="s">
        <v>40</v>
      </c>
      <c r="D7298">
        <v>4.6896630000000004</v>
      </c>
      <c r="E7298">
        <v>0.5181462</v>
      </c>
      <c r="F7298" t="s">
        <v>42</v>
      </c>
      <c r="G7298">
        <v>-185.6696</v>
      </c>
      <c r="H7298" s="1">
        <v>-2.375578E-6</v>
      </c>
      <c r="I7298">
        <v>73.242949999999993</v>
      </c>
      <c r="J7298">
        <v>-188.2225</v>
      </c>
      <c r="K7298">
        <v>1.1093470000000001</v>
      </c>
      <c r="L7298">
        <v>47.829650000000001</v>
      </c>
      <c r="M7298">
        <v>4.8707300000000002E-3</v>
      </c>
      <c r="N7298">
        <v>0</v>
      </c>
      <c r="O7298">
        <v>0.99991350000000001</v>
      </c>
      <c r="P7298">
        <v>5.3186089999999998E-2</v>
      </c>
      <c r="Q7298">
        <v>3.1581829999999998E-2</v>
      </c>
      <c r="R7298">
        <v>0.99808509999999995</v>
      </c>
      <c r="S7298">
        <v>0.29550169999999998</v>
      </c>
      <c r="T7298">
        <v>-0.1282809</v>
      </c>
      <c r="U7298">
        <v>2.994354</v>
      </c>
      <c r="V7298">
        <v>4.8325319999999998E-2</v>
      </c>
      <c r="W7298">
        <v>4.3778560000000001E-2</v>
      </c>
      <c r="X7298">
        <v>0.99787179999999998</v>
      </c>
      <c r="Y7298">
        <v>9.3271359999999998E-2</v>
      </c>
      <c r="Z7298">
        <v>-4.2604320000000001E-2</v>
      </c>
      <c r="AA7298">
        <v>0.99472870000000002</v>
      </c>
      <c r="AB7298">
        <v>46</v>
      </c>
      <c r="AC7298">
        <v>2.55289999999999</v>
      </c>
      <c r="AD7298">
        <v>-1.109349375578</v>
      </c>
      <c r="AE7298">
        <v>25.4132999999999</v>
      </c>
      <c r="AF7298">
        <v>2.4245053515297998</v>
      </c>
      <c r="AG7298">
        <v>-1.109349375578</v>
      </c>
      <c r="AH7298">
        <v>25.377559465018201</v>
      </c>
      <c r="AI7298">
        <v>92.491691214473306</v>
      </c>
      <c r="AJ7298">
        <v>84.542675259207101</v>
      </c>
      <c r="AK7298">
        <v>25.517237441330298</v>
      </c>
      <c r="AL7298">
        <v>87.490871394898704</v>
      </c>
      <c r="AM7298">
        <v>87.227424075634602</v>
      </c>
      <c r="AN7298">
        <v>1.000000014052</v>
      </c>
    </row>
    <row r="7299" spans="1:40" x14ac:dyDescent="0.25">
      <c r="A7299" t="str">
        <f>"20190312155018435"</f>
        <v>20190312155018435</v>
      </c>
      <c r="B7299" t="str">
        <f>"1552377018423211"</f>
        <v>1552377018423211</v>
      </c>
      <c r="C7299" t="s">
        <v>40</v>
      </c>
      <c r="D7299">
        <v>4.6634929999999999</v>
      </c>
      <c r="E7299">
        <v>0.51827869999999998</v>
      </c>
      <c r="F7299" t="s">
        <v>42</v>
      </c>
      <c r="G7299">
        <v>-185.73330000000001</v>
      </c>
      <c r="H7299" s="1">
        <v>-2.2525169999999999E-6</v>
      </c>
      <c r="I7299">
        <v>72.931150000000002</v>
      </c>
      <c r="J7299">
        <v>-188.22040000000001</v>
      </c>
      <c r="K7299">
        <v>1.109359</v>
      </c>
      <c r="L7299">
        <v>48.261809999999997</v>
      </c>
      <c r="M7299">
        <v>4.8704999999999998E-3</v>
      </c>
      <c r="N7299">
        <v>0</v>
      </c>
      <c r="O7299">
        <v>0.99990829999999997</v>
      </c>
      <c r="P7299">
        <v>5.3174609999999997E-2</v>
      </c>
      <c r="Q7299">
        <v>2.992409E-2</v>
      </c>
      <c r="R7299">
        <v>0.99813680000000005</v>
      </c>
      <c r="S7299">
        <v>0.29692079999999998</v>
      </c>
      <c r="T7299">
        <v>-0.1323233</v>
      </c>
      <c r="U7299">
        <v>2.99411</v>
      </c>
      <c r="V7299">
        <v>4.8313759999999997E-2</v>
      </c>
      <c r="W7299">
        <v>4.2535650000000001E-2</v>
      </c>
      <c r="X7299">
        <v>0.99792610000000004</v>
      </c>
      <c r="Y7299">
        <v>9.3740619999999997E-2</v>
      </c>
      <c r="Z7299">
        <v>-4.3945869999999998E-2</v>
      </c>
      <c r="AA7299">
        <v>0.99462629999999996</v>
      </c>
      <c r="AB7299">
        <v>46</v>
      </c>
      <c r="AC7299">
        <v>2.4870999999999901</v>
      </c>
      <c r="AD7299">
        <v>-1.109361252517</v>
      </c>
      <c r="AE7299">
        <v>24.669339999999998</v>
      </c>
      <c r="AF7299">
        <v>2.36218007081197</v>
      </c>
      <c r="AG7299">
        <v>-1.109361252517</v>
      </c>
      <c r="AH7299">
        <v>24.631851622520699</v>
      </c>
      <c r="AI7299">
        <v>92.566964983798201</v>
      </c>
      <c r="AJ7299">
        <v>84.522120286257305</v>
      </c>
      <c r="AK7299">
        <v>24.769713188274999</v>
      </c>
      <c r="AL7299">
        <v>87.562151275604805</v>
      </c>
      <c r="AM7299">
        <v>87.228236867254395</v>
      </c>
      <c r="AN7299">
        <v>1.00000000099373</v>
      </c>
    </row>
    <row r="7300" spans="1:40" x14ac:dyDescent="0.25">
      <c r="A7300" t="str">
        <f>"20190312155018460"</f>
        <v>20190312155018460</v>
      </c>
      <c r="B7300" t="str">
        <f>"1552377018453467"</f>
        <v>1552377018453467</v>
      </c>
      <c r="C7300" t="s">
        <v>40</v>
      </c>
      <c r="D7300">
        <v>4.6747129999999997</v>
      </c>
      <c r="E7300">
        <v>0.51850529999999995</v>
      </c>
      <c r="F7300" t="s">
        <v>42</v>
      </c>
      <c r="G7300">
        <v>-185.81739999999999</v>
      </c>
      <c r="H7300" s="1">
        <v>-2.0571050000000001E-6</v>
      </c>
      <c r="I7300">
        <v>72.422659999999993</v>
      </c>
      <c r="J7300">
        <v>-188.21799999999999</v>
      </c>
      <c r="K7300">
        <v>1.1093759999999999</v>
      </c>
      <c r="L7300">
        <v>48.753999999999998</v>
      </c>
      <c r="M7300">
        <v>4.8702729999999996E-3</v>
      </c>
      <c r="N7300">
        <v>0</v>
      </c>
      <c r="O7300">
        <v>0.99990290000000004</v>
      </c>
      <c r="P7300">
        <v>5.329188E-2</v>
      </c>
      <c r="Q7300">
        <v>2.8041420000000001E-2</v>
      </c>
      <c r="R7300">
        <v>0.99818519999999999</v>
      </c>
      <c r="S7300">
        <v>0.29777530000000002</v>
      </c>
      <c r="T7300">
        <v>-0.13746520000000001</v>
      </c>
      <c r="U7300">
        <v>2.9938660000000001</v>
      </c>
      <c r="V7300">
        <v>4.8430929999999997E-2</v>
      </c>
      <c r="W7300">
        <v>4.1072089999999999E-2</v>
      </c>
      <c r="X7300">
        <v>0.99798169999999997</v>
      </c>
      <c r="Y7300">
        <v>9.4022309999999998E-2</v>
      </c>
      <c r="Z7300">
        <v>-4.565251E-2</v>
      </c>
      <c r="AA7300">
        <v>0.99452280000000004</v>
      </c>
      <c r="AB7300">
        <v>46</v>
      </c>
      <c r="AC7300">
        <v>2.4005999999999901</v>
      </c>
      <c r="AD7300">
        <v>-1.10937805710499</v>
      </c>
      <c r="AE7300">
        <v>23.668659999999999</v>
      </c>
      <c r="AF7300">
        <v>2.2803301973955001</v>
      </c>
      <c r="AG7300">
        <v>-1.10937805710499</v>
      </c>
      <c r="AH7300">
        <v>23.628690334507699</v>
      </c>
      <c r="AI7300">
        <v>92.675676650559495</v>
      </c>
      <c r="AJ7300">
        <v>84.487636435461596</v>
      </c>
      <c r="AK7300">
        <v>23.7643773831084</v>
      </c>
      <c r="AL7300">
        <v>87.646080394982405</v>
      </c>
      <c r="AM7300">
        <v>87.221679891639596</v>
      </c>
      <c r="AN7300">
        <v>0.99999997254626105</v>
      </c>
    </row>
    <row r="7301" spans="1:40" x14ac:dyDescent="0.25">
      <c r="A7301" t="str">
        <f>"20190312155018482"</f>
        <v>20190312155018482</v>
      </c>
      <c r="B7301" t="str">
        <f>"1552377018472987"</f>
        <v>1552377018472987</v>
      </c>
      <c r="C7301" t="s">
        <v>40</v>
      </c>
      <c r="D7301">
        <v>4.6513269999999904</v>
      </c>
      <c r="E7301">
        <v>0.51872689999999999</v>
      </c>
      <c r="F7301" t="s">
        <v>42</v>
      </c>
      <c r="G7301">
        <v>-185.90129999999999</v>
      </c>
      <c r="H7301" s="1">
        <v>-1.8481810000000001E-6</v>
      </c>
      <c r="I7301">
        <v>71.874369999999999</v>
      </c>
      <c r="J7301">
        <v>-188.2158</v>
      </c>
      <c r="K7301">
        <v>1.1093919999999999</v>
      </c>
      <c r="L7301">
        <v>49.215699999999998</v>
      </c>
      <c r="M7301">
        <v>4.8700790000000002E-3</v>
      </c>
      <c r="N7301">
        <v>0</v>
      </c>
      <c r="O7301">
        <v>0.99989839999999997</v>
      </c>
      <c r="P7301">
        <v>5.3333609999999997E-2</v>
      </c>
      <c r="Q7301">
        <v>2.7466040000000001E-2</v>
      </c>
      <c r="R7301">
        <v>0.9981989</v>
      </c>
      <c r="S7301">
        <v>0.29995729999999998</v>
      </c>
      <c r="T7301">
        <v>-0.14363480000000001</v>
      </c>
      <c r="U7301">
        <v>2.9934690000000002</v>
      </c>
      <c r="V7301">
        <v>4.8472769999999998E-2</v>
      </c>
      <c r="W7301">
        <v>4.0841019999999999E-2</v>
      </c>
      <c r="X7301">
        <v>0.99798920000000002</v>
      </c>
      <c r="Y7301">
        <v>9.4743690000000005E-2</v>
      </c>
      <c r="Z7301">
        <v>-4.7699779999999997E-2</v>
      </c>
      <c r="AA7301">
        <v>0.99435819999999997</v>
      </c>
      <c r="AB7301">
        <v>46</v>
      </c>
      <c r="AC7301">
        <v>2.3144999999999998</v>
      </c>
      <c r="AD7301">
        <v>-1.109393848181</v>
      </c>
      <c r="AE7301">
        <v>22.658670000000001</v>
      </c>
      <c r="AF7301">
        <v>2.1988963867867</v>
      </c>
      <c r="AG7301">
        <v>-1.109393848181</v>
      </c>
      <c r="AH7301">
        <v>22.616018962610099</v>
      </c>
      <c r="AI7301">
        <v>92.795145488788805</v>
      </c>
      <c r="AJ7301">
        <v>84.446735921658302</v>
      </c>
      <c r="AK7301">
        <v>22.7497299708666</v>
      </c>
      <c r="AL7301">
        <v>87.659330962312097</v>
      </c>
      <c r="AM7301">
        <v>87.219304301307503</v>
      </c>
      <c r="AN7301">
        <v>1.00000002083137</v>
      </c>
    </row>
    <row r="7302" spans="1:40" x14ac:dyDescent="0.25">
      <c r="A7302" t="str">
        <f>"20190312155018505"</f>
        <v>20190312155018505</v>
      </c>
      <c r="B7302" t="str">
        <f>"1552377018493483"</f>
        <v>1552377018493483</v>
      </c>
      <c r="C7302" t="s">
        <v>40</v>
      </c>
      <c r="D7302">
        <v>4.7890519999999999</v>
      </c>
      <c r="E7302">
        <v>0.51882829999999902</v>
      </c>
      <c r="F7302" t="s">
        <v>42</v>
      </c>
      <c r="G7302">
        <v>-185.91829999999999</v>
      </c>
      <c r="H7302" s="1">
        <v>-1.8820820000000001E-6</v>
      </c>
      <c r="I7302">
        <v>71.987269999999995</v>
      </c>
      <c r="J7302">
        <v>-188.21360000000001</v>
      </c>
      <c r="K7302">
        <v>1.10941</v>
      </c>
      <c r="L7302">
        <v>49.664430000000003</v>
      </c>
      <c r="M7302">
        <v>4.8699090000000004E-3</v>
      </c>
      <c r="N7302">
        <v>0</v>
      </c>
      <c r="O7302">
        <v>0.99989439999999996</v>
      </c>
      <c r="P7302">
        <v>5.347006E-2</v>
      </c>
      <c r="Q7302">
        <v>2.751485E-2</v>
      </c>
      <c r="R7302">
        <v>0.99819029999999997</v>
      </c>
      <c r="S7302">
        <v>0.30200199999999999</v>
      </c>
      <c r="T7302">
        <v>-0.14582800000000001</v>
      </c>
      <c r="U7302">
        <v>2.9932859999999999</v>
      </c>
      <c r="V7302">
        <v>4.860942E-2</v>
      </c>
      <c r="W7302">
        <v>4.1182610000000001E-2</v>
      </c>
      <c r="X7302">
        <v>0.99796850000000004</v>
      </c>
      <c r="Y7302">
        <v>9.541877E-2</v>
      </c>
      <c r="Z7302">
        <v>-4.8426150000000001E-2</v>
      </c>
      <c r="AA7302">
        <v>0.99425859999999999</v>
      </c>
      <c r="AB7302">
        <v>46</v>
      </c>
      <c r="AC7302">
        <v>2.2953000000000201</v>
      </c>
      <c r="AD7302">
        <v>-1.109411882082</v>
      </c>
      <c r="AE7302">
        <v>22.322839999999999</v>
      </c>
      <c r="AF7302">
        <v>2.1812212599978298</v>
      </c>
      <c r="AG7302">
        <v>-1.109411882082</v>
      </c>
      <c r="AH7302">
        <v>22.279301321276801</v>
      </c>
      <c r="AI7302">
        <v>92.837182286948405</v>
      </c>
      <c r="AJ7302">
        <v>84.408363479901695</v>
      </c>
      <c r="AK7302">
        <v>22.413294899978801</v>
      </c>
      <c r="AL7302">
        <v>87.639742779738796</v>
      </c>
      <c r="AM7302">
        <v>87.211419825233605</v>
      </c>
      <c r="AN7302">
        <v>1.0000000050356901</v>
      </c>
    </row>
    <row r="7303" spans="1:40" x14ac:dyDescent="0.25">
      <c r="A7303" t="str">
        <f>"20190312155018525"</f>
        <v>20190312155018525</v>
      </c>
      <c r="B7303" t="str">
        <f>"1552377018522762"</f>
        <v>1552377018522762</v>
      </c>
      <c r="C7303" t="s">
        <v>40</v>
      </c>
      <c r="D7303">
        <v>4.7920059999999998</v>
      </c>
      <c r="E7303">
        <v>0.48872179999999998</v>
      </c>
      <c r="F7303" t="s">
        <v>42</v>
      </c>
      <c r="G7303">
        <v>-185.9006</v>
      </c>
      <c r="H7303" s="1">
        <v>-2.0544830000000001E-6</v>
      </c>
      <c r="I7303">
        <v>72.480029999999999</v>
      </c>
      <c r="J7303">
        <v>-188.2115</v>
      </c>
      <c r="K7303">
        <v>1.1094280000000001</v>
      </c>
      <c r="L7303">
        <v>50.098179999999999</v>
      </c>
      <c r="M7303">
        <v>4.8697460000000003E-3</v>
      </c>
      <c r="N7303">
        <v>0</v>
      </c>
      <c r="O7303">
        <v>0.99989099999999997</v>
      </c>
      <c r="P7303">
        <v>5.3577809999999997E-2</v>
      </c>
      <c r="Q7303">
        <v>2.6977750000000002E-2</v>
      </c>
      <c r="R7303">
        <v>0.99819919999999995</v>
      </c>
      <c r="S7303">
        <v>0.30345149999999999</v>
      </c>
      <c r="T7303">
        <v>-0.14554449999999999</v>
      </c>
      <c r="U7303">
        <v>2.9931950000000001</v>
      </c>
      <c r="V7303">
        <v>4.8717259999999998E-2</v>
      </c>
      <c r="W7303">
        <v>4.089342E-2</v>
      </c>
      <c r="X7303">
        <v>0.9979751</v>
      </c>
      <c r="Y7303">
        <v>9.5899059999999994E-2</v>
      </c>
      <c r="Z7303">
        <v>-4.833142E-2</v>
      </c>
      <c r="AA7303">
        <v>0.99421700000000002</v>
      </c>
      <c r="AB7303">
        <v>46</v>
      </c>
      <c r="AC7303">
        <v>2.3109000000000002</v>
      </c>
      <c r="AD7303">
        <v>-1.109430054483</v>
      </c>
      <c r="AE7303">
        <v>22.38185</v>
      </c>
      <c r="AF7303">
        <v>2.19652810264461</v>
      </c>
      <c r="AG7303">
        <v>-1.109430054483</v>
      </c>
      <c r="AH7303">
        <v>22.3385319632117</v>
      </c>
      <c r="AI7303">
        <v>92.829601159827504</v>
      </c>
      <c r="AJ7303">
        <v>84.384209188461099</v>
      </c>
      <c r="AK7303">
        <v>22.473664165483299</v>
      </c>
      <c r="AL7303">
        <v>87.656326038105107</v>
      </c>
      <c r="AM7303">
        <v>87.205261610864596</v>
      </c>
      <c r="AN7303">
        <v>0.99999997172060595</v>
      </c>
    </row>
    <row r="7304" spans="1:40" x14ac:dyDescent="0.25">
      <c r="A7304" t="str">
        <f>"20190312155018548"</f>
        <v>20190312155018548</v>
      </c>
      <c r="B7304" t="str">
        <f>"1552377018543259"</f>
        <v>1552377018543259</v>
      </c>
      <c r="C7304" t="s">
        <v>40</v>
      </c>
      <c r="D7304">
        <v>4.7527080000000002</v>
      </c>
      <c r="E7304">
        <v>0.48470150000000001</v>
      </c>
      <c r="F7304" t="s">
        <v>42</v>
      </c>
      <c r="G7304">
        <v>-187.46770000000001</v>
      </c>
      <c r="H7304" s="1">
        <v>-2.434956E-6</v>
      </c>
      <c r="I7304">
        <v>84.261659999999907</v>
      </c>
      <c r="J7304">
        <v>-188.20930000000001</v>
      </c>
      <c r="K7304">
        <v>1.1094379999999999</v>
      </c>
      <c r="L7304">
        <v>50.562710000000003</v>
      </c>
      <c r="M7304">
        <v>4.869562E-3</v>
      </c>
      <c r="N7304">
        <v>0</v>
      </c>
      <c r="O7304">
        <v>0.99988770000000005</v>
      </c>
      <c r="P7304">
        <v>5.3742789999999999E-2</v>
      </c>
      <c r="Q7304">
        <v>2.6815209999999999E-2</v>
      </c>
      <c r="R7304">
        <v>0.99819469999999999</v>
      </c>
      <c r="S7304">
        <v>6.5414429999999996E-2</v>
      </c>
      <c r="T7304">
        <v>-9.7570180000000006E-2</v>
      </c>
      <c r="U7304">
        <v>3.0045470000000001</v>
      </c>
      <c r="V7304">
        <v>4.8882439999999999E-2</v>
      </c>
      <c r="W7304">
        <v>4.0960129999999997E-2</v>
      </c>
      <c r="X7304">
        <v>0.99796430000000003</v>
      </c>
      <c r="Y7304">
        <v>1.688603E-2</v>
      </c>
      <c r="Z7304">
        <v>-3.2450329999999999E-2</v>
      </c>
      <c r="AA7304">
        <v>0.99933070000000002</v>
      </c>
      <c r="AB7304">
        <v>46</v>
      </c>
      <c r="AC7304">
        <v>0.74160000000000503</v>
      </c>
      <c r="AD7304">
        <v>-1.1094404349560001</v>
      </c>
      <c r="AE7304">
        <v>33.698950000000004</v>
      </c>
      <c r="AF7304">
        <v>0.57685066933117601</v>
      </c>
      <c r="AG7304">
        <v>-1.1094404349560001</v>
      </c>
      <c r="AH7304">
        <v>33.665690596733903</v>
      </c>
      <c r="AI7304">
        <v>91.887201420557105</v>
      </c>
      <c r="AJ7304">
        <v>89.018351497441898</v>
      </c>
      <c r="AK7304">
        <v>33.688905267586797</v>
      </c>
      <c r="AL7304">
        <v>87.652500661749201</v>
      </c>
      <c r="AM7304">
        <v>87.195770614029698</v>
      </c>
      <c r="AN7304">
        <v>0.99999998463223005</v>
      </c>
    </row>
    <row r="7305" spans="1:40" x14ac:dyDescent="0.25">
      <c r="A7305" t="str">
        <f>"20190312155018571"</f>
        <v>20190312155018571</v>
      </c>
      <c r="B7305" t="str">
        <f>"1552377018562779"</f>
        <v>1552377018562779</v>
      </c>
      <c r="C7305" t="s">
        <v>40</v>
      </c>
      <c r="D7305">
        <v>4.7316279999999997</v>
      </c>
      <c r="E7305">
        <v>0.48279620000000001</v>
      </c>
      <c r="F7305" t="s">
        <v>42</v>
      </c>
      <c r="G7305">
        <v>-187.83580000000001</v>
      </c>
      <c r="H7305" s="1">
        <v>-2.087571E-6</v>
      </c>
      <c r="I7305">
        <v>83.604079999999996</v>
      </c>
      <c r="J7305">
        <v>-188.20699999999999</v>
      </c>
      <c r="K7305">
        <v>1.1094520000000001</v>
      </c>
      <c r="L7305">
        <v>51.025019999999998</v>
      </c>
      <c r="M7305">
        <v>4.8693620000000003E-3</v>
      </c>
      <c r="N7305">
        <v>0</v>
      </c>
      <c r="O7305">
        <v>0.99988489999999997</v>
      </c>
      <c r="P7305">
        <v>5.3477419999999998E-2</v>
      </c>
      <c r="Q7305">
        <v>2.6266270000000001E-2</v>
      </c>
      <c r="R7305">
        <v>0.99822350000000004</v>
      </c>
      <c r="S7305">
        <v>3.3981320000000002E-2</v>
      </c>
      <c r="T7305">
        <v>-0.10094400000000001</v>
      </c>
      <c r="U7305">
        <v>3.0063170000000001</v>
      </c>
      <c r="V7305">
        <v>4.8617109999999998E-2</v>
      </c>
      <c r="W7305">
        <v>4.0609939999999997E-2</v>
      </c>
      <c r="X7305">
        <v>0.99799159999999998</v>
      </c>
      <c r="Y7305">
        <v>6.4265310000000001E-3</v>
      </c>
      <c r="Z7305">
        <v>-3.3556379999999997E-2</v>
      </c>
      <c r="AA7305">
        <v>0.99941619999999998</v>
      </c>
      <c r="AB7305">
        <v>46</v>
      </c>
      <c r="AC7305">
        <v>0.37119999999998698</v>
      </c>
      <c r="AD7305">
        <v>-1.1094540875709999</v>
      </c>
      <c r="AE7305">
        <v>32.579059999999998</v>
      </c>
      <c r="AF7305">
        <v>0.21229381859472199</v>
      </c>
      <c r="AG7305">
        <v>-1.1094540875709999</v>
      </c>
      <c r="AH7305">
        <v>32.542746806172097</v>
      </c>
      <c r="AI7305">
        <v>91.952541861344002</v>
      </c>
      <c r="AJ7305">
        <v>89.626234154326298</v>
      </c>
      <c r="AK7305">
        <v>32.562345227708398</v>
      </c>
      <c r="AL7305">
        <v>87.6725818438575</v>
      </c>
      <c r="AM7305">
        <v>87.2110438230347</v>
      </c>
      <c r="AN7305">
        <v>1.0000000121410499</v>
      </c>
    </row>
    <row r="7306" spans="1:40" x14ac:dyDescent="0.25">
      <c r="A7306" t="str">
        <f>"20190312155018592"</f>
        <v>20190312155018592</v>
      </c>
      <c r="B7306" t="str">
        <f>"1552377018583275"</f>
        <v>1552377018583275</v>
      </c>
      <c r="C7306" t="s">
        <v>40</v>
      </c>
      <c r="D7306">
        <v>4.7474059999999998</v>
      </c>
      <c r="E7306">
        <v>0.48172710000000002</v>
      </c>
      <c r="F7306" t="s">
        <v>42</v>
      </c>
      <c r="G7306">
        <v>-188.02209999999999</v>
      </c>
      <c r="H7306" s="1">
        <v>-1.4514110000000001E-6</v>
      </c>
      <c r="I7306">
        <v>82.198210000000003</v>
      </c>
      <c r="J7306">
        <v>-188.20490000000001</v>
      </c>
      <c r="K7306">
        <v>1.109453</v>
      </c>
      <c r="L7306">
        <v>51.461060000000003</v>
      </c>
      <c r="M7306">
        <v>4.86916E-3</v>
      </c>
      <c r="N7306">
        <v>0</v>
      </c>
      <c r="O7306">
        <v>0.99988250000000001</v>
      </c>
      <c r="P7306">
        <v>5.2601490000000001E-2</v>
      </c>
      <c r="Q7306">
        <v>2.543871E-2</v>
      </c>
      <c r="R7306">
        <v>0.9982915</v>
      </c>
      <c r="S7306">
        <v>1.7837519999999999E-2</v>
      </c>
      <c r="T7306">
        <v>-0.1070263</v>
      </c>
      <c r="U7306">
        <v>3.0072019999999999</v>
      </c>
      <c r="V7306">
        <v>4.7741020000000002E-2</v>
      </c>
      <c r="W7306">
        <v>3.9946240000000001E-2</v>
      </c>
      <c r="X7306">
        <v>0.99806059999999996</v>
      </c>
      <c r="Y7306">
        <v>1.0580850000000001E-3</v>
      </c>
      <c r="Z7306">
        <v>-3.5566529999999999E-2</v>
      </c>
      <c r="AA7306">
        <v>0.9993668</v>
      </c>
      <c r="AB7306">
        <v>46</v>
      </c>
      <c r="AC7306">
        <v>0.18280000000001401</v>
      </c>
      <c r="AD7306">
        <v>-1.1094544514110001</v>
      </c>
      <c r="AE7306">
        <v>30.73715</v>
      </c>
      <c r="AF7306">
        <v>3.3074828672990102E-2</v>
      </c>
      <c r="AG7306">
        <v>-1.1094544514110001</v>
      </c>
      <c r="AH7306">
        <v>30.697682911059701</v>
      </c>
      <c r="AI7306">
        <v>92.069842393625805</v>
      </c>
      <c r="AJ7306">
        <v>89.938267413756606</v>
      </c>
      <c r="AK7306">
        <v>30.717742743112002</v>
      </c>
      <c r="AL7306">
        <v>87.710639758196393</v>
      </c>
      <c r="AM7306">
        <v>87.261413201875797</v>
      </c>
      <c r="AN7306">
        <v>0.99999993417656596</v>
      </c>
    </row>
    <row r="7307" spans="1:40" x14ac:dyDescent="0.25">
      <c r="A7307" t="str">
        <f>"20190312155018614"</f>
        <v>20190312155018614</v>
      </c>
      <c r="B7307" t="str">
        <f>"1552377018602795"</f>
        <v>1552377018602795</v>
      </c>
      <c r="C7307" t="s">
        <v>40</v>
      </c>
      <c r="D7307">
        <v>4.7334829999999997</v>
      </c>
      <c r="E7307">
        <v>0.48092499999999999</v>
      </c>
      <c r="F7307" t="s">
        <v>42</v>
      </c>
      <c r="G7307">
        <v>-188.13929999999999</v>
      </c>
      <c r="H7307" s="1">
        <v>-1.0403330000000001E-6</v>
      </c>
      <c r="I7307">
        <v>81.250290000000007</v>
      </c>
      <c r="J7307">
        <v>-188.2028</v>
      </c>
      <c r="K7307">
        <v>1.109459</v>
      </c>
      <c r="L7307">
        <v>51.902369999999998</v>
      </c>
      <c r="M7307">
        <v>4.8689720000000001E-3</v>
      </c>
      <c r="N7307">
        <v>0</v>
      </c>
      <c r="O7307">
        <v>0.9998804</v>
      </c>
      <c r="P7307">
        <v>5.2268349999999998E-2</v>
      </c>
      <c r="Q7307">
        <v>2.4470820000000001E-2</v>
      </c>
      <c r="R7307">
        <v>0.99833320000000003</v>
      </c>
      <c r="S7307">
        <v>6.6223139999999998E-3</v>
      </c>
      <c r="T7307">
        <v>-0.1120145</v>
      </c>
      <c r="U7307">
        <v>3.0076290000000001</v>
      </c>
      <c r="V7307">
        <v>4.7407820000000003E-2</v>
      </c>
      <c r="W7307">
        <v>3.9121959999999997E-2</v>
      </c>
      <c r="X7307">
        <v>0.99810920000000003</v>
      </c>
      <c r="Y7307">
        <v>-2.6692030000000002E-3</v>
      </c>
      <c r="Z7307">
        <v>-3.7216880000000001E-2</v>
      </c>
      <c r="AA7307">
        <v>0.99930359999999996</v>
      </c>
      <c r="AB7307">
        <v>46</v>
      </c>
      <c r="AC7307">
        <v>6.3500000000004705E-2</v>
      </c>
      <c r="AD7307">
        <v>-1.1094600403329999</v>
      </c>
      <c r="AE7307">
        <v>29.347919999999998</v>
      </c>
      <c r="AF7307">
        <v>-7.9297026991792599E-2</v>
      </c>
      <c r="AG7307">
        <v>-1.1094600403329999</v>
      </c>
      <c r="AH7307">
        <v>29.305999669881501</v>
      </c>
      <c r="AI7307">
        <v>92.168047628006605</v>
      </c>
      <c r="AJ7307">
        <v>90.155032209705993</v>
      </c>
      <c r="AK7307">
        <v>29.3271002018727</v>
      </c>
      <c r="AL7307">
        <v>87.757904630770298</v>
      </c>
      <c r="AM7307">
        <v>87.280630108887095</v>
      </c>
      <c r="AN7307">
        <v>1.00000000213801</v>
      </c>
    </row>
    <row r="7308" spans="1:40" x14ac:dyDescent="0.25">
      <c r="A7308" t="str">
        <f>"20190312155018636"</f>
        <v>20190312155018636</v>
      </c>
      <c r="B7308" t="str">
        <f>"1552377018633051"</f>
        <v>1552377018633051</v>
      </c>
      <c r="C7308" t="s">
        <v>40</v>
      </c>
      <c r="D7308">
        <v>4.7660900000000002</v>
      </c>
      <c r="E7308">
        <v>0.4799175</v>
      </c>
      <c r="F7308" t="s">
        <v>42</v>
      </c>
      <c r="G7308">
        <v>-188.21039999999999</v>
      </c>
      <c r="H7308" s="1">
        <v>-8.8519099999999998E-7</v>
      </c>
      <c r="I7308">
        <v>80.849999999999994</v>
      </c>
      <c r="J7308">
        <v>-188.2004</v>
      </c>
      <c r="K7308">
        <v>1.109467</v>
      </c>
      <c r="L7308">
        <v>52.376220000000004</v>
      </c>
      <c r="M7308">
        <v>4.8687890000000001E-3</v>
      </c>
      <c r="N7308">
        <v>0</v>
      </c>
      <c r="O7308">
        <v>0.9998785</v>
      </c>
      <c r="P7308">
        <v>5.1853349999999999E-2</v>
      </c>
      <c r="Q7308">
        <v>2.2633049999999998E-2</v>
      </c>
      <c r="R7308">
        <v>0.99839820000000001</v>
      </c>
      <c r="S7308">
        <v>-7.9345700000000002E-4</v>
      </c>
      <c r="T7308">
        <v>-0.1152811</v>
      </c>
      <c r="U7308">
        <v>3.0078740000000002</v>
      </c>
      <c r="V7308">
        <v>4.6992619999999999E-2</v>
      </c>
      <c r="W7308">
        <v>3.7417079999999998E-2</v>
      </c>
      <c r="X7308">
        <v>0.99819420000000003</v>
      </c>
      <c r="Y7308">
        <v>-5.1329210000000004E-3</v>
      </c>
      <c r="Z7308">
        <v>-3.8297400000000002E-2</v>
      </c>
      <c r="AA7308">
        <v>0.99925319999999995</v>
      </c>
      <c r="AB7308">
        <v>46</v>
      </c>
      <c r="AC7308">
        <v>-9.9999999999908998E-3</v>
      </c>
      <c r="AD7308">
        <v>-1.109467885191</v>
      </c>
      <c r="AE7308">
        <v>28.473779999999898</v>
      </c>
      <c r="AF7308">
        <v>-0.14842257008463799</v>
      </c>
      <c r="AG7308">
        <v>-1.109467885191</v>
      </c>
      <c r="AH7308">
        <v>28.4302299568579</v>
      </c>
      <c r="AI7308">
        <v>92.234759374240397</v>
      </c>
      <c r="AJ7308">
        <v>90.299115047856901</v>
      </c>
      <c r="AK7308">
        <v>28.452256916585799</v>
      </c>
      <c r="AL7308">
        <v>87.855658681323007</v>
      </c>
      <c r="AM7308">
        <v>87.304640401195996</v>
      </c>
      <c r="AN7308">
        <v>1.00000000256191</v>
      </c>
    </row>
    <row r="7309" spans="1:40" x14ac:dyDescent="0.25">
      <c r="A7309" t="str">
        <f>"20190312155018662"</f>
        <v>20190312155018662</v>
      </c>
      <c r="B7309" t="str">
        <f>"1552377018653547"</f>
        <v>1552377018653547</v>
      </c>
      <c r="C7309" t="s">
        <v>40</v>
      </c>
      <c r="D7309">
        <v>4.782368</v>
      </c>
      <c r="E7309">
        <v>0.47954429999999998</v>
      </c>
      <c r="F7309" t="s">
        <v>42</v>
      </c>
      <c r="G7309">
        <v>-188.29159999999999</v>
      </c>
      <c r="H7309" s="1">
        <v>-4.442184E-6</v>
      </c>
      <c r="I7309">
        <v>79.281210000000002</v>
      </c>
      <c r="J7309">
        <v>-188.19800000000001</v>
      </c>
      <c r="K7309">
        <v>1.109475</v>
      </c>
      <c r="L7309">
        <v>52.8690199999999</v>
      </c>
      <c r="M7309">
        <v>4.868608E-3</v>
      </c>
      <c r="N7309">
        <v>0</v>
      </c>
      <c r="O7309">
        <v>0.99987669999999995</v>
      </c>
      <c r="P7309">
        <v>5.1858790000000002E-2</v>
      </c>
      <c r="Q7309">
        <v>2.1757780000000001E-2</v>
      </c>
      <c r="R7309">
        <v>0.99841740000000001</v>
      </c>
      <c r="S7309">
        <v>-1.019287E-2</v>
      </c>
      <c r="T7309">
        <v>-0.124046</v>
      </c>
      <c r="U7309">
        <v>3.0081479999999998</v>
      </c>
      <c r="V7309">
        <v>4.6998119999999997E-2</v>
      </c>
      <c r="W7309">
        <v>3.6659919999999999E-2</v>
      </c>
      <c r="X7309">
        <v>0.9982221</v>
      </c>
      <c r="Y7309">
        <v>-8.2546049999999999E-3</v>
      </c>
      <c r="Z7309">
        <v>-4.1200090000000002E-2</v>
      </c>
      <c r="AA7309">
        <v>0.99911680000000003</v>
      </c>
      <c r="AB7309">
        <v>46</v>
      </c>
      <c r="AC7309">
        <v>-9.3600000000009204E-2</v>
      </c>
      <c r="AD7309">
        <v>-1.109479442184</v>
      </c>
      <c r="AE7309">
        <v>26.412189999999999</v>
      </c>
      <c r="AF7309">
        <v>-0.22181243222816899</v>
      </c>
      <c r="AG7309">
        <v>-1.109479442184</v>
      </c>
      <c r="AH7309">
        <v>26.364900005184801</v>
      </c>
      <c r="AI7309">
        <v>92.409596086234302</v>
      </c>
      <c r="AJ7309">
        <v>90.482027861610007</v>
      </c>
      <c r="AK7309">
        <v>26.389166293596901</v>
      </c>
      <c r="AL7309">
        <v>87.899070677564595</v>
      </c>
      <c r="AM7309">
        <v>87.3044006346814</v>
      </c>
      <c r="AN7309">
        <v>1.0000000669731699</v>
      </c>
    </row>
    <row r="7310" spans="1:40" x14ac:dyDescent="0.25">
      <c r="A7310" t="str">
        <f>"20190312155018683"</f>
        <v>20190312155018683</v>
      </c>
      <c r="B7310" t="str">
        <f>"1552377018673067"</f>
        <v>1552377018673067</v>
      </c>
      <c r="C7310" t="s">
        <v>40</v>
      </c>
      <c r="D7310">
        <v>4.8072400000000002</v>
      </c>
      <c r="E7310">
        <v>0.47915859999999899</v>
      </c>
      <c r="F7310" t="s">
        <v>42</v>
      </c>
      <c r="G7310">
        <v>-188.31209999999999</v>
      </c>
      <c r="H7310" s="1">
        <v>-4.4164959999999999E-6</v>
      </c>
      <c r="I7310">
        <v>79.229799999999997</v>
      </c>
      <c r="J7310">
        <v>-188.19579999999999</v>
      </c>
      <c r="K7310">
        <v>1.109483</v>
      </c>
      <c r="L7310">
        <v>53.317659999999997</v>
      </c>
      <c r="M7310">
        <v>4.8684359999999899E-3</v>
      </c>
      <c r="N7310">
        <v>0</v>
      </c>
      <c r="O7310">
        <v>0.99987539999999997</v>
      </c>
      <c r="P7310">
        <v>5.2012990000000002E-2</v>
      </c>
      <c r="Q7310">
        <v>2.194254E-2</v>
      </c>
      <c r="R7310">
        <v>0.99840530000000005</v>
      </c>
      <c r="S7310">
        <v>-1.301575E-2</v>
      </c>
      <c r="T7310">
        <v>-0.126609</v>
      </c>
      <c r="U7310">
        <v>3.0081790000000002</v>
      </c>
      <c r="V7310">
        <v>4.7152550000000001E-2</v>
      </c>
      <c r="W7310">
        <v>3.6935339999999997E-2</v>
      </c>
      <c r="X7310">
        <v>0.9982046</v>
      </c>
      <c r="Y7310">
        <v>-9.1918069999999998E-3</v>
      </c>
      <c r="Z7310">
        <v>-4.2049179999999999E-2</v>
      </c>
      <c r="AA7310">
        <v>0.99907330000000005</v>
      </c>
      <c r="AB7310">
        <v>46</v>
      </c>
      <c r="AC7310">
        <v>-0.116299999999995</v>
      </c>
      <c r="AD7310">
        <v>-1.109487416496</v>
      </c>
      <c r="AE7310">
        <v>25.912140000000001</v>
      </c>
      <c r="AF7310">
        <v>-0.24202074909252799</v>
      </c>
      <c r="AG7310">
        <v>-1.109487416496</v>
      </c>
      <c r="AH7310">
        <v>25.863850834069702</v>
      </c>
      <c r="AI7310">
        <v>92.456216568726106</v>
      </c>
      <c r="AJ7310">
        <v>90.536129088081793</v>
      </c>
      <c r="AK7310">
        <v>25.888768150249302</v>
      </c>
      <c r="AL7310">
        <v>87.8832794445524</v>
      </c>
      <c r="AM7310">
        <v>87.295509015330396</v>
      </c>
      <c r="AN7310">
        <v>1.0000000028867799</v>
      </c>
    </row>
    <row r="7311" spans="1:40" x14ac:dyDescent="0.25">
      <c r="A7311" t="str">
        <f>"20190312155018706"</f>
        <v>20190312155018706</v>
      </c>
      <c r="B7311" t="str">
        <f>"1552377018692587"</f>
        <v>1552377018692587</v>
      </c>
      <c r="C7311" t="s">
        <v>40</v>
      </c>
      <c r="D7311">
        <v>4.8433400000000004</v>
      </c>
      <c r="E7311">
        <v>0.4786646</v>
      </c>
      <c r="F7311" t="s">
        <v>42</v>
      </c>
      <c r="G7311">
        <v>-188.3347</v>
      </c>
      <c r="H7311" s="1">
        <v>-6.2869630000000004E-7</v>
      </c>
      <c r="I7311">
        <v>80.1935</v>
      </c>
      <c r="J7311">
        <v>-188.1936</v>
      </c>
      <c r="K7311">
        <v>1.109491</v>
      </c>
      <c r="L7311">
        <v>53.77505</v>
      </c>
      <c r="M7311">
        <v>4.8682630000000003E-3</v>
      </c>
      <c r="N7311">
        <v>0</v>
      </c>
      <c r="O7311">
        <v>0.99987420000000005</v>
      </c>
      <c r="P7311">
        <v>5.2144259999999998E-2</v>
      </c>
      <c r="Q7311">
        <v>2.109815E-2</v>
      </c>
      <c r="R7311">
        <v>0.99841670000000005</v>
      </c>
      <c r="S7311">
        <v>-1.554871E-2</v>
      </c>
      <c r="T7311">
        <v>-0.12418940000000001</v>
      </c>
      <c r="U7311">
        <v>3.0083310000000001</v>
      </c>
      <c r="V7311">
        <v>4.7283899999999997E-2</v>
      </c>
      <c r="W7311">
        <v>3.6170519999999998E-2</v>
      </c>
      <c r="X7311">
        <v>0.99822639999999996</v>
      </c>
      <c r="Y7311">
        <v>-1.003277E-2</v>
      </c>
      <c r="Z7311">
        <v>-4.1244639999999999E-2</v>
      </c>
      <c r="AA7311">
        <v>0.99909870000000001</v>
      </c>
      <c r="AB7311">
        <v>46</v>
      </c>
      <c r="AC7311">
        <v>-0.14109999999999401</v>
      </c>
      <c r="AD7311">
        <v>-1.1094916286962999</v>
      </c>
      <c r="AE7311">
        <v>26.41845</v>
      </c>
      <c r="AF7311">
        <v>-0.269250074749669</v>
      </c>
      <c r="AG7311">
        <v>-1.1094916286962999</v>
      </c>
      <c r="AH7311">
        <v>26.370939848961601</v>
      </c>
      <c r="AI7311">
        <v>92.409031028463602</v>
      </c>
      <c r="AJ7311">
        <v>90.584975619881703</v>
      </c>
      <c r="AK7311">
        <v>26.3956423637398</v>
      </c>
      <c r="AL7311">
        <v>87.9271297220142</v>
      </c>
      <c r="AM7311">
        <v>87.288045649362402</v>
      </c>
      <c r="AN7311">
        <v>1.00000000968662</v>
      </c>
    </row>
    <row r="7312" spans="1:40" x14ac:dyDescent="0.25">
      <c r="A7312" t="str">
        <f>"20190312155018726"</f>
        <v>20190312155018726</v>
      </c>
      <c r="B7312" t="str">
        <f>"1552377018722843"</f>
        <v>1552377018722843</v>
      </c>
      <c r="C7312" t="s">
        <v>40</v>
      </c>
      <c r="D7312">
        <v>4.8685029999999996</v>
      </c>
      <c r="E7312">
        <v>0.47793429999999998</v>
      </c>
      <c r="F7312" t="s">
        <v>42</v>
      </c>
      <c r="G7312">
        <v>-188.36199999999999</v>
      </c>
      <c r="H7312" s="1">
        <v>-7.2134649999999904E-7</v>
      </c>
      <c r="I7312">
        <v>80.487089999999995</v>
      </c>
      <c r="J7312">
        <v>-188.19149999999999</v>
      </c>
      <c r="K7312">
        <v>1.1094949999999999</v>
      </c>
      <c r="L7312">
        <v>54.203580000000002</v>
      </c>
      <c r="M7312">
        <v>4.8680950000000002E-3</v>
      </c>
      <c r="N7312">
        <v>0</v>
      </c>
      <c r="O7312">
        <v>0.99987320000000002</v>
      </c>
      <c r="P7312">
        <v>5.2476479999999999E-2</v>
      </c>
      <c r="Q7312">
        <v>2.0602329999999999E-2</v>
      </c>
      <c r="R7312">
        <v>0.99840960000000001</v>
      </c>
      <c r="S7312">
        <v>-1.8966670000000001E-2</v>
      </c>
      <c r="T7312">
        <v>-0.1249543</v>
      </c>
      <c r="U7312">
        <v>3.0083920000000002</v>
      </c>
      <c r="V7312">
        <v>4.7616289999999999E-2</v>
      </c>
      <c r="W7312">
        <v>3.5738310000000002E-2</v>
      </c>
      <c r="X7312">
        <v>0.99822619999999895</v>
      </c>
      <c r="Y7312">
        <v>-1.116752E-2</v>
      </c>
      <c r="Z7312">
        <v>-4.1497029999999997E-2</v>
      </c>
      <c r="AA7312">
        <v>0.99907619999999997</v>
      </c>
      <c r="AB7312">
        <v>45</v>
      </c>
      <c r="AC7312">
        <v>-0.17050000000000401</v>
      </c>
      <c r="AD7312">
        <v>-1.1094957213465</v>
      </c>
      <c r="AE7312">
        <v>26.28351</v>
      </c>
      <c r="AF7312">
        <v>-0.29793244742020197</v>
      </c>
      <c r="AG7312">
        <v>-1.1094957213465</v>
      </c>
      <c r="AH7312">
        <v>26.235620966778701</v>
      </c>
      <c r="AI7312">
        <v>92.421420689753305</v>
      </c>
      <c r="AJ7312">
        <v>90.650624511805901</v>
      </c>
      <c r="AK7312">
        <v>26.260760689884599</v>
      </c>
      <c r="AL7312">
        <v>87.951909619157803</v>
      </c>
      <c r="AM7312">
        <v>87.269009732415299</v>
      </c>
      <c r="AN7312">
        <v>1.00000004212072</v>
      </c>
    </row>
    <row r="7313" spans="1:40" x14ac:dyDescent="0.25">
      <c r="A7313" t="str">
        <f>"20190312155018749"</f>
        <v>20190312155018749</v>
      </c>
      <c r="B7313" t="str">
        <f>"1552377018743339"</f>
        <v>1552377018743339</v>
      </c>
      <c r="C7313" t="s">
        <v>40</v>
      </c>
      <c r="D7313">
        <v>4.8787900000000004</v>
      </c>
      <c r="E7313">
        <v>0.47747659999999997</v>
      </c>
      <c r="F7313" t="s">
        <v>42</v>
      </c>
      <c r="G7313">
        <v>-188.40280000000001</v>
      </c>
      <c r="H7313" s="1">
        <v>-8.9287719999999899E-7</v>
      </c>
      <c r="I7313">
        <v>81.023009999999999</v>
      </c>
      <c r="J7313">
        <v>-188.1893</v>
      </c>
      <c r="K7313">
        <v>1.1095029999999999</v>
      </c>
      <c r="L7313">
        <v>54.659210000000002</v>
      </c>
      <c r="M7313">
        <v>4.8679049999999996E-3</v>
      </c>
      <c r="N7313">
        <v>0</v>
      </c>
      <c r="O7313">
        <v>0.99987230000000005</v>
      </c>
      <c r="P7313">
        <v>5.2697500000000001E-2</v>
      </c>
      <c r="Q7313">
        <v>1.9900890000000001E-2</v>
      </c>
      <c r="R7313">
        <v>0.99841219999999997</v>
      </c>
      <c r="S7313">
        <v>-2.36969E-2</v>
      </c>
      <c r="T7313">
        <v>-0.1244633</v>
      </c>
      <c r="U7313">
        <v>3.0086059999999999</v>
      </c>
      <c r="V7313">
        <v>4.7837440000000002E-2</v>
      </c>
      <c r="W7313">
        <v>3.509499E-2</v>
      </c>
      <c r="X7313">
        <v>0.99823839999999997</v>
      </c>
      <c r="Y7313">
        <v>-1.273762E-2</v>
      </c>
      <c r="Z7313">
        <v>-4.1330690000000003E-2</v>
      </c>
      <c r="AA7313">
        <v>0.99906430000000002</v>
      </c>
      <c r="AB7313">
        <v>45</v>
      </c>
      <c r="AC7313">
        <v>-0.21350000000000999</v>
      </c>
      <c r="AD7313">
        <v>-1.1095038928771901</v>
      </c>
      <c r="AE7313">
        <v>26.363800000000001</v>
      </c>
      <c r="AF7313">
        <v>-0.34124447672214298</v>
      </c>
      <c r="AG7313">
        <v>-1.1095038928771901</v>
      </c>
      <c r="AH7313">
        <v>26.315843363399299</v>
      </c>
      <c r="AI7313">
        <v>92.414018386216398</v>
      </c>
      <c r="AJ7313">
        <v>90.742927834657394</v>
      </c>
      <c r="AK7313">
        <v>26.341432356805701</v>
      </c>
      <c r="AL7313">
        <v>87.988792175425502</v>
      </c>
      <c r="AM7313">
        <v>87.256378686111901</v>
      </c>
      <c r="AN7313">
        <v>0.99999999111170601</v>
      </c>
    </row>
    <row r="7314" spans="1:40" x14ac:dyDescent="0.25">
      <c r="A7314" t="str">
        <f>"20190312155018772"</f>
        <v>20190312155018772</v>
      </c>
      <c r="B7314" t="str">
        <f>"1552377018762860"</f>
        <v>1552377018762860</v>
      </c>
      <c r="C7314" t="s">
        <v>40</v>
      </c>
      <c r="D7314">
        <v>4.9018649999999999</v>
      </c>
      <c r="E7314">
        <v>0.4771745</v>
      </c>
      <c r="F7314" t="s">
        <v>42</v>
      </c>
      <c r="G7314">
        <v>-188.42529999999999</v>
      </c>
      <c r="H7314" s="1">
        <v>-9.6418569999999897E-7</v>
      </c>
      <c r="I7314">
        <v>81.229179999999999</v>
      </c>
      <c r="J7314">
        <v>-188.18700000000001</v>
      </c>
      <c r="K7314">
        <v>1.109513</v>
      </c>
      <c r="L7314">
        <v>55.126710000000003</v>
      </c>
      <c r="M7314">
        <v>4.867718E-3</v>
      </c>
      <c r="N7314">
        <v>0</v>
      </c>
      <c r="O7314">
        <v>0.99987159999999997</v>
      </c>
      <c r="P7314">
        <v>5.2738739999999999E-2</v>
      </c>
      <c r="Q7314">
        <v>2.0304099999999999E-2</v>
      </c>
      <c r="R7314">
        <v>0.99840189999999995</v>
      </c>
      <c r="S7314">
        <v>-2.6718140000000001E-2</v>
      </c>
      <c r="T7314">
        <v>-0.12563669999999999</v>
      </c>
      <c r="U7314">
        <v>3.0086979999999999</v>
      </c>
      <c r="V7314">
        <v>4.7878940000000002E-2</v>
      </c>
      <c r="W7314">
        <v>3.5547699999999897E-2</v>
      </c>
      <c r="X7314">
        <v>0.99822040000000001</v>
      </c>
      <c r="Y7314">
        <v>-1.3740209999999999E-2</v>
      </c>
      <c r="Z7314">
        <v>-4.1717940000000002E-2</v>
      </c>
      <c r="AA7314">
        <v>0.99903489999999995</v>
      </c>
      <c r="AB7314">
        <v>45</v>
      </c>
      <c r="AC7314">
        <v>-0.238299999999981</v>
      </c>
      <c r="AD7314">
        <v>-1.1095139641856999</v>
      </c>
      <c r="AE7314">
        <v>26.10247</v>
      </c>
      <c r="AF7314">
        <v>-0.364712553856961</v>
      </c>
      <c r="AG7314">
        <v>-1.1095139641856999</v>
      </c>
      <c r="AH7314">
        <v>26.053931088946499</v>
      </c>
      <c r="AI7314">
        <v>92.438244895070397</v>
      </c>
      <c r="AJ7314">
        <v>90.801995109344404</v>
      </c>
      <c r="AK7314">
        <v>26.080095123891699</v>
      </c>
      <c r="AL7314">
        <v>87.962837624089204</v>
      </c>
      <c r="AM7314">
        <v>87.253952737293005</v>
      </c>
      <c r="AN7314">
        <v>0.99999999942348605</v>
      </c>
    </row>
    <row r="7315" spans="1:40" x14ac:dyDescent="0.25">
      <c r="A7315" t="str">
        <f>"20190312155018796"</f>
        <v>20190312155018796</v>
      </c>
      <c r="B7315" t="str">
        <f>"1552377018783355"</f>
        <v>1552377018783355</v>
      </c>
      <c r="C7315" t="s">
        <v>40</v>
      </c>
      <c r="D7315">
        <v>4.8910970000000002</v>
      </c>
      <c r="E7315">
        <v>0.4768616</v>
      </c>
      <c r="F7315" t="s">
        <v>42</v>
      </c>
      <c r="G7315">
        <v>-188.4494</v>
      </c>
      <c r="H7315" s="1">
        <v>-1.428135E-6</v>
      </c>
      <c r="I7315">
        <v>82.320619999999906</v>
      </c>
      <c r="J7315">
        <v>-188.1848</v>
      </c>
      <c r="K7315">
        <v>1.1095330000000001</v>
      </c>
      <c r="L7315">
        <v>55.586550000000003</v>
      </c>
      <c r="M7315">
        <v>4.86755E-3</v>
      </c>
      <c r="N7315">
        <v>0</v>
      </c>
      <c r="O7315">
        <v>0.99987099999999995</v>
      </c>
      <c r="P7315">
        <v>5.2492980000000002E-2</v>
      </c>
      <c r="Q7315">
        <v>2.0739520000000001E-2</v>
      </c>
      <c r="R7315">
        <v>0.99840589999999996</v>
      </c>
      <c r="S7315">
        <v>-2.9022220000000001E-2</v>
      </c>
      <c r="T7315">
        <v>-0.1227602</v>
      </c>
      <c r="U7315">
        <v>3.0088200000000001</v>
      </c>
      <c r="V7315">
        <v>4.7633340000000003E-2</v>
      </c>
      <c r="W7315">
        <v>3.6025189999999999E-2</v>
      </c>
      <c r="X7315">
        <v>0.99821499999999996</v>
      </c>
      <c r="Y7315">
        <v>-1.450503E-2</v>
      </c>
      <c r="Z7315">
        <v>-4.0762380000000001E-2</v>
      </c>
      <c r="AA7315">
        <v>0.99906360000000005</v>
      </c>
      <c r="AB7315">
        <v>45</v>
      </c>
      <c r="AC7315">
        <v>-0.264600000000001</v>
      </c>
      <c r="AD7315">
        <v>-1.1095344281349999</v>
      </c>
      <c r="AE7315">
        <v>26.7340699999999</v>
      </c>
      <c r="AF7315">
        <v>-0.39406283927403402</v>
      </c>
      <c r="AG7315">
        <v>-1.1095344281349999</v>
      </c>
      <c r="AH7315">
        <v>26.686502943112501</v>
      </c>
      <c r="AI7315">
        <v>92.380534087619097</v>
      </c>
      <c r="AJ7315">
        <v>90.845989330029298</v>
      </c>
      <c r="AK7315">
        <v>26.712465095929801</v>
      </c>
      <c r="AL7315">
        <v>87.935461861527699</v>
      </c>
      <c r="AM7315">
        <v>87.268002719668303</v>
      </c>
      <c r="AN7315">
        <v>0.99999996780954503</v>
      </c>
    </row>
    <row r="7316" spans="1:40" x14ac:dyDescent="0.25">
      <c r="A7316" t="str">
        <f>"20190312155018817"</f>
        <v>20190312155018817</v>
      </c>
      <c r="B7316" t="str">
        <f>"1552377018812635"</f>
        <v>1552377018812635</v>
      </c>
      <c r="C7316" t="s">
        <v>40</v>
      </c>
      <c r="D7316">
        <v>4.860252</v>
      </c>
      <c r="E7316">
        <v>0.4764275</v>
      </c>
      <c r="F7316" t="s">
        <v>42</v>
      </c>
      <c r="G7316">
        <v>-188.4837</v>
      </c>
      <c r="H7316" s="1">
        <v>-1.9180079999999999E-6</v>
      </c>
      <c r="I7316">
        <v>83.47672</v>
      </c>
      <c r="J7316">
        <v>-188.18270000000001</v>
      </c>
      <c r="K7316">
        <v>1.10955</v>
      </c>
      <c r="L7316">
        <v>56.028320000000001</v>
      </c>
      <c r="M7316">
        <v>4.867405E-3</v>
      </c>
      <c r="N7316">
        <v>0</v>
      </c>
      <c r="O7316">
        <v>0.99987040000000005</v>
      </c>
      <c r="P7316">
        <v>5.2177880000000003E-2</v>
      </c>
      <c r="Q7316">
        <v>2.1299189999999999E-2</v>
      </c>
      <c r="R7316">
        <v>0.99841060000000004</v>
      </c>
      <c r="S7316">
        <v>-3.2241819999999997E-2</v>
      </c>
      <c r="T7316">
        <v>-0.1197039</v>
      </c>
      <c r="U7316">
        <v>3.008972</v>
      </c>
      <c r="V7316">
        <v>4.7318399999999997E-2</v>
      </c>
      <c r="W7316">
        <v>3.6618930000000001E-2</v>
      </c>
      <c r="X7316">
        <v>0.9982084</v>
      </c>
      <c r="Y7316">
        <v>-1.5573719999999999E-2</v>
      </c>
      <c r="Z7316">
        <v>-3.9746620000000003E-2</v>
      </c>
      <c r="AA7316">
        <v>0.99908839999999999</v>
      </c>
      <c r="AB7316">
        <v>45</v>
      </c>
      <c r="AC7316">
        <v>-0.300999999999987</v>
      </c>
      <c r="AD7316">
        <v>-1.109551918008</v>
      </c>
      <c r="AE7316">
        <v>27.448399999999999</v>
      </c>
      <c r="AF7316">
        <v>-0.43390571525503602</v>
      </c>
      <c r="AG7316">
        <v>-1.109551918008</v>
      </c>
      <c r="AH7316">
        <v>27.401839347650501</v>
      </c>
      <c r="AI7316">
        <v>92.318456629246</v>
      </c>
      <c r="AJ7316">
        <v>90.907197807838799</v>
      </c>
      <c r="AK7316">
        <v>27.427726469084799</v>
      </c>
      <c r="AL7316">
        <v>87.901420654980996</v>
      </c>
      <c r="AM7316">
        <v>87.286021003936796</v>
      </c>
      <c r="AN7316">
        <v>0.99999999342173196</v>
      </c>
    </row>
    <row r="7317" spans="1:40" x14ac:dyDescent="0.25">
      <c r="A7317" t="str">
        <f>"20190312155018838"</f>
        <v>20190312155018838</v>
      </c>
      <c r="B7317" t="str">
        <f>"1552377018833131"</f>
        <v>1552377018833131</v>
      </c>
      <c r="C7317" t="s">
        <v>40</v>
      </c>
      <c r="D7317">
        <v>4.9118130000000004</v>
      </c>
      <c r="E7317">
        <v>0.4763252</v>
      </c>
      <c r="F7317" t="s">
        <v>42</v>
      </c>
      <c r="G7317">
        <v>-188.52869999999999</v>
      </c>
      <c r="H7317" s="1">
        <v>-2.2819359999999998E-6</v>
      </c>
      <c r="I7317">
        <v>84.34366</v>
      </c>
      <c r="J7317">
        <v>-188.18049999999999</v>
      </c>
      <c r="K7317">
        <v>1.1095660000000001</v>
      </c>
      <c r="L7317">
        <v>56.465940000000003</v>
      </c>
      <c r="M7317">
        <v>4.8672510000000004E-3</v>
      </c>
      <c r="N7317">
        <v>0</v>
      </c>
      <c r="O7317">
        <v>0.99987000000000004</v>
      </c>
      <c r="P7317">
        <v>5.1648260000000001E-2</v>
      </c>
      <c r="Q7317">
        <v>2.21131E-2</v>
      </c>
      <c r="R7317">
        <v>0.99842050000000004</v>
      </c>
      <c r="S7317">
        <v>-3.6773680000000003E-2</v>
      </c>
      <c r="T7317">
        <v>-0.1179178</v>
      </c>
      <c r="U7317">
        <v>3.0092159999999999</v>
      </c>
      <c r="V7317">
        <v>4.6788929999999999E-2</v>
      </c>
      <c r="W7317">
        <v>3.7461399999999999E-2</v>
      </c>
      <c r="X7317">
        <v>0.99820209999999998</v>
      </c>
      <c r="Y7317">
        <v>-1.7077390000000001E-2</v>
      </c>
      <c r="Z7317">
        <v>-3.9150480000000001E-2</v>
      </c>
      <c r="AA7317">
        <v>0.99908739999999996</v>
      </c>
      <c r="AB7317">
        <v>45</v>
      </c>
      <c r="AC7317">
        <v>-0.34819999999999102</v>
      </c>
      <c r="AD7317">
        <v>-1.109568281936</v>
      </c>
      <c r="AE7317">
        <v>27.87772</v>
      </c>
      <c r="AF7317">
        <v>-0.48313453561402397</v>
      </c>
      <c r="AG7317">
        <v>-1.109568281936</v>
      </c>
      <c r="AH7317">
        <v>27.831612435764399</v>
      </c>
      <c r="AI7317">
        <v>92.282669370972599</v>
      </c>
      <c r="AJ7317">
        <v>90.994509026591501</v>
      </c>
      <c r="AK7317">
        <v>27.857911112040998</v>
      </c>
      <c r="AL7317">
        <v>87.853117537687197</v>
      </c>
      <c r="AM7317">
        <v>87.316327556323799</v>
      </c>
      <c r="AN7317">
        <v>0.99999999645245696</v>
      </c>
    </row>
    <row r="7318" spans="1:40" x14ac:dyDescent="0.25">
      <c r="A7318" t="str">
        <f>"20190312155018863"</f>
        <v>20190312155018863</v>
      </c>
      <c r="B7318" t="str">
        <f>"1552377018852651"</f>
        <v>1552377018852651</v>
      </c>
      <c r="C7318" t="s">
        <v>40</v>
      </c>
      <c r="D7318">
        <v>4.8879460000000003</v>
      </c>
      <c r="E7318">
        <v>0.47612139999999997</v>
      </c>
      <c r="F7318" t="s">
        <v>42</v>
      </c>
      <c r="G7318">
        <v>-188.5575</v>
      </c>
      <c r="H7318" s="1">
        <v>-2.757391E-6</v>
      </c>
      <c r="I7318">
        <v>85.46387</v>
      </c>
      <c r="J7318">
        <v>-188.1782</v>
      </c>
      <c r="K7318">
        <v>1.109585</v>
      </c>
      <c r="L7318">
        <v>56.951259999999998</v>
      </c>
      <c r="M7318">
        <v>4.867082E-3</v>
      </c>
      <c r="N7318">
        <v>0</v>
      </c>
      <c r="O7318">
        <v>0.99986960000000003</v>
      </c>
      <c r="P7318">
        <v>5.1416240000000002E-2</v>
      </c>
      <c r="Q7318">
        <v>2.3486940000000001E-2</v>
      </c>
      <c r="R7318">
        <v>0.99840110000000004</v>
      </c>
      <c r="S7318">
        <v>-3.9123539999999998E-2</v>
      </c>
      <c r="T7318">
        <v>-0.1151485</v>
      </c>
      <c r="U7318">
        <v>3.0093380000000001</v>
      </c>
      <c r="V7318">
        <v>4.6557220000000003E-2</v>
      </c>
      <c r="W7318">
        <v>3.8861329999999999E-2</v>
      </c>
      <c r="X7318">
        <v>0.99815940000000003</v>
      </c>
      <c r="Y7318">
        <v>-1.78572E-2</v>
      </c>
      <c r="Z7318">
        <v>-3.8230420000000001E-2</v>
      </c>
      <c r="AA7318">
        <v>0.99910940000000004</v>
      </c>
      <c r="AB7318">
        <v>45</v>
      </c>
      <c r="AC7318">
        <v>-0.37930000000000003</v>
      </c>
      <c r="AD7318">
        <v>-1.109587757391</v>
      </c>
      <c r="AE7318">
        <v>28.512609999999999</v>
      </c>
      <c r="AF7318">
        <v>-0.51730189221894896</v>
      </c>
      <c r="AG7318">
        <v>-1.109587757391</v>
      </c>
      <c r="AH7318">
        <v>28.467321750473101</v>
      </c>
      <c r="AI7318">
        <v>92.231753725344504</v>
      </c>
      <c r="AJ7318">
        <v>91.041051688690899</v>
      </c>
      <c r="AK7318">
        <v>28.493634269499601</v>
      </c>
      <c r="AL7318">
        <v>87.772848951247497</v>
      </c>
      <c r="AM7318">
        <v>87.329484388969306</v>
      </c>
      <c r="AN7318">
        <v>0.99999998275592805</v>
      </c>
    </row>
    <row r="7319" spans="1:40" x14ac:dyDescent="0.25">
      <c r="A7319" t="str">
        <f>"20190312155018884"</f>
        <v>20190312155018884</v>
      </c>
      <c r="B7319" t="str">
        <f>"1552377018873147"</f>
        <v>1552377018873147</v>
      </c>
      <c r="C7319" t="s">
        <v>40</v>
      </c>
      <c r="D7319">
        <v>4.8953189999999998</v>
      </c>
      <c r="E7319">
        <v>0.47595490000000001</v>
      </c>
      <c r="F7319" t="s">
        <v>42</v>
      </c>
      <c r="G7319">
        <v>-188.596</v>
      </c>
      <c r="H7319" s="1">
        <v>-3.5204230000000002E-6</v>
      </c>
      <c r="I7319">
        <v>87.258420000000001</v>
      </c>
      <c r="J7319">
        <v>-188.17599999999999</v>
      </c>
      <c r="K7319">
        <v>1.1096010000000001</v>
      </c>
      <c r="L7319">
        <v>57.393520000000002</v>
      </c>
      <c r="M7319">
        <v>4.8669029999999997E-3</v>
      </c>
      <c r="N7319">
        <v>0</v>
      </c>
      <c r="O7319">
        <v>0.99986929999999996</v>
      </c>
      <c r="P7319">
        <v>5.1266970000000002E-2</v>
      </c>
      <c r="Q7319">
        <v>2.4768620000000002E-2</v>
      </c>
      <c r="R7319">
        <v>0.99837779999999998</v>
      </c>
      <c r="S7319">
        <v>-4.1488650000000002E-2</v>
      </c>
      <c r="T7319">
        <v>-0.1101829</v>
      </c>
      <c r="U7319">
        <v>3.0095209999999999</v>
      </c>
      <c r="V7319">
        <v>4.6408289999999998E-2</v>
      </c>
      <c r="W7319">
        <v>4.0162549999999998E-2</v>
      </c>
      <c r="X7319">
        <v>0.99811479999999997</v>
      </c>
      <c r="Y7319">
        <v>-1.864211E-2</v>
      </c>
      <c r="Z7319">
        <v>-3.6581349999999999E-2</v>
      </c>
      <c r="AA7319">
        <v>0.99915679999999996</v>
      </c>
      <c r="AB7319">
        <v>45</v>
      </c>
      <c r="AC7319">
        <v>-0.41999999999998699</v>
      </c>
      <c r="AD7319">
        <v>-1.1096045204230001</v>
      </c>
      <c r="AE7319">
        <v>29.864899999999999</v>
      </c>
      <c r="AF7319">
        <v>-0.564582660993453</v>
      </c>
      <c r="AG7319">
        <v>-1.1096045204230001</v>
      </c>
      <c r="AH7319">
        <v>29.821343741008899</v>
      </c>
      <c r="AI7319">
        <v>92.130519892571499</v>
      </c>
      <c r="AJ7319">
        <v>91.084603696949003</v>
      </c>
      <c r="AK7319">
        <v>29.847320119103699</v>
      </c>
      <c r="AL7319">
        <v>87.698236205716299</v>
      </c>
      <c r="AM7319">
        <v>87.337895907641496</v>
      </c>
      <c r="AN7319">
        <v>0.99999995689113197</v>
      </c>
    </row>
    <row r="7320" spans="1:40" x14ac:dyDescent="0.25">
      <c r="A7320" t="str">
        <f>"20190312155018908"</f>
        <v>20190312155018908</v>
      </c>
      <c r="B7320" t="str">
        <f>"1552377018903404"</f>
        <v>1552377018903404</v>
      </c>
      <c r="C7320" t="s">
        <v>40</v>
      </c>
      <c r="D7320">
        <v>4.8998210000000002</v>
      </c>
      <c r="E7320">
        <v>0.47566619999999998</v>
      </c>
      <c r="F7320" t="s">
        <v>42</v>
      </c>
      <c r="G7320">
        <v>-188.631</v>
      </c>
      <c r="H7320" s="1">
        <v>-4.2287449999999996E-6</v>
      </c>
      <c r="I7320">
        <v>88.923999999999893</v>
      </c>
      <c r="J7320">
        <v>-188.1738</v>
      </c>
      <c r="K7320">
        <v>1.1096159999999999</v>
      </c>
      <c r="L7320">
        <v>57.840479999999999</v>
      </c>
      <c r="M7320">
        <v>4.8667229999999999E-3</v>
      </c>
      <c r="N7320">
        <v>0</v>
      </c>
      <c r="O7320">
        <v>0.99986900000000001</v>
      </c>
      <c r="P7320">
        <v>5.1354169999999998E-2</v>
      </c>
      <c r="Q7320">
        <v>2.5019940000000001E-2</v>
      </c>
      <c r="R7320">
        <v>0.99836709999999995</v>
      </c>
      <c r="S7320">
        <v>-4.3426510000000001E-2</v>
      </c>
      <c r="T7320">
        <v>-0.1059171</v>
      </c>
      <c r="U7320">
        <v>3.009735</v>
      </c>
      <c r="V7320">
        <v>4.6495740000000001E-2</v>
      </c>
      <c r="W7320">
        <v>4.0430319999999999E-2</v>
      </c>
      <c r="X7320">
        <v>0.99809999999999999</v>
      </c>
      <c r="Y7320">
        <v>-1.9284889999999999E-2</v>
      </c>
      <c r="Z7320">
        <v>-3.5164010000000002E-2</v>
      </c>
      <c r="AA7320">
        <v>0.99919550000000001</v>
      </c>
      <c r="AB7320">
        <v>45</v>
      </c>
      <c r="AC7320">
        <v>-0.45719999999997102</v>
      </c>
      <c r="AD7320">
        <v>-1.1096202287450001</v>
      </c>
      <c r="AE7320">
        <v>31.083519999999901</v>
      </c>
      <c r="AF7320">
        <v>-0.60771322229876401</v>
      </c>
      <c r="AG7320">
        <v>-1.1096202287450001</v>
      </c>
      <c r="AH7320">
        <v>31.0413774842363</v>
      </c>
      <c r="AI7320">
        <v>92.046859305157</v>
      </c>
      <c r="AJ7320">
        <v>91.121566055284802</v>
      </c>
      <c r="AK7320">
        <v>31.067148059187002</v>
      </c>
      <c r="AL7320">
        <v>87.682881829106506</v>
      </c>
      <c r="AM7320">
        <v>87.332847286268702</v>
      </c>
      <c r="AN7320">
        <v>1.0000000373067199</v>
      </c>
    </row>
    <row r="7321" spans="1:40" x14ac:dyDescent="0.25">
      <c r="A7321" t="str">
        <f>"20190312155018929"</f>
        <v>20190312155018929</v>
      </c>
      <c r="B7321" t="str">
        <f>"1552377018922923"</f>
        <v>1552377018922923</v>
      </c>
      <c r="C7321" t="s">
        <v>40</v>
      </c>
      <c r="D7321">
        <v>4.8324230000000004</v>
      </c>
      <c r="E7321">
        <v>0.46607110000000002</v>
      </c>
      <c r="F7321" t="s">
        <v>42</v>
      </c>
      <c r="G7321">
        <v>-188.65989999999999</v>
      </c>
      <c r="H7321" s="1">
        <v>-4.2755479999999998E-7</v>
      </c>
      <c r="I7321">
        <v>89.856700000000004</v>
      </c>
      <c r="J7321">
        <v>-188.17169999999999</v>
      </c>
      <c r="K7321">
        <v>1.1096250000000001</v>
      </c>
      <c r="L7321">
        <v>58.282040000000002</v>
      </c>
      <c r="M7321">
        <v>4.8665469999999997E-3</v>
      </c>
      <c r="N7321">
        <v>0</v>
      </c>
      <c r="O7321">
        <v>0.9998688</v>
      </c>
      <c r="P7321">
        <v>5.1464240000000001E-2</v>
      </c>
      <c r="Q7321">
        <v>2.5267620000000001E-2</v>
      </c>
      <c r="R7321">
        <v>0.9983552</v>
      </c>
      <c r="S7321">
        <v>-4.5700070000000002E-2</v>
      </c>
      <c r="T7321">
        <v>-0.10431550000000001</v>
      </c>
      <c r="U7321">
        <v>3.0098569999999998</v>
      </c>
      <c r="V7321">
        <v>4.6606050000000003E-2</v>
      </c>
      <c r="W7321">
        <v>4.0691409999999997E-2</v>
      </c>
      <c r="X7321">
        <v>0.99808419999999998</v>
      </c>
      <c r="Y7321">
        <v>-2.0039000000000001E-2</v>
      </c>
      <c r="Z7321">
        <v>-3.4631080000000002E-2</v>
      </c>
      <c r="AA7321">
        <v>0.99919930000000001</v>
      </c>
      <c r="AB7321">
        <v>45</v>
      </c>
      <c r="AC7321">
        <v>-0.48820000000000602</v>
      </c>
      <c r="AD7321">
        <v>-1.1096254275548001</v>
      </c>
      <c r="AE7321">
        <v>31.574659999999898</v>
      </c>
      <c r="AF7321">
        <v>-0.64108056619253095</v>
      </c>
      <c r="AG7321">
        <v>-1.1096254275548001</v>
      </c>
      <c r="AH7321">
        <v>31.532975204318198</v>
      </c>
      <c r="AI7321">
        <v>92.014954565254698</v>
      </c>
      <c r="AJ7321">
        <v>91.164690331384307</v>
      </c>
      <c r="AK7321">
        <v>31.559004707341</v>
      </c>
      <c r="AL7321">
        <v>87.667910049390201</v>
      </c>
      <c r="AM7321">
        <v>87.326486441352102</v>
      </c>
      <c r="AN7321">
        <v>0.99999999251701499</v>
      </c>
    </row>
    <row r="7322" spans="1:40" x14ac:dyDescent="0.25">
      <c r="A7322" t="str">
        <f>"20190312155018952"</f>
        <v>20190312155018952</v>
      </c>
      <c r="B7322" t="str">
        <f>"1552377018943419"</f>
        <v>1552377018943419</v>
      </c>
      <c r="C7322" t="s">
        <v>40</v>
      </c>
      <c r="D7322">
        <v>4.845275</v>
      </c>
      <c r="E7322">
        <v>0.46399699999999999</v>
      </c>
      <c r="F7322" t="s">
        <v>42</v>
      </c>
      <c r="G7322">
        <v>-189.67019999999999</v>
      </c>
      <c r="H7322" s="1">
        <v>-2.5504350000000001E-6</v>
      </c>
      <c r="I7322">
        <v>95.441509999999994</v>
      </c>
      <c r="J7322">
        <v>-188.1695</v>
      </c>
      <c r="K7322">
        <v>1.1096330000000001</v>
      </c>
      <c r="L7322">
        <v>58.737760000000002</v>
      </c>
      <c r="M7322">
        <v>4.8663619999999999E-3</v>
      </c>
      <c r="N7322">
        <v>0</v>
      </c>
      <c r="O7322">
        <v>0.9998686</v>
      </c>
      <c r="P7322">
        <v>5.1413359999999998E-2</v>
      </c>
      <c r="Q7322">
        <v>2.5301279999999999E-2</v>
      </c>
      <c r="R7322">
        <v>0.99835689999999999</v>
      </c>
      <c r="S7322">
        <v>-0.121521</v>
      </c>
      <c r="T7322">
        <v>-8.9986440000000001E-2</v>
      </c>
      <c r="U7322">
        <v>3.0134889999999999</v>
      </c>
      <c r="V7322">
        <v>4.6555340000000001E-2</v>
      </c>
      <c r="W7322">
        <v>4.0736189999999999E-2</v>
      </c>
      <c r="X7322">
        <v>0.99808470000000005</v>
      </c>
      <c r="Y7322">
        <v>-4.5137530000000002E-2</v>
      </c>
      <c r="Z7322">
        <v>-2.9820059999999999E-2</v>
      </c>
      <c r="AA7322">
        <v>0.99853559999999997</v>
      </c>
      <c r="AB7322">
        <v>45</v>
      </c>
      <c r="AC7322">
        <v>-1.5006999999999899</v>
      </c>
      <c r="AD7322">
        <v>-1.109635550435</v>
      </c>
      <c r="AE7322">
        <v>36.703749999999999</v>
      </c>
      <c r="AF7322">
        <v>-1.6777864026410301</v>
      </c>
      <c r="AG7322">
        <v>-1.109635550435</v>
      </c>
      <c r="AH7322">
        <v>36.662558307491402</v>
      </c>
      <c r="AI7322">
        <v>91.731783759311995</v>
      </c>
      <c r="AJ7322">
        <v>92.620195145443205</v>
      </c>
      <c r="AK7322">
        <v>36.717699273209902</v>
      </c>
      <c r="AL7322">
        <v>87.665342122036805</v>
      </c>
      <c r="AM7322">
        <v>87.329392496477098</v>
      </c>
      <c r="AN7322">
        <v>0.99999995261615904</v>
      </c>
    </row>
    <row r="7323" spans="1:40" x14ac:dyDescent="0.25">
      <c r="A7323" t="str">
        <f>"20190312155018973"</f>
        <v>20190312155018973</v>
      </c>
      <c r="B7323" t="str">
        <f>"1552377018962941"</f>
        <v>1552377018962941</v>
      </c>
      <c r="C7323" t="s">
        <v>40</v>
      </c>
      <c r="D7323">
        <v>4.8002190000000002</v>
      </c>
      <c r="E7323">
        <v>0.46377220000000002</v>
      </c>
      <c r="F7323" t="s">
        <v>42</v>
      </c>
      <c r="G7323">
        <v>-189.74680000000001</v>
      </c>
      <c r="H7323" s="1">
        <v>-1.5144610000000001E-6</v>
      </c>
      <c r="I7323">
        <v>93.058340000000001</v>
      </c>
      <c r="J7323">
        <v>-188.16739999999999</v>
      </c>
      <c r="K7323">
        <v>1.109629</v>
      </c>
      <c r="L7323">
        <v>59.152500000000003</v>
      </c>
      <c r="M7323">
        <v>4.866184E-3</v>
      </c>
      <c r="N7323">
        <v>0</v>
      </c>
      <c r="O7323">
        <v>0.99986850000000005</v>
      </c>
      <c r="P7323">
        <v>5.1859929999999999E-2</v>
      </c>
      <c r="Q7323">
        <v>2.457465E-2</v>
      </c>
      <c r="R7323">
        <v>0.99835189999999996</v>
      </c>
      <c r="S7323">
        <v>-0.138549799999999</v>
      </c>
      <c r="T7323">
        <v>-9.7465040000000003E-2</v>
      </c>
      <c r="U7323">
        <v>3.0145569999999999</v>
      </c>
      <c r="V7323">
        <v>4.7002080000000002E-2</v>
      </c>
      <c r="W7323">
        <v>4.0018190000000002E-2</v>
      </c>
      <c r="X7323">
        <v>0.9980928</v>
      </c>
      <c r="Y7323">
        <v>-5.0748969999999997E-2</v>
      </c>
      <c r="Z7323">
        <v>-3.227617E-2</v>
      </c>
      <c r="AA7323">
        <v>0.99818969999999996</v>
      </c>
      <c r="AB7323">
        <v>45</v>
      </c>
      <c r="AC7323">
        <v>-1.5794000000000199</v>
      </c>
      <c r="AD7323">
        <v>-1.1096305144609999</v>
      </c>
      <c r="AE7323">
        <v>33.905839999999998</v>
      </c>
      <c r="AF7323">
        <v>-1.74253080854219</v>
      </c>
      <c r="AG7323">
        <v>-1.1096305144609999</v>
      </c>
      <c r="AH7323">
        <v>33.861563153148502</v>
      </c>
      <c r="AI7323">
        <v>91.874410739633007</v>
      </c>
      <c r="AJ7323">
        <v>92.945867244907902</v>
      </c>
      <c r="AK7323">
        <v>33.924521406675801</v>
      </c>
      <c r="AL7323">
        <v>87.706514050696597</v>
      </c>
      <c r="AM7323">
        <v>87.303825120971595</v>
      </c>
      <c r="AN7323">
        <v>0.99999994423351901</v>
      </c>
    </row>
    <row r="7324" spans="1:40" x14ac:dyDescent="0.25">
      <c r="A7324" t="str">
        <f>"20190312155018999"</f>
        <v>20190312155018999</v>
      </c>
      <c r="B7324" t="str">
        <f>"1552377018993196"</f>
        <v>1552377018993196</v>
      </c>
      <c r="C7324" t="s">
        <v>40</v>
      </c>
      <c r="D7324">
        <v>4.8370490000000004</v>
      </c>
      <c r="E7324">
        <v>0.46305610000000003</v>
      </c>
      <c r="F7324" t="s">
        <v>42</v>
      </c>
      <c r="G7324">
        <v>-189.6833</v>
      </c>
      <c r="H7324" s="1">
        <v>-1.0711340000000001E-6</v>
      </c>
      <c r="I7324">
        <v>91.998660000000001</v>
      </c>
      <c r="J7324">
        <v>-188.16499999999999</v>
      </c>
      <c r="K7324">
        <v>1.109623</v>
      </c>
      <c r="L7324">
        <v>59.64911</v>
      </c>
      <c r="M7324">
        <v>4.8659699999999998E-3</v>
      </c>
      <c r="N7324">
        <v>0</v>
      </c>
      <c r="O7324">
        <v>0.99986839999999999</v>
      </c>
      <c r="P7324">
        <v>5.2064230000000003E-2</v>
      </c>
      <c r="Q7324">
        <v>2.2623310000000001E-2</v>
      </c>
      <c r="R7324">
        <v>0.99838749999999998</v>
      </c>
      <c r="S7324">
        <v>-0.13912959999999999</v>
      </c>
      <c r="T7324">
        <v>-0.1018438</v>
      </c>
      <c r="U7324">
        <v>3.0146790000000001</v>
      </c>
      <c r="V7324">
        <v>4.7206339999999999E-2</v>
      </c>
      <c r="W7324">
        <v>3.8075610000000003E-2</v>
      </c>
      <c r="X7324">
        <v>0.99815920000000002</v>
      </c>
      <c r="Y7324">
        <v>-5.0936269999999999E-2</v>
      </c>
      <c r="Z7324">
        <v>-3.372294E-2</v>
      </c>
      <c r="AA7324">
        <v>0.99813240000000003</v>
      </c>
      <c r="AB7324">
        <v>45</v>
      </c>
      <c r="AC7324">
        <v>-1.51830000000001</v>
      </c>
      <c r="AD7324">
        <v>-1.109624071134</v>
      </c>
      <c r="AE7324">
        <v>32.349550000000001</v>
      </c>
      <c r="AF7324">
        <v>-1.6737478726633499</v>
      </c>
      <c r="AG7324">
        <v>-1.109624071134</v>
      </c>
      <c r="AH7324">
        <v>32.303854052538803</v>
      </c>
      <c r="AI7324">
        <v>91.964679609304198</v>
      </c>
      <c r="AJ7324">
        <v>92.965993220337396</v>
      </c>
      <c r="AK7324">
        <v>32.366212076302901</v>
      </c>
      <c r="AL7324">
        <v>87.817900754646303</v>
      </c>
      <c r="AM7324">
        <v>87.292305446709705</v>
      </c>
      <c r="AN7324">
        <v>0.99999998957885305</v>
      </c>
    </row>
    <row r="7325" spans="1:40" x14ac:dyDescent="0.25">
      <c r="A7325" t="str">
        <f>"20190312155019018"</f>
        <v>20190312155019018</v>
      </c>
      <c r="B7325" t="str">
        <f>"1552377019002956"</f>
        <v>1552377019002956</v>
      </c>
      <c r="C7325" t="s">
        <v>40</v>
      </c>
      <c r="D7325">
        <v>4.8533660000000003</v>
      </c>
      <c r="E7325">
        <v>0.46299669999999998</v>
      </c>
      <c r="F7325" t="s">
        <v>42</v>
      </c>
      <c r="G7325">
        <v>-189.6078</v>
      </c>
      <c r="H7325" s="1">
        <v>-1.4820480000000001E-7</v>
      </c>
      <c r="I7325">
        <v>89.776919999999905</v>
      </c>
      <c r="J7325">
        <v>-188.16300000000001</v>
      </c>
      <c r="K7325">
        <v>1.109623</v>
      </c>
      <c r="L7325">
        <v>60.05789</v>
      </c>
      <c r="M7325">
        <v>4.8658069999999998E-3</v>
      </c>
      <c r="N7325">
        <v>0</v>
      </c>
      <c r="O7325">
        <v>0.99986830000000004</v>
      </c>
      <c r="P7325">
        <v>5.2136139999999997E-2</v>
      </c>
      <c r="Q7325">
        <v>2.1242569999999999E-2</v>
      </c>
      <c r="R7325">
        <v>0.99841400000000002</v>
      </c>
      <c r="S7325">
        <v>-0.1443787</v>
      </c>
      <c r="T7325">
        <v>-0.1110401</v>
      </c>
      <c r="U7325">
        <v>3.0148929999999998</v>
      </c>
      <c r="V7325">
        <v>4.7278250000000001E-2</v>
      </c>
      <c r="W7325">
        <v>3.6700410000000003E-2</v>
      </c>
      <c r="X7325">
        <v>0.99820730000000002</v>
      </c>
      <c r="Y7325">
        <v>-5.2661609999999998E-2</v>
      </c>
      <c r="Z7325">
        <v>-3.6758359999999997E-2</v>
      </c>
      <c r="AA7325">
        <v>0.99793569999999998</v>
      </c>
      <c r="AB7325">
        <v>45</v>
      </c>
      <c r="AC7325">
        <v>-1.4448000000000101</v>
      </c>
      <c r="AD7325">
        <v>-1.1096231482048</v>
      </c>
      <c r="AE7325">
        <v>29.719029999999901</v>
      </c>
      <c r="AF7325">
        <v>-1.5871998550133399</v>
      </c>
      <c r="AG7325">
        <v>-1.1096231482048</v>
      </c>
      <c r="AH7325">
        <v>29.670382344299</v>
      </c>
      <c r="AI7325">
        <v>92.138713995632102</v>
      </c>
      <c r="AJ7325">
        <v>93.062085767030098</v>
      </c>
      <c r="AK7325">
        <v>29.733517372952601</v>
      </c>
      <c r="AL7325">
        <v>87.896749033525893</v>
      </c>
      <c r="AM7325">
        <v>87.288317412055406</v>
      </c>
      <c r="AN7325">
        <v>0.99999998339525997</v>
      </c>
    </row>
    <row r="7326" spans="1:40" x14ac:dyDescent="0.25">
      <c r="A7326" t="str">
        <f>"20190312155019041"</f>
        <v>20190312155019041</v>
      </c>
      <c r="B7326" t="str">
        <f>"1552377019033212"</f>
        <v>1552377019033212</v>
      </c>
      <c r="C7326" t="s">
        <v>40</v>
      </c>
      <c r="D7326">
        <v>4.8412759999999997</v>
      </c>
      <c r="E7326">
        <v>0.4629588</v>
      </c>
      <c r="F7326" t="s">
        <v>42</v>
      </c>
      <c r="G7326">
        <v>-189.5566</v>
      </c>
      <c r="H7326" s="1">
        <v>-4.1391519999999996E-6</v>
      </c>
      <c r="I7326">
        <v>89.097890000000007</v>
      </c>
      <c r="J7326">
        <v>-188.16079999999999</v>
      </c>
      <c r="K7326">
        <v>1.109632</v>
      </c>
      <c r="L7326">
        <v>60.518039999999999</v>
      </c>
      <c r="M7326">
        <v>4.8656419999999999E-3</v>
      </c>
      <c r="N7326">
        <v>0</v>
      </c>
      <c r="O7326">
        <v>0.99986819999999998</v>
      </c>
      <c r="P7326">
        <v>5.1912310000000003E-2</v>
      </c>
      <c r="Q7326">
        <v>2.1281000000000001E-2</v>
      </c>
      <c r="R7326">
        <v>0.99842489999999995</v>
      </c>
      <c r="S7326">
        <v>-0.14466860000000001</v>
      </c>
      <c r="T7326">
        <v>-0.1151953</v>
      </c>
      <c r="U7326">
        <v>3.0147710000000001</v>
      </c>
      <c r="V7326">
        <v>4.7054529999999997E-2</v>
      </c>
      <c r="W7326">
        <v>3.6742829999999997E-2</v>
      </c>
      <c r="X7326">
        <v>0.99821629999999995</v>
      </c>
      <c r="Y7326">
        <v>-5.275664E-2</v>
      </c>
      <c r="Z7326">
        <v>-3.8133260000000002E-2</v>
      </c>
      <c r="AA7326">
        <v>0.99787899999999996</v>
      </c>
      <c r="AB7326">
        <v>45</v>
      </c>
      <c r="AC7326">
        <v>-1.3957999999999999</v>
      </c>
      <c r="AD7326">
        <v>-1.109636139152</v>
      </c>
      <c r="AE7326">
        <v>28.57985</v>
      </c>
      <c r="AF7326">
        <v>-1.5325547320601001</v>
      </c>
      <c r="AG7326">
        <v>-1.109636139152</v>
      </c>
      <c r="AH7326">
        <v>28.529814560903699</v>
      </c>
      <c r="AI7326">
        <v>92.224130998325094</v>
      </c>
      <c r="AJ7326">
        <v>93.074839609891001</v>
      </c>
      <c r="AK7326">
        <v>28.592487391754201</v>
      </c>
      <c r="AL7326">
        <v>87.894316884163999</v>
      </c>
      <c r="AM7326">
        <v>87.301154335211095</v>
      </c>
      <c r="AN7326">
        <v>0.99999997296780896</v>
      </c>
    </row>
    <row r="7327" spans="1:40" x14ac:dyDescent="0.25">
      <c r="A7327" t="str">
        <f>"20190312155019062"</f>
        <v>20190312155019062</v>
      </c>
      <c r="B7327" t="str">
        <f>"1552377019052731"</f>
        <v>1552377019052731</v>
      </c>
      <c r="C7327" t="s">
        <v>40</v>
      </c>
      <c r="D7327">
        <v>4.862419</v>
      </c>
      <c r="E7327">
        <v>0.46282269999999998</v>
      </c>
      <c r="F7327" t="s">
        <v>42</v>
      </c>
      <c r="G7327">
        <v>-189.5822</v>
      </c>
      <c r="H7327" s="1">
        <v>-2.1678939999999999E-7</v>
      </c>
      <c r="I7327">
        <v>89.958460000000002</v>
      </c>
      <c r="J7327">
        <v>-188.15880000000001</v>
      </c>
      <c r="K7327">
        <v>1.1096379999999999</v>
      </c>
      <c r="L7327">
        <v>60.931269999999998</v>
      </c>
      <c r="M7327">
        <v>4.8654859999999996E-3</v>
      </c>
      <c r="N7327">
        <v>0</v>
      </c>
      <c r="O7327">
        <v>0.99986819999999998</v>
      </c>
      <c r="P7327">
        <v>5.2062789999999998E-2</v>
      </c>
      <c r="Q7327">
        <v>2.1943540000000001E-2</v>
      </c>
      <c r="R7327">
        <v>0.99840269999999998</v>
      </c>
      <c r="S7327">
        <v>-0.14555360000000001</v>
      </c>
      <c r="T7327">
        <v>-0.1136267</v>
      </c>
      <c r="U7327">
        <v>3.0147089999999999</v>
      </c>
      <c r="V7327">
        <v>4.720531E-2</v>
      </c>
      <c r="W7327">
        <v>3.7407089999999997E-2</v>
      </c>
      <c r="X7327">
        <v>0.99818459999999998</v>
      </c>
      <c r="Y7327">
        <v>-5.3050659999999999E-2</v>
      </c>
      <c r="Z7327">
        <v>-3.7614960000000003E-2</v>
      </c>
      <c r="AA7327">
        <v>0.99788310000000002</v>
      </c>
      <c r="AB7327">
        <v>45</v>
      </c>
      <c r="AC7327">
        <v>-1.42339999999998</v>
      </c>
      <c r="AD7327">
        <v>-1.1096382167893999</v>
      </c>
      <c r="AE7327">
        <v>29.027190000000001</v>
      </c>
      <c r="AF7327">
        <v>-1.5623538174288301</v>
      </c>
      <c r="AG7327">
        <v>-1.1096382167893999</v>
      </c>
      <c r="AH7327">
        <v>28.977675167501801</v>
      </c>
      <c r="AI7327">
        <v>92.189770802150704</v>
      </c>
      <c r="AJ7327">
        <v>93.086158281698204</v>
      </c>
      <c r="AK7327">
        <v>29.040969414539902</v>
      </c>
      <c r="AL7327">
        <v>87.856231598228305</v>
      </c>
      <c r="AM7327">
        <v>87.292433234749296</v>
      </c>
      <c r="AN7327">
        <v>1.00000006367581</v>
      </c>
    </row>
    <row r="7328" spans="1:40" x14ac:dyDescent="0.25">
      <c r="A7328" t="str">
        <f>"20190312155019088"</f>
        <v>20190312155019088</v>
      </c>
      <c r="B7328" t="str">
        <f>"1552377019082988"</f>
        <v>1552377019082988</v>
      </c>
      <c r="C7328" t="s">
        <v>40</v>
      </c>
      <c r="D7328">
        <v>4.9471280000000002</v>
      </c>
      <c r="E7328">
        <v>0.4231685</v>
      </c>
      <c r="F7328" t="s">
        <v>42</v>
      </c>
      <c r="G7328">
        <v>-189.6</v>
      </c>
      <c r="H7328" s="1">
        <v>-4.9119349999999998E-7</v>
      </c>
      <c r="I7328">
        <v>90.612369999999999</v>
      </c>
      <c r="J7328">
        <v>-188.15629999999999</v>
      </c>
      <c r="K7328">
        <v>1.1096509999999999</v>
      </c>
      <c r="L7328">
        <v>61.444429999999997</v>
      </c>
      <c r="M7328">
        <v>4.8652610000000001E-3</v>
      </c>
      <c r="N7328">
        <v>0</v>
      </c>
      <c r="O7328">
        <v>0.99986819999999998</v>
      </c>
      <c r="P7328">
        <v>5.2040469999999998E-2</v>
      </c>
      <c r="Q7328">
        <v>2.22493E-2</v>
      </c>
      <c r="R7328">
        <v>0.99839710000000004</v>
      </c>
      <c r="S7328">
        <v>-0.14639279999999999</v>
      </c>
      <c r="T7328">
        <v>-0.1127141</v>
      </c>
      <c r="U7328">
        <v>3.014923</v>
      </c>
      <c r="V7328">
        <v>4.718323E-2</v>
      </c>
      <c r="W7328">
        <v>3.7714890000000001E-2</v>
      </c>
      <c r="X7328">
        <v>0.99817400000000001</v>
      </c>
      <c r="Y7328">
        <v>-5.3324700000000003E-2</v>
      </c>
      <c r="Z7328">
        <v>-3.7310089999999997E-2</v>
      </c>
      <c r="AA7328">
        <v>0.99787999999999999</v>
      </c>
      <c r="AB7328">
        <v>45</v>
      </c>
      <c r="AC7328">
        <v>-1.4437</v>
      </c>
      <c r="AD7328">
        <v>-1.1096514911935</v>
      </c>
      <c r="AE7328">
        <v>29.167939999999899</v>
      </c>
      <c r="AF7328">
        <v>-1.5833236155002799</v>
      </c>
      <c r="AG7328">
        <v>-1.1096514911935</v>
      </c>
      <c r="AH7328">
        <v>29.118529324453601</v>
      </c>
      <c r="AI7328">
        <v>92.179160583814195</v>
      </c>
      <c r="AJ7328">
        <v>93.112400046875806</v>
      </c>
      <c r="AK7328">
        <v>29.182648785234999</v>
      </c>
      <c r="AL7328">
        <v>87.838583371801604</v>
      </c>
      <c r="AM7328">
        <v>87.293669103011197</v>
      </c>
      <c r="AN7328">
        <v>1.0000000021984701</v>
      </c>
    </row>
    <row r="7329" spans="1:40" x14ac:dyDescent="0.25">
      <c r="A7329" t="str">
        <f>"20190312155019110"</f>
        <v>20190312155019110</v>
      </c>
      <c r="B7329" t="str">
        <f>"1552377019103484"</f>
        <v>1552377019103484</v>
      </c>
      <c r="C7329" t="s">
        <v>40</v>
      </c>
      <c r="D7329">
        <v>5.149438</v>
      </c>
      <c r="E7329">
        <v>0.41786400000000001</v>
      </c>
      <c r="F7329" t="s">
        <v>42</v>
      </c>
      <c r="G7329">
        <v>-191.7662</v>
      </c>
      <c r="H7329" s="1">
        <v>-2.8144370000000001E-6</v>
      </c>
      <c r="I7329">
        <v>85.054180000000002</v>
      </c>
      <c r="J7329">
        <v>-188.1542</v>
      </c>
      <c r="K7329">
        <v>1.109656</v>
      </c>
      <c r="L7329">
        <v>61.87979</v>
      </c>
      <c r="M7329">
        <v>4.8650830000000001E-3</v>
      </c>
      <c r="N7329">
        <v>0</v>
      </c>
      <c r="O7329">
        <v>0.99986819999999998</v>
      </c>
      <c r="P7329">
        <v>5.16024E-2</v>
      </c>
      <c r="Q7329">
        <v>2.2811459999999999E-2</v>
      </c>
      <c r="R7329">
        <v>0.99840709999999999</v>
      </c>
      <c r="S7329">
        <v>-0.46360780000000001</v>
      </c>
      <c r="T7329">
        <v>-0.14250969999999999</v>
      </c>
      <c r="U7329">
        <v>3.0321349999999998</v>
      </c>
      <c r="V7329">
        <v>4.6745330000000002E-2</v>
      </c>
      <c r="W7329">
        <v>3.8278109999999997E-2</v>
      </c>
      <c r="X7329">
        <v>0.99817319999999998</v>
      </c>
      <c r="Y7329">
        <v>-0.15578689999999901</v>
      </c>
      <c r="Z7329">
        <v>-4.6391549999999997E-2</v>
      </c>
      <c r="AA7329">
        <v>0.98670069999999999</v>
      </c>
      <c r="AB7329">
        <v>44</v>
      </c>
      <c r="AC7329">
        <v>-3.6119999999999899</v>
      </c>
      <c r="AD7329">
        <v>-1.1096588144370001</v>
      </c>
      <c r="AE7329">
        <v>23.174389999999999</v>
      </c>
      <c r="AF7329">
        <v>-3.7163973084180002</v>
      </c>
      <c r="AG7329">
        <v>-1.1096588144370001</v>
      </c>
      <c r="AH7329">
        <v>23.104822995664001</v>
      </c>
      <c r="AI7329">
        <v>92.714798339850006</v>
      </c>
      <c r="AJ7329">
        <v>99.137723828844898</v>
      </c>
      <c r="AK7329">
        <v>23.428098456755599</v>
      </c>
      <c r="AL7329">
        <v>87.806290001943495</v>
      </c>
      <c r="AM7329">
        <v>87.318747155939604</v>
      </c>
      <c r="AN7329">
        <v>1.0000000383901</v>
      </c>
    </row>
    <row r="7330" spans="1:40" x14ac:dyDescent="0.25">
      <c r="A7330" t="str">
        <f>"20190312155019130"</f>
        <v>20190312155019130</v>
      </c>
      <c r="B7330" t="str">
        <f>"1552377019123004"</f>
        <v>1552377019123004</v>
      </c>
      <c r="C7330" t="s">
        <v>40</v>
      </c>
      <c r="D7330">
        <v>4.8402560000000001</v>
      </c>
      <c r="E7330">
        <v>0.41595939999999998</v>
      </c>
      <c r="F7330" t="s">
        <v>42</v>
      </c>
      <c r="G7330">
        <v>-192.584</v>
      </c>
      <c r="H7330" s="1">
        <v>-4.3432290000000004E-6</v>
      </c>
      <c r="I7330">
        <v>88.402659999999997</v>
      </c>
      <c r="J7330">
        <v>-188.15219999999999</v>
      </c>
      <c r="K7330">
        <v>1.1096649999999999</v>
      </c>
      <c r="L7330">
        <v>62.2889699999999</v>
      </c>
      <c r="M7330">
        <v>4.8649299999999999E-3</v>
      </c>
      <c r="N7330">
        <v>0</v>
      </c>
      <c r="O7330">
        <v>0.99986819999999998</v>
      </c>
      <c r="P7330">
        <v>5.1536199999999997E-2</v>
      </c>
      <c r="Q7330">
        <v>2.2960649999999999E-2</v>
      </c>
      <c r="R7330">
        <v>0.99840709999999999</v>
      </c>
      <c r="S7330">
        <v>-0.50671390000000005</v>
      </c>
      <c r="T7330">
        <v>-0.12693080000000001</v>
      </c>
      <c r="U7330">
        <v>3.0338750000000001</v>
      </c>
      <c r="V7330">
        <v>4.6679279999999997E-2</v>
      </c>
      <c r="W7330">
        <v>3.8426780000000001E-2</v>
      </c>
      <c r="X7330">
        <v>0.99817060000000002</v>
      </c>
      <c r="Y7330">
        <v>-0.16939389999999999</v>
      </c>
      <c r="Z7330">
        <v>-4.1213560000000003E-2</v>
      </c>
      <c r="AA7330">
        <v>0.98468630000000001</v>
      </c>
      <c r="AB7330">
        <v>44</v>
      </c>
      <c r="AC7330">
        <v>-4.4318000000000097</v>
      </c>
      <c r="AD7330">
        <v>-1.1096693432289999</v>
      </c>
      <c r="AE7330">
        <v>26.113689999999998</v>
      </c>
      <c r="AF7330">
        <v>-4.5508166077140197</v>
      </c>
      <c r="AG7330">
        <v>-1.1096693432289999</v>
      </c>
      <c r="AH7330">
        <v>26.046102614047498</v>
      </c>
      <c r="AI7330">
        <v>92.403194197512605</v>
      </c>
      <c r="AJ7330">
        <v>99.910767373268001</v>
      </c>
      <c r="AK7330">
        <v>26.463952071257999</v>
      </c>
      <c r="AL7330">
        <v>87.797765613927197</v>
      </c>
      <c r="AM7330">
        <v>87.322523219155997</v>
      </c>
      <c r="AN7330">
        <v>1.00000005965342</v>
      </c>
    </row>
    <row r="7331" spans="1:40" x14ac:dyDescent="0.25">
      <c r="A7331" t="str">
        <f>"20190312155019152"</f>
        <v>20190312155019152</v>
      </c>
      <c r="B7331" t="str">
        <f>"1552377019143500"</f>
        <v>1552377019143500</v>
      </c>
      <c r="C7331" t="s">
        <v>40</v>
      </c>
      <c r="D7331">
        <v>4.8896360000000003</v>
      </c>
      <c r="E7331">
        <v>0.41547000000000001</v>
      </c>
      <c r="F7331" t="s">
        <v>42</v>
      </c>
      <c r="G7331">
        <v>-192.81100000000001</v>
      </c>
      <c r="H7331" s="1">
        <v>-4.7158349999999997E-6</v>
      </c>
      <c r="I7331">
        <v>89.379260000000002</v>
      </c>
      <c r="J7331">
        <v>-188.15010000000001</v>
      </c>
      <c r="K7331">
        <v>1.109669</v>
      </c>
      <c r="L7331">
        <v>62.721710000000002</v>
      </c>
      <c r="M7331">
        <v>4.8647810000000003E-3</v>
      </c>
      <c r="N7331">
        <v>0</v>
      </c>
      <c r="O7331">
        <v>0.99986819999999998</v>
      </c>
      <c r="P7331">
        <v>5.0890129999999999E-2</v>
      </c>
      <c r="Q7331">
        <v>2.347368E-2</v>
      </c>
      <c r="R7331">
        <v>0.99842830000000005</v>
      </c>
      <c r="S7331">
        <v>-0.52186579999999905</v>
      </c>
      <c r="T7331">
        <v>-0.124302</v>
      </c>
      <c r="U7331">
        <v>3.0345759999999999</v>
      </c>
      <c r="V7331">
        <v>4.6033289999999998E-2</v>
      </c>
      <c r="W7331">
        <v>3.8939460000000002E-2</v>
      </c>
      <c r="X7331">
        <v>0.99818070000000003</v>
      </c>
      <c r="Y7331">
        <v>-0.1741404</v>
      </c>
      <c r="Z7331">
        <v>-4.031875E-2</v>
      </c>
      <c r="AA7331">
        <v>0.98389510000000002</v>
      </c>
      <c r="AB7331">
        <v>44</v>
      </c>
      <c r="AC7331">
        <v>-4.6608999999999696</v>
      </c>
      <c r="AD7331">
        <v>-1.1096737158350001</v>
      </c>
      <c r="AE7331">
        <v>26.657550000000001</v>
      </c>
      <c r="AF7331">
        <v>-4.7825022091742397</v>
      </c>
      <c r="AG7331">
        <v>-1.1096737158350001</v>
      </c>
      <c r="AH7331">
        <v>26.589849178803998</v>
      </c>
      <c r="AI7331">
        <v>92.352038680299401</v>
      </c>
      <c r="AJ7331">
        <v>100.196312264843</v>
      </c>
      <c r="AK7331">
        <v>27.039300702642301</v>
      </c>
      <c r="AL7331">
        <v>87.768369141151297</v>
      </c>
      <c r="AM7331">
        <v>87.359550430506602</v>
      </c>
      <c r="AN7331">
        <v>1.0000000275929</v>
      </c>
    </row>
    <row r="7332" spans="1:40" x14ac:dyDescent="0.25">
      <c r="A7332" t="str">
        <f>"20190312155019174"</f>
        <v>20190312155019174</v>
      </c>
      <c r="B7332" t="str">
        <f>"1552377019163020"</f>
        <v>1552377019163020</v>
      </c>
      <c r="C7332" t="s">
        <v>40</v>
      </c>
      <c r="D7332">
        <v>4.8078320000000003</v>
      </c>
      <c r="E7332">
        <v>0.41494890000000001</v>
      </c>
      <c r="F7332" t="s">
        <v>42</v>
      </c>
      <c r="G7332">
        <v>-192.45650000000001</v>
      </c>
      <c r="H7332" s="1">
        <v>-4.0050879999999997E-6</v>
      </c>
      <c r="I7332">
        <v>87.475459999999998</v>
      </c>
      <c r="J7332">
        <v>-188.14789999999999</v>
      </c>
      <c r="K7332">
        <v>1.1096680000000001</v>
      </c>
      <c r="L7332">
        <v>63.163569999999901</v>
      </c>
      <c r="M7332">
        <v>4.8646289999999997E-3</v>
      </c>
      <c r="N7332">
        <v>0</v>
      </c>
      <c r="O7332">
        <v>0.99986819999999998</v>
      </c>
      <c r="P7332">
        <v>5.008779E-2</v>
      </c>
      <c r="Q7332">
        <v>2.389374E-2</v>
      </c>
      <c r="R7332">
        <v>0.99845899999999999</v>
      </c>
      <c r="S7332">
        <v>-0.52796940000000003</v>
      </c>
      <c r="T7332">
        <v>-0.13604639999999901</v>
      </c>
      <c r="U7332">
        <v>3.034821</v>
      </c>
      <c r="V7332">
        <v>4.5230970000000002E-2</v>
      </c>
      <c r="W7332">
        <v>3.9358289999999997E-2</v>
      </c>
      <c r="X7332">
        <v>0.998201</v>
      </c>
      <c r="Y7332">
        <v>-0.1760206</v>
      </c>
      <c r="Z7332">
        <v>-4.4102549999999997E-2</v>
      </c>
      <c r="AA7332">
        <v>0.98339810000000005</v>
      </c>
      <c r="AB7332">
        <v>44</v>
      </c>
      <c r="AC7332">
        <v>-4.30860000000001</v>
      </c>
      <c r="AD7332">
        <v>-1.109672005088</v>
      </c>
      <c r="AE7332">
        <v>24.311889999999998</v>
      </c>
      <c r="AF7332">
        <v>-4.4179079618436701</v>
      </c>
      <c r="AG7332">
        <v>-1.109672005088</v>
      </c>
      <c r="AH7332">
        <v>24.2416751939923</v>
      </c>
      <c r="AI7332">
        <v>92.578495478696198</v>
      </c>
      <c r="AJ7332">
        <v>100.328480106524</v>
      </c>
      <c r="AK7332">
        <v>24.6659299222474</v>
      </c>
      <c r="AL7332">
        <v>87.744353648969707</v>
      </c>
      <c r="AM7332">
        <v>87.405560408111299</v>
      </c>
      <c r="AN7332">
        <v>1.0000000760199199</v>
      </c>
    </row>
    <row r="7333" spans="1:40" x14ac:dyDescent="0.25">
      <c r="A7333" t="str">
        <f>"20190312155019196"</f>
        <v>20190312155019196</v>
      </c>
      <c r="B7333" t="str">
        <f>"1552377019193276"</f>
        <v>1552377019193276</v>
      </c>
      <c r="C7333" t="s">
        <v>40</v>
      </c>
      <c r="D7333">
        <v>4.8252470000000001</v>
      </c>
      <c r="E7333">
        <v>0.41425299999999998</v>
      </c>
      <c r="F7333" t="s">
        <v>42</v>
      </c>
      <c r="G7333">
        <v>-192.20869999999999</v>
      </c>
      <c r="H7333" s="1">
        <v>-3.4258019999999999E-6</v>
      </c>
      <c r="I7333">
        <v>86.204830000000001</v>
      </c>
      <c r="J7333">
        <v>-188.14590000000001</v>
      </c>
      <c r="K7333">
        <v>1.109672</v>
      </c>
      <c r="L7333">
        <v>63.59375</v>
      </c>
      <c r="M7333">
        <v>4.86448E-3</v>
      </c>
      <c r="N7333">
        <v>0</v>
      </c>
      <c r="O7333">
        <v>0.99986819999999998</v>
      </c>
      <c r="P7333">
        <v>4.9415090000000002E-2</v>
      </c>
      <c r="Q7333">
        <v>2.3805730000000001E-2</v>
      </c>
      <c r="R7333">
        <v>0.99849460000000001</v>
      </c>
      <c r="S7333">
        <v>-0.53488159999999996</v>
      </c>
      <c r="T7333">
        <v>-0.14616489999999999</v>
      </c>
      <c r="U7333">
        <v>3.0349729999999999</v>
      </c>
      <c r="V7333">
        <v>4.4558250000000001E-2</v>
      </c>
      <c r="W7333">
        <v>3.926967E-2</v>
      </c>
      <c r="X7333">
        <v>0.99823470000000003</v>
      </c>
      <c r="Y7333">
        <v>-0.17815889999999901</v>
      </c>
      <c r="Z7333">
        <v>-4.7354720000000003E-2</v>
      </c>
      <c r="AA7333">
        <v>0.9828616</v>
      </c>
      <c r="AB7333">
        <v>44</v>
      </c>
      <c r="AC7333">
        <v>-4.0627999999999798</v>
      </c>
      <c r="AD7333">
        <v>-1.1096754258020001</v>
      </c>
      <c r="AE7333">
        <v>22.611079999999902</v>
      </c>
      <c r="AF7333">
        <v>-4.1630431057654897</v>
      </c>
      <c r="AG7333">
        <v>-1.1096754258020001</v>
      </c>
      <c r="AH7333">
        <v>22.5384601954995</v>
      </c>
      <c r="AI7333">
        <v>92.771854832373094</v>
      </c>
      <c r="AJ7333">
        <v>100.465063196147</v>
      </c>
      <c r="AK7333">
        <v>22.946557376548</v>
      </c>
      <c r="AL7333">
        <v>87.749435026423001</v>
      </c>
      <c r="AM7333">
        <v>87.444182111405993</v>
      </c>
      <c r="AN7333">
        <v>1.00000003045453</v>
      </c>
    </row>
    <row r="7334" spans="1:40" x14ac:dyDescent="0.25">
      <c r="A7334" t="str">
        <f>"20190312155019219"</f>
        <v>20190312155019219</v>
      </c>
      <c r="B7334" t="str">
        <f>"1552377019212796"</f>
        <v>1552377019212796</v>
      </c>
      <c r="C7334" t="s">
        <v>40</v>
      </c>
      <c r="D7334">
        <v>4.8410760000000002</v>
      </c>
      <c r="E7334">
        <v>0.41390060000000001</v>
      </c>
      <c r="F7334" t="s">
        <v>42</v>
      </c>
      <c r="G7334">
        <v>-192.04490000000001</v>
      </c>
      <c r="H7334" s="1">
        <v>-3.0342710000000002E-6</v>
      </c>
      <c r="I7334">
        <v>85.393780000000007</v>
      </c>
      <c r="J7334">
        <v>-188.14359999999999</v>
      </c>
      <c r="K7334">
        <v>1.1096729999999999</v>
      </c>
      <c r="L7334">
        <v>64.059169999999995</v>
      </c>
      <c r="M7334">
        <v>4.864307E-3</v>
      </c>
      <c r="N7334">
        <v>0</v>
      </c>
      <c r="O7334">
        <v>0.99986830000000004</v>
      </c>
      <c r="P7334">
        <v>4.9128529999999997E-2</v>
      </c>
      <c r="Q7334">
        <v>2.344048E-2</v>
      </c>
      <c r="R7334">
        <v>0.9985174</v>
      </c>
      <c r="S7334">
        <v>-0.54283139999999996</v>
      </c>
      <c r="T7334">
        <v>-0.15449209999999999</v>
      </c>
      <c r="U7334">
        <v>3.0350649999999999</v>
      </c>
      <c r="V7334">
        <v>4.4271749999999999E-2</v>
      </c>
      <c r="W7334">
        <v>3.8902310000000002E-2</v>
      </c>
      <c r="X7334">
        <v>0.99826179999999998</v>
      </c>
      <c r="Y7334">
        <v>-0.18062590000000001</v>
      </c>
      <c r="Z7334">
        <v>-5.0021740000000002E-2</v>
      </c>
      <c r="AA7334">
        <v>0.98227909999999996</v>
      </c>
      <c r="AB7334">
        <v>44</v>
      </c>
      <c r="AC7334">
        <v>-3.90130000000002</v>
      </c>
      <c r="AD7334">
        <v>-1.1096760342709999</v>
      </c>
      <c r="AE7334">
        <v>21.334610000000001</v>
      </c>
      <c r="AF7334">
        <v>-3.9945872929548099</v>
      </c>
      <c r="AG7334">
        <v>-1.1096760342709999</v>
      </c>
      <c r="AH7334">
        <v>21.259724199105001</v>
      </c>
      <c r="AI7334">
        <v>92.9366126646418</v>
      </c>
      <c r="AJ7334">
        <v>100.64149456651499</v>
      </c>
      <c r="AK7334">
        <v>21.660193479377899</v>
      </c>
      <c r="AL7334">
        <v>87.770499230563402</v>
      </c>
      <c r="AM7334">
        <v>87.460662738689706</v>
      </c>
      <c r="AN7334">
        <v>0.99999999945531903</v>
      </c>
    </row>
    <row r="7335" spans="1:40" x14ac:dyDescent="0.25">
      <c r="A7335" t="str">
        <f>"20190312155019241"</f>
        <v>20190312155019241</v>
      </c>
      <c r="B7335" t="str">
        <f>"1552377019233292"</f>
        <v>1552377019233292</v>
      </c>
      <c r="C7335" t="s">
        <v>40</v>
      </c>
      <c r="D7335">
        <v>4.7956250000000002</v>
      </c>
      <c r="E7335">
        <v>0.4134968</v>
      </c>
      <c r="F7335" t="s">
        <v>42</v>
      </c>
      <c r="G7335">
        <v>-191.8878</v>
      </c>
      <c r="H7335" s="1">
        <v>-2.7603929999999999E-6</v>
      </c>
      <c r="I7335">
        <v>84.852779999999996</v>
      </c>
      <c r="J7335">
        <v>-188.14160000000001</v>
      </c>
      <c r="K7335">
        <v>1.1096779999999999</v>
      </c>
      <c r="L7335">
        <v>64.484409999999997</v>
      </c>
      <c r="M7335">
        <v>4.8641309999999998E-3</v>
      </c>
      <c r="N7335">
        <v>0</v>
      </c>
      <c r="O7335">
        <v>0.99986830000000004</v>
      </c>
      <c r="P7335">
        <v>4.8506569999999999E-2</v>
      </c>
      <c r="Q7335">
        <v>2.239706E-2</v>
      </c>
      <c r="R7335">
        <v>0.99857169999999895</v>
      </c>
      <c r="S7335">
        <v>-0.54652400000000001</v>
      </c>
      <c r="T7335">
        <v>-0.161974799999999</v>
      </c>
      <c r="U7335">
        <v>3.0351560000000002</v>
      </c>
      <c r="V7335">
        <v>4.3649680000000003E-2</v>
      </c>
      <c r="W7335">
        <v>3.7856899999999999E-2</v>
      </c>
      <c r="X7335">
        <v>0.99832940000000003</v>
      </c>
      <c r="Y7335">
        <v>-0.18175640000000001</v>
      </c>
      <c r="Z7335">
        <v>-5.2425239999999998E-2</v>
      </c>
      <c r="AA7335">
        <v>0.98194510000000002</v>
      </c>
      <c r="AB7335">
        <v>44</v>
      </c>
      <c r="AC7335">
        <v>-3.74619999999998</v>
      </c>
      <c r="AD7335">
        <v>-1.1096807603929999</v>
      </c>
      <c r="AE7335">
        <v>20.368369999999999</v>
      </c>
      <c r="AF7335">
        <v>-3.8342338254994401</v>
      </c>
      <c r="AG7335">
        <v>-1.1096807603929999</v>
      </c>
      <c r="AH7335">
        <v>20.2916471648753</v>
      </c>
      <c r="AI7335">
        <v>93.075869966518994</v>
      </c>
      <c r="AJ7335">
        <v>100.700237976366</v>
      </c>
      <c r="AK7335">
        <v>20.680514623248101</v>
      </c>
      <c r="AL7335">
        <v>87.830441011505499</v>
      </c>
      <c r="AM7335">
        <v>87.496466995532202</v>
      </c>
      <c r="AN7335">
        <v>1.0000000151730299</v>
      </c>
    </row>
    <row r="7336" spans="1:40" x14ac:dyDescent="0.25">
      <c r="A7336" t="str">
        <f>"20190312155019264"</f>
        <v>20190312155019264</v>
      </c>
      <c r="B7336" t="str">
        <f>"1552377019252812"</f>
        <v>1552377019252812</v>
      </c>
      <c r="C7336" t="s">
        <v>40</v>
      </c>
      <c r="D7336">
        <v>5.028823</v>
      </c>
      <c r="E7336">
        <v>0.41426930000000001</v>
      </c>
      <c r="F7336" t="s">
        <v>42</v>
      </c>
      <c r="G7336">
        <v>-191.7604</v>
      </c>
      <c r="H7336" s="1">
        <v>-2.5322099999999999E-6</v>
      </c>
      <c r="I7336">
        <v>84.399900000000002</v>
      </c>
      <c r="J7336">
        <v>-188.13939999999999</v>
      </c>
      <c r="K7336">
        <v>1.1096870000000001</v>
      </c>
      <c r="L7336">
        <v>64.927669999999907</v>
      </c>
      <c r="M7336">
        <v>4.8639629999999998E-3</v>
      </c>
      <c r="N7336">
        <v>0</v>
      </c>
      <c r="O7336">
        <v>0.99986830000000004</v>
      </c>
      <c r="P7336">
        <v>4.8260600000000001E-2</v>
      </c>
      <c r="Q7336">
        <v>2.2642430000000002E-2</v>
      </c>
      <c r="R7336">
        <v>0.99857810000000002</v>
      </c>
      <c r="S7336">
        <v>-0.55146790000000001</v>
      </c>
      <c r="T7336">
        <v>-0.169102</v>
      </c>
      <c r="U7336">
        <v>3.0348820000000001</v>
      </c>
      <c r="V7336">
        <v>4.3403850000000001E-2</v>
      </c>
      <c r="W7336">
        <v>3.8099429999999997E-2</v>
      </c>
      <c r="X7336">
        <v>0.99833090000000002</v>
      </c>
      <c r="Y7336">
        <v>-0.1832985</v>
      </c>
      <c r="Z7336">
        <v>-5.4714270000000002E-2</v>
      </c>
      <c r="AA7336">
        <v>0.98153349999999995</v>
      </c>
      <c r="AB7336">
        <v>44</v>
      </c>
      <c r="AC7336">
        <v>-3.621</v>
      </c>
      <c r="AD7336">
        <v>-1.10968953221</v>
      </c>
      <c r="AE7336">
        <v>19.47223</v>
      </c>
      <c r="AF7336">
        <v>-3.7040532607523802</v>
      </c>
      <c r="AG7336">
        <v>-1.10968953221</v>
      </c>
      <c r="AH7336">
        <v>19.393506598315</v>
      </c>
      <c r="AI7336">
        <v>93.216850513476302</v>
      </c>
      <c r="AJ7336">
        <v>100.812952835014</v>
      </c>
      <c r="AK7336">
        <v>19.775224893671201</v>
      </c>
      <c r="AL7336">
        <v>87.816535051892103</v>
      </c>
      <c r="AM7336">
        <v>87.510552553972502</v>
      </c>
      <c r="AN7336">
        <v>1.00000002332797</v>
      </c>
    </row>
    <row r="7337" spans="1:40" x14ac:dyDescent="0.25">
      <c r="A7337" t="str">
        <f>"20190312155019287"</f>
        <v>20190312155019287</v>
      </c>
      <c r="B7337" t="str">
        <f>"1552377019273308"</f>
        <v>1552377019273308</v>
      </c>
      <c r="C7337" t="s">
        <v>40</v>
      </c>
      <c r="D7337">
        <v>4.7787139999999999</v>
      </c>
      <c r="E7337">
        <v>0.4587794</v>
      </c>
      <c r="F7337" t="s">
        <v>42</v>
      </c>
      <c r="G7337">
        <v>-191.68940000000001</v>
      </c>
      <c r="H7337" s="1">
        <v>-2.6226999999999999E-6</v>
      </c>
      <c r="I7337">
        <v>84.654869999999903</v>
      </c>
      <c r="J7337">
        <v>-188.1371</v>
      </c>
      <c r="K7337">
        <v>1.109696</v>
      </c>
      <c r="L7337">
        <v>65.395629999999997</v>
      </c>
      <c r="M7337">
        <v>4.8638090000000002E-3</v>
      </c>
      <c r="N7337">
        <v>0</v>
      </c>
      <c r="O7337">
        <v>0.99986839999999999</v>
      </c>
      <c r="P7337">
        <v>4.8160139999999997E-2</v>
      </c>
      <c r="Q7337">
        <v>2.3583590000000001E-2</v>
      </c>
      <c r="R7337">
        <v>0.99856109999999998</v>
      </c>
      <c r="S7337">
        <v>-0.5460815</v>
      </c>
      <c r="T7337">
        <v>-0.1706985</v>
      </c>
      <c r="U7337">
        <v>3.0345460000000002</v>
      </c>
      <c r="V7337">
        <v>4.3303670000000002E-2</v>
      </c>
      <c r="W7337">
        <v>3.9036670000000002E-2</v>
      </c>
      <c r="X7337">
        <v>0.99829900000000005</v>
      </c>
      <c r="Y7337">
        <v>-0.1816248</v>
      </c>
      <c r="Z7337">
        <v>-5.5252530000000001E-2</v>
      </c>
      <c r="AA7337">
        <v>0.98181439999999998</v>
      </c>
      <c r="AB7337">
        <v>44</v>
      </c>
      <c r="AC7337">
        <v>-3.5522999999999998</v>
      </c>
      <c r="AD7337">
        <v>-1.1096986226999901</v>
      </c>
      <c r="AE7337">
        <v>19.259239999999899</v>
      </c>
      <c r="AF7337">
        <v>-3.6342738160821999</v>
      </c>
      <c r="AG7337">
        <v>-1.1096986226999901</v>
      </c>
      <c r="AH7337">
        <v>19.180150239308698</v>
      </c>
      <c r="AI7337">
        <v>93.253486317352696</v>
      </c>
      <c r="AJ7337">
        <v>100.729263267413</v>
      </c>
      <c r="AK7337">
        <v>19.552941988507499</v>
      </c>
      <c r="AL7337">
        <v>87.762795077212999</v>
      </c>
      <c r="AM7337">
        <v>87.5162119535144</v>
      </c>
      <c r="AN7337">
        <v>0.999999981420578</v>
      </c>
    </row>
    <row r="7338" spans="1:40" x14ac:dyDescent="0.25">
      <c r="A7338" t="str">
        <f>"20190312155019320"</f>
        <v>20190312155019320</v>
      </c>
      <c r="B7338" t="str">
        <f>"1552377019313324"</f>
        <v>1552377019313324</v>
      </c>
      <c r="C7338" t="s">
        <v>40</v>
      </c>
      <c r="D7338">
        <v>4.8102720000000003</v>
      </c>
      <c r="E7338">
        <v>0.4633004</v>
      </c>
      <c r="F7338" t="s">
        <v>42</v>
      </c>
      <c r="G7338">
        <v>-189.75370000000001</v>
      </c>
      <c r="H7338" s="1">
        <v>-6.3262310000000003E-7</v>
      </c>
      <c r="I7338">
        <v>91.005579999999995</v>
      </c>
      <c r="J7338">
        <v>-188.13399999999999</v>
      </c>
      <c r="K7338">
        <v>1.1097060000000001</v>
      </c>
      <c r="L7338">
        <v>66.036619999999999</v>
      </c>
      <c r="M7338">
        <v>4.8635809999999996E-3</v>
      </c>
      <c r="N7338">
        <v>0</v>
      </c>
      <c r="O7338">
        <v>0.99986850000000005</v>
      </c>
      <c r="P7338">
        <v>4.8076559999999997E-2</v>
      </c>
      <c r="Q7338">
        <v>2.4257580000000001E-2</v>
      </c>
      <c r="R7338">
        <v>0.99854900000000002</v>
      </c>
      <c r="S7338">
        <v>-0.19041440000000001</v>
      </c>
      <c r="T7338">
        <v>-0.13071140000000001</v>
      </c>
      <c r="U7338">
        <v>3.0166019999999998</v>
      </c>
      <c r="V7338">
        <v>4.3220389999999997E-2</v>
      </c>
      <c r="W7338">
        <v>3.9705150000000002E-2</v>
      </c>
      <c r="X7338">
        <v>0.99827630000000001</v>
      </c>
      <c r="Y7338">
        <v>-6.7791740000000003E-2</v>
      </c>
      <c r="Z7338">
        <v>-4.3196600000000002E-2</v>
      </c>
      <c r="AA7338">
        <v>0.99676390000000004</v>
      </c>
      <c r="AB7338">
        <v>44</v>
      </c>
      <c r="AC7338">
        <v>-1.6196999999999899</v>
      </c>
      <c r="AD7338">
        <v>-1.10970663262309</v>
      </c>
      <c r="AE7338">
        <v>24.968959999999999</v>
      </c>
      <c r="AF7338">
        <v>-1.7377159441680601</v>
      </c>
      <c r="AG7338">
        <v>-1.10970663262309</v>
      </c>
      <c r="AH7338">
        <v>24.9117860621628</v>
      </c>
      <c r="AI7338">
        <v>92.544405409533994</v>
      </c>
      <c r="AJ7338">
        <v>93.990190655513103</v>
      </c>
      <c r="AK7338">
        <v>24.996963622009702</v>
      </c>
      <c r="AL7338">
        <v>87.7244643983652</v>
      </c>
      <c r="AM7338">
        <v>87.520926416377193</v>
      </c>
      <c r="AN7338">
        <v>1.0000000360949799</v>
      </c>
    </row>
    <row r="7339" spans="1:40" x14ac:dyDescent="0.25">
      <c r="A7339" t="str">
        <f>"20190312155019342"</f>
        <v>20190312155019342</v>
      </c>
      <c r="B7339" t="str">
        <f>"1552377019332844"</f>
        <v>1552377019332844</v>
      </c>
      <c r="C7339" t="s">
        <v>40</v>
      </c>
      <c r="D7339">
        <v>4.852411</v>
      </c>
      <c r="E7339">
        <v>0.4636439</v>
      </c>
      <c r="F7339" t="s">
        <v>42</v>
      </c>
      <c r="G7339">
        <v>-189.9854</v>
      </c>
      <c r="H7339" s="1">
        <v>-1.212307E-6</v>
      </c>
      <c r="I7339">
        <v>102.4241</v>
      </c>
      <c r="J7339">
        <v>-188.1319</v>
      </c>
      <c r="K7339">
        <v>1.1097049999999999</v>
      </c>
      <c r="L7339">
        <v>66.470519999999993</v>
      </c>
      <c r="M7339">
        <v>4.8634280000000004E-3</v>
      </c>
      <c r="N7339">
        <v>0</v>
      </c>
      <c r="O7339">
        <v>0.99986850000000005</v>
      </c>
      <c r="P7339">
        <v>4.8638870000000001E-2</v>
      </c>
      <c r="Q7339">
        <v>2.4563149999999999E-2</v>
      </c>
      <c r="R7339">
        <v>0.99851440000000002</v>
      </c>
      <c r="S7339">
        <v>-0.15335079999999901</v>
      </c>
      <c r="T7339">
        <v>-9.1917159999999998E-2</v>
      </c>
      <c r="U7339">
        <v>3.0139770000000001</v>
      </c>
      <c r="V7339">
        <v>4.3783040000000002E-2</v>
      </c>
      <c r="W7339">
        <v>4.0006750000000001E-2</v>
      </c>
      <c r="X7339">
        <v>0.99823969999999995</v>
      </c>
      <c r="Y7339">
        <v>-5.5647750000000003E-2</v>
      </c>
      <c r="Z7339">
        <v>-3.0438969999999999E-2</v>
      </c>
      <c r="AA7339">
        <v>0.99798640000000005</v>
      </c>
      <c r="AB7339">
        <v>44</v>
      </c>
      <c r="AC7339">
        <v>-1.8534999999999899</v>
      </c>
      <c r="AD7339">
        <v>-1.1097062123069901</v>
      </c>
      <c r="AE7339">
        <v>35.953580000000002</v>
      </c>
      <c r="AF7339">
        <v>-2.0264312943991301</v>
      </c>
      <c r="AG7339">
        <v>-1.1097062123069901</v>
      </c>
      <c r="AH7339">
        <v>35.910020372502601</v>
      </c>
      <c r="AI7339">
        <v>91.7672046948515</v>
      </c>
      <c r="AJ7339">
        <v>93.229821381311098</v>
      </c>
      <c r="AK7339">
        <v>35.984266489982801</v>
      </c>
      <c r="AL7339">
        <v>87.707170160018293</v>
      </c>
      <c r="AM7339">
        <v>87.488602531723799</v>
      </c>
      <c r="AN7339">
        <v>0.99999999664664696</v>
      </c>
    </row>
    <row r="7340" spans="1:40" x14ac:dyDescent="0.25">
      <c r="A7340" t="str">
        <f>"20190312155019367"</f>
        <v>20190312155019367</v>
      </c>
      <c r="B7340" t="str">
        <f>"1552377019353340"</f>
        <v>1552377019353340</v>
      </c>
      <c r="C7340" t="s">
        <v>40</v>
      </c>
      <c r="D7340">
        <v>4.8225309999999997</v>
      </c>
      <c r="E7340">
        <v>0.46404519999999999</v>
      </c>
      <c r="F7340" t="s">
        <v>42</v>
      </c>
      <c r="G7340">
        <v>-190.08189999999999</v>
      </c>
      <c r="H7340" s="1">
        <v>-2.767646E-6</v>
      </c>
      <c r="I7340">
        <v>105.9897</v>
      </c>
      <c r="J7340">
        <v>-188.12970000000001</v>
      </c>
      <c r="K7340">
        <v>1.1097079999999999</v>
      </c>
      <c r="L7340">
        <v>66.923310000000001</v>
      </c>
      <c r="M7340">
        <v>4.8632709999999997E-3</v>
      </c>
      <c r="N7340">
        <v>0</v>
      </c>
      <c r="O7340">
        <v>0.9998686</v>
      </c>
      <c r="P7340">
        <v>4.8469579999999998E-2</v>
      </c>
      <c r="Q7340">
        <v>2.532802E-2</v>
      </c>
      <c r="R7340">
        <v>0.99850340000000004</v>
      </c>
      <c r="S7340">
        <v>-0.14871219999999999</v>
      </c>
      <c r="T7340">
        <v>-8.462799E-2</v>
      </c>
      <c r="U7340">
        <v>3.0137939999999999</v>
      </c>
      <c r="V7340">
        <v>4.3613989999999998E-2</v>
      </c>
      <c r="W7340">
        <v>4.0767169999999998E-2</v>
      </c>
      <c r="X7340">
        <v>0.99821629999999995</v>
      </c>
      <c r="Y7340">
        <v>-5.4121870000000002E-2</v>
      </c>
      <c r="Z7340">
        <v>-2.8031049999999998E-2</v>
      </c>
      <c r="AA7340">
        <v>0.99814080000000005</v>
      </c>
      <c r="AB7340">
        <v>44</v>
      </c>
      <c r="AC7340">
        <v>-1.95219999999997</v>
      </c>
      <c r="AD7340">
        <v>-1.1097107676460001</v>
      </c>
      <c r="AE7340">
        <v>39.066389999999998</v>
      </c>
      <c r="AF7340">
        <v>-2.1404672558043401</v>
      </c>
      <c r="AG7340">
        <v>-1.1097107676460001</v>
      </c>
      <c r="AH7340">
        <v>39.025022315876001</v>
      </c>
      <c r="AI7340">
        <v>91.626373650511098</v>
      </c>
      <c r="AJ7340">
        <v>93.139446754620096</v>
      </c>
      <c r="AK7340">
        <v>39.099429980699398</v>
      </c>
      <c r="AL7340">
        <v>87.663565644747095</v>
      </c>
      <c r="AM7340">
        <v>87.498228334944898</v>
      </c>
      <c r="AN7340">
        <v>0.99999996192960805</v>
      </c>
    </row>
    <row r="7341" spans="1:40" x14ac:dyDescent="0.25">
      <c r="A7341" t="str">
        <f>"20190312155019384"</f>
        <v>20190312155019384</v>
      </c>
      <c r="B7341" t="str">
        <f>"1552377019372860"</f>
        <v>1552377019372860</v>
      </c>
      <c r="C7341" t="s">
        <v>40</v>
      </c>
      <c r="D7341">
        <v>4.817329</v>
      </c>
      <c r="E7341">
        <v>0.4643176</v>
      </c>
      <c r="F7341" t="s">
        <v>42</v>
      </c>
      <c r="G7341">
        <v>-190.17009999999999</v>
      </c>
      <c r="H7341" s="1">
        <v>-4.103448E-6</v>
      </c>
      <c r="I7341">
        <v>109.0488</v>
      </c>
      <c r="J7341">
        <v>-188.12780000000001</v>
      </c>
      <c r="K7341">
        <v>1.10971</v>
      </c>
      <c r="L7341">
        <v>67.307400000000001</v>
      </c>
      <c r="M7341">
        <v>4.863104E-3</v>
      </c>
      <c r="N7341">
        <v>0</v>
      </c>
      <c r="O7341">
        <v>0.99986870000000005</v>
      </c>
      <c r="P7341">
        <v>4.8300759999999998E-2</v>
      </c>
      <c r="Q7341">
        <v>2.5570530000000001E-2</v>
      </c>
      <c r="R7341">
        <v>0.99850550000000005</v>
      </c>
      <c r="S7341">
        <v>-0.1459656</v>
      </c>
      <c r="T7341">
        <v>-7.9386709999999999E-2</v>
      </c>
      <c r="U7341">
        <v>3.0135800000000001</v>
      </c>
      <c r="V7341">
        <v>4.3445339999999999E-2</v>
      </c>
      <c r="W7341">
        <v>4.1005859999999998E-2</v>
      </c>
      <c r="X7341">
        <v>0.99821389999999999</v>
      </c>
      <c r="Y7341">
        <v>-5.3219910000000002E-2</v>
      </c>
      <c r="Z7341">
        <v>-2.6299320000000001E-2</v>
      </c>
      <c r="AA7341">
        <v>0.99823640000000002</v>
      </c>
      <c r="AB7341">
        <v>44</v>
      </c>
      <c r="AC7341">
        <v>-2.04229999999998</v>
      </c>
      <c r="AD7341">
        <v>-1.109714103448</v>
      </c>
      <c r="AE7341">
        <v>41.741399999999999</v>
      </c>
      <c r="AF7341">
        <v>-2.2437108315101701</v>
      </c>
      <c r="AG7341">
        <v>-1.109714103448</v>
      </c>
      <c r="AH7341">
        <v>41.701569474518401</v>
      </c>
      <c r="AI7341">
        <v>91.522128952148506</v>
      </c>
      <c r="AJ7341">
        <v>93.079771999005402</v>
      </c>
      <c r="AK7341">
        <v>41.776627440770199</v>
      </c>
      <c r="AL7341">
        <v>87.6498783213748</v>
      </c>
      <c r="AM7341">
        <v>87.507884177476697</v>
      </c>
      <c r="AN7341">
        <v>0.99999998413763203</v>
      </c>
    </row>
    <row r="7342" spans="1:40" x14ac:dyDescent="0.25">
      <c r="A7342" t="str">
        <f>"20190312155019407"</f>
        <v>20190312155019407</v>
      </c>
      <c r="B7342" t="str">
        <f>"1552377019403116"</f>
        <v>1552377019403116</v>
      </c>
      <c r="C7342" t="s">
        <v>40</v>
      </c>
      <c r="D7342">
        <v>4.8512360000000001</v>
      </c>
      <c r="E7342">
        <v>0.46433249999999998</v>
      </c>
      <c r="F7342" t="s">
        <v>42</v>
      </c>
      <c r="G7342">
        <v>-190.18770000000001</v>
      </c>
      <c r="H7342" s="1">
        <v>-3.9428180000000003E-7</v>
      </c>
      <c r="I7342">
        <v>110.3918</v>
      </c>
      <c r="J7342">
        <v>-188.12569999999999</v>
      </c>
      <c r="K7342">
        <v>1.10972</v>
      </c>
      <c r="L7342">
        <v>67.752139999999997</v>
      </c>
      <c r="M7342">
        <v>4.8629140000000003E-3</v>
      </c>
      <c r="N7342">
        <v>0</v>
      </c>
      <c r="O7342">
        <v>0.9998688</v>
      </c>
      <c r="P7342">
        <v>4.8035509999999997E-2</v>
      </c>
      <c r="Q7342">
        <v>2.532359E-2</v>
      </c>
      <c r="R7342">
        <v>0.99852450000000004</v>
      </c>
      <c r="S7342">
        <v>-0.14407349999999999</v>
      </c>
      <c r="T7342">
        <v>-7.7616690000000002E-2</v>
      </c>
      <c r="U7342">
        <v>3.013458</v>
      </c>
      <c r="V7342">
        <v>4.3180179999999999E-2</v>
      </c>
      <c r="W7342">
        <v>4.075525E-2</v>
      </c>
      <c r="X7342">
        <v>0.99823569999999995</v>
      </c>
      <c r="Y7342">
        <v>-5.2597060000000001E-2</v>
      </c>
      <c r="Z7342">
        <v>-2.5715189999999999E-2</v>
      </c>
      <c r="AA7342">
        <v>0.99828470000000002</v>
      </c>
      <c r="AB7342">
        <v>44</v>
      </c>
      <c r="AC7342">
        <v>-2.06200000000001</v>
      </c>
      <c r="AD7342">
        <v>-1.1097203942817999</v>
      </c>
      <c r="AE7342">
        <v>42.639659999999999</v>
      </c>
      <c r="AF7342">
        <v>-2.26782089116077</v>
      </c>
      <c r="AG7342">
        <v>-1.1097203942817999</v>
      </c>
      <c r="AH7342">
        <v>42.600340055902798</v>
      </c>
      <c r="AI7342">
        <v>91.490083799274302</v>
      </c>
      <c r="AJ7342">
        <v>93.047253367608405</v>
      </c>
      <c r="AK7342">
        <v>42.675091843210197</v>
      </c>
      <c r="AL7342">
        <v>87.664249303854007</v>
      </c>
      <c r="AM7342">
        <v>87.523129334708301</v>
      </c>
      <c r="AN7342">
        <v>1.0000000155509401</v>
      </c>
    </row>
    <row r="7343" spans="1:40" x14ac:dyDescent="0.25">
      <c r="A7343" t="str">
        <f>"20190312155019430"</f>
        <v>20190312155019430</v>
      </c>
      <c r="B7343" t="str">
        <f>"1552377019422636"</f>
        <v>1552377019422636</v>
      </c>
      <c r="C7343" t="s">
        <v>40</v>
      </c>
      <c r="D7343">
        <v>7.9442119999999896</v>
      </c>
      <c r="E7343">
        <v>0.46434350000000002</v>
      </c>
      <c r="F7343" t="s">
        <v>42</v>
      </c>
      <c r="G7343">
        <v>-190.1609</v>
      </c>
      <c r="H7343" s="1">
        <v>-2.7355730000000002E-7</v>
      </c>
      <c r="I7343">
        <v>110.127</v>
      </c>
      <c r="J7343">
        <v>-188.12360000000001</v>
      </c>
      <c r="K7343">
        <v>1.109718</v>
      </c>
      <c r="L7343">
        <v>68.187989999999999</v>
      </c>
      <c r="M7343">
        <v>4.8627599999999998E-3</v>
      </c>
      <c r="N7343">
        <v>0</v>
      </c>
      <c r="O7343">
        <v>0.9998688</v>
      </c>
      <c r="P7343">
        <v>4.8067020000000002E-2</v>
      </c>
      <c r="Q7343">
        <v>2.5384239999999999E-2</v>
      </c>
      <c r="R7343">
        <v>0.99852149999999995</v>
      </c>
      <c r="S7343">
        <v>-0.14472960000000001</v>
      </c>
      <c r="T7343">
        <v>-7.8915360000000004E-2</v>
      </c>
      <c r="U7343">
        <v>3.0133969999999999</v>
      </c>
      <c r="V7343">
        <v>4.3211850000000003E-2</v>
      </c>
      <c r="W7343">
        <v>4.0811470000000002E-2</v>
      </c>
      <c r="X7343">
        <v>0.99823200000000001</v>
      </c>
      <c r="Y7343">
        <v>-5.2814189999999997E-2</v>
      </c>
      <c r="Z7343">
        <v>-2.6145399999999999E-2</v>
      </c>
      <c r="AA7343">
        <v>0.99826199999999998</v>
      </c>
      <c r="AB7343">
        <v>44</v>
      </c>
      <c r="AC7343">
        <v>-2.0372999999999801</v>
      </c>
      <c r="AD7343">
        <v>-1.1097182735572999</v>
      </c>
      <c r="AE7343">
        <v>41.939010000000003</v>
      </c>
      <c r="AF7343">
        <v>-2.2396751853607402</v>
      </c>
      <c r="AG7343">
        <v>-1.1097182735572999</v>
      </c>
      <c r="AH7343">
        <v>41.899339314471803</v>
      </c>
      <c r="AI7343">
        <v>91.514981733586396</v>
      </c>
      <c r="AJ7343">
        <v>93.059760054504693</v>
      </c>
      <c r="AK7343">
        <v>41.973828209633503</v>
      </c>
      <c r="AL7343">
        <v>87.661025376667297</v>
      </c>
      <c r="AM7343">
        <v>87.521305791767503</v>
      </c>
      <c r="AN7343">
        <v>0.99999998294399095</v>
      </c>
    </row>
    <row r="7344" spans="1:40" x14ac:dyDescent="0.25">
      <c r="A7344" t="str">
        <f>"20190312155019563"</f>
        <v>20190312155019563</v>
      </c>
      <c r="B7344" t="str">
        <f>"1552377019553420"</f>
        <v>1552377019553420</v>
      </c>
      <c r="C7344" t="s">
        <v>40</v>
      </c>
      <c r="D7344">
        <v>4.8853530000000003</v>
      </c>
      <c r="E7344">
        <v>0.5223624</v>
      </c>
      <c r="F7344" t="s">
        <v>42</v>
      </c>
      <c r="G7344">
        <v>-190.14330000000001</v>
      </c>
      <c r="H7344" s="1">
        <v>-3.6317669999999999E-7</v>
      </c>
      <c r="I7344">
        <v>110.3468</v>
      </c>
      <c r="J7344">
        <v>-188.11099999999999</v>
      </c>
      <c r="K7344">
        <v>1.109753</v>
      </c>
      <c r="L7344">
        <v>70.775239999999997</v>
      </c>
      <c r="M7344">
        <v>4.8618250000000002E-3</v>
      </c>
      <c r="N7344">
        <v>0</v>
      </c>
      <c r="O7344">
        <v>0.99986920000000001</v>
      </c>
      <c r="P7344">
        <v>4.6850700000000002E-2</v>
      </c>
      <c r="Q7344">
        <v>2.8721469999999999E-2</v>
      </c>
      <c r="R7344">
        <v>0.99848890000000001</v>
      </c>
      <c r="S7344">
        <v>-0.1443634</v>
      </c>
      <c r="T7344">
        <v>-7.9319600000000004E-2</v>
      </c>
      <c r="U7344">
        <v>3.0133969999999999</v>
      </c>
      <c r="V7344">
        <v>4.1996770000000003E-2</v>
      </c>
      <c r="W7344">
        <v>4.4120109999999997E-2</v>
      </c>
      <c r="X7344">
        <v>0.99814309999999995</v>
      </c>
      <c r="Y7344">
        <v>-5.2692049999999997E-2</v>
      </c>
      <c r="Z7344">
        <v>-2.6279400000000001E-2</v>
      </c>
      <c r="AA7344">
        <v>0.99826499999999996</v>
      </c>
      <c r="AB7344">
        <v>43</v>
      </c>
      <c r="AC7344">
        <v>-2.0323000000000202</v>
      </c>
      <c r="AD7344">
        <v>-1.10975336317669</v>
      </c>
      <c r="AE7344">
        <v>39.571559999999998</v>
      </c>
      <c r="AF7344">
        <v>-2.2229451696493099</v>
      </c>
      <c r="AG7344">
        <v>-1.10975336317669</v>
      </c>
      <c r="AH7344">
        <v>39.530202490462699</v>
      </c>
      <c r="AI7344">
        <v>91.605538681959004</v>
      </c>
      <c r="AJ7344">
        <v>93.218586491688896</v>
      </c>
      <c r="AK7344">
        <v>39.608205547478804</v>
      </c>
      <c r="AL7344">
        <v>87.471283009551698</v>
      </c>
      <c r="AM7344">
        <v>87.590706921737294</v>
      </c>
      <c r="AN7344">
        <v>0.99999998043722704</v>
      </c>
    </row>
    <row r="7345" spans="1:40" x14ac:dyDescent="0.25">
      <c r="A7345" t="str">
        <f>"20190312155019586"</f>
        <v>20190312155019586</v>
      </c>
      <c r="B7345" t="str">
        <f>"1552377019582700"</f>
        <v>1552377019582700</v>
      </c>
      <c r="C7345" t="s">
        <v>40</v>
      </c>
      <c r="D7345">
        <v>5.0251619999999999</v>
      </c>
      <c r="E7345">
        <v>0.51835779999999998</v>
      </c>
      <c r="F7345" t="s">
        <v>41</v>
      </c>
      <c r="G7345">
        <v>-188.04480000000001</v>
      </c>
      <c r="H7345">
        <v>0.89172879999999999</v>
      </c>
      <c r="I7345">
        <v>71.465479999999999</v>
      </c>
      <c r="J7345">
        <v>-188.1088</v>
      </c>
      <c r="K7345">
        <v>1.1097509999999999</v>
      </c>
      <c r="L7345">
        <v>71.21078</v>
      </c>
      <c r="M7345">
        <v>4.8616670000000001E-3</v>
      </c>
      <c r="N7345">
        <v>0</v>
      </c>
      <c r="O7345">
        <v>0.99986929999999996</v>
      </c>
      <c r="P7345">
        <v>4.7074589999999999E-2</v>
      </c>
      <c r="Q7345">
        <v>2.8322859999999998E-2</v>
      </c>
      <c r="R7345">
        <v>0.99848970000000004</v>
      </c>
      <c r="S7345">
        <v>0.28892519999999999</v>
      </c>
      <c r="T7345">
        <v>-0.95340009999999997</v>
      </c>
      <c r="U7345">
        <v>3.018402</v>
      </c>
      <c r="V7345">
        <v>4.2220790000000001E-2</v>
      </c>
      <c r="W7345">
        <v>4.3716619999999998E-2</v>
      </c>
      <c r="X7345">
        <v>0.99815140000000002</v>
      </c>
      <c r="Y7345">
        <v>8.6055670000000001E-2</v>
      </c>
      <c r="Z7345">
        <v>-0.30000880000000002</v>
      </c>
      <c r="AA7345">
        <v>0.95004690000000003</v>
      </c>
      <c r="AB7345">
        <v>43</v>
      </c>
      <c r="AC7345">
        <v>6.3999999999992896E-2</v>
      </c>
      <c r="AD7345">
        <v>-0.218022199999999</v>
      </c>
      <c r="AE7345">
        <v>0.25469999999999898</v>
      </c>
      <c r="AF7345">
        <v>3.7153895258291103E-2</v>
      </c>
      <c r="AG7345">
        <v>-0.218022199999999</v>
      </c>
      <c r="AH7345">
        <v>0.150962742176526</v>
      </c>
      <c r="AI7345">
        <v>144.50804197712401</v>
      </c>
      <c r="AJ7345">
        <v>76.173554981151099</v>
      </c>
      <c r="AK7345">
        <v>0.26777572920479598</v>
      </c>
      <c r="AL7345">
        <v>87.494423605076094</v>
      </c>
      <c r="AM7345">
        <v>87.577890605468397</v>
      </c>
      <c r="AN7345">
        <v>0.99999997764720405</v>
      </c>
    </row>
    <row r="7346" spans="1:40" x14ac:dyDescent="0.25">
      <c r="A7346" t="str">
        <f>"20190312155019610"</f>
        <v>20190312155019610</v>
      </c>
      <c r="B7346" t="str">
        <f>"1552377019603197"</f>
        <v>1552377019603197</v>
      </c>
      <c r="C7346" t="s">
        <v>40</v>
      </c>
      <c r="D7346">
        <v>5.4837239999999996</v>
      </c>
      <c r="E7346">
        <v>0.51706640000000004</v>
      </c>
      <c r="F7346" t="s">
        <v>41</v>
      </c>
      <c r="G7346">
        <v>-188.01910000000001</v>
      </c>
      <c r="H7346">
        <v>0.87261449999999996</v>
      </c>
      <c r="I7346">
        <v>72.231210000000004</v>
      </c>
      <c r="J7346">
        <v>-188.10659999999999</v>
      </c>
      <c r="K7346">
        <v>1.10975</v>
      </c>
      <c r="L7346">
        <v>71.664090000000002</v>
      </c>
      <c r="M7346">
        <v>4.861499E-3</v>
      </c>
      <c r="N7346">
        <v>0</v>
      </c>
      <c r="O7346">
        <v>0.99986940000000002</v>
      </c>
      <c r="P7346">
        <v>4.7594480000000002E-2</v>
      </c>
      <c r="Q7346">
        <v>2.7221820000000001E-2</v>
      </c>
      <c r="R7346">
        <v>0.99849580000000004</v>
      </c>
      <c r="S7346">
        <v>0.26458739999999997</v>
      </c>
      <c r="T7346">
        <v>-0.69994209999999901</v>
      </c>
      <c r="U7346">
        <v>3.0119319999999998</v>
      </c>
      <c r="V7346">
        <v>4.2740769999999997E-2</v>
      </c>
      <c r="W7346">
        <v>4.2610919999999997E-2</v>
      </c>
      <c r="X7346">
        <v>0.99817710000000004</v>
      </c>
      <c r="Y7346">
        <v>8.0409620000000001E-2</v>
      </c>
      <c r="Z7346">
        <v>-0.2255759</v>
      </c>
      <c r="AA7346">
        <v>0.97090149999999997</v>
      </c>
      <c r="AB7346">
        <v>43</v>
      </c>
      <c r="AC7346">
        <v>8.7499999999977193E-2</v>
      </c>
      <c r="AD7346">
        <v>-0.237135499999999</v>
      </c>
      <c r="AE7346">
        <v>0.56712000000000196</v>
      </c>
      <c r="AF7346">
        <v>7.2380718521224699E-2</v>
      </c>
      <c r="AG7346">
        <v>-0.237135499999999</v>
      </c>
      <c r="AH7346">
        <v>0.48475445660563199</v>
      </c>
      <c r="AI7346">
        <v>115.818774983095</v>
      </c>
      <c r="AJ7346">
        <v>81.507667668591793</v>
      </c>
      <c r="AK7346">
        <v>0.54448057538622996</v>
      </c>
      <c r="AL7346">
        <v>87.557834690205297</v>
      </c>
      <c r="AM7346">
        <v>87.548159787798596</v>
      </c>
      <c r="AN7346">
        <v>0.99999999344392398</v>
      </c>
    </row>
    <row r="7347" spans="1:40" x14ac:dyDescent="0.25">
      <c r="A7347" t="str">
        <f>"20190312155019631"</f>
        <v>20190312155019631</v>
      </c>
      <c r="B7347" t="str">
        <f>"1552377019622716"</f>
        <v>1552377019622716</v>
      </c>
      <c r="C7347" t="s">
        <v>40</v>
      </c>
      <c r="D7347">
        <v>5.0283810000000004</v>
      </c>
      <c r="E7347">
        <v>0.51538830000000002</v>
      </c>
      <c r="F7347" t="s">
        <v>41</v>
      </c>
      <c r="G7347">
        <v>-188.0223</v>
      </c>
      <c r="H7347">
        <v>0.92445449999999996</v>
      </c>
      <c r="I7347">
        <v>72.63982</v>
      </c>
      <c r="J7347">
        <v>-188.1046</v>
      </c>
      <c r="K7347">
        <v>1.109753</v>
      </c>
      <c r="L7347">
        <v>72.082610000000003</v>
      </c>
      <c r="M7347">
        <v>4.8613420000000003E-3</v>
      </c>
      <c r="N7347">
        <v>0</v>
      </c>
      <c r="O7347">
        <v>0.99986949999999997</v>
      </c>
      <c r="P7347">
        <v>4.8723530000000001E-2</v>
      </c>
      <c r="Q7347">
        <v>2.7348520000000001E-2</v>
      </c>
      <c r="R7347">
        <v>0.99843780000000004</v>
      </c>
      <c r="S7347">
        <v>0.25976559999999999</v>
      </c>
      <c r="T7347">
        <v>-0.57117499999999999</v>
      </c>
      <c r="U7347">
        <v>3.0077210000000001</v>
      </c>
      <c r="V7347">
        <v>4.3870260000000001E-2</v>
      </c>
      <c r="W7347">
        <v>4.2732399999999997E-2</v>
      </c>
      <c r="X7347">
        <v>0.99812290000000004</v>
      </c>
      <c r="Y7347">
        <v>7.9700699999999999E-2</v>
      </c>
      <c r="Z7347">
        <v>-0.18593480000000001</v>
      </c>
      <c r="AA7347">
        <v>0.97932430000000004</v>
      </c>
      <c r="AB7347">
        <v>43</v>
      </c>
      <c r="AC7347">
        <v>8.2300000000003495E-2</v>
      </c>
      <c r="AD7347">
        <v>-0.1852985</v>
      </c>
      <c r="AE7347">
        <v>0.55720999999999699</v>
      </c>
      <c r="AF7347">
        <v>7.1817374737328604E-2</v>
      </c>
      <c r="AG7347">
        <v>-0.1852985</v>
      </c>
      <c r="AH7347">
        <v>0.50314944950879104</v>
      </c>
      <c r="AI7347">
        <v>110.03094946177499</v>
      </c>
      <c r="AJ7347">
        <v>81.876718340011905</v>
      </c>
      <c r="AK7347">
        <v>0.54097378675626295</v>
      </c>
      <c r="AL7347">
        <v>87.550868046361302</v>
      </c>
      <c r="AM7347">
        <v>87.483311923604305</v>
      </c>
      <c r="AN7347">
        <v>0.99999999061331801</v>
      </c>
    </row>
    <row r="7348" spans="1:40" x14ac:dyDescent="0.25">
      <c r="A7348" t="str">
        <f>"20190312155019654"</f>
        <v>20190312155019654</v>
      </c>
      <c r="B7348" t="str">
        <f>"1552377019643212"</f>
        <v>1552377019643212</v>
      </c>
      <c r="C7348" t="s">
        <v>40</v>
      </c>
      <c r="D7348">
        <v>4.881443</v>
      </c>
      <c r="E7348">
        <v>0.51444480000000004</v>
      </c>
      <c r="F7348" t="s">
        <v>41</v>
      </c>
      <c r="G7348">
        <v>-188.02330000000001</v>
      </c>
      <c r="H7348">
        <v>0.96447720000000003</v>
      </c>
      <c r="I7348">
        <v>73.045230000000004</v>
      </c>
      <c r="J7348">
        <v>-188.10239999999999</v>
      </c>
      <c r="K7348">
        <v>1.109756</v>
      </c>
      <c r="L7348">
        <v>72.533630000000002</v>
      </c>
      <c r="M7348">
        <v>4.8611749999999997E-3</v>
      </c>
      <c r="N7348">
        <v>0</v>
      </c>
      <c r="O7348">
        <v>0.99986949999999997</v>
      </c>
      <c r="P7348">
        <v>4.9452309999999999E-2</v>
      </c>
      <c r="Q7348">
        <v>2.744168E-2</v>
      </c>
      <c r="R7348">
        <v>0.99839940000000005</v>
      </c>
      <c r="S7348">
        <v>0.25308229999999998</v>
      </c>
      <c r="T7348">
        <v>-0.45349529999999899</v>
      </c>
      <c r="U7348">
        <v>3.0047609999999998</v>
      </c>
      <c r="V7348">
        <v>4.4599390000000003E-2</v>
      </c>
      <c r="W7348">
        <v>4.2819580000000003E-2</v>
      </c>
      <c r="X7348">
        <v>0.9980869</v>
      </c>
      <c r="Y7348">
        <v>7.8150709999999998E-2</v>
      </c>
      <c r="Z7348">
        <v>-0.1487473</v>
      </c>
      <c r="AA7348">
        <v>0.9857823</v>
      </c>
      <c r="AB7348">
        <v>43</v>
      </c>
      <c r="AC7348">
        <v>7.9099999999982601E-2</v>
      </c>
      <c r="AD7348">
        <v>-0.14527880000000001</v>
      </c>
      <c r="AE7348">
        <v>0.51160000000000105</v>
      </c>
      <c r="AF7348">
        <v>7.1018647840027302E-2</v>
      </c>
      <c r="AG7348">
        <v>-0.14527880000000001</v>
      </c>
      <c r="AH7348">
        <v>0.47460085119269402</v>
      </c>
      <c r="AI7348">
        <v>106.842989872587</v>
      </c>
      <c r="AJ7348">
        <v>81.489481678584895</v>
      </c>
      <c r="AK7348">
        <v>0.50139360389148901</v>
      </c>
      <c r="AL7348">
        <v>87.545868547738706</v>
      </c>
      <c r="AM7348">
        <v>87.441447174867406</v>
      </c>
      <c r="AN7348">
        <v>1.00000004098567</v>
      </c>
    </row>
    <row r="7349" spans="1:40" x14ac:dyDescent="0.25">
      <c r="A7349" t="str">
        <f>"20190312155019676"</f>
        <v>20190312155019676</v>
      </c>
      <c r="B7349" t="str">
        <f>"1552377019662732"</f>
        <v>1552377019662732</v>
      </c>
      <c r="C7349" t="s">
        <v>40</v>
      </c>
      <c r="D7349">
        <v>4.8757950000000001</v>
      </c>
      <c r="E7349">
        <v>0.51380040000000005</v>
      </c>
      <c r="F7349" t="s">
        <v>41</v>
      </c>
      <c r="G7349">
        <v>-188.0266</v>
      </c>
      <c r="H7349">
        <v>0.99202109999999999</v>
      </c>
      <c r="I7349">
        <v>73.444100000000006</v>
      </c>
      <c r="J7349">
        <v>-188.10040000000001</v>
      </c>
      <c r="K7349">
        <v>1.1097509999999999</v>
      </c>
      <c r="L7349">
        <v>72.942539999999994</v>
      </c>
      <c r="M7349">
        <v>4.8610379999999998E-3</v>
      </c>
      <c r="N7349">
        <v>0</v>
      </c>
      <c r="O7349">
        <v>0.99986960000000003</v>
      </c>
      <c r="P7349">
        <v>5.0519580000000001E-2</v>
      </c>
      <c r="Q7349">
        <v>2.7601170000000001E-2</v>
      </c>
      <c r="R7349">
        <v>0.99834160000000005</v>
      </c>
      <c r="S7349">
        <v>0.24972530000000001</v>
      </c>
      <c r="T7349">
        <v>-0.38835419999999998</v>
      </c>
      <c r="U7349">
        <v>3.0031129999999999</v>
      </c>
      <c r="V7349">
        <v>4.5667060000000002E-2</v>
      </c>
      <c r="W7349">
        <v>4.2973459999999998E-2</v>
      </c>
      <c r="X7349">
        <v>0.99803200000000003</v>
      </c>
      <c r="Y7349">
        <v>7.7343720000000005E-2</v>
      </c>
      <c r="Z7349">
        <v>-0.12783810000000001</v>
      </c>
      <c r="AA7349">
        <v>0.98877470000000001</v>
      </c>
      <c r="AB7349">
        <v>43</v>
      </c>
      <c r="AC7349">
        <v>7.3800000000005597E-2</v>
      </c>
      <c r="AD7349">
        <v>-0.1177299</v>
      </c>
      <c r="AE7349">
        <v>0.50155999999999701</v>
      </c>
      <c r="AF7349">
        <v>6.7709220176781604E-2</v>
      </c>
      <c r="AG7349">
        <v>-0.1177299</v>
      </c>
      <c r="AH7349">
        <v>0.47623006731742901</v>
      </c>
      <c r="AI7349">
        <v>103.752833591152</v>
      </c>
      <c r="AJ7349">
        <v>81.908060792898496</v>
      </c>
      <c r="AK7349">
        <v>0.49521706843375402</v>
      </c>
      <c r="AL7349">
        <v>87.537043737787599</v>
      </c>
      <c r="AM7349">
        <v>87.380138108055306</v>
      </c>
      <c r="AN7349">
        <v>1.0000000358287</v>
      </c>
    </row>
    <row r="7350" spans="1:40" x14ac:dyDescent="0.25">
      <c r="A7350" t="str">
        <f>"20190312155019700"</f>
        <v>20190312155019700</v>
      </c>
      <c r="B7350" t="str">
        <f>"1552377019692988"</f>
        <v>1552377019692988</v>
      </c>
      <c r="C7350" t="s">
        <v>40</v>
      </c>
      <c r="D7350">
        <v>5.0230579999999998</v>
      </c>
      <c r="E7350">
        <v>0.51357070000000005</v>
      </c>
      <c r="F7350" t="s">
        <v>41</v>
      </c>
      <c r="G7350">
        <v>-188.02610000000001</v>
      </c>
      <c r="H7350">
        <v>1.006292</v>
      </c>
      <c r="I7350">
        <v>73.83596</v>
      </c>
      <c r="J7350">
        <v>-188.09809999999999</v>
      </c>
      <c r="K7350">
        <v>1.109758</v>
      </c>
      <c r="L7350">
        <v>73.411439999999999</v>
      </c>
      <c r="M7350">
        <v>4.8609150000000004E-3</v>
      </c>
      <c r="N7350">
        <v>0</v>
      </c>
      <c r="O7350">
        <v>0.99986969999999997</v>
      </c>
      <c r="P7350">
        <v>5.1064680000000001E-2</v>
      </c>
      <c r="Q7350">
        <v>2.7010570000000001E-2</v>
      </c>
      <c r="R7350">
        <v>0.99833000000000005</v>
      </c>
      <c r="S7350">
        <v>0.24893190000000001</v>
      </c>
      <c r="T7350">
        <v>-0.34765610000000002</v>
      </c>
      <c r="U7350">
        <v>3.0019840000000002</v>
      </c>
      <c r="V7350">
        <v>4.6212320000000001E-2</v>
      </c>
      <c r="W7350">
        <v>4.2377480000000002E-2</v>
      </c>
      <c r="X7350">
        <v>0.99803229999999998</v>
      </c>
      <c r="Y7350">
        <v>7.7247899999999994E-2</v>
      </c>
      <c r="Z7350">
        <v>-0.11467189999999999</v>
      </c>
      <c r="AA7350">
        <v>0.99039540000000004</v>
      </c>
      <c r="AB7350">
        <v>43</v>
      </c>
      <c r="AC7350">
        <v>7.1999999999974307E-2</v>
      </c>
      <c r="AD7350">
        <v>-0.103466</v>
      </c>
      <c r="AE7350">
        <v>0.42452000000000101</v>
      </c>
      <c r="AF7350">
        <v>6.6117663033671101E-2</v>
      </c>
      <c r="AG7350">
        <v>-0.103466</v>
      </c>
      <c r="AH7350">
        <v>0.40167214456922901</v>
      </c>
      <c r="AI7350">
        <v>104.260774955592</v>
      </c>
      <c r="AJ7350">
        <v>80.652590026989103</v>
      </c>
      <c r="AK7350">
        <v>0.42002055931094301</v>
      </c>
      <c r="AL7350">
        <v>87.571221805435499</v>
      </c>
      <c r="AM7350">
        <v>87.3489023876419</v>
      </c>
      <c r="AN7350">
        <v>0.99999995058711</v>
      </c>
    </row>
    <row r="7351" spans="1:40" x14ac:dyDescent="0.25">
      <c r="A7351" t="str">
        <f>"20190312155019723"</f>
        <v>20190312155019723</v>
      </c>
      <c r="B7351" t="str">
        <f>"1552377019713484"</f>
        <v>1552377019713484</v>
      </c>
      <c r="C7351" t="s">
        <v>40</v>
      </c>
      <c r="D7351">
        <v>4.9175680000000002</v>
      </c>
      <c r="E7351">
        <v>0.512764</v>
      </c>
      <c r="F7351" t="s">
        <v>41</v>
      </c>
      <c r="G7351">
        <v>-188.03</v>
      </c>
      <c r="H7351">
        <v>1.025487</v>
      </c>
      <c r="I7351">
        <v>74.229900000000001</v>
      </c>
      <c r="J7351">
        <v>-188.096</v>
      </c>
      <c r="K7351">
        <v>1.1097629999999901</v>
      </c>
      <c r="L7351">
        <v>73.845640000000003</v>
      </c>
      <c r="M7351">
        <v>4.860774E-3</v>
      </c>
      <c r="N7351">
        <v>0</v>
      </c>
      <c r="O7351">
        <v>0.99986980000000003</v>
      </c>
      <c r="P7351">
        <v>5.1359839999999997E-2</v>
      </c>
      <c r="Q7351">
        <v>2.8410290000000001E-2</v>
      </c>
      <c r="R7351">
        <v>0.99827600000000005</v>
      </c>
      <c r="S7351">
        <v>0.24964900000000001</v>
      </c>
      <c r="T7351">
        <v>-0.30894280000000002</v>
      </c>
      <c r="U7351">
        <v>3.00061</v>
      </c>
      <c r="V7351">
        <v>4.6507920000000001E-2</v>
      </c>
      <c r="W7351">
        <v>4.3771409999999997E-2</v>
      </c>
      <c r="X7351">
        <v>0.99795849999999997</v>
      </c>
      <c r="Y7351">
        <v>7.76342E-2</v>
      </c>
      <c r="Z7351">
        <v>-0.1020877</v>
      </c>
      <c r="AA7351">
        <v>0.9917414</v>
      </c>
      <c r="AB7351">
        <v>43</v>
      </c>
      <c r="AC7351">
        <v>6.5999999999973996E-2</v>
      </c>
      <c r="AD7351">
        <v>-8.4275999999999796E-2</v>
      </c>
      <c r="AE7351">
        <v>0.38425999999999699</v>
      </c>
      <c r="AF7351">
        <v>6.1268547875277302E-2</v>
      </c>
      <c r="AG7351">
        <v>-8.4275999999999796E-2</v>
      </c>
      <c r="AH7351">
        <v>0.367409821123303</v>
      </c>
      <c r="AI7351">
        <v>102.748775713605</v>
      </c>
      <c r="AJ7351">
        <v>80.532583110919902</v>
      </c>
      <c r="AK7351">
        <v>0.38189822700898102</v>
      </c>
      <c r="AL7351">
        <v>87.491281531332305</v>
      </c>
      <c r="AM7351">
        <v>87.331771883188793</v>
      </c>
      <c r="AN7351">
        <v>1.00000004533918</v>
      </c>
    </row>
    <row r="7352" spans="1:40" x14ac:dyDescent="0.25">
      <c r="A7352" t="str">
        <f>"20190312155019743"</f>
        <v>20190312155019743</v>
      </c>
      <c r="B7352" t="str">
        <f>"1552377019733004"</f>
        <v>1552377019733004</v>
      </c>
      <c r="C7352" t="s">
        <v>40</v>
      </c>
      <c r="D7352">
        <v>4.866187</v>
      </c>
      <c r="E7352">
        <v>0.51254339999999998</v>
      </c>
      <c r="F7352" t="s">
        <v>41</v>
      </c>
      <c r="G7352">
        <v>-188.03290000000001</v>
      </c>
      <c r="H7352">
        <v>1.0358210000000001</v>
      </c>
      <c r="I7352">
        <v>74.619</v>
      </c>
      <c r="J7352">
        <v>-188.09399999999999</v>
      </c>
      <c r="K7352">
        <v>1.1097790000000001</v>
      </c>
      <c r="L7352">
        <v>74.248840000000001</v>
      </c>
      <c r="M7352">
        <v>4.8606270000000002E-3</v>
      </c>
      <c r="N7352">
        <v>0</v>
      </c>
      <c r="O7352">
        <v>0.99986980000000003</v>
      </c>
      <c r="P7352">
        <v>5.1858399999999999E-2</v>
      </c>
      <c r="Q7352">
        <v>3.1983730000000002E-2</v>
      </c>
      <c r="R7352">
        <v>0.99814210000000003</v>
      </c>
      <c r="S7352">
        <v>0.24453739999999999</v>
      </c>
      <c r="T7352">
        <v>-0.28692719999999999</v>
      </c>
      <c r="U7352">
        <v>3.0007630000000001</v>
      </c>
      <c r="V7352">
        <v>4.7007420000000001E-2</v>
      </c>
      <c r="W7352">
        <v>4.733826E-2</v>
      </c>
      <c r="X7352">
        <v>0.9977722</v>
      </c>
      <c r="Y7352">
        <v>7.6009919999999995E-2</v>
      </c>
      <c r="Z7352">
        <v>-9.4888780000000006E-2</v>
      </c>
      <c r="AA7352">
        <v>0.99258179999999996</v>
      </c>
      <c r="AB7352">
        <v>43</v>
      </c>
      <c r="AC7352">
        <v>6.1100000000010299E-2</v>
      </c>
      <c r="AD7352">
        <v>-7.3958000000000093E-2</v>
      </c>
      <c r="AE7352">
        <v>0.37015999999999799</v>
      </c>
      <c r="AF7352">
        <v>5.7081592783059701E-2</v>
      </c>
      <c r="AG7352">
        <v>-7.3958000000000093E-2</v>
      </c>
      <c r="AH7352">
        <v>0.35659491829407303</v>
      </c>
      <c r="AI7352">
        <v>101.57376657746001</v>
      </c>
      <c r="AJ7352">
        <v>80.905586277477497</v>
      </c>
      <c r="AK7352">
        <v>0.36862993604943101</v>
      </c>
      <c r="AL7352">
        <v>87.286703433694896</v>
      </c>
      <c r="AM7352">
        <v>87.302654112699003</v>
      </c>
      <c r="AN7352">
        <v>0.99999998574386195</v>
      </c>
    </row>
    <row r="7353" spans="1:40" x14ac:dyDescent="0.25">
      <c r="A7353" t="str">
        <f>"20190312155019768"</f>
        <v>20190312155019768</v>
      </c>
      <c r="B7353" t="str">
        <f>"1552377019763261"</f>
        <v>1552377019763261</v>
      </c>
      <c r="C7353" t="s">
        <v>40</v>
      </c>
      <c r="D7353">
        <v>4.9232579999999997</v>
      </c>
      <c r="E7353">
        <v>0.51157299999999895</v>
      </c>
      <c r="F7353" t="s">
        <v>41</v>
      </c>
      <c r="G7353">
        <v>-188.03229999999999</v>
      </c>
      <c r="H7353">
        <v>1.0438459999999901</v>
      </c>
      <c r="I7353">
        <v>75.007099999999994</v>
      </c>
      <c r="J7353">
        <v>-188.09190000000001</v>
      </c>
      <c r="K7353">
        <v>1.109788</v>
      </c>
      <c r="L7353">
        <v>74.696469999999906</v>
      </c>
      <c r="M7353">
        <v>4.860479E-3</v>
      </c>
      <c r="N7353">
        <v>0</v>
      </c>
      <c r="O7353">
        <v>0.99986989999999998</v>
      </c>
      <c r="P7353">
        <v>5.1996380000000002E-2</v>
      </c>
      <c r="Q7353">
        <v>3.5652360000000001E-2</v>
      </c>
      <c r="R7353">
        <v>0.99801059999999997</v>
      </c>
      <c r="S7353">
        <v>0.24438480000000001</v>
      </c>
      <c r="T7353">
        <v>-0.26093359999999999</v>
      </c>
      <c r="U7353">
        <v>3.0012509999999999</v>
      </c>
      <c r="V7353">
        <v>4.7146309999999997E-2</v>
      </c>
      <c r="W7353">
        <v>5.0998790000000002E-2</v>
      </c>
      <c r="X7353">
        <v>0.99758519999999995</v>
      </c>
      <c r="Y7353">
        <v>7.6009950000000007E-2</v>
      </c>
      <c r="Z7353">
        <v>-8.6346270000000003E-2</v>
      </c>
      <c r="AA7353">
        <v>0.99336139999999995</v>
      </c>
      <c r="AB7353">
        <v>43</v>
      </c>
      <c r="AC7353">
        <v>5.9600000000017403E-2</v>
      </c>
      <c r="AD7353">
        <v>-6.5942000000000098E-2</v>
      </c>
      <c r="AE7353">
        <v>0.31063000000000301</v>
      </c>
      <c r="AF7353">
        <v>5.5669641487765403E-2</v>
      </c>
      <c r="AG7353">
        <v>-6.5942000000000098E-2</v>
      </c>
      <c r="AH7353">
        <v>0.29796508120871601</v>
      </c>
      <c r="AI7353">
        <v>102.273102257397</v>
      </c>
      <c r="AJ7353">
        <v>79.417280286065207</v>
      </c>
      <c r="AK7353">
        <v>0.31021064773326701</v>
      </c>
      <c r="AL7353">
        <v>87.076716282326103</v>
      </c>
      <c r="AM7353">
        <v>87.294189886408105</v>
      </c>
      <c r="AN7353">
        <v>0.99999994119355795</v>
      </c>
    </row>
    <row r="7354" spans="1:40" x14ac:dyDescent="0.25">
      <c r="A7354" t="str">
        <f>"20190312155019790"</f>
        <v>20190312155019790</v>
      </c>
      <c r="B7354" t="str">
        <f>"1552377019782781"</f>
        <v>1552377019782781</v>
      </c>
      <c r="C7354" t="s">
        <v>40</v>
      </c>
      <c r="D7354">
        <v>5.0333160000000001</v>
      </c>
      <c r="E7354">
        <v>0.5105594</v>
      </c>
      <c r="F7354" t="s">
        <v>41</v>
      </c>
      <c r="G7354">
        <v>-188.00749999999999</v>
      </c>
      <c r="H7354">
        <v>1.026017</v>
      </c>
      <c r="I7354">
        <v>75.763210000000001</v>
      </c>
      <c r="J7354">
        <v>-188.0898</v>
      </c>
      <c r="K7354">
        <v>1.109796</v>
      </c>
      <c r="L7354">
        <v>75.132019999999997</v>
      </c>
      <c r="M7354">
        <v>4.860334E-3</v>
      </c>
      <c r="N7354">
        <v>0</v>
      </c>
      <c r="O7354">
        <v>0.99987000000000004</v>
      </c>
      <c r="P7354">
        <v>5.2279859999999997E-2</v>
      </c>
      <c r="Q7354">
        <v>3.7193200000000003E-2</v>
      </c>
      <c r="R7354">
        <v>0.99793960000000004</v>
      </c>
      <c r="S7354">
        <v>0.23753360000000001</v>
      </c>
      <c r="T7354">
        <v>-0.23574229999999999</v>
      </c>
      <c r="U7354">
        <v>3.0020449999999999</v>
      </c>
      <c r="V7354">
        <v>4.7430319999999998E-2</v>
      </c>
      <c r="W7354">
        <v>5.2534049999999999E-2</v>
      </c>
      <c r="X7354">
        <v>0.99749209999999999</v>
      </c>
      <c r="Y7354">
        <v>7.3790069999999999E-2</v>
      </c>
      <c r="Z7354">
        <v>-7.805695E-2</v>
      </c>
      <c r="AA7354">
        <v>0.99421440000000005</v>
      </c>
      <c r="AB7354">
        <v>43</v>
      </c>
      <c r="AC7354">
        <v>8.2300000000003495E-2</v>
      </c>
      <c r="AD7354">
        <v>-8.3779000000000006E-2</v>
      </c>
      <c r="AE7354">
        <v>0.63119000000000303</v>
      </c>
      <c r="AF7354">
        <v>7.7881708748245904E-2</v>
      </c>
      <c r="AG7354">
        <v>-8.3779000000000006E-2</v>
      </c>
      <c r="AH7354">
        <v>0.62082785714353395</v>
      </c>
      <c r="AI7354">
        <v>97.626415007323104</v>
      </c>
      <c r="AJ7354">
        <v>82.849702739580394</v>
      </c>
      <c r="AK7354">
        <v>0.63127783867642595</v>
      </c>
      <c r="AL7354">
        <v>86.988634355076499</v>
      </c>
      <c r="AM7354">
        <v>87.277660812101402</v>
      </c>
      <c r="AN7354">
        <v>0.99999997561355702</v>
      </c>
    </row>
    <row r="7355" spans="1:40" x14ac:dyDescent="0.25">
      <c r="A7355" t="str">
        <f>"20190312155019813"</f>
        <v>20190312155019813</v>
      </c>
      <c r="B7355" t="str">
        <f>"1552377019803277"</f>
        <v>1552377019803277</v>
      </c>
      <c r="C7355" t="s">
        <v>40</v>
      </c>
      <c r="D7355">
        <v>4.9242610000000004</v>
      </c>
      <c r="E7355">
        <v>0.51017699999999999</v>
      </c>
      <c r="F7355" t="s">
        <v>41</v>
      </c>
      <c r="G7355">
        <v>-188.01159999999999</v>
      </c>
      <c r="H7355">
        <v>1.0322530000000001</v>
      </c>
      <c r="I7355">
        <v>76.148510000000002</v>
      </c>
      <c r="J7355">
        <v>-188.08760000000001</v>
      </c>
      <c r="K7355">
        <v>1.109804</v>
      </c>
      <c r="L7355">
        <v>75.564149999999998</v>
      </c>
      <c r="M7355">
        <v>4.8601999999999899E-3</v>
      </c>
      <c r="N7355">
        <v>0</v>
      </c>
      <c r="O7355">
        <v>0.99987009999999998</v>
      </c>
      <c r="P7355">
        <v>5.1926769999999997E-2</v>
      </c>
      <c r="Q7355">
        <v>3.742885E-2</v>
      </c>
      <c r="R7355">
        <v>0.99794919999999998</v>
      </c>
      <c r="S7355">
        <v>0.2304688</v>
      </c>
      <c r="T7355">
        <v>-0.2290808</v>
      </c>
      <c r="U7355">
        <v>3.0026549999999999</v>
      </c>
      <c r="V7355">
        <v>4.7077340000000002E-2</v>
      </c>
      <c r="W7355">
        <v>5.2764520000000002E-2</v>
      </c>
      <c r="X7355">
        <v>0.99749670000000001</v>
      </c>
      <c r="Y7355">
        <v>7.1461949999999996E-2</v>
      </c>
      <c r="Z7355">
        <v>-7.5862180000000001E-2</v>
      </c>
      <c r="AA7355">
        <v>0.99455420000000005</v>
      </c>
      <c r="AB7355">
        <v>43</v>
      </c>
      <c r="AC7355">
        <v>7.60000000000218E-2</v>
      </c>
      <c r="AD7355">
        <v>-7.7550999999999898E-2</v>
      </c>
      <c r="AE7355">
        <v>0.58436000000000299</v>
      </c>
      <c r="AF7355">
        <v>7.1913177384570703E-2</v>
      </c>
      <c r="AG7355">
        <v>-7.7550999999999898E-2</v>
      </c>
      <c r="AH7355">
        <v>0.57476796070227898</v>
      </c>
      <c r="AI7355">
        <v>97.625523425971494</v>
      </c>
      <c r="AJ7355">
        <v>82.868389706467994</v>
      </c>
      <c r="AK7355">
        <v>0.58441754878887897</v>
      </c>
      <c r="AL7355">
        <v>86.975411186428403</v>
      </c>
      <c r="AM7355">
        <v>87.2979029676804</v>
      </c>
      <c r="AN7355">
        <v>1.00000001851159</v>
      </c>
    </row>
    <row r="7356" spans="1:40" x14ac:dyDescent="0.25">
      <c r="A7356" t="str">
        <f>"20190312155019835"</f>
        <v>20190312155019835</v>
      </c>
      <c r="B7356" t="str">
        <f>"1552377019822796"</f>
        <v>1552377019822796</v>
      </c>
      <c r="C7356" t="s">
        <v>40</v>
      </c>
      <c r="D7356">
        <v>4.9933750000000003</v>
      </c>
      <c r="E7356">
        <v>0.50953459999999995</v>
      </c>
      <c r="F7356" t="s">
        <v>41</v>
      </c>
      <c r="G7356">
        <v>-188.0146</v>
      </c>
      <c r="H7356">
        <v>1.0380609999999999</v>
      </c>
      <c r="I7356">
        <v>76.533199999999994</v>
      </c>
      <c r="J7356">
        <v>-188.0855</v>
      </c>
      <c r="K7356">
        <v>1.1098159999999999</v>
      </c>
      <c r="L7356">
        <v>75.992519999999999</v>
      </c>
      <c r="M7356">
        <v>4.8600800000000001E-3</v>
      </c>
      <c r="N7356">
        <v>0</v>
      </c>
      <c r="O7356">
        <v>0.99987009999999998</v>
      </c>
      <c r="P7356">
        <v>5.1560090000000003E-2</v>
      </c>
      <c r="Q7356">
        <v>3.8525530000000002E-2</v>
      </c>
      <c r="R7356">
        <v>0.99792650000000005</v>
      </c>
      <c r="S7356">
        <v>0.22622680000000001</v>
      </c>
      <c r="T7356">
        <v>-0.22230349999999999</v>
      </c>
      <c r="U7356">
        <v>3.0027469999999998</v>
      </c>
      <c r="V7356">
        <v>4.6710920000000003E-2</v>
      </c>
      <c r="W7356">
        <v>5.3855399999999998E-2</v>
      </c>
      <c r="X7356">
        <v>0.9974556</v>
      </c>
      <c r="Y7356">
        <v>7.0075289999999998E-2</v>
      </c>
      <c r="Z7356">
        <v>-7.3635519999999996E-2</v>
      </c>
      <c r="AA7356">
        <v>0.99482020000000004</v>
      </c>
      <c r="AB7356">
        <v>43</v>
      </c>
      <c r="AC7356">
        <v>7.0899999999994606E-2</v>
      </c>
      <c r="AD7356">
        <v>-7.1754999999999694E-2</v>
      </c>
      <c r="AE7356">
        <v>0.54067999999999405</v>
      </c>
      <c r="AF7356">
        <v>6.7109118102735593E-2</v>
      </c>
      <c r="AG7356">
        <v>-7.1754999999999694E-2</v>
      </c>
      <c r="AH7356">
        <v>0.53181000973674997</v>
      </c>
      <c r="AI7356">
        <v>97.624537190888105</v>
      </c>
      <c r="AJ7356">
        <v>82.807859112773201</v>
      </c>
      <c r="AK7356">
        <v>0.54080893133687102</v>
      </c>
      <c r="AL7356">
        <v>86.912819284191102</v>
      </c>
      <c r="AM7356">
        <v>87.318793247365505</v>
      </c>
      <c r="AN7356">
        <v>0.99999999406388296</v>
      </c>
    </row>
    <row r="7357" spans="1:40" x14ac:dyDescent="0.25">
      <c r="A7357" t="str">
        <f>"20190312155019857"</f>
        <v>20190312155019857</v>
      </c>
      <c r="B7357" t="str">
        <f>"1552377019853052"</f>
        <v>1552377019853052</v>
      </c>
      <c r="C7357" t="s">
        <v>40</v>
      </c>
      <c r="D7357">
        <v>4.885027</v>
      </c>
      <c r="E7357">
        <v>0.51022140000000005</v>
      </c>
      <c r="F7357" t="s">
        <v>41</v>
      </c>
      <c r="G7357">
        <v>-188.01769999999999</v>
      </c>
      <c r="H7357">
        <v>1.0432619999999999</v>
      </c>
      <c r="I7357">
        <v>76.917369999999906</v>
      </c>
      <c r="J7357">
        <v>-188.08349999999999</v>
      </c>
      <c r="K7357">
        <v>1.10982</v>
      </c>
      <c r="L7357">
        <v>76.413390000000007</v>
      </c>
      <c r="M7357">
        <v>4.859955E-3</v>
      </c>
      <c r="N7357">
        <v>0</v>
      </c>
      <c r="O7357">
        <v>0.99987020000000004</v>
      </c>
      <c r="P7357">
        <v>5.0967949999999998E-2</v>
      </c>
      <c r="Q7357">
        <v>4.0408430000000002E-2</v>
      </c>
      <c r="R7357">
        <v>0.99788250000000001</v>
      </c>
      <c r="S7357">
        <v>0.21998599999999999</v>
      </c>
      <c r="T7357">
        <v>-0.2161392</v>
      </c>
      <c r="U7357">
        <v>3.0032040000000002</v>
      </c>
      <c r="V7357">
        <v>4.6119199999999902E-2</v>
      </c>
      <c r="W7357">
        <v>5.5732740000000003E-2</v>
      </c>
      <c r="X7357">
        <v>0.99738000000000004</v>
      </c>
      <c r="Y7357">
        <v>6.8018789999999996E-2</v>
      </c>
      <c r="Z7357">
        <v>-7.1604070000000006E-2</v>
      </c>
      <c r="AA7357">
        <v>0.99511119999999997</v>
      </c>
      <c r="AB7357">
        <v>43</v>
      </c>
      <c r="AC7357">
        <v>6.5799999999995806E-2</v>
      </c>
      <c r="AD7357">
        <v>-6.6557999999999895E-2</v>
      </c>
      <c r="AE7357">
        <v>0.503979999999984</v>
      </c>
      <c r="AF7357">
        <v>6.2281560683294497E-2</v>
      </c>
      <c r="AG7357">
        <v>-6.6557999999999895E-2</v>
      </c>
      <c r="AH7357">
        <v>0.49579164664620401</v>
      </c>
      <c r="AI7357">
        <v>97.587083698502497</v>
      </c>
      <c r="AJ7357">
        <v>82.839985104392895</v>
      </c>
      <c r="AK7357">
        <v>0.50410149478979005</v>
      </c>
      <c r="AL7357">
        <v>86.805093762583894</v>
      </c>
      <c r="AM7357">
        <v>87.352508971945596</v>
      </c>
      <c r="AN7357">
        <v>0.99999999165827302</v>
      </c>
    </row>
    <row r="7358" spans="1:40" x14ac:dyDescent="0.25">
      <c r="A7358" t="str">
        <f>"20190312155019878"</f>
        <v>20190312155019878</v>
      </c>
      <c r="B7358" t="str">
        <f>"1552377019873548"</f>
        <v>1552377019873548</v>
      </c>
      <c r="C7358" t="s">
        <v>40</v>
      </c>
      <c r="D7358">
        <v>4.8671199999999999</v>
      </c>
      <c r="E7358">
        <v>0.55509169999999997</v>
      </c>
      <c r="F7358" t="s">
        <v>41</v>
      </c>
      <c r="G7358">
        <v>-188.017</v>
      </c>
      <c r="H7358">
        <v>1.049121</v>
      </c>
      <c r="I7358">
        <v>77.303700000000006</v>
      </c>
      <c r="J7358">
        <v>-188.08150000000001</v>
      </c>
      <c r="K7358">
        <v>1.109818</v>
      </c>
      <c r="L7358">
        <v>76.818419999999904</v>
      </c>
      <c r="M7358">
        <v>4.8598199999999999E-3</v>
      </c>
      <c r="N7358">
        <v>0</v>
      </c>
      <c r="O7358">
        <v>0.99987029999999999</v>
      </c>
      <c r="P7358">
        <v>5.0477470000000003E-2</v>
      </c>
      <c r="Q7358">
        <v>4.0367609999999998E-2</v>
      </c>
      <c r="R7358">
        <v>0.99790909999999999</v>
      </c>
      <c r="S7358">
        <v>0.22398380000000001</v>
      </c>
      <c r="T7358">
        <v>-0.20476520000000001</v>
      </c>
      <c r="U7358">
        <v>3.0032040000000002</v>
      </c>
      <c r="V7358">
        <v>4.5628729999999999E-2</v>
      </c>
      <c r="W7358">
        <v>5.5688469999999997E-2</v>
      </c>
      <c r="X7358">
        <v>0.99740510000000004</v>
      </c>
      <c r="Y7358">
        <v>6.9355840000000002E-2</v>
      </c>
      <c r="Z7358">
        <v>-6.7847439999999995E-2</v>
      </c>
      <c r="AA7358">
        <v>0.99528209999999995</v>
      </c>
      <c r="AB7358">
        <v>43</v>
      </c>
      <c r="AC7358">
        <v>6.4500000000009494E-2</v>
      </c>
      <c r="AD7358">
        <v>-6.0697000000000001E-2</v>
      </c>
      <c r="AE7358">
        <v>0.48528000000001698</v>
      </c>
      <c r="AF7358">
        <v>6.1199792896242902E-2</v>
      </c>
      <c r="AG7358">
        <v>-6.0697000000000001E-2</v>
      </c>
      <c r="AH7358">
        <v>0.47823607983432997</v>
      </c>
      <c r="AI7358">
        <v>97.175324118438894</v>
      </c>
      <c r="AJ7358">
        <v>82.707504085825306</v>
      </c>
      <c r="AK7358">
        <v>0.48594165134803002</v>
      </c>
      <c r="AL7358">
        <v>86.807634410872296</v>
      </c>
      <c r="AM7358">
        <v>87.380690998620395</v>
      </c>
      <c r="AN7358">
        <v>1.0000000600991801</v>
      </c>
    </row>
    <row r="7359" spans="1:40" x14ac:dyDescent="0.25">
      <c r="A7359" t="str">
        <f>"20190312155019902"</f>
        <v>20190312155019902</v>
      </c>
      <c r="B7359" t="str">
        <f>"1552377019893069"</f>
        <v>1552377019893069</v>
      </c>
      <c r="C7359" t="s">
        <v>40</v>
      </c>
      <c r="D7359">
        <v>4.8644769999999999</v>
      </c>
      <c r="E7359">
        <v>0.55566450000000001</v>
      </c>
      <c r="F7359" t="s">
        <v>42</v>
      </c>
      <c r="G7359">
        <v>-181.70760000000001</v>
      </c>
      <c r="H7359" s="1">
        <v>-5.6608930000000003E-6</v>
      </c>
      <c r="I7359">
        <v>109.3997</v>
      </c>
      <c r="J7359">
        <v>-188.07929999999999</v>
      </c>
      <c r="K7359">
        <v>1.1098079999999999</v>
      </c>
      <c r="L7359">
        <v>77.284819999999996</v>
      </c>
      <c r="M7359">
        <v>4.8596510000000004E-3</v>
      </c>
      <c r="N7359">
        <v>0</v>
      </c>
      <c r="O7359">
        <v>0.99987040000000005</v>
      </c>
      <c r="P7359">
        <v>5.000479E-2</v>
      </c>
      <c r="Q7359">
        <v>3.7821609999999999E-2</v>
      </c>
      <c r="R7359">
        <v>0.99803260000000005</v>
      </c>
      <c r="S7359">
        <v>0.58316040000000002</v>
      </c>
      <c r="T7359">
        <v>-0.101539</v>
      </c>
      <c r="U7359">
        <v>2.980896</v>
      </c>
      <c r="V7359">
        <v>4.5155519999999998E-2</v>
      </c>
      <c r="W7359">
        <v>5.3139270000000002E-2</v>
      </c>
      <c r="X7359">
        <v>0.99756560000000005</v>
      </c>
      <c r="Y7359">
        <v>0.1871138</v>
      </c>
      <c r="Z7359">
        <v>-3.3425829999999997E-2</v>
      </c>
      <c r="AA7359">
        <v>0.98176940000000001</v>
      </c>
      <c r="AB7359">
        <v>43</v>
      </c>
      <c r="AC7359">
        <v>6.3716999999999704</v>
      </c>
      <c r="AD7359">
        <v>-1.1098136608929901</v>
      </c>
      <c r="AE7359">
        <v>32.114879999999999</v>
      </c>
      <c r="AF7359">
        <v>6.2084057938982804</v>
      </c>
      <c r="AG7359">
        <v>-1.1098136608929901</v>
      </c>
      <c r="AH7359">
        <v>32.108575835834699</v>
      </c>
      <c r="AI7359">
        <v>91.943634799729693</v>
      </c>
      <c r="AJ7359">
        <v>79.056528275124293</v>
      </c>
      <c r="AK7359">
        <v>32.722112264784599</v>
      </c>
      <c r="AL7359">
        <v>86.953909263529397</v>
      </c>
      <c r="AM7359">
        <v>87.408234778558196</v>
      </c>
      <c r="AN7359">
        <v>0.99999996465298102</v>
      </c>
    </row>
    <row r="7360" spans="1:40" x14ac:dyDescent="0.25">
      <c r="A7360" t="str">
        <f>"20190312155019924"</f>
        <v>20190312155019924</v>
      </c>
      <c r="B7360" t="str">
        <f>"1552377019913564"</f>
        <v>1552377019913564</v>
      </c>
      <c r="C7360" t="s">
        <v>40</v>
      </c>
      <c r="D7360">
        <v>4.9073659999999997</v>
      </c>
      <c r="E7360">
        <v>0.55637590000000003</v>
      </c>
      <c r="F7360" t="s">
        <v>42</v>
      </c>
      <c r="G7360">
        <v>-181.8227</v>
      </c>
      <c r="H7360" s="1">
        <v>-5.4998289999999996E-6</v>
      </c>
      <c r="I7360">
        <v>109.0718</v>
      </c>
      <c r="J7360">
        <v>-188.07730000000001</v>
      </c>
      <c r="K7360">
        <v>1.109785</v>
      </c>
      <c r="L7360">
        <v>77.686520000000002</v>
      </c>
      <c r="M7360">
        <v>4.8595089999999997E-3</v>
      </c>
      <c r="N7360">
        <v>0</v>
      </c>
      <c r="O7360">
        <v>0.99987040000000005</v>
      </c>
      <c r="P7360">
        <v>4.9354780000000001E-2</v>
      </c>
      <c r="Q7360">
        <v>3.2960120000000002E-2</v>
      </c>
      <c r="R7360">
        <v>0.99823729999999999</v>
      </c>
      <c r="S7360">
        <v>0.58663940000000003</v>
      </c>
      <c r="T7360">
        <v>-0.10406029999999999</v>
      </c>
      <c r="U7360">
        <v>2.9804689999999998</v>
      </c>
      <c r="V7360">
        <v>4.4504479999999999E-2</v>
      </c>
      <c r="W7360">
        <v>4.8276550000000001E-2</v>
      </c>
      <c r="X7360">
        <v>0.99784200000000001</v>
      </c>
      <c r="Y7360">
        <v>0.1882384</v>
      </c>
      <c r="Z7360">
        <v>-3.4252119999999997E-2</v>
      </c>
      <c r="AA7360">
        <v>0.98152589999999995</v>
      </c>
      <c r="AB7360">
        <v>43</v>
      </c>
      <c r="AC7360">
        <v>6.2546000000000097</v>
      </c>
      <c r="AD7360">
        <v>-1.109790499829</v>
      </c>
      <c r="AE7360">
        <v>31.385279999999899</v>
      </c>
      <c r="AF7360">
        <v>6.0946617616771999</v>
      </c>
      <c r="AG7360">
        <v>-1.109790499829</v>
      </c>
      <c r="AH7360">
        <v>31.377572982419402</v>
      </c>
      <c r="AI7360">
        <v>91.988511736709995</v>
      </c>
      <c r="AJ7360">
        <v>79.007954296907599</v>
      </c>
      <c r="AK7360">
        <v>31.983255356667701</v>
      </c>
      <c r="AL7360">
        <v>87.232881776785007</v>
      </c>
      <c r="AM7360">
        <v>87.446258925618594</v>
      </c>
      <c r="AN7360">
        <v>0.999999965491985</v>
      </c>
    </row>
    <row r="7361" spans="1:40" x14ac:dyDescent="0.25">
      <c r="A7361" t="str">
        <f>"20190312155019948"</f>
        <v>20190312155019948</v>
      </c>
      <c r="B7361" t="str">
        <f>"1552377019942844"</f>
        <v>1552377019942844</v>
      </c>
      <c r="C7361" t="s">
        <v>40</v>
      </c>
      <c r="D7361">
        <v>4.8866560000000003</v>
      </c>
      <c r="E7361">
        <v>0.55737809999999999</v>
      </c>
      <c r="F7361" t="s">
        <v>42</v>
      </c>
      <c r="G7361">
        <v>-182.4513</v>
      </c>
      <c r="H7361" s="1">
        <v>-4.1978169999999997E-6</v>
      </c>
      <c r="I7361">
        <v>106.0814</v>
      </c>
      <c r="J7361">
        <v>-188.07509999999999</v>
      </c>
      <c r="K7361">
        <v>1.109769</v>
      </c>
      <c r="L7361">
        <v>78.14188</v>
      </c>
      <c r="M7361">
        <v>4.8593489999999998E-3</v>
      </c>
      <c r="N7361">
        <v>0</v>
      </c>
      <c r="O7361">
        <v>0.9998705</v>
      </c>
      <c r="P7361">
        <v>4.9501070000000001E-2</v>
      </c>
      <c r="Q7361">
        <v>2.923839E-2</v>
      </c>
      <c r="R7361">
        <v>0.99834599999999996</v>
      </c>
      <c r="S7361">
        <v>0.59042359999999905</v>
      </c>
      <c r="T7361">
        <v>-0.1164675</v>
      </c>
      <c r="U7361">
        <v>2.9799190000000002</v>
      </c>
      <c r="V7361">
        <v>4.4650250000000002E-2</v>
      </c>
      <c r="W7361">
        <v>4.45517E-2</v>
      </c>
      <c r="X7361">
        <v>0.99800880000000003</v>
      </c>
      <c r="Y7361">
        <v>0.18944349999999999</v>
      </c>
      <c r="Z7361">
        <v>-3.8328019999999997E-2</v>
      </c>
      <c r="AA7361">
        <v>0.98114319999999999</v>
      </c>
      <c r="AB7361">
        <v>43</v>
      </c>
      <c r="AC7361">
        <v>5.6237999999999797</v>
      </c>
      <c r="AD7361">
        <v>-1.109773197817</v>
      </c>
      <c r="AE7361">
        <v>27.939520000000002</v>
      </c>
      <c r="AF7361">
        <v>5.47964100683933</v>
      </c>
      <c r="AG7361">
        <v>-1.109773197817</v>
      </c>
      <c r="AH7361">
        <v>27.924180143193801</v>
      </c>
      <c r="AI7361">
        <v>92.233323442902503</v>
      </c>
      <c r="AJ7361">
        <v>78.897758148787005</v>
      </c>
      <c r="AK7361">
        <v>28.478375985718799</v>
      </c>
      <c r="AL7361">
        <v>87.446530514985497</v>
      </c>
      <c r="AM7361">
        <v>87.438333168049198</v>
      </c>
      <c r="AN7361">
        <v>1.00000003183769</v>
      </c>
    </row>
    <row r="7362" spans="1:40" x14ac:dyDescent="0.25">
      <c r="A7362" t="str">
        <f>"20190312155019969"</f>
        <v>20190312155019969</v>
      </c>
      <c r="B7362" t="str">
        <f>"1552377019963341"</f>
        <v>1552377019963341</v>
      </c>
      <c r="C7362" t="s">
        <v>40</v>
      </c>
      <c r="D7362">
        <v>4.9004789999999998</v>
      </c>
      <c r="E7362">
        <v>0.5575485</v>
      </c>
      <c r="F7362" t="s">
        <v>42</v>
      </c>
      <c r="G7362">
        <v>-182.85050000000001</v>
      </c>
      <c r="H7362" s="1">
        <v>-3.4254619999999999E-6</v>
      </c>
      <c r="I7362">
        <v>104.124</v>
      </c>
      <c r="J7362">
        <v>-188.07320000000001</v>
      </c>
      <c r="K7362">
        <v>1.1097669999999999</v>
      </c>
      <c r="L7362">
        <v>78.544650000000004</v>
      </c>
      <c r="M7362">
        <v>4.8592000000000002E-3</v>
      </c>
      <c r="N7362">
        <v>0</v>
      </c>
      <c r="O7362">
        <v>0.99987060000000005</v>
      </c>
      <c r="P7362">
        <v>5.0059930000000002E-2</v>
      </c>
      <c r="Q7362">
        <v>2.744744E-2</v>
      </c>
      <c r="R7362">
        <v>0.99836899999999995</v>
      </c>
      <c r="S7362">
        <v>0.59902949999999999</v>
      </c>
      <c r="T7362">
        <v>-0.1272421</v>
      </c>
      <c r="U7362">
        <v>2.9790040000000002</v>
      </c>
      <c r="V7362">
        <v>4.520909E-2</v>
      </c>
      <c r="W7362">
        <v>4.2756700000000002E-2</v>
      </c>
      <c r="X7362">
        <v>0.99806209999999995</v>
      </c>
      <c r="Y7362">
        <v>0.19219829999999999</v>
      </c>
      <c r="Z7362">
        <v>-4.1857329999999998E-2</v>
      </c>
      <c r="AA7362">
        <v>0.98046299999999997</v>
      </c>
      <c r="AB7362">
        <v>42</v>
      </c>
      <c r="AC7362">
        <v>5.2226999999999997</v>
      </c>
      <c r="AD7362">
        <v>-1.109770425462</v>
      </c>
      <c r="AE7362">
        <v>25.579349999999899</v>
      </c>
      <c r="AF7362">
        <v>5.0891326489254096</v>
      </c>
      <c r="AG7362">
        <v>-1.109770425462</v>
      </c>
      <c r="AH7362">
        <v>25.558246224480001</v>
      </c>
      <c r="AI7362">
        <v>92.438479810287205</v>
      </c>
      <c r="AJ7362">
        <v>78.738611403073705</v>
      </c>
      <c r="AK7362">
        <v>26.083611935212001</v>
      </c>
      <c r="AL7362">
        <v>87.549474450227805</v>
      </c>
      <c r="AM7362">
        <v>87.406453326815097</v>
      </c>
      <c r="AN7362">
        <v>0.99999997633496296</v>
      </c>
    </row>
    <row r="7363" spans="1:40" x14ac:dyDescent="0.25">
      <c r="A7363" t="str">
        <f>"20190312155019991"</f>
        <v>20190312155019991</v>
      </c>
      <c r="B7363" t="str">
        <f>"1552377019982862"</f>
        <v>1552377019982862</v>
      </c>
      <c r="C7363" t="s">
        <v>40</v>
      </c>
      <c r="D7363">
        <v>4.9369779999999999</v>
      </c>
      <c r="E7363">
        <v>0.55787710000000001</v>
      </c>
      <c r="F7363" t="s">
        <v>42</v>
      </c>
      <c r="G7363">
        <v>-183.08080000000001</v>
      </c>
      <c r="H7363" s="1">
        <v>-3.066547E-6</v>
      </c>
      <c r="I7363">
        <v>103.24930000000001</v>
      </c>
      <c r="J7363">
        <v>-188.0711</v>
      </c>
      <c r="K7363">
        <v>1.109774</v>
      </c>
      <c r="L7363">
        <v>78.957309999999893</v>
      </c>
      <c r="M7363">
        <v>4.8590389999999999E-3</v>
      </c>
      <c r="N7363">
        <v>0</v>
      </c>
      <c r="O7363">
        <v>0.9998707</v>
      </c>
      <c r="P7363">
        <v>5.032532E-2</v>
      </c>
      <c r="Q7363">
        <v>2.8719939999999999E-2</v>
      </c>
      <c r="R7363">
        <v>0.99831990000000004</v>
      </c>
      <c r="S7363">
        <v>0.6018829</v>
      </c>
      <c r="T7363">
        <v>-0.1337951</v>
      </c>
      <c r="U7363">
        <v>2.978424</v>
      </c>
      <c r="V7363">
        <v>4.5474920000000002E-2</v>
      </c>
      <c r="W7363">
        <v>4.4023890000000003E-2</v>
      </c>
      <c r="X7363">
        <v>0.99799499999999997</v>
      </c>
      <c r="Y7363">
        <v>0.1931195</v>
      </c>
      <c r="Z7363">
        <v>-4.4009100000000002E-2</v>
      </c>
      <c r="AA7363">
        <v>0.98018780000000005</v>
      </c>
      <c r="AB7363">
        <v>42</v>
      </c>
      <c r="AC7363">
        <v>4.9902999999999897</v>
      </c>
      <c r="AD7363">
        <v>-1.1097770665469999</v>
      </c>
      <c r="AE7363">
        <v>24.291989999999998</v>
      </c>
      <c r="AF7363">
        <v>4.8624539403431504</v>
      </c>
      <c r="AG7363">
        <v>-1.1097770665469999</v>
      </c>
      <c r="AH7363">
        <v>24.2673563284784</v>
      </c>
      <c r="AI7363">
        <v>92.567423345067198</v>
      </c>
      <c r="AJ7363">
        <v>78.6696763832785</v>
      </c>
      <c r="AK7363">
        <v>24.774576618637401</v>
      </c>
      <c r="AL7363">
        <v>87.476801536049095</v>
      </c>
      <c r="AM7363">
        <v>87.391049089433096</v>
      </c>
      <c r="AN7363">
        <v>1.0000000456323599</v>
      </c>
    </row>
    <row r="7364" spans="1:40" x14ac:dyDescent="0.25">
      <c r="A7364" t="str">
        <f>"20190312155020013"</f>
        <v>20190312155020013</v>
      </c>
      <c r="B7364" t="str">
        <f>"1552377020003356"</f>
        <v>1552377020003356</v>
      </c>
      <c r="C7364" t="s">
        <v>40</v>
      </c>
      <c r="D7364">
        <v>4.9466010000000002</v>
      </c>
      <c r="E7364">
        <v>0.55810509999999902</v>
      </c>
      <c r="F7364" t="s">
        <v>42</v>
      </c>
      <c r="G7364">
        <v>-182.80879999999999</v>
      </c>
      <c r="H7364" s="1">
        <v>-3.679988E-6</v>
      </c>
      <c r="I7364">
        <v>104.83920000000001</v>
      </c>
      <c r="J7364">
        <v>-188.0692</v>
      </c>
      <c r="K7364">
        <v>1.109783</v>
      </c>
      <c r="L7364">
        <v>79.360140000000001</v>
      </c>
      <c r="M7364">
        <v>4.8588939999999999E-3</v>
      </c>
      <c r="N7364">
        <v>0</v>
      </c>
      <c r="O7364">
        <v>0.9998707</v>
      </c>
      <c r="P7364">
        <v>5.065915E-2</v>
      </c>
      <c r="Q7364">
        <v>3.0303360000000001E-2</v>
      </c>
      <c r="R7364">
        <v>0.99825609999999998</v>
      </c>
      <c r="S7364">
        <v>0.60552980000000001</v>
      </c>
      <c r="T7364">
        <v>-0.1276997</v>
      </c>
      <c r="U7364">
        <v>2.97818</v>
      </c>
      <c r="V7364">
        <v>4.5809259999999997E-2</v>
      </c>
      <c r="W7364">
        <v>4.5601589999999997E-2</v>
      </c>
      <c r="X7364">
        <v>0.99790880000000004</v>
      </c>
      <c r="Y7364">
        <v>0.19430520000000001</v>
      </c>
      <c r="Z7364">
        <v>-4.2001200000000002E-2</v>
      </c>
      <c r="AA7364">
        <v>0.98004150000000001</v>
      </c>
      <c r="AB7364">
        <v>42</v>
      </c>
      <c r="AC7364">
        <v>5.2603999999999997</v>
      </c>
      <c r="AD7364">
        <v>-1.1097866799879901</v>
      </c>
      <c r="AE7364">
        <v>25.47906</v>
      </c>
      <c r="AF7364">
        <v>5.12719367865538</v>
      </c>
      <c r="AG7364">
        <v>-1.1097866799879901</v>
      </c>
      <c r="AH7364">
        <v>25.457997677052401</v>
      </c>
      <c r="AI7364">
        <v>92.447033479020703</v>
      </c>
      <c r="AJ7364">
        <v>78.613061169117302</v>
      </c>
      <c r="AK7364">
        <v>25.9928718539973</v>
      </c>
      <c r="AL7364">
        <v>87.386314913856793</v>
      </c>
      <c r="AM7364">
        <v>87.371667697649798</v>
      </c>
      <c r="AN7364">
        <v>0.99999998321485695</v>
      </c>
    </row>
    <row r="7365" spans="1:40" x14ac:dyDescent="0.25">
      <c r="A7365" t="str">
        <f>"20190312155020035"</f>
        <v>20190312155020035</v>
      </c>
      <c r="B7365" t="str">
        <f>"1552377020023383"</f>
        <v>1552377020023383</v>
      </c>
      <c r="C7365" t="s">
        <v>40</v>
      </c>
      <c r="D7365">
        <v>4.9445519999999998</v>
      </c>
      <c r="E7365">
        <v>0.55828180000000005</v>
      </c>
      <c r="F7365" t="s">
        <v>42</v>
      </c>
      <c r="G7365">
        <v>-182.5198</v>
      </c>
      <c r="H7365" s="1">
        <v>-4.3276069999999998E-6</v>
      </c>
      <c r="I7365">
        <v>106.5164</v>
      </c>
      <c r="J7365">
        <v>-188.06720000000001</v>
      </c>
      <c r="K7365">
        <v>1.109785</v>
      </c>
      <c r="L7365">
        <v>79.783569999999997</v>
      </c>
      <c r="M7365">
        <v>4.8587489999999999E-3</v>
      </c>
      <c r="N7365">
        <v>0</v>
      </c>
      <c r="O7365">
        <v>0.99987079999999995</v>
      </c>
      <c r="P7365">
        <v>5.0872500000000001E-2</v>
      </c>
      <c r="Q7365">
        <v>3.03445E-2</v>
      </c>
      <c r="R7365">
        <v>0.99824400000000002</v>
      </c>
      <c r="S7365">
        <v>0.6085663</v>
      </c>
      <c r="T7365">
        <v>-0.12170350000000001</v>
      </c>
      <c r="U7365">
        <v>2.9780579999999999</v>
      </c>
      <c r="V7365">
        <v>4.6022809999999997E-2</v>
      </c>
      <c r="W7365">
        <v>4.5637789999999998E-2</v>
      </c>
      <c r="X7365">
        <v>0.99789729999999999</v>
      </c>
      <c r="Y7365">
        <v>0.19528880000000001</v>
      </c>
      <c r="Z7365">
        <v>-4.0025940000000003E-2</v>
      </c>
      <c r="AA7365">
        <v>0.97992869999999999</v>
      </c>
      <c r="AB7365">
        <v>42</v>
      </c>
      <c r="AC7365">
        <v>5.5473999999999997</v>
      </c>
      <c r="AD7365">
        <v>-1.1097893276070001</v>
      </c>
      <c r="AE7365">
        <v>26.73283</v>
      </c>
      <c r="AF7365">
        <v>5.40849484363771</v>
      </c>
      <c r="AG7365">
        <v>-1.1097893276070001</v>
      </c>
      <c r="AH7365">
        <v>26.7153299987433</v>
      </c>
      <c r="AI7365">
        <v>92.3315270250813</v>
      </c>
      <c r="AJ7365">
        <v>78.5552045629492</v>
      </c>
      <c r="AK7365">
        <v>27.2798883019539</v>
      </c>
      <c r="AL7365">
        <v>87.384238595006906</v>
      </c>
      <c r="AM7365">
        <v>87.359402059601607</v>
      </c>
      <c r="AN7365">
        <v>0.99999996413183401</v>
      </c>
    </row>
    <row r="7366" spans="1:40" x14ac:dyDescent="0.25">
      <c r="A7366" t="str">
        <f>"20190312155020056"</f>
        <v>20190312155020056</v>
      </c>
      <c r="B7366" t="str">
        <f>"1552377020042902"</f>
        <v>1552377020042902</v>
      </c>
      <c r="C7366" t="s">
        <v>40</v>
      </c>
      <c r="D7366">
        <v>4.9553159999999998</v>
      </c>
      <c r="E7366">
        <v>0.55848500000000001</v>
      </c>
      <c r="F7366" t="s">
        <v>42</v>
      </c>
      <c r="G7366">
        <v>-182.45670000000001</v>
      </c>
      <c r="H7366" s="1">
        <v>-4.5582930000000001E-6</v>
      </c>
      <c r="I7366">
        <v>107.1392</v>
      </c>
      <c r="J7366">
        <v>-188.0652</v>
      </c>
      <c r="K7366">
        <v>1.1097900000000001</v>
      </c>
      <c r="L7366">
        <v>80.187559999999905</v>
      </c>
      <c r="M7366">
        <v>4.8586200000000001E-3</v>
      </c>
      <c r="N7366">
        <v>0</v>
      </c>
      <c r="O7366">
        <v>0.99987090000000001</v>
      </c>
      <c r="P7366">
        <v>5.0819999999999997E-2</v>
      </c>
      <c r="Q7366">
        <v>3.1059460000000001E-2</v>
      </c>
      <c r="R7366">
        <v>0.99822469999999996</v>
      </c>
      <c r="S7366">
        <v>0.61073299999999997</v>
      </c>
      <c r="T7366">
        <v>-0.12080680000000001</v>
      </c>
      <c r="U7366">
        <v>2.977814</v>
      </c>
      <c r="V7366">
        <v>4.5970560000000001E-2</v>
      </c>
      <c r="W7366">
        <v>4.6347520000000003E-2</v>
      </c>
      <c r="X7366">
        <v>0.99786699999999995</v>
      </c>
      <c r="Y7366">
        <v>0.19599130000000001</v>
      </c>
      <c r="Z7366">
        <v>-3.9729010000000002E-2</v>
      </c>
      <c r="AA7366">
        <v>0.97980049999999996</v>
      </c>
      <c r="AB7366">
        <v>42</v>
      </c>
      <c r="AC7366">
        <v>5.6084999999999896</v>
      </c>
      <c r="AD7366">
        <v>-1.109794558293</v>
      </c>
      <c r="AE7366">
        <v>26.951640000000001</v>
      </c>
      <c r="AF7366">
        <v>5.4685831616485503</v>
      </c>
      <c r="AG7366">
        <v>-1.109794558293</v>
      </c>
      <c r="AH7366">
        <v>26.934800411376202</v>
      </c>
      <c r="AI7366">
        <v>92.312299376571204</v>
      </c>
      <c r="AJ7366">
        <v>78.5232144337714</v>
      </c>
      <c r="AK7366">
        <v>27.506735883382401</v>
      </c>
      <c r="AL7366">
        <v>87.343530989931693</v>
      </c>
      <c r="AM7366">
        <v>87.362315734698797</v>
      </c>
      <c r="AN7366">
        <v>0.99999996734293095</v>
      </c>
    </row>
    <row r="7367" spans="1:40" x14ac:dyDescent="0.25">
      <c r="A7367" t="str">
        <f>"20190312155020079"</f>
        <v>20190312155020079</v>
      </c>
      <c r="B7367" t="str">
        <f>"1552377020073159"</f>
        <v>1552377020073159</v>
      </c>
      <c r="C7367" t="s">
        <v>40</v>
      </c>
      <c r="D7367">
        <v>4.9143400000000002</v>
      </c>
      <c r="E7367">
        <v>0.55869329999999995</v>
      </c>
      <c r="F7367" t="s">
        <v>42</v>
      </c>
      <c r="G7367">
        <v>-182.21350000000001</v>
      </c>
      <c r="H7367" s="1">
        <v>-5.2462370000000002E-6</v>
      </c>
      <c r="I7367">
        <v>108.64230000000001</v>
      </c>
      <c r="J7367">
        <v>-188.06309999999999</v>
      </c>
      <c r="K7367">
        <v>1.1097980000000001</v>
      </c>
      <c r="L7367">
        <v>80.609679999999997</v>
      </c>
      <c r="M7367">
        <v>4.8584910000000004E-3</v>
      </c>
      <c r="N7367">
        <v>0</v>
      </c>
      <c r="O7367">
        <v>0.99987099999999995</v>
      </c>
      <c r="P7367">
        <v>5.0912569999999997E-2</v>
      </c>
      <c r="Q7367">
        <v>3.2294110000000001E-2</v>
      </c>
      <c r="R7367">
        <v>0.99818090000000004</v>
      </c>
      <c r="S7367">
        <v>0.61238099999999995</v>
      </c>
      <c r="T7367">
        <v>-0.11613999999999999</v>
      </c>
      <c r="U7367">
        <v>2.9777830000000001</v>
      </c>
      <c r="V7367">
        <v>4.6063519999999997E-2</v>
      </c>
      <c r="W7367">
        <v>4.7575930000000002E-2</v>
      </c>
      <c r="X7367">
        <v>0.99780489999999999</v>
      </c>
      <c r="Y7367">
        <v>0.1965258</v>
      </c>
      <c r="Z7367">
        <v>-3.8192829999999997E-2</v>
      </c>
      <c r="AA7367">
        <v>0.97975449999999997</v>
      </c>
      <c r="AB7367">
        <v>42</v>
      </c>
      <c r="AC7367">
        <v>5.8495999999999801</v>
      </c>
      <c r="AD7367">
        <v>-1.109803246237</v>
      </c>
      <c r="AE7367">
        <v>28.032619999999898</v>
      </c>
      <c r="AF7367">
        <v>5.70475052769208</v>
      </c>
      <c r="AG7367">
        <v>-1.109803246237</v>
      </c>
      <c r="AH7367">
        <v>28.018630190076301</v>
      </c>
      <c r="AI7367">
        <v>92.222713450327504</v>
      </c>
      <c r="AJ7367">
        <v>78.491564884018501</v>
      </c>
      <c r="AK7367">
        <v>28.6150219213059</v>
      </c>
      <c r="AL7367">
        <v>87.273070535943702</v>
      </c>
      <c r="AM7367">
        <v>87.356825202193505</v>
      </c>
      <c r="AN7367">
        <v>0.999999967727082</v>
      </c>
    </row>
    <row r="7368" spans="1:40" x14ac:dyDescent="0.25">
      <c r="A7368" t="str">
        <f>"20190312155020102"</f>
        <v>20190312155020102</v>
      </c>
      <c r="B7368" t="str">
        <f>"1552377020092680"</f>
        <v>1552377020092680</v>
      </c>
      <c r="C7368" t="s">
        <v>40</v>
      </c>
      <c r="D7368">
        <v>4.9119780000000004</v>
      </c>
      <c r="E7368">
        <v>0.55896869999999999</v>
      </c>
      <c r="F7368" t="s">
        <v>42</v>
      </c>
      <c r="G7368">
        <v>-181.95410000000001</v>
      </c>
      <c r="H7368" s="1">
        <v>-2.333616E-6</v>
      </c>
      <c r="I7368">
        <v>110.2146</v>
      </c>
      <c r="J7368">
        <v>-188.06100000000001</v>
      </c>
      <c r="K7368">
        <v>1.1097950000000001</v>
      </c>
      <c r="L7368">
        <v>81.046390000000002</v>
      </c>
      <c r="M7368">
        <v>4.8583489999999997E-3</v>
      </c>
      <c r="N7368">
        <v>0</v>
      </c>
      <c r="O7368">
        <v>0.99987110000000001</v>
      </c>
      <c r="P7368">
        <v>5.1194799999999999E-2</v>
      </c>
      <c r="Q7368">
        <v>3.2510810000000001E-2</v>
      </c>
      <c r="R7368">
        <v>0.99815929999999997</v>
      </c>
      <c r="S7368">
        <v>0.61445620000000001</v>
      </c>
      <c r="T7368">
        <v>-0.1116258</v>
      </c>
      <c r="U7368">
        <v>2.977722</v>
      </c>
      <c r="V7368">
        <v>4.6345989999999997E-2</v>
      </c>
      <c r="W7368">
        <v>4.7787419999999997E-2</v>
      </c>
      <c r="X7368">
        <v>0.99778180000000005</v>
      </c>
      <c r="Y7368">
        <v>0.19719610000000001</v>
      </c>
      <c r="Z7368">
        <v>-3.6706089999999997E-2</v>
      </c>
      <c r="AA7368">
        <v>0.97967669999999996</v>
      </c>
      <c r="AB7368">
        <v>42</v>
      </c>
      <c r="AC7368">
        <v>6.1068999999999596</v>
      </c>
      <c r="AD7368">
        <v>-1.1097973336159901</v>
      </c>
      <c r="AE7368">
        <v>29.168209999999998</v>
      </c>
      <c r="AF7368">
        <v>5.9568406045899298</v>
      </c>
      <c r="AG7368">
        <v>-1.1097973336159901</v>
      </c>
      <c r="AH7368">
        <v>29.157101483862501</v>
      </c>
      <c r="AI7368">
        <v>92.135705021446</v>
      </c>
      <c r="AJ7368">
        <v>78.453284139964197</v>
      </c>
      <c r="AK7368">
        <v>29.7800632479256</v>
      </c>
      <c r="AL7368">
        <v>87.260939490241597</v>
      </c>
      <c r="AM7368">
        <v>87.340578485394502</v>
      </c>
      <c r="AN7368">
        <v>1.0000000543552801</v>
      </c>
    </row>
    <row r="7369" spans="1:40" x14ac:dyDescent="0.25">
      <c r="A7369" t="str">
        <f>"20190312155020124"</f>
        <v>20190312155020124</v>
      </c>
      <c r="B7369" t="str">
        <f>"1552377020113175"</f>
        <v>1552377020113175</v>
      </c>
      <c r="C7369" t="s">
        <v>40</v>
      </c>
      <c r="D7369">
        <v>4.9512929999999997</v>
      </c>
      <c r="E7369">
        <v>0.55918950000000001</v>
      </c>
      <c r="F7369" t="s">
        <v>42</v>
      </c>
      <c r="G7369">
        <v>-181.8415</v>
      </c>
      <c r="H7369" s="1">
        <v>-2.6407859999999998E-6</v>
      </c>
      <c r="I7369">
        <v>111.0292</v>
      </c>
      <c r="J7369">
        <v>-188.05889999999999</v>
      </c>
      <c r="K7369">
        <v>1.1097950000000001</v>
      </c>
      <c r="L7369">
        <v>81.476200000000006</v>
      </c>
      <c r="M7369">
        <v>4.8581689999999999E-3</v>
      </c>
      <c r="N7369">
        <v>0</v>
      </c>
      <c r="O7369">
        <v>0.99987110000000001</v>
      </c>
      <c r="P7369">
        <v>5.1195850000000001E-2</v>
      </c>
      <c r="Q7369">
        <v>3.1241140000000001E-2</v>
      </c>
      <c r="R7369">
        <v>0.99819990000000003</v>
      </c>
      <c r="S7369">
        <v>0.61763000000000001</v>
      </c>
      <c r="T7369">
        <v>-0.1102085</v>
      </c>
      <c r="U7369">
        <v>2.9774479999999999</v>
      </c>
      <c r="V7369">
        <v>4.6346989999999998E-2</v>
      </c>
      <c r="W7369">
        <v>4.6513289999999999E-2</v>
      </c>
      <c r="X7369">
        <v>0.99784189999999995</v>
      </c>
      <c r="Y7369">
        <v>0.19821900000000001</v>
      </c>
      <c r="Z7369">
        <v>-3.6236299999999999E-2</v>
      </c>
      <c r="AA7369">
        <v>0.97948769999999996</v>
      </c>
      <c r="AB7369">
        <v>42</v>
      </c>
      <c r="AC7369">
        <v>6.2173999999999898</v>
      </c>
      <c r="AD7369">
        <v>-1.109797640786</v>
      </c>
      <c r="AE7369">
        <v>29.553000000000001</v>
      </c>
      <c r="AF7369">
        <v>6.0655451669019902</v>
      </c>
      <c r="AG7369">
        <v>-1.109797640786</v>
      </c>
      <c r="AH7369">
        <v>29.5429638463667</v>
      </c>
      <c r="AI7369">
        <v>92.107417845305406</v>
      </c>
      <c r="AJ7369">
        <v>78.397681955745298</v>
      </c>
      <c r="AK7369">
        <v>30.179615666919201</v>
      </c>
      <c r="AL7369">
        <v>87.334022883747707</v>
      </c>
      <c r="AM7369">
        <v>87.340681136274696</v>
      </c>
      <c r="AN7369">
        <v>0.99999999351214697</v>
      </c>
    </row>
    <row r="7370" spans="1:40" x14ac:dyDescent="0.25">
      <c r="A7370" t="str">
        <f>"20190312155020148"</f>
        <v>20190312155020148</v>
      </c>
      <c r="B7370" t="str">
        <f>"1552377020132694"</f>
        <v>1552377020132694</v>
      </c>
      <c r="C7370" t="s">
        <v>40</v>
      </c>
      <c r="D7370">
        <v>4.9407819999999996</v>
      </c>
      <c r="E7370">
        <v>0.55948279999999995</v>
      </c>
      <c r="F7370" t="s">
        <v>42</v>
      </c>
      <c r="G7370">
        <v>-182.0258</v>
      </c>
      <c r="H7370" s="1">
        <v>-2.4035910000000001E-6</v>
      </c>
      <c r="I7370">
        <v>110.47629999999999</v>
      </c>
      <c r="J7370">
        <v>-188.05690000000001</v>
      </c>
      <c r="K7370">
        <v>1.1097919999999999</v>
      </c>
      <c r="L7370">
        <v>81.892669999999995</v>
      </c>
      <c r="M7370">
        <v>4.8579979999999997E-3</v>
      </c>
      <c r="N7370">
        <v>0</v>
      </c>
      <c r="O7370">
        <v>0.99987119999999996</v>
      </c>
      <c r="P7370">
        <v>5.1262259999999997E-2</v>
      </c>
      <c r="Q7370">
        <v>3.0752069999999999E-2</v>
      </c>
      <c r="R7370">
        <v>0.99821159999999998</v>
      </c>
      <c r="S7370">
        <v>0.61936950000000002</v>
      </c>
      <c r="T7370">
        <v>-0.1139338</v>
      </c>
      <c r="U7370">
        <v>2.9772029999999998</v>
      </c>
      <c r="V7370">
        <v>4.6413500000000003E-2</v>
      </c>
      <c r="W7370">
        <v>4.6019810000000001E-2</v>
      </c>
      <c r="X7370">
        <v>0.99786169999999996</v>
      </c>
      <c r="Y7370">
        <v>0.19877449999999999</v>
      </c>
      <c r="Z7370">
        <v>-3.7458110000000003E-2</v>
      </c>
      <c r="AA7370">
        <v>0.97932920000000001</v>
      </c>
      <c r="AB7370">
        <v>42</v>
      </c>
      <c r="AC7370">
        <v>6.0311000000000003</v>
      </c>
      <c r="AD7370">
        <v>-1.1097944035909999</v>
      </c>
      <c r="AE7370">
        <v>28.583629999999999</v>
      </c>
      <c r="AF7370">
        <v>5.8836619144507001</v>
      </c>
      <c r="AG7370">
        <v>-1.1097944035909999</v>
      </c>
      <c r="AH7370">
        <v>28.571360289502199</v>
      </c>
      <c r="AI7370">
        <v>92.178744311167705</v>
      </c>
      <c r="AJ7370">
        <v>78.363820761561499</v>
      </c>
      <c r="AK7370">
        <v>29.191980918299201</v>
      </c>
      <c r="AL7370">
        <v>87.362327544058004</v>
      </c>
      <c r="AM7370">
        <v>87.336923152024696</v>
      </c>
      <c r="AN7370">
        <v>1.0000000041107799</v>
      </c>
    </row>
    <row r="7371" spans="1:40" x14ac:dyDescent="0.25">
      <c r="A7371" t="str">
        <f>"20190312155020168"</f>
        <v>20190312155020168</v>
      </c>
      <c r="B7371" t="str">
        <f>"1552377020162951"</f>
        <v>1552377020162951</v>
      </c>
      <c r="C7371" t="s">
        <v>40</v>
      </c>
      <c r="D7371">
        <v>4.9930629999999896</v>
      </c>
      <c r="E7371">
        <v>0.55976649999999994</v>
      </c>
      <c r="F7371" t="s">
        <v>42</v>
      </c>
      <c r="G7371">
        <v>-182.0591</v>
      </c>
      <c r="H7371" s="1">
        <v>-2.4341079999999999E-6</v>
      </c>
      <c r="I7371">
        <v>110.592</v>
      </c>
      <c r="J7371">
        <v>-188.0549</v>
      </c>
      <c r="K7371">
        <v>1.1097889999999999</v>
      </c>
      <c r="L7371">
        <v>82.29907</v>
      </c>
      <c r="M7371">
        <v>4.8578409999999999E-3</v>
      </c>
      <c r="N7371">
        <v>0</v>
      </c>
      <c r="O7371">
        <v>0.99987130000000002</v>
      </c>
      <c r="P7371">
        <v>5.1754979999999999E-2</v>
      </c>
      <c r="Q7371">
        <v>2.9646929999999998E-2</v>
      </c>
      <c r="R7371">
        <v>0.99821970000000004</v>
      </c>
      <c r="S7371">
        <v>0.62214659999999999</v>
      </c>
      <c r="T7371">
        <v>-0.115118</v>
      </c>
      <c r="U7371">
        <v>2.9769589999999999</v>
      </c>
      <c r="V7371">
        <v>4.6906280000000002E-2</v>
      </c>
      <c r="W7371">
        <v>4.4910409999999998E-2</v>
      </c>
      <c r="X7371">
        <v>0.99788920000000003</v>
      </c>
      <c r="Y7371">
        <v>0.19966310000000001</v>
      </c>
      <c r="Z7371">
        <v>-3.784291E-2</v>
      </c>
      <c r="AA7371">
        <v>0.97913360000000005</v>
      </c>
      <c r="AB7371">
        <v>42</v>
      </c>
      <c r="AC7371">
        <v>5.9958</v>
      </c>
      <c r="AD7371">
        <v>-1.109791434108</v>
      </c>
      <c r="AE7371">
        <v>28.292929999999998</v>
      </c>
      <c r="AF7371">
        <v>5.8496571333200498</v>
      </c>
      <c r="AG7371">
        <v>-1.109791434108</v>
      </c>
      <c r="AH7371">
        <v>28.280084388109501</v>
      </c>
      <c r="AI7371">
        <v>92.200757021001195</v>
      </c>
      <c r="AJ7371">
        <v>78.313340749982203</v>
      </c>
      <c r="AK7371">
        <v>28.900057069203399</v>
      </c>
      <c r="AL7371">
        <v>87.425957271430406</v>
      </c>
      <c r="AM7371">
        <v>87.3087642253317</v>
      </c>
      <c r="AN7371">
        <v>0.99999999975322296</v>
      </c>
    </row>
    <row r="7372" spans="1:40" x14ac:dyDescent="0.25">
      <c r="A7372" t="str">
        <f>"20190312155020192"</f>
        <v>20190312155020192</v>
      </c>
      <c r="B7372" t="str">
        <f>"1552377020183447"</f>
        <v>1552377020183447</v>
      </c>
      <c r="C7372" t="s">
        <v>40</v>
      </c>
      <c r="D7372">
        <v>4.9200039999999996</v>
      </c>
      <c r="E7372">
        <v>0.55993749999999998</v>
      </c>
      <c r="F7372" t="s">
        <v>42</v>
      </c>
      <c r="G7372">
        <v>-182.1986</v>
      </c>
      <c r="H7372" s="1">
        <v>-2.245005E-6</v>
      </c>
      <c r="I7372">
        <v>110.1454</v>
      </c>
      <c r="J7372">
        <v>-188.05289999999999</v>
      </c>
      <c r="K7372">
        <v>1.1097900000000001</v>
      </c>
      <c r="L7372">
        <v>82.72336</v>
      </c>
      <c r="M7372">
        <v>4.8576879999999998E-3</v>
      </c>
      <c r="N7372">
        <v>0</v>
      </c>
      <c r="O7372">
        <v>0.99987130000000002</v>
      </c>
      <c r="P7372">
        <v>5.1739140000000003E-2</v>
      </c>
      <c r="Q7372">
        <v>2.9318009999999999E-2</v>
      </c>
      <c r="R7372">
        <v>0.99823019999999996</v>
      </c>
      <c r="S7372">
        <v>0.62596130000000005</v>
      </c>
      <c r="T7372">
        <v>-0.11862209999999999</v>
      </c>
      <c r="U7372">
        <v>2.97641</v>
      </c>
      <c r="V7372">
        <v>4.6890540000000001E-2</v>
      </c>
      <c r="W7372">
        <v>4.4576480000000002E-2</v>
      </c>
      <c r="X7372">
        <v>0.99790489999999998</v>
      </c>
      <c r="Y7372">
        <v>0.2008923</v>
      </c>
      <c r="Z7372">
        <v>-3.8990049999999998E-2</v>
      </c>
      <c r="AA7372">
        <v>0.97883710000000002</v>
      </c>
      <c r="AB7372">
        <v>42</v>
      </c>
      <c r="AC7372">
        <v>5.8542999999999896</v>
      </c>
      <c r="AD7372">
        <v>-1.109792245005</v>
      </c>
      <c r="AE7372">
        <v>27.422039999999999</v>
      </c>
      <c r="AF7372">
        <v>5.7120597382153004</v>
      </c>
      <c r="AG7372">
        <v>-1.109792245005</v>
      </c>
      <c r="AH7372">
        <v>27.4072249257128</v>
      </c>
      <c r="AI7372">
        <v>92.270068184200596</v>
      </c>
      <c r="AJ7372">
        <v>78.227260775367597</v>
      </c>
      <c r="AK7372">
        <v>28.018123481215198</v>
      </c>
      <c r="AL7372">
        <v>87.445109200023197</v>
      </c>
      <c r="AM7372">
        <v>87.309708241493297</v>
      </c>
      <c r="AN7372">
        <v>0.99999998737734497</v>
      </c>
    </row>
    <row r="7373" spans="1:40" x14ac:dyDescent="0.25">
      <c r="A7373" t="str">
        <f>"20190312155020214"</f>
        <v>20190312155020214</v>
      </c>
      <c r="B7373" t="str">
        <f>"1552377020202968"</f>
        <v>1552377020202968</v>
      </c>
      <c r="C7373" t="s">
        <v>40</v>
      </c>
      <c r="D7373">
        <v>4.8995680000000004</v>
      </c>
      <c r="E7373">
        <v>0.56013290000000004</v>
      </c>
      <c r="F7373" t="s">
        <v>42</v>
      </c>
      <c r="G7373">
        <v>-182.2987</v>
      </c>
      <c r="H7373" s="1">
        <v>-2.181193E-6</v>
      </c>
      <c r="I7373">
        <v>110.0361</v>
      </c>
      <c r="J7373">
        <v>-188.05090000000001</v>
      </c>
      <c r="K7373">
        <v>1.1097889999999999</v>
      </c>
      <c r="L7373">
        <v>83.139529999999993</v>
      </c>
      <c r="M7373">
        <v>4.8575420000000003E-3</v>
      </c>
      <c r="N7373">
        <v>0</v>
      </c>
      <c r="O7373">
        <v>0.99987139999999997</v>
      </c>
      <c r="P7373">
        <v>5.2252590000000002E-2</v>
      </c>
      <c r="Q7373">
        <v>2.9280230000000001E-2</v>
      </c>
      <c r="R7373">
        <v>0.99820450000000005</v>
      </c>
      <c r="S7373">
        <v>0.6270599</v>
      </c>
      <c r="T7373">
        <v>-0.1209384</v>
      </c>
      <c r="U7373">
        <v>2.9763790000000001</v>
      </c>
      <c r="V7373">
        <v>4.7404259999999997E-2</v>
      </c>
      <c r="W7373">
        <v>4.4534079999999997E-2</v>
      </c>
      <c r="X7373">
        <v>0.99788250000000001</v>
      </c>
      <c r="Y7373">
        <v>0.2012343</v>
      </c>
      <c r="Z7373">
        <v>-3.9747699999999997E-2</v>
      </c>
      <c r="AA7373">
        <v>0.97873639999999995</v>
      </c>
      <c r="AB7373">
        <v>42</v>
      </c>
      <c r="AC7373">
        <v>5.75220000000001</v>
      </c>
      <c r="AD7373">
        <v>-1.1097911811929999</v>
      </c>
      <c r="AE7373">
        <v>26.896570000000001</v>
      </c>
      <c r="AF7373">
        <v>5.6123285252614998</v>
      </c>
      <c r="AG7373">
        <v>-1.1097911811929999</v>
      </c>
      <c r="AH7373">
        <v>26.880434904205298</v>
      </c>
      <c r="AI7373">
        <v>92.314332819438803</v>
      </c>
      <c r="AJ7373">
        <v>78.206713229013005</v>
      </c>
      <c r="AK7373">
        <v>27.4824971314568</v>
      </c>
      <c r="AL7373">
        <v>87.447540901372903</v>
      </c>
      <c r="AM7373">
        <v>87.280217192755401</v>
      </c>
      <c r="AN7373">
        <v>0.99999996597692098</v>
      </c>
    </row>
    <row r="7374" spans="1:40" x14ac:dyDescent="0.25">
      <c r="A7374" t="str">
        <f>"20190312155020238"</f>
        <v>20190312155020238</v>
      </c>
      <c r="B7374" t="str">
        <f>"1552377020223464"</f>
        <v>1552377020223464</v>
      </c>
      <c r="C7374" t="s">
        <v>40</v>
      </c>
      <c r="D7374">
        <v>4.9235920000000002</v>
      </c>
      <c r="E7374">
        <v>0.56039830000000002</v>
      </c>
      <c r="F7374" t="s">
        <v>42</v>
      </c>
      <c r="G7374">
        <v>-182.36619999999999</v>
      </c>
      <c r="H7374" s="1">
        <v>-2.148681E-6</v>
      </c>
      <c r="I7374">
        <v>109.99339999999999</v>
      </c>
      <c r="J7374">
        <v>-188.0488</v>
      </c>
      <c r="K7374">
        <v>1.1097900000000001</v>
      </c>
      <c r="L7374">
        <v>83.563230000000004</v>
      </c>
      <c r="M7374">
        <v>4.8574070000000002E-3</v>
      </c>
      <c r="N7374">
        <v>0</v>
      </c>
      <c r="O7374">
        <v>0.99987150000000002</v>
      </c>
      <c r="P7374">
        <v>5.2588009999999998E-2</v>
      </c>
      <c r="Q7374">
        <v>2.8691700000000001E-2</v>
      </c>
      <c r="R7374">
        <v>0.99820410000000004</v>
      </c>
      <c r="S7374">
        <v>0.62998959999999904</v>
      </c>
      <c r="T7374">
        <v>-0.1229899</v>
      </c>
      <c r="U7374">
        <v>2.976013</v>
      </c>
      <c r="V7374">
        <v>4.7739789999999997E-2</v>
      </c>
      <c r="W7374">
        <v>4.3941000000000001E-2</v>
      </c>
      <c r="X7374">
        <v>0.99789289999999997</v>
      </c>
      <c r="Y7374">
        <v>0.20217540000000001</v>
      </c>
      <c r="Z7374">
        <v>-4.0417660000000001E-2</v>
      </c>
      <c r="AA7374">
        <v>0.97851500000000002</v>
      </c>
      <c r="AB7374">
        <v>42</v>
      </c>
      <c r="AC7374">
        <v>5.6825999999999999</v>
      </c>
      <c r="AD7374">
        <v>-1.1097921486810001</v>
      </c>
      <c r="AE7374">
        <v>26.430169999999901</v>
      </c>
      <c r="AF7374">
        <v>5.5447916547376996</v>
      </c>
      <c r="AG7374">
        <v>-1.1097921486810001</v>
      </c>
      <c r="AH7374">
        <v>26.41295231634</v>
      </c>
      <c r="AI7374">
        <v>92.354713406702999</v>
      </c>
      <c r="AJ7374">
        <v>78.144227255047497</v>
      </c>
      <c r="AK7374">
        <v>27.011486504318299</v>
      </c>
      <c r="AL7374">
        <v>87.481555443298703</v>
      </c>
      <c r="AM7374">
        <v>87.261024133278895</v>
      </c>
      <c r="AN7374">
        <v>1.0000000694503199</v>
      </c>
    </row>
    <row r="7375" spans="1:40" x14ac:dyDescent="0.25">
      <c r="A7375" t="str">
        <f>"20190312155020258"</f>
        <v>20190312155020258</v>
      </c>
      <c r="B7375" t="str">
        <f>"1552377020252743"</f>
        <v>1552377020252743</v>
      </c>
      <c r="C7375" t="s">
        <v>40</v>
      </c>
      <c r="D7375">
        <v>4.8899350000000004</v>
      </c>
      <c r="E7375">
        <v>0.56063580000000002</v>
      </c>
      <c r="F7375" t="s">
        <v>42</v>
      </c>
      <c r="G7375">
        <v>-182.43360000000001</v>
      </c>
      <c r="H7375" s="1">
        <v>-2.120614E-6</v>
      </c>
      <c r="I7375">
        <v>109.9636</v>
      </c>
      <c r="J7375">
        <v>-188.04679999999999</v>
      </c>
      <c r="K7375">
        <v>1.109788</v>
      </c>
      <c r="L7375">
        <v>83.978880000000004</v>
      </c>
      <c r="M7375">
        <v>4.8572700000000003E-3</v>
      </c>
      <c r="N7375">
        <v>0</v>
      </c>
      <c r="O7375">
        <v>0.99987159999999997</v>
      </c>
      <c r="P7375">
        <v>5.3274229999999999E-2</v>
      </c>
      <c r="Q7375">
        <v>2.8189829999999999E-2</v>
      </c>
      <c r="R7375">
        <v>0.99818189999999996</v>
      </c>
      <c r="S7375">
        <v>0.63290409999999997</v>
      </c>
      <c r="T7375">
        <v>-0.12508730000000001</v>
      </c>
      <c r="U7375">
        <v>2.9756469999999999</v>
      </c>
      <c r="V7375">
        <v>4.8426240000000002E-2</v>
      </c>
      <c r="W7375">
        <v>4.3433659999999999E-2</v>
      </c>
      <c r="X7375">
        <v>0.99788189999999999</v>
      </c>
      <c r="Y7375">
        <v>0.20311109999999999</v>
      </c>
      <c r="Z7375">
        <v>-4.1102529999999998E-2</v>
      </c>
      <c r="AA7375">
        <v>0.97829259999999996</v>
      </c>
      <c r="AB7375">
        <v>42</v>
      </c>
      <c r="AC7375">
        <v>5.6131999999999698</v>
      </c>
      <c r="AD7375">
        <v>-1.109790120614</v>
      </c>
      <c r="AE7375">
        <v>25.984719999999999</v>
      </c>
      <c r="AF7375">
        <v>5.4773585133125797</v>
      </c>
      <c r="AG7375">
        <v>-1.109790120614</v>
      </c>
      <c r="AH7375">
        <v>25.9664280874014</v>
      </c>
      <c r="AI7375">
        <v>92.394666118682096</v>
      </c>
      <c r="AJ7375">
        <v>78.088647066003105</v>
      </c>
      <c r="AK7375">
        <v>26.561033075039798</v>
      </c>
      <c r="AL7375">
        <v>87.510651326858294</v>
      </c>
      <c r="AM7375">
        <v>87.221671117004007</v>
      </c>
      <c r="AN7375">
        <v>0.99999993494456896</v>
      </c>
    </row>
    <row r="7376" spans="1:40" x14ac:dyDescent="0.25">
      <c r="A7376" t="str">
        <f>"20190312155020282"</f>
        <v>20190312155020282</v>
      </c>
      <c r="B7376" t="str">
        <f>"1552377020273239"</f>
        <v>1552377020273239</v>
      </c>
      <c r="C7376" t="s">
        <v>40</v>
      </c>
      <c r="D7376">
        <v>4.8739229999999996</v>
      </c>
      <c r="E7376">
        <v>0.5608187</v>
      </c>
      <c r="F7376" t="s">
        <v>42</v>
      </c>
      <c r="G7376">
        <v>-182.46080000000001</v>
      </c>
      <c r="H7376" s="1">
        <v>-2.150836E-6</v>
      </c>
      <c r="I7376">
        <v>110.0737</v>
      </c>
      <c r="J7376">
        <v>-188.04470000000001</v>
      </c>
      <c r="K7376">
        <v>1.1097889999999999</v>
      </c>
      <c r="L7376">
        <v>84.402280000000005</v>
      </c>
      <c r="M7376">
        <v>4.8571079999999997E-3</v>
      </c>
      <c r="N7376">
        <v>0</v>
      </c>
      <c r="O7376">
        <v>0.99987159999999997</v>
      </c>
      <c r="P7376">
        <v>5.4151339999999999E-2</v>
      </c>
      <c r="Q7376">
        <v>2.808867E-2</v>
      </c>
      <c r="R7376">
        <v>0.99813759999999996</v>
      </c>
      <c r="S7376">
        <v>0.63685609999999904</v>
      </c>
      <c r="T7376">
        <v>-0.126526</v>
      </c>
      <c r="U7376">
        <v>2.9750369999999999</v>
      </c>
      <c r="V7376">
        <v>4.9303699999999999E-2</v>
      </c>
      <c r="W7376">
        <v>4.3327419999999998E-2</v>
      </c>
      <c r="X7376">
        <v>0.99784360000000005</v>
      </c>
      <c r="Y7376">
        <v>0.20439080000000001</v>
      </c>
      <c r="Z7376">
        <v>-4.1571499999999997E-2</v>
      </c>
      <c r="AA7376">
        <v>0.97800620000000005</v>
      </c>
      <c r="AB7376">
        <v>42</v>
      </c>
      <c r="AC7376">
        <v>5.5838999999999999</v>
      </c>
      <c r="AD7376">
        <v>-1.1097911508360001</v>
      </c>
      <c r="AE7376">
        <v>25.671420000000001</v>
      </c>
      <c r="AF7376">
        <v>5.4494064778021496</v>
      </c>
      <c r="AG7376">
        <v>-1.1097911508360001</v>
      </c>
      <c r="AH7376">
        <v>25.6524661198251</v>
      </c>
      <c r="AI7376">
        <v>92.423210292650197</v>
      </c>
      <c r="AJ7376">
        <v>78.006824687867805</v>
      </c>
      <c r="AK7376">
        <v>26.2483653850589</v>
      </c>
      <c r="AL7376">
        <v>87.516744291192794</v>
      </c>
      <c r="AM7376">
        <v>87.171301782107705</v>
      </c>
      <c r="AN7376">
        <v>0.99999998510925303</v>
      </c>
    </row>
    <row r="7377" spans="1:40" x14ac:dyDescent="0.25">
      <c r="A7377" t="str">
        <f>"20190312155020303"</f>
        <v>20190312155020303</v>
      </c>
      <c r="B7377" t="str">
        <f>"1552377020292759"</f>
        <v>1552377020292759</v>
      </c>
      <c r="C7377" t="s">
        <v>40</v>
      </c>
      <c r="D7377">
        <v>4.8571080000000002</v>
      </c>
      <c r="E7377">
        <v>0.56093789999999999</v>
      </c>
      <c r="F7377" t="s">
        <v>42</v>
      </c>
      <c r="G7377">
        <v>-182.45570000000001</v>
      </c>
      <c r="H7377" s="1">
        <v>-2.2436489999999999E-6</v>
      </c>
      <c r="I7377">
        <v>110.3424</v>
      </c>
      <c r="J7377">
        <v>-188.0428</v>
      </c>
      <c r="K7377">
        <v>1.109793</v>
      </c>
      <c r="L7377">
        <v>84.798190000000005</v>
      </c>
      <c r="M7377">
        <v>4.8569590000000001E-3</v>
      </c>
      <c r="N7377">
        <v>0</v>
      </c>
      <c r="O7377">
        <v>0.99987170000000003</v>
      </c>
      <c r="P7377">
        <v>5.4735829999999999E-2</v>
      </c>
      <c r="Q7377">
        <v>2.8151470000000001E-2</v>
      </c>
      <c r="R7377">
        <v>0.99810390000000004</v>
      </c>
      <c r="S7377">
        <v>0.64086909999999997</v>
      </c>
      <c r="T7377">
        <v>-0.12725419999999901</v>
      </c>
      <c r="U7377">
        <v>2.9744259999999998</v>
      </c>
      <c r="V7377">
        <v>4.9888500000000002E-2</v>
      </c>
      <c r="W7377">
        <v>4.3384590000000001E-2</v>
      </c>
      <c r="X7377">
        <v>0.99781209999999998</v>
      </c>
      <c r="Y7377">
        <v>0.20569109999999999</v>
      </c>
      <c r="Z7377">
        <v>-4.1807120000000003E-2</v>
      </c>
      <c r="AA7377">
        <v>0.97772349999999997</v>
      </c>
      <c r="AB7377">
        <v>42</v>
      </c>
      <c r="AC7377">
        <v>5.5870999999999897</v>
      </c>
      <c r="AD7377">
        <v>-1.109795243649</v>
      </c>
      <c r="AE7377">
        <v>25.54421</v>
      </c>
      <c r="AF7377">
        <v>5.4531292759731302</v>
      </c>
      <c r="AG7377">
        <v>-1.109795243649</v>
      </c>
      <c r="AH7377">
        <v>25.5250677004219</v>
      </c>
      <c r="AI7377">
        <v>92.434701466148994</v>
      </c>
      <c r="AJ7377">
        <v>77.940719207602697</v>
      </c>
      <c r="AK7377">
        <v>26.124650150660798</v>
      </c>
      <c r="AL7377">
        <v>87.513465735044804</v>
      </c>
      <c r="AM7377">
        <v>87.137715344546194</v>
      </c>
      <c r="AN7377">
        <v>1.00000003599406</v>
      </c>
    </row>
    <row r="7378" spans="1:40" x14ac:dyDescent="0.25">
      <c r="A7378" t="str">
        <f>"20190312155020326"</f>
        <v>20190312155020326</v>
      </c>
      <c r="B7378" t="str">
        <f>"1552377020313255"</f>
        <v>1552377020313255</v>
      </c>
      <c r="C7378" t="s">
        <v>40</v>
      </c>
      <c r="D7378">
        <v>4.886298</v>
      </c>
      <c r="E7378">
        <v>0.56103369999999997</v>
      </c>
      <c r="F7378" t="s">
        <v>42</v>
      </c>
      <c r="G7378">
        <v>-182.435</v>
      </c>
      <c r="H7378" s="1">
        <v>-2.3775589999999998E-6</v>
      </c>
      <c r="I7378">
        <v>110.71980000000001</v>
      </c>
      <c r="J7378">
        <v>-188.04069999999999</v>
      </c>
      <c r="K7378">
        <v>1.1097919999999999</v>
      </c>
      <c r="L7378">
        <v>85.233249999999998</v>
      </c>
      <c r="M7378">
        <v>4.8568040000000002E-3</v>
      </c>
      <c r="N7378">
        <v>0</v>
      </c>
      <c r="O7378">
        <v>0.99987179999999998</v>
      </c>
      <c r="P7378">
        <v>5.4639170000000001E-2</v>
      </c>
      <c r="Q7378">
        <v>2.923628E-2</v>
      </c>
      <c r="R7378">
        <v>0.99807800000000002</v>
      </c>
      <c r="S7378">
        <v>0.64338680000000004</v>
      </c>
      <c r="T7378">
        <v>-0.12732760000000001</v>
      </c>
      <c r="U7378">
        <v>2.9739990000000001</v>
      </c>
      <c r="V7378">
        <v>4.979215E-2</v>
      </c>
      <c r="W7378">
        <v>4.446406E-2</v>
      </c>
      <c r="X7378">
        <v>0.99776940000000003</v>
      </c>
      <c r="Y7378">
        <v>0.20651079999999999</v>
      </c>
      <c r="Z7378">
        <v>-4.1829690000000003E-2</v>
      </c>
      <c r="AA7378">
        <v>0.97754980000000002</v>
      </c>
      <c r="AB7378">
        <v>42</v>
      </c>
      <c r="AC7378">
        <v>5.6056999999999801</v>
      </c>
      <c r="AD7378">
        <v>-1.109794377559</v>
      </c>
      <c r="AE7378">
        <v>25.486550000000001</v>
      </c>
      <c r="AF7378">
        <v>5.4719396623196896</v>
      </c>
      <c r="AG7378">
        <v>-1.109794377559</v>
      </c>
      <c r="AH7378">
        <v>25.467417600186099</v>
      </c>
      <c r="AI7378">
        <v>92.439594166295294</v>
      </c>
      <c r="AJ7378">
        <v>77.873764865811907</v>
      </c>
      <c r="AK7378">
        <v>26.0722673822359</v>
      </c>
      <c r="AL7378">
        <v>87.451556926909205</v>
      </c>
      <c r="AM7378">
        <v>87.143112074331697</v>
      </c>
      <c r="AN7378">
        <v>1.0000000432048299</v>
      </c>
    </row>
    <row r="7379" spans="1:40" x14ac:dyDescent="0.25">
      <c r="A7379" t="str">
        <f>"20190312155020353"</f>
        <v>20190312155020353</v>
      </c>
      <c r="B7379" t="str">
        <f>"1552377020332776"</f>
        <v>1552377020332776</v>
      </c>
      <c r="C7379" t="s">
        <v>40</v>
      </c>
      <c r="D7379">
        <v>5.0110640000000002</v>
      </c>
      <c r="E7379">
        <v>0.56110450000000001</v>
      </c>
      <c r="F7379" t="s">
        <v>42</v>
      </c>
      <c r="G7379">
        <v>-182.28489999999999</v>
      </c>
      <c r="H7379" s="1">
        <v>-2.7918929999999999E-6</v>
      </c>
      <c r="I7379">
        <v>111.82</v>
      </c>
      <c r="J7379">
        <v>-188.0385</v>
      </c>
      <c r="K7379">
        <v>1.1097969999999999</v>
      </c>
      <c r="L7379">
        <v>85.695130000000006</v>
      </c>
      <c r="M7379">
        <v>4.8566470000000004E-3</v>
      </c>
      <c r="N7379">
        <v>0</v>
      </c>
      <c r="O7379">
        <v>0.99987190000000004</v>
      </c>
      <c r="P7379">
        <v>5.4446649999999999E-2</v>
      </c>
      <c r="Q7379">
        <v>3.0041499999999999E-2</v>
      </c>
      <c r="R7379">
        <v>0.99806459999999997</v>
      </c>
      <c r="S7379">
        <v>0.64387510000000003</v>
      </c>
      <c r="T7379">
        <v>-0.12414840000000001</v>
      </c>
      <c r="U7379">
        <v>2.9741520000000001</v>
      </c>
      <c r="V7379">
        <v>4.9599890000000001E-2</v>
      </c>
      <c r="W7379">
        <v>4.5263860000000003E-2</v>
      </c>
      <c r="X7379">
        <v>0.99774300000000005</v>
      </c>
      <c r="Y7379">
        <v>0.20666300000000001</v>
      </c>
      <c r="Z7379">
        <v>-4.0783649999999998E-2</v>
      </c>
      <c r="AA7379">
        <v>0.97756180000000004</v>
      </c>
      <c r="AB7379">
        <v>42</v>
      </c>
      <c r="AC7379">
        <v>5.7535999999999996</v>
      </c>
      <c r="AD7379">
        <v>-1.1097997918929901</v>
      </c>
      <c r="AE7379">
        <v>26.124869999999898</v>
      </c>
      <c r="AF7379">
        <v>5.6169706169471798</v>
      </c>
      <c r="AG7379">
        <v>-1.1097997918929901</v>
      </c>
      <c r="AH7379">
        <v>26.1075740031226</v>
      </c>
      <c r="AI7379">
        <v>92.379716595688507</v>
      </c>
      <c r="AJ7379">
        <v>77.858060506376503</v>
      </c>
      <c r="AK7379">
        <v>26.728027140405501</v>
      </c>
      <c r="AL7379">
        <v>87.405685541527404</v>
      </c>
      <c r="AM7379">
        <v>87.154049889658296</v>
      </c>
      <c r="AN7379">
        <v>1.00000003007955</v>
      </c>
    </row>
    <row r="7380" spans="1:40" x14ac:dyDescent="0.25">
      <c r="A7380" t="str">
        <f>"20190312155020381"</f>
        <v>20190312155020381</v>
      </c>
      <c r="B7380" t="str">
        <f>"1552377020372792"</f>
        <v>1552377020372792</v>
      </c>
      <c r="C7380" t="s">
        <v>40</v>
      </c>
      <c r="D7380">
        <v>4.8507769999999999</v>
      </c>
      <c r="E7380">
        <v>0.56096650000000003</v>
      </c>
      <c r="F7380" t="s">
        <v>42</v>
      </c>
      <c r="G7380">
        <v>-182.14879999999999</v>
      </c>
      <c r="H7380" s="1">
        <v>-3.1965510000000002E-6</v>
      </c>
      <c r="I7380">
        <v>112.90260000000001</v>
      </c>
      <c r="J7380">
        <v>-188.03579999999999</v>
      </c>
      <c r="K7380">
        <v>1.109809</v>
      </c>
      <c r="L7380">
        <v>86.252560000000003</v>
      </c>
      <c r="M7380">
        <v>4.8566429999999999E-3</v>
      </c>
      <c r="N7380">
        <v>0</v>
      </c>
      <c r="O7380">
        <v>0.99987199999999998</v>
      </c>
      <c r="P7380">
        <v>5.3750399999999997E-2</v>
      </c>
      <c r="Q7380">
        <v>3.0466130000000001E-2</v>
      </c>
      <c r="R7380">
        <v>0.99808960000000002</v>
      </c>
      <c r="S7380">
        <v>0.64385990000000004</v>
      </c>
      <c r="T7380">
        <v>-0.12132370000000001</v>
      </c>
      <c r="U7380">
        <v>2.974335</v>
      </c>
      <c r="V7380">
        <v>4.8903530000000001E-2</v>
      </c>
      <c r="W7380">
        <v>4.5682569999999999E-2</v>
      </c>
      <c r="X7380">
        <v>0.99775829999999999</v>
      </c>
      <c r="Y7380">
        <v>0.2066537</v>
      </c>
      <c r="Z7380">
        <v>-3.9854929999999997E-2</v>
      </c>
      <c r="AA7380">
        <v>0.97760210000000003</v>
      </c>
      <c r="AB7380">
        <v>41</v>
      </c>
      <c r="AC7380">
        <v>5.8869999999999996</v>
      </c>
      <c r="AD7380">
        <v>-1.1098121965509999</v>
      </c>
      <c r="AE7380">
        <v>26.650040000000001</v>
      </c>
      <c r="AF7380">
        <v>5.7479813281247303</v>
      </c>
      <c r="AG7380">
        <v>-1.1098121965509999</v>
      </c>
      <c r="AH7380">
        <v>26.634279450719401</v>
      </c>
      <c r="AI7380">
        <v>92.332416437043705</v>
      </c>
      <c r="AJ7380">
        <v>77.821691099185898</v>
      </c>
      <c r="AK7380">
        <v>27.270053434474601</v>
      </c>
      <c r="AL7380">
        <v>87.381670406890905</v>
      </c>
      <c r="AM7380">
        <v>87.193984387632597</v>
      </c>
      <c r="AN7380">
        <v>1.0000000388335699</v>
      </c>
    </row>
    <row r="7381" spans="1:40" x14ac:dyDescent="0.25">
      <c r="A7381" t="str">
        <f>"20190312155020403"</f>
        <v>20190312155020403</v>
      </c>
      <c r="B7381" t="str">
        <f>"1552377020393288"</f>
        <v>1552377020393288</v>
      </c>
      <c r="C7381" t="s">
        <v>40</v>
      </c>
      <c r="D7381">
        <v>4.986084</v>
      </c>
      <c r="E7381">
        <v>0.56100119999999998</v>
      </c>
      <c r="F7381" t="s">
        <v>42</v>
      </c>
      <c r="G7381">
        <v>-182.51689999999999</v>
      </c>
      <c r="H7381" s="1">
        <v>-2.7522859999999999E-6</v>
      </c>
      <c r="I7381">
        <v>111.8849</v>
      </c>
      <c r="J7381">
        <v>-188.03380000000001</v>
      </c>
      <c r="K7381">
        <v>1.109809</v>
      </c>
      <c r="L7381">
        <v>86.654240000000001</v>
      </c>
      <c r="M7381">
        <v>4.856389E-3</v>
      </c>
      <c r="N7381">
        <v>0</v>
      </c>
      <c r="O7381">
        <v>0.99987199999999998</v>
      </c>
      <c r="P7381">
        <v>5.3325270000000001E-2</v>
      </c>
      <c r="Q7381">
        <v>3.0743039999999999E-2</v>
      </c>
      <c r="R7381">
        <v>0.99810390000000004</v>
      </c>
      <c r="S7381">
        <v>0.64057919999999902</v>
      </c>
      <c r="T7381">
        <v>-0.1288164</v>
      </c>
      <c r="U7381">
        <v>2.9751590000000001</v>
      </c>
      <c r="V7381">
        <v>4.8478609999999998E-2</v>
      </c>
      <c r="W7381">
        <v>4.5955030000000001E-2</v>
      </c>
      <c r="X7381">
        <v>0.9977665</v>
      </c>
      <c r="Y7381">
        <v>0.2055466</v>
      </c>
      <c r="Z7381">
        <v>-4.2310300000000002E-2</v>
      </c>
      <c r="AA7381">
        <v>0.9777323</v>
      </c>
      <c r="AB7381">
        <v>41</v>
      </c>
      <c r="AC7381">
        <v>5.5169000000000201</v>
      </c>
      <c r="AD7381">
        <v>-1.109811752286</v>
      </c>
      <c r="AE7381">
        <v>25.23066</v>
      </c>
      <c r="AF7381">
        <v>5.3843483843207203</v>
      </c>
      <c r="AG7381">
        <v>-1.109811752286</v>
      </c>
      <c r="AH7381">
        <v>25.210605390470899</v>
      </c>
      <c r="AI7381">
        <v>92.465101812303104</v>
      </c>
      <c r="AJ7381">
        <v>77.944196247798502</v>
      </c>
      <c r="AK7381">
        <v>25.803052412520699</v>
      </c>
      <c r="AL7381">
        <v>87.366043122917901</v>
      </c>
      <c r="AM7381">
        <v>87.218350061949906</v>
      </c>
      <c r="AN7381">
        <v>1.0000000144660399</v>
      </c>
    </row>
    <row r="7382" spans="1:40" x14ac:dyDescent="0.25">
      <c r="A7382" t="str">
        <f>"20190312155020425"</f>
        <v>20190312155020425</v>
      </c>
      <c r="B7382" t="str">
        <f>"1552377020412807"</f>
        <v>1552377020412807</v>
      </c>
      <c r="C7382" t="s">
        <v>40</v>
      </c>
      <c r="D7382">
        <v>4.9511729999999998</v>
      </c>
      <c r="E7382">
        <v>0.56097940000000002</v>
      </c>
      <c r="F7382" t="s">
        <v>42</v>
      </c>
      <c r="G7382">
        <v>-182.59780000000001</v>
      </c>
      <c r="H7382" s="1">
        <v>-2.75077E-6</v>
      </c>
      <c r="I7382">
        <v>111.9438</v>
      </c>
      <c r="J7382">
        <v>-188.0318</v>
      </c>
      <c r="K7382">
        <v>1.1098059999999901</v>
      </c>
      <c r="L7382">
        <v>87.059969999999893</v>
      </c>
      <c r="M7382">
        <v>4.8564569999999998E-3</v>
      </c>
      <c r="N7382">
        <v>0</v>
      </c>
      <c r="O7382">
        <v>0.99987210000000004</v>
      </c>
      <c r="P7382">
        <v>5.3132489999999997E-2</v>
      </c>
      <c r="Q7382">
        <v>3.0577779999999999E-2</v>
      </c>
      <c r="R7382">
        <v>0.99811919999999998</v>
      </c>
      <c r="S7382">
        <v>0.63958740000000003</v>
      </c>
      <c r="T7382">
        <v>-0.13057859999999999</v>
      </c>
      <c r="U7382">
        <v>2.9755250000000002</v>
      </c>
      <c r="V7382">
        <v>4.8285689999999999E-2</v>
      </c>
      <c r="W7382">
        <v>4.5784970000000001E-2</v>
      </c>
      <c r="X7382">
        <v>0.99778370000000005</v>
      </c>
      <c r="Y7382">
        <v>0.2052051</v>
      </c>
      <c r="Z7382">
        <v>-4.2885930000000003E-2</v>
      </c>
      <c r="AA7382">
        <v>0.97777890000000001</v>
      </c>
      <c r="AB7382">
        <v>41</v>
      </c>
      <c r="AC7382">
        <v>5.4339999999999904</v>
      </c>
      <c r="AD7382">
        <v>-1.1098087507700001</v>
      </c>
      <c r="AE7382">
        <v>24.88383</v>
      </c>
      <c r="AF7382">
        <v>5.3030064118491698</v>
      </c>
      <c r="AG7382">
        <v>-1.1098087507700001</v>
      </c>
      <c r="AH7382">
        <v>24.862725537304399</v>
      </c>
      <c r="AI7382">
        <v>92.499687752538804</v>
      </c>
      <c r="AJ7382">
        <v>77.959720967580594</v>
      </c>
      <c r="AK7382">
        <v>25.4461917309984</v>
      </c>
      <c r="AL7382">
        <v>87.375797181343202</v>
      </c>
      <c r="AM7382">
        <v>87.229450005236203</v>
      </c>
      <c r="AN7382">
        <v>1.0000000416611801</v>
      </c>
    </row>
    <row r="7383" spans="1:40" x14ac:dyDescent="0.25">
      <c r="A7383" t="str">
        <f>"20190312155020448"</f>
        <v>20190312155020448</v>
      </c>
      <c r="B7383" t="str">
        <f>"1552377020443063"</f>
        <v>1552377020443063</v>
      </c>
      <c r="C7383" t="s">
        <v>40</v>
      </c>
      <c r="D7383">
        <v>4.9437480000000003</v>
      </c>
      <c r="E7383">
        <v>0.49282629999999999</v>
      </c>
      <c r="F7383" t="s">
        <v>42</v>
      </c>
      <c r="G7383">
        <v>-182.6387</v>
      </c>
      <c r="H7383" s="1">
        <v>-2.822013E-6</v>
      </c>
      <c r="I7383">
        <v>112.18510000000001</v>
      </c>
      <c r="J7383">
        <v>-188.0299</v>
      </c>
      <c r="K7383">
        <v>1.109807</v>
      </c>
      <c r="L7383">
        <v>87.464419999999905</v>
      </c>
      <c r="M7383">
        <v>4.8563209999999898E-3</v>
      </c>
      <c r="N7383">
        <v>0</v>
      </c>
      <c r="O7383">
        <v>0.99987219999999999</v>
      </c>
      <c r="P7383">
        <v>5.2589730000000001E-2</v>
      </c>
      <c r="Q7383">
        <v>3.1068109999999999E-2</v>
      </c>
      <c r="R7383">
        <v>0.99813280000000004</v>
      </c>
      <c r="S7383">
        <v>0.63873290000000005</v>
      </c>
      <c r="T7383">
        <v>-0.13143959999999999</v>
      </c>
      <c r="U7383">
        <v>2.9756770000000001</v>
      </c>
      <c r="V7383">
        <v>4.7743029999999999E-2</v>
      </c>
      <c r="W7383">
        <v>4.6270840000000001E-2</v>
      </c>
      <c r="X7383">
        <v>0.99778739999999999</v>
      </c>
      <c r="Y7383">
        <v>0.204924</v>
      </c>
      <c r="Z7383">
        <v>-4.3168570000000003E-2</v>
      </c>
      <c r="AA7383">
        <v>0.97782550000000001</v>
      </c>
      <c r="AB7383">
        <v>41</v>
      </c>
      <c r="AC7383">
        <v>5.3911999999999898</v>
      </c>
      <c r="AD7383">
        <v>-1.1098098220129999</v>
      </c>
      <c r="AE7383">
        <v>24.720680000000002</v>
      </c>
      <c r="AF7383">
        <v>5.2609490479649699</v>
      </c>
      <c r="AG7383">
        <v>-1.1098098220129999</v>
      </c>
      <c r="AH7383">
        <v>24.699052764320601</v>
      </c>
      <c r="AI7383">
        <v>92.516381864470006</v>
      </c>
      <c r="AJ7383">
        <v>77.975580580729797</v>
      </c>
      <c r="AK7383">
        <v>25.277509176756599</v>
      </c>
      <c r="AL7383">
        <v>87.3479293460001</v>
      </c>
      <c r="AM7383">
        <v>87.2605493466084</v>
      </c>
      <c r="AN7383">
        <v>1.0000000415733199</v>
      </c>
    </row>
    <row r="7384" spans="1:40" x14ac:dyDescent="0.25">
      <c r="A7384" t="str">
        <f>"20190312155020470"</f>
        <v>20190312155020470</v>
      </c>
      <c r="B7384" t="str">
        <f>"1552377020463560"</f>
        <v>1552377020463560</v>
      </c>
      <c r="C7384" t="s">
        <v>40</v>
      </c>
      <c r="D7384">
        <v>4.9415500000000003</v>
      </c>
      <c r="E7384">
        <v>0.4866682</v>
      </c>
      <c r="F7384" t="s">
        <v>63</v>
      </c>
      <c r="G7384">
        <v>-186.70679999999999</v>
      </c>
      <c r="H7384" s="1">
        <v>-4.7746879999999999E-6</v>
      </c>
      <c r="I7384">
        <v>128.9871</v>
      </c>
      <c r="J7384">
        <v>-188.02780000000001</v>
      </c>
      <c r="K7384">
        <v>1.109812</v>
      </c>
      <c r="L7384">
        <v>87.890659999999997</v>
      </c>
      <c r="M7384">
        <v>4.856155E-3</v>
      </c>
      <c r="N7384">
        <v>0</v>
      </c>
      <c r="O7384">
        <v>0.99987230000000005</v>
      </c>
      <c r="P7384">
        <v>5.2458610000000003E-2</v>
      </c>
      <c r="Q7384">
        <v>3.1384490000000001E-2</v>
      </c>
      <c r="R7384">
        <v>0.99812979999999996</v>
      </c>
      <c r="S7384">
        <v>9.5687869999999994E-2</v>
      </c>
      <c r="T7384">
        <v>-8.0265050000000004E-2</v>
      </c>
      <c r="U7384">
        <v>3.0030519999999998</v>
      </c>
      <c r="V7384">
        <v>4.7612099999999997E-2</v>
      </c>
      <c r="W7384">
        <v>4.6582829999999999E-2</v>
      </c>
      <c r="X7384">
        <v>0.99777910000000003</v>
      </c>
      <c r="Y7384">
        <v>2.6981390000000001E-2</v>
      </c>
      <c r="Z7384">
        <v>-2.670618E-2</v>
      </c>
      <c r="AA7384">
        <v>0.99927909999999998</v>
      </c>
      <c r="AB7384">
        <v>41</v>
      </c>
      <c r="AC7384">
        <v>1.3210000000000199</v>
      </c>
      <c r="AD7384">
        <v>-1.1098167746879899</v>
      </c>
      <c r="AE7384">
        <v>41.096440000000001</v>
      </c>
      <c r="AF7384">
        <v>1.12057423460975</v>
      </c>
      <c r="AG7384">
        <v>-1.1098167746879899</v>
      </c>
      <c r="AH7384">
        <v>41.072448647050301</v>
      </c>
      <c r="AI7384">
        <v>91.547234575976105</v>
      </c>
      <c r="AJ7384">
        <v>88.437194438897706</v>
      </c>
      <c r="AK7384">
        <v>41.102717887668099</v>
      </c>
      <c r="AL7384">
        <v>87.330034235064304</v>
      </c>
      <c r="AM7384">
        <v>87.268027899773998</v>
      </c>
      <c r="AN7384">
        <v>1.0000000022570099</v>
      </c>
    </row>
    <row r="7385" spans="1:40" x14ac:dyDescent="0.25">
      <c r="A7385" t="str">
        <f>"20190312155020493"</f>
        <v>20190312155020493</v>
      </c>
      <c r="B7385" t="str">
        <f>"1552377020483080"</f>
        <v>1552377020483080</v>
      </c>
      <c r="C7385" t="s">
        <v>40</v>
      </c>
      <c r="D7385">
        <v>4.8949619999999996</v>
      </c>
      <c r="E7385">
        <v>0.48387039999999998</v>
      </c>
      <c r="F7385" t="s">
        <v>63</v>
      </c>
      <c r="G7385">
        <v>-187.3674</v>
      </c>
      <c r="H7385" s="1">
        <v>-5.3330959999999997E-6</v>
      </c>
      <c r="I7385">
        <v>130.6516</v>
      </c>
      <c r="J7385">
        <v>-188.0258</v>
      </c>
      <c r="K7385">
        <v>1.10982</v>
      </c>
      <c r="L7385">
        <v>88.310059999999993</v>
      </c>
      <c r="M7385">
        <v>4.8559830000000003E-3</v>
      </c>
      <c r="N7385">
        <v>0</v>
      </c>
      <c r="O7385">
        <v>0.99987230000000005</v>
      </c>
      <c r="P7385">
        <v>5.2484709999999997E-2</v>
      </c>
      <c r="Q7385">
        <v>3.1611399999999998E-2</v>
      </c>
      <c r="R7385">
        <v>0.99812129999999999</v>
      </c>
      <c r="S7385">
        <v>4.6417239999999999E-2</v>
      </c>
      <c r="T7385">
        <v>-7.8007699999999999E-2</v>
      </c>
      <c r="U7385">
        <v>3.0056150000000001</v>
      </c>
      <c r="V7385">
        <v>4.7638409999999999E-2</v>
      </c>
      <c r="W7385">
        <v>4.6804310000000002E-2</v>
      </c>
      <c r="X7385">
        <v>0.99776739999999997</v>
      </c>
      <c r="Y7385">
        <v>1.0580320000000001E-2</v>
      </c>
      <c r="Z7385">
        <v>-2.594252E-2</v>
      </c>
      <c r="AA7385">
        <v>0.99960740000000003</v>
      </c>
      <c r="AB7385">
        <v>41</v>
      </c>
      <c r="AC7385">
        <v>0.65839999999999999</v>
      </c>
      <c r="AD7385">
        <v>-1.109825333096</v>
      </c>
      <c r="AE7385">
        <v>42.341540000000002</v>
      </c>
      <c r="AF7385">
        <v>0.452447832073615</v>
      </c>
      <c r="AG7385">
        <v>-1.109825333096</v>
      </c>
      <c r="AH7385">
        <v>42.315173428525497</v>
      </c>
      <c r="AI7385">
        <v>91.502300376916693</v>
      </c>
      <c r="AJ7385">
        <v>89.387397916839603</v>
      </c>
      <c r="AK7385">
        <v>42.332142912885097</v>
      </c>
      <c r="AL7385">
        <v>87.317330296647697</v>
      </c>
      <c r="AM7385">
        <v>87.266488522014896</v>
      </c>
      <c r="AN7385">
        <v>0.99999992302232898</v>
      </c>
    </row>
    <row r="7386" spans="1:40" x14ac:dyDescent="0.25">
      <c r="A7386" t="str">
        <f>"20190312155020517"</f>
        <v>20190312155020517</v>
      </c>
      <c r="B7386" t="str">
        <f>"1552377020503575"</f>
        <v>1552377020503575</v>
      </c>
      <c r="C7386" t="s">
        <v>40</v>
      </c>
      <c r="D7386">
        <v>4.8823410000000003</v>
      </c>
      <c r="E7386">
        <v>0.48211409999999999</v>
      </c>
      <c r="F7386" t="s">
        <v>63</v>
      </c>
      <c r="G7386">
        <v>-187.7106</v>
      </c>
      <c r="H7386" s="1">
        <v>-4.2969170000000001E-6</v>
      </c>
      <c r="I7386">
        <v>127.9933</v>
      </c>
      <c r="J7386">
        <v>-188.02369999999999</v>
      </c>
      <c r="K7386">
        <v>1.1098209999999999</v>
      </c>
      <c r="L7386">
        <v>88.743189999999998</v>
      </c>
      <c r="M7386">
        <v>4.8557870000000003E-3</v>
      </c>
      <c r="N7386">
        <v>0</v>
      </c>
      <c r="O7386">
        <v>0.99987239999999999</v>
      </c>
      <c r="P7386">
        <v>5.265243E-2</v>
      </c>
      <c r="Q7386">
        <v>3.2113969999999999E-2</v>
      </c>
      <c r="R7386">
        <v>0.99809639999999999</v>
      </c>
      <c r="S7386">
        <v>2.3879999999999998E-2</v>
      </c>
      <c r="T7386">
        <v>-8.4098339999999994E-2</v>
      </c>
      <c r="U7386">
        <v>3.00705</v>
      </c>
      <c r="V7386">
        <v>4.7806479999999998E-2</v>
      </c>
      <c r="W7386">
        <v>4.7301589999999998E-2</v>
      </c>
      <c r="X7386">
        <v>0.99773599999999996</v>
      </c>
      <c r="Y7386">
        <v>3.0816960000000001E-3</v>
      </c>
      <c r="Z7386">
        <v>-2.7955130000000002E-2</v>
      </c>
      <c r="AA7386">
        <v>0.99960439999999995</v>
      </c>
      <c r="AB7386">
        <v>41</v>
      </c>
      <c r="AC7386">
        <v>0.313099999999991</v>
      </c>
      <c r="AD7386">
        <v>-1.1098252969169999</v>
      </c>
      <c r="AE7386">
        <v>39.250109999999999</v>
      </c>
      <c r="AF7386">
        <v>0.12238621575368</v>
      </c>
      <c r="AG7386">
        <v>-1.1098252969169999</v>
      </c>
      <c r="AH7386">
        <v>39.219812784435099</v>
      </c>
      <c r="AI7386">
        <v>91.620890742940404</v>
      </c>
      <c r="AJ7386">
        <v>89.821207946322403</v>
      </c>
      <c r="AK7386">
        <v>39.235703197746098</v>
      </c>
      <c r="AL7386">
        <v>87.288806899678704</v>
      </c>
      <c r="AM7386">
        <v>87.256773102939604</v>
      </c>
      <c r="AN7386">
        <v>1.0000000128212501</v>
      </c>
    </row>
    <row r="7387" spans="1:40" x14ac:dyDescent="0.25">
      <c r="A7387" t="str">
        <f>"20190312155020560"</f>
        <v>20190312155020560</v>
      </c>
      <c r="B7387" t="str">
        <f>"1552377020553351"</f>
        <v>1552377020553351</v>
      </c>
      <c r="C7387" t="s">
        <v>40</v>
      </c>
      <c r="D7387">
        <v>4.8688890000000002</v>
      </c>
      <c r="E7387">
        <v>0.47979749999999999</v>
      </c>
      <c r="F7387" t="s">
        <v>63</v>
      </c>
      <c r="G7387">
        <v>-187.89340000000001</v>
      </c>
      <c r="H7387" s="1">
        <v>-3.8938870000000004E-6</v>
      </c>
      <c r="I7387">
        <v>127.0637</v>
      </c>
      <c r="J7387">
        <v>-188.0198</v>
      </c>
      <c r="K7387">
        <v>1.1098190000000001</v>
      </c>
      <c r="L7387">
        <v>89.538060000000002</v>
      </c>
      <c r="M7387">
        <v>4.8554779999999999E-3</v>
      </c>
      <c r="N7387">
        <v>0</v>
      </c>
      <c r="O7387">
        <v>0.9998726</v>
      </c>
      <c r="P7387">
        <v>5.3400879999999998E-2</v>
      </c>
      <c r="Q7387">
        <v>3.1830230000000001E-2</v>
      </c>
      <c r="R7387">
        <v>0.99806569999999994</v>
      </c>
      <c r="S7387">
        <v>1.0223390000000001E-2</v>
      </c>
      <c r="T7387">
        <v>-8.7116600000000002E-2</v>
      </c>
      <c r="U7387">
        <v>3.0079959999999999</v>
      </c>
      <c r="V7387">
        <v>4.855537E-2</v>
      </c>
      <c r="W7387">
        <v>4.7008660000000001E-2</v>
      </c>
      <c r="X7387">
        <v>0.99771370000000004</v>
      </c>
      <c r="Y7387">
        <v>-1.4587580000000001E-3</v>
      </c>
      <c r="Z7387">
        <v>-2.8948930000000001E-2</v>
      </c>
      <c r="AA7387">
        <v>0.99957980000000002</v>
      </c>
      <c r="AB7387">
        <v>41</v>
      </c>
      <c r="AC7387">
        <v>0.12639999999998899</v>
      </c>
      <c r="AD7387">
        <v>-1.1098228938869901</v>
      </c>
      <c r="AE7387">
        <v>37.525640000000003</v>
      </c>
      <c r="AF7387">
        <v>-5.5778688902784299E-2</v>
      </c>
      <c r="AG7387">
        <v>-1.1098228938869901</v>
      </c>
      <c r="AH7387">
        <v>37.493017185291599</v>
      </c>
      <c r="AI7387">
        <v>91.695503320960398</v>
      </c>
      <c r="AJ7387">
        <v>90.085239368368704</v>
      </c>
      <c r="AK7387">
        <v>37.509480878499197</v>
      </c>
      <c r="AL7387">
        <v>87.305609296890296</v>
      </c>
      <c r="AM7387">
        <v>87.213805382459498</v>
      </c>
      <c r="AN7387">
        <v>1.00000003261926</v>
      </c>
    </row>
    <row r="7388" spans="1:40" x14ac:dyDescent="0.25">
      <c r="A7388" t="str">
        <f>"20190312155020581"</f>
        <v>20190312155020581</v>
      </c>
      <c r="B7388" t="str">
        <f>"1552377020572871"</f>
        <v>1552377020572871</v>
      </c>
      <c r="C7388" t="s">
        <v>40</v>
      </c>
      <c r="D7388">
        <v>4.9130349999999998</v>
      </c>
      <c r="E7388">
        <v>0.47888409999999898</v>
      </c>
      <c r="F7388" t="s">
        <v>63</v>
      </c>
      <c r="G7388">
        <v>-188.08920000000001</v>
      </c>
      <c r="H7388" s="1">
        <v>-2.7781169999999898E-6</v>
      </c>
      <c r="I7388">
        <v>124.2094</v>
      </c>
      <c r="J7388">
        <v>-188.0179</v>
      </c>
      <c r="K7388">
        <v>1.1098170000000001</v>
      </c>
      <c r="L7388">
        <v>89.931460000000001</v>
      </c>
      <c r="M7388">
        <v>4.8553370000000004E-3</v>
      </c>
      <c r="N7388">
        <v>0</v>
      </c>
      <c r="O7388">
        <v>0.9998726</v>
      </c>
      <c r="P7388">
        <v>5.3645770000000002E-2</v>
      </c>
      <c r="Q7388">
        <v>3.1144560000000002E-2</v>
      </c>
      <c r="R7388">
        <v>0.99807420000000002</v>
      </c>
      <c r="S7388">
        <v>-6.0272219999999996E-3</v>
      </c>
      <c r="T7388">
        <v>-9.6324320000000005E-2</v>
      </c>
      <c r="U7388">
        <v>3.0092159999999999</v>
      </c>
      <c r="V7388">
        <v>4.8800349999999999E-2</v>
      </c>
      <c r="W7388">
        <v>4.6318940000000003E-2</v>
      </c>
      <c r="X7388">
        <v>0.99773400000000001</v>
      </c>
      <c r="Y7388">
        <v>-6.8577569999999999E-3</v>
      </c>
      <c r="Z7388">
        <v>-3.1992420000000001E-2</v>
      </c>
      <c r="AA7388">
        <v>0.99946460000000004</v>
      </c>
      <c r="AB7388">
        <v>41</v>
      </c>
      <c r="AC7388">
        <v>-7.1300000000007899E-2</v>
      </c>
      <c r="AD7388">
        <v>-1.1098197781170001</v>
      </c>
      <c r="AE7388">
        <v>34.277940000000001</v>
      </c>
      <c r="AF7388">
        <v>-0.23750038849244201</v>
      </c>
      <c r="AG7388">
        <v>-1.1098197781170001</v>
      </c>
      <c r="AH7388">
        <v>34.241295478979403</v>
      </c>
      <c r="AI7388">
        <v>91.8563610893884</v>
      </c>
      <c r="AJ7388">
        <v>90.397401777286007</v>
      </c>
      <c r="AK7388">
        <v>34.260099568641202</v>
      </c>
      <c r="AL7388">
        <v>87.345170421202099</v>
      </c>
      <c r="AM7388">
        <v>87.199827189955698</v>
      </c>
      <c r="AN7388">
        <v>1.00000002655942</v>
      </c>
    </row>
    <row r="7389" spans="1:40" x14ac:dyDescent="0.25">
      <c r="A7389" t="str">
        <f>"20190312155020604"</f>
        <v>20190312155020604</v>
      </c>
      <c r="B7389" t="str">
        <f>"1552377020593367"</f>
        <v>1552377020593367</v>
      </c>
      <c r="C7389" t="s">
        <v>40</v>
      </c>
      <c r="D7389">
        <v>4.8447230000000001</v>
      </c>
      <c r="E7389">
        <v>0.4783732</v>
      </c>
      <c r="F7389" t="s">
        <v>63</v>
      </c>
      <c r="G7389">
        <v>-188.15809999999999</v>
      </c>
      <c r="H7389" s="1">
        <v>-2.000218E-6</v>
      </c>
      <c r="I7389">
        <v>122.8079</v>
      </c>
      <c r="J7389">
        <v>-188.01589999999999</v>
      </c>
      <c r="K7389">
        <v>1.1098159999999999</v>
      </c>
      <c r="L7389">
        <v>90.346800000000002</v>
      </c>
      <c r="M7389">
        <v>4.8551760000000001E-3</v>
      </c>
      <c r="N7389">
        <v>0</v>
      </c>
      <c r="O7389">
        <v>0.99987269999999995</v>
      </c>
      <c r="P7389">
        <v>5.379987E-2</v>
      </c>
      <c r="Q7389">
        <v>3.077647E-2</v>
      </c>
      <c r="R7389">
        <v>0.99807729999999995</v>
      </c>
      <c r="S7389">
        <v>-1.2832639999999999E-2</v>
      </c>
      <c r="T7389">
        <v>-0.1015974</v>
      </c>
      <c r="U7389">
        <v>3.0096440000000002</v>
      </c>
      <c r="V7389">
        <v>4.8954570000000003E-2</v>
      </c>
      <c r="W7389">
        <v>4.5945979999999997E-2</v>
      </c>
      <c r="X7389">
        <v>0.99774370000000001</v>
      </c>
      <c r="Y7389">
        <v>-9.1170179999999993E-3</v>
      </c>
      <c r="Z7389">
        <v>-3.3736629999999997E-2</v>
      </c>
      <c r="AA7389">
        <v>0.99938919999999998</v>
      </c>
      <c r="AB7389">
        <v>41</v>
      </c>
      <c r="AC7389">
        <v>-0.14220000000000199</v>
      </c>
      <c r="AD7389">
        <v>-1.10981800021799</v>
      </c>
      <c r="AE7389">
        <v>32.461100000000002</v>
      </c>
      <c r="AF7389">
        <v>-0.29947084005427699</v>
      </c>
      <c r="AG7389">
        <v>-1.10981800021799</v>
      </c>
      <c r="AH7389">
        <v>32.422129351104502</v>
      </c>
      <c r="AI7389">
        <v>91.960400549301895</v>
      </c>
      <c r="AJ7389">
        <v>90.529204208153402</v>
      </c>
      <c r="AK7389">
        <v>32.442500681011097</v>
      </c>
      <c r="AL7389">
        <v>87.366562257245803</v>
      </c>
      <c r="AM7389">
        <v>87.191019434810002</v>
      </c>
      <c r="AN7389">
        <v>1.0000000369458599</v>
      </c>
    </row>
    <row r="7390" spans="1:40" x14ac:dyDescent="0.25">
      <c r="A7390" t="str">
        <f>"20190312155020625"</f>
        <v>20190312155020625</v>
      </c>
      <c r="B7390" t="str">
        <f>"1552377020612887"</f>
        <v>1552377020612887</v>
      </c>
      <c r="C7390" t="s">
        <v>40</v>
      </c>
      <c r="D7390">
        <v>4.8520659999999998</v>
      </c>
      <c r="E7390">
        <v>0.47805189999999997</v>
      </c>
      <c r="F7390" t="s">
        <v>63</v>
      </c>
      <c r="G7390">
        <v>-188.1917</v>
      </c>
      <c r="H7390" s="1">
        <v>-1.6902269999999901E-6</v>
      </c>
      <c r="I7390">
        <v>122.251</v>
      </c>
      <c r="J7390">
        <v>-188.01400000000001</v>
      </c>
      <c r="K7390">
        <v>1.1098159999999999</v>
      </c>
      <c r="L7390">
        <v>90.737920000000003</v>
      </c>
      <c r="M7390">
        <v>4.8550249999999998E-3</v>
      </c>
      <c r="N7390">
        <v>0</v>
      </c>
      <c r="O7390">
        <v>0.99987269999999995</v>
      </c>
      <c r="P7390">
        <v>5.380832E-2</v>
      </c>
      <c r="Q7390">
        <v>3.0788840000000001E-2</v>
      </c>
      <c r="R7390">
        <v>0.99807650000000003</v>
      </c>
      <c r="S7390">
        <v>-1.6586299999999998E-2</v>
      </c>
      <c r="T7390">
        <v>-0.1047029</v>
      </c>
      <c r="U7390">
        <v>3.0099179999999999</v>
      </c>
      <c r="V7390">
        <v>4.8963189999999997E-2</v>
      </c>
      <c r="W7390">
        <v>4.5953130000000002E-2</v>
      </c>
      <c r="X7390">
        <v>0.99774289999999999</v>
      </c>
      <c r="Y7390">
        <v>-1.036258E-2</v>
      </c>
      <c r="Z7390">
        <v>-3.476315E-2</v>
      </c>
      <c r="AA7390">
        <v>0.99934179999999995</v>
      </c>
      <c r="AB7390">
        <v>41</v>
      </c>
      <c r="AC7390">
        <v>-0.17769999999998701</v>
      </c>
      <c r="AD7390">
        <v>-1.1098176902269901</v>
      </c>
      <c r="AE7390">
        <v>31.513079999999999</v>
      </c>
      <c r="AF7390">
        <v>-0.33030271501117903</v>
      </c>
      <c r="AG7390">
        <v>-1.1098176902269901</v>
      </c>
      <c r="AH7390">
        <v>31.472811649580201</v>
      </c>
      <c r="AI7390">
        <v>92.019458460650398</v>
      </c>
      <c r="AJ7390">
        <v>90.601289042028</v>
      </c>
      <c r="AK7390">
        <v>31.494105294785498</v>
      </c>
      <c r="AL7390">
        <v>87.366152033738103</v>
      </c>
      <c r="AM7390">
        <v>87.190523368278704</v>
      </c>
      <c r="AN7390">
        <v>0.99999998931609102</v>
      </c>
    </row>
    <row r="7391" spans="1:40" x14ac:dyDescent="0.25">
      <c r="A7391" t="str">
        <f>"20190312155020648"</f>
        <v>20190312155020648</v>
      </c>
      <c r="B7391" t="str">
        <f>"1552377020643144"</f>
        <v>1552377020643144</v>
      </c>
      <c r="C7391" t="s">
        <v>40</v>
      </c>
      <c r="D7391">
        <v>4.8782769999999998</v>
      </c>
      <c r="E7391">
        <v>0.47765800000000003</v>
      </c>
      <c r="F7391" t="s">
        <v>63</v>
      </c>
      <c r="G7391">
        <v>-188.22030000000001</v>
      </c>
      <c r="H7391" s="1">
        <v>-2.458536E-6</v>
      </c>
      <c r="I7391">
        <v>123.6597</v>
      </c>
      <c r="J7391">
        <v>-188.0119</v>
      </c>
      <c r="K7391">
        <v>1.1098170000000001</v>
      </c>
      <c r="L7391">
        <v>91.16095</v>
      </c>
      <c r="M7391">
        <v>4.8548719999999997E-3</v>
      </c>
      <c r="N7391">
        <v>0</v>
      </c>
      <c r="O7391">
        <v>0.99987289999999995</v>
      </c>
      <c r="P7391">
        <v>5.355795E-2</v>
      </c>
      <c r="Q7391">
        <v>3.093241E-2</v>
      </c>
      <c r="R7391">
        <v>0.99808560000000002</v>
      </c>
      <c r="S7391">
        <v>-1.8859859999999999E-2</v>
      </c>
      <c r="T7391">
        <v>-0.1014665</v>
      </c>
      <c r="U7391">
        <v>3.0099179999999999</v>
      </c>
      <c r="V7391">
        <v>4.871292E-2</v>
      </c>
      <c r="W7391">
        <v>4.6092210000000002E-2</v>
      </c>
      <c r="X7391">
        <v>0.99774870000000004</v>
      </c>
      <c r="Y7391">
        <v>-1.1117490000000001E-2</v>
      </c>
      <c r="Z7391">
        <v>-3.3689629999999998E-2</v>
      </c>
      <c r="AA7391">
        <v>0.99937050000000005</v>
      </c>
      <c r="AB7391">
        <v>41</v>
      </c>
      <c r="AC7391">
        <v>-0.20840000000001099</v>
      </c>
      <c r="AD7391">
        <v>-1.1098194585359999</v>
      </c>
      <c r="AE7391">
        <v>32.498750000000001</v>
      </c>
      <c r="AF7391">
        <v>-0.365766473163462</v>
      </c>
      <c r="AG7391">
        <v>-1.1098194585359999</v>
      </c>
      <c r="AH7391">
        <v>32.459502474427701</v>
      </c>
      <c r="AI7391">
        <v>91.958106965218406</v>
      </c>
      <c r="AJ7391">
        <v>90.645604111524506</v>
      </c>
      <c r="AK7391">
        <v>32.480529324978797</v>
      </c>
      <c r="AL7391">
        <v>87.358174791633601</v>
      </c>
      <c r="AM7391">
        <v>87.2048770922041</v>
      </c>
      <c r="AN7391">
        <v>0.99999995437464895</v>
      </c>
    </row>
    <row r="7392" spans="1:40" x14ac:dyDescent="0.25">
      <c r="A7392" t="str">
        <f>"20190312155020671"</f>
        <v>20190312155020671</v>
      </c>
      <c r="B7392" t="str">
        <f>"1552377020663639"</f>
        <v>1552377020663639</v>
      </c>
      <c r="C7392" t="s">
        <v>40</v>
      </c>
      <c r="D7392">
        <v>4.8578199999999896</v>
      </c>
      <c r="E7392">
        <v>0.47747499999999998</v>
      </c>
      <c r="F7392" t="s">
        <v>63</v>
      </c>
      <c r="G7392">
        <v>-188.27379999999999</v>
      </c>
      <c r="H7392" s="1">
        <v>-3.291754E-6</v>
      </c>
      <c r="I7392">
        <v>125.6895</v>
      </c>
      <c r="J7392">
        <v>-188.00989999999999</v>
      </c>
      <c r="K7392">
        <v>1.1098159999999999</v>
      </c>
      <c r="L7392">
        <v>91.579620000000006</v>
      </c>
      <c r="M7392">
        <v>4.8547209999999898E-3</v>
      </c>
      <c r="N7392">
        <v>0</v>
      </c>
      <c r="O7392">
        <v>0.99987289999999995</v>
      </c>
      <c r="P7392">
        <v>5.3444850000000002E-2</v>
      </c>
      <c r="Q7392">
        <v>3.091758E-2</v>
      </c>
      <c r="R7392">
        <v>0.99809210000000004</v>
      </c>
      <c r="S7392">
        <v>-2.2827150000000001E-2</v>
      </c>
      <c r="T7392">
        <v>-9.6748109999999998E-2</v>
      </c>
      <c r="U7392">
        <v>3.0100099999999999</v>
      </c>
      <c r="V7392">
        <v>4.8599940000000001E-2</v>
      </c>
      <c r="W7392">
        <v>4.6072200000000001E-2</v>
      </c>
      <c r="X7392">
        <v>0.99775519999999995</v>
      </c>
      <c r="Y7392">
        <v>-1.243467E-2</v>
      </c>
      <c r="Z7392">
        <v>-3.2123270000000002E-2</v>
      </c>
      <c r="AA7392">
        <v>0.99940660000000003</v>
      </c>
      <c r="AB7392">
        <v>41</v>
      </c>
      <c r="AC7392">
        <v>-0.26390000000000602</v>
      </c>
      <c r="AD7392">
        <v>-1.109819291754</v>
      </c>
      <c r="AE7392">
        <v>34.109879999999997</v>
      </c>
      <c r="AF7392">
        <v>-0.429055753676302</v>
      </c>
      <c r="AG7392">
        <v>-1.109819291754</v>
      </c>
      <c r="AH7392">
        <v>34.072129024410003</v>
      </c>
      <c r="AI7392">
        <v>91.865467565049201</v>
      </c>
      <c r="AJ7392">
        <v>90.721463122072095</v>
      </c>
      <c r="AK7392">
        <v>34.092899025400499</v>
      </c>
      <c r="AL7392">
        <v>87.359322674118204</v>
      </c>
      <c r="AM7392">
        <v>87.211367721356098</v>
      </c>
      <c r="AN7392">
        <v>1.0000000204539401</v>
      </c>
    </row>
    <row r="7393" spans="1:40" x14ac:dyDescent="0.25">
      <c r="A7393" t="str">
        <f>"20190312155020692"</f>
        <v>20190312155020692</v>
      </c>
      <c r="B7393" t="str">
        <f>"1552377020683159"</f>
        <v>1552377020683159</v>
      </c>
      <c r="C7393" t="s">
        <v>40</v>
      </c>
      <c r="D7393">
        <v>4.8278019999999904</v>
      </c>
      <c r="E7393">
        <v>0.47728330000000002</v>
      </c>
      <c r="F7393" t="s">
        <v>63</v>
      </c>
      <c r="G7393">
        <v>-188.29900000000001</v>
      </c>
      <c r="H7393" s="1">
        <v>-3.8919690000000004E-6</v>
      </c>
      <c r="I7393">
        <v>127.11490000000001</v>
      </c>
      <c r="J7393">
        <v>-188.00800000000001</v>
      </c>
      <c r="K7393">
        <v>1.1098110000000001</v>
      </c>
      <c r="L7393">
        <v>91.965519999999998</v>
      </c>
      <c r="M7393">
        <v>4.8545799999999998E-3</v>
      </c>
      <c r="N7393">
        <v>0</v>
      </c>
      <c r="O7393">
        <v>0.99987300000000001</v>
      </c>
      <c r="P7393">
        <v>5.3368949999999998E-2</v>
      </c>
      <c r="Q7393">
        <v>3.061461E-2</v>
      </c>
      <c r="R7393">
        <v>0.99810549999999998</v>
      </c>
      <c r="S7393">
        <v>-2.4490359999999999E-2</v>
      </c>
      <c r="T7393">
        <v>-9.4005229999999995E-2</v>
      </c>
      <c r="U7393">
        <v>3.0099490000000002</v>
      </c>
      <c r="V7393">
        <v>4.8524100000000001E-2</v>
      </c>
      <c r="W7393">
        <v>4.5765449999999999E-2</v>
      </c>
      <c r="X7393">
        <v>0.99777300000000002</v>
      </c>
      <c r="Y7393">
        <v>-1.298712E-2</v>
      </c>
      <c r="Z7393">
        <v>-3.1213899999999999E-2</v>
      </c>
      <c r="AA7393">
        <v>0.99942830000000005</v>
      </c>
      <c r="AB7393">
        <v>41</v>
      </c>
      <c r="AC7393">
        <v>-0.29100000000002502</v>
      </c>
      <c r="AD7393">
        <v>-1.1098148919689901</v>
      </c>
      <c r="AE7393">
        <v>35.149380000000001</v>
      </c>
      <c r="AF7393">
        <v>-0.461191963657754</v>
      </c>
      <c r="AG7393">
        <v>-1.1098148919689901</v>
      </c>
      <c r="AH7393">
        <v>35.1125504308445</v>
      </c>
      <c r="AI7393">
        <v>91.8102093734025</v>
      </c>
      <c r="AJ7393">
        <v>90.752518211355195</v>
      </c>
      <c r="AK7393">
        <v>35.133112371100502</v>
      </c>
      <c r="AL7393">
        <v>87.376916690937506</v>
      </c>
      <c r="AM7393">
        <v>87.215762109992497</v>
      </c>
      <c r="AN7393">
        <v>1.00000001211175</v>
      </c>
    </row>
    <row r="7394" spans="1:40" x14ac:dyDescent="0.25">
      <c r="A7394" t="str">
        <f>"20190312155020717"</f>
        <v>20190312155020717</v>
      </c>
      <c r="B7394" t="str">
        <f>"1552377020702680"</f>
        <v>1552377020702680</v>
      </c>
      <c r="C7394" t="s">
        <v>40</v>
      </c>
      <c r="D7394">
        <v>4.8094960000000002</v>
      </c>
      <c r="E7394">
        <v>0.46262140000000002</v>
      </c>
      <c r="F7394" t="s">
        <v>63</v>
      </c>
      <c r="G7394">
        <v>-188.31819999999999</v>
      </c>
      <c r="H7394" s="1">
        <v>-4.0867030000000001E-6</v>
      </c>
      <c r="I7394">
        <v>127.5788</v>
      </c>
      <c r="J7394">
        <v>-188.0059</v>
      </c>
      <c r="K7394">
        <v>1.1098079999999999</v>
      </c>
      <c r="L7394">
        <v>92.394589999999994</v>
      </c>
      <c r="M7394">
        <v>4.8544269999999997E-3</v>
      </c>
      <c r="N7394">
        <v>0</v>
      </c>
      <c r="O7394">
        <v>0.99987300000000001</v>
      </c>
      <c r="P7394">
        <v>5.2913389999999998E-2</v>
      </c>
      <c r="Q7394">
        <v>3.0107289999999998E-2</v>
      </c>
      <c r="R7394">
        <v>0.99814519999999995</v>
      </c>
      <c r="S7394">
        <v>-2.62145999999999E-2</v>
      </c>
      <c r="T7394">
        <v>-9.3798759999999995E-2</v>
      </c>
      <c r="U7394">
        <v>3.0099490000000002</v>
      </c>
      <c r="V7394">
        <v>4.80685E-2</v>
      </c>
      <c r="W7394">
        <v>4.525386E-2</v>
      </c>
      <c r="X7394">
        <v>0.99781839999999999</v>
      </c>
      <c r="Y7394">
        <v>-1.3559460000000001E-2</v>
      </c>
      <c r="Z7394">
        <v>-3.1145220000000001E-2</v>
      </c>
      <c r="AA7394">
        <v>0.9994229</v>
      </c>
      <c r="AB7394">
        <v>41</v>
      </c>
      <c r="AC7394">
        <v>-0.31229999999999303</v>
      </c>
      <c r="AD7394">
        <v>-1.1098120867029999</v>
      </c>
      <c r="AE7394">
        <v>35.184209999999901</v>
      </c>
      <c r="AF7394">
        <v>-0.48263501728827901</v>
      </c>
      <c r="AG7394">
        <v>-1.1098120867029999</v>
      </c>
      <c r="AH7394">
        <v>35.147311896708402</v>
      </c>
      <c r="AI7394">
        <v>91.808401164785906</v>
      </c>
      <c r="AJ7394">
        <v>90.786723369292901</v>
      </c>
      <c r="AK7394">
        <v>35.168141164869702</v>
      </c>
      <c r="AL7394">
        <v>87.406259076323494</v>
      </c>
      <c r="AM7394">
        <v>87.241988475710002</v>
      </c>
      <c r="AN7394">
        <v>1.0000000259578501</v>
      </c>
    </row>
    <row r="7395" spans="1:40" x14ac:dyDescent="0.25">
      <c r="A7395" t="str">
        <f>"20190312155020739"</f>
        <v>20190312155020739</v>
      </c>
      <c r="B7395" t="str">
        <f>"1552377020732936"</f>
        <v>1552377020732936</v>
      </c>
      <c r="C7395" t="s">
        <v>40</v>
      </c>
      <c r="D7395">
        <v>4.8595459999999999</v>
      </c>
      <c r="E7395">
        <v>0.46118759999999998</v>
      </c>
      <c r="F7395" t="s">
        <v>63</v>
      </c>
      <c r="G7395">
        <v>-189.5848</v>
      </c>
      <c r="H7395" s="1">
        <v>-3.0644919999999998E-6</v>
      </c>
      <c r="I7395">
        <v>125.3313</v>
      </c>
      <c r="J7395">
        <v>-188.00399999999999</v>
      </c>
      <c r="K7395">
        <v>1.1098190000000001</v>
      </c>
      <c r="L7395">
        <v>92.798519999999996</v>
      </c>
      <c r="M7395">
        <v>4.8542809999999898E-3</v>
      </c>
      <c r="N7395">
        <v>0</v>
      </c>
      <c r="O7395">
        <v>0.99987309999999996</v>
      </c>
      <c r="P7395">
        <v>5.3140729999999997E-2</v>
      </c>
      <c r="Q7395">
        <v>2.9515110000000001E-2</v>
      </c>
      <c r="R7395">
        <v>0.9981508</v>
      </c>
      <c r="S7395">
        <v>-0.14459229999999901</v>
      </c>
      <c r="T7395">
        <v>-0.10163469999999999</v>
      </c>
      <c r="U7395">
        <v>3.0162960000000001</v>
      </c>
      <c r="V7395">
        <v>4.8295930000000001E-2</v>
      </c>
      <c r="W7395">
        <v>4.4656979999999999E-2</v>
      </c>
      <c r="X7395">
        <v>0.99783429999999995</v>
      </c>
      <c r="Y7395">
        <v>-5.2703670000000001E-2</v>
      </c>
      <c r="Z7395">
        <v>-3.3632820000000001E-2</v>
      </c>
      <c r="AA7395">
        <v>0.99804369999999998</v>
      </c>
      <c r="AB7395">
        <v>41</v>
      </c>
      <c r="AC7395">
        <v>-1.58079999999998</v>
      </c>
      <c r="AD7395">
        <v>-1.109822064492</v>
      </c>
      <c r="AE7395">
        <v>32.532779999999903</v>
      </c>
      <c r="AF7395">
        <v>-1.7367064550279201</v>
      </c>
      <c r="AG7395">
        <v>-1.109822064492</v>
      </c>
      <c r="AH7395">
        <v>32.4870039754855</v>
      </c>
      <c r="AI7395">
        <v>91.953791717699204</v>
      </c>
      <c r="AJ7395">
        <v>93.060033565105002</v>
      </c>
      <c r="AK7395">
        <v>32.552316071655802</v>
      </c>
      <c r="AL7395">
        <v>87.440492366649494</v>
      </c>
      <c r="AM7395">
        <v>87.229003672189407</v>
      </c>
      <c r="AN7395">
        <v>1.0000000164868801</v>
      </c>
    </row>
    <row r="7396" spans="1:40" x14ac:dyDescent="0.25">
      <c r="A7396" t="str">
        <f>"20190312155020763"</f>
        <v>20190312155020763</v>
      </c>
      <c r="B7396" t="str">
        <f>"1552377020753432"</f>
        <v>1552377020753432</v>
      </c>
      <c r="C7396" t="s">
        <v>40</v>
      </c>
      <c r="D7396">
        <v>4.850949</v>
      </c>
      <c r="E7396">
        <v>0.46073359999999902</v>
      </c>
      <c r="F7396" t="s">
        <v>63</v>
      </c>
      <c r="G7396">
        <v>-189.61490000000001</v>
      </c>
      <c r="H7396" s="1">
        <v>-2.4564420000000002E-6</v>
      </c>
      <c r="I7396">
        <v>124.01009999999999</v>
      </c>
      <c r="J7396">
        <v>-188.00190000000001</v>
      </c>
      <c r="K7396">
        <v>1.109818</v>
      </c>
      <c r="L7396">
        <v>93.234340000000003</v>
      </c>
      <c r="M7396">
        <v>4.8541219999999998E-3</v>
      </c>
      <c r="N7396">
        <v>0</v>
      </c>
      <c r="O7396">
        <v>0.99987320000000002</v>
      </c>
      <c r="P7396">
        <v>5.3039540000000003E-2</v>
      </c>
      <c r="Q7396">
        <v>2.9510959999999999E-2</v>
      </c>
      <c r="R7396">
        <v>0.99815620000000005</v>
      </c>
      <c r="S7396">
        <v>-0.15571589999999999</v>
      </c>
      <c r="T7396">
        <v>-0.1072795</v>
      </c>
      <c r="U7396">
        <v>3.017029</v>
      </c>
      <c r="V7396">
        <v>4.8194880000000002E-2</v>
      </c>
      <c r="W7396">
        <v>4.4647939999999997E-2</v>
      </c>
      <c r="X7396">
        <v>0.99783960000000005</v>
      </c>
      <c r="Y7396">
        <v>-5.6358909999999998E-2</v>
      </c>
      <c r="Z7396">
        <v>-3.5483099999999997E-2</v>
      </c>
      <c r="AA7396">
        <v>0.99777979999999999</v>
      </c>
      <c r="AB7396">
        <v>41</v>
      </c>
      <c r="AC7396">
        <v>-1.61299999999999</v>
      </c>
      <c r="AD7396">
        <v>-1.109820456442</v>
      </c>
      <c r="AE7396">
        <v>30.775759999999899</v>
      </c>
      <c r="AF7396">
        <v>-1.7601048427704999</v>
      </c>
      <c r="AG7396">
        <v>-1.109820456442</v>
      </c>
      <c r="AH7396">
        <v>30.727716876250501</v>
      </c>
      <c r="AI7396">
        <v>92.065121614462598</v>
      </c>
      <c r="AJ7396">
        <v>93.278359432755593</v>
      </c>
      <c r="AK7396">
        <v>30.7980884947441</v>
      </c>
      <c r="AL7396">
        <v>87.441010862406301</v>
      </c>
      <c r="AM7396">
        <v>87.234807108682205</v>
      </c>
      <c r="AN7396">
        <v>1.0000000261663</v>
      </c>
    </row>
    <row r="7397" spans="1:40" x14ac:dyDescent="0.25">
      <c r="A7397" t="str">
        <f>"20190312155020784"</f>
        <v>20190312155020784</v>
      </c>
      <c r="B7397" t="str">
        <f>"1552377020773928"</f>
        <v>1552377020773928</v>
      </c>
      <c r="C7397" t="s">
        <v>40</v>
      </c>
      <c r="D7397">
        <v>4.8520260000000004</v>
      </c>
      <c r="E7397">
        <v>0.46026349999999999</v>
      </c>
      <c r="F7397" t="s">
        <v>63</v>
      </c>
      <c r="G7397">
        <v>-189.63800000000001</v>
      </c>
      <c r="H7397" s="1">
        <v>-2.5395040000000001E-6</v>
      </c>
      <c r="I7397">
        <v>124.1675</v>
      </c>
      <c r="J7397">
        <v>-188</v>
      </c>
      <c r="K7397">
        <v>1.1098170000000001</v>
      </c>
      <c r="L7397">
        <v>93.629000000000005</v>
      </c>
      <c r="M7397">
        <v>4.8539819999999997E-3</v>
      </c>
      <c r="N7397">
        <v>0</v>
      </c>
      <c r="O7397">
        <v>0.99987329999999996</v>
      </c>
      <c r="P7397">
        <v>5.2720789999999997E-2</v>
      </c>
      <c r="Q7397">
        <v>2.9415799999999999E-2</v>
      </c>
      <c r="R7397">
        <v>0.99817599999999995</v>
      </c>
      <c r="S7397">
        <v>-0.1595917</v>
      </c>
      <c r="T7397">
        <v>-0.1082516</v>
      </c>
      <c r="U7397">
        <v>3.0172119999999998</v>
      </c>
      <c r="V7397">
        <v>4.7876170000000003E-2</v>
      </c>
      <c r="W7397">
        <v>4.4548369999999997E-2</v>
      </c>
      <c r="X7397">
        <v>0.99785939999999995</v>
      </c>
      <c r="Y7397">
        <v>-5.7633209999999997E-2</v>
      </c>
      <c r="Z7397">
        <v>-3.5799530000000003E-2</v>
      </c>
      <c r="AA7397">
        <v>0.99769569999999996</v>
      </c>
      <c r="AB7397">
        <v>41</v>
      </c>
      <c r="AC7397">
        <v>-1.6379999999999999</v>
      </c>
      <c r="AD7397">
        <v>-1.109819539504</v>
      </c>
      <c r="AE7397">
        <v>30.538499999999999</v>
      </c>
      <c r="AF7397">
        <v>-1.78388182279574</v>
      </c>
      <c r="AG7397">
        <v>-1.109819539504</v>
      </c>
      <c r="AH7397">
        <v>30.490035269177302</v>
      </c>
      <c r="AI7397">
        <v>92.081057081796104</v>
      </c>
      <c r="AJ7397">
        <v>93.348389555978898</v>
      </c>
      <c r="AK7397">
        <v>30.562332772281</v>
      </c>
      <c r="AL7397">
        <v>87.446721503907895</v>
      </c>
      <c r="AM7397">
        <v>87.253119493577501</v>
      </c>
      <c r="AN7397">
        <v>1.00000003354594</v>
      </c>
    </row>
    <row r="7398" spans="1:40" x14ac:dyDescent="0.25">
      <c r="A7398" t="str">
        <f>"20190312155020808"</f>
        <v>20190312155020808</v>
      </c>
      <c r="B7398" t="str">
        <f>"1552377020803207"</f>
        <v>1552377020803207</v>
      </c>
      <c r="C7398" t="s">
        <v>40</v>
      </c>
      <c r="D7398">
        <v>4.8651869999999997</v>
      </c>
      <c r="E7398">
        <v>0.4600591</v>
      </c>
      <c r="F7398" t="s">
        <v>63</v>
      </c>
      <c r="G7398">
        <v>-189.6678</v>
      </c>
      <c r="H7398" s="1">
        <v>-2.5935720000000001E-6</v>
      </c>
      <c r="I7398">
        <v>124.27370000000001</v>
      </c>
      <c r="J7398">
        <v>-187.99799999999999</v>
      </c>
      <c r="K7398">
        <v>1.1098129999999999</v>
      </c>
      <c r="L7398">
        <v>94.038449999999997</v>
      </c>
      <c r="M7398">
        <v>4.8538289999999996E-3</v>
      </c>
      <c r="N7398">
        <v>0</v>
      </c>
      <c r="O7398">
        <v>0.99987329999999996</v>
      </c>
      <c r="P7398">
        <v>5.2656309999999998E-2</v>
      </c>
      <c r="Q7398">
        <v>2.872048E-2</v>
      </c>
      <c r="R7398">
        <v>0.99819959999999996</v>
      </c>
      <c r="S7398">
        <v>-0.1642151</v>
      </c>
      <c r="T7398">
        <v>-0.1092761</v>
      </c>
      <c r="U7398">
        <v>3.0173649999999999</v>
      </c>
      <c r="V7398">
        <v>4.7811689999999997E-2</v>
      </c>
      <c r="W7398">
        <v>4.3849539999999999E-2</v>
      </c>
      <c r="X7398">
        <v>0.99789340000000004</v>
      </c>
      <c r="Y7398">
        <v>-5.9154030000000003E-2</v>
      </c>
      <c r="Z7398">
        <v>-3.6132980000000002E-2</v>
      </c>
      <c r="AA7398">
        <v>0.99759469999999995</v>
      </c>
      <c r="AB7398">
        <v>41</v>
      </c>
      <c r="AC7398">
        <v>-1.6698</v>
      </c>
      <c r="AD7398">
        <v>-1.109815593572</v>
      </c>
      <c r="AE7398">
        <v>30.235250000000001</v>
      </c>
      <c r="AF7398">
        <v>-1.81411714047336</v>
      </c>
      <c r="AG7398">
        <v>-1.109815593572</v>
      </c>
      <c r="AH7398">
        <v>30.186240686353901</v>
      </c>
      <c r="AI7398">
        <v>92.101777327382294</v>
      </c>
      <c r="AJ7398">
        <v>93.439195761398096</v>
      </c>
      <c r="AK7398">
        <v>30.2610614226531</v>
      </c>
      <c r="AL7398">
        <v>87.4868005679091</v>
      </c>
      <c r="AM7398">
        <v>87.256906681458105</v>
      </c>
      <c r="AN7398">
        <v>0.99999998881121399</v>
      </c>
    </row>
    <row r="7399" spans="1:40" x14ac:dyDescent="0.25">
      <c r="A7399" t="str">
        <f>"20190312155020827"</f>
        <v>20190312155020827</v>
      </c>
      <c r="B7399" t="str">
        <f>"1552377020823704"</f>
        <v>1552377020823704</v>
      </c>
      <c r="C7399" t="s">
        <v>40</v>
      </c>
      <c r="D7399">
        <v>4.8702420000000002</v>
      </c>
      <c r="E7399">
        <v>0.45984599999999998</v>
      </c>
      <c r="F7399" t="s">
        <v>63</v>
      </c>
      <c r="G7399">
        <v>-189.6386</v>
      </c>
      <c r="H7399" s="1">
        <v>-2.3511919999999998E-6</v>
      </c>
      <c r="I7399">
        <v>123.8241</v>
      </c>
      <c r="J7399">
        <v>-187.99619999999999</v>
      </c>
      <c r="K7399">
        <v>1.1098129999999999</v>
      </c>
      <c r="L7399">
        <v>94.403469999999999</v>
      </c>
      <c r="M7399">
        <v>4.8537069999999996E-3</v>
      </c>
      <c r="N7399">
        <v>0</v>
      </c>
      <c r="O7399">
        <v>0.99987340000000002</v>
      </c>
      <c r="P7399">
        <v>5.3134849999999997E-2</v>
      </c>
      <c r="Q7399">
        <v>2.8358749999999999E-2</v>
      </c>
      <c r="R7399">
        <v>0.99818459999999998</v>
      </c>
      <c r="S7399">
        <v>-0.1661987</v>
      </c>
      <c r="T7399">
        <v>-0.11242820000000001</v>
      </c>
      <c r="U7399">
        <v>3.017395</v>
      </c>
      <c r="V7399">
        <v>4.8290409999999999E-2</v>
      </c>
      <c r="W7399">
        <v>4.34832E-2</v>
      </c>
      <c r="X7399">
        <v>0.99788639999999995</v>
      </c>
      <c r="Y7399">
        <v>-5.9805110000000002E-2</v>
      </c>
      <c r="Z7399">
        <v>-3.7172070000000001E-2</v>
      </c>
      <c r="AA7399">
        <v>0.99751769999999995</v>
      </c>
      <c r="AB7399">
        <v>40</v>
      </c>
      <c r="AC7399">
        <v>-1.6424000000000001</v>
      </c>
      <c r="AD7399">
        <v>-1.1098153511919999</v>
      </c>
      <c r="AE7399">
        <v>29.420629999999999</v>
      </c>
      <c r="AF7399">
        <v>-1.78266735325628</v>
      </c>
      <c r="AG7399">
        <v>-1.1098153511919999</v>
      </c>
      <c r="AH7399">
        <v>29.370646843423099</v>
      </c>
      <c r="AI7399">
        <v>92.160008928683993</v>
      </c>
      <c r="AJ7399">
        <v>93.473337421870099</v>
      </c>
      <c r="AK7399">
        <v>29.445619181929001</v>
      </c>
      <c r="AL7399">
        <v>87.507810396348802</v>
      </c>
      <c r="AM7399">
        <v>87.229464323420999</v>
      </c>
      <c r="AN7399">
        <v>1.0000000098425801</v>
      </c>
    </row>
    <row r="7400" spans="1:40" x14ac:dyDescent="0.25">
      <c r="A7400" t="str">
        <f>"20190312155020851"</f>
        <v>20190312155020851</v>
      </c>
      <c r="B7400" t="str">
        <f>"1552377020843224"</f>
        <v>1552377020843224</v>
      </c>
      <c r="C7400" t="s">
        <v>40</v>
      </c>
      <c r="D7400">
        <v>4.8160819999999998</v>
      </c>
      <c r="E7400">
        <v>0.45974930000000003</v>
      </c>
      <c r="F7400" t="s">
        <v>63</v>
      </c>
      <c r="G7400">
        <v>-189.6207</v>
      </c>
      <c r="H7400" s="1">
        <v>-2.3805330000000002E-6</v>
      </c>
      <c r="I7400">
        <v>123.87309999999999</v>
      </c>
      <c r="J7400">
        <v>-187.9941</v>
      </c>
      <c r="K7400">
        <v>1.10981</v>
      </c>
      <c r="L7400">
        <v>94.824399999999997</v>
      </c>
      <c r="M7400">
        <v>4.8535619999999996E-3</v>
      </c>
      <c r="N7400">
        <v>0</v>
      </c>
      <c r="O7400">
        <v>0.99987349999999997</v>
      </c>
      <c r="P7400">
        <v>5.3618390000000002E-2</v>
      </c>
      <c r="Q7400">
        <v>2.8123780000000001E-2</v>
      </c>
      <c r="R7400">
        <v>0.99816539999999998</v>
      </c>
      <c r="S7400">
        <v>-0.16633609999999999</v>
      </c>
      <c r="T7400">
        <v>-0.1136385</v>
      </c>
      <c r="U7400">
        <v>3.0175169999999998</v>
      </c>
      <c r="V7400">
        <v>4.877418E-2</v>
      </c>
      <c r="W7400">
        <v>4.32431E-2</v>
      </c>
      <c r="X7400">
        <v>0.99787329999999996</v>
      </c>
      <c r="Y7400">
        <v>-5.984718E-2</v>
      </c>
      <c r="Z7400">
        <v>-3.7570060000000002E-2</v>
      </c>
      <c r="AA7400">
        <v>0.99750030000000001</v>
      </c>
      <c r="AB7400">
        <v>40</v>
      </c>
      <c r="AC7400">
        <v>-1.6265999999999901</v>
      </c>
      <c r="AD7400">
        <v>-1.109812380533</v>
      </c>
      <c r="AE7400">
        <v>29.0487</v>
      </c>
      <c r="AF7400">
        <v>-1.76501844058616</v>
      </c>
      <c r="AG7400">
        <v>-1.109812380533</v>
      </c>
      <c r="AH7400">
        <v>28.998267332500099</v>
      </c>
      <c r="AI7400">
        <v>92.187691316663205</v>
      </c>
      <c r="AJ7400">
        <v>93.483087441879107</v>
      </c>
      <c r="AK7400">
        <v>29.073123015987299</v>
      </c>
      <c r="AL7400">
        <v>87.521580051965401</v>
      </c>
      <c r="AM7400">
        <v>87.201716506280405</v>
      </c>
      <c r="AN7400">
        <v>1.0000000045925801</v>
      </c>
    </row>
    <row r="7401" spans="1:40" x14ac:dyDescent="0.25">
      <c r="A7401" t="str">
        <f>"20190312155020873"</f>
        <v>20190312155020873</v>
      </c>
      <c r="B7401" t="str">
        <f>"1552377020862744"</f>
        <v>1552377020862744</v>
      </c>
      <c r="C7401" t="s">
        <v>40</v>
      </c>
      <c r="D7401">
        <v>4.8637449999999998</v>
      </c>
      <c r="E7401">
        <v>0.45959860000000002</v>
      </c>
      <c r="F7401" t="s">
        <v>63</v>
      </c>
      <c r="G7401">
        <v>-189.59460000000001</v>
      </c>
      <c r="H7401" s="1">
        <v>-2.4500670000000002E-6</v>
      </c>
      <c r="I7401">
        <v>123.9933</v>
      </c>
      <c r="J7401">
        <v>-187.9922</v>
      </c>
      <c r="K7401">
        <v>1.109815</v>
      </c>
      <c r="L7401">
        <v>95.231719999999996</v>
      </c>
      <c r="M7401">
        <v>4.8534320000000004E-3</v>
      </c>
      <c r="N7401">
        <v>0</v>
      </c>
      <c r="O7401">
        <v>0.99987349999999997</v>
      </c>
      <c r="P7401">
        <v>5.3621370000000002E-2</v>
      </c>
      <c r="Q7401">
        <v>2.777222E-2</v>
      </c>
      <c r="R7401">
        <v>0.99817509999999998</v>
      </c>
      <c r="S7401">
        <v>-0.1655731</v>
      </c>
      <c r="T7401">
        <v>-0.1148144</v>
      </c>
      <c r="U7401">
        <v>3.017639</v>
      </c>
      <c r="V7401">
        <v>4.8777229999999998E-2</v>
      </c>
      <c r="W7401">
        <v>4.2887229999999998E-2</v>
      </c>
      <c r="X7401">
        <v>0.99788849999999996</v>
      </c>
      <c r="Y7401">
        <v>-5.9592590000000001E-2</v>
      </c>
      <c r="Z7401">
        <v>-3.7957280000000003E-2</v>
      </c>
      <c r="AA7401">
        <v>0.99750079999999997</v>
      </c>
      <c r="AB7401">
        <v>40</v>
      </c>
      <c r="AC7401">
        <v>-1.60240000000001</v>
      </c>
      <c r="AD7401">
        <v>-1.1098174500669999</v>
      </c>
      <c r="AE7401">
        <v>28.761579999999999</v>
      </c>
      <c r="AF7401">
        <v>-1.7394076492281101</v>
      </c>
      <c r="AG7401">
        <v>-1.1098174500669999</v>
      </c>
      <c r="AH7401">
        <v>28.710846648021299</v>
      </c>
      <c r="AI7401">
        <v>92.209618258378995</v>
      </c>
      <c r="AJ7401">
        <v>93.466949455307898</v>
      </c>
      <c r="AK7401">
        <v>28.784890984488101</v>
      </c>
      <c r="AL7401">
        <v>87.541988812723105</v>
      </c>
      <c r="AM7401">
        <v>87.201584357941499</v>
      </c>
      <c r="AN7401">
        <v>0.99999999554789698</v>
      </c>
    </row>
    <row r="7402" spans="1:40" x14ac:dyDescent="0.25">
      <c r="A7402" t="str">
        <f>"20190312155020894"</f>
        <v>20190312155020894</v>
      </c>
      <c r="B7402" t="str">
        <f>"1552377020883241"</f>
        <v>1552377020883241</v>
      </c>
      <c r="C7402" t="s">
        <v>40</v>
      </c>
      <c r="D7402">
        <v>4.8721350000000001</v>
      </c>
      <c r="E7402">
        <v>0.45944030000000002</v>
      </c>
      <c r="F7402" t="s">
        <v>63</v>
      </c>
      <c r="G7402">
        <v>-189.58369999999999</v>
      </c>
      <c r="H7402" s="1">
        <v>-2.4468180000000001E-6</v>
      </c>
      <c r="I7402">
        <v>123.9846</v>
      </c>
      <c r="J7402">
        <v>-187.99029999999999</v>
      </c>
      <c r="K7402">
        <v>1.1098129999999999</v>
      </c>
      <c r="L7402">
        <v>95.617519999999999</v>
      </c>
      <c r="M7402">
        <v>4.853291E-3</v>
      </c>
      <c r="N7402">
        <v>0</v>
      </c>
      <c r="O7402">
        <v>0.99987360000000003</v>
      </c>
      <c r="P7402">
        <v>5.3827760000000002E-2</v>
      </c>
      <c r="Q7402">
        <v>2.7995490000000001E-2</v>
      </c>
      <c r="R7402">
        <v>0.99815770000000004</v>
      </c>
      <c r="S7402">
        <v>-0.16703799999999999</v>
      </c>
      <c r="T7402">
        <v>-0.116478399999999</v>
      </c>
      <c r="U7402">
        <v>3.0177</v>
      </c>
      <c r="V7402">
        <v>4.8983859999999997E-2</v>
      </c>
      <c r="W7402">
        <v>4.3105900000000003E-2</v>
      </c>
      <c r="X7402">
        <v>0.99786900000000001</v>
      </c>
      <c r="Y7402">
        <v>-6.0072920000000002E-2</v>
      </c>
      <c r="Z7402">
        <v>-3.8504759999999999E-2</v>
      </c>
      <c r="AA7402">
        <v>0.99745110000000003</v>
      </c>
      <c r="AB7402">
        <v>40</v>
      </c>
      <c r="AC7402">
        <v>-1.5933999999999999</v>
      </c>
      <c r="AD7402">
        <v>-1.1098154468179999</v>
      </c>
      <c r="AE7402">
        <v>28.367079999999898</v>
      </c>
      <c r="AF7402">
        <v>-1.72843342252633</v>
      </c>
      <c r="AG7402">
        <v>-1.1098154468179999</v>
      </c>
      <c r="AH7402">
        <v>28.315806806697701</v>
      </c>
      <c r="AI7402">
        <v>92.240347816357698</v>
      </c>
      <c r="AJ7402">
        <v>93.493074247827707</v>
      </c>
      <c r="AK7402">
        <v>28.390211121728701</v>
      </c>
      <c r="AL7402">
        <v>87.529448455173807</v>
      </c>
      <c r="AM7402">
        <v>87.189693850050602</v>
      </c>
      <c r="AN7402">
        <v>1.0000000391581501</v>
      </c>
    </row>
    <row r="7403" spans="1:40" x14ac:dyDescent="0.25">
      <c r="A7403" t="str">
        <f>"20190312155020922"</f>
        <v>20190312155020922</v>
      </c>
      <c r="B7403" t="str">
        <f>"1552377020913496"</f>
        <v>1552377020913496</v>
      </c>
      <c r="C7403" t="s">
        <v>40</v>
      </c>
      <c r="D7403">
        <v>5.1390859999999998</v>
      </c>
      <c r="E7403">
        <v>0.45940130000000001</v>
      </c>
      <c r="F7403" t="s">
        <v>63</v>
      </c>
      <c r="G7403">
        <v>-189.5977</v>
      </c>
      <c r="H7403" s="1">
        <v>-2.7619979999999999E-6</v>
      </c>
      <c r="I7403">
        <v>124.56310000000001</v>
      </c>
      <c r="J7403">
        <v>-187.9881</v>
      </c>
      <c r="K7403">
        <v>1.1098129999999999</v>
      </c>
      <c r="L7403">
        <v>96.077939999999998</v>
      </c>
      <c r="M7403">
        <v>4.8531440000000002E-3</v>
      </c>
      <c r="N7403">
        <v>0</v>
      </c>
      <c r="O7403">
        <v>0.99987369999999998</v>
      </c>
      <c r="P7403">
        <v>5.3947549999999997E-2</v>
      </c>
      <c r="Q7403">
        <v>2.7955649999999999E-2</v>
      </c>
      <c r="R7403">
        <v>0.99815240000000005</v>
      </c>
      <c r="S7403">
        <v>-0.16758729999999999</v>
      </c>
      <c r="T7403">
        <v>-0.11570759999999999</v>
      </c>
      <c r="U7403">
        <v>3.0178219999999998</v>
      </c>
      <c r="V7403">
        <v>4.9103809999999998E-2</v>
      </c>
      <c r="W7403">
        <v>4.3060649999999999E-2</v>
      </c>
      <c r="X7403">
        <v>0.997865</v>
      </c>
      <c r="Y7403">
        <v>-6.0252090000000001E-2</v>
      </c>
      <c r="Z7403">
        <v>-3.8248379999999998E-2</v>
      </c>
      <c r="AA7403">
        <v>0.99745010000000001</v>
      </c>
      <c r="AB7403">
        <v>40</v>
      </c>
      <c r="AC7403">
        <v>-1.6095999999999999</v>
      </c>
      <c r="AD7403">
        <v>-1.109815761998</v>
      </c>
      <c r="AE7403">
        <v>28.48516</v>
      </c>
      <c r="AF7403">
        <v>-1.7451987219293099</v>
      </c>
      <c r="AG7403">
        <v>-1.109815761998</v>
      </c>
      <c r="AH7403">
        <v>28.4339872629598</v>
      </c>
      <c r="AI7403">
        <v>92.231000644300494</v>
      </c>
      <c r="AJ7403">
        <v>93.512248937937002</v>
      </c>
      <c r="AK7403">
        <v>28.509104533021802</v>
      </c>
      <c r="AL7403">
        <v>87.532043354962894</v>
      </c>
      <c r="AM7403">
        <v>87.182811866593198</v>
      </c>
      <c r="AN7403">
        <v>0.99999998097996901</v>
      </c>
    </row>
    <row r="7404" spans="1:40" x14ac:dyDescent="0.25">
      <c r="A7404" t="str">
        <f>"20190312155020943"</f>
        <v>20190312155020943</v>
      </c>
      <c r="B7404" t="str">
        <f>"1552377020933016"</f>
        <v>1552377020933016</v>
      </c>
      <c r="C7404" t="s">
        <v>40</v>
      </c>
      <c r="D7404">
        <v>4.9421169999999996</v>
      </c>
      <c r="E7404">
        <v>0.49804569999999998</v>
      </c>
      <c r="F7404" t="s">
        <v>63</v>
      </c>
      <c r="G7404">
        <v>-189.5967</v>
      </c>
      <c r="H7404" s="1">
        <v>-2.9425790000000001E-6</v>
      </c>
      <c r="I7404">
        <v>125.0442</v>
      </c>
      <c r="J7404">
        <v>-187.98599999999999</v>
      </c>
      <c r="K7404">
        <v>1.1098129999999999</v>
      </c>
      <c r="L7404">
        <v>96.493679999999998</v>
      </c>
      <c r="M7404">
        <v>4.8530079999999998E-3</v>
      </c>
      <c r="N7404">
        <v>0</v>
      </c>
      <c r="O7404">
        <v>0.99987380000000003</v>
      </c>
      <c r="P7404">
        <v>5.479796E-2</v>
      </c>
      <c r="Q7404">
        <v>2.848786E-2</v>
      </c>
      <c r="R7404">
        <v>0.99809099999999995</v>
      </c>
      <c r="S7404">
        <v>-0.16760249999999999</v>
      </c>
      <c r="T7404">
        <v>-0.11562649999999999</v>
      </c>
      <c r="U7404">
        <v>3.0178530000000001</v>
      </c>
      <c r="V7404">
        <v>4.9954650000000003E-2</v>
      </c>
      <c r="W7404">
        <v>4.3587519999999998E-2</v>
      </c>
      <c r="X7404">
        <v>0.99779989999999996</v>
      </c>
      <c r="Y7404">
        <v>-6.0256490000000003E-2</v>
      </c>
      <c r="Z7404">
        <v>-3.8221190000000002E-2</v>
      </c>
      <c r="AA7404">
        <v>0.99745090000000003</v>
      </c>
      <c r="AB7404">
        <v>40</v>
      </c>
      <c r="AC7404">
        <v>-1.6107</v>
      </c>
      <c r="AD7404">
        <v>-1.109815942579</v>
      </c>
      <c r="AE7404">
        <v>28.550519999999999</v>
      </c>
      <c r="AF7404">
        <v>-1.7466219562168199</v>
      </c>
      <c r="AG7404">
        <v>-1.109815942579</v>
      </c>
      <c r="AH7404">
        <v>28.499439120045299</v>
      </c>
      <c r="AI7404">
        <v>92.225894812956497</v>
      </c>
      <c r="AJ7404">
        <v>93.5070534215468</v>
      </c>
      <c r="AK7404">
        <v>28.574471295922699</v>
      </c>
      <c r="AL7404">
        <v>87.501827577988607</v>
      </c>
      <c r="AM7404">
        <v>87.133891417508195</v>
      </c>
      <c r="AN7404">
        <v>0.99999998969819104</v>
      </c>
    </row>
    <row r="7405" spans="1:40" x14ac:dyDescent="0.25">
      <c r="A7405" t="str">
        <f>"20190312155020964"</f>
        <v>20190312155020964</v>
      </c>
      <c r="B7405" t="str">
        <f>"1552377020953511"</f>
        <v>1552377020953511</v>
      </c>
      <c r="C7405" t="s">
        <v>40</v>
      </c>
      <c r="D7405">
        <v>4.8254590000000004</v>
      </c>
      <c r="E7405">
        <v>0.55268930000000005</v>
      </c>
      <c r="F7405" t="s">
        <v>63</v>
      </c>
      <c r="G7405">
        <v>-186.74760000000001</v>
      </c>
      <c r="H7405" s="1">
        <v>-2.1359639999999998E-6</v>
      </c>
      <c r="I7405">
        <v>122.6973</v>
      </c>
      <c r="J7405">
        <v>-187.98429999999999</v>
      </c>
      <c r="K7405">
        <v>1.1098209999999999</v>
      </c>
      <c r="L7405">
        <v>96.846339999999998</v>
      </c>
      <c r="M7405">
        <v>4.8528679999999998E-3</v>
      </c>
      <c r="N7405">
        <v>0</v>
      </c>
      <c r="O7405">
        <v>0.99987380000000003</v>
      </c>
      <c r="P7405">
        <v>5.6238709999999997E-2</v>
      </c>
      <c r="Q7405">
        <v>2.918078E-2</v>
      </c>
      <c r="R7405">
        <v>0.99799079999999996</v>
      </c>
      <c r="S7405">
        <v>0.14186099999999999</v>
      </c>
      <c r="T7405">
        <v>-0.12712789999999999</v>
      </c>
      <c r="U7405">
        <v>3.0015869999999998</v>
      </c>
      <c r="V7405">
        <v>5.1396049999999999E-2</v>
      </c>
      <c r="W7405">
        <v>4.4274929999999997E-2</v>
      </c>
      <c r="X7405">
        <v>0.99769649999999999</v>
      </c>
      <c r="Y7405">
        <v>4.2318540000000002E-2</v>
      </c>
      <c r="Z7405">
        <v>-4.2272379999999998E-2</v>
      </c>
      <c r="AA7405">
        <v>0.99820949999999997</v>
      </c>
      <c r="AB7405">
        <v>40</v>
      </c>
      <c r="AC7405">
        <v>1.2366999999999799</v>
      </c>
      <c r="AD7405">
        <v>-1.1098231359639901</v>
      </c>
      <c r="AE7405">
        <v>25.850960000000001</v>
      </c>
      <c r="AF7405">
        <v>1.10918009478874</v>
      </c>
      <c r="AG7405">
        <v>-1.1098231359639901</v>
      </c>
      <c r="AH7405">
        <v>25.809196867237301</v>
      </c>
      <c r="AI7405">
        <v>92.4599951416983</v>
      </c>
      <c r="AJ7405">
        <v>87.539161857853003</v>
      </c>
      <c r="AK7405">
        <v>25.856848818206899</v>
      </c>
      <c r="AL7405">
        <v>87.462404014213902</v>
      </c>
      <c r="AM7405">
        <v>87.051031077502799</v>
      </c>
      <c r="AN7405">
        <v>1.0000000647471701</v>
      </c>
    </row>
    <row r="7406" spans="1:40" x14ac:dyDescent="0.25">
      <c r="A7406" t="str">
        <f>"20190312155021009"</f>
        <v>20190312155021009</v>
      </c>
      <c r="B7406" t="str">
        <f>"1552377020993527"</f>
        <v>1552377020993527</v>
      </c>
      <c r="C7406" t="s">
        <v>40</v>
      </c>
      <c r="D7406">
        <v>4.9535770000000001</v>
      </c>
      <c r="E7406">
        <v>0.57112680000000005</v>
      </c>
      <c r="F7406" t="s">
        <v>63</v>
      </c>
      <c r="G7406">
        <v>-181.49</v>
      </c>
      <c r="H7406" s="1">
        <v>-5.4802669999999996E-6</v>
      </c>
      <c r="I7406">
        <v>130.0453</v>
      </c>
      <c r="J7406">
        <v>-187.98050000000001</v>
      </c>
      <c r="K7406">
        <v>1.109828</v>
      </c>
      <c r="L7406">
        <v>97.631230000000002</v>
      </c>
      <c r="M7406">
        <v>4.8525859999999999E-3</v>
      </c>
      <c r="N7406">
        <v>0</v>
      </c>
      <c r="O7406">
        <v>0.99987389999999998</v>
      </c>
      <c r="P7406">
        <v>6.1383790000000001E-2</v>
      </c>
      <c r="Q7406">
        <v>2.798314E-2</v>
      </c>
      <c r="R7406">
        <v>0.99772190000000005</v>
      </c>
      <c r="S7406">
        <v>0.58218380000000003</v>
      </c>
      <c r="T7406">
        <v>-9.9490999999999996E-2</v>
      </c>
      <c r="U7406">
        <v>2.9761350000000002</v>
      </c>
      <c r="V7406">
        <v>5.6542599999999901E-2</v>
      </c>
      <c r="W7406">
        <v>4.3064930000000001E-2</v>
      </c>
      <c r="X7406">
        <v>0.997471</v>
      </c>
      <c r="Y7406">
        <v>0.18711030000000001</v>
      </c>
      <c r="Z7406">
        <v>-3.2804779999999999E-2</v>
      </c>
      <c r="AA7406">
        <v>0.98179099999999997</v>
      </c>
      <c r="AB7406">
        <v>40</v>
      </c>
      <c r="AC7406">
        <v>6.4904999999999902</v>
      </c>
      <c r="AD7406">
        <v>-1.109833480267</v>
      </c>
      <c r="AE7406">
        <v>32.414069999999903</v>
      </c>
      <c r="AF7406">
        <v>6.32598328678925</v>
      </c>
      <c r="AG7406">
        <v>-1.109833480267</v>
      </c>
      <c r="AH7406">
        <v>32.408658683864601</v>
      </c>
      <c r="AI7406">
        <v>91.925024137940198</v>
      </c>
      <c r="AJ7406">
        <v>78.955070304144101</v>
      </c>
      <c r="AK7406">
        <v>33.038930863239003</v>
      </c>
      <c r="AL7406">
        <v>87.531798009618598</v>
      </c>
      <c r="AM7406">
        <v>86.755605899256196</v>
      </c>
      <c r="AN7406">
        <v>1.0000000248258301</v>
      </c>
    </row>
    <row r="7407" spans="1:40" x14ac:dyDescent="0.25">
      <c r="A7407" t="str">
        <f>"20190312155021028"</f>
        <v>20190312155021028</v>
      </c>
      <c r="B7407" t="str">
        <f>"1552377021022809"</f>
        <v>1552377021022809</v>
      </c>
      <c r="C7407" t="s">
        <v>40</v>
      </c>
      <c r="D7407">
        <v>4.9400469999999999</v>
      </c>
      <c r="E7407">
        <v>0.57516639999999997</v>
      </c>
      <c r="F7407" t="s">
        <v>42</v>
      </c>
      <c r="G7407">
        <v>-184.8553</v>
      </c>
      <c r="H7407" s="1">
        <v>-1.5535649999999999E-6</v>
      </c>
      <c r="I7407">
        <v>110.1908</v>
      </c>
      <c r="J7407">
        <v>-187.9786</v>
      </c>
      <c r="K7407">
        <v>1.109831</v>
      </c>
      <c r="L7407">
        <v>98.008970000000005</v>
      </c>
      <c r="M7407">
        <v>4.852482E-3</v>
      </c>
      <c r="N7407">
        <v>0</v>
      </c>
      <c r="O7407">
        <v>0.99987400000000004</v>
      </c>
      <c r="P7407">
        <v>6.5462129999999993E-2</v>
      </c>
      <c r="Q7407">
        <v>2.853265E-2</v>
      </c>
      <c r="R7407">
        <v>0.99744699999999997</v>
      </c>
      <c r="S7407">
        <v>0.73869319999999905</v>
      </c>
      <c r="T7407">
        <v>-0.26233390000000001</v>
      </c>
      <c r="U7407">
        <v>2.96875</v>
      </c>
      <c r="V7407">
        <v>6.0622349999999998E-2</v>
      </c>
      <c r="W7407">
        <v>4.3606109999999997E-2</v>
      </c>
      <c r="X7407">
        <v>0.99720779999999998</v>
      </c>
      <c r="Y7407">
        <v>0.23586460000000001</v>
      </c>
      <c r="Z7407">
        <v>-8.548559E-2</v>
      </c>
      <c r="AA7407">
        <v>0.96801870000000001</v>
      </c>
      <c r="AB7407">
        <v>40</v>
      </c>
      <c r="AC7407">
        <v>3.1233</v>
      </c>
      <c r="AD7407">
        <v>-1.109832553565</v>
      </c>
      <c r="AE7407">
        <v>12.18183</v>
      </c>
      <c r="AF7407">
        <v>3.0404644378949701</v>
      </c>
      <c r="AG7407">
        <v>-1.109832553565</v>
      </c>
      <c r="AH7407">
        <v>12.102585985121699</v>
      </c>
      <c r="AI7407">
        <v>95.082423749158096</v>
      </c>
      <c r="AJ7407">
        <v>75.897751338626406</v>
      </c>
      <c r="AK7407">
        <v>12.527918415376201</v>
      </c>
      <c r="AL7407">
        <v>87.500761409663696</v>
      </c>
      <c r="AM7407">
        <v>86.521150958192194</v>
      </c>
      <c r="AN7407">
        <v>0.99999997926484696</v>
      </c>
    </row>
    <row r="7408" spans="1:40" x14ac:dyDescent="0.25">
      <c r="A7408" t="str">
        <f>"20190312155021051"</f>
        <v>20190312155021051</v>
      </c>
      <c r="B7408" t="str">
        <f>"1552377021043304"</f>
        <v>1552377021043304</v>
      </c>
      <c r="C7408" t="s">
        <v>40</v>
      </c>
      <c r="D7408">
        <v>4.9520580000000001</v>
      </c>
      <c r="E7408">
        <v>0.57681729999999998</v>
      </c>
      <c r="F7408" t="s">
        <v>42</v>
      </c>
      <c r="G7408">
        <v>-184.93369999999999</v>
      </c>
      <c r="H7408" s="1">
        <v>-5.1551860000000002E-6</v>
      </c>
      <c r="I7408">
        <v>109.5548</v>
      </c>
      <c r="J7408">
        <v>-187.97659999999999</v>
      </c>
      <c r="K7408">
        <v>1.1098349999999999</v>
      </c>
      <c r="L7408">
        <v>98.41574</v>
      </c>
      <c r="M7408">
        <v>4.859627E-3</v>
      </c>
      <c r="N7408">
        <v>0</v>
      </c>
      <c r="O7408">
        <v>0.99987409999999999</v>
      </c>
      <c r="P7408">
        <v>7.0077639999999997E-2</v>
      </c>
      <c r="Q7408">
        <v>3.0037729999999999E-2</v>
      </c>
      <c r="R7408">
        <v>0.99708920000000001</v>
      </c>
      <c r="S7408">
        <v>0.78181460000000003</v>
      </c>
      <c r="T7408">
        <v>-0.2849643</v>
      </c>
      <c r="U7408">
        <v>2.9645389999999998</v>
      </c>
      <c r="V7408">
        <v>6.5232819999999997E-2</v>
      </c>
      <c r="W7408">
        <v>4.5100950000000001E-2</v>
      </c>
      <c r="X7408">
        <v>0.99685029999999997</v>
      </c>
      <c r="Y7408">
        <v>0.2492056</v>
      </c>
      <c r="Z7408">
        <v>-9.2603569999999996E-2</v>
      </c>
      <c r="AA7408">
        <v>0.96401300000000001</v>
      </c>
      <c r="AB7408">
        <v>40</v>
      </c>
      <c r="AC7408">
        <v>3.0428999999999999</v>
      </c>
      <c r="AD7408">
        <v>-1.109840155186</v>
      </c>
      <c r="AE7408">
        <v>11.139060000000001</v>
      </c>
      <c r="AF7408">
        <v>2.9613697476543899</v>
      </c>
      <c r="AG7408">
        <v>-1.109840155186</v>
      </c>
      <c r="AH7408">
        <v>11.051625087152299</v>
      </c>
      <c r="AI7408">
        <v>95.540425970765796</v>
      </c>
      <c r="AJ7408">
        <v>74.999536944087794</v>
      </c>
      <c r="AK7408">
        <v>11.495210873201099</v>
      </c>
      <c r="AL7408">
        <v>87.415028979659198</v>
      </c>
      <c r="AM7408">
        <v>86.255963538627498</v>
      </c>
      <c r="AN7408">
        <v>0.99999996855307105</v>
      </c>
    </row>
    <row r="7409" spans="1:40" x14ac:dyDescent="0.25">
      <c r="A7409" t="str">
        <f>"20190312155021073"</f>
        <v>20190312155021073</v>
      </c>
      <c r="B7409" t="str">
        <f>"1552377021062823"</f>
        <v>1552377021062823</v>
      </c>
      <c r="C7409" t="s">
        <v>40</v>
      </c>
      <c r="D7409">
        <v>4.970383</v>
      </c>
      <c r="E7409">
        <v>0.57775219999999905</v>
      </c>
      <c r="F7409" t="s">
        <v>42</v>
      </c>
      <c r="G7409">
        <v>-184.85079999999999</v>
      </c>
      <c r="H7409" s="1">
        <v>-1.4454599999999999E-6</v>
      </c>
      <c r="I7409">
        <v>109.86960000000001</v>
      </c>
      <c r="J7409">
        <v>-187.97470000000001</v>
      </c>
      <c r="K7409">
        <v>1.1098250000000001</v>
      </c>
      <c r="L7409">
        <v>98.798159999999996</v>
      </c>
      <c r="M7409">
        <v>4.9047889999999997E-3</v>
      </c>
      <c r="N7409">
        <v>0</v>
      </c>
      <c r="O7409">
        <v>0.99987389999999998</v>
      </c>
      <c r="P7409">
        <v>7.5369859999999997E-2</v>
      </c>
      <c r="Q7409">
        <v>2.995538E-2</v>
      </c>
      <c r="R7409">
        <v>0.99670559999999997</v>
      </c>
      <c r="S7409">
        <v>0.80796809999999997</v>
      </c>
      <c r="T7409">
        <v>-0.2868716</v>
      </c>
      <c r="U7409">
        <v>2.9606020000000002</v>
      </c>
      <c r="V7409">
        <v>7.0483829999999997E-2</v>
      </c>
      <c r="W7409">
        <v>4.5005669999999998E-2</v>
      </c>
      <c r="X7409">
        <v>0.99649719999999997</v>
      </c>
      <c r="Y7409">
        <v>0.25739919999999999</v>
      </c>
      <c r="Z7409">
        <v>-9.3130909999999997E-2</v>
      </c>
      <c r="AA7409">
        <v>0.96180679999999996</v>
      </c>
      <c r="AB7409">
        <v>40</v>
      </c>
      <c r="AC7409">
        <v>3.1239000000000199</v>
      </c>
      <c r="AD7409">
        <v>-1.10982644546</v>
      </c>
      <c r="AE7409">
        <v>11.071440000000001</v>
      </c>
      <c r="AF7409">
        <v>3.0412466994209502</v>
      </c>
      <c r="AG7409">
        <v>-1.10982644546</v>
      </c>
      <c r="AH7409">
        <v>10.9843932295058</v>
      </c>
      <c r="AI7409">
        <v>95.561551677641205</v>
      </c>
      <c r="AJ7409">
        <v>74.524197277491496</v>
      </c>
      <c r="AK7409">
        <v>11.4515409812913</v>
      </c>
      <c r="AL7409">
        <v>87.420493945704393</v>
      </c>
      <c r="AM7409">
        <v>85.954116644158603</v>
      </c>
      <c r="AN7409">
        <v>1.0000000751157201</v>
      </c>
    </row>
    <row r="7410" spans="1:40" x14ac:dyDescent="0.25">
      <c r="A7410" t="str">
        <f>"20190312155021095"</f>
        <v>20190312155021095</v>
      </c>
      <c r="B7410" t="str">
        <f>"1552377021083320"</f>
        <v>1552377021083320</v>
      </c>
      <c r="C7410" t="s">
        <v>40</v>
      </c>
      <c r="D7410">
        <v>5.0283819999999997</v>
      </c>
      <c r="E7410">
        <v>0.57841160000000003</v>
      </c>
      <c r="F7410" t="s">
        <v>42</v>
      </c>
      <c r="G7410">
        <v>-184.8288</v>
      </c>
      <c r="H7410" s="1">
        <v>-1.491145E-6</v>
      </c>
      <c r="I7410">
        <v>109.9866</v>
      </c>
      <c r="J7410">
        <v>-187.9727</v>
      </c>
      <c r="K7410">
        <v>1.109774</v>
      </c>
      <c r="L7410">
        <v>99.198239999999998</v>
      </c>
      <c r="M7410">
        <v>5.0316800000000002E-3</v>
      </c>
      <c r="N7410">
        <v>0</v>
      </c>
      <c r="O7410">
        <v>0.99987329999999996</v>
      </c>
      <c r="P7410">
        <v>7.9012299999999994E-2</v>
      </c>
      <c r="Q7410">
        <v>2.831388E-2</v>
      </c>
      <c r="R7410">
        <v>0.99647149999999995</v>
      </c>
      <c r="S7410">
        <v>0.83111569999999901</v>
      </c>
      <c r="T7410">
        <v>-0.29320350000000001</v>
      </c>
      <c r="U7410">
        <v>2.9558719999999998</v>
      </c>
      <c r="V7410">
        <v>7.4005840000000003E-2</v>
      </c>
      <c r="W7410">
        <v>4.3347429999999999E-2</v>
      </c>
      <c r="X7410">
        <v>0.99631530000000001</v>
      </c>
      <c r="Y7410">
        <v>0.26460349999999999</v>
      </c>
      <c r="Z7410">
        <v>-9.5121670000000005E-2</v>
      </c>
      <c r="AA7410">
        <v>0.95965460000000002</v>
      </c>
      <c r="AB7410">
        <v>40</v>
      </c>
      <c r="AC7410">
        <v>3.1438999999999999</v>
      </c>
      <c r="AD7410">
        <v>-1.109775491145</v>
      </c>
      <c r="AE7410">
        <v>10.7883599999999</v>
      </c>
      <c r="AF7410">
        <v>3.0597273820831301</v>
      </c>
      <c r="AG7410">
        <v>-1.109775491145</v>
      </c>
      <c r="AH7410">
        <v>10.699684950110299</v>
      </c>
      <c r="AI7410">
        <v>95.694881819114997</v>
      </c>
      <c r="AJ7410">
        <v>74.041363972504698</v>
      </c>
      <c r="AK7410">
        <v>11.183773572682499</v>
      </c>
      <c r="AL7410">
        <v>87.515596812529395</v>
      </c>
      <c r="AM7410">
        <v>85.751897414464807</v>
      </c>
      <c r="AN7410">
        <v>1.0000000205279</v>
      </c>
    </row>
    <row r="7411" spans="1:40" x14ac:dyDescent="0.25">
      <c r="A7411" t="str">
        <f>"20190312155021118"</f>
        <v>20190312155021118</v>
      </c>
      <c r="B7411" t="str">
        <f>"1552377021113577"</f>
        <v>1552377021113577</v>
      </c>
      <c r="C7411" t="s">
        <v>40</v>
      </c>
      <c r="D7411">
        <v>5.0084609999999996</v>
      </c>
      <c r="E7411">
        <v>0.57885149999999996</v>
      </c>
      <c r="F7411" t="s">
        <v>42</v>
      </c>
      <c r="G7411">
        <v>-184.8348</v>
      </c>
      <c r="H7411" s="1">
        <v>-1.5368419999999999E-6</v>
      </c>
      <c r="I7411">
        <v>110.12560000000001</v>
      </c>
      <c r="J7411">
        <v>-187.97049999999999</v>
      </c>
      <c r="K7411">
        <v>1.1096820000000001</v>
      </c>
      <c r="L7411">
        <v>99.594880000000003</v>
      </c>
      <c r="M7411">
        <v>5.2837159999999999E-3</v>
      </c>
      <c r="N7411">
        <v>0</v>
      </c>
      <c r="O7411">
        <v>0.99987210000000004</v>
      </c>
      <c r="P7411">
        <v>8.2074969999999997E-2</v>
      </c>
      <c r="Q7411">
        <v>2.7108070000000001E-2</v>
      </c>
      <c r="R7411">
        <v>0.99625739999999996</v>
      </c>
      <c r="S7411">
        <v>0.84767150000000002</v>
      </c>
      <c r="T7411">
        <v>-0.29979909999999999</v>
      </c>
      <c r="U7411">
        <v>2.951965</v>
      </c>
      <c r="V7411">
        <v>7.6827049999999994E-2</v>
      </c>
      <c r="W7411">
        <v>4.2117830000000002E-2</v>
      </c>
      <c r="X7411">
        <v>0.9961544</v>
      </c>
      <c r="Y7411">
        <v>0.2696112</v>
      </c>
      <c r="Z7411">
        <v>-9.7221909999999995E-2</v>
      </c>
      <c r="AA7411">
        <v>0.95804889999999998</v>
      </c>
      <c r="AB7411">
        <v>40</v>
      </c>
      <c r="AC7411">
        <v>3.1356999999999799</v>
      </c>
      <c r="AD7411">
        <v>-1.1096835368419999</v>
      </c>
      <c r="AE7411">
        <v>10.530720000000001</v>
      </c>
      <c r="AF7411">
        <v>3.0489105403233099</v>
      </c>
      <c r="AG7411">
        <v>-1.1096835368419999</v>
      </c>
      <c r="AH7411">
        <v>10.4406513849354</v>
      </c>
      <c r="AI7411">
        <v>95.825372640275901</v>
      </c>
      <c r="AJ7411">
        <v>73.720980327699195</v>
      </c>
      <c r="AK7411">
        <v>10.9331813474664</v>
      </c>
      <c r="AL7411">
        <v>87.586111943319395</v>
      </c>
      <c r="AM7411">
        <v>85.589871189503796</v>
      </c>
      <c r="AN7411">
        <v>0.99999994792748403</v>
      </c>
    </row>
    <row r="7412" spans="1:40" x14ac:dyDescent="0.25">
      <c r="A7412" t="str">
        <f>"20190312155021141"</f>
        <v>20190312155021141</v>
      </c>
      <c r="B7412" t="str">
        <f>"1552377021133096"</f>
        <v>1552377021133096</v>
      </c>
      <c r="C7412" t="s">
        <v>40</v>
      </c>
      <c r="D7412">
        <v>4.9978600000000002</v>
      </c>
      <c r="E7412">
        <v>0.57891179999999998</v>
      </c>
      <c r="F7412" t="s">
        <v>42</v>
      </c>
      <c r="G7412">
        <v>-184.8578</v>
      </c>
      <c r="H7412" s="1">
        <v>-1.576067E-6</v>
      </c>
      <c r="I7412">
        <v>110.2589</v>
      </c>
      <c r="J7412">
        <v>-187.96780000000001</v>
      </c>
      <c r="K7412">
        <v>1.1095330000000001</v>
      </c>
      <c r="L7412">
        <v>100.0244</v>
      </c>
      <c r="M7412">
        <v>5.7554520000000003E-3</v>
      </c>
      <c r="N7412">
        <v>0</v>
      </c>
      <c r="O7412">
        <v>0.99986960000000003</v>
      </c>
      <c r="P7412">
        <v>8.5434430000000006E-2</v>
      </c>
      <c r="Q7412">
        <v>2.7258750000000002E-2</v>
      </c>
      <c r="R7412">
        <v>0.99597080000000004</v>
      </c>
      <c r="S7412">
        <v>0.86068729999999904</v>
      </c>
      <c r="T7412">
        <v>-0.30684129999999998</v>
      </c>
      <c r="U7412">
        <v>2.9487299999999999</v>
      </c>
      <c r="V7412">
        <v>7.9732940000000002E-2</v>
      </c>
      <c r="W7412">
        <v>4.223122E-2</v>
      </c>
      <c r="X7412">
        <v>0.99592130000000001</v>
      </c>
      <c r="Y7412">
        <v>0.27327289999999999</v>
      </c>
      <c r="Z7412">
        <v>-9.9474179999999995E-2</v>
      </c>
      <c r="AA7412">
        <v>0.95677939999999995</v>
      </c>
      <c r="AB7412">
        <v>40</v>
      </c>
      <c r="AC7412">
        <v>3.1100000000000101</v>
      </c>
      <c r="AD7412">
        <v>-1.1095345760669999</v>
      </c>
      <c r="AE7412">
        <v>10.234499999999899</v>
      </c>
      <c r="AF7412">
        <v>3.0185595052822198</v>
      </c>
      <c r="AG7412">
        <v>-1.1095345760669999</v>
      </c>
      <c r="AH7412">
        <v>10.143097613328599</v>
      </c>
      <c r="AI7412">
        <v>95.985247033443997</v>
      </c>
      <c r="AJ7412">
        <v>73.427131499640694</v>
      </c>
      <c r="AK7412">
        <v>10.6407329473082</v>
      </c>
      <c r="AL7412">
        <v>87.579609579791494</v>
      </c>
      <c r="AM7412">
        <v>85.422692555313404</v>
      </c>
      <c r="AN7412">
        <v>1.0000000267287099</v>
      </c>
    </row>
    <row r="7413" spans="1:40" x14ac:dyDescent="0.25">
      <c r="A7413" t="str">
        <f>"20190312155021187"</f>
        <v>20190312155021187</v>
      </c>
      <c r="B7413" t="str">
        <f>"1552377021173112"</f>
        <v>1552377021173112</v>
      </c>
      <c r="C7413" t="s">
        <v>40</v>
      </c>
      <c r="D7413">
        <v>4.9785089999999999</v>
      </c>
      <c r="E7413">
        <v>0.57890109999999995</v>
      </c>
      <c r="F7413" t="s">
        <v>42</v>
      </c>
      <c r="G7413">
        <v>-184.83070000000001</v>
      </c>
      <c r="H7413" s="1">
        <v>-1.710456E-6</v>
      </c>
      <c r="I7413">
        <v>110.6326</v>
      </c>
      <c r="J7413">
        <v>-187.9615</v>
      </c>
      <c r="K7413">
        <v>1.1090899999999999</v>
      </c>
      <c r="L7413">
        <v>100.81829999999999</v>
      </c>
      <c r="M7413">
        <v>7.4432079999999998E-3</v>
      </c>
      <c r="N7413">
        <v>0</v>
      </c>
      <c r="O7413">
        <v>0.99985849999999998</v>
      </c>
      <c r="P7413">
        <v>9.2814140000000003E-2</v>
      </c>
      <c r="Q7413">
        <v>2.4592760000000002E-2</v>
      </c>
      <c r="R7413">
        <v>0.99537969999999998</v>
      </c>
      <c r="S7413">
        <v>0.87113949999999996</v>
      </c>
      <c r="T7413">
        <v>-0.30810979999999999</v>
      </c>
      <c r="U7413">
        <v>2.9458310000000001</v>
      </c>
      <c r="V7413">
        <v>8.5473750000000001E-2</v>
      </c>
      <c r="W7413">
        <v>3.9461200000000002E-2</v>
      </c>
      <c r="X7413">
        <v>0.99555870000000002</v>
      </c>
      <c r="Y7413">
        <v>0.27501550000000002</v>
      </c>
      <c r="Z7413">
        <v>-9.9899139999999997E-2</v>
      </c>
      <c r="AA7413">
        <v>0.95623559999999996</v>
      </c>
      <c r="AB7413">
        <v>40</v>
      </c>
      <c r="AC7413">
        <v>3.13079999999999</v>
      </c>
      <c r="AD7413">
        <v>-1.1090917104560001</v>
      </c>
      <c r="AE7413">
        <v>9.8142999999999994</v>
      </c>
      <c r="AF7413">
        <v>3.0226193203500702</v>
      </c>
      <c r="AG7413">
        <v>-1.1090917104560001</v>
      </c>
      <c r="AH7413">
        <v>9.7246141062069196</v>
      </c>
      <c r="AI7413">
        <v>96.215602773891604</v>
      </c>
      <c r="AJ7413">
        <v>72.733631062916999</v>
      </c>
      <c r="AK7413">
        <v>10.243750850767199</v>
      </c>
      <c r="AL7413">
        <v>87.738452667563905</v>
      </c>
      <c r="AM7413">
        <v>85.092900806084799</v>
      </c>
      <c r="AN7413">
        <v>1.0000000366950901</v>
      </c>
    </row>
    <row r="7414" spans="1:40" x14ac:dyDescent="0.25">
      <c r="A7414" t="str">
        <f>"20190312155021207"</f>
        <v>20190312155021207</v>
      </c>
      <c r="B7414" t="str">
        <f>"1552377021193609"</f>
        <v>1552377021193609</v>
      </c>
      <c r="C7414" t="s">
        <v>40</v>
      </c>
      <c r="D7414">
        <v>4.9651519999999998</v>
      </c>
      <c r="E7414">
        <v>0.57873109999999905</v>
      </c>
      <c r="F7414" t="s">
        <v>42</v>
      </c>
      <c r="G7414">
        <v>-184.8218</v>
      </c>
      <c r="H7414" s="1">
        <v>-1.8853509999999999E-6</v>
      </c>
      <c r="I7414">
        <v>111.1396</v>
      </c>
      <c r="J7414">
        <v>-187.95769999999999</v>
      </c>
      <c r="K7414">
        <v>1.10886</v>
      </c>
      <c r="L7414">
        <v>101.1808</v>
      </c>
      <c r="M7414">
        <v>8.6045849999999997E-3</v>
      </c>
      <c r="N7414">
        <v>0</v>
      </c>
      <c r="O7414">
        <v>0.99984919999999999</v>
      </c>
      <c r="P7414">
        <v>9.5620620000000003E-2</v>
      </c>
      <c r="Q7414">
        <v>2.3775540000000001E-2</v>
      </c>
      <c r="R7414">
        <v>0.99513390000000002</v>
      </c>
      <c r="S7414">
        <v>0.89382929999999905</v>
      </c>
      <c r="T7414">
        <v>-0.3157489</v>
      </c>
      <c r="U7414">
        <v>2.9383849999999998</v>
      </c>
      <c r="V7414">
        <v>8.7145730000000005E-2</v>
      </c>
      <c r="W7414">
        <v>3.8589730000000003E-2</v>
      </c>
      <c r="X7414">
        <v>0.99544790000000005</v>
      </c>
      <c r="Y7414">
        <v>0.28125149999999999</v>
      </c>
      <c r="Z7414">
        <v>-0.1023893</v>
      </c>
      <c r="AA7414">
        <v>0.95415620000000001</v>
      </c>
      <c r="AB7414">
        <v>40</v>
      </c>
      <c r="AC7414">
        <v>3.1358999999999901</v>
      </c>
      <c r="AD7414">
        <v>-1.1088618853509999</v>
      </c>
      <c r="AE7414">
        <v>9.9587999999999894</v>
      </c>
      <c r="AF7414">
        <v>3.01606368877089</v>
      </c>
      <c r="AG7414">
        <v>-1.1088618853509999</v>
      </c>
      <c r="AH7414">
        <v>9.8740450647830702</v>
      </c>
      <c r="AI7414">
        <v>96.130181281921494</v>
      </c>
      <c r="AJ7414">
        <v>73.014513940255299</v>
      </c>
      <c r="AK7414">
        <v>10.383784512251401</v>
      </c>
      <c r="AL7414">
        <v>87.788422279405296</v>
      </c>
      <c r="AM7414">
        <v>84.996839898457694</v>
      </c>
      <c r="AN7414">
        <v>1.00000003356655</v>
      </c>
    </row>
    <row r="7415" spans="1:40" x14ac:dyDescent="0.25">
      <c r="A7415" t="str">
        <f>"20190312155021229"</f>
        <v>20190312155021229</v>
      </c>
      <c r="B7415" t="str">
        <f>"1552377021222888"</f>
        <v>1552377021222888</v>
      </c>
      <c r="C7415" t="s">
        <v>40</v>
      </c>
      <c r="D7415">
        <v>4.9238600000000003</v>
      </c>
      <c r="E7415">
        <v>0.57852999999999999</v>
      </c>
      <c r="F7415" t="s">
        <v>42</v>
      </c>
      <c r="G7415">
        <v>-184.8116</v>
      </c>
      <c r="H7415" s="1">
        <v>-1.987146E-6</v>
      </c>
      <c r="I7415">
        <v>111.4308</v>
      </c>
      <c r="J7415">
        <v>-187.9529</v>
      </c>
      <c r="K7415">
        <v>1.1086240000000001</v>
      </c>
      <c r="L7415">
        <v>101.57259999999999</v>
      </c>
      <c r="M7415">
        <v>1.0105019999999999E-2</v>
      </c>
      <c r="N7415">
        <v>0</v>
      </c>
      <c r="O7415">
        <v>0.99983509999999998</v>
      </c>
      <c r="P7415">
        <v>9.7614919999999994E-2</v>
      </c>
      <c r="Q7415">
        <v>2.411982E-2</v>
      </c>
      <c r="R7415">
        <v>0.99493189999999998</v>
      </c>
      <c r="S7415">
        <v>0.90106200000000003</v>
      </c>
      <c r="T7415">
        <v>-0.31758639999999999</v>
      </c>
      <c r="U7415">
        <v>2.9356689999999999</v>
      </c>
      <c r="V7415">
        <v>8.7670869999999998E-2</v>
      </c>
      <c r="W7415">
        <v>3.8881819999999997E-2</v>
      </c>
      <c r="X7415">
        <v>0.99539040000000001</v>
      </c>
      <c r="Y7415">
        <v>0.28218870000000001</v>
      </c>
      <c r="Z7415">
        <v>-0.10301630000000001</v>
      </c>
      <c r="AA7415">
        <v>0.95381190000000005</v>
      </c>
      <c r="AB7415">
        <v>40</v>
      </c>
      <c r="AC7415">
        <v>3.1413000000000002</v>
      </c>
      <c r="AD7415">
        <v>-1.108625987146</v>
      </c>
      <c r="AE7415">
        <v>9.8582000000000001</v>
      </c>
      <c r="AF7415">
        <v>3.0069880073883</v>
      </c>
      <c r="AG7415">
        <v>-1.108625987146</v>
      </c>
      <c r="AH7415">
        <v>9.7771921277733291</v>
      </c>
      <c r="AI7415">
        <v>96.185522886027996</v>
      </c>
      <c r="AJ7415">
        <v>72.904652491637705</v>
      </c>
      <c r="AK7415">
        <v>10.289048272767699</v>
      </c>
      <c r="AL7415">
        <v>87.771674139937403</v>
      </c>
      <c r="AM7415">
        <v>84.966556015122293</v>
      </c>
      <c r="AN7415">
        <v>1.0000000128926101</v>
      </c>
    </row>
    <row r="7416" spans="1:40" x14ac:dyDescent="0.25">
      <c r="A7416" t="str">
        <f>"20190312155021252"</f>
        <v>20190312155021252</v>
      </c>
      <c r="B7416" t="str">
        <f>"1552377021243384"</f>
        <v>1552377021243384</v>
      </c>
      <c r="C7416" t="s">
        <v>40</v>
      </c>
      <c r="D7416">
        <v>4.8498460000000003</v>
      </c>
      <c r="E7416">
        <v>0.57844469999999903</v>
      </c>
      <c r="F7416" t="s">
        <v>42</v>
      </c>
      <c r="G7416">
        <v>-184.77279999999999</v>
      </c>
      <c r="H7416" s="1">
        <v>-2.1493119999999998E-6</v>
      </c>
      <c r="I7416">
        <v>111.87690000000001</v>
      </c>
      <c r="J7416">
        <v>-187.94710000000001</v>
      </c>
      <c r="K7416">
        <v>1.1083419999999999</v>
      </c>
      <c r="L7416">
        <v>101.971</v>
      </c>
      <c r="M7416">
        <v>1.2019739999999999E-2</v>
      </c>
      <c r="N7416">
        <v>0</v>
      </c>
      <c r="O7416">
        <v>0.99981390000000003</v>
      </c>
      <c r="P7416">
        <v>0.1004432</v>
      </c>
      <c r="Q7416">
        <v>2.4590509999999999E-2</v>
      </c>
      <c r="R7416">
        <v>0.99463889999999999</v>
      </c>
      <c r="S7416">
        <v>0.90553280000000003</v>
      </c>
      <c r="T7416">
        <v>-0.31567539999999999</v>
      </c>
      <c r="U7416">
        <v>2.9340820000000001</v>
      </c>
      <c r="V7416">
        <v>8.8623599999999997E-2</v>
      </c>
      <c r="W7416">
        <v>3.9288249999999997E-2</v>
      </c>
      <c r="X7416">
        <v>0.99529000000000001</v>
      </c>
      <c r="Y7416">
        <v>0.2818425</v>
      </c>
      <c r="Z7416">
        <v>-0.1024354</v>
      </c>
      <c r="AA7416">
        <v>0.95397679999999996</v>
      </c>
      <c r="AB7416">
        <v>39</v>
      </c>
      <c r="AC7416">
        <v>3.1743000000000099</v>
      </c>
      <c r="AD7416">
        <v>-1.1083441493120001</v>
      </c>
      <c r="AE7416">
        <v>9.9059000000000008</v>
      </c>
      <c r="AF7416">
        <v>3.0206968306540101</v>
      </c>
      <c r="AG7416">
        <v>-1.1083441493120001</v>
      </c>
      <c r="AH7416">
        <v>9.8317234957780109</v>
      </c>
      <c r="AI7416">
        <v>96.1504608643816</v>
      </c>
      <c r="AJ7416">
        <v>72.920958133636105</v>
      </c>
      <c r="AK7416">
        <v>10.3448452377728</v>
      </c>
      <c r="AL7416">
        <v>87.748369459756901</v>
      </c>
      <c r="AM7416">
        <v>84.911631989834902</v>
      </c>
      <c r="AN7416">
        <v>0.99999994658250901</v>
      </c>
    </row>
    <row r="7417" spans="1:40" x14ac:dyDescent="0.25">
      <c r="A7417" t="str">
        <f>"20190312155021273"</f>
        <v>20190312155021273</v>
      </c>
      <c r="B7417" t="str">
        <f>"1552377021262904"</f>
        <v>1552377021262904</v>
      </c>
      <c r="C7417" t="s">
        <v>40</v>
      </c>
      <c r="D7417">
        <v>4.8286379999999998</v>
      </c>
      <c r="E7417">
        <v>0.57836359999999998</v>
      </c>
      <c r="F7417" t="s">
        <v>42</v>
      </c>
      <c r="G7417">
        <v>-184.7253</v>
      </c>
      <c r="H7417" s="1">
        <v>-2.3110410000000001E-6</v>
      </c>
      <c r="I7417">
        <v>112.3151</v>
      </c>
      <c r="J7417">
        <v>-187.94059999999999</v>
      </c>
      <c r="K7417">
        <v>1.108025</v>
      </c>
      <c r="L7417">
        <v>102.3536</v>
      </c>
      <c r="M7417">
        <v>1.427143E-2</v>
      </c>
      <c r="N7417">
        <v>0</v>
      </c>
      <c r="O7417">
        <v>0.99978429999999996</v>
      </c>
      <c r="P7417">
        <v>0.10341740000000001</v>
      </c>
      <c r="Q7417">
        <v>2.4863280000000001E-2</v>
      </c>
      <c r="R7417">
        <v>0.99432719999999997</v>
      </c>
      <c r="S7417">
        <v>0.91313169999999999</v>
      </c>
      <c r="T7417">
        <v>-0.31413029999999997</v>
      </c>
      <c r="U7417">
        <v>2.9317319999999998</v>
      </c>
      <c r="V7417">
        <v>8.9391100000000001E-2</v>
      </c>
      <c r="W7417">
        <v>3.9489789999999997E-2</v>
      </c>
      <c r="X7417">
        <v>0.99521340000000003</v>
      </c>
      <c r="Y7417">
        <v>0.28216819999999998</v>
      </c>
      <c r="Z7417">
        <v>-0.1019694</v>
      </c>
      <c r="AA7417">
        <v>0.95393050000000001</v>
      </c>
      <c r="AB7417">
        <v>39</v>
      </c>
      <c r="AC7417">
        <v>3.2152999999999801</v>
      </c>
      <c r="AD7417">
        <v>-1.1080273110409999</v>
      </c>
      <c r="AE7417">
        <v>9.9614999999999991</v>
      </c>
      <c r="AF7417">
        <v>3.0387424174001998</v>
      </c>
      <c r="AG7417">
        <v>-1.1080273110409999</v>
      </c>
      <c r="AH7417">
        <v>9.8954986543568797</v>
      </c>
      <c r="AI7417">
        <v>96.109655469936698</v>
      </c>
      <c r="AJ7417">
        <v>72.929152045547994</v>
      </c>
      <c r="AK7417">
        <v>10.4106951554494</v>
      </c>
      <c r="AL7417">
        <v>87.736813134118506</v>
      </c>
      <c r="AM7417">
        <v>84.8674070190241</v>
      </c>
      <c r="AN7417">
        <v>0.99999996190650597</v>
      </c>
    </row>
    <row r="7418" spans="1:40" x14ac:dyDescent="0.25">
      <c r="A7418" t="str">
        <f>"20190312155021294"</f>
        <v>20190312155021294</v>
      </c>
      <c r="B7418" t="str">
        <f>"1552377021283400"</f>
        <v>1552377021283400</v>
      </c>
      <c r="C7418" t="s">
        <v>40</v>
      </c>
      <c r="D7418">
        <v>4.797288</v>
      </c>
      <c r="E7418">
        <v>0.57824469999999994</v>
      </c>
      <c r="F7418" t="s">
        <v>42</v>
      </c>
      <c r="G7418">
        <v>-184.6755</v>
      </c>
      <c r="H7418" s="1">
        <v>-2.4669099999999999E-6</v>
      </c>
      <c r="I7418">
        <v>112.7341</v>
      </c>
      <c r="J7418">
        <v>-187.9333</v>
      </c>
      <c r="K7418">
        <v>1.1076820000000001</v>
      </c>
      <c r="L7418">
        <v>102.7152</v>
      </c>
      <c r="M7418">
        <v>1.6780969999999999E-2</v>
      </c>
      <c r="N7418">
        <v>0</v>
      </c>
      <c r="O7418">
        <v>0.9997452</v>
      </c>
      <c r="P7418">
        <v>0.10736519999999999</v>
      </c>
      <c r="Q7418">
        <v>2.548334E-2</v>
      </c>
      <c r="R7418">
        <v>0.99389300000000003</v>
      </c>
      <c r="S7418">
        <v>0.92131039999999997</v>
      </c>
      <c r="T7418">
        <v>-0.31265399999999999</v>
      </c>
      <c r="U7418">
        <v>2.9290769999999999</v>
      </c>
      <c r="V7418">
        <v>9.0882580000000004E-2</v>
      </c>
      <c r="W7418">
        <v>4.0031049999999999E-2</v>
      </c>
      <c r="X7418">
        <v>0.99505670000000002</v>
      </c>
      <c r="Y7418">
        <v>0.28244609999999998</v>
      </c>
      <c r="Z7418">
        <v>-0.1015311</v>
      </c>
      <c r="AA7418">
        <v>0.95389500000000005</v>
      </c>
      <c r="AB7418">
        <v>39</v>
      </c>
      <c r="AC7418">
        <v>3.2578</v>
      </c>
      <c r="AD7418">
        <v>-1.1076844669099899</v>
      </c>
      <c r="AE7418">
        <v>10.0189</v>
      </c>
      <c r="AF7418">
        <v>3.0554187905316499</v>
      </c>
      <c r="AG7418">
        <v>-1.1076844669099899</v>
      </c>
      <c r="AH7418">
        <v>9.9620381170393699</v>
      </c>
      <c r="AI7418">
        <v>96.067925912074003</v>
      </c>
      <c r="AJ7418">
        <v>72.948899005484904</v>
      </c>
      <c r="AK7418">
        <v>10.4787762791803</v>
      </c>
      <c r="AL7418">
        <v>87.705776723331297</v>
      </c>
      <c r="AM7418">
        <v>84.781421999327407</v>
      </c>
      <c r="AN7418">
        <v>0.99999998226322395</v>
      </c>
    </row>
    <row r="7419" spans="1:40" x14ac:dyDescent="0.25">
      <c r="A7419" t="str">
        <f>"20190312155021317"</f>
        <v>20190312155021317</v>
      </c>
      <c r="B7419" t="str">
        <f>"1552377021302920"</f>
        <v>1552377021302920</v>
      </c>
      <c r="C7419" t="s">
        <v>40</v>
      </c>
      <c r="D7419">
        <v>4.7540040000000001</v>
      </c>
      <c r="E7419">
        <v>0.57811709999999905</v>
      </c>
      <c r="F7419" t="s">
        <v>42</v>
      </c>
      <c r="G7419">
        <v>-184.60159999999999</v>
      </c>
      <c r="H7419" s="1">
        <v>-2.6344940000000002E-6</v>
      </c>
      <c r="I7419">
        <v>113.1688</v>
      </c>
      <c r="J7419">
        <v>-187.92330000000001</v>
      </c>
      <c r="K7419">
        <v>1.1072500000000001</v>
      </c>
      <c r="L7419">
        <v>103.1305</v>
      </c>
      <c r="M7419">
        <v>2.0121969999999999E-2</v>
      </c>
      <c r="N7419">
        <v>0</v>
      </c>
      <c r="O7419">
        <v>0.9996834</v>
      </c>
      <c r="P7419">
        <v>0.11200889999999999</v>
      </c>
      <c r="Q7419">
        <v>2.609904E-2</v>
      </c>
      <c r="R7419">
        <v>0.99336440000000004</v>
      </c>
      <c r="S7419">
        <v>0.93241879999999999</v>
      </c>
      <c r="T7419">
        <v>-0.310007599999999</v>
      </c>
      <c r="U7419">
        <v>2.925659</v>
      </c>
      <c r="V7419">
        <v>9.2254459999999996E-2</v>
      </c>
      <c r="W7419">
        <v>4.0552289999999998E-2</v>
      </c>
      <c r="X7419">
        <v>0.9949093</v>
      </c>
      <c r="Y7419">
        <v>0.2828774</v>
      </c>
      <c r="Z7419">
        <v>-0.10072010000000001</v>
      </c>
      <c r="AA7419">
        <v>0.95385319999999996</v>
      </c>
      <c r="AB7419">
        <v>39</v>
      </c>
      <c r="AC7419">
        <v>3.3217000000000199</v>
      </c>
      <c r="AD7419">
        <v>-1.1072526344939999</v>
      </c>
      <c r="AE7419">
        <v>10.0383</v>
      </c>
      <c r="AF7419">
        <v>3.08518186877569</v>
      </c>
      <c r="AG7419">
        <v>-1.1072526344939999</v>
      </c>
      <c r="AH7419">
        <v>9.9935251639092808</v>
      </c>
      <c r="AI7419">
        <v>96.043215395635201</v>
      </c>
      <c r="AJ7419">
        <v>72.843597287525498</v>
      </c>
      <c r="AK7419">
        <v>10.517361872718</v>
      </c>
      <c r="AL7419">
        <v>87.675887511211897</v>
      </c>
      <c r="AM7419">
        <v>84.702311618105696</v>
      </c>
      <c r="AN7419">
        <v>0.99999994442031104</v>
      </c>
    </row>
    <row r="7420" spans="1:40" x14ac:dyDescent="0.25">
      <c r="A7420" t="str">
        <f>"20190312155021340"</f>
        <v>20190312155021340</v>
      </c>
      <c r="B7420" t="str">
        <f>"1552377021332739"</f>
        <v>1552377021332739</v>
      </c>
      <c r="C7420" t="s">
        <v>40</v>
      </c>
      <c r="D7420">
        <v>4.7131660000000002</v>
      </c>
      <c r="E7420">
        <v>0.57800469999999904</v>
      </c>
      <c r="F7420" t="s">
        <v>42</v>
      </c>
      <c r="G7420">
        <v>-184.51390000000001</v>
      </c>
      <c r="H7420" s="1">
        <v>-2.8282190000000002E-6</v>
      </c>
      <c r="I7420">
        <v>113.6695</v>
      </c>
      <c r="J7420">
        <v>-187.9118</v>
      </c>
      <c r="K7420">
        <v>1.1068129999999901</v>
      </c>
      <c r="L7420">
        <v>103.5354</v>
      </c>
      <c r="M7420">
        <v>2.383853E-2</v>
      </c>
      <c r="N7420">
        <v>0</v>
      </c>
      <c r="O7420">
        <v>0.99960139999999997</v>
      </c>
      <c r="P7420">
        <v>0.11738560000000001</v>
      </c>
      <c r="Q7420">
        <v>2.65337E-2</v>
      </c>
      <c r="R7420">
        <v>0.9927319</v>
      </c>
      <c r="S7420">
        <v>0.94511409999999996</v>
      </c>
      <c r="T7420">
        <v>-0.30694250000000001</v>
      </c>
      <c r="U7420">
        <v>2.9215390000000001</v>
      </c>
      <c r="V7420">
        <v>9.3989039999999996E-2</v>
      </c>
      <c r="W7420">
        <v>4.0888180000000003E-2</v>
      </c>
      <c r="X7420">
        <v>0.99473319999999998</v>
      </c>
      <c r="Y7420">
        <v>0.28348839999999997</v>
      </c>
      <c r="Z7420">
        <v>-9.9781709999999996E-2</v>
      </c>
      <c r="AA7420">
        <v>0.95377040000000002</v>
      </c>
      <c r="AB7420">
        <v>39</v>
      </c>
      <c r="AC7420">
        <v>3.3978999999999902</v>
      </c>
      <c r="AD7420">
        <v>-1.1068158282189999</v>
      </c>
      <c r="AE7420">
        <v>10.1341</v>
      </c>
      <c r="AF7420">
        <v>3.1218493173931798</v>
      </c>
      <c r="AG7420">
        <v>-1.1068158282189999</v>
      </c>
      <c r="AH7420">
        <v>10.1038870439137</v>
      </c>
      <c r="AI7420">
        <v>95.974916684859096</v>
      </c>
      <c r="AJ7420">
        <v>72.830154307278207</v>
      </c>
      <c r="AK7420">
        <v>10.6329449276422</v>
      </c>
      <c r="AL7420">
        <v>87.656626494278797</v>
      </c>
      <c r="AM7420">
        <v>84.602336776788107</v>
      </c>
      <c r="AN7420">
        <v>0.99999996104303601</v>
      </c>
    </row>
    <row r="7421" spans="1:40" x14ac:dyDescent="0.25">
      <c r="A7421" t="str">
        <f>"20190312155021363"</f>
        <v>20190312155021363</v>
      </c>
      <c r="B7421" t="str">
        <f>"1552377021353236"</f>
        <v>1552377021353236</v>
      </c>
      <c r="C7421" t="s">
        <v>40</v>
      </c>
      <c r="D7421">
        <v>4.7202830000000002</v>
      </c>
      <c r="E7421">
        <v>0.57791079999999995</v>
      </c>
      <c r="F7421" t="s">
        <v>42</v>
      </c>
      <c r="G7421">
        <v>-184.4263</v>
      </c>
      <c r="H7421" s="1">
        <v>-3.0075640000000001E-6</v>
      </c>
      <c r="I7421">
        <v>114.128</v>
      </c>
      <c r="J7421">
        <v>-187.8989</v>
      </c>
      <c r="K7421">
        <v>1.1064020000000001</v>
      </c>
      <c r="L7421">
        <v>103.93</v>
      </c>
      <c r="M7421">
        <v>2.7889210000000001E-2</v>
      </c>
      <c r="N7421">
        <v>0</v>
      </c>
      <c r="O7421">
        <v>0.99949639999999995</v>
      </c>
      <c r="P7421">
        <v>0.1233974</v>
      </c>
      <c r="Q7421">
        <v>2.6534189999999999E-2</v>
      </c>
      <c r="R7421">
        <v>0.99200250000000001</v>
      </c>
      <c r="S7421">
        <v>0.95974729999999997</v>
      </c>
      <c r="T7421">
        <v>-0.30475799999999997</v>
      </c>
      <c r="U7421">
        <v>2.9166259999999999</v>
      </c>
      <c r="V7421">
        <v>9.6025819999999998E-2</v>
      </c>
      <c r="W7421">
        <v>4.0790029999999998E-2</v>
      </c>
      <c r="X7421">
        <v>0.9945427</v>
      </c>
      <c r="Y7421">
        <v>0.28441899999999998</v>
      </c>
      <c r="Z7421">
        <v>-9.9131860000000002E-2</v>
      </c>
      <c r="AA7421">
        <v>0.95356110000000005</v>
      </c>
      <c r="AB7421">
        <v>39</v>
      </c>
      <c r="AC7421">
        <v>3.4725999999999999</v>
      </c>
      <c r="AD7421">
        <v>-1.106405007564</v>
      </c>
      <c r="AE7421">
        <v>10.197999999999899</v>
      </c>
      <c r="AF7421">
        <v>3.1535399673395199</v>
      </c>
      <c r="AG7421">
        <v>-1.106405007564</v>
      </c>
      <c r="AH7421">
        <v>10.183480425271799</v>
      </c>
      <c r="AI7421">
        <v>95.925208411219202</v>
      </c>
      <c r="AJ7421">
        <v>72.793704498231506</v>
      </c>
      <c r="AK7421">
        <v>10.7178458627778</v>
      </c>
      <c r="AL7421">
        <v>87.662254822996999</v>
      </c>
      <c r="AM7421">
        <v>84.485030897674093</v>
      </c>
      <c r="AN7421">
        <v>0.99999998338868101</v>
      </c>
    </row>
    <row r="7422" spans="1:40" x14ac:dyDescent="0.25">
      <c r="A7422" t="str">
        <f>"20190312155021384"</f>
        <v>20190312155021384</v>
      </c>
      <c r="B7422" t="str">
        <f>"1552377021372755"</f>
        <v>1552377021372755</v>
      </c>
      <c r="C7422" t="s">
        <v>40</v>
      </c>
      <c r="D7422">
        <v>4.6724509999999997</v>
      </c>
      <c r="E7422">
        <v>0.57786579999999999</v>
      </c>
      <c r="F7422" t="s">
        <v>42</v>
      </c>
      <c r="G7422">
        <v>-184.35159999999999</v>
      </c>
      <c r="H7422" s="1">
        <v>-3.1564169999999998E-6</v>
      </c>
      <c r="I7422">
        <v>114.50700000000001</v>
      </c>
      <c r="J7422">
        <v>-187.88460000000001</v>
      </c>
      <c r="K7422">
        <v>1.1060209999999999</v>
      </c>
      <c r="L7422">
        <v>104.31019999999999</v>
      </c>
      <c r="M7422">
        <v>3.2182379999999997E-2</v>
      </c>
      <c r="N7422">
        <v>0</v>
      </c>
      <c r="O7422">
        <v>0.99936720000000001</v>
      </c>
      <c r="P7422">
        <v>0.13018589999999999</v>
      </c>
      <c r="Q7422">
        <v>2.668216E-2</v>
      </c>
      <c r="R7422">
        <v>0.99113050000000003</v>
      </c>
      <c r="S7422">
        <v>0.9762421</v>
      </c>
      <c r="T7422">
        <v>-0.30449140000000002</v>
      </c>
      <c r="U7422">
        <v>2.9108890000000001</v>
      </c>
      <c r="V7422">
        <v>9.860265E-2</v>
      </c>
      <c r="W7422">
        <v>4.0835290000000003E-2</v>
      </c>
      <c r="X7422">
        <v>0.99428870000000003</v>
      </c>
      <c r="Y7422">
        <v>0.28572690000000001</v>
      </c>
      <c r="Z7422">
        <v>-9.910505E-2</v>
      </c>
      <c r="AA7422">
        <v>0.95317280000000004</v>
      </c>
      <c r="AB7422">
        <v>39</v>
      </c>
      <c r="AC7422">
        <v>3.5330000000000101</v>
      </c>
      <c r="AD7422">
        <v>-1.1060241564169999</v>
      </c>
      <c r="AE7422">
        <v>10.1968</v>
      </c>
      <c r="AF7422">
        <v>3.1696795292048701</v>
      </c>
      <c r="AG7422">
        <v>-1.1060241564169999</v>
      </c>
      <c r="AH7422">
        <v>10.1981070937656</v>
      </c>
      <c r="AI7422">
        <v>95.912856401823802</v>
      </c>
      <c r="AJ7422">
        <v>72.734202828389797</v>
      </c>
      <c r="AK7422">
        <v>10.7364587294113</v>
      </c>
      <c r="AL7422">
        <v>87.6596595187291</v>
      </c>
      <c r="AM7422">
        <v>84.336550174813894</v>
      </c>
      <c r="AN7422">
        <v>1.00000001122204</v>
      </c>
    </row>
    <row r="7423" spans="1:40" x14ac:dyDescent="0.25">
      <c r="A7423" t="str">
        <f>"20190312155021406"</f>
        <v>20190312155021406</v>
      </c>
      <c r="B7423" t="str">
        <f>"1552377021393251"</f>
        <v>1552377021393251</v>
      </c>
      <c r="C7423" t="s">
        <v>40</v>
      </c>
      <c r="D7423">
        <v>4.6919570000000004</v>
      </c>
      <c r="E7423">
        <v>0.57780609999999999</v>
      </c>
      <c r="F7423" t="s">
        <v>42</v>
      </c>
      <c r="G7423">
        <v>-184.27160000000001</v>
      </c>
      <c r="H7423" s="1">
        <v>-3.2947500000000001E-6</v>
      </c>
      <c r="I7423">
        <v>114.851</v>
      </c>
      <c r="J7423">
        <v>-187.8681</v>
      </c>
      <c r="K7423">
        <v>1.105661</v>
      </c>
      <c r="L7423">
        <v>104.6917</v>
      </c>
      <c r="M7423">
        <v>3.6849600000000003E-2</v>
      </c>
      <c r="N7423">
        <v>0</v>
      </c>
      <c r="O7423">
        <v>0.99920569999999997</v>
      </c>
      <c r="P7423">
        <v>0.13819219999999999</v>
      </c>
      <c r="Q7423">
        <v>2.6246720000000001E-2</v>
      </c>
      <c r="R7423">
        <v>0.99005759999999998</v>
      </c>
      <c r="S7423">
        <v>0.99546809999999997</v>
      </c>
      <c r="T7423">
        <v>-0.30474259999999997</v>
      </c>
      <c r="U7423">
        <v>2.9042970000000001</v>
      </c>
      <c r="V7423">
        <v>0.1020266</v>
      </c>
      <c r="W7423">
        <v>4.0289289999999998E-2</v>
      </c>
      <c r="X7423">
        <v>0.9939654</v>
      </c>
      <c r="Y7423">
        <v>0.28755849999999999</v>
      </c>
      <c r="Z7423">
        <v>-9.9243369999999997E-2</v>
      </c>
      <c r="AA7423">
        <v>0.95260739999999999</v>
      </c>
      <c r="AB7423">
        <v>39</v>
      </c>
      <c r="AC7423">
        <v>3.59649999999999</v>
      </c>
      <c r="AD7423">
        <v>-1.1056642947499999</v>
      </c>
      <c r="AE7423">
        <v>10.1593</v>
      </c>
      <c r="AF7423">
        <v>3.1861122249260299</v>
      </c>
      <c r="AG7423">
        <v>-1.1056642947499999</v>
      </c>
      <c r="AH7423">
        <v>10.177816948224599</v>
      </c>
      <c r="AI7423">
        <v>95.918912750224905</v>
      </c>
      <c r="AJ7423">
        <v>72.617544434644103</v>
      </c>
      <c r="AK7423">
        <v>10.7220223127018</v>
      </c>
      <c r="AL7423">
        <v>87.690968605901006</v>
      </c>
      <c r="AM7423">
        <v>84.139341351263894</v>
      </c>
      <c r="AN7423">
        <v>0.99999993519670904</v>
      </c>
    </row>
    <row r="7424" spans="1:40" x14ac:dyDescent="0.25">
      <c r="A7424" t="str">
        <f>"20190312155021429"</f>
        <v>20190312155021429</v>
      </c>
      <c r="B7424" t="str">
        <f>"1552377021423507"</f>
        <v>1552377021423507</v>
      </c>
      <c r="C7424" t="s">
        <v>40</v>
      </c>
      <c r="D7424">
        <v>5.7564339999999996</v>
      </c>
      <c r="E7424">
        <v>0.57775279999999996</v>
      </c>
      <c r="F7424" t="s">
        <v>42</v>
      </c>
      <c r="G7424">
        <v>-184.17169999999999</v>
      </c>
      <c r="H7424" s="1">
        <v>-3.4414100000000001E-6</v>
      </c>
      <c r="I7424">
        <v>115.2038</v>
      </c>
      <c r="J7424">
        <v>-187.84880000000001</v>
      </c>
      <c r="K7424">
        <v>1.10531</v>
      </c>
      <c r="L7424">
        <v>105.09059999999999</v>
      </c>
      <c r="M7424">
        <v>4.2055290000000002E-2</v>
      </c>
      <c r="N7424">
        <v>0</v>
      </c>
      <c r="O7424">
        <v>0.999</v>
      </c>
      <c r="P7424">
        <v>0.14676939999999999</v>
      </c>
      <c r="Q7424">
        <v>2.5174709999999999E-2</v>
      </c>
      <c r="R7424">
        <v>0.98885040000000002</v>
      </c>
      <c r="S7424">
        <v>1.018356</v>
      </c>
      <c r="T7424">
        <v>-0.30460799999999999</v>
      </c>
      <c r="U7424">
        <v>2.8960569999999999</v>
      </c>
      <c r="V7424">
        <v>0.10548540000000001</v>
      </c>
      <c r="W7424">
        <v>3.910433E-2</v>
      </c>
      <c r="X7424">
        <v>0.99365170000000003</v>
      </c>
      <c r="Y7424">
        <v>0.29011690000000001</v>
      </c>
      <c r="Z7424">
        <v>-9.9270049999999999E-2</v>
      </c>
      <c r="AA7424">
        <v>0.95182860000000002</v>
      </c>
      <c r="AB7424">
        <v>39</v>
      </c>
      <c r="AC7424">
        <v>3.6771000000000198</v>
      </c>
      <c r="AD7424">
        <v>-1.1053134414100001</v>
      </c>
      <c r="AE7424">
        <v>10.113200000000001</v>
      </c>
      <c r="AF7424">
        <v>3.21456842104647</v>
      </c>
      <c r="AG7424">
        <v>-1.1053134414100001</v>
      </c>
      <c r="AH7424">
        <v>10.151804026093901</v>
      </c>
      <c r="AI7424">
        <v>95.926022272743097</v>
      </c>
      <c r="AJ7424">
        <v>72.429610785584401</v>
      </c>
      <c r="AK7424">
        <v>10.705806504956399</v>
      </c>
      <c r="AL7424">
        <v>87.758915545588593</v>
      </c>
      <c r="AM7424">
        <v>83.940214547026898</v>
      </c>
      <c r="AN7424">
        <v>1.00000000957539</v>
      </c>
    </row>
    <row r="7425" spans="1:40" x14ac:dyDescent="0.25">
      <c r="A7425" t="str">
        <f>"20190312155021451"</f>
        <v>20190312155021451</v>
      </c>
      <c r="B7425" t="str">
        <f>"1552377021443636"</f>
        <v>1552377021443636</v>
      </c>
      <c r="C7425" t="s">
        <v>40</v>
      </c>
      <c r="D7425">
        <v>4.5635789999999998</v>
      </c>
      <c r="E7425">
        <v>0.5701195</v>
      </c>
      <c r="F7425" t="s">
        <v>42</v>
      </c>
      <c r="G7425">
        <v>-184.08869999999999</v>
      </c>
      <c r="H7425" s="1">
        <v>-3.5650339999999998E-6</v>
      </c>
      <c r="I7425">
        <v>115.4987</v>
      </c>
      <c r="J7425">
        <v>-187.82820000000001</v>
      </c>
      <c r="K7425">
        <v>1.1050169999999999</v>
      </c>
      <c r="L7425">
        <v>105.4712</v>
      </c>
      <c r="M7425">
        <v>4.7253360000000001E-2</v>
      </c>
      <c r="N7425">
        <v>0</v>
      </c>
      <c r="O7425">
        <v>0.99876739999999997</v>
      </c>
      <c r="P7425">
        <v>0.15523580000000001</v>
      </c>
      <c r="Q7425">
        <v>2.466629E-2</v>
      </c>
      <c r="R7425">
        <v>0.98756949999999999</v>
      </c>
      <c r="S7425">
        <v>1.042923</v>
      </c>
      <c r="T7425">
        <v>-0.30657450000000003</v>
      </c>
      <c r="U7425">
        <v>2.886841</v>
      </c>
      <c r="V7425">
        <v>0.1088493</v>
      </c>
      <c r="W7425">
        <v>3.8490620000000003E-2</v>
      </c>
      <c r="X7425">
        <v>0.9933128</v>
      </c>
      <c r="Y7425">
        <v>0.29324879999999998</v>
      </c>
      <c r="Z7425">
        <v>-9.9980280000000005E-2</v>
      </c>
      <c r="AA7425">
        <v>0.95079389999999997</v>
      </c>
      <c r="AB7425">
        <v>39</v>
      </c>
      <c r="AC7425">
        <v>3.73950000000002</v>
      </c>
      <c r="AD7425">
        <v>-1.1050205650339999</v>
      </c>
      <c r="AE7425">
        <v>10.0275</v>
      </c>
      <c r="AF7425">
        <v>3.2270301722894601</v>
      </c>
      <c r="AG7425">
        <v>-1.1050205650339999</v>
      </c>
      <c r="AH7425">
        <v>10.085497412744401</v>
      </c>
      <c r="AI7425">
        <v>95.957459899827398</v>
      </c>
      <c r="AJ7425">
        <v>72.257023828262305</v>
      </c>
      <c r="AK7425">
        <v>10.646692079913301</v>
      </c>
      <c r="AL7425">
        <v>87.794105030174606</v>
      </c>
      <c r="AM7425">
        <v>83.746360379435103</v>
      </c>
      <c r="AN7425">
        <v>1.00000000829115</v>
      </c>
    </row>
    <row r="7426" spans="1:40" x14ac:dyDescent="0.25">
      <c r="A7426" t="str">
        <f>"20190312155021473"</f>
        <v>20190312155021473</v>
      </c>
      <c r="B7426" t="str">
        <f>"1552377021463156"</f>
        <v>1552377021463156</v>
      </c>
      <c r="C7426" t="s">
        <v>40</v>
      </c>
      <c r="D7426">
        <v>4.6035919999999999</v>
      </c>
      <c r="E7426">
        <v>0.57067400000000001</v>
      </c>
      <c r="F7426" t="s">
        <v>63</v>
      </c>
      <c r="G7426">
        <v>-182.6858</v>
      </c>
      <c r="H7426" s="1">
        <v>-2.0935669999999999E-6</v>
      </c>
      <c r="I7426">
        <v>120.1551</v>
      </c>
      <c r="J7426">
        <v>-187.80459999999999</v>
      </c>
      <c r="K7426">
        <v>1.104754</v>
      </c>
      <c r="L7426">
        <v>105.8668</v>
      </c>
      <c r="M7426">
        <v>5.2862119999999999E-2</v>
      </c>
      <c r="N7426">
        <v>0</v>
      </c>
      <c r="O7426">
        <v>0.99848599999999998</v>
      </c>
      <c r="P7426">
        <v>0.16335769999999999</v>
      </c>
      <c r="Q7426">
        <v>2.4770759999999999E-2</v>
      </c>
      <c r="R7426">
        <v>0.98625589999999996</v>
      </c>
      <c r="S7426">
        <v>1.0101469999999999</v>
      </c>
      <c r="T7426">
        <v>-0.217062</v>
      </c>
      <c r="U7426">
        <v>2.8843990000000002</v>
      </c>
      <c r="V7426">
        <v>0.1114716</v>
      </c>
      <c r="W7426">
        <v>3.8499680000000001E-2</v>
      </c>
      <c r="X7426">
        <v>0.99302159999999995</v>
      </c>
      <c r="Y7426">
        <v>0.27932899999999999</v>
      </c>
      <c r="Z7426">
        <v>-7.1281440000000001E-2</v>
      </c>
      <c r="AA7426">
        <v>0.95754589999999995</v>
      </c>
      <c r="AB7426">
        <v>39</v>
      </c>
      <c r="AC7426">
        <v>5.1187999999999896</v>
      </c>
      <c r="AD7426">
        <v>-1.104756093567</v>
      </c>
      <c r="AE7426">
        <v>14.2883</v>
      </c>
      <c r="AF7426">
        <v>4.3332854339931099</v>
      </c>
      <c r="AG7426">
        <v>-1.104756093567</v>
      </c>
      <c r="AH7426">
        <v>14.4623151225976</v>
      </c>
      <c r="AI7426">
        <v>94.185133337871903</v>
      </c>
      <c r="AJ7426">
        <v>73.320417790814503</v>
      </c>
      <c r="AK7426">
        <v>15.1379129137423</v>
      </c>
      <c r="AL7426">
        <v>87.793585572355397</v>
      </c>
      <c r="AM7426">
        <v>83.595077934105802</v>
      </c>
      <c r="AN7426">
        <v>1.00000002051661</v>
      </c>
    </row>
    <row r="7427" spans="1:40" x14ac:dyDescent="0.25">
      <c r="A7427" t="str">
        <f>"20190312155021494"</f>
        <v>20190312155021494</v>
      </c>
      <c r="B7427" t="str">
        <f>"1552377021482676"</f>
        <v>1552377021482676</v>
      </c>
      <c r="C7427" t="s">
        <v>40</v>
      </c>
      <c r="D7427">
        <v>4.7055480000000003</v>
      </c>
      <c r="E7427">
        <v>0.57057530000000001</v>
      </c>
      <c r="F7427" t="s">
        <v>63</v>
      </c>
      <c r="G7427">
        <v>-182.5368</v>
      </c>
      <c r="H7427" s="1">
        <v>-2.2216879999999999E-6</v>
      </c>
      <c r="I7427">
        <v>120.4554</v>
      </c>
      <c r="J7427">
        <v>-187.78049999999999</v>
      </c>
      <c r="K7427">
        <v>1.10453</v>
      </c>
      <c r="L7427">
        <v>106.2355</v>
      </c>
      <c r="M7427">
        <v>5.8245730000000003E-2</v>
      </c>
      <c r="N7427">
        <v>0</v>
      </c>
      <c r="O7427">
        <v>0.99818629999999997</v>
      </c>
      <c r="P7427">
        <v>0.17109360000000001</v>
      </c>
      <c r="Q7427">
        <v>2.5324530000000001E-2</v>
      </c>
      <c r="R7427">
        <v>0.98492930000000001</v>
      </c>
      <c r="S7427">
        <v>1.0382389999999999</v>
      </c>
      <c r="T7427">
        <v>-0.2177376</v>
      </c>
      <c r="U7427">
        <v>2.8752900000000001</v>
      </c>
      <c r="V7427">
        <v>0.1139396</v>
      </c>
      <c r="W7427">
        <v>3.8967109999999999E-2</v>
      </c>
      <c r="X7427">
        <v>0.99272320000000003</v>
      </c>
      <c r="Y7427">
        <v>0.28339189999999997</v>
      </c>
      <c r="Z7427">
        <v>-7.1525169999999999E-2</v>
      </c>
      <c r="AA7427">
        <v>0.95633319999999999</v>
      </c>
      <c r="AB7427">
        <v>39</v>
      </c>
      <c r="AC7427">
        <v>5.2436999999999898</v>
      </c>
      <c r="AD7427">
        <v>-1.104532221688</v>
      </c>
      <c r="AE7427">
        <v>14.2198999999999</v>
      </c>
      <c r="AF7427">
        <v>4.3831713514411303</v>
      </c>
      <c r="AG7427">
        <v>-1.104532221688</v>
      </c>
      <c r="AH7427">
        <v>14.424599607181101</v>
      </c>
      <c r="AI7427">
        <v>94.190288662471005</v>
      </c>
      <c r="AJ7427">
        <v>73.097662149652805</v>
      </c>
      <c r="AK7427">
        <v>15.116258014215299</v>
      </c>
      <c r="AL7427">
        <v>87.766783670212007</v>
      </c>
      <c r="AM7427">
        <v>83.452538902938898</v>
      </c>
      <c r="AN7427">
        <v>1.00000000996407</v>
      </c>
    </row>
    <row r="7428" spans="1:40" x14ac:dyDescent="0.25">
      <c r="A7428" t="str">
        <f>"20190312155021517"</f>
        <v>20190312155021517</v>
      </c>
      <c r="B7428" t="str">
        <f>"1552377021512933"</f>
        <v>1552377021512933</v>
      </c>
      <c r="C7428" t="s">
        <v>40</v>
      </c>
      <c r="D7428">
        <v>4.6504240000000001</v>
      </c>
      <c r="E7428">
        <v>0.57028909999999999</v>
      </c>
      <c r="F7428" t="s">
        <v>63</v>
      </c>
      <c r="G7428">
        <v>-182.35249999999999</v>
      </c>
      <c r="H7428" s="1">
        <v>-2.4068789999999998E-6</v>
      </c>
      <c r="I7428">
        <v>120.9178</v>
      </c>
      <c r="J7428">
        <v>-187.75129999999999</v>
      </c>
      <c r="K7428">
        <v>1.104309</v>
      </c>
      <c r="L7428">
        <v>106.6439</v>
      </c>
      <c r="M7428">
        <v>6.4351190000000003E-2</v>
      </c>
      <c r="N7428">
        <v>0</v>
      </c>
      <c r="O7428">
        <v>0.99781129999999996</v>
      </c>
      <c r="P7428">
        <v>0.1795187</v>
      </c>
      <c r="Q7428">
        <v>2.615667E-2</v>
      </c>
      <c r="R7428">
        <v>0.98340680000000003</v>
      </c>
      <c r="S7428">
        <v>1.060028</v>
      </c>
      <c r="T7428">
        <v>-0.21570610000000001</v>
      </c>
      <c r="U7428">
        <v>2.8673250000000001</v>
      </c>
      <c r="V7428">
        <v>0.1163978</v>
      </c>
      <c r="W7428">
        <v>3.9711349999999999E-2</v>
      </c>
      <c r="X7428">
        <v>0.99240850000000003</v>
      </c>
      <c r="Y7428">
        <v>0.28479939999999998</v>
      </c>
      <c r="Z7428">
        <v>-7.0900569999999996E-2</v>
      </c>
      <c r="AA7428">
        <v>0.95596150000000002</v>
      </c>
      <c r="AB7428">
        <v>39</v>
      </c>
      <c r="AC7428">
        <v>5.3987999999999898</v>
      </c>
      <c r="AD7428">
        <v>-1.1043114068790001</v>
      </c>
      <c r="AE7428">
        <v>14.2738999999999</v>
      </c>
      <c r="AF7428">
        <v>4.4456793828052099</v>
      </c>
      <c r="AG7428">
        <v>-1.1043114068790001</v>
      </c>
      <c r="AH7428">
        <v>14.5157574561369</v>
      </c>
      <c r="AI7428">
        <v>94.160461750354699</v>
      </c>
      <c r="AJ7428">
        <v>72.971967499235802</v>
      </c>
      <c r="AK7428">
        <v>15.221392294512899</v>
      </c>
      <c r="AL7428">
        <v>87.724108881704396</v>
      </c>
      <c r="AM7428">
        <v>83.310444811992099</v>
      </c>
      <c r="AN7428">
        <v>1.0000000350179501</v>
      </c>
    </row>
    <row r="7429" spans="1:40" x14ac:dyDescent="0.25">
      <c r="A7429" t="str">
        <f>"20190312155021542"</f>
        <v>20190312155021542</v>
      </c>
      <c r="B7429" t="str">
        <f>"1552377021533428"</f>
        <v>1552377021533428</v>
      </c>
      <c r="C7429" t="s">
        <v>40</v>
      </c>
      <c r="D7429">
        <v>4.7050510000000001</v>
      </c>
      <c r="E7429">
        <v>0.57039779999999995</v>
      </c>
      <c r="F7429" t="s">
        <v>63</v>
      </c>
      <c r="G7429">
        <v>-182.16900000000001</v>
      </c>
      <c r="H7429" s="1">
        <v>-2.5959669999999999E-6</v>
      </c>
      <c r="I7429">
        <v>121.3939</v>
      </c>
      <c r="J7429">
        <v>-187.71860000000001</v>
      </c>
      <c r="K7429">
        <v>1.104115</v>
      </c>
      <c r="L7429">
        <v>107.06619999999999</v>
      </c>
      <c r="M7429">
        <v>7.0780339999999997E-2</v>
      </c>
      <c r="N7429">
        <v>0</v>
      </c>
      <c r="O7429">
        <v>0.99737569999999998</v>
      </c>
      <c r="P7429">
        <v>0.18654490000000001</v>
      </c>
      <c r="Q7429">
        <v>2.572431E-2</v>
      </c>
      <c r="R7429">
        <v>0.98210960000000003</v>
      </c>
      <c r="S7429">
        <v>1.081955</v>
      </c>
      <c r="T7429">
        <v>-0.21403430000000001</v>
      </c>
      <c r="U7429">
        <v>2.8588100000000001</v>
      </c>
      <c r="V7429">
        <v>0.1171088</v>
      </c>
      <c r="W7429">
        <v>3.9222489999999999E-2</v>
      </c>
      <c r="X7429">
        <v>0.99234429999999996</v>
      </c>
      <c r="Y7429">
        <v>0.2859912</v>
      </c>
      <c r="Z7429">
        <v>-7.039861E-2</v>
      </c>
      <c r="AA7429">
        <v>0.95564280000000001</v>
      </c>
      <c r="AB7429">
        <v>39</v>
      </c>
      <c r="AC7429">
        <v>5.5495999999999901</v>
      </c>
      <c r="AD7429">
        <v>-1.104117595967</v>
      </c>
      <c r="AE7429">
        <v>14.3277</v>
      </c>
      <c r="AF7429">
        <v>4.4982130213384997</v>
      </c>
      <c r="AG7429">
        <v>-1.104117595967</v>
      </c>
      <c r="AH7429">
        <v>14.609166017802099</v>
      </c>
      <c r="AI7429">
        <v>94.1313374237875</v>
      </c>
      <c r="AJ7429">
        <v>72.886218956470003</v>
      </c>
      <c r="AK7429">
        <v>15.325818992366001</v>
      </c>
      <c r="AL7429">
        <v>87.752140351976195</v>
      </c>
      <c r="AM7429">
        <v>83.269524872365594</v>
      </c>
      <c r="AN7429">
        <v>1.0000000422508599</v>
      </c>
    </row>
    <row r="7430" spans="1:40" x14ac:dyDescent="0.25">
      <c r="A7430" t="str">
        <f>"20190312155021564"</f>
        <v>20190312155021564</v>
      </c>
      <c r="B7430" t="str">
        <f>"1552377021552948"</f>
        <v>1552377021552948</v>
      </c>
      <c r="C7430" t="s">
        <v>40</v>
      </c>
      <c r="D7430">
        <v>4.679335</v>
      </c>
      <c r="E7430">
        <v>0.570357</v>
      </c>
      <c r="F7430" t="s">
        <v>63</v>
      </c>
      <c r="G7430">
        <v>-182.07570000000001</v>
      </c>
      <c r="H7430" s="1">
        <v>-2.6968179999999998E-6</v>
      </c>
      <c r="I7430">
        <v>121.6521</v>
      </c>
      <c r="J7430">
        <v>-187.68719999999999</v>
      </c>
      <c r="K7430">
        <v>1.103972</v>
      </c>
      <c r="L7430">
        <v>107.4389</v>
      </c>
      <c r="M7430">
        <v>7.6523889999999997E-2</v>
      </c>
      <c r="N7430">
        <v>0</v>
      </c>
      <c r="O7430">
        <v>0.99695140000000004</v>
      </c>
      <c r="P7430">
        <v>0.19405330000000001</v>
      </c>
      <c r="Q7430">
        <v>2.5137570000000001E-2</v>
      </c>
      <c r="R7430">
        <v>0.98066880000000001</v>
      </c>
      <c r="S7430">
        <v>1.1028899999999999</v>
      </c>
      <c r="T7430">
        <v>-0.2157992</v>
      </c>
      <c r="U7430">
        <v>2.8508149999999999</v>
      </c>
      <c r="V7430">
        <v>0.1189891</v>
      </c>
      <c r="W7430">
        <v>3.8572589999999997E-2</v>
      </c>
      <c r="X7430">
        <v>0.99214599999999997</v>
      </c>
      <c r="Y7430">
        <v>0.28746349999999998</v>
      </c>
      <c r="Z7430">
        <v>-7.1009539999999996E-2</v>
      </c>
      <c r="AA7430">
        <v>0.95515570000000005</v>
      </c>
      <c r="AB7430">
        <v>39</v>
      </c>
      <c r="AC7430">
        <v>5.6114999999999702</v>
      </c>
      <c r="AD7430">
        <v>-1.103974696818</v>
      </c>
      <c r="AE7430">
        <v>14.213200000000001</v>
      </c>
      <c r="AF7430">
        <v>4.4838630458928002</v>
      </c>
      <c r="AG7430">
        <v>-1.103974696818</v>
      </c>
      <c r="AH7430">
        <v>14.525164033607901</v>
      </c>
      <c r="AI7430">
        <v>94.153686556806903</v>
      </c>
      <c r="AJ7430">
        <v>72.844741298310893</v>
      </c>
      <c r="AK7430">
        <v>15.2415280778783</v>
      </c>
      <c r="AL7430">
        <v>87.789404915657499</v>
      </c>
      <c r="AM7430">
        <v>83.161121739444894</v>
      </c>
      <c r="AN7430">
        <v>0.99999996796705803</v>
      </c>
    </row>
    <row r="7431" spans="1:40" x14ac:dyDescent="0.25">
      <c r="A7431" t="str">
        <f>"20190312155021586"</f>
        <v>20190312155021586</v>
      </c>
      <c r="B7431" t="str">
        <f>"1552377021573444"</f>
        <v>1552377021573444</v>
      </c>
      <c r="C7431" t="s">
        <v>40</v>
      </c>
      <c r="D7431">
        <v>4.6664879999999904</v>
      </c>
      <c r="E7431">
        <v>0.57018990000000003</v>
      </c>
      <c r="F7431" t="s">
        <v>63</v>
      </c>
      <c r="G7431">
        <v>-182.00649999999999</v>
      </c>
      <c r="H7431" s="1">
        <v>-2.7605760000000001E-6</v>
      </c>
      <c r="I7431">
        <v>121.8061</v>
      </c>
      <c r="J7431">
        <v>-187.65389999999999</v>
      </c>
      <c r="K7431">
        <v>1.1038600000000001</v>
      </c>
      <c r="L7431">
        <v>107.80929999999999</v>
      </c>
      <c r="M7431">
        <v>8.2268789999999994E-2</v>
      </c>
      <c r="N7431">
        <v>0</v>
      </c>
      <c r="O7431">
        <v>0.99649379999999999</v>
      </c>
      <c r="P7431">
        <v>0.20214289999999999</v>
      </c>
      <c r="Q7431">
        <v>2.5076979999999999E-2</v>
      </c>
      <c r="R7431">
        <v>0.97903490000000004</v>
      </c>
      <c r="S7431">
        <v>1.12384</v>
      </c>
      <c r="T7431">
        <v>-0.21840499999999999</v>
      </c>
      <c r="U7431">
        <v>2.842346</v>
      </c>
      <c r="V7431">
        <v>0.1214711</v>
      </c>
      <c r="W7431">
        <v>3.8444880000000001E-2</v>
      </c>
      <c r="X7431">
        <v>0.99185020000000002</v>
      </c>
      <c r="Y7431">
        <v>0.28898170000000001</v>
      </c>
      <c r="Z7431">
        <v>-7.1901110000000004E-2</v>
      </c>
      <c r="AA7431">
        <v>0.95463070000000005</v>
      </c>
      <c r="AB7431">
        <v>39</v>
      </c>
      <c r="AC7431">
        <v>5.6474000000000002</v>
      </c>
      <c r="AD7431">
        <v>-1.1038627605760001</v>
      </c>
      <c r="AE7431">
        <v>13.9968</v>
      </c>
      <c r="AF7431">
        <v>4.4528006266207703</v>
      </c>
      <c r="AG7431">
        <v>-1.1038627605760001</v>
      </c>
      <c r="AH7431">
        <v>14.337311198817799</v>
      </c>
      <c r="AI7431">
        <v>94.205266251467407</v>
      </c>
      <c r="AJ7431">
        <v>72.746547782095902</v>
      </c>
      <c r="AK7431">
        <v>15.05338629101</v>
      </c>
      <c r="AL7431">
        <v>87.796727723919503</v>
      </c>
      <c r="AM7431">
        <v>83.017801195466106</v>
      </c>
      <c r="AN7431">
        <v>1.0000000280867301</v>
      </c>
    </row>
    <row r="7432" spans="1:40" x14ac:dyDescent="0.25">
      <c r="A7432" t="str">
        <f>"20190312155021607"</f>
        <v>20190312155021607</v>
      </c>
      <c r="B7432" t="str">
        <f>"1552377021602726"</f>
        <v>1552377021602726</v>
      </c>
      <c r="C7432" t="s">
        <v>40</v>
      </c>
      <c r="D7432">
        <v>4.5624969999999996</v>
      </c>
      <c r="E7432">
        <v>0.57073180000000001</v>
      </c>
      <c r="F7432" t="s">
        <v>63</v>
      </c>
      <c r="G7432">
        <v>-181.87309999999999</v>
      </c>
      <c r="H7432" s="1">
        <v>-2.884958E-6</v>
      </c>
      <c r="I7432">
        <v>122.1079</v>
      </c>
      <c r="J7432">
        <v>-187.61699999999999</v>
      </c>
      <c r="K7432">
        <v>1.103793</v>
      </c>
      <c r="L7432">
        <v>108.193</v>
      </c>
      <c r="M7432">
        <v>8.8234240000000005E-2</v>
      </c>
      <c r="N7432">
        <v>0</v>
      </c>
      <c r="O7432">
        <v>0.99598319999999996</v>
      </c>
      <c r="P7432">
        <v>0.20989450000000001</v>
      </c>
      <c r="Q7432">
        <v>2.532825E-2</v>
      </c>
      <c r="R7432">
        <v>0.97739589999999998</v>
      </c>
      <c r="S7432">
        <v>1.1454930000000001</v>
      </c>
      <c r="T7432">
        <v>-0.21873500000000001</v>
      </c>
      <c r="U7432">
        <v>2.8333279999999998</v>
      </c>
      <c r="V7432">
        <v>0.12340329999999999</v>
      </c>
      <c r="W7432">
        <v>3.8644049999999999E-2</v>
      </c>
      <c r="X7432">
        <v>0.99160389999999998</v>
      </c>
      <c r="Y7432">
        <v>0.290572</v>
      </c>
      <c r="Z7432">
        <v>-7.204903E-2</v>
      </c>
      <c r="AA7432">
        <v>0.95413669999999995</v>
      </c>
      <c r="AB7432">
        <v>39</v>
      </c>
      <c r="AC7432">
        <v>5.7439000000000204</v>
      </c>
      <c r="AD7432">
        <v>-1.1037958849580001</v>
      </c>
      <c r="AE7432">
        <v>13.914899999999999</v>
      </c>
      <c r="AF7432">
        <v>4.46954923361778</v>
      </c>
      <c r="AG7432">
        <v>-1.1037958849580001</v>
      </c>
      <c r="AH7432">
        <v>14.290652161791099</v>
      </c>
      <c r="AI7432">
        <v>94.216082782737899</v>
      </c>
      <c r="AJ7432">
        <v>72.632387051182903</v>
      </c>
      <c r="AK7432">
        <v>15.013926032743401</v>
      </c>
      <c r="AL7432">
        <v>87.785307610105505</v>
      </c>
      <c r="AM7432">
        <v>82.906116340959002</v>
      </c>
      <c r="AN7432">
        <v>1.00000001577325</v>
      </c>
    </row>
    <row r="7433" spans="1:40" x14ac:dyDescent="0.25">
      <c r="A7433" t="str">
        <f>"20190312155021629"</f>
        <v>20190312155021629</v>
      </c>
      <c r="B7433" t="str">
        <f>"1552377021623220"</f>
        <v>1552377021623220</v>
      </c>
      <c r="C7433" t="s">
        <v>40</v>
      </c>
      <c r="D7433">
        <v>4.6764449999999904</v>
      </c>
      <c r="E7433">
        <v>0.57099259999999996</v>
      </c>
      <c r="F7433" t="s">
        <v>63</v>
      </c>
      <c r="G7433">
        <v>-181.48060000000001</v>
      </c>
      <c r="H7433" s="1">
        <v>-3.2448930000000001E-6</v>
      </c>
      <c r="I7433">
        <v>122.97539999999999</v>
      </c>
      <c r="J7433">
        <v>-187.57839999999999</v>
      </c>
      <c r="K7433">
        <v>1.10375</v>
      </c>
      <c r="L7433">
        <v>108.571</v>
      </c>
      <c r="M7433">
        <v>9.4107479999999993E-2</v>
      </c>
      <c r="N7433">
        <v>0</v>
      </c>
      <c r="O7433">
        <v>0.99544540000000004</v>
      </c>
      <c r="P7433">
        <v>0.2172403</v>
      </c>
      <c r="Q7433">
        <v>2.5966510000000002E-2</v>
      </c>
      <c r="R7433">
        <v>0.97577270000000005</v>
      </c>
      <c r="S7433">
        <v>1.1719360000000001</v>
      </c>
      <c r="T7433">
        <v>-0.2108053</v>
      </c>
      <c r="U7433">
        <v>2.8231660000000001</v>
      </c>
      <c r="V7433">
        <v>0.1250291</v>
      </c>
      <c r="W7433">
        <v>3.92406E-2</v>
      </c>
      <c r="X7433">
        <v>0.99137679999999995</v>
      </c>
      <c r="Y7433">
        <v>0.29383949999999998</v>
      </c>
      <c r="Z7433">
        <v>-6.9469980000000001E-2</v>
      </c>
      <c r="AA7433">
        <v>0.95332689999999998</v>
      </c>
      <c r="AB7433">
        <v>39</v>
      </c>
      <c r="AC7433">
        <v>6.0977999999999701</v>
      </c>
      <c r="AD7433">
        <v>-1.1037532448930001</v>
      </c>
      <c r="AE7433">
        <v>14.4043999999999</v>
      </c>
      <c r="AF7433">
        <v>4.69165182853214</v>
      </c>
      <c r="AG7433">
        <v>-1.1037532448930001</v>
      </c>
      <c r="AH7433">
        <v>14.8404798779723</v>
      </c>
      <c r="AI7433">
        <v>94.056346146842699</v>
      </c>
      <c r="AJ7433">
        <v>72.4562323310913</v>
      </c>
      <c r="AK7433">
        <v>15.6035159856451</v>
      </c>
      <c r="AL7433">
        <v>87.751101898579805</v>
      </c>
      <c r="AM7433">
        <v>82.8119984873546</v>
      </c>
      <c r="AN7433">
        <v>1.0000000300567</v>
      </c>
    </row>
    <row r="7434" spans="1:40" x14ac:dyDescent="0.25">
      <c r="A7434" t="str">
        <f>"20190312155021643"</f>
        <v>20190312155021643</v>
      </c>
      <c r="B7434" t="str">
        <f>"1552377021632980"</f>
        <v>1552377021632980</v>
      </c>
      <c r="C7434" t="s">
        <v>40</v>
      </c>
      <c r="D7434">
        <v>4.6723059999999998</v>
      </c>
      <c r="E7434">
        <v>0.57166090000000003</v>
      </c>
      <c r="F7434" t="s">
        <v>63</v>
      </c>
      <c r="G7434">
        <v>-181.1866</v>
      </c>
      <c r="H7434" s="1">
        <v>-3.5125470000000001E-6</v>
      </c>
      <c r="I7434">
        <v>123.6186</v>
      </c>
      <c r="J7434">
        <v>-187.55170000000001</v>
      </c>
      <c r="K7434">
        <v>1.103728</v>
      </c>
      <c r="L7434">
        <v>108.82170000000001</v>
      </c>
      <c r="M7434">
        <v>9.7993280000000002E-2</v>
      </c>
      <c r="N7434">
        <v>0</v>
      </c>
      <c r="O7434">
        <v>0.99507040000000002</v>
      </c>
      <c r="P7434">
        <v>0.22174869999999999</v>
      </c>
      <c r="Q7434">
        <v>2.6838939999999999E-2</v>
      </c>
      <c r="R7434">
        <v>0.9747344</v>
      </c>
      <c r="S7434">
        <v>1.1952510000000001</v>
      </c>
      <c r="T7434">
        <v>-0.20640040000000001</v>
      </c>
      <c r="U7434">
        <v>2.8138730000000001</v>
      </c>
      <c r="V7434">
        <v>0.12575890000000001</v>
      </c>
      <c r="W7434">
        <v>4.0093950000000003E-2</v>
      </c>
      <c r="X7434">
        <v>0.99125030000000003</v>
      </c>
      <c r="Y7434">
        <v>0.29797030000000002</v>
      </c>
      <c r="Z7434">
        <v>-6.8043560000000003E-2</v>
      </c>
      <c r="AA7434">
        <v>0.95214690000000002</v>
      </c>
      <c r="AB7434">
        <v>39</v>
      </c>
      <c r="AC7434">
        <v>6.3651000000000098</v>
      </c>
      <c r="AD7434">
        <v>-1.103731512547</v>
      </c>
      <c r="AE7434">
        <v>14.7968999999999</v>
      </c>
      <c r="AF7434">
        <v>4.8614675314920301</v>
      </c>
      <c r="AG7434">
        <v>-1.103731512547</v>
      </c>
      <c r="AH7434">
        <v>15.2777448296457</v>
      </c>
      <c r="AI7434">
        <v>93.938203885262496</v>
      </c>
      <c r="AJ7434">
        <v>72.348626295720095</v>
      </c>
      <c r="AK7434">
        <v>16.070518874364499</v>
      </c>
      <c r="AL7434">
        <v>87.702169944351397</v>
      </c>
      <c r="AM7434">
        <v>82.769571632437106</v>
      </c>
      <c r="AN7434">
        <v>0.99999999150295105</v>
      </c>
    </row>
    <row r="7435" spans="1:40" x14ac:dyDescent="0.25">
      <c r="A7435" t="str">
        <f>"20190312155021663"</f>
        <v>20190312155021663</v>
      </c>
      <c r="B7435" t="str">
        <f>"1552377021653476"</f>
        <v>1552377021653476</v>
      </c>
      <c r="C7435" t="s">
        <v>40</v>
      </c>
      <c r="D7435">
        <v>4.6475379999999999</v>
      </c>
      <c r="E7435">
        <v>0.57155819999999902</v>
      </c>
      <c r="F7435" t="s">
        <v>42</v>
      </c>
      <c r="G7435">
        <v>-183.0549</v>
      </c>
      <c r="H7435" s="1">
        <v>-5.3640410000000003E-6</v>
      </c>
      <c r="I7435">
        <v>119.26479999999999</v>
      </c>
      <c r="J7435">
        <v>-187.51570000000001</v>
      </c>
      <c r="K7435">
        <v>1.103715</v>
      </c>
      <c r="L7435">
        <v>109.1446</v>
      </c>
      <c r="M7435">
        <v>0.1029683</v>
      </c>
      <c r="N7435">
        <v>0</v>
      </c>
      <c r="O7435">
        <v>0.99456789999999995</v>
      </c>
      <c r="P7435">
        <v>0.22762099999999999</v>
      </c>
      <c r="Q7435">
        <v>2.808283E-2</v>
      </c>
      <c r="R7435">
        <v>0.97334469999999995</v>
      </c>
      <c r="S7435">
        <v>1.2102660000000001</v>
      </c>
      <c r="T7435">
        <v>-0.29705520000000002</v>
      </c>
      <c r="U7435">
        <v>2.8106230000000001</v>
      </c>
      <c r="V7435">
        <v>0.126801</v>
      </c>
      <c r="W7435">
        <v>4.1315539999999998E-2</v>
      </c>
      <c r="X7435">
        <v>0.99106729999999998</v>
      </c>
      <c r="Y7435">
        <v>0.29692089999999999</v>
      </c>
      <c r="Z7435">
        <v>-9.7622819999999999E-2</v>
      </c>
      <c r="AA7435">
        <v>0.94989880000000004</v>
      </c>
      <c r="AB7435">
        <v>39</v>
      </c>
      <c r="AC7435">
        <v>4.4607999999999999</v>
      </c>
      <c r="AD7435">
        <v>-1.103720364041</v>
      </c>
      <c r="AE7435">
        <v>10.120199999999899</v>
      </c>
      <c r="AF7435">
        <v>3.3614253227459798</v>
      </c>
      <c r="AG7435">
        <v>-1.103720364041</v>
      </c>
      <c r="AH7435">
        <v>10.4219732865766</v>
      </c>
      <c r="AI7435">
        <v>95.755428336155106</v>
      </c>
      <c r="AJ7435">
        <v>72.123800848005502</v>
      </c>
      <c r="AK7435">
        <v>11.0061303839503</v>
      </c>
      <c r="AL7435">
        <v>87.6321197868875</v>
      </c>
      <c r="AM7435">
        <v>82.708967076019604</v>
      </c>
      <c r="AN7435">
        <v>0.99999993028788803</v>
      </c>
    </row>
    <row r="7436" spans="1:40" x14ac:dyDescent="0.25">
      <c r="A7436" t="str">
        <f>"20190312155021684"</f>
        <v>20190312155021684</v>
      </c>
      <c r="B7436" t="str">
        <f>"1552377021672996"</f>
        <v>1552377021672996</v>
      </c>
      <c r="C7436" t="s">
        <v>40</v>
      </c>
      <c r="D7436">
        <v>4.6782769999999996</v>
      </c>
      <c r="E7436">
        <v>0.57121069999999996</v>
      </c>
      <c r="F7436" t="s">
        <v>42</v>
      </c>
      <c r="G7436">
        <v>-182.97389999999999</v>
      </c>
      <c r="H7436" s="1">
        <v>-5.4914740000000004E-6</v>
      </c>
      <c r="I7436">
        <v>119.5284</v>
      </c>
      <c r="J7436">
        <v>-187.4726</v>
      </c>
      <c r="K7436">
        <v>1.1037330000000001</v>
      </c>
      <c r="L7436">
        <v>109.5141</v>
      </c>
      <c r="M7436">
        <v>0.1085967</v>
      </c>
      <c r="N7436">
        <v>0</v>
      </c>
      <c r="O7436">
        <v>0.99396910000000005</v>
      </c>
      <c r="P7436">
        <v>0.23408770000000001</v>
      </c>
      <c r="Q7436">
        <v>2.9481429999999999E-2</v>
      </c>
      <c r="R7436">
        <v>0.97176839999999998</v>
      </c>
      <c r="S7436">
        <v>1.2264250000000001</v>
      </c>
      <c r="T7436">
        <v>-0.29803960000000002</v>
      </c>
      <c r="U7436">
        <v>2.8039550000000002</v>
      </c>
      <c r="V7436">
        <v>0.1278041</v>
      </c>
      <c r="W7436">
        <v>4.2699529999999999E-2</v>
      </c>
      <c r="X7436">
        <v>0.99087979999999998</v>
      </c>
      <c r="Y7436">
        <v>0.29693000000000003</v>
      </c>
      <c r="Z7436">
        <v>-9.795864E-2</v>
      </c>
      <c r="AA7436">
        <v>0.94986139999999997</v>
      </c>
      <c r="AB7436">
        <v>39</v>
      </c>
      <c r="AC7436">
        <v>4.4987000000000101</v>
      </c>
      <c r="AD7436">
        <v>-1.103738491474</v>
      </c>
      <c r="AE7436">
        <v>10.0143</v>
      </c>
      <c r="AF7436">
        <v>3.3505748190115798</v>
      </c>
      <c r="AG7436">
        <v>-1.103738491474</v>
      </c>
      <c r="AH7436">
        <v>10.339155031869399</v>
      </c>
      <c r="AI7436">
        <v>95.7987250092294</v>
      </c>
      <c r="AJ7436">
        <v>72.044222376071801</v>
      </c>
      <c r="AK7436">
        <v>10.924409231092801</v>
      </c>
      <c r="AL7436">
        <v>87.552752999203307</v>
      </c>
      <c r="AM7436">
        <v>82.650541710255396</v>
      </c>
      <c r="AN7436">
        <v>0.99999995794353402</v>
      </c>
    </row>
    <row r="7437" spans="1:40" x14ac:dyDescent="0.25">
      <c r="A7437" t="str">
        <f>"20190312155021708"</f>
        <v>20190312155021708</v>
      </c>
      <c r="B7437" t="str">
        <f>"1552377021702663"</f>
        <v>1552377021702663</v>
      </c>
      <c r="C7437" t="s">
        <v>40</v>
      </c>
      <c r="D7437">
        <v>4.5579869999999998</v>
      </c>
      <c r="E7437">
        <v>0.57089299999999998</v>
      </c>
      <c r="F7437" t="s">
        <v>63</v>
      </c>
      <c r="G7437">
        <v>-182.81020000000001</v>
      </c>
      <c r="H7437" s="1">
        <v>-2.017287E-6</v>
      </c>
      <c r="I7437">
        <v>120.00839999999999</v>
      </c>
      <c r="J7437">
        <v>-187.4222</v>
      </c>
      <c r="K7437">
        <v>1.1037859999999999</v>
      </c>
      <c r="L7437">
        <v>109.9242</v>
      </c>
      <c r="M7437">
        <v>0.11472830000000001</v>
      </c>
      <c r="N7437">
        <v>0</v>
      </c>
      <c r="O7437">
        <v>0.99328019999999995</v>
      </c>
      <c r="P7437">
        <v>0.24045230000000001</v>
      </c>
      <c r="Q7437">
        <v>2.9827969999999999E-2</v>
      </c>
      <c r="R7437">
        <v>0.97020260000000003</v>
      </c>
      <c r="S7437">
        <v>1.2425379999999999</v>
      </c>
      <c r="T7437">
        <v>-0.29414580000000001</v>
      </c>
      <c r="U7437">
        <v>2.7967529999999998</v>
      </c>
      <c r="V7437">
        <v>0.1281853</v>
      </c>
      <c r="W7437">
        <v>4.3050640000000001E-2</v>
      </c>
      <c r="X7437">
        <v>0.99081540000000001</v>
      </c>
      <c r="Y7437">
        <v>0.29656779999999999</v>
      </c>
      <c r="Z7437">
        <v>-9.6714919999999996E-2</v>
      </c>
      <c r="AA7437">
        <v>0.950102</v>
      </c>
      <c r="AB7437">
        <v>38</v>
      </c>
      <c r="AC7437">
        <v>4.6119999999999903</v>
      </c>
      <c r="AD7437">
        <v>-1.103788017287</v>
      </c>
      <c r="AE7437">
        <v>10.0841999999999</v>
      </c>
      <c r="AF7437">
        <v>3.3908642829449702</v>
      </c>
      <c r="AG7437">
        <v>-1.103788017287</v>
      </c>
      <c r="AH7437">
        <v>10.4433098189985</v>
      </c>
      <c r="AI7437">
        <v>95.740488901669906</v>
      </c>
      <c r="AJ7437">
        <v>72.011775570624494</v>
      </c>
      <c r="AK7437">
        <v>11.0353535760323</v>
      </c>
      <c r="AL7437">
        <v>87.532617447273793</v>
      </c>
      <c r="AM7437">
        <v>82.628387449137804</v>
      </c>
      <c r="AN7437">
        <v>0.99999999280882901</v>
      </c>
    </row>
    <row r="7438" spans="1:40" x14ac:dyDescent="0.25">
      <c r="A7438" t="str">
        <f>"20190312155021729"</f>
        <v>20190312155021729</v>
      </c>
      <c r="B7438" t="str">
        <f>"1552377021723159"</f>
        <v>1552377021723159</v>
      </c>
      <c r="C7438" t="s">
        <v>40</v>
      </c>
      <c r="D7438">
        <v>4.556006</v>
      </c>
      <c r="E7438">
        <v>0.57621469999999997</v>
      </c>
      <c r="F7438" t="s">
        <v>63</v>
      </c>
      <c r="G7438">
        <v>-182.65260000000001</v>
      </c>
      <c r="H7438" s="1">
        <v>-2.2020080000000001E-6</v>
      </c>
      <c r="I7438">
        <v>120.4933</v>
      </c>
      <c r="J7438">
        <v>-187.37530000000001</v>
      </c>
      <c r="K7438">
        <v>1.103855</v>
      </c>
      <c r="L7438">
        <v>110.29</v>
      </c>
      <c r="M7438">
        <v>0.12008969999999999</v>
      </c>
      <c r="N7438">
        <v>0</v>
      </c>
      <c r="O7438">
        <v>0.99264629999999998</v>
      </c>
      <c r="P7438">
        <v>0.24583659999999999</v>
      </c>
      <c r="Q7438">
        <v>2.9479060000000001E-2</v>
      </c>
      <c r="R7438">
        <v>0.96886300000000003</v>
      </c>
      <c r="S7438">
        <v>1.2586820000000001</v>
      </c>
      <c r="T7438">
        <v>-0.2912862</v>
      </c>
      <c r="U7438">
        <v>2.7891539999999999</v>
      </c>
      <c r="V7438">
        <v>0.1283241</v>
      </c>
      <c r="W7438">
        <v>4.2714299999999997E-2</v>
      </c>
      <c r="X7438">
        <v>0.99081200000000003</v>
      </c>
      <c r="Y7438">
        <v>0.29698849999999999</v>
      </c>
      <c r="Z7438">
        <v>-9.5813560000000006E-2</v>
      </c>
      <c r="AA7438">
        <v>0.95006190000000001</v>
      </c>
      <c r="AB7438">
        <v>38</v>
      </c>
      <c r="AC7438">
        <v>4.7226999999999997</v>
      </c>
      <c r="AD7438">
        <v>-1.103857202008</v>
      </c>
      <c r="AE7438">
        <v>10.2033</v>
      </c>
      <c r="AF7438">
        <v>3.4299984379208701</v>
      </c>
      <c r="AG7438">
        <v>-1.103857202008</v>
      </c>
      <c r="AH7438">
        <v>10.594532742452699</v>
      </c>
      <c r="AI7438">
        <v>95.660991162846898</v>
      </c>
      <c r="AJ7438">
        <v>72.060549394419596</v>
      </c>
      <c r="AK7438">
        <v>11.1905099989888</v>
      </c>
      <c r="AL7438">
        <v>87.551906077355696</v>
      </c>
      <c r="AM7438">
        <v>82.620468302815397</v>
      </c>
      <c r="AN7438">
        <v>1.0000000027046501</v>
      </c>
    </row>
    <row r="7439" spans="1:40" x14ac:dyDescent="0.25">
      <c r="A7439" t="str">
        <f>"20190312155021743"</f>
        <v>20190312155021743</v>
      </c>
      <c r="B7439" t="str">
        <f>"1552377021733896"</f>
        <v>1552377021733896</v>
      </c>
      <c r="C7439" t="s">
        <v>40</v>
      </c>
      <c r="D7439">
        <v>4.6654210000000003</v>
      </c>
      <c r="E7439">
        <v>0.57404569999999999</v>
      </c>
      <c r="F7439" t="s">
        <v>63</v>
      </c>
      <c r="G7439">
        <v>-181.0127</v>
      </c>
      <c r="H7439" s="1">
        <v>-3.5727670000000001E-6</v>
      </c>
      <c r="I7439">
        <v>123.6658</v>
      </c>
      <c r="J7439">
        <v>-187.34200000000001</v>
      </c>
      <c r="K7439">
        <v>1.103904</v>
      </c>
      <c r="L7439">
        <v>110.5412</v>
      </c>
      <c r="M7439">
        <v>0.123725</v>
      </c>
      <c r="N7439">
        <v>0</v>
      </c>
      <c r="O7439">
        <v>0.99219990000000002</v>
      </c>
      <c r="P7439">
        <v>0.24929799999999999</v>
      </c>
      <c r="Q7439">
        <v>2.882086E-2</v>
      </c>
      <c r="R7439">
        <v>0.96799780000000002</v>
      </c>
      <c r="S7439">
        <v>1.317215</v>
      </c>
      <c r="T7439">
        <v>-0.22852549999999999</v>
      </c>
      <c r="U7439">
        <v>2.7691349999999999</v>
      </c>
      <c r="V7439">
        <v>0.12821869999999999</v>
      </c>
      <c r="W7439">
        <v>4.2069719999999998E-2</v>
      </c>
      <c r="X7439">
        <v>0.99085319999999999</v>
      </c>
      <c r="Y7439">
        <v>0.31329499999999999</v>
      </c>
      <c r="Z7439">
        <v>-7.5228719999999999E-2</v>
      </c>
      <c r="AA7439">
        <v>0.9466715</v>
      </c>
      <c r="AB7439">
        <v>38</v>
      </c>
      <c r="AC7439">
        <v>6.3293000000000097</v>
      </c>
      <c r="AD7439">
        <v>-1.103907572767</v>
      </c>
      <c r="AE7439">
        <v>13.124599999999999</v>
      </c>
      <c r="AF7439">
        <v>4.6300538604395598</v>
      </c>
      <c r="AG7439">
        <v>-1.103907572767</v>
      </c>
      <c r="AH7439">
        <v>13.7281231336936</v>
      </c>
      <c r="AI7439">
        <v>94.3572456884432</v>
      </c>
      <c r="AJ7439">
        <v>71.362405813573901</v>
      </c>
      <c r="AK7439">
        <v>14.529878714347101</v>
      </c>
      <c r="AL7439">
        <v>87.588870966531502</v>
      </c>
      <c r="AM7439">
        <v>82.626766030273998</v>
      </c>
      <c r="AN7439">
        <v>0.99999998016040403</v>
      </c>
    </row>
    <row r="7440" spans="1:40" x14ac:dyDescent="0.25">
      <c r="A7440" t="str">
        <f>"20190312155021766"</f>
        <v>20190312155021766</v>
      </c>
      <c r="B7440" t="str">
        <f>"1552377021753415"</f>
        <v>1552377021753415</v>
      </c>
      <c r="C7440" t="s">
        <v>40</v>
      </c>
      <c r="D7440">
        <v>4.6665769999999904</v>
      </c>
      <c r="E7440">
        <v>0.57236039999999999</v>
      </c>
      <c r="F7440" t="s">
        <v>63</v>
      </c>
      <c r="G7440">
        <v>-181.49270000000001</v>
      </c>
      <c r="H7440" s="1">
        <v>-3.2214720000000001E-6</v>
      </c>
      <c r="I7440">
        <v>122.9068</v>
      </c>
      <c r="J7440">
        <v>-187.29300000000001</v>
      </c>
      <c r="K7440">
        <v>1.103988</v>
      </c>
      <c r="L7440">
        <v>110.89919999999999</v>
      </c>
      <c r="M7440">
        <v>0.1288183</v>
      </c>
      <c r="N7440">
        <v>0</v>
      </c>
      <c r="O7440">
        <v>0.99155159999999998</v>
      </c>
      <c r="P7440">
        <v>0.25385829999999998</v>
      </c>
      <c r="Q7440">
        <v>2.7935249999999998E-2</v>
      </c>
      <c r="R7440">
        <v>0.96683790000000003</v>
      </c>
      <c r="S7440">
        <v>1.309906</v>
      </c>
      <c r="T7440">
        <v>-0.24721190000000001</v>
      </c>
      <c r="U7440">
        <v>2.76918</v>
      </c>
      <c r="V7440">
        <v>0.1277771</v>
      </c>
      <c r="W7440">
        <v>4.1209299999999997E-2</v>
      </c>
      <c r="X7440">
        <v>0.99094640000000001</v>
      </c>
      <c r="Y7440">
        <v>0.30615819999999999</v>
      </c>
      <c r="Z7440">
        <v>-8.1398209999999999E-2</v>
      </c>
      <c r="AA7440">
        <v>0.94849430000000001</v>
      </c>
      <c r="AB7440">
        <v>38</v>
      </c>
      <c r="AC7440">
        <v>5.8002999999999902</v>
      </c>
      <c r="AD7440">
        <v>-1.103991221472</v>
      </c>
      <c r="AE7440">
        <v>12.0076</v>
      </c>
      <c r="AF7440">
        <v>4.1763601508328101</v>
      </c>
      <c r="AG7440">
        <v>-1.103991221472</v>
      </c>
      <c r="AH7440">
        <v>12.568659191572101</v>
      </c>
      <c r="AI7440">
        <v>94.764905724165004</v>
      </c>
      <c r="AJ7440">
        <v>71.619195576734</v>
      </c>
      <c r="AK7440">
        <v>13.2902962570607</v>
      </c>
      <c r="AL7440">
        <v>87.638212198557795</v>
      </c>
      <c r="AM7440">
        <v>82.652565839075905</v>
      </c>
      <c r="AN7440">
        <v>0.99999998068192897</v>
      </c>
    </row>
    <row r="7441" spans="1:40" x14ac:dyDescent="0.25">
      <c r="A7441" t="str">
        <f>"20190312155021787"</f>
        <v>20190312155021787</v>
      </c>
      <c r="B7441" t="str">
        <f>"1552377021772935"</f>
        <v>1552377021772935</v>
      </c>
      <c r="C7441" t="s">
        <v>40</v>
      </c>
      <c r="D7441">
        <v>4.5489439999999997</v>
      </c>
      <c r="E7441">
        <v>0.57255159999999905</v>
      </c>
      <c r="F7441" t="s">
        <v>63</v>
      </c>
      <c r="G7441">
        <v>-182.01759999999999</v>
      </c>
      <c r="H7441" s="1">
        <v>-2.8286380000000001E-6</v>
      </c>
      <c r="I7441">
        <v>122.0472</v>
      </c>
      <c r="J7441">
        <v>-187.24119999999999</v>
      </c>
      <c r="K7441">
        <v>1.1040730000000001</v>
      </c>
      <c r="L7441">
        <v>111.2627</v>
      </c>
      <c r="M7441">
        <v>0.13386609999999999</v>
      </c>
      <c r="N7441">
        <v>0</v>
      </c>
      <c r="O7441">
        <v>0.99088279999999995</v>
      </c>
      <c r="P7441">
        <v>0.25819449999999999</v>
      </c>
      <c r="Q7441">
        <v>2.696405E-2</v>
      </c>
      <c r="R7441">
        <v>0.96571660000000004</v>
      </c>
      <c r="S7441">
        <v>1.309372</v>
      </c>
      <c r="T7441">
        <v>-0.27401890000000001</v>
      </c>
      <c r="U7441">
        <v>2.767029</v>
      </c>
      <c r="V7441">
        <v>0.1271505</v>
      </c>
      <c r="W7441">
        <v>4.02707E-2</v>
      </c>
      <c r="X7441">
        <v>0.99106559999999999</v>
      </c>
      <c r="Y7441">
        <v>0.30111840000000001</v>
      </c>
      <c r="Z7441">
        <v>-9.0201879999999998E-2</v>
      </c>
      <c r="AA7441">
        <v>0.94931100000000002</v>
      </c>
      <c r="AB7441">
        <v>38</v>
      </c>
      <c r="AC7441">
        <v>5.2236000000000002</v>
      </c>
      <c r="AD7441">
        <v>-1.1040758286379999</v>
      </c>
      <c r="AE7441">
        <v>10.7845</v>
      </c>
      <c r="AF7441">
        <v>3.70130655009253</v>
      </c>
      <c r="AG7441">
        <v>-1.1040758286379999</v>
      </c>
      <c r="AH7441">
        <v>11.290903295046901</v>
      </c>
      <c r="AI7441">
        <v>95.3086401684035</v>
      </c>
      <c r="AJ7441">
        <v>71.850176012359398</v>
      </c>
      <c r="AK7441">
        <v>11.933279131539701</v>
      </c>
      <c r="AL7441">
        <v>87.692034752090805</v>
      </c>
      <c r="AM7441">
        <v>82.689075618346294</v>
      </c>
      <c r="AN7441">
        <v>1.0000000012160499</v>
      </c>
    </row>
    <row r="7442" spans="1:40" x14ac:dyDescent="0.25">
      <c r="A7442" t="str">
        <f>"20190312155021810"</f>
        <v>20190312155021810</v>
      </c>
      <c r="B7442" t="str">
        <f>"1552377021803192"</f>
        <v>1552377021803192</v>
      </c>
      <c r="C7442" t="s">
        <v>40</v>
      </c>
      <c r="D7442">
        <v>4.4947460000000001</v>
      </c>
      <c r="E7442">
        <v>0.57254349999999998</v>
      </c>
      <c r="F7442" t="s">
        <v>63</v>
      </c>
      <c r="G7442">
        <v>-181.8546</v>
      </c>
      <c r="H7442" s="1">
        <v>-3.0043109999999999E-6</v>
      </c>
      <c r="I7442">
        <v>122.49639999999999</v>
      </c>
      <c r="J7442">
        <v>-187.1833</v>
      </c>
      <c r="K7442">
        <v>1.1041780000000001</v>
      </c>
      <c r="L7442">
        <v>111.6549</v>
      </c>
      <c r="M7442">
        <v>0.13917449999999901</v>
      </c>
      <c r="N7442">
        <v>0</v>
      </c>
      <c r="O7442">
        <v>0.99015129999999996</v>
      </c>
      <c r="P7442">
        <v>0.26274429999999999</v>
      </c>
      <c r="Q7442">
        <v>2.611494E-2</v>
      </c>
      <c r="R7442">
        <v>0.96451200000000004</v>
      </c>
      <c r="S7442">
        <v>1.3235319999999999</v>
      </c>
      <c r="T7442">
        <v>-0.27127970000000001</v>
      </c>
      <c r="U7442">
        <v>2.760208</v>
      </c>
      <c r="V7442">
        <v>0.12648519999999999</v>
      </c>
      <c r="W7442">
        <v>3.9457869999999999E-2</v>
      </c>
      <c r="X7442">
        <v>0.99118340000000005</v>
      </c>
      <c r="Y7442">
        <v>0.30091879999999999</v>
      </c>
      <c r="Z7442">
        <v>-8.9315829999999999E-2</v>
      </c>
      <c r="AA7442">
        <v>0.94945800000000002</v>
      </c>
      <c r="AB7442">
        <v>38</v>
      </c>
      <c r="AC7442">
        <v>5.3286999999999898</v>
      </c>
      <c r="AD7442">
        <v>-1.1041810043109901</v>
      </c>
      <c r="AE7442">
        <v>10.8414999999999</v>
      </c>
      <c r="AF7442">
        <v>3.7365761728945701</v>
      </c>
      <c r="AG7442">
        <v>-1.1041810043109901</v>
      </c>
      <c r="AH7442">
        <v>11.382572399065401</v>
      </c>
      <c r="AI7442">
        <v>95.265916254167607</v>
      </c>
      <c r="AJ7442">
        <v>71.826456505420396</v>
      </c>
      <c r="AK7442">
        <v>12.0309671932929</v>
      </c>
      <c r="AL7442">
        <v>87.738643484931501</v>
      </c>
      <c r="AM7442">
        <v>82.727773633573804</v>
      </c>
      <c r="AN7442">
        <v>0.99999998087976805</v>
      </c>
    </row>
    <row r="7443" spans="1:40" x14ac:dyDescent="0.25">
      <c r="A7443" t="str">
        <f>"20190312155021830"</f>
        <v>20190312155021830</v>
      </c>
      <c r="B7443" t="str">
        <f>"1552377021822711"</f>
        <v>1552377021822711</v>
      </c>
      <c r="C7443" t="s">
        <v>40</v>
      </c>
      <c r="D7443">
        <v>4.5042710000000001</v>
      </c>
      <c r="E7443">
        <v>0.57261930000000005</v>
      </c>
      <c r="F7443" t="s">
        <v>63</v>
      </c>
      <c r="G7443">
        <v>-181.6028</v>
      </c>
      <c r="H7443" s="1">
        <v>-3.262719E-6</v>
      </c>
      <c r="I7443">
        <v>123.14619999999999</v>
      </c>
      <c r="J7443">
        <v>-187.12989999999999</v>
      </c>
      <c r="K7443">
        <v>1.1042719999999999</v>
      </c>
      <c r="L7443">
        <v>112.0052</v>
      </c>
      <c r="M7443">
        <v>0.1438207</v>
      </c>
      <c r="N7443">
        <v>0</v>
      </c>
      <c r="O7443">
        <v>0.98948729999999996</v>
      </c>
      <c r="P7443">
        <v>0.26733010000000001</v>
      </c>
      <c r="Q7443">
        <v>2.491227E-2</v>
      </c>
      <c r="R7443">
        <v>0.96328290000000005</v>
      </c>
      <c r="S7443">
        <v>1.3370820000000001</v>
      </c>
      <c r="T7443">
        <v>-0.26455859999999998</v>
      </c>
      <c r="U7443">
        <v>2.7532960000000002</v>
      </c>
      <c r="V7443">
        <v>0.12651769999999901</v>
      </c>
      <c r="W7443">
        <v>3.8277159999999998E-2</v>
      </c>
      <c r="X7443">
        <v>0.99122560000000004</v>
      </c>
      <c r="Y7443">
        <v>0.30124590000000001</v>
      </c>
      <c r="Z7443">
        <v>-8.7135690000000002E-2</v>
      </c>
      <c r="AA7443">
        <v>0.94955690000000004</v>
      </c>
      <c r="AB7443">
        <v>38</v>
      </c>
      <c r="AC7443">
        <v>5.5270999999999901</v>
      </c>
      <c r="AD7443">
        <v>-1.104275262719</v>
      </c>
      <c r="AE7443">
        <v>11.140999999999901</v>
      </c>
      <c r="AF7443">
        <v>3.83688453348962</v>
      </c>
      <c r="AG7443">
        <v>-1.104275262719</v>
      </c>
      <c r="AH7443">
        <v>11.7276905808965</v>
      </c>
      <c r="AI7443">
        <v>95.113886563643703</v>
      </c>
      <c r="AJ7443">
        <v>71.883738739142402</v>
      </c>
      <c r="AK7443">
        <v>12.388697798414199</v>
      </c>
      <c r="AL7443">
        <v>87.806344453873606</v>
      </c>
      <c r="AM7443">
        <v>82.726231434220296</v>
      </c>
      <c r="AN7443">
        <v>1.0000000297431499</v>
      </c>
    </row>
    <row r="7444" spans="1:40" x14ac:dyDescent="0.25">
      <c r="A7444" t="str">
        <f>"20190312155021852"</f>
        <v>20190312155021852</v>
      </c>
      <c r="B7444" t="str">
        <f>"1552377021843207"</f>
        <v>1552377021843207</v>
      </c>
      <c r="C7444" t="s">
        <v>40</v>
      </c>
      <c r="D7444">
        <v>4.5115089999999904</v>
      </c>
      <c r="E7444">
        <v>0.57303970000000004</v>
      </c>
      <c r="F7444" t="s">
        <v>63</v>
      </c>
      <c r="G7444">
        <v>-181.49770000000001</v>
      </c>
      <c r="H7444" s="1">
        <v>-3.3819510000000001E-6</v>
      </c>
      <c r="I7444">
        <v>123.45610000000001</v>
      </c>
      <c r="J7444">
        <v>-187.07060000000001</v>
      </c>
      <c r="K7444">
        <v>1.1043769999999999</v>
      </c>
      <c r="L7444">
        <v>112.3823</v>
      </c>
      <c r="M7444">
        <v>0.1487203</v>
      </c>
      <c r="N7444">
        <v>0</v>
      </c>
      <c r="O7444">
        <v>0.9887629</v>
      </c>
      <c r="P7444">
        <v>0.27199269999999998</v>
      </c>
      <c r="Q7444">
        <v>2.3826859999999998E-2</v>
      </c>
      <c r="R7444">
        <v>0.96200430000000003</v>
      </c>
      <c r="S7444">
        <v>1.3508</v>
      </c>
      <c r="T7444">
        <v>-0.264843</v>
      </c>
      <c r="U7444">
        <v>2.7463229999999998</v>
      </c>
      <c r="V7444">
        <v>0.1263803</v>
      </c>
      <c r="W7444">
        <v>3.7218859999999999E-2</v>
      </c>
      <c r="X7444">
        <v>0.99128340000000004</v>
      </c>
      <c r="Y7444">
        <v>0.30129409999999901</v>
      </c>
      <c r="Z7444">
        <v>-8.7238919999999998E-2</v>
      </c>
      <c r="AA7444">
        <v>0.94953209999999999</v>
      </c>
      <c r="AB7444">
        <v>38</v>
      </c>
      <c r="AC7444">
        <v>5.5728999999999997</v>
      </c>
      <c r="AD7444">
        <v>-1.1043803819510001</v>
      </c>
      <c r="AE7444">
        <v>11.0738</v>
      </c>
      <c r="AF7444">
        <v>3.8334007440144999</v>
      </c>
      <c r="AG7444">
        <v>-1.1043803819510001</v>
      </c>
      <c r="AH7444">
        <v>11.6867754708832</v>
      </c>
      <c r="AI7444">
        <v>95.130901187591505</v>
      </c>
      <c r="AJ7444">
        <v>71.8398969669434</v>
      </c>
      <c r="AK7444">
        <v>12.3489002829842</v>
      </c>
      <c r="AL7444">
        <v>87.867023764779006</v>
      </c>
      <c r="AM7444">
        <v>82.734465521490606</v>
      </c>
      <c r="AN7444">
        <v>1.0000000014416699</v>
      </c>
    </row>
    <row r="7445" spans="1:40" x14ac:dyDescent="0.25">
      <c r="A7445" t="str">
        <f>"20190312155021874"</f>
        <v>20190312155021874</v>
      </c>
      <c r="B7445" t="str">
        <f>"1552377021863702"</f>
        <v>1552377021863702</v>
      </c>
      <c r="C7445" t="s">
        <v>40</v>
      </c>
      <c r="D7445">
        <v>4.4486809999999997</v>
      </c>
      <c r="E7445">
        <v>0.57291309999999995</v>
      </c>
      <c r="F7445" t="s">
        <v>63</v>
      </c>
      <c r="G7445">
        <v>-181.39250000000001</v>
      </c>
      <c r="H7445" s="1">
        <v>-3.4975660000000001E-6</v>
      </c>
      <c r="I7445">
        <v>123.75360000000001</v>
      </c>
      <c r="J7445">
        <v>-187.0128</v>
      </c>
      <c r="K7445">
        <v>1.104479</v>
      </c>
      <c r="L7445">
        <v>112.7392</v>
      </c>
      <c r="M7445">
        <v>0.15326619999999999</v>
      </c>
      <c r="N7445">
        <v>0</v>
      </c>
      <c r="O7445">
        <v>0.98806859999999996</v>
      </c>
      <c r="P7445">
        <v>0.27623419999999999</v>
      </c>
      <c r="Q7445">
        <v>2.3228370000000002E-2</v>
      </c>
      <c r="R7445">
        <v>0.96080960000000004</v>
      </c>
      <c r="S7445">
        <v>1.367416</v>
      </c>
      <c r="T7445">
        <v>-0.26595800000000003</v>
      </c>
      <c r="U7445">
        <v>2.738464</v>
      </c>
      <c r="V7445">
        <v>0.12617529999999999</v>
      </c>
      <c r="W7445">
        <v>3.6646089999999999E-2</v>
      </c>
      <c r="X7445">
        <v>0.99133090000000001</v>
      </c>
      <c r="Y7445">
        <v>0.30259730000000001</v>
      </c>
      <c r="Z7445">
        <v>-8.7604150000000006E-2</v>
      </c>
      <c r="AA7445">
        <v>0.94908400000000004</v>
      </c>
      <c r="AB7445">
        <v>38</v>
      </c>
      <c r="AC7445">
        <v>5.6202999999999799</v>
      </c>
      <c r="AD7445">
        <v>-1.1044824975659999</v>
      </c>
      <c r="AE7445">
        <v>11.0144</v>
      </c>
      <c r="AF7445">
        <v>3.8349556580425399</v>
      </c>
      <c r="AG7445">
        <v>-1.1044824975659999</v>
      </c>
      <c r="AH7445">
        <v>11.6527687991018</v>
      </c>
      <c r="AI7445">
        <v>95.144612550526304</v>
      </c>
      <c r="AJ7445">
        <v>71.783493990226205</v>
      </c>
      <c r="AK7445">
        <v>12.317215073704901</v>
      </c>
      <c r="AL7445">
        <v>87.899863570601198</v>
      </c>
      <c r="AM7445">
        <v>82.746469097991195</v>
      </c>
      <c r="AN7445">
        <v>1.00000004776859</v>
      </c>
    </row>
    <row r="7446" spans="1:40" x14ac:dyDescent="0.25">
      <c r="A7446" t="str">
        <f>"20190312155021889"</f>
        <v>20190312155021889</v>
      </c>
      <c r="B7446" t="str">
        <f>"1552377021883223"</f>
        <v>1552377021883223</v>
      </c>
      <c r="C7446" t="s">
        <v>40</v>
      </c>
      <c r="D7446">
        <v>4.433395</v>
      </c>
      <c r="E7446">
        <v>0.57321759999999999</v>
      </c>
      <c r="F7446" t="s">
        <v>63</v>
      </c>
      <c r="G7446">
        <v>-181.4033</v>
      </c>
      <c r="H7446" s="1">
        <v>-3.5247069999999999E-6</v>
      </c>
      <c r="I7446">
        <v>123.8556</v>
      </c>
      <c r="J7446">
        <v>-186.971</v>
      </c>
      <c r="K7446">
        <v>1.1045529999999999</v>
      </c>
      <c r="L7446">
        <v>112.9913</v>
      </c>
      <c r="M7446">
        <v>0.15642679999999901</v>
      </c>
      <c r="N7446">
        <v>0</v>
      </c>
      <c r="O7446">
        <v>0.98757320000000004</v>
      </c>
      <c r="P7446">
        <v>0.27918110000000002</v>
      </c>
      <c r="Q7446">
        <v>2.306269E-2</v>
      </c>
      <c r="R7446">
        <v>0.95996150000000002</v>
      </c>
      <c r="S7446">
        <v>1.3788450000000001</v>
      </c>
      <c r="T7446">
        <v>-0.27149089999999998</v>
      </c>
      <c r="U7446">
        <v>2.7324980000000001</v>
      </c>
      <c r="V7446">
        <v>0.12603599999999901</v>
      </c>
      <c r="W7446">
        <v>3.6498379999999997E-2</v>
      </c>
      <c r="X7446">
        <v>0.99135399999999996</v>
      </c>
      <c r="Y7446">
        <v>0.30347279999999999</v>
      </c>
      <c r="Z7446">
        <v>-8.9425180000000007E-2</v>
      </c>
      <c r="AA7446">
        <v>0.94863450000000005</v>
      </c>
      <c r="AB7446">
        <v>38</v>
      </c>
      <c r="AC7446">
        <v>5.5676999999999701</v>
      </c>
      <c r="AD7446">
        <v>-1.1045565247069999</v>
      </c>
      <c r="AE7446">
        <v>10.8643</v>
      </c>
      <c r="AF7446">
        <v>3.76862858550375</v>
      </c>
      <c r="AG7446">
        <v>-1.1045565247069999</v>
      </c>
      <c r="AH7446">
        <v>11.507357902376301</v>
      </c>
      <c r="AI7446">
        <v>95.212078679544604</v>
      </c>
      <c r="AJ7446">
        <v>71.866518542028601</v>
      </c>
      <c r="AK7446">
        <v>12.159025142877701</v>
      </c>
      <c r="AL7446">
        <v>87.908332251803799</v>
      </c>
      <c r="AM7446">
        <v>82.754559026845001</v>
      </c>
      <c r="AN7446">
        <v>0.99999997917731198</v>
      </c>
    </row>
    <row r="7447" spans="1:40" x14ac:dyDescent="0.25">
      <c r="A7447" t="str">
        <f>"20190312155021908"</f>
        <v>20190312155021908</v>
      </c>
      <c r="B7447" t="str">
        <f>"1552377021903719"</f>
        <v>1552377021903719</v>
      </c>
      <c r="C7447" t="s">
        <v>40</v>
      </c>
      <c r="D7447">
        <v>4.3385629999999997</v>
      </c>
      <c r="E7447">
        <v>0.57304279999999996</v>
      </c>
      <c r="F7447" t="s">
        <v>63</v>
      </c>
      <c r="G7447">
        <v>-181.2749</v>
      </c>
      <c r="H7447" s="1">
        <v>-3.7061220000000002E-6</v>
      </c>
      <c r="I7447">
        <v>124.17149999999999</v>
      </c>
      <c r="J7447">
        <v>-186.9145</v>
      </c>
      <c r="K7447">
        <v>1.1046579999999999</v>
      </c>
      <c r="L7447">
        <v>113.3246</v>
      </c>
      <c r="M7447">
        <v>0.1605374</v>
      </c>
      <c r="N7447">
        <v>0</v>
      </c>
      <c r="O7447">
        <v>0.98691340000000005</v>
      </c>
      <c r="P7447">
        <v>0.28288010000000002</v>
      </c>
      <c r="Q7447">
        <v>2.3323139999999999E-2</v>
      </c>
      <c r="R7447">
        <v>0.95887169999999999</v>
      </c>
      <c r="S7447">
        <v>1.3896029999999999</v>
      </c>
      <c r="T7447">
        <v>-0.2694626</v>
      </c>
      <c r="U7447">
        <v>2.7274630000000002</v>
      </c>
      <c r="V7447">
        <v>0.1257259</v>
      </c>
      <c r="W7447">
        <v>3.6784280000000003E-2</v>
      </c>
      <c r="X7447">
        <v>0.99138280000000001</v>
      </c>
      <c r="Y7447">
        <v>0.30321399999999998</v>
      </c>
      <c r="Z7447">
        <v>-8.8747850000000003E-2</v>
      </c>
      <c r="AA7447">
        <v>0.94878079999999998</v>
      </c>
      <c r="AB7447">
        <v>38</v>
      </c>
      <c r="AC7447">
        <v>5.6395999999999997</v>
      </c>
      <c r="AD7447">
        <v>-1.1046617061220001</v>
      </c>
      <c r="AE7447">
        <v>10.8468999999999</v>
      </c>
      <c r="AF7447">
        <v>3.7939272333195002</v>
      </c>
      <c r="AG7447">
        <v>-1.1046617061220001</v>
      </c>
      <c r="AH7447">
        <v>11.517615028301099</v>
      </c>
      <c r="AI7447">
        <v>95.205031600279696</v>
      </c>
      <c r="AJ7447">
        <v>71.768005517433494</v>
      </c>
      <c r="AK7447">
        <v>12.1766012202438</v>
      </c>
      <c r="AL7447">
        <v>87.8919403626292</v>
      </c>
      <c r="AM7447">
        <v>82.772404766285007</v>
      </c>
      <c r="AN7447">
        <v>0.99999997066088298</v>
      </c>
    </row>
    <row r="7448" spans="1:40" x14ac:dyDescent="0.25">
      <c r="A7448" t="str">
        <f>"20190312155021929"</f>
        <v>20190312155021929</v>
      </c>
      <c r="B7448" t="str">
        <f>"1552377021923240"</f>
        <v>1552377021923240</v>
      </c>
      <c r="C7448" t="s">
        <v>40</v>
      </c>
      <c r="D7448">
        <v>4.4579019999999998</v>
      </c>
      <c r="E7448">
        <v>0.57297019999999999</v>
      </c>
      <c r="F7448" t="s">
        <v>63</v>
      </c>
      <c r="G7448">
        <v>-181.08459999999999</v>
      </c>
      <c r="H7448" s="1">
        <v>-3.9901769999999999E-6</v>
      </c>
      <c r="I7448">
        <v>124.669</v>
      </c>
      <c r="J7448">
        <v>-186.85390000000001</v>
      </c>
      <c r="K7448">
        <v>1.1047629999999999</v>
      </c>
      <c r="L7448">
        <v>113.6734</v>
      </c>
      <c r="M7448">
        <v>0.1647672</v>
      </c>
      <c r="N7448">
        <v>0</v>
      </c>
      <c r="O7448">
        <v>0.98621619999999999</v>
      </c>
      <c r="P7448">
        <v>0.28684569999999998</v>
      </c>
      <c r="Q7448">
        <v>2.3399280000000001E-2</v>
      </c>
      <c r="R7448">
        <v>0.95769099999999996</v>
      </c>
      <c r="S7448">
        <v>1.3990479999999901</v>
      </c>
      <c r="T7448">
        <v>-0.26509310000000003</v>
      </c>
      <c r="U7448">
        <v>2.722397</v>
      </c>
      <c r="V7448">
        <v>0.1255703</v>
      </c>
      <c r="W7448">
        <v>3.6883869999999999E-2</v>
      </c>
      <c r="X7448">
        <v>0.99139889999999997</v>
      </c>
      <c r="Y7448">
        <v>0.30250949999999999</v>
      </c>
      <c r="Z7448">
        <v>-8.7316599999999994E-2</v>
      </c>
      <c r="AA7448">
        <v>0.9491385</v>
      </c>
      <c r="AB7448">
        <v>38</v>
      </c>
      <c r="AC7448">
        <v>5.7693000000000101</v>
      </c>
      <c r="AD7448">
        <v>-1.1047669901770001</v>
      </c>
      <c r="AE7448">
        <v>10.9955999999999</v>
      </c>
      <c r="AF7448">
        <v>3.8480476572614899</v>
      </c>
      <c r="AG7448">
        <v>-1.1047669901770001</v>
      </c>
      <c r="AH7448">
        <v>11.703342754719699</v>
      </c>
      <c r="AI7448">
        <v>95.124271132553105</v>
      </c>
      <c r="AJ7448">
        <v>71.799185555464106</v>
      </c>
      <c r="AK7448">
        <v>12.3691637756798</v>
      </c>
      <c r="AL7448">
        <v>87.886230567724596</v>
      </c>
      <c r="AM7448">
        <v>82.781371307911598</v>
      </c>
      <c r="AN7448">
        <v>1.0000000495147301</v>
      </c>
    </row>
    <row r="7449" spans="1:40" x14ac:dyDescent="0.25">
      <c r="A7449" t="str">
        <f>"20190312155021942"</f>
        <v>20190312155021942</v>
      </c>
      <c r="B7449" t="str">
        <f>"1552377021932999"</f>
        <v>1552377021932999</v>
      </c>
      <c r="C7449" t="s">
        <v>40</v>
      </c>
      <c r="D7449">
        <v>4.4780239999999996</v>
      </c>
      <c r="E7449">
        <v>0.56092799999999998</v>
      </c>
      <c r="F7449" t="s">
        <v>63</v>
      </c>
      <c r="G7449">
        <v>-180.94450000000001</v>
      </c>
      <c r="H7449" s="1">
        <v>-4.1114430000000003E-6</v>
      </c>
      <c r="I7449">
        <v>125.0608</v>
      </c>
      <c r="J7449">
        <v>-186.8133</v>
      </c>
      <c r="K7449">
        <v>1.104827</v>
      </c>
      <c r="L7449">
        <v>113.9021</v>
      </c>
      <c r="M7449">
        <v>0.16750760000000001</v>
      </c>
      <c r="N7449">
        <v>0</v>
      </c>
      <c r="O7449">
        <v>0.98575460000000004</v>
      </c>
      <c r="P7449">
        <v>0.28929440000000001</v>
      </c>
      <c r="Q7449">
        <v>2.3528219999999999E-2</v>
      </c>
      <c r="R7449">
        <v>0.956951</v>
      </c>
      <c r="S7449">
        <v>1.409805</v>
      </c>
      <c r="T7449">
        <v>-0.26356639999999998</v>
      </c>
      <c r="U7449">
        <v>2.7167210000000002</v>
      </c>
      <c r="V7449">
        <v>0.12534690000000001</v>
      </c>
      <c r="W7449">
        <v>3.702921E-2</v>
      </c>
      <c r="X7449">
        <v>0.99142169999999996</v>
      </c>
      <c r="Y7449">
        <v>0.3036527</v>
      </c>
      <c r="Z7449">
        <v>-8.6826219999999996E-2</v>
      </c>
      <c r="AA7449">
        <v>0.9488183</v>
      </c>
      <c r="AB7449">
        <v>38</v>
      </c>
      <c r="AC7449">
        <v>5.8687999999999896</v>
      </c>
      <c r="AD7449">
        <v>-1.1048311114430001</v>
      </c>
      <c r="AE7449">
        <v>11.1586999999999</v>
      </c>
      <c r="AF7449">
        <v>3.8866326302793301</v>
      </c>
      <c r="AG7449">
        <v>-1.1048311114430001</v>
      </c>
      <c r="AH7449">
        <v>11.892855729219001</v>
      </c>
      <c r="AI7449">
        <v>95.046295084133405</v>
      </c>
      <c r="AJ7449">
        <v>71.902401847994199</v>
      </c>
      <c r="AK7449">
        <v>12.560516804000599</v>
      </c>
      <c r="AL7449">
        <v>87.877897396533498</v>
      </c>
      <c r="AM7449">
        <v>82.794242709160002</v>
      </c>
      <c r="AN7449">
        <v>0.99999999748186197</v>
      </c>
    </row>
    <row r="7450" spans="1:40" x14ac:dyDescent="0.25">
      <c r="A7450" t="str">
        <f>"20190312155021957"</f>
        <v>20190312155021957</v>
      </c>
      <c r="B7450" t="str">
        <f>"1552377021943735"</f>
        <v>1552377021943735</v>
      </c>
      <c r="C7450" t="s">
        <v>40</v>
      </c>
      <c r="D7450">
        <v>4.4851210000000004</v>
      </c>
      <c r="E7450">
        <v>0.56052990000000003</v>
      </c>
      <c r="F7450" t="s">
        <v>63</v>
      </c>
      <c r="G7450">
        <v>-180.05879999999999</v>
      </c>
      <c r="H7450" s="1">
        <v>-4.9611870000000003E-6</v>
      </c>
      <c r="I7450">
        <v>127.8578</v>
      </c>
      <c r="J7450">
        <v>-186.77160000000001</v>
      </c>
      <c r="K7450">
        <v>1.1048899999999999</v>
      </c>
      <c r="L7450">
        <v>114.133</v>
      </c>
      <c r="M7450">
        <v>0.17024139999999999</v>
      </c>
      <c r="N7450">
        <v>0</v>
      </c>
      <c r="O7450">
        <v>0.9852862</v>
      </c>
      <c r="P7450">
        <v>0.29221469999999999</v>
      </c>
      <c r="Q7450">
        <v>2.306213E-2</v>
      </c>
      <c r="R7450">
        <v>0.95607470000000006</v>
      </c>
      <c r="S7450">
        <v>1.3258970000000001</v>
      </c>
      <c r="T7450">
        <v>-0.21687690000000001</v>
      </c>
      <c r="U7450">
        <v>2.739471</v>
      </c>
      <c r="V7450">
        <v>0.12561059999999999</v>
      </c>
      <c r="W7450">
        <v>3.6572710000000001E-2</v>
      </c>
      <c r="X7450">
        <v>0.99140519999999999</v>
      </c>
      <c r="Y7450">
        <v>0.27490690000000001</v>
      </c>
      <c r="Z7450">
        <v>-7.1742879999999995E-2</v>
      </c>
      <c r="AA7450">
        <v>0.95879049999999999</v>
      </c>
      <c r="AB7450">
        <v>38</v>
      </c>
      <c r="AC7450">
        <v>6.7128000000000103</v>
      </c>
      <c r="AD7450">
        <v>-1.104894961187</v>
      </c>
      <c r="AE7450">
        <v>13.7248</v>
      </c>
      <c r="AF7450">
        <v>4.2557333570056199</v>
      </c>
      <c r="AG7450">
        <v>-1.104894961187</v>
      </c>
      <c r="AH7450">
        <v>14.5910242067963</v>
      </c>
      <c r="AI7450">
        <v>94.157819751006997</v>
      </c>
      <c r="AJ7450">
        <v>73.739730283708198</v>
      </c>
      <c r="AK7450">
        <v>15.239095993020801</v>
      </c>
      <c r="AL7450">
        <v>87.904070504406107</v>
      </c>
      <c r="AM7450">
        <v>82.779124443340393</v>
      </c>
      <c r="AN7450">
        <v>0.99999992826806905</v>
      </c>
    </row>
    <row r="7451" spans="1:40" x14ac:dyDescent="0.25">
      <c r="A7451" t="str">
        <f>"20190312155021974"</f>
        <v>20190312155021974</v>
      </c>
      <c r="B7451" t="str">
        <f>"1552377021963255"</f>
        <v>1552377021963255</v>
      </c>
      <c r="C7451" t="s">
        <v>40</v>
      </c>
      <c r="D7451">
        <v>4.4517620000000004</v>
      </c>
      <c r="E7451">
        <v>0.56000109999999903</v>
      </c>
      <c r="F7451" t="s">
        <v>63</v>
      </c>
      <c r="G7451">
        <v>-179.9273</v>
      </c>
      <c r="H7451" s="1">
        <v>-5.0445279999999997E-6</v>
      </c>
      <c r="I7451">
        <v>128.20099999999999</v>
      </c>
      <c r="J7451">
        <v>-186.71680000000001</v>
      </c>
      <c r="K7451">
        <v>1.1049659999999999</v>
      </c>
      <c r="L7451">
        <v>114.432</v>
      </c>
      <c r="M7451">
        <v>0.17374879999999901</v>
      </c>
      <c r="N7451">
        <v>0</v>
      </c>
      <c r="O7451">
        <v>0.98467389999999999</v>
      </c>
      <c r="P7451">
        <v>0.29585640000000002</v>
      </c>
      <c r="Q7451">
        <v>2.2780959999999999E-2</v>
      </c>
      <c r="R7451">
        <v>0.95496080000000005</v>
      </c>
      <c r="S7451">
        <v>1.3311770000000001</v>
      </c>
      <c r="T7451">
        <v>-0.2148958</v>
      </c>
      <c r="U7451">
        <v>2.736145</v>
      </c>
      <c r="V7451">
        <v>0.12584769999999901</v>
      </c>
      <c r="W7451">
        <v>3.6304429999999999E-2</v>
      </c>
      <c r="X7451">
        <v>0.99138499999999996</v>
      </c>
      <c r="Y7451">
        <v>0.27345819999999998</v>
      </c>
      <c r="Z7451">
        <v>-7.1088949999999998E-2</v>
      </c>
      <c r="AA7451">
        <v>0.95925329999999998</v>
      </c>
      <c r="AB7451">
        <v>38</v>
      </c>
      <c r="AC7451">
        <v>6.7895000000000003</v>
      </c>
      <c r="AD7451">
        <v>-1.1049710445280001</v>
      </c>
      <c r="AE7451">
        <v>13.768999999999901</v>
      </c>
      <c r="AF7451">
        <v>4.2714587242717004</v>
      </c>
      <c r="AG7451">
        <v>-1.1049710445280001</v>
      </c>
      <c r="AH7451">
        <v>14.6633637015209</v>
      </c>
      <c r="AI7451">
        <v>94.138069076113496</v>
      </c>
      <c r="AJ7451">
        <v>73.7590833912314</v>
      </c>
      <c r="AK7451">
        <v>15.312757938578001</v>
      </c>
      <c r="AL7451">
        <v>87.919452049848104</v>
      </c>
      <c r="AM7451">
        <v>82.765492892602197</v>
      </c>
      <c r="AN7451">
        <v>0.99999993672895504</v>
      </c>
    </row>
    <row r="7452" spans="1:40" x14ac:dyDescent="0.25">
      <c r="A7452" t="str">
        <f>"20190312155021998"</f>
        <v>20190312155021998</v>
      </c>
      <c r="B7452" t="str">
        <f>"1552377021983752"</f>
        <v>1552377021983752</v>
      </c>
      <c r="C7452" t="s">
        <v>40</v>
      </c>
      <c r="D7452">
        <v>4.4470179999999999</v>
      </c>
      <c r="E7452">
        <v>0.55986569999999902</v>
      </c>
      <c r="F7452" t="s">
        <v>63</v>
      </c>
      <c r="G7452">
        <v>-179.80520000000001</v>
      </c>
      <c r="H7452" s="1">
        <v>-5.0559740000000001E-6</v>
      </c>
      <c r="I7452">
        <v>128.55170000000001</v>
      </c>
      <c r="J7452">
        <v>-186.64269999999999</v>
      </c>
      <c r="K7452">
        <v>1.1050629999999999</v>
      </c>
      <c r="L7452">
        <v>114.82680000000001</v>
      </c>
      <c r="M7452">
        <v>0.178321799999999</v>
      </c>
      <c r="N7452">
        <v>0</v>
      </c>
      <c r="O7452">
        <v>0.98385610000000001</v>
      </c>
      <c r="P7452">
        <v>0.30079820000000002</v>
      </c>
      <c r="Q7452">
        <v>2.2343109999999999E-2</v>
      </c>
      <c r="R7452">
        <v>0.95342610000000005</v>
      </c>
      <c r="S7452">
        <v>1.337418</v>
      </c>
      <c r="T7452">
        <v>-0.21381720000000001</v>
      </c>
      <c r="U7452">
        <v>2.7322389999999999</v>
      </c>
      <c r="V7452">
        <v>0.126361</v>
      </c>
      <c r="W7452">
        <v>3.5878889999999997E-2</v>
      </c>
      <c r="X7452">
        <v>0.99133530000000003</v>
      </c>
      <c r="Y7452">
        <v>0.27130919999999997</v>
      </c>
      <c r="Z7452">
        <v>-7.0725040000000003E-2</v>
      </c>
      <c r="AA7452">
        <v>0.95989020000000003</v>
      </c>
      <c r="AB7452">
        <v>38</v>
      </c>
      <c r="AC7452">
        <v>6.8374999999999702</v>
      </c>
      <c r="AD7452">
        <v>-1.10506805597399</v>
      </c>
      <c r="AE7452">
        <v>13.7249</v>
      </c>
      <c r="AF7452">
        <v>4.2580410920076703</v>
      </c>
      <c r="AG7452">
        <v>-1.10506805597399</v>
      </c>
      <c r="AH7452">
        <v>14.6482052827561</v>
      </c>
      <c r="AI7452">
        <v>94.143379468555594</v>
      </c>
      <c r="AJ7452">
        <v>73.791545353888793</v>
      </c>
      <c r="AK7452">
        <v>15.2945090589833</v>
      </c>
      <c r="AL7452">
        <v>87.943849799344505</v>
      </c>
      <c r="AM7452">
        <v>82.735939471583706</v>
      </c>
      <c r="AN7452">
        <v>1.0000000370473601</v>
      </c>
    </row>
    <row r="7453" spans="1:40" x14ac:dyDescent="0.25">
      <c r="A7453" t="str">
        <f>"20190312155022030"</f>
        <v>20190312155022030</v>
      </c>
      <c r="B7453" t="str">
        <f>"1552377022023767"</f>
        <v>1552377022023767</v>
      </c>
      <c r="C7453" t="s">
        <v>40</v>
      </c>
      <c r="D7453">
        <v>4.4571899999999998</v>
      </c>
      <c r="E7453">
        <v>0.55984529999999999</v>
      </c>
      <c r="F7453" t="s">
        <v>63</v>
      </c>
      <c r="G7453">
        <v>-179.71950000000001</v>
      </c>
      <c r="H7453" s="1">
        <v>-5.0639199999999996E-6</v>
      </c>
      <c r="I7453">
        <v>128.79769999999999</v>
      </c>
      <c r="J7453">
        <v>-186.53980000000001</v>
      </c>
      <c r="K7453">
        <v>1.105181</v>
      </c>
      <c r="L7453">
        <v>115.3596</v>
      </c>
      <c r="M7453">
        <v>0.18440609999999999</v>
      </c>
      <c r="N7453">
        <v>0</v>
      </c>
      <c r="O7453">
        <v>0.98273410000000005</v>
      </c>
      <c r="P7453">
        <v>0.30788189999999999</v>
      </c>
      <c r="Q7453">
        <v>2.165721E-2</v>
      </c>
      <c r="R7453">
        <v>0.95117810000000003</v>
      </c>
      <c r="S7453">
        <v>1.350616</v>
      </c>
      <c r="T7453">
        <v>-0.21558069999999999</v>
      </c>
      <c r="U7453">
        <v>2.7254939999999999</v>
      </c>
      <c r="V7453">
        <v>0.12758069999999999</v>
      </c>
      <c r="W7453">
        <v>3.5199359999999999E-2</v>
      </c>
      <c r="X7453">
        <v>0.99120339999999996</v>
      </c>
      <c r="Y7453">
        <v>0.27001330000000001</v>
      </c>
      <c r="Z7453">
        <v>-7.1282079999999998E-2</v>
      </c>
      <c r="AA7453">
        <v>0.96021440000000002</v>
      </c>
      <c r="AB7453">
        <v>38</v>
      </c>
      <c r="AC7453">
        <v>6.8202999999999996</v>
      </c>
      <c r="AD7453">
        <v>-1.10518606392</v>
      </c>
      <c r="AE7453">
        <v>13.438099999999899</v>
      </c>
      <c r="AF7453">
        <v>4.2023535440804496</v>
      </c>
      <c r="AG7453">
        <v>-1.10518606392</v>
      </c>
      <c r="AH7453">
        <v>14.388048643192199</v>
      </c>
      <c r="AI7453">
        <v>94.2169145882647</v>
      </c>
      <c r="AJ7453">
        <v>73.718367333295703</v>
      </c>
      <c r="AK7453">
        <v>15.0298754254383</v>
      </c>
      <c r="AL7453">
        <v>87.982808545998495</v>
      </c>
      <c r="AM7453">
        <v>82.665617539133194</v>
      </c>
      <c r="AN7453">
        <v>1.0000000050642199</v>
      </c>
    </row>
    <row r="7454" spans="1:40" x14ac:dyDescent="0.25">
      <c r="A7454" t="str">
        <f>"20190312155022052"</f>
        <v>20190312155022052</v>
      </c>
      <c r="B7454" t="str">
        <f>"1552377022043287"</f>
        <v>1552377022043287</v>
      </c>
      <c r="C7454" t="s">
        <v>40</v>
      </c>
      <c r="D7454">
        <v>4.470383</v>
      </c>
      <c r="E7454">
        <v>0.55987790000000004</v>
      </c>
      <c r="F7454" t="s">
        <v>63</v>
      </c>
      <c r="G7454">
        <v>-179.57749999999999</v>
      </c>
      <c r="H7454" s="1">
        <v>-5.0627970000000002E-6</v>
      </c>
      <c r="I7454">
        <v>129.1498</v>
      </c>
      <c r="J7454">
        <v>-186.46940000000001</v>
      </c>
      <c r="K7454">
        <v>1.1052500000000001</v>
      </c>
      <c r="L7454">
        <v>115.71469999999999</v>
      </c>
      <c r="M7454">
        <v>0.18841840000000001</v>
      </c>
      <c r="N7454">
        <v>0</v>
      </c>
      <c r="O7454">
        <v>0.98197290000000004</v>
      </c>
      <c r="P7454">
        <v>0.31299189999999999</v>
      </c>
      <c r="Q7454">
        <v>2.1576049999999999E-2</v>
      </c>
      <c r="R7454">
        <v>0.94951070000000004</v>
      </c>
      <c r="S7454">
        <v>1.3708340000000001</v>
      </c>
      <c r="T7454">
        <v>-0.21760370000000001</v>
      </c>
      <c r="U7454">
        <v>2.7152099999999999</v>
      </c>
      <c r="V7454">
        <v>0.12885559999999999</v>
      </c>
      <c r="W7454">
        <v>3.5113579999999998E-2</v>
      </c>
      <c r="X7454">
        <v>0.99104150000000002</v>
      </c>
      <c r="Y7454">
        <v>0.27321839999999997</v>
      </c>
      <c r="Z7454">
        <v>-7.1959410000000001E-2</v>
      </c>
      <c r="AA7454">
        <v>0.95925680000000002</v>
      </c>
      <c r="AB7454">
        <v>38</v>
      </c>
      <c r="AC7454">
        <v>6.8919000000000201</v>
      </c>
      <c r="AD7454">
        <v>-1.1052550627969999</v>
      </c>
      <c r="AE7454">
        <v>13.4351</v>
      </c>
      <c r="AF7454">
        <v>4.2141427201950501</v>
      </c>
      <c r="AG7454">
        <v>-1.1052550627969999</v>
      </c>
      <c r="AH7454">
        <v>14.415877258901499</v>
      </c>
      <c r="AI7454">
        <v>94.208778556140999</v>
      </c>
      <c r="AJ7454">
        <v>73.704960591228598</v>
      </c>
      <c r="AK7454">
        <v>15.059817554131399</v>
      </c>
      <c r="AL7454">
        <v>87.987726391644301</v>
      </c>
      <c r="AM7454">
        <v>82.591939161861603</v>
      </c>
      <c r="AN7454">
        <v>0.99999999193701306</v>
      </c>
    </row>
    <row r="7455" spans="1:40" x14ac:dyDescent="0.25">
      <c r="A7455" t="str">
        <f>"20190312155022074"</f>
        <v>20190312155022074</v>
      </c>
      <c r="B7455" t="str">
        <f>"1552377022062807"</f>
        <v>1552377022062807</v>
      </c>
      <c r="C7455" t="s">
        <v>40</v>
      </c>
      <c r="D7455">
        <v>4.4710660000000004</v>
      </c>
      <c r="E7455">
        <v>0.55990399999999996</v>
      </c>
      <c r="F7455" t="s">
        <v>63</v>
      </c>
      <c r="G7455">
        <v>-179.45820000000001</v>
      </c>
      <c r="H7455" s="1">
        <v>-5.0456280000000004E-6</v>
      </c>
      <c r="I7455">
        <v>129.41810000000001</v>
      </c>
      <c r="J7455">
        <v>-186.3939</v>
      </c>
      <c r="K7455">
        <v>1.105307</v>
      </c>
      <c r="L7455">
        <v>116.0869</v>
      </c>
      <c r="M7455">
        <v>0.19259950000000001</v>
      </c>
      <c r="N7455">
        <v>0</v>
      </c>
      <c r="O7455">
        <v>0.98116150000000002</v>
      </c>
      <c r="P7455">
        <v>0.31859939999999998</v>
      </c>
      <c r="Q7455">
        <v>2.2240599999999999E-2</v>
      </c>
      <c r="R7455">
        <v>0.94762849999999998</v>
      </c>
      <c r="S7455">
        <v>1.3854219999999999</v>
      </c>
      <c r="T7455">
        <v>-0.2183996</v>
      </c>
      <c r="U7455">
        <v>2.7078090000000001</v>
      </c>
      <c r="V7455">
        <v>0.13049839999999999</v>
      </c>
      <c r="W7455">
        <v>3.5766430000000002E-2</v>
      </c>
      <c r="X7455">
        <v>0.9908032</v>
      </c>
      <c r="Y7455">
        <v>0.27427170000000001</v>
      </c>
      <c r="Z7455">
        <v>-7.2212529999999997E-2</v>
      </c>
      <c r="AA7455">
        <v>0.95893709999999999</v>
      </c>
      <c r="AB7455">
        <v>38</v>
      </c>
      <c r="AC7455">
        <v>6.93569999999999</v>
      </c>
      <c r="AD7455">
        <v>-1.1053120456279999</v>
      </c>
      <c r="AE7455">
        <v>13.331200000000001</v>
      </c>
      <c r="AF7455">
        <v>4.2151376074076499</v>
      </c>
      <c r="AG7455">
        <v>-1.1053120456279999</v>
      </c>
      <c r="AH7455">
        <v>14.339933746164</v>
      </c>
      <c r="AI7455">
        <v>94.229364251310699</v>
      </c>
      <c r="AJ7455">
        <v>73.6196167528324</v>
      </c>
      <c r="AK7455">
        <v>14.987421379675901</v>
      </c>
      <c r="AL7455">
        <v>87.9502973971681</v>
      </c>
      <c r="AM7455">
        <v>82.496777963747903</v>
      </c>
      <c r="AN7455">
        <v>1.0000000255238699</v>
      </c>
    </row>
    <row r="7456" spans="1:40" x14ac:dyDescent="0.25">
      <c r="A7456" t="str">
        <f>"20190312155022097"</f>
        <v>20190312155022097</v>
      </c>
      <c r="B7456" t="str">
        <f>"1552377022083303"</f>
        <v>1552377022083303</v>
      </c>
      <c r="C7456" t="s">
        <v>40</v>
      </c>
      <c r="D7456">
        <v>4.4720060000000004</v>
      </c>
      <c r="E7456">
        <v>0.55990740000000006</v>
      </c>
      <c r="F7456" t="s">
        <v>63</v>
      </c>
      <c r="G7456">
        <v>-179.2749</v>
      </c>
      <c r="H7456" s="1">
        <v>-5.0357020000000004E-6</v>
      </c>
      <c r="I7456">
        <v>129.79949999999999</v>
      </c>
      <c r="J7456">
        <v>-186.31530000000001</v>
      </c>
      <c r="K7456">
        <v>1.1053519999999999</v>
      </c>
      <c r="L7456">
        <v>116.4662</v>
      </c>
      <c r="M7456">
        <v>0.19684119999999999</v>
      </c>
      <c r="N7456">
        <v>0</v>
      </c>
      <c r="O7456">
        <v>0.98031939999999995</v>
      </c>
      <c r="P7456">
        <v>0.32444679999999998</v>
      </c>
      <c r="Q7456">
        <v>2.2924900000000002E-2</v>
      </c>
      <c r="R7456">
        <v>0.94562610000000002</v>
      </c>
      <c r="S7456">
        <v>1.4015500000000001</v>
      </c>
      <c r="T7456">
        <v>-0.21760879999999999</v>
      </c>
      <c r="U7456">
        <v>2.6996769999999999</v>
      </c>
      <c r="V7456">
        <v>0.13233989999999901</v>
      </c>
      <c r="W7456">
        <v>3.6435000000000002E-2</v>
      </c>
      <c r="X7456">
        <v>0.99053449999999998</v>
      </c>
      <c r="Y7456">
        <v>0.27581650000000002</v>
      </c>
      <c r="Z7456">
        <v>-7.1942560000000003E-2</v>
      </c>
      <c r="AA7456">
        <v>0.95851419999999998</v>
      </c>
      <c r="AB7456">
        <v>38</v>
      </c>
      <c r="AC7456">
        <v>7.0404</v>
      </c>
      <c r="AD7456">
        <v>-1.1053570357019999</v>
      </c>
      <c r="AE7456">
        <v>13.3332999999999</v>
      </c>
      <c r="AF7456">
        <v>4.2549172011329102</v>
      </c>
      <c r="AG7456">
        <v>-1.1053570357019999</v>
      </c>
      <c r="AH7456">
        <v>14.3810893627161</v>
      </c>
      <c r="AI7456">
        <v>94.215281440167601</v>
      </c>
      <c r="AJ7456">
        <v>73.518152503710098</v>
      </c>
      <c r="AK7456">
        <v>15.0380140252395</v>
      </c>
      <c r="AL7456">
        <v>87.9119660708552</v>
      </c>
      <c r="AM7456">
        <v>82.390089954207696</v>
      </c>
      <c r="AN7456">
        <v>0.99999997702362897</v>
      </c>
    </row>
    <row r="7457" spans="1:40" x14ac:dyDescent="0.25">
      <c r="A7457" t="str">
        <f>"20190312155022119"</f>
        <v>20190312155022119</v>
      </c>
      <c r="B7457" t="str">
        <f>"1552377022113560"</f>
        <v>1552377022113560</v>
      </c>
      <c r="C7457" t="s">
        <v>40</v>
      </c>
      <c r="D7457">
        <v>4.7743449999999896</v>
      </c>
      <c r="E7457">
        <v>0.55975869999999905</v>
      </c>
      <c r="F7457" t="s">
        <v>63</v>
      </c>
      <c r="G7457">
        <v>-179.0737</v>
      </c>
      <c r="H7457" s="1">
        <v>-5.0547619999999997E-6</v>
      </c>
      <c r="I7457">
        <v>130.2115</v>
      </c>
      <c r="J7457">
        <v>-186.23830000000001</v>
      </c>
      <c r="K7457">
        <v>1.1053850000000001</v>
      </c>
      <c r="L7457">
        <v>116.8301</v>
      </c>
      <c r="M7457">
        <v>0.2009002</v>
      </c>
      <c r="N7457">
        <v>0</v>
      </c>
      <c r="O7457">
        <v>0.97949580000000003</v>
      </c>
      <c r="P7457">
        <v>0.33041890000000002</v>
      </c>
      <c r="Q7457">
        <v>2.170002E-2</v>
      </c>
      <c r="R7457">
        <v>0.94358489999999995</v>
      </c>
      <c r="S7457">
        <v>1.4178770000000001</v>
      </c>
      <c r="T7457">
        <v>-0.2164227</v>
      </c>
      <c r="U7457">
        <v>2.6912539999999998</v>
      </c>
      <c r="V7457">
        <v>0.13447729999999999</v>
      </c>
      <c r="W7457">
        <v>3.5189819999999997E-2</v>
      </c>
      <c r="X7457">
        <v>0.9902917</v>
      </c>
      <c r="Y7457">
        <v>0.27763759999999998</v>
      </c>
      <c r="Z7457">
        <v>-7.1545979999999995E-2</v>
      </c>
      <c r="AA7457">
        <v>0.95801800000000004</v>
      </c>
      <c r="AB7457">
        <v>38</v>
      </c>
      <c r="AC7457">
        <v>7.1646000000000001</v>
      </c>
      <c r="AD7457">
        <v>-1.1053900547619999</v>
      </c>
      <c r="AE7457">
        <v>13.381399999999999</v>
      </c>
      <c r="AF7457">
        <v>4.3070191277999097</v>
      </c>
      <c r="AG7457">
        <v>-1.1053900547619999</v>
      </c>
      <c r="AH7457">
        <v>14.471298325043399</v>
      </c>
      <c r="AI7457">
        <v>94.187224701591006</v>
      </c>
      <c r="AJ7457">
        <v>73.425682716824994</v>
      </c>
      <c r="AK7457">
        <v>15.139048059663599</v>
      </c>
      <c r="AL7457">
        <v>87.983355596130195</v>
      </c>
      <c r="AM7457">
        <v>82.2667858231803</v>
      </c>
      <c r="AN7457">
        <v>1.0000000593678999</v>
      </c>
    </row>
    <row r="7458" spans="1:40" x14ac:dyDescent="0.25">
      <c r="A7458" t="str">
        <f>"20190312155022141"</f>
        <v>20190312155022141</v>
      </c>
      <c r="B7458" t="str">
        <f>"1552377022133079"</f>
        <v>1552377022133079</v>
      </c>
      <c r="C7458" t="s">
        <v>40</v>
      </c>
      <c r="D7458">
        <v>4.449128</v>
      </c>
      <c r="E7458">
        <v>0.55460019999999999</v>
      </c>
      <c r="F7458" t="s">
        <v>63</v>
      </c>
      <c r="G7458">
        <v>-179.0642</v>
      </c>
      <c r="H7458" s="1">
        <v>-5.0642590000000003E-6</v>
      </c>
      <c r="I7458">
        <v>130.2535</v>
      </c>
      <c r="J7458">
        <v>-186.16</v>
      </c>
      <c r="K7458">
        <v>1.1054109999999999</v>
      </c>
      <c r="L7458">
        <v>117.19329999999999</v>
      </c>
      <c r="M7458">
        <v>0.20494589999999999</v>
      </c>
      <c r="N7458">
        <v>0</v>
      </c>
      <c r="O7458">
        <v>0.97865740000000001</v>
      </c>
      <c r="P7458">
        <v>0.33743800000000002</v>
      </c>
      <c r="Q7458">
        <v>1.830126E-2</v>
      </c>
      <c r="R7458">
        <v>0.9411699</v>
      </c>
      <c r="S7458">
        <v>1.433624</v>
      </c>
      <c r="T7458">
        <v>-0.22089239999999999</v>
      </c>
      <c r="U7458">
        <v>2.6824340000000002</v>
      </c>
      <c r="V7458">
        <v>0.1377081</v>
      </c>
      <c r="W7458">
        <v>3.175613E-2</v>
      </c>
      <c r="X7458">
        <v>0.9899637</v>
      </c>
      <c r="Y7458">
        <v>0.2793004</v>
      </c>
      <c r="Z7458">
        <v>-7.3020109999999999E-2</v>
      </c>
      <c r="AA7458">
        <v>0.95742329999999998</v>
      </c>
      <c r="AB7458">
        <v>38</v>
      </c>
      <c r="AC7458">
        <v>7.0957999999999899</v>
      </c>
      <c r="AD7458">
        <v>-1.1054160642590001</v>
      </c>
      <c r="AE7458">
        <v>13.0602</v>
      </c>
      <c r="AF7458">
        <v>4.24472855728298</v>
      </c>
      <c r="AG7458">
        <v>-1.1054160642590001</v>
      </c>
      <c r="AH7458">
        <v>14.159015491776101</v>
      </c>
      <c r="AI7458">
        <v>94.276806161191601</v>
      </c>
      <c r="AJ7458">
        <v>73.311805054019004</v>
      </c>
      <c r="AK7458">
        <v>14.822866959414201</v>
      </c>
      <c r="AL7458">
        <v>88.180201917714498</v>
      </c>
      <c r="AM7458">
        <v>82.080735185362002</v>
      </c>
      <c r="AN7458">
        <v>1.00000004995793</v>
      </c>
    </row>
    <row r="7459" spans="1:40" x14ac:dyDescent="0.25">
      <c r="A7459" t="str">
        <f>"20190312155022165"</f>
        <v>20190312155022165</v>
      </c>
      <c r="B7459" t="str">
        <f>"1552377022153575"</f>
        <v>1552377022153575</v>
      </c>
      <c r="C7459" t="s">
        <v>40</v>
      </c>
      <c r="D7459">
        <v>4.5329899999999999</v>
      </c>
      <c r="E7459">
        <v>0.55487379999999997</v>
      </c>
      <c r="F7459" t="s">
        <v>63</v>
      </c>
      <c r="G7459">
        <v>-176.80709999999999</v>
      </c>
      <c r="H7459" s="1">
        <v>-5.29424999999999E-6</v>
      </c>
      <c r="I7459">
        <v>134.91679999999999</v>
      </c>
      <c r="J7459">
        <v>-186.07599999999999</v>
      </c>
      <c r="K7459">
        <v>1.1054379999999999</v>
      </c>
      <c r="L7459">
        <v>117.57470000000001</v>
      </c>
      <c r="M7459">
        <v>0.20919789999999999</v>
      </c>
      <c r="N7459">
        <v>0</v>
      </c>
      <c r="O7459">
        <v>0.9777574</v>
      </c>
      <c r="P7459">
        <v>0.34472819999999998</v>
      </c>
      <c r="Q7459">
        <v>1.505603E-2</v>
      </c>
      <c r="R7459">
        <v>0.93858180000000002</v>
      </c>
      <c r="S7459">
        <v>1.4159090000000001</v>
      </c>
      <c r="T7459">
        <v>-0.16734679999999999</v>
      </c>
      <c r="U7459">
        <v>2.6831360000000002</v>
      </c>
      <c r="V7459">
        <v>0.14103550000000001</v>
      </c>
      <c r="W7459">
        <v>2.8472219999999999E-2</v>
      </c>
      <c r="X7459">
        <v>0.98959509999999995</v>
      </c>
      <c r="Y7459">
        <v>0.27061410000000002</v>
      </c>
      <c r="Z7459">
        <v>-5.5449930000000001E-2</v>
      </c>
      <c r="AA7459">
        <v>0.96108959999999999</v>
      </c>
      <c r="AB7459">
        <v>37</v>
      </c>
      <c r="AC7459">
        <v>9.2689000000000004</v>
      </c>
      <c r="AD7459">
        <v>-1.1054432942500001</v>
      </c>
      <c r="AE7459">
        <v>17.342099999999899</v>
      </c>
      <c r="AF7459">
        <v>5.4182968095032296</v>
      </c>
      <c r="AG7459">
        <v>-1.1054432942500001</v>
      </c>
      <c r="AH7459">
        <v>18.8380075116395</v>
      </c>
      <c r="AI7459">
        <v>93.227784667094397</v>
      </c>
      <c r="AJ7459">
        <v>73.9533998747998</v>
      </c>
      <c r="AK7459">
        <v>19.632892609120599</v>
      </c>
      <c r="AL7459">
        <v>88.368441583593295</v>
      </c>
      <c r="AM7459">
        <v>81.888919497013902</v>
      </c>
      <c r="AN7459">
        <v>1.0000000707579899</v>
      </c>
    </row>
    <row r="7460" spans="1:40" x14ac:dyDescent="0.25">
      <c r="A7460" t="str">
        <f>"20190312155022188"</f>
        <v>20190312155022188</v>
      </c>
      <c r="B7460" t="str">
        <f>"1552377022182857"</f>
        <v>1552377022182857</v>
      </c>
      <c r="C7460" t="s">
        <v>40</v>
      </c>
      <c r="D7460">
        <v>4.5142559999999996</v>
      </c>
      <c r="E7460">
        <v>0.55440129999999999</v>
      </c>
      <c r="F7460" t="s">
        <v>63</v>
      </c>
      <c r="G7460">
        <v>-177.38069999999999</v>
      </c>
      <c r="H7460" s="1">
        <v>-5.2333469999999998E-6</v>
      </c>
      <c r="I7460">
        <v>133.7252</v>
      </c>
      <c r="J7460">
        <v>-185.99180000000001</v>
      </c>
      <c r="K7460">
        <v>1.1054580000000001</v>
      </c>
      <c r="L7460">
        <v>117.9485</v>
      </c>
      <c r="M7460">
        <v>0.21339089999999999</v>
      </c>
      <c r="N7460">
        <v>0</v>
      </c>
      <c r="O7460">
        <v>0.97685100000000002</v>
      </c>
      <c r="P7460">
        <v>0.35179680000000002</v>
      </c>
      <c r="Q7460">
        <v>1.4957450000000001E-2</v>
      </c>
      <c r="R7460">
        <v>0.93595689999999998</v>
      </c>
      <c r="S7460">
        <v>1.4380649999999999</v>
      </c>
      <c r="T7460">
        <v>-0.18282409999999999</v>
      </c>
      <c r="U7460">
        <v>2.6710509999999998</v>
      </c>
      <c r="V7460">
        <v>0.14425079999999901</v>
      </c>
      <c r="W7460">
        <v>2.833113E-2</v>
      </c>
      <c r="X7460">
        <v>0.98913549999999995</v>
      </c>
      <c r="Y7460">
        <v>0.27433410000000003</v>
      </c>
      <c r="Z7460">
        <v>-6.0571750000000001E-2</v>
      </c>
      <c r="AA7460">
        <v>0.95972489999999999</v>
      </c>
      <c r="AB7460">
        <v>37</v>
      </c>
      <c r="AC7460">
        <v>8.61110000000002</v>
      </c>
      <c r="AD7460">
        <v>-1.105463233347</v>
      </c>
      <c r="AE7460">
        <v>15.7767</v>
      </c>
      <c r="AF7460">
        <v>5.0267137824732497</v>
      </c>
      <c r="AG7460">
        <v>-1.105463233347</v>
      </c>
      <c r="AH7460">
        <v>17.1859580867037</v>
      </c>
      <c r="AI7460">
        <v>93.532786430141499</v>
      </c>
      <c r="AJ7460">
        <v>73.696351598560895</v>
      </c>
      <c r="AK7460">
        <v>17.940096314377001</v>
      </c>
      <c r="AL7460">
        <v>88.3765285787468</v>
      </c>
      <c r="AM7460">
        <v>81.702748800518606</v>
      </c>
      <c r="AN7460">
        <v>0.99999999179398302</v>
      </c>
    </row>
    <row r="7461" spans="1:40" x14ac:dyDescent="0.25">
      <c r="A7461" t="str">
        <f>"20190312155022209"</f>
        <v>20190312155022209</v>
      </c>
      <c r="B7461" t="str">
        <f>"1552377022203351"</f>
        <v>1552377022203351</v>
      </c>
      <c r="C7461" t="s">
        <v>40</v>
      </c>
      <c r="D7461">
        <v>4.5468950000000001</v>
      </c>
      <c r="E7461">
        <v>0.55400130000000003</v>
      </c>
      <c r="F7461" t="s">
        <v>63</v>
      </c>
      <c r="G7461">
        <v>-177.40450000000001</v>
      </c>
      <c r="H7461" s="1">
        <v>-5.2262850000000001E-6</v>
      </c>
      <c r="I7461">
        <v>133.66390000000001</v>
      </c>
      <c r="J7461">
        <v>-185.91309999999999</v>
      </c>
      <c r="K7461">
        <v>1.1054580000000001</v>
      </c>
      <c r="L7461">
        <v>118.2919</v>
      </c>
      <c r="M7461">
        <v>0.2172936</v>
      </c>
      <c r="N7461">
        <v>0</v>
      </c>
      <c r="O7461">
        <v>0.97599040000000004</v>
      </c>
      <c r="P7461">
        <v>0.35741580000000001</v>
      </c>
      <c r="Q7461">
        <v>1.552956E-2</v>
      </c>
      <c r="R7461">
        <v>0.93381630000000004</v>
      </c>
      <c r="S7461">
        <v>1.4543759999999999</v>
      </c>
      <c r="T7461">
        <v>-0.18722459999999999</v>
      </c>
      <c r="U7461">
        <v>2.6616059999999999</v>
      </c>
      <c r="V7461">
        <v>0.14625099999999999</v>
      </c>
      <c r="W7461">
        <v>2.887021E-2</v>
      </c>
      <c r="X7461">
        <v>0.98882619999999999</v>
      </c>
      <c r="Y7461">
        <v>0.27640799999999999</v>
      </c>
      <c r="Z7461">
        <v>-6.2030599999999998E-2</v>
      </c>
      <c r="AA7461">
        <v>0.95903640000000001</v>
      </c>
      <c r="AB7461">
        <v>37</v>
      </c>
      <c r="AC7461">
        <v>8.5085999999999693</v>
      </c>
      <c r="AD7461">
        <v>-1.1054632262849999</v>
      </c>
      <c r="AE7461">
        <v>15.372</v>
      </c>
      <c r="AF7461">
        <v>4.9450599863221996</v>
      </c>
      <c r="AG7461">
        <v>-1.1054632262849999</v>
      </c>
      <c r="AH7461">
        <v>16.787238575140499</v>
      </c>
      <c r="AI7461">
        <v>93.614444916791101</v>
      </c>
      <c r="AJ7461">
        <v>73.586472783978707</v>
      </c>
      <c r="AK7461">
        <v>17.535308557070699</v>
      </c>
      <c r="AL7461">
        <v>88.345629023309598</v>
      </c>
      <c r="AM7461">
        <v>81.586739555784206</v>
      </c>
      <c r="AN7461">
        <v>1.00000004891644</v>
      </c>
    </row>
    <row r="7462" spans="1:40" x14ac:dyDescent="0.25">
      <c r="A7462" t="str">
        <f>"20190312155022230"</f>
        <v>20190312155022230</v>
      </c>
      <c r="B7462" t="str">
        <f>"1552377022222873"</f>
        <v>1552377022222873</v>
      </c>
      <c r="C7462" t="s">
        <v>40</v>
      </c>
      <c r="D7462">
        <v>4.8551489999999999</v>
      </c>
      <c r="E7462">
        <v>0.55372489999999996</v>
      </c>
      <c r="F7462" t="s">
        <v>63</v>
      </c>
      <c r="G7462">
        <v>-177.17420000000001</v>
      </c>
      <c r="H7462" s="1">
        <v>-5.232874E-6</v>
      </c>
      <c r="I7462">
        <v>134.09520000000001</v>
      </c>
      <c r="J7462">
        <v>-185.82910000000001</v>
      </c>
      <c r="K7462">
        <v>1.1054330000000001</v>
      </c>
      <c r="L7462">
        <v>118.6507</v>
      </c>
      <c r="M7462">
        <v>0.22143189999999999</v>
      </c>
      <c r="N7462">
        <v>0</v>
      </c>
      <c r="O7462">
        <v>0.97505980000000003</v>
      </c>
      <c r="P7462">
        <v>0.36320039999999998</v>
      </c>
      <c r="Q7462">
        <v>1.61151E-2</v>
      </c>
      <c r="R7462">
        <v>0.9315717</v>
      </c>
      <c r="S7462">
        <v>1.46759</v>
      </c>
      <c r="T7462">
        <v>-0.1856498</v>
      </c>
      <c r="U7462">
        <v>2.6539920000000001</v>
      </c>
      <c r="V7462">
        <v>0.14819959999999999</v>
      </c>
      <c r="W7462">
        <v>2.9417860000000001E-2</v>
      </c>
      <c r="X7462">
        <v>0.98851979999999995</v>
      </c>
      <c r="Y7462">
        <v>0.27716929999999901</v>
      </c>
      <c r="Z7462">
        <v>-6.1501300000000002E-2</v>
      </c>
      <c r="AA7462">
        <v>0.9588508</v>
      </c>
      <c r="AB7462">
        <v>37</v>
      </c>
      <c r="AC7462">
        <v>8.6548999999999907</v>
      </c>
      <c r="AD7462">
        <v>-1.10543823287399</v>
      </c>
      <c r="AE7462">
        <v>15.4445</v>
      </c>
      <c r="AF7462">
        <v>5.0002139904488399</v>
      </c>
      <c r="AG7462">
        <v>-1.10543823287399</v>
      </c>
      <c r="AH7462">
        <v>16.911770025470702</v>
      </c>
      <c r="AI7462">
        <v>93.586757640772106</v>
      </c>
      <c r="AJ7462">
        <v>73.528909756397795</v>
      </c>
      <c r="AK7462">
        <v>17.670090521312801</v>
      </c>
      <c r="AL7462">
        <v>88.3142375123508</v>
      </c>
      <c r="AM7462">
        <v>81.473676904409004</v>
      </c>
      <c r="AN7462">
        <v>0.99999996345958897</v>
      </c>
    </row>
    <row r="7463" spans="1:40" x14ac:dyDescent="0.25">
      <c r="A7463" t="str">
        <f>"20190312155022254"</f>
        <v>20190312155022254</v>
      </c>
      <c r="B7463" t="str">
        <f>"1552377022243367"</f>
        <v>1552377022243367</v>
      </c>
      <c r="C7463" t="s">
        <v>40</v>
      </c>
      <c r="D7463">
        <v>4.5710419999999896</v>
      </c>
      <c r="E7463">
        <v>0.5553266</v>
      </c>
      <c r="F7463" t="s">
        <v>63</v>
      </c>
      <c r="G7463">
        <v>-176.89689999999999</v>
      </c>
      <c r="H7463" s="1">
        <v>-5.2315800000000003E-6</v>
      </c>
      <c r="I7463">
        <v>134.59030000000001</v>
      </c>
      <c r="J7463">
        <v>-185.74090000000001</v>
      </c>
      <c r="K7463">
        <v>1.1053710000000001</v>
      </c>
      <c r="L7463">
        <v>119.0202</v>
      </c>
      <c r="M7463">
        <v>0.22579659999999999</v>
      </c>
      <c r="N7463">
        <v>0</v>
      </c>
      <c r="O7463">
        <v>0.97405830000000004</v>
      </c>
      <c r="P7463">
        <v>0.36917109999999997</v>
      </c>
      <c r="Q7463">
        <v>1.7203690000000001E-2</v>
      </c>
      <c r="R7463">
        <v>0.92920219999999998</v>
      </c>
      <c r="S7463">
        <v>1.482513</v>
      </c>
      <c r="T7463">
        <v>-0.1834741</v>
      </c>
      <c r="U7463">
        <v>2.6455540000000002</v>
      </c>
      <c r="V7463">
        <v>0.150136299999999</v>
      </c>
      <c r="W7463">
        <v>3.0458809999999999E-2</v>
      </c>
      <c r="X7463">
        <v>0.98819599999999996</v>
      </c>
      <c r="Y7463">
        <v>0.27830880000000002</v>
      </c>
      <c r="Z7463">
        <v>-6.077055E-2</v>
      </c>
      <c r="AA7463">
        <v>0.95856730000000001</v>
      </c>
      <c r="AB7463">
        <v>37</v>
      </c>
      <c r="AC7463">
        <v>8.8440000000000207</v>
      </c>
      <c r="AD7463">
        <v>-1.10537623158</v>
      </c>
      <c r="AE7463">
        <v>15.5701</v>
      </c>
      <c r="AF7463">
        <v>5.08011463040748</v>
      </c>
      <c r="AG7463">
        <v>-1.10537623158</v>
      </c>
      <c r="AH7463">
        <v>17.0999113921145</v>
      </c>
      <c r="AI7463">
        <v>93.545829213619797</v>
      </c>
      <c r="AJ7463">
        <v>73.454143844377697</v>
      </c>
      <c r="AK7463">
        <v>17.872783523827199</v>
      </c>
      <c r="AL7463">
        <v>88.254568767274506</v>
      </c>
      <c r="AM7463">
        <v>81.361135632128196</v>
      </c>
      <c r="AN7463">
        <v>0.99999999105015303</v>
      </c>
    </row>
    <row r="7464" spans="1:40" x14ac:dyDescent="0.25">
      <c r="A7464" t="str">
        <f>"20190312155022277"</f>
        <v>20190312155022277</v>
      </c>
      <c r="B7464" t="str">
        <f>"1552377022262887"</f>
        <v>1552377022262887</v>
      </c>
      <c r="C7464" t="s">
        <v>40</v>
      </c>
      <c r="D7464">
        <v>4.5414599999999998</v>
      </c>
      <c r="E7464">
        <v>0.55501009999999995</v>
      </c>
      <c r="F7464" t="s">
        <v>63</v>
      </c>
      <c r="G7464">
        <v>-179.208</v>
      </c>
      <c r="H7464" s="1">
        <v>-5.2247019999999998E-6</v>
      </c>
      <c r="I7464">
        <v>130.4178</v>
      </c>
      <c r="J7464">
        <v>-185.648</v>
      </c>
      <c r="K7464">
        <v>1.105272</v>
      </c>
      <c r="L7464">
        <v>119.40089999999999</v>
      </c>
      <c r="M7464">
        <v>0.23045599999999999</v>
      </c>
      <c r="N7464">
        <v>0</v>
      </c>
      <c r="O7464">
        <v>0.97296660000000001</v>
      </c>
      <c r="P7464">
        <v>0.37548120000000001</v>
      </c>
      <c r="Q7464">
        <v>1.6815170000000001E-2</v>
      </c>
      <c r="R7464">
        <v>0.92667750000000004</v>
      </c>
      <c r="S7464">
        <v>1.5095209999999999</v>
      </c>
      <c r="T7464">
        <v>-0.25541589999999997</v>
      </c>
      <c r="U7464">
        <v>2.633591</v>
      </c>
      <c r="V7464">
        <v>0.15212800000000001</v>
      </c>
      <c r="W7464">
        <v>3.0008400000000001E-2</v>
      </c>
      <c r="X7464">
        <v>0.98790509999999998</v>
      </c>
      <c r="Y7464">
        <v>0.28212589999999999</v>
      </c>
      <c r="Z7464">
        <v>-8.4384440000000005E-2</v>
      </c>
      <c r="AA7464">
        <v>0.95565900000000004</v>
      </c>
      <c r="AB7464">
        <v>37</v>
      </c>
      <c r="AC7464">
        <v>6.4399999999999897</v>
      </c>
      <c r="AD7464">
        <v>-1.105277224702</v>
      </c>
      <c r="AE7464">
        <v>11.0169</v>
      </c>
      <c r="AF7464">
        <v>3.69966130617349</v>
      </c>
      <c r="AG7464">
        <v>-1.105277224702</v>
      </c>
      <c r="AH7464">
        <v>12.1137169105001</v>
      </c>
      <c r="AI7464">
        <v>94.987154560602804</v>
      </c>
      <c r="AJ7464">
        <v>73.016756899372993</v>
      </c>
      <c r="AK7464">
        <v>12.7142152298747</v>
      </c>
      <c r="AL7464">
        <v>88.280387108176001</v>
      </c>
      <c r="AM7464">
        <v>81.245758728150193</v>
      </c>
      <c r="AN7464">
        <v>0.99999995953028398</v>
      </c>
    </row>
    <row r="7465" spans="1:40" x14ac:dyDescent="0.25">
      <c r="A7465" t="str">
        <f>"20190312155022298"</f>
        <v>20190312155022298</v>
      </c>
      <c r="B7465" t="str">
        <f>"1552377022293144"</f>
        <v>1552377022293144</v>
      </c>
      <c r="C7465" t="s">
        <v>40</v>
      </c>
      <c r="D7465">
        <v>4.6666319999999999</v>
      </c>
      <c r="E7465">
        <v>0.56823040000000002</v>
      </c>
      <c r="F7465" t="s">
        <v>63</v>
      </c>
      <c r="G7465">
        <v>-179.0966</v>
      </c>
      <c r="H7465" s="1">
        <v>-5.2436389999999899E-6</v>
      </c>
      <c r="I7465">
        <v>130.6679</v>
      </c>
      <c r="J7465">
        <v>-185.55969999999999</v>
      </c>
      <c r="K7465">
        <v>1.105143</v>
      </c>
      <c r="L7465">
        <v>119.7551</v>
      </c>
      <c r="M7465">
        <v>0.23498550000000001</v>
      </c>
      <c r="N7465">
        <v>0</v>
      </c>
      <c r="O7465">
        <v>0.97188249999999998</v>
      </c>
      <c r="P7465">
        <v>0.381774</v>
      </c>
      <c r="Q7465">
        <v>1.557644E-2</v>
      </c>
      <c r="R7465">
        <v>0.92412450000000002</v>
      </c>
      <c r="S7465">
        <v>1.5256809999999901</v>
      </c>
      <c r="T7465">
        <v>-0.25739679999999998</v>
      </c>
      <c r="U7465">
        <v>2.623856</v>
      </c>
      <c r="V7465">
        <v>0.15423480000000001</v>
      </c>
      <c r="W7465">
        <v>2.8696240000000001E-2</v>
      </c>
      <c r="X7465">
        <v>0.98761739999999998</v>
      </c>
      <c r="Y7465">
        <v>0.283568599999999</v>
      </c>
      <c r="Z7465">
        <v>-8.5023479999999999E-2</v>
      </c>
      <c r="AA7465">
        <v>0.95517529999999995</v>
      </c>
      <c r="AB7465">
        <v>37</v>
      </c>
      <c r="AC7465">
        <v>6.4630999999999901</v>
      </c>
      <c r="AD7465">
        <v>-1.1051482436390001</v>
      </c>
      <c r="AE7465">
        <v>10.912800000000001</v>
      </c>
      <c r="AF7465">
        <v>3.68943213474506</v>
      </c>
      <c r="AG7465">
        <v>-1.1051482436390001</v>
      </c>
      <c r="AH7465">
        <v>12.0346911653274</v>
      </c>
      <c r="AI7465">
        <v>95.017538969792</v>
      </c>
      <c r="AJ7465">
        <v>72.956219379529202</v>
      </c>
      <c r="AK7465">
        <v>12.6359429233484</v>
      </c>
      <c r="AL7465">
        <v>88.355600801389002</v>
      </c>
      <c r="AM7465">
        <v>81.123895143652504</v>
      </c>
      <c r="AN7465">
        <v>0.99999998825196801</v>
      </c>
    </row>
    <row r="7466" spans="1:40" x14ac:dyDescent="0.25">
      <c r="A7466" t="str">
        <f>"20190312155022321"</f>
        <v>20190312155022321</v>
      </c>
      <c r="B7466" t="str">
        <f>"1552377022313640"</f>
        <v>1552377022313640</v>
      </c>
      <c r="C7466" t="s">
        <v>40</v>
      </c>
      <c r="D7466">
        <v>4.7597290000000001</v>
      </c>
      <c r="E7466">
        <v>0.58765149999999999</v>
      </c>
      <c r="F7466" t="s">
        <v>63</v>
      </c>
      <c r="G7466">
        <v>-178.8569</v>
      </c>
      <c r="H7466" s="1">
        <v>-4.9271830000000002E-6</v>
      </c>
      <c r="I7466">
        <v>130.26499999999999</v>
      </c>
      <c r="J7466">
        <v>-185.46860000000001</v>
      </c>
      <c r="K7466">
        <v>1.1049709999999999</v>
      </c>
      <c r="L7466">
        <v>120.11239999999999</v>
      </c>
      <c r="M7466">
        <v>0.23978150000000001</v>
      </c>
      <c r="N7466">
        <v>0</v>
      </c>
      <c r="O7466">
        <v>0.97071019999999997</v>
      </c>
      <c r="P7466">
        <v>0.38915169999999999</v>
      </c>
      <c r="Q7466">
        <v>1.4743869999999999E-2</v>
      </c>
      <c r="R7466">
        <v>0.92105570000000003</v>
      </c>
      <c r="S7466">
        <v>1.6409450000000001</v>
      </c>
      <c r="T7466">
        <v>-0.27055479999999998</v>
      </c>
      <c r="U7466">
        <v>2.5729519999999999</v>
      </c>
      <c r="V7466">
        <v>0.15725459999999999</v>
      </c>
      <c r="W7466">
        <v>2.7764870000000001E-2</v>
      </c>
      <c r="X7466">
        <v>0.98716769999999998</v>
      </c>
      <c r="Y7466">
        <v>0.31765480000000001</v>
      </c>
      <c r="Z7466">
        <v>-8.9205290000000007E-2</v>
      </c>
      <c r="AA7466">
        <v>0.94400099999999998</v>
      </c>
      <c r="AB7466">
        <v>37</v>
      </c>
      <c r="AC7466">
        <v>6.6117000000000097</v>
      </c>
      <c r="AD7466">
        <v>-1.104975927183</v>
      </c>
      <c r="AE7466">
        <v>10.1525999999999</v>
      </c>
      <c r="AF7466">
        <v>3.9512246961919901</v>
      </c>
      <c r="AG7466">
        <v>-1.104975927183</v>
      </c>
      <c r="AH7466">
        <v>11.347505298804901</v>
      </c>
      <c r="AI7466">
        <v>95.254181598182697</v>
      </c>
      <c r="AJ7466">
        <v>70.801777560988995</v>
      </c>
      <c r="AK7466">
        <v>12.0664420980609</v>
      </c>
      <c r="AL7466">
        <v>88.408985642230505</v>
      </c>
      <c r="AM7466">
        <v>80.948902029853798</v>
      </c>
      <c r="AN7466">
        <v>0.999999982575283</v>
      </c>
    </row>
    <row r="7467" spans="1:40" x14ac:dyDescent="0.25">
      <c r="A7467" t="str">
        <f>"20190312155022344"</f>
        <v>20190312155022344</v>
      </c>
      <c r="B7467" t="str">
        <f>"1552377022333159"</f>
        <v>1552377022333159</v>
      </c>
      <c r="C7467" t="s">
        <v>40</v>
      </c>
      <c r="D7467">
        <v>4.75176</v>
      </c>
      <c r="E7467">
        <v>0.58993890000000004</v>
      </c>
      <c r="F7467" t="s">
        <v>63</v>
      </c>
      <c r="G7467">
        <v>-178.6808</v>
      </c>
      <c r="H7467" s="1">
        <v>-4.5389540000000001E-6</v>
      </c>
      <c r="I7467">
        <v>129.52070000000001</v>
      </c>
      <c r="J7467">
        <v>-185.37049999999999</v>
      </c>
      <c r="K7467">
        <v>1.104757</v>
      </c>
      <c r="L7467">
        <v>120.4888</v>
      </c>
      <c r="M7467">
        <v>0.24510599999999999</v>
      </c>
      <c r="N7467">
        <v>0</v>
      </c>
      <c r="O7467">
        <v>0.9693794</v>
      </c>
      <c r="P7467">
        <v>0.3967792</v>
      </c>
      <c r="Q7467">
        <v>1.36244E-2</v>
      </c>
      <c r="R7467">
        <v>0.91781299999999999</v>
      </c>
      <c r="S7467">
        <v>1.803528</v>
      </c>
      <c r="T7467">
        <v>-0.29359249999999998</v>
      </c>
      <c r="U7467">
        <v>2.4997859999999998</v>
      </c>
      <c r="V7467">
        <v>0.16002189999999999</v>
      </c>
      <c r="W7467">
        <v>2.653413E-2</v>
      </c>
      <c r="X7467">
        <v>0.98675670000000004</v>
      </c>
      <c r="Y7467">
        <v>0.36567440000000001</v>
      </c>
      <c r="Z7467">
        <v>-9.6351240000000005E-2</v>
      </c>
      <c r="AA7467">
        <v>0.92574230000000002</v>
      </c>
      <c r="AB7467">
        <v>37</v>
      </c>
      <c r="AC7467">
        <v>6.6896999999999798</v>
      </c>
      <c r="AD7467">
        <v>-1.104761538954</v>
      </c>
      <c r="AE7467">
        <v>9.0319000000000091</v>
      </c>
      <c r="AF7467">
        <v>4.2306941361394799</v>
      </c>
      <c r="AG7467">
        <v>-1.104761538954</v>
      </c>
      <c r="AH7467">
        <v>10.2967208176612</v>
      </c>
      <c r="AI7467">
        <v>95.667592006214903</v>
      </c>
      <c r="AJ7467">
        <v>67.663327000177503</v>
      </c>
      <c r="AK7467">
        <v>11.186676473751</v>
      </c>
      <c r="AL7467">
        <v>88.479527773685703</v>
      </c>
      <c r="AM7467">
        <v>80.788560447796996</v>
      </c>
      <c r="AN7467">
        <v>0.99999992676467497</v>
      </c>
    </row>
    <row r="7468" spans="1:40" x14ac:dyDescent="0.25">
      <c r="A7468" t="str">
        <f>"20190312155022367"</f>
        <v>20190312155022367</v>
      </c>
      <c r="B7468" t="str">
        <f>"1552377022363416"</f>
        <v>1552377022363416</v>
      </c>
      <c r="C7468" t="s">
        <v>40</v>
      </c>
      <c r="D7468">
        <v>4.7386350000000004</v>
      </c>
      <c r="E7468">
        <v>0.58987699999999998</v>
      </c>
      <c r="F7468" t="s">
        <v>63</v>
      </c>
      <c r="G7468">
        <v>-178.54570000000001</v>
      </c>
      <c r="H7468" s="1">
        <v>-4.4916910000000001E-6</v>
      </c>
      <c r="I7468">
        <v>129.67670000000001</v>
      </c>
      <c r="J7468">
        <v>-185.27680000000001</v>
      </c>
      <c r="K7468">
        <v>1.104535</v>
      </c>
      <c r="L7468">
        <v>120.8391</v>
      </c>
      <c r="M7468">
        <v>0.25035360000000001</v>
      </c>
      <c r="N7468">
        <v>0</v>
      </c>
      <c r="O7468">
        <v>0.96803720000000004</v>
      </c>
      <c r="P7468">
        <v>0.4038429</v>
      </c>
      <c r="Q7468">
        <v>1.2026220000000001E-2</v>
      </c>
      <c r="R7468">
        <v>0.91474929999999999</v>
      </c>
      <c r="S7468">
        <v>1.840271</v>
      </c>
      <c r="T7468">
        <v>-0.29789349999999998</v>
      </c>
      <c r="U7468">
        <v>2.4774780000000001</v>
      </c>
      <c r="V7468">
        <v>0.16227179999999999</v>
      </c>
      <c r="W7468">
        <v>2.4829520000000001E-2</v>
      </c>
      <c r="X7468">
        <v>0.98643369999999997</v>
      </c>
      <c r="Y7468">
        <v>0.3733978</v>
      </c>
      <c r="Z7468">
        <v>-9.7705769999999997E-2</v>
      </c>
      <c r="AA7468">
        <v>0.92251159999999999</v>
      </c>
      <c r="AB7468">
        <v>37</v>
      </c>
      <c r="AC7468">
        <v>6.7310999999999899</v>
      </c>
      <c r="AD7468">
        <v>-1.1045394916910001</v>
      </c>
      <c r="AE7468">
        <v>8.8376000000000001</v>
      </c>
      <c r="AF7468">
        <v>4.2617879471361499</v>
      </c>
      <c r="AG7468">
        <v>-1.1045394916910001</v>
      </c>
      <c r="AH7468">
        <v>10.1411902858934</v>
      </c>
      <c r="AI7468">
        <v>95.733848164744003</v>
      </c>
      <c r="AJ7468">
        <v>67.2056462550605</v>
      </c>
      <c r="AK7468">
        <v>11.055613253445401</v>
      </c>
      <c r="AL7468">
        <v>88.577227141644997</v>
      </c>
      <c r="AM7468">
        <v>80.658310295068105</v>
      </c>
      <c r="AN7468">
        <v>1.0000000433171701</v>
      </c>
    </row>
    <row r="7469" spans="1:40" x14ac:dyDescent="0.25">
      <c r="A7469" t="str">
        <f>"20190312155022389"</f>
        <v>20190312155022389</v>
      </c>
      <c r="B7469" t="str">
        <f>"1552377022382936"</f>
        <v>1552377022382936</v>
      </c>
      <c r="C7469" t="s">
        <v>40</v>
      </c>
      <c r="D7469">
        <v>4.7636229999999999</v>
      </c>
      <c r="E7469">
        <v>0.58924940000000003</v>
      </c>
      <c r="F7469" t="s">
        <v>63</v>
      </c>
      <c r="G7469">
        <v>-178.4529</v>
      </c>
      <c r="H7469" s="1">
        <v>-4.5071980000000002E-6</v>
      </c>
      <c r="I7469">
        <v>129.8844</v>
      </c>
      <c r="J7469">
        <v>-185.1763</v>
      </c>
      <c r="K7469">
        <v>1.1042970000000001</v>
      </c>
      <c r="L7469">
        <v>121.2052</v>
      </c>
      <c r="M7469">
        <v>0.25614609999999999</v>
      </c>
      <c r="N7469">
        <v>0</v>
      </c>
      <c r="O7469">
        <v>0.96652039999999995</v>
      </c>
      <c r="P7469">
        <v>0.41163359999999899</v>
      </c>
      <c r="Q7469">
        <v>1.089336E-2</v>
      </c>
      <c r="R7469">
        <v>0.91128430000000005</v>
      </c>
      <c r="S7469">
        <v>1.8582460000000001</v>
      </c>
      <c r="T7469">
        <v>-0.30078300000000002</v>
      </c>
      <c r="U7469">
        <v>2.463165</v>
      </c>
      <c r="V7469">
        <v>0.16477739999999999</v>
      </c>
      <c r="W7469">
        <v>2.3578189999999999E-2</v>
      </c>
      <c r="X7469">
        <v>0.98604890000000001</v>
      </c>
      <c r="Y7469">
        <v>0.37465490000000001</v>
      </c>
      <c r="Z7469">
        <v>-9.8647189999999996E-2</v>
      </c>
      <c r="AA7469">
        <v>0.92190150000000004</v>
      </c>
      <c r="AB7469">
        <v>37</v>
      </c>
      <c r="AC7469">
        <v>6.7233999999999901</v>
      </c>
      <c r="AD7469">
        <v>-1.10430150719799</v>
      </c>
      <c r="AE7469">
        <v>8.6791999999999891</v>
      </c>
      <c r="AF7469">
        <v>4.2328210687015</v>
      </c>
      <c r="AG7469">
        <v>-1.10430150719799</v>
      </c>
      <c r="AH7469">
        <v>10.0106644831761</v>
      </c>
      <c r="AI7469">
        <v>95.801523761869802</v>
      </c>
      <c r="AJ7469">
        <v>67.079843069766397</v>
      </c>
      <c r="AK7469">
        <v>10.9247269720193</v>
      </c>
      <c r="AL7469">
        <v>88.648943992518596</v>
      </c>
      <c r="AM7469">
        <v>80.513034582413994</v>
      </c>
      <c r="AN7469">
        <v>0.99999997789282202</v>
      </c>
    </row>
    <row r="7470" spans="1:40" x14ac:dyDescent="0.25">
      <c r="A7470" t="str">
        <f>"20190312155022412"</f>
        <v>20190312155022412</v>
      </c>
      <c r="B7470" t="str">
        <f>"1552377022403432"</f>
        <v>1552377022403432</v>
      </c>
      <c r="C7470" t="s">
        <v>40</v>
      </c>
      <c r="D7470">
        <v>4.7930900000000003</v>
      </c>
      <c r="E7470">
        <v>0.58862999999999999</v>
      </c>
      <c r="F7470" t="s">
        <v>63</v>
      </c>
      <c r="G7470">
        <v>-178.23140000000001</v>
      </c>
      <c r="H7470" s="1">
        <v>-4.5056079999999999E-6</v>
      </c>
      <c r="I7470">
        <v>130.2783</v>
      </c>
      <c r="J7470">
        <v>-185.0744</v>
      </c>
      <c r="K7470">
        <v>1.104068</v>
      </c>
      <c r="L7470">
        <v>121.56699999999999</v>
      </c>
      <c r="M7470">
        <v>0.26212780000000002</v>
      </c>
      <c r="N7470">
        <v>0</v>
      </c>
      <c r="O7470">
        <v>0.96491499999999997</v>
      </c>
      <c r="P7470">
        <v>0.42006100000000002</v>
      </c>
      <c r="Q7470">
        <v>1.049636E-2</v>
      </c>
      <c r="R7470">
        <v>0.9074352</v>
      </c>
      <c r="S7470">
        <v>1.8744810000000001</v>
      </c>
      <c r="T7470">
        <v>-0.29806270000000001</v>
      </c>
      <c r="U7470">
        <v>2.4489139999999998</v>
      </c>
      <c r="V7470">
        <v>0.16781370000000001</v>
      </c>
      <c r="W7470">
        <v>2.3056670000000001E-2</v>
      </c>
      <c r="X7470">
        <v>0.98554909999999996</v>
      </c>
      <c r="Y7470">
        <v>0.3754091</v>
      </c>
      <c r="Z7470">
        <v>-9.7779859999999996E-2</v>
      </c>
      <c r="AA7470">
        <v>0.92168709999999998</v>
      </c>
      <c r="AB7470">
        <v>37</v>
      </c>
      <c r="AC7470">
        <v>6.8429999999999804</v>
      </c>
      <c r="AD7470">
        <v>-1.1040725056080001</v>
      </c>
      <c r="AE7470">
        <v>8.7112999999999907</v>
      </c>
      <c r="AF7470">
        <v>4.2774420093266103</v>
      </c>
      <c r="AG7470">
        <v>-1.1040725056080001</v>
      </c>
      <c r="AH7470">
        <v>10.100236893264301</v>
      </c>
      <c r="AI7470">
        <v>95.747866730987099</v>
      </c>
      <c r="AJ7470">
        <v>67.047382337063397</v>
      </c>
      <c r="AK7470">
        <v>11.0240769019836</v>
      </c>
      <c r="AL7470">
        <v>88.678833094647104</v>
      </c>
      <c r="AM7470">
        <v>80.336679631850799</v>
      </c>
      <c r="AN7470">
        <v>1.0000000382249901</v>
      </c>
    </row>
    <row r="7471" spans="1:40" x14ac:dyDescent="0.25">
      <c r="A7471" t="str">
        <f>"20190312155022433"</f>
        <v>20190312155022433</v>
      </c>
      <c r="B7471" t="str">
        <f>"1552377022422951"</f>
        <v>1552377022422951</v>
      </c>
      <c r="C7471" t="s">
        <v>40</v>
      </c>
      <c r="D7471">
        <v>4.7722959999999999</v>
      </c>
      <c r="E7471">
        <v>0.58827089999999904</v>
      </c>
      <c r="F7471" t="s">
        <v>63</v>
      </c>
      <c r="G7471">
        <v>-177.91419999999999</v>
      </c>
      <c r="H7471" s="1">
        <v>-4.4760549999999996E-6</v>
      </c>
      <c r="I7471">
        <v>130.77080000000001</v>
      </c>
      <c r="J7471">
        <v>-184.97479999999999</v>
      </c>
      <c r="K7471">
        <v>1.103853</v>
      </c>
      <c r="L7471">
        <v>121.9122</v>
      </c>
      <c r="M7471">
        <v>0.26806970000000002</v>
      </c>
      <c r="N7471">
        <v>0</v>
      </c>
      <c r="O7471">
        <v>0.96328100000000005</v>
      </c>
      <c r="P7471">
        <v>0.42928369999999999</v>
      </c>
      <c r="Q7471">
        <v>9.3751809999999998E-3</v>
      </c>
      <c r="R7471">
        <v>0.90312099999999995</v>
      </c>
      <c r="S7471">
        <v>1.892914</v>
      </c>
      <c r="T7471">
        <v>-0.29187770000000002</v>
      </c>
      <c r="U7471">
        <v>2.4331360000000002</v>
      </c>
      <c r="V7471">
        <v>0.1717716</v>
      </c>
      <c r="W7471">
        <v>2.1798620000000001E-2</v>
      </c>
      <c r="X7471">
        <v>0.98489559999999998</v>
      </c>
      <c r="Y7471">
        <v>0.37706529999999999</v>
      </c>
      <c r="Z7471">
        <v>-9.5785369999999995E-2</v>
      </c>
      <c r="AA7471">
        <v>0.92122029999999999</v>
      </c>
      <c r="AB7471">
        <v>37</v>
      </c>
      <c r="AC7471">
        <v>7.0605999999999902</v>
      </c>
      <c r="AD7471">
        <v>-1.103857476055</v>
      </c>
      <c r="AE7471">
        <v>8.8586000000000098</v>
      </c>
      <c r="AF7471">
        <v>4.3854836257341798</v>
      </c>
      <c r="AG7471">
        <v>-1.103857476055</v>
      </c>
      <c r="AH7471">
        <v>10.329166124736499</v>
      </c>
      <c r="AI7471">
        <v>95.618057326150407</v>
      </c>
      <c r="AJ7471">
        <v>66.9952401931845</v>
      </c>
      <c r="AK7471">
        <v>11.275754555302701</v>
      </c>
      <c r="AL7471">
        <v>88.750932142802995</v>
      </c>
      <c r="AM7471">
        <v>80.106785962667104</v>
      </c>
      <c r="AN7471">
        <v>1.0000000026499101</v>
      </c>
    </row>
    <row r="7472" spans="1:40" x14ac:dyDescent="0.25">
      <c r="A7472" t="str">
        <f>"20190312155022456"</f>
        <v>20190312155022456</v>
      </c>
      <c r="B7472" t="str">
        <f>"1552377022443447"</f>
        <v>1552377022443447</v>
      </c>
      <c r="C7472" t="s">
        <v>40</v>
      </c>
      <c r="D7472">
        <v>4.7997420000000002</v>
      </c>
      <c r="E7472">
        <v>0.58764139999999998</v>
      </c>
      <c r="F7472" t="s">
        <v>63</v>
      </c>
      <c r="G7472">
        <v>-177.7818</v>
      </c>
      <c r="H7472" s="1">
        <v>-4.4668710000000002E-6</v>
      </c>
      <c r="I7472">
        <v>130.98439999999999</v>
      </c>
      <c r="J7472">
        <v>-184.87119999999999</v>
      </c>
      <c r="K7472">
        <v>1.1036300000000001</v>
      </c>
      <c r="L7472">
        <v>122.2624</v>
      </c>
      <c r="M7472">
        <v>0.27434130000000001</v>
      </c>
      <c r="N7472">
        <v>0</v>
      </c>
      <c r="O7472">
        <v>0.96151339999999996</v>
      </c>
      <c r="P7472">
        <v>0.43911889999999998</v>
      </c>
      <c r="Q7472">
        <v>6.6890559999999996E-3</v>
      </c>
      <c r="R7472">
        <v>0.89840409999999904</v>
      </c>
      <c r="S7472">
        <v>1.9145810000000001</v>
      </c>
      <c r="T7472">
        <v>-0.29381859999999999</v>
      </c>
      <c r="U7472">
        <v>2.4147949999999998</v>
      </c>
      <c r="V7472">
        <v>0.17607059999999999</v>
      </c>
      <c r="W7472">
        <v>1.8964410000000001E-2</v>
      </c>
      <c r="X7472">
        <v>0.98419480000000004</v>
      </c>
      <c r="Y7472">
        <v>0.37947170000000002</v>
      </c>
      <c r="Z7472">
        <v>-9.6434450000000005E-2</v>
      </c>
      <c r="AA7472">
        <v>0.92016390000000003</v>
      </c>
      <c r="AB7472">
        <v>37</v>
      </c>
      <c r="AC7472">
        <v>7.0893999999999799</v>
      </c>
      <c r="AD7472">
        <v>-1.1036344668710001</v>
      </c>
      <c r="AE7472">
        <v>8.7219999999999906</v>
      </c>
      <c r="AF7472">
        <v>4.3820064200143802</v>
      </c>
      <c r="AG7472">
        <v>-1.1036344668710001</v>
      </c>
      <c r="AH7472">
        <v>10.233751022684499</v>
      </c>
      <c r="AI7472">
        <v>95.661611342766093</v>
      </c>
      <c r="AJ7472">
        <v>66.819796711990094</v>
      </c>
      <c r="AK7472">
        <v>11.1870304055996</v>
      </c>
      <c r="AL7472">
        <v>88.913354155011703</v>
      </c>
      <c r="AM7472">
        <v>79.857189730070004</v>
      </c>
      <c r="AN7472">
        <v>0.99999995468902303</v>
      </c>
    </row>
    <row r="7473" spans="1:40" x14ac:dyDescent="0.25">
      <c r="A7473" t="str">
        <f>"20190312155022478"</f>
        <v>20190312155022478</v>
      </c>
      <c r="B7473" t="str">
        <f>"1552377022473704"</f>
        <v>1552377022473704</v>
      </c>
      <c r="C7473" t="s">
        <v>40</v>
      </c>
      <c r="D7473">
        <v>4.7963040000000001</v>
      </c>
      <c r="E7473">
        <v>0.58670979999999995</v>
      </c>
      <c r="F7473" t="s">
        <v>63</v>
      </c>
      <c r="G7473">
        <v>-177.6747</v>
      </c>
      <c r="H7473" s="1">
        <v>-4.461003E-6</v>
      </c>
      <c r="I7473">
        <v>131.16159999999999</v>
      </c>
      <c r="J7473">
        <v>-184.7647</v>
      </c>
      <c r="K7473">
        <v>1.103397</v>
      </c>
      <c r="L7473">
        <v>122.6134</v>
      </c>
      <c r="M7473">
        <v>0.28087450000000003</v>
      </c>
      <c r="N7473">
        <v>0</v>
      </c>
      <c r="O7473">
        <v>0.95962510000000001</v>
      </c>
      <c r="P7473">
        <v>0.44986910000000002</v>
      </c>
      <c r="Q7473">
        <v>3.9510839999999997E-3</v>
      </c>
      <c r="R7473">
        <v>0.89308580000000004</v>
      </c>
      <c r="S7473">
        <v>1.936661</v>
      </c>
      <c r="T7473">
        <v>-0.2969987</v>
      </c>
      <c r="U7473">
        <v>2.3948670000000001</v>
      </c>
      <c r="V7473">
        <v>0.1811498</v>
      </c>
      <c r="W7473">
        <v>1.6056629999999999E-2</v>
      </c>
      <c r="X7473">
        <v>0.98332439999999999</v>
      </c>
      <c r="Y7473">
        <v>0.3819825</v>
      </c>
      <c r="Z7473">
        <v>-9.7506159999999995E-2</v>
      </c>
      <c r="AA7473">
        <v>0.91901140000000003</v>
      </c>
      <c r="AB7473">
        <v>37</v>
      </c>
      <c r="AC7473">
        <v>7.09</v>
      </c>
      <c r="AD7473">
        <v>-1.1034014610030001</v>
      </c>
      <c r="AE7473">
        <v>8.5481999999999907</v>
      </c>
      <c r="AF7473">
        <v>4.3602350231355498</v>
      </c>
      <c r="AG7473">
        <v>-1.1034014610030001</v>
      </c>
      <c r="AH7473">
        <v>10.095977880962099</v>
      </c>
      <c r="AI7473">
        <v>95.729535817110303</v>
      </c>
      <c r="AJ7473">
        <v>66.641526009717097</v>
      </c>
      <c r="AK7473">
        <v>11.052507118929899</v>
      </c>
      <c r="AL7473">
        <v>89.079983305379599</v>
      </c>
      <c r="AM7473">
        <v>79.561899405166997</v>
      </c>
      <c r="AN7473">
        <v>0.99999997052117795</v>
      </c>
    </row>
    <row r="7474" spans="1:40" x14ac:dyDescent="0.25">
      <c r="A7474" t="str">
        <f>"20190312155022500"</f>
        <v>20190312155022500</v>
      </c>
      <c r="B7474" t="str">
        <f>"1552377022493224"</f>
        <v>1552377022493224</v>
      </c>
      <c r="C7474" t="s">
        <v>40</v>
      </c>
      <c r="D7474">
        <v>4.9773019999999999</v>
      </c>
      <c r="E7474">
        <v>0.58669959999999999</v>
      </c>
      <c r="F7474" t="s">
        <v>63</v>
      </c>
      <c r="G7474">
        <v>-177.50450000000001</v>
      </c>
      <c r="H7474" s="1">
        <v>-4.4401229999999996E-6</v>
      </c>
      <c r="I7474">
        <v>131.41239999999999</v>
      </c>
      <c r="J7474">
        <v>-184.65870000000001</v>
      </c>
      <c r="K7474">
        <v>1.1031569999999999</v>
      </c>
      <c r="L7474">
        <v>122.9538</v>
      </c>
      <c r="M7474">
        <v>0.28745870000000001</v>
      </c>
      <c r="N7474">
        <v>0</v>
      </c>
      <c r="O7474">
        <v>0.95767310000000005</v>
      </c>
      <c r="P7474">
        <v>0.46042300000000003</v>
      </c>
      <c r="Q7474">
        <v>3.3248050000000001E-3</v>
      </c>
      <c r="R7474">
        <v>0.88769349999999903</v>
      </c>
      <c r="S7474">
        <v>1.9586490000000001</v>
      </c>
      <c r="T7474">
        <v>-0.29767700000000002</v>
      </c>
      <c r="U7474">
        <v>2.3738100000000002</v>
      </c>
      <c r="V7474">
        <v>0.1860475</v>
      </c>
      <c r="W7474">
        <v>1.525612E-2</v>
      </c>
      <c r="X7474">
        <v>0.98242229999999997</v>
      </c>
      <c r="Y7474">
        <v>0.38467990000000002</v>
      </c>
      <c r="Z7474">
        <v>-9.7783819999999994E-2</v>
      </c>
      <c r="AA7474">
        <v>0.91785600000000001</v>
      </c>
      <c r="AB7474">
        <v>37</v>
      </c>
      <c r="AC7474">
        <v>7.1542000000000003</v>
      </c>
      <c r="AD7474">
        <v>-1.1031614401230001</v>
      </c>
      <c r="AE7474">
        <v>8.4585999999999899</v>
      </c>
      <c r="AF7474">
        <v>4.3769933265484697</v>
      </c>
      <c r="AG7474">
        <v>-1.1031614401230001</v>
      </c>
      <c r="AH7474">
        <v>10.058539621289199</v>
      </c>
      <c r="AI7474">
        <v>95.7426577108685</v>
      </c>
      <c r="AJ7474">
        <v>66.483638430211997</v>
      </c>
      <c r="AK7474">
        <v>11.0249378708757</v>
      </c>
      <c r="AL7474">
        <v>89.125854799270897</v>
      </c>
      <c r="AM7474">
        <v>79.276527143219397</v>
      </c>
      <c r="AN7474">
        <v>0.99999999849549703</v>
      </c>
    </row>
    <row r="7475" spans="1:40" x14ac:dyDescent="0.25">
      <c r="A7475" t="str">
        <f>"20190312155022522"</f>
        <v>20190312155022522</v>
      </c>
      <c r="B7475" t="str">
        <f>"1552377022513720"</f>
        <v>1552377022513720</v>
      </c>
      <c r="C7475" t="s">
        <v>40</v>
      </c>
      <c r="D7475">
        <v>4.9707489999999996</v>
      </c>
      <c r="E7475">
        <v>0.58978330000000001</v>
      </c>
      <c r="F7475" t="s">
        <v>63</v>
      </c>
      <c r="G7475">
        <v>-177.31479999999999</v>
      </c>
      <c r="H7475" s="1">
        <v>-4.3976619999999996E-6</v>
      </c>
      <c r="I7475">
        <v>131.64160000000001</v>
      </c>
      <c r="J7475">
        <v>-184.54650000000001</v>
      </c>
      <c r="K7475">
        <v>1.1028960000000001</v>
      </c>
      <c r="L7475">
        <v>123.30459999999999</v>
      </c>
      <c r="M7475">
        <v>0.29451860000000002</v>
      </c>
      <c r="N7475">
        <v>0</v>
      </c>
      <c r="O7475">
        <v>0.95552519999999996</v>
      </c>
      <c r="P7475">
        <v>0.46962949999999998</v>
      </c>
      <c r="Q7475">
        <v>4.1068440000000001E-3</v>
      </c>
      <c r="R7475">
        <v>0.88285400000000003</v>
      </c>
      <c r="S7475">
        <v>1.986664</v>
      </c>
      <c r="T7475">
        <v>-0.29842689999999999</v>
      </c>
      <c r="U7475">
        <v>2.3502350000000001</v>
      </c>
      <c r="V7475">
        <v>0.18903629999999999</v>
      </c>
      <c r="W7475">
        <v>1.5885460000000001E-2</v>
      </c>
      <c r="X7475">
        <v>0.98184159999999998</v>
      </c>
      <c r="Y7475">
        <v>0.38877319999999999</v>
      </c>
      <c r="Z7475">
        <v>-9.8028649999999995E-2</v>
      </c>
      <c r="AA7475">
        <v>0.91610360000000002</v>
      </c>
      <c r="AB7475">
        <v>37</v>
      </c>
      <c r="AC7475">
        <v>7.2317000000000098</v>
      </c>
      <c r="AD7475">
        <v>-1.102900397662</v>
      </c>
      <c r="AE7475">
        <v>8.3370000000000104</v>
      </c>
      <c r="AF7475">
        <v>4.4111313816312601</v>
      </c>
      <c r="AG7475">
        <v>-1.102900397662</v>
      </c>
      <c r="AH7475">
        <v>9.9974075888374294</v>
      </c>
      <c r="AI7475">
        <v>95.763378865623196</v>
      </c>
      <c r="AJ7475">
        <v>66.191608036120897</v>
      </c>
      <c r="AK7475">
        <v>10.982833325263501</v>
      </c>
      <c r="AL7475">
        <v>89.089791901242194</v>
      </c>
      <c r="AM7475">
        <v>79.102058925635703</v>
      </c>
      <c r="AN7475">
        <v>0.99999999902382997</v>
      </c>
    </row>
    <row r="7476" spans="1:40" x14ac:dyDescent="0.25">
      <c r="A7476" t="str">
        <f>"20190312155022543"</f>
        <v>20190312155022543</v>
      </c>
      <c r="B7476" t="str">
        <f>"1552377022533240"</f>
        <v>1552377022533240</v>
      </c>
      <c r="C7476" t="s">
        <v>40</v>
      </c>
      <c r="D7476">
        <v>4.8880530000000002</v>
      </c>
      <c r="E7476">
        <v>0.64281869999999997</v>
      </c>
      <c r="F7476" t="s">
        <v>63</v>
      </c>
      <c r="G7476">
        <v>-177.40950000000001</v>
      </c>
      <c r="H7476" s="1">
        <v>-4.3871459999999999E-6</v>
      </c>
      <c r="I7476">
        <v>131.44370000000001</v>
      </c>
      <c r="J7476">
        <v>-184.43559999999999</v>
      </c>
      <c r="K7476">
        <v>1.1026210000000001</v>
      </c>
      <c r="L7476">
        <v>123.64230000000001</v>
      </c>
      <c r="M7476">
        <v>0.30160749999999997</v>
      </c>
      <c r="N7476">
        <v>0</v>
      </c>
      <c r="O7476">
        <v>0.95331100000000002</v>
      </c>
      <c r="P7476">
        <v>0.48013420000000001</v>
      </c>
      <c r="Q7476">
        <v>3.743943E-3</v>
      </c>
      <c r="R7476">
        <v>0.877187099999999</v>
      </c>
      <c r="S7476">
        <v>2.032791</v>
      </c>
      <c r="T7476">
        <v>-0.3141313</v>
      </c>
      <c r="U7476">
        <v>2.3181919999999998</v>
      </c>
      <c r="V7476">
        <v>0.19346559999999999</v>
      </c>
      <c r="W7476">
        <v>1.533288E-2</v>
      </c>
      <c r="X7476">
        <v>0.98098730000000001</v>
      </c>
      <c r="Y7476">
        <v>0.39818559999999997</v>
      </c>
      <c r="Z7476">
        <v>-0.1030335</v>
      </c>
      <c r="AA7476">
        <v>0.91149999999999998</v>
      </c>
      <c r="AB7476">
        <v>37</v>
      </c>
      <c r="AC7476">
        <v>7.02609999999998</v>
      </c>
      <c r="AD7476">
        <v>-1.1026253871459999</v>
      </c>
      <c r="AE7476">
        <v>7.8014000000000001</v>
      </c>
      <c r="AF7476">
        <v>4.2981918899488596</v>
      </c>
      <c r="AG7476">
        <v>-1.1026253871459999</v>
      </c>
      <c r="AH7476">
        <v>9.4531238119032892</v>
      </c>
      <c r="AI7476">
        <v>96.061003231894802</v>
      </c>
      <c r="AJ7476">
        <v>65.549427862883405</v>
      </c>
      <c r="AK7476">
        <v>10.4427863173759</v>
      </c>
      <c r="AL7476">
        <v>89.121456314056203</v>
      </c>
      <c r="AM7476">
        <v>78.843570202558595</v>
      </c>
      <c r="AN7476">
        <v>1.0000000591768701</v>
      </c>
    </row>
    <row r="7477" spans="1:40" x14ac:dyDescent="0.25">
      <c r="A7477" t="str">
        <f>"20190312155022559"</f>
        <v>20190312155022559</v>
      </c>
      <c r="B7477" t="str">
        <f>"1552377022552847"</f>
        <v>1552377022552847</v>
      </c>
      <c r="C7477" t="s">
        <v>40</v>
      </c>
      <c r="D7477">
        <v>4.8380489999999998</v>
      </c>
      <c r="E7477">
        <v>0.64815409999999996</v>
      </c>
      <c r="F7477" t="s">
        <v>63</v>
      </c>
      <c r="G7477">
        <v>-179.88730000000001</v>
      </c>
      <c r="H7477" s="1">
        <v>-4.8549620000000003E-6</v>
      </c>
      <c r="I7477">
        <v>127.5716</v>
      </c>
      <c r="J7477">
        <v>-184.35290000000001</v>
      </c>
      <c r="K7477">
        <v>1.1024119999999999</v>
      </c>
      <c r="L7477">
        <v>123.8873</v>
      </c>
      <c r="M7477">
        <v>0.30697550000000001</v>
      </c>
      <c r="N7477">
        <v>0</v>
      </c>
      <c r="O7477">
        <v>0.95159570000000004</v>
      </c>
      <c r="P7477">
        <v>0.4869829</v>
      </c>
      <c r="Q7477">
        <v>3.1729000000000002E-3</v>
      </c>
      <c r="R7477">
        <v>0.87340580000000001</v>
      </c>
      <c r="S7477">
        <v>2.4251710000000002</v>
      </c>
      <c r="T7477">
        <v>-0.58792849999999997</v>
      </c>
      <c r="U7477">
        <v>2.0951080000000002</v>
      </c>
      <c r="V7477">
        <v>0.19560920000000001</v>
      </c>
      <c r="W7477">
        <v>1.4637249999999999E-2</v>
      </c>
      <c r="X7477">
        <v>0.98057269999999996</v>
      </c>
      <c r="Y7477">
        <v>0.50577939999999999</v>
      </c>
      <c r="Z7477">
        <v>-0.18710479999999999</v>
      </c>
      <c r="AA7477">
        <v>0.84212770000000003</v>
      </c>
      <c r="AB7477">
        <v>37</v>
      </c>
      <c r="AC7477">
        <v>4.4655999999999896</v>
      </c>
      <c r="AD7477">
        <v>-1.1024168549619999</v>
      </c>
      <c r="AE7477">
        <v>3.6842999999999999</v>
      </c>
      <c r="AF7477">
        <v>3.0096820529824901</v>
      </c>
      <c r="AG7477">
        <v>-1.1024168549619999</v>
      </c>
      <c r="AH7477">
        <v>4.7066879341327699</v>
      </c>
      <c r="AI7477">
        <v>101.162716467724</v>
      </c>
      <c r="AJ7477">
        <v>57.4032007558327</v>
      </c>
      <c r="AK7477">
        <v>5.6944201014203601</v>
      </c>
      <c r="AL7477">
        <v>89.161317413498907</v>
      </c>
      <c r="AM7477">
        <v>78.718462153697203</v>
      </c>
      <c r="AN7477">
        <v>1.00000001409874</v>
      </c>
    </row>
    <row r="7478" spans="1:40" x14ac:dyDescent="0.25">
      <c r="A7478" t="str">
        <f>"20190312155022574"</f>
        <v>20190312155022574</v>
      </c>
      <c r="B7478" t="str">
        <f>"1552377022563583"</f>
        <v>1552377022563583</v>
      </c>
      <c r="C7478" t="s">
        <v>40</v>
      </c>
      <c r="D7478">
        <v>4.8929559999999999</v>
      </c>
      <c r="E7478">
        <v>0.64965859999999997</v>
      </c>
      <c r="F7478" t="s">
        <v>63</v>
      </c>
      <c r="G7478">
        <v>-179.55179999999999</v>
      </c>
      <c r="H7478">
        <v>1.834204E-2</v>
      </c>
      <c r="I7478">
        <v>127.8643</v>
      </c>
      <c r="J7478">
        <v>-184.27359999999999</v>
      </c>
      <c r="K7478">
        <v>1.102196</v>
      </c>
      <c r="L7478">
        <v>124.1183</v>
      </c>
      <c r="M7478">
        <v>0.3121893</v>
      </c>
      <c r="N7478">
        <v>0</v>
      </c>
      <c r="O7478">
        <v>0.94989760000000001</v>
      </c>
      <c r="P7478">
        <v>0.49298769999999997</v>
      </c>
      <c r="Q7478">
        <v>2.8898600000000002E-3</v>
      </c>
      <c r="R7478">
        <v>0.87003149999999996</v>
      </c>
      <c r="S7478">
        <v>2.4798580000000001</v>
      </c>
      <c r="T7478">
        <v>-0.55994009999999905</v>
      </c>
      <c r="U7478">
        <v>2.0541689999999999</v>
      </c>
      <c r="V7478">
        <v>0.19698860000000001</v>
      </c>
      <c r="W7478">
        <v>1.424533E-2</v>
      </c>
      <c r="X7478">
        <v>0.98030229999999996</v>
      </c>
      <c r="Y7478">
        <v>0.51981849999999996</v>
      </c>
      <c r="Z7478">
        <v>-0.17805119999999999</v>
      </c>
      <c r="AA7478">
        <v>0.83551569999999997</v>
      </c>
      <c r="AB7478">
        <v>37</v>
      </c>
      <c r="AC7478">
        <v>4.7218</v>
      </c>
      <c r="AD7478">
        <v>-1.0838539599999999</v>
      </c>
      <c r="AE7478">
        <v>3.7459999999999898</v>
      </c>
      <c r="AF7478">
        <v>3.2122750443070101</v>
      </c>
      <c r="AG7478">
        <v>-1.0838539599999999</v>
      </c>
      <c r="AH7478">
        <v>4.8753422463236404</v>
      </c>
      <c r="AI7478">
        <v>100.51668248901299</v>
      </c>
      <c r="AJ7478">
        <v>56.619833585376298</v>
      </c>
      <c r="AK7478">
        <v>5.9382162629592203</v>
      </c>
      <c r="AL7478">
        <v>89.183775120873904</v>
      </c>
      <c r="AM7478">
        <v>78.637916413820804</v>
      </c>
      <c r="AN7478">
        <v>1.0000000186710201</v>
      </c>
    </row>
    <row r="7479" spans="1:40" x14ac:dyDescent="0.25">
      <c r="A7479" t="str">
        <f>"20190312155022589"</f>
        <v>20190312155022589</v>
      </c>
      <c r="B7479" t="str">
        <f>"1552377022583103"</f>
        <v>1552377022583103</v>
      </c>
      <c r="C7479" t="s">
        <v>40</v>
      </c>
      <c r="D7479">
        <v>4.8583259999999999</v>
      </c>
      <c r="E7479">
        <v>0.6502831</v>
      </c>
      <c r="F7479" t="s">
        <v>63</v>
      </c>
      <c r="G7479">
        <v>-179.46039999999999</v>
      </c>
      <c r="H7479">
        <v>5.4798069999999997E-2</v>
      </c>
      <c r="I7479">
        <v>128.01920000000001</v>
      </c>
      <c r="J7479">
        <v>-184.19040000000001</v>
      </c>
      <c r="K7479">
        <v>1.101966</v>
      </c>
      <c r="L7479">
        <v>124.3562</v>
      </c>
      <c r="M7479">
        <v>0.31771850000000001</v>
      </c>
      <c r="N7479">
        <v>0</v>
      </c>
      <c r="O7479">
        <v>0.94806219999999997</v>
      </c>
      <c r="P7479">
        <v>0.50059869999999995</v>
      </c>
      <c r="Q7479">
        <v>2.9014650000000002E-3</v>
      </c>
      <c r="R7479">
        <v>0.86567459999999996</v>
      </c>
      <c r="S7479">
        <v>2.5052189999999999</v>
      </c>
      <c r="T7479">
        <v>-0.54516830000000005</v>
      </c>
      <c r="U7479">
        <v>2.0304259999999998</v>
      </c>
      <c r="V7479">
        <v>0.19988120000000001</v>
      </c>
      <c r="W7479">
        <v>1.410754E-2</v>
      </c>
      <c r="X7479">
        <v>0.9797186</v>
      </c>
      <c r="Y7479">
        <v>0.52446809999999999</v>
      </c>
      <c r="Z7479">
        <v>-0.17335029999999901</v>
      </c>
      <c r="AA7479">
        <v>0.83359629999999996</v>
      </c>
      <c r="AB7479">
        <v>36</v>
      </c>
      <c r="AC7479">
        <v>4.7300000000000102</v>
      </c>
      <c r="AD7479">
        <v>-1.0471679300000001</v>
      </c>
      <c r="AE7479">
        <v>3.66300000000001</v>
      </c>
      <c r="AF7479">
        <v>3.22219554951183</v>
      </c>
      <c r="AG7479">
        <v>-1.0471679300000001</v>
      </c>
      <c r="AH7479">
        <v>4.8282117382639704</v>
      </c>
      <c r="AI7479">
        <v>100.226226577324</v>
      </c>
      <c r="AJ7479">
        <v>56.282109544850101</v>
      </c>
      <c r="AK7479">
        <v>5.8983670132015602</v>
      </c>
      <c r="AL7479">
        <v>89.191670705542293</v>
      </c>
      <c r="AM7479">
        <v>78.468824997536402</v>
      </c>
      <c r="AN7479">
        <v>1.00000002599212</v>
      </c>
    </row>
    <row r="7480" spans="1:40" x14ac:dyDescent="0.25">
      <c r="A7480" t="str">
        <f>"20190312155022603"</f>
        <v>20190312155022603</v>
      </c>
      <c r="B7480" t="str">
        <f>"1552377022592865"</f>
        <v>1552377022592865</v>
      </c>
      <c r="C7480" t="s">
        <v>40</v>
      </c>
      <c r="D7480">
        <v>4.9078470000000003</v>
      </c>
      <c r="E7480">
        <v>0.64986639999999996</v>
      </c>
      <c r="F7480" t="s">
        <v>63</v>
      </c>
      <c r="G7480">
        <v>-179.3801</v>
      </c>
      <c r="H7480">
        <v>4.2069240000000001E-2</v>
      </c>
      <c r="I7480">
        <v>128.17420000000001</v>
      </c>
      <c r="J7480">
        <v>-184.10599999999999</v>
      </c>
      <c r="K7480">
        <v>1.1017269999999999</v>
      </c>
      <c r="L7480">
        <v>124.5926</v>
      </c>
      <c r="M7480">
        <v>0.3233877</v>
      </c>
      <c r="N7480">
        <v>0</v>
      </c>
      <c r="O7480">
        <v>0.94614299999999996</v>
      </c>
      <c r="P7480">
        <v>0.50709329999999997</v>
      </c>
      <c r="Q7480">
        <v>3.1416450000000002E-3</v>
      </c>
      <c r="R7480">
        <v>0.86188549999999997</v>
      </c>
      <c r="S7480">
        <v>2.5272830000000002</v>
      </c>
      <c r="T7480">
        <v>-0.55686080000000004</v>
      </c>
      <c r="U7480">
        <v>2.0059360000000002</v>
      </c>
      <c r="V7480">
        <v>0.20139589999999999</v>
      </c>
      <c r="W7480">
        <v>1.422531E-2</v>
      </c>
      <c r="X7480">
        <v>0.97940669999999996</v>
      </c>
      <c r="Y7480">
        <v>0.5273911</v>
      </c>
      <c r="Z7480">
        <v>-0.1769328</v>
      </c>
      <c r="AA7480">
        <v>0.83099539999999905</v>
      </c>
      <c r="AB7480">
        <v>36</v>
      </c>
      <c r="AC7480">
        <v>4.7258999999999904</v>
      </c>
      <c r="AD7480">
        <v>-1.0596577599999999</v>
      </c>
      <c r="AE7480">
        <v>3.5815999999999999</v>
      </c>
      <c r="AF7480">
        <v>3.2109787667431799</v>
      </c>
      <c r="AG7480">
        <v>-1.0596577599999999</v>
      </c>
      <c r="AH7480">
        <v>4.7653988273613601</v>
      </c>
      <c r="AI7480">
        <v>100.44844642709801</v>
      </c>
      <c r="AJ7480">
        <v>56.027471695947803</v>
      </c>
      <c r="AK7480">
        <v>5.8431400113826504</v>
      </c>
      <c r="AL7480">
        <v>89.184922345323898</v>
      </c>
      <c r="AM7480">
        <v>78.380209421866397</v>
      </c>
      <c r="AN7480">
        <v>1.00000007599314</v>
      </c>
    </row>
    <row r="7481" spans="1:40" x14ac:dyDescent="0.25">
      <c r="A7481" t="str">
        <f>"20190312155022622"</f>
        <v>20190312155022622</v>
      </c>
      <c r="B7481" t="str">
        <f>"1552377022613359"</f>
        <v>1552377022613359</v>
      </c>
      <c r="C7481" t="s">
        <v>40</v>
      </c>
      <c r="D7481">
        <v>4.8497370000000002</v>
      </c>
      <c r="E7481">
        <v>0.64898900000000004</v>
      </c>
      <c r="F7481" t="s">
        <v>63</v>
      </c>
      <c r="G7481">
        <v>-179.2567</v>
      </c>
      <c r="H7481">
        <v>3.5968310000000003E-2</v>
      </c>
      <c r="I7481">
        <v>128.39070000000001</v>
      </c>
      <c r="J7481">
        <v>-184.00649999999999</v>
      </c>
      <c r="K7481">
        <v>1.1014539999999999</v>
      </c>
      <c r="L7481">
        <v>124.8646</v>
      </c>
      <c r="M7481">
        <v>0.33017000000000002</v>
      </c>
      <c r="N7481">
        <v>0</v>
      </c>
      <c r="O7481">
        <v>0.94379710000000006</v>
      </c>
      <c r="P7481">
        <v>0.51578440000000003</v>
      </c>
      <c r="Q7481">
        <v>2.3619449999999998E-3</v>
      </c>
      <c r="R7481">
        <v>0.85671520000000001</v>
      </c>
      <c r="S7481">
        <v>2.5392299999999999</v>
      </c>
      <c r="T7481">
        <v>-0.55805950000000004</v>
      </c>
      <c r="U7481">
        <v>1.9887999999999999</v>
      </c>
      <c r="V7481">
        <v>0.20426449999999999</v>
      </c>
      <c r="W7481">
        <v>1.327744E-2</v>
      </c>
      <c r="X7481">
        <v>0.97882570000000002</v>
      </c>
      <c r="Y7481">
        <v>0.5266478</v>
      </c>
      <c r="Z7481">
        <v>-0.17728250000000001</v>
      </c>
      <c r="AA7481">
        <v>0.83139219999999903</v>
      </c>
      <c r="AB7481">
        <v>36</v>
      </c>
      <c r="AC7481">
        <v>4.7497999999999898</v>
      </c>
      <c r="AD7481">
        <v>-1.06548569</v>
      </c>
      <c r="AE7481">
        <v>3.5261000000000098</v>
      </c>
      <c r="AF7481">
        <v>3.2147336993211999</v>
      </c>
      <c r="AG7481">
        <v>-1.06548569</v>
      </c>
      <c r="AH7481">
        <v>4.7428730860238497</v>
      </c>
      <c r="AI7481">
        <v>100.53431897751901</v>
      </c>
      <c r="AJ7481">
        <v>55.870461936082897</v>
      </c>
      <c r="AK7481">
        <v>5.8279170913179197</v>
      </c>
      <c r="AL7481">
        <v>89.2392363819949</v>
      </c>
      <c r="AM7481">
        <v>78.212499222597401</v>
      </c>
      <c r="AN7481">
        <v>1.0000000136768401</v>
      </c>
    </row>
    <row r="7482" spans="1:40" x14ac:dyDescent="0.25">
      <c r="A7482" t="str">
        <f>"20190312155022643"</f>
        <v>20190312155022643</v>
      </c>
      <c r="B7482" t="str">
        <f>"1552377022632878"</f>
        <v>1552377022632878</v>
      </c>
      <c r="C7482" t="s">
        <v>40</v>
      </c>
      <c r="D7482">
        <v>4.8886900000000004</v>
      </c>
      <c r="E7482">
        <v>0.64823069999999905</v>
      </c>
      <c r="F7482" t="s">
        <v>63</v>
      </c>
      <c r="G7482">
        <v>-179.0172</v>
      </c>
      <c r="H7482" s="1">
        <v>-4.5816170000000001E-6</v>
      </c>
      <c r="I7482">
        <v>128.7081</v>
      </c>
      <c r="J7482">
        <v>-183.88249999999999</v>
      </c>
      <c r="K7482">
        <v>1.1011070000000001</v>
      </c>
      <c r="L7482">
        <v>125.1949</v>
      </c>
      <c r="M7482">
        <v>0.33873940000000002</v>
      </c>
      <c r="N7482">
        <v>0</v>
      </c>
      <c r="O7482">
        <v>0.9407548</v>
      </c>
      <c r="P7482">
        <v>0.52587910000000004</v>
      </c>
      <c r="Q7482">
        <v>2.3800309999999999E-3</v>
      </c>
      <c r="R7482">
        <v>0.85055599999999998</v>
      </c>
      <c r="S7482">
        <v>2.552673</v>
      </c>
      <c r="T7482">
        <v>-0.5635462</v>
      </c>
      <c r="U7482">
        <v>1.9664759999999999</v>
      </c>
      <c r="V7482">
        <v>0.20694899999999999</v>
      </c>
      <c r="W7482">
        <v>1.3099599999999999E-2</v>
      </c>
      <c r="X7482">
        <v>0.97826400000000002</v>
      </c>
      <c r="Y7482">
        <v>0.52537630000000002</v>
      </c>
      <c r="Z7482">
        <v>-0.17900839999999901</v>
      </c>
      <c r="AA7482">
        <v>0.83182670000000003</v>
      </c>
      <c r="AB7482">
        <v>36</v>
      </c>
      <c r="AC7482">
        <v>4.8652999999999897</v>
      </c>
      <c r="AD7482">
        <v>-1.1011115816169901</v>
      </c>
      <c r="AE7482">
        <v>3.5131999999999901</v>
      </c>
      <c r="AF7482">
        <v>3.2770682596563399</v>
      </c>
      <c r="AG7482">
        <v>-1.1011115816169901</v>
      </c>
      <c r="AH7482">
        <v>4.7923720237612102</v>
      </c>
      <c r="AI7482">
        <v>100.739210895002</v>
      </c>
      <c r="AJ7482">
        <v>55.635318897496703</v>
      </c>
      <c r="AK7482">
        <v>5.9091837598561199</v>
      </c>
      <c r="AL7482">
        <v>89.249426717474904</v>
      </c>
      <c r="AM7482">
        <v>78.055344144369499</v>
      </c>
      <c r="AN7482">
        <v>0.99999997090857895</v>
      </c>
    </row>
    <row r="7483" spans="1:40" x14ac:dyDescent="0.25">
      <c r="A7483" t="str">
        <f>"20190312155022657"</f>
        <v>20190312155022657</v>
      </c>
      <c r="B7483" t="str">
        <f>"1552377022653375"</f>
        <v>1552377022653375</v>
      </c>
      <c r="C7483" t="s">
        <v>40</v>
      </c>
      <c r="D7483">
        <v>4.8559260000000002</v>
      </c>
      <c r="E7483">
        <v>0.64747429999999995</v>
      </c>
      <c r="F7483" t="s">
        <v>63</v>
      </c>
      <c r="G7483">
        <v>-178.86680000000001</v>
      </c>
      <c r="H7483" s="1">
        <v>-4.5410829999999998E-6</v>
      </c>
      <c r="I7483">
        <v>128.97819999999999</v>
      </c>
      <c r="J7483">
        <v>-183.7996</v>
      </c>
      <c r="K7483">
        <v>1.10087</v>
      </c>
      <c r="L7483">
        <v>125.40949999999999</v>
      </c>
      <c r="M7483">
        <v>0.34456819999999999</v>
      </c>
      <c r="N7483">
        <v>0</v>
      </c>
      <c r="O7483">
        <v>0.93863509999999994</v>
      </c>
      <c r="P7483">
        <v>0.53253899999999998</v>
      </c>
      <c r="Q7483">
        <v>2.7898670000000001E-3</v>
      </c>
      <c r="R7483">
        <v>0.84640090000000001</v>
      </c>
      <c r="S7483">
        <v>2.570862</v>
      </c>
      <c r="T7483">
        <v>-0.56438619999999995</v>
      </c>
      <c r="U7483">
        <v>1.9391780000000001</v>
      </c>
      <c r="V7483">
        <v>0.20857629999999999</v>
      </c>
      <c r="W7483">
        <v>1.338043E-2</v>
      </c>
      <c r="X7483">
        <v>0.97791459999999997</v>
      </c>
      <c r="Y7483">
        <v>0.52851930000000003</v>
      </c>
      <c r="Z7483">
        <v>-0.17943190000000001</v>
      </c>
      <c r="AA7483">
        <v>0.82974179999999997</v>
      </c>
      <c r="AB7483">
        <v>36</v>
      </c>
      <c r="AC7483">
        <v>4.9327999999999799</v>
      </c>
      <c r="AD7483">
        <v>-1.1008745410830001</v>
      </c>
      <c r="AE7483">
        <v>3.56869999999999</v>
      </c>
      <c r="AF7483">
        <v>3.2931728542773002</v>
      </c>
      <c r="AG7483">
        <v>-1.1008745410830001</v>
      </c>
      <c r="AH7483">
        <v>4.8901114878943401</v>
      </c>
      <c r="AI7483">
        <v>100.576916397354</v>
      </c>
      <c r="AJ7483">
        <v>56.042290648704302</v>
      </c>
      <c r="AK7483">
        <v>5.99750802978952</v>
      </c>
      <c r="AL7483">
        <v>89.233334983268904</v>
      </c>
      <c r="AM7483">
        <v>77.959973625425903</v>
      </c>
      <c r="AN7483">
        <v>1.0000000368609101</v>
      </c>
    </row>
    <row r="7484" spans="1:40" x14ac:dyDescent="0.25">
      <c r="A7484" t="str">
        <f>"20190312155022672"</f>
        <v>20190312155022672</v>
      </c>
      <c r="B7484" t="str">
        <f>"1552377022663135"</f>
        <v>1552377022663135</v>
      </c>
      <c r="C7484" t="s">
        <v>40</v>
      </c>
      <c r="D7484">
        <v>4.8659949999999998</v>
      </c>
      <c r="E7484">
        <v>0.64698299999999997</v>
      </c>
      <c r="F7484" t="s">
        <v>63</v>
      </c>
      <c r="G7484">
        <v>-178.7663</v>
      </c>
      <c r="H7484" s="1">
        <v>-4.5136869999999999E-6</v>
      </c>
      <c r="I7484">
        <v>129.15729999999999</v>
      </c>
      <c r="J7484">
        <v>-183.71289999999999</v>
      </c>
      <c r="K7484">
        <v>1.1006209999999901</v>
      </c>
      <c r="L7484">
        <v>125.6301</v>
      </c>
      <c r="M7484">
        <v>0.35071069999999999</v>
      </c>
      <c r="N7484">
        <v>0</v>
      </c>
      <c r="O7484">
        <v>0.93635679999999999</v>
      </c>
      <c r="P7484">
        <v>0.53913690000000003</v>
      </c>
      <c r="Q7484">
        <v>2.7201719999999999E-3</v>
      </c>
      <c r="R7484">
        <v>0.84221369999999895</v>
      </c>
      <c r="S7484">
        <v>2.5814360000000001</v>
      </c>
      <c r="T7484">
        <v>-0.56460809999999995</v>
      </c>
      <c r="U7484">
        <v>1.922104</v>
      </c>
      <c r="V7484">
        <v>0.20981749999999999</v>
      </c>
      <c r="W7484">
        <v>1.31859E-2</v>
      </c>
      <c r="X7484">
        <v>0.97765170000000001</v>
      </c>
      <c r="Y7484">
        <v>0.52813399999999999</v>
      </c>
      <c r="Z7484">
        <v>-0.17950160000000001</v>
      </c>
      <c r="AA7484">
        <v>0.82997209999999999</v>
      </c>
      <c r="AB7484">
        <v>36</v>
      </c>
      <c r="AC7484">
        <v>4.9465999999999797</v>
      </c>
      <c r="AD7484">
        <v>-1.10062551368699</v>
      </c>
      <c r="AE7484">
        <v>3.5271999999999899</v>
      </c>
      <c r="AF7484">
        <v>3.2872722860341499</v>
      </c>
      <c r="AG7484">
        <v>-1.10062551368699</v>
      </c>
      <c r="AH7484">
        <v>4.8780464544241804</v>
      </c>
      <c r="AI7484">
        <v>100.59795132401899</v>
      </c>
      <c r="AJ7484">
        <v>56.024318999409601</v>
      </c>
      <c r="AK7484">
        <v>5.9843857508876699</v>
      </c>
      <c r="AL7484">
        <v>89.244481723373895</v>
      </c>
      <c r="AM7484">
        <v>77.887274079975995</v>
      </c>
      <c r="AN7484">
        <v>1.00000004888897</v>
      </c>
    </row>
    <row r="7485" spans="1:40" x14ac:dyDescent="0.25">
      <c r="A7485" t="str">
        <f>"20190312155022689"</f>
        <v>20190312155022689</v>
      </c>
      <c r="B7485" t="str">
        <f>"1552377022683633"</f>
        <v>1552377022683633</v>
      </c>
      <c r="C7485" t="s">
        <v>40</v>
      </c>
      <c r="D7485">
        <v>4.8843740000000002</v>
      </c>
      <c r="E7485">
        <v>0.6462755</v>
      </c>
      <c r="F7485" t="s">
        <v>63</v>
      </c>
      <c r="G7485">
        <v>-178.6602</v>
      </c>
      <c r="H7485" s="1">
        <v>-4.4832160000000001E-6</v>
      </c>
      <c r="I7485">
        <v>129.33930000000001</v>
      </c>
      <c r="J7485">
        <v>-183.60400000000001</v>
      </c>
      <c r="K7485">
        <v>1.1002959999999999</v>
      </c>
      <c r="L7485">
        <v>125.901</v>
      </c>
      <c r="M7485">
        <v>0.35851060000000001</v>
      </c>
      <c r="N7485">
        <v>0</v>
      </c>
      <c r="O7485">
        <v>0.93339740000000004</v>
      </c>
      <c r="P7485">
        <v>0.54876429999999998</v>
      </c>
      <c r="Q7485">
        <v>2.5364580000000001E-3</v>
      </c>
      <c r="R7485">
        <v>0.83597330000000003</v>
      </c>
      <c r="S7485">
        <v>2.5932919999999999</v>
      </c>
      <c r="T7485">
        <v>-0.56489880000000003</v>
      </c>
      <c r="U7485">
        <v>1.903778</v>
      </c>
      <c r="V7485">
        <v>0.21288270000000001</v>
      </c>
      <c r="W7485">
        <v>1.280542E-2</v>
      </c>
      <c r="X7485">
        <v>0.97699389999999997</v>
      </c>
      <c r="Y7485">
        <v>0.52670609999999995</v>
      </c>
      <c r="Z7485">
        <v>-0.17949419999999999</v>
      </c>
      <c r="AA7485">
        <v>0.83088059999999997</v>
      </c>
      <c r="AB7485">
        <v>36</v>
      </c>
      <c r="AC7485">
        <v>4.9438000000000004</v>
      </c>
      <c r="AD7485">
        <v>-1.1003004832159999</v>
      </c>
      <c r="AE7485">
        <v>3.4382999999999901</v>
      </c>
      <c r="AF7485">
        <v>3.2729973202859401</v>
      </c>
      <c r="AG7485">
        <v>-1.1003004832159999</v>
      </c>
      <c r="AH7485">
        <v>4.8213386311655704</v>
      </c>
      <c r="AI7485">
        <v>100.69254145803001</v>
      </c>
      <c r="AJ7485">
        <v>55.829121151240997</v>
      </c>
      <c r="AK7485">
        <v>5.9303017468197901</v>
      </c>
      <c r="AL7485">
        <v>89.266283463777995</v>
      </c>
      <c r="AM7485">
        <v>77.707637465501804</v>
      </c>
      <c r="AN7485">
        <v>1.00000005168893</v>
      </c>
    </row>
    <row r="7486" spans="1:40" x14ac:dyDescent="0.25">
      <c r="A7486" t="str">
        <f>"20190312155022704"</f>
        <v>20190312155022704</v>
      </c>
      <c r="B7486" t="str">
        <f>"1552377022693391"</f>
        <v>1552377022693391</v>
      </c>
      <c r="C7486" t="s">
        <v>40</v>
      </c>
      <c r="D7486">
        <v>4.8899439999999998</v>
      </c>
      <c r="E7486">
        <v>0.64591129999999997</v>
      </c>
      <c r="F7486" t="s">
        <v>63</v>
      </c>
      <c r="G7486">
        <v>-178.5018</v>
      </c>
      <c r="H7486" s="1">
        <v>-4.4274280000000001E-6</v>
      </c>
      <c r="I7486">
        <v>129.5668</v>
      </c>
      <c r="J7486">
        <v>-183.51439999999999</v>
      </c>
      <c r="K7486">
        <v>1.100034</v>
      </c>
      <c r="L7486">
        <v>126.11920000000001</v>
      </c>
      <c r="M7486">
        <v>0.36498370000000002</v>
      </c>
      <c r="N7486">
        <v>0</v>
      </c>
      <c r="O7486">
        <v>0.93088470000000001</v>
      </c>
      <c r="P7486">
        <v>0.55520909999999901</v>
      </c>
      <c r="Q7486">
        <v>2.7105480000000001E-3</v>
      </c>
      <c r="R7486">
        <v>0.83170639999999996</v>
      </c>
      <c r="S7486">
        <v>2.611313</v>
      </c>
      <c r="T7486">
        <v>-0.56313340000000001</v>
      </c>
      <c r="U7486">
        <v>1.87619</v>
      </c>
      <c r="V7486">
        <v>0.21366189999999999</v>
      </c>
      <c r="W7486">
        <v>1.286406E-2</v>
      </c>
      <c r="X7486">
        <v>0.976823</v>
      </c>
      <c r="Y7486">
        <v>0.52940959999999904</v>
      </c>
      <c r="Z7486">
        <v>-0.1790418</v>
      </c>
      <c r="AA7486">
        <v>0.82925839999999995</v>
      </c>
      <c r="AB7486">
        <v>36</v>
      </c>
      <c r="AC7486">
        <v>5.0125999999999902</v>
      </c>
      <c r="AD7486">
        <v>-1.100038427428</v>
      </c>
      <c r="AE7486">
        <v>3.4475999999999898</v>
      </c>
      <c r="AF7486">
        <v>3.3003424757442499</v>
      </c>
      <c r="AG7486">
        <v>-1.100038427428</v>
      </c>
      <c r="AH7486">
        <v>4.8798968317060201</v>
      </c>
      <c r="AI7486">
        <v>100.57687866729999</v>
      </c>
      <c r="AJ7486">
        <v>55.928960896762298</v>
      </c>
      <c r="AK7486">
        <v>5.99297406027378</v>
      </c>
      <c r="AL7486">
        <v>89.262923348484904</v>
      </c>
      <c r="AM7486">
        <v>77.661927652443396</v>
      </c>
      <c r="AN7486">
        <v>1.0000000324401399</v>
      </c>
    </row>
    <row r="7487" spans="1:40" x14ac:dyDescent="0.25">
      <c r="A7487" t="str">
        <f>"20190312155022717"</f>
        <v>20190312155022717</v>
      </c>
      <c r="B7487" t="str">
        <f>"1552377022712911"</f>
        <v>1552377022712911</v>
      </c>
      <c r="C7487" t="s">
        <v>40</v>
      </c>
      <c r="D7487">
        <v>4.895664</v>
      </c>
      <c r="E7487">
        <v>0.64506039999999998</v>
      </c>
      <c r="F7487" t="s">
        <v>63</v>
      </c>
      <c r="G7487">
        <v>-178.36879999999999</v>
      </c>
      <c r="H7487" s="1">
        <v>-4.4030190000000003E-6</v>
      </c>
      <c r="I7487">
        <v>129.7611</v>
      </c>
      <c r="J7487">
        <v>-183.42689999999999</v>
      </c>
      <c r="K7487">
        <v>1.0997889999999999</v>
      </c>
      <c r="L7487">
        <v>126.32640000000001</v>
      </c>
      <c r="M7487">
        <v>0.37135570000000001</v>
      </c>
      <c r="N7487">
        <v>0</v>
      </c>
      <c r="O7487">
        <v>0.92836050000000003</v>
      </c>
      <c r="P7487">
        <v>0.56183019999999995</v>
      </c>
      <c r="Q7487">
        <v>2.345771E-3</v>
      </c>
      <c r="R7487">
        <v>0.82724920000000002</v>
      </c>
      <c r="S7487">
        <v>2.6240079999999999</v>
      </c>
      <c r="T7487">
        <v>-0.56096610000000002</v>
      </c>
      <c r="U7487">
        <v>1.857224</v>
      </c>
      <c r="V7487">
        <v>0.21476229999999999</v>
      </c>
      <c r="W7487">
        <v>1.2382489999999999E-2</v>
      </c>
      <c r="X7487">
        <v>0.97658780000000001</v>
      </c>
      <c r="Y7487">
        <v>0.52962509999999996</v>
      </c>
      <c r="Z7487">
        <v>-0.17830579999999999</v>
      </c>
      <c r="AA7487">
        <v>0.8292794</v>
      </c>
      <c r="AB7487">
        <v>36</v>
      </c>
      <c r="AC7487">
        <v>5.0580999999999898</v>
      </c>
      <c r="AD7487">
        <v>-1.099793403019</v>
      </c>
      <c r="AE7487">
        <v>3.4346999999999901</v>
      </c>
      <c r="AF7487">
        <v>3.3134459027747698</v>
      </c>
      <c r="AG7487">
        <v>-1.099793403019</v>
      </c>
      <c r="AH7487">
        <v>4.9087745560336602</v>
      </c>
      <c r="AI7487">
        <v>100.520003036125</v>
      </c>
      <c r="AJ7487">
        <v>55.980464961084998</v>
      </c>
      <c r="AK7487">
        <v>6.0236647418247404</v>
      </c>
      <c r="AL7487">
        <v>89.290517417459697</v>
      </c>
      <c r="AM7487">
        <v>77.597451053219203</v>
      </c>
      <c r="AN7487">
        <v>0.99999995133436304</v>
      </c>
    </row>
    <row r="7488" spans="1:40" x14ac:dyDescent="0.25">
      <c r="A7488" t="str">
        <f>"20190312155022732"</f>
        <v>20190312155022732</v>
      </c>
      <c r="B7488" t="str">
        <f>"1552377022723647"</f>
        <v>1552377022723647</v>
      </c>
      <c r="C7488" t="s">
        <v>40</v>
      </c>
      <c r="D7488">
        <v>4.8754390000000001</v>
      </c>
      <c r="E7488">
        <v>0.64464519999999903</v>
      </c>
      <c r="F7488" t="s">
        <v>63</v>
      </c>
      <c r="G7488">
        <v>-178.2792</v>
      </c>
      <c r="H7488" s="1">
        <v>-4.402763E-6</v>
      </c>
      <c r="I7488">
        <v>129.92140000000001</v>
      </c>
      <c r="J7488">
        <v>-183.33510000000001</v>
      </c>
      <c r="K7488">
        <v>1.0995299999999999</v>
      </c>
      <c r="L7488">
        <v>126.5403</v>
      </c>
      <c r="M7488">
        <v>0.37808029999999998</v>
      </c>
      <c r="N7488">
        <v>0</v>
      </c>
      <c r="O7488">
        <v>0.92564150000000001</v>
      </c>
      <c r="P7488">
        <v>0.56892969999999998</v>
      </c>
      <c r="Q7488">
        <v>9.8963499999999999E-4</v>
      </c>
      <c r="R7488">
        <v>0.82238559999999905</v>
      </c>
      <c r="S7488">
        <v>2.6337429999999999</v>
      </c>
      <c r="T7488">
        <v>-0.56269499999999995</v>
      </c>
      <c r="U7488">
        <v>1.8393550000000001</v>
      </c>
      <c r="V7488">
        <v>0.2160571</v>
      </c>
      <c r="W7488">
        <v>1.08982E-2</v>
      </c>
      <c r="X7488">
        <v>0.97631990000000002</v>
      </c>
      <c r="Y7488">
        <v>0.52864279999999997</v>
      </c>
      <c r="Z7488">
        <v>-0.17879979999999901</v>
      </c>
      <c r="AA7488">
        <v>0.82979969999999903</v>
      </c>
      <c r="AB7488">
        <v>36</v>
      </c>
      <c r="AC7488">
        <v>5.0559000000000003</v>
      </c>
      <c r="AD7488">
        <v>-1.0995344027630001</v>
      </c>
      <c r="AE7488">
        <v>3.3811</v>
      </c>
      <c r="AF7488">
        <v>3.2943757243588898</v>
      </c>
      <c r="AG7488">
        <v>-1.0995344027630001</v>
      </c>
      <c r="AH7488">
        <v>4.8822808538112099</v>
      </c>
      <c r="AI7488">
        <v>100.574535885408</v>
      </c>
      <c r="AJ7488">
        <v>55.990034185610803</v>
      </c>
      <c r="AK7488">
        <v>5.99154017357775</v>
      </c>
      <c r="AL7488">
        <v>89.375566770924905</v>
      </c>
      <c r="AM7488">
        <v>77.521694513707502</v>
      </c>
      <c r="AN7488">
        <v>0.99999999417982999</v>
      </c>
    </row>
    <row r="7489" spans="1:40" x14ac:dyDescent="0.25">
      <c r="A7489" t="str">
        <f>"20190312155022746"</f>
        <v>20190312155022746</v>
      </c>
      <c r="B7489" t="str">
        <f>"1552377022733406"</f>
        <v>1552377022733406</v>
      </c>
      <c r="C7489" t="s">
        <v>40</v>
      </c>
      <c r="D7489">
        <v>4.8801050000000004</v>
      </c>
      <c r="E7489">
        <v>0.64424650000000006</v>
      </c>
      <c r="F7489" t="s">
        <v>63</v>
      </c>
      <c r="G7489">
        <v>-178.1711</v>
      </c>
      <c r="H7489" s="1">
        <v>-4.3907680000000003E-6</v>
      </c>
      <c r="I7489">
        <v>130.08410000000001</v>
      </c>
      <c r="J7489">
        <v>-183.24780000000001</v>
      </c>
      <c r="K7489">
        <v>1.0992820000000001</v>
      </c>
      <c r="L7489">
        <v>126.7401</v>
      </c>
      <c r="M7489">
        <v>0.38449299999999997</v>
      </c>
      <c r="N7489">
        <v>0</v>
      </c>
      <c r="O7489">
        <v>0.92299560000000003</v>
      </c>
      <c r="P7489">
        <v>0.57522740000000006</v>
      </c>
      <c r="Q7489">
        <v>8.7008579999999999E-4</v>
      </c>
      <c r="R7489">
        <v>0.81799299999999997</v>
      </c>
      <c r="S7489">
        <v>2.6476139999999999</v>
      </c>
      <c r="T7489">
        <v>-0.56374809999999997</v>
      </c>
      <c r="U7489">
        <v>1.8169709999999999</v>
      </c>
      <c r="V7489">
        <v>0.216784</v>
      </c>
      <c r="W7489">
        <v>1.066838E-2</v>
      </c>
      <c r="X7489">
        <v>0.97616130000000001</v>
      </c>
      <c r="Y7489">
        <v>0.52953240000000001</v>
      </c>
      <c r="Z7489">
        <v>-0.17910760000000001</v>
      </c>
      <c r="AA7489">
        <v>0.82916579999999995</v>
      </c>
      <c r="AB7489">
        <v>36</v>
      </c>
      <c r="AC7489">
        <v>5.0767000000000104</v>
      </c>
      <c r="AD7489">
        <v>-1.0992863907679999</v>
      </c>
      <c r="AE7489">
        <v>3.3439999999999999</v>
      </c>
      <c r="AF7489">
        <v>3.2927693787194401</v>
      </c>
      <c r="AG7489">
        <v>-1.0992863907679999</v>
      </c>
      <c r="AH7489">
        <v>4.8795090719985099</v>
      </c>
      <c r="AI7489">
        <v>100.577815133581</v>
      </c>
      <c r="AJ7489">
        <v>55.987904586992002</v>
      </c>
      <c r="AK7489">
        <v>5.9883528231122103</v>
      </c>
      <c r="AL7489">
        <v>89.388735256454595</v>
      </c>
      <c r="AM7489">
        <v>77.479064151006696</v>
      </c>
      <c r="AN7489">
        <v>1.00000000030275</v>
      </c>
    </row>
    <row r="7490" spans="1:40" x14ac:dyDescent="0.25">
      <c r="A7490" t="str">
        <f>"20190312155022759"</f>
        <v>20190312155022759</v>
      </c>
      <c r="B7490" t="str">
        <f>"1552377022752928"</f>
        <v>1552377022752928</v>
      </c>
      <c r="C7490" t="s">
        <v>40</v>
      </c>
      <c r="D7490">
        <v>4.9238030000000004</v>
      </c>
      <c r="E7490">
        <v>0.64333750000000001</v>
      </c>
      <c r="F7490" t="s">
        <v>63</v>
      </c>
      <c r="G7490">
        <v>-178.05779999999999</v>
      </c>
      <c r="H7490" s="1">
        <v>-4.3760239999999999E-6</v>
      </c>
      <c r="I7490">
        <v>130.249</v>
      </c>
      <c r="J7490">
        <v>-183.1499</v>
      </c>
      <c r="K7490">
        <v>1.099005</v>
      </c>
      <c r="L7490">
        <v>126.9581</v>
      </c>
      <c r="M7490">
        <v>0.39175480000000001</v>
      </c>
      <c r="N7490">
        <v>0</v>
      </c>
      <c r="O7490">
        <v>0.91993610000000003</v>
      </c>
      <c r="P7490">
        <v>0.58200369999999901</v>
      </c>
      <c r="Q7490">
        <v>1.101805E-3</v>
      </c>
      <c r="R7490">
        <v>0.81318550000000001</v>
      </c>
      <c r="S7490">
        <v>2.6593779999999998</v>
      </c>
      <c r="T7490">
        <v>-0.56327340000000004</v>
      </c>
      <c r="U7490">
        <v>1.7979579999999999</v>
      </c>
      <c r="V7490">
        <v>0.21721499999999999</v>
      </c>
      <c r="W7490">
        <v>1.0793779999999999E-2</v>
      </c>
      <c r="X7490">
        <v>0.97606409999999999</v>
      </c>
      <c r="Y7490">
        <v>0.52869460000000001</v>
      </c>
      <c r="Z7490">
        <v>-0.17882000000000001</v>
      </c>
      <c r="AA7490">
        <v>0.82976229999999995</v>
      </c>
      <c r="AB7490">
        <v>36</v>
      </c>
      <c r="AC7490">
        <v>5.0921000000000101</v>
      </c>
      <c r="AD7490">
        <v>-1.0990093760240001</v>
      </c>
      <c r="AE7490">
        <v>3.2908999999999899</v>
      </c>
      <c r="AF7490">
        <v>3.2875767893946501</v>
      </c>
      <c r="AG7490">
        <v>-1.0990093760240001</v>
      </c>
      <c r="AH7490">
        <v>4.8631007256637098</v>
      </c>
      <c r="AI7490">
        <v>100.60426848095101</v>
      </c>
      <c r="AJ7490">
        <v>55.940330614066397</v>
      </c>
      <c r="AK7490">
        <v>5.9720793215350003</v>
      </c>
      <c r="AL7490">
        <v>89.3815499484528</v>
      </c>
      <c r="AM7490">
        <v>77.453748135451605</v>
      </c>
      <c r="AN7490">
        <v>0.99999999461024902</v>
      </c>
    </row>
    <row r="7491" spans="1:40" x14ac:dyDescent="0.25">
      <c r="A7491" t="str">
        <f>"20190312155022772"</f>
        <v>20190312155022772</v>
      </c>
      <c r="B7491" t="str">
        <f>"1552377022763664"</f>
        <v>1552377022763664</v>
      </c>
      <c r="C7491" t="s">
        <v>40</v>
      </c>
      <c r="D7491">
        <v>4.9010040000000004</v>
      </c>
      <c r="E7491">
        <v>0.64288630000000002</v>
      </c>
      <c r="F7491" t="s">
        <v>63</v>
      </c>
      <c r="G7491">
        <v>-177.95150000000001</v>
      </c>
      <c r="H7491" s="1">
        <v>-4.3705230000000003E-6</v>
      </c>
      <c r="I7491">
        <v>130.4256</v>
      </c>
      <c r="J7491">
        <v>-183.06630000000001</v>
      </c>
      <c r="K7491">
        <v>1.098779</v>
      </c>
      <c r="L7491">
        <v>127.1407</v>
      </c>
      <c r="M7491">
        <v>0.39796510000000002</v>
      </c>
      <c r="N7491">
        <v>0</v>
      </c>
      <c r="O7491">
        <v>0.91726600000000003</v>
      </c>
      <c r="P7491">
        <v>0.58826199999999995</v>
      </c>
      <c r="Q7491">
        <v>1.439545E-3</v>
      </c>
      <c r="R7491">
        <v>0.80866910000000003</v>
      </c>
      <c r="S7491">
        <v>2.6686100000000001</v>
      </c>
      <c r="T7491">
        <v>-0.56417609999999996</v>
      </c>
      <c r="U7491">
        <v>1.7800450000000001</v>
      </c>
      <c r="V7491">
        <v>0.21816440000000001</v>
      </c>
      <c r="W7491">
        <v>1.1025979999999999E-2</v>
      </c>
      <c r="X7491">
        <v>0.97584970000000004</v>
      </c>
      <c r="Y7491">
        <v>0.5281228</v>
      </c>
      <c r="Z7491">
        <v>-0.17905589999999999</v>
      </c>
      <c r="AA7491">
        <v>0.83007549999999997</v>
      </c>
      <c r="AB7491">
        <v>36</v>
      </c>
      <c r="AC7491">
        <v>5.1147999999999998</v>
      </c>
      <c r="AD7491">
        <v>-1.0987833705229999</v>
      </c>
      <c r="AE7491">
        <v>3.2848999999999999</v>
      </c>
      <c r="AF7491">
        <v>3.2776826300644202</v>
      </c>
      <c r="AG7491">
        <v>-1.0987833705229999</v>
      </c>
      <c r="AH7491">
        <v>4.8895073228113599</v>
      </c>
      <c r="AI7491">
        <v>100.57330079688499</v>
      </c>
      <c r="AJ7491">
        <v>56.164065218630803</v>
      </c>
      <c r="AK7491">
        <v>5.98813912485255</v>
      </c>
      <c r="AL7491">
        <v>89.368245052959907</v>
      </c>
      <c r="AM7491">
        <v>77.397978588248804</v>
      </c>
      <c r="AN7491">
        <v>0.99999995732620395</v>
      </c>
    </row>
    <row r="7492" spans="1:40" x14ac:dyDescent="0.25">
      <c r="A7492" t="str">
        <f>"20190312155022790"</f>
        <v>20190312155022790</v>
      </c>
      <c r="B7492" t="str">
        <f>"1552377022783183"</f>
        <v>1552377022783183</v>
      </c>
      <c r="C7492" t="s">
        <v>40</v>
      </c>
      <c r="D7492">
        <v>4.8870800000000001</v>
      </c>
      <c r="E7492">
        <v>0.64238600000000001</v>
      </c>
      <c r="F7492" t="s">
        <v>63</v>
      </c>
      <c r="G7492">
        <v>-177.83930000000001</v>
      </c>
      <c r="H7492" s="1">
        <v>-4.3513979999999999E-6</v>
      </c>
      <c r="I7492">
        <v>130.57689999999999</v>
      </c>
      <c r="J7492">
        <v>-182.9486</v>
      </c>
      <c r="K7492">
        <v>1.098476</v>
      </c>
      <c r="L7492">
        <v>127.39279999999999</v>
      </c>
      <c r="M7492">
        <v>0.40672989999999998</v>
      </c>
      <c r="N7492">
        <v>0</v>
      </c>
      <c r="O7492">
        <v>0.91341229999999995</v>
      </c>
      <c r="P7492">
        <v>0.59730799999999995</v>
      </c>
      <c r="Q7492">
        <v>2.1201000000000002E-3</v>
      </c>
      <c r="R7492">
        <v>0.80200909999999903</v>
      </c>
      <c r="S7492">
        <v>2.679611</v>
      </c>
      <c r="T7492">
        <v>-0.56328579999999995</v>
      </c>
      <c r="U7492">
        <v>1.7615510000000001</v>
      </c>
      <c r="V7492">
        <v>0.2198088</v>
      </c>
      <c r="W7492">
        <v>1.15519E-2</v>
      </c>
      <c r="X7492">
        <v>0.97547459999999997</v>
      </c>
      <c r="Y7492">
        <v>0.52567580000000003</v>
      </c>
      <c r="Z7492">
        <v>-0.1785062</v>
      </c>
      <c r="AA7492">
        <v>0.83174539999999997</v>
      </c>
      <c r="AB7492">
        <v>36</v>
      </c>
      <c r="AC7492">
        <v>5.1092999999999904</v>
      </c>
      <c r="AD7492">
        <v>-1.0984803513979999</v>
      </c>
      <c r="AE7492">
        <v>3.1840999999999999</v>
      </c>
      <c r="AF7492">
        <v>3.26359289220524</v>
      </c>
      <c r="AG7492">
        <v>-1.0984803513979999</v>
      </c>
      <c r="AH7492">
        <v>4.82643420846565</v>
      </c>
      <c r="AI7492">
        <v>100.67715181625</v>
      </c>
      <c r="AJ7492">
        <v>55.933783821414799</v>
      </c>
      <c r="AK7492">
        <v>5.9289261099382502</v>
      </c>
      <c r="AL7492">
        <v>89.338110179563799</v>
      </c>
      <c r="AM7492">
        <v>77.301335698936597</v>
      </c>
      <c r="AN7492">
        <v>1.0000000250981</v>
      </c>
    </row>
    <row r="7493" spans="1:40" x14ac:dyDescent="0.25">
      <c r="A7493" t="str">
        <f>"20190312155022804"</f>
        <v>20190312155022804</v>
      </c>
      <c r="B7493" t="str">
        <f>"1552377022792943"</f>
        <v>1552377022792943</v>
      </c>
      <c r="C7493" t="s">
        <v>40</v>
      </c>
      <c r="D7493">
        <v>4.8989330000000004</v>
      </c>
      <c r="E7493">
        <v>0.63124590000000003</v>
      </c>
      <c r="F7493" t="s">
        <v>63</v>
      </c>
      <c r="G7493">
        <v>-177.68520000000001</v>
      </c>
      <c r="H7493" s="1">
        <v>-4.322678E-6</v>
      </c>
      <c r="I7493">
        <v>130.7782</v>
      </c>
      <c r="J7493">
        <v>-182.84039999999999</v>
      </c>
      <c r="K7493">
        <v>1.0981970000000001</v>
      </c>
      <c r="L7493">
        <v>127.61920000000001</v>
      </c>
      <c r="M7493">
        <v>0.4147959</v>
      </c>
      <c r="N7493">
        <v>0</v>
      </c>
      <c r="O7493">
        <v>0.9097769</v>
      </c>
      <c r="P7493">
        <v>0.60459110000000005</v>
      </c>
      <c r="Q7493">
        <v>2.0603570000000001E-3</v>
      </c>
      <c r="R7493">
        <v>0.7965333</v>
      </c>
      <c r="S7493">
        <v>2.696091</v>
      </c>
      <c r="T7493">
        <v>-0.56268070000000003</v>
      </c>
      <c r="U7493">
        <v>1.7341310000000001</v>
      </c>
      <c r="V7493">
        <v>0.22007299999999999</v>
      </c>
      <c r="W7493">
        <v>1.1390259999999999E-2</v>
      </c>
      <c r="X7493">
        <v>0.97541690000000003</v>
      </c>
      <c r="Y7493">
        <v>0.52652900000000002</v>
      </c>
      <c r="Z7493">
        <v>-0.1782019</v>
      </c>
      <c r="AA7493">
        <v>0.83127090000000003</v>
      </c>
      <c r="AB7493">
        <v>36</v>
      </c>
      <c r="AC7493">
        <v>5.1551999999999696</v>
      </c>
      <c r="AD7493">
        <v>-1.0982013226780001</v>
      </c>
      <c r="AE7493">
        <v>3.15899999999999</v>
      </c>
      <c r="AF7493">
        <v>3.2722070908003502</v>
      </c>
      <c r="AG7493">
        <v>-1.0982013226780001</v>
      </c>
      <c r="AH7493">
        <v>4.8528614725789598</v>
      </c>
      <c r="AI7493">
        <v>100.626879124533</v>
      </c>
      <c r="AJ7493">
        <v>56.008840305232503</v>
      </c>
      <c r="AK7493">
        <v>5.95513642683835</v>
      </c>
      <c r="AL7493">
        <v>89.347372059588906</v>
      </c>
      <c r="AM7493">
        <v>77.285840688926399</v>
      </c>
      <c r="AN7493">
        <v>0.99999999607873802</v>
      </c>
    </row>
    <row r="7494" spans="1:40" x14ac:dyDescent="0.25">
      <c r="A7494" t="str">
        <f>"20190312155022821"</f>
        <v>20190312155022821</v>
      </c>
      <c r="B7494" t="str">
        <f>"1552377022813439"</f>
        <v>1552377022813439</v>
      </c>
      <c r="C7494" t="s">
        <v>40</v>
      </c>
      <c r="D7494">
        <v>4.8734460000000004</v>
      </c>
      <c r="E7494">
        <v>0.62969750000000002</v>
      </c>
      <c r="F7494" t="s">
        <v>63</v>
      </c>
      <c r="G7494">
        <v>-177.83179999999999</v>
      </c>
      <c r="H7494" s="1">
        <v>-4.4929650000000001E-6</v>
      </c>
      <c r="I7494">
        <v>130.9633</v>
      </c>
      <c r="J7494">
        <v>-182.7311</v>
      </c>
      <c r="K7494">
        <v>1.097926</v>
      </c>
      <c r="L7494">
        <v>127.8409</v>
      </c>
      <c r="M7494">
        <v>0.42294900000000002</v>
      </c>
      <c r="N7494">
        <v>0</v>
      </c>
      <c r="O7494">
        <v>0.90601430000000005</v>
      </c>
      <c r="P7494">
        <v>0.61235550000000005</v>
      </c>
      <c r="Q7494">
        <v>2.0002900000000001E-3</v>
      </c>
      <c r="R7494">
        <v>0.79057999999999995</v>
      </c>
      <c r="S7494">
        <v>2.6408999999999998</v>
      </c>
      <c r="T7494">
        <v>-0.5790592</v>
      </c>
      <c r="U7494">
        <v>1.76329</v>
      </c>
      <c r="V7494">
        <v>0.22086339999999999</v>
      </c>
      <c r="W7494">
        <v>1.1220050000000001E-2</v>
      </c>
      <c r="X7494">
        <v>0.9752402</v>
      </c>
      <c r="Y7494">
        <v>0.50358740000000002</v>
      </c>
      <c r="Z7494">
        <v>-0.1835888</v>
      </c>
      <c r="AA7494">
        <v>0.84421259999999998</v>
      </c>
      <c r="AB7494">
        <v>36</v>
      </c>
      <c r="AC7494">
        <v>4.89930000000001</v>
      </c>
      <c r="AD7494">
        <v>-1.097930492965</v>
      </c>
      <c r="AE7494">
        <v>3.1223999999999901</v>
      </c>
      <c r="AF7494">
        <v>3.0110744892690402</v>
      </c>
      <c r="AG7494">
        <v>-1.097930492965</v>
      </c>
      <c r="AH7494">
        <v>4.7326862193190804</v>
      </c>
      <c r="AI7494">
        <v>101.074605473492</v>
      </c>
      <c r="AJ7494">
        <v>57.534279113813398</v>
      </c>
      <c r="AK7494">
        <v>5.7157973895023604</v>
      </c>
      <c r="AL7494">
        <v>89.357124993201197</v>
      </c>
      <c r="AM7494">
        <v>77.239433396987394</v>
      </c>
      <c r="AN7494">
        <v>0.99999998933880097</v>
      </c>
    </row>
    <row r="7495" spans="1:40" x14ac:dyDescent="0.25">
      <c r="A7495" t="str">
        <f>"20190312155022835"</f>
        <v>20190312155022835</v>
      </c>
      <c r="B7495" t="str">
        <f>"1552377022823199"</f>
        <v>1552377022823199</v>
      </c>
      <c r="C7495" t="s">
        <v>40</v>
      </c>
      <c r="D7495">
        <v>4.868544</v>
      </c>
      <c r="E7495">
        <v>0.62905199999999994</v>
      </c>
      <c r="F7495" t="s">
        <v>63</v>
      </c>
      <c r="G7495">
        <v>-177.66829999999999</v>
      </c>
      <c r="H7495" s="1">
        <v>-4.4620739999999997E-6</v>
      </c>
      <c r="I7495">
        <v>131.17580000000001</v>
      </c>
      <c r="J7495">
        <v>-182.6181</v>
      </c>
      <c r="K7495">
        <v>1.0976520000000001</v>
      </c>
      <c r="L7495">
        <v>128.06530000000001</v>
      </c>
      <c r="M7495">
        <v>0.43136950000000002</v>
      </c>
      <c r="N7495">
        <v>0</v>
      </c>
      <c r="O7495">
        <v>0.90203460000000002</v>
      </c>
      <c r="P7495">
        <v>0.62090990000000001</v>
      </c>
      <c r="Q7495">
        <v>6.9889850000000005E-4</v>
      </c>
      <c r="R7495">
        <v>0.78388169999999902</v>
      </c>
      <c r="S7495">
        <v>2.6485599999999998</v>
      </c>
      <c r="T7495">
        <v>-0.57437479999999996</v>
      </c>
      <c r="U7495">
        <v>1.7446440000000001</v>
      </c>
      <c r="V7495">
        <v>0.2223455</v>
      </c>
      <c r="W7495">
        <v>9.7853220000000008E-3</v>
      </c>
      <c r="X7495">
        <v>0.97491879999999997</v>
      </c>
      <c r="Y7495">
        <v>0.50109590000000004</v>
      </c>
      <c r="Z7495">
        <v>-0.1819518</v>
      </c>
      <c r="AA7495">
        <v>0.84604760000000001</v>
      </c>
      <c r="AB7495">
        <v>36</v>
      </c>
      <c r="AC7495">
        <v>4.9497999999999998</v>
      </c>
      <c r="AD7495">
        <v>-1.0976564620739999</v>
      </c>
      <c r="AE7495">
        <v>3.1105</v>
      </c>
      <c r="AF7495">
        <v>3.01714459302418</v>
      </c>
      <c r="AG7495">
        <v>-1.0976564620739999</v>
      </c>
      <c r="AH7495">
        <v>4.7733177081682197</v>
      </c>
      <c r="AI7495">
        <v>101.000059618197</v>
      </c>
      <c r="AJ7495">
        <v>57.703615781684</v>
      </c>
      <c r="AK7495">
        <v>5.7526144618825397</v>
      </c>
      <c r="AL7495">
        <v>89.439333383757003</v>
      </c>
      <c r="AM7495">
        <v>77.152541041022999</v>
      </c>
      <c r="AN7495">
        <v>0.99999997024516596</v>
      </c>
    </row>
    <row r="7496" spans="1:40" x14ac:dyDescent="0.25">
      <c r="A7496" t="str">
        <f>"20190312155022858"</f>
        <v>20190312155022858</v>
      </c>
      <c r="B7496" t="str">
        <f>"1552377022854432"</f>
        <v>1552377022854432</v>
      </c>
      <c r="C7496" t="s">
        <v>40</v>
      </c>
      <c r="D7496">
        <v>4.8717839999999999</v>
      </c>
      <c r="E7496">
        <v>0.64937440000000002</v>
      </c>
      <c r="F7496" t="s">
        <v>63</v>
      </c>
      <c r="G7496">
        <v>-177.55840000000001</v>
      </c>
      <c r="H7496" s="1">
        <v>-4.446519E-6</v>
      </c>
      <c r="I7496">
        <v>131.33250000000001</v>
      </c>
      <c r="J7496">
        <v>-182.45189999999999</v>
      </c>
      <c r="K7496">
        <v>1.0972770000000001</v>
      </c>
      <c r="L7496">
        <v>128.38640000000001</v>
      </c>
      <c r="M7496">
        <v>0.44371450000000001</v>
      </c>
      <c r="N7496">
        <v>0</v>
      </c>
      <c r="O7496">
        <v>0.89602510000000002</v>
      </c>
      <c r="P7496">
        <v>0.63386140000000002</v>
      </c>
      <c r="Q7496" s="1">
        <v>3.3174640000000002E-5</v>
      </c>
      <c r="R7496">
        <v>0.77344679999999999</v>
      </c>
      <c r="S7496">
        <v>2.6621090000000001</v>
      </c>
      <c r="T7496">
        <v>-0.57751739999999996</v>
      </c>
      <c r="U7496">
        <v>1.7189639999999999</v>
      </c>
      <c r="V7496">
        <v>0.2251619</v>
      </c>
      <c r="W7496">
        <v>8.9079789999999999E-3</v>
      </c>
      <c r="X7496">
        <v>0.9742807</v>
      </c>
      <c r="Y7496">
        <v>0.49687999999999999</v>
      </c>
      <c r="Z7496">
        <v>-0.1823998</v>
      </c>
      <c r="AA7496">
        <v>0.84843419999999903</v>
      </c>
      <c r="AB7496">
        <v>36</v>
      </c>
      <c r="AC7496">
        <v>4.89349999999998</v>
      </c>
      <c r="AD7496">
        <v>-1.0972814465189999</v>
      </c>
      <c r="AE7496">
        <v>2.9460999999999999</v>
      </c>
      <c r="AF7496">
        <v>2.9683230400277099</v>
      </c>
      <c r="AG7496">
        <v>-1.0972814465189999</v>
      </c>
      <c r="AH7496">
        <v>4.6404615836820096</v>
      </c>
      <c r="AI7496">
        <v>101.26550776853701</v>
      </c>
      <c r="AJ7496">
        <v>57.394531817349304</v>
      </c>
      <c r="AK7496">
        <v>5.6168364719353097</v>
      </c>
      <c r="AL7496">
        <v>89.489603678513205</v>
      </c>
      <c r="AM7496">
        <v>76.9870767457695</v>
      </c>
      <c r="AN7496">
        <v>1.0000000578469801</v>
      </c>
    </row>
    <row r="7497" spans="1:40" x14ac:dyDescent="0.25">
      <c r="A7497" t="str">
        <f>"20190312155022872"</f>
        <v>20190312155022872</v>
      </c>
      <c r="B7497" t="str">
        <f>"1552377022863215"</f>
        <v>1552377022863215</v>
      </c>
      <c r="C7497" t="s">
        <v>40</v>
      </c>
      <c r="D7497">
        <v>4.8197979999999996</v>
      </c>
      <c r="E7497">
        <v>0.65516229999999998</v>
      </c>
      <c r="F7497" t="s">
        <v>63</v>
      </c>
      <c r="G7497">
        <v>-177.56190000000001</v>
      </c>
      <c r="H7497" s="1">
        <v>-4.3677160000000001E-6</v>
      </c>
      <c r="I7497">
        <v>131.11850000000001</v>
      </c>
      <c r="J7497">
        <v>-182.3389</v>
      </c>
      <c r="K7497">
        <v>1.09704</v>
      </c>
      <c r="L7497">
        <v>128.59829999999999</v>
      </c>
      <c r="M7497">
        <v>0.45206089999999999</v>
      </c>
      <c r="N7497">
        <v>0</v>
      </c>
      <c r="O7497">
        <v>0.89184240000000004</v>
      </c>
      <c r="P7497">
        <v>0.64243189999999994</v>
      </c>
      <c r="Q7497" s="1">
        <v>-6.016204E-5</v>
      </c>
      <c r="R7497">
        <v>0.76634279999999999</v>
      </c>
      <c r="S7497">
        <v>2.8142849999999999</v>
      </c>
      <c r="T7497">
        <v>-0.6315134</v>
      </c>
      <c r="U7497">
        <v>1.572357</v>
      </c>
      <c r="V7497">
        <v>0.22691310000000001</v>
      </c>
      <c r="W7497">
        <v>8.681968E-3</v>
      </c>
      <c r="X7497">
        <v>0.97387630000000003</v>
      </c>
      <c r="Y7497">
        <v>0.53952429999999996</v>
      </c>
      <c r="Z7497">
        <v>-0.197711</v>
      </c>
      <c r="AA7497">
        <v>0.81842769999999898</v>
      </c>
      <c r="AB7497">
        <v>36</v>
      </c>
      <c r="AC7497">
        <v>4.7769999999999797</v>
      </c>
      <c r="AD7497">
        <v>-1.097044367716</v>
      </c>
      <c r="AE7497">
        <v>2.5202000000000102</v>
      </c>
      <c r="AF7497">
        <v>2.9977717531373802</v>
      </c>
      <c r="AG7497">
        <v>-1.097044367716</v>
      </c>
      <c r="AH7497">
        <v>4.2330433167105301</v>
      </c>
      <c r="AI7497">
        <v>101.94193358580701</v>
      </c>
      <c r="AJ7497">
        <v>54.694500661954102</v>
      </c>
      <c r="AK7497">
        <v>5.3017730571756303</v>
      </c>
      <c r="AL7497">
        <v>89.502553621130602</v>
      </c>
      <c r="AM7497">
        <v>76.884095845992405</v>
      </c>
      <c r="AN7497">
        <v>0.99999998961082603</v>
      </c>
    </row>
    <row r="7498" spans="1:40" x14ac:dyDescent="0.25">
      <c r="A7498" t="str">
        <f>"20190312155022889"</f>
        <v>20190312155022889</v>
      </c>
      <c r="B7498" t="str">
        <f>"1552377022883711"</f>
        <v>1552377022883711</v>
      </c>
      <c r="C7498" t="s">
        <v>40</v>
      </c>
      <c r="D7498">
        <v>4.7844660000000001</v>
      </c>
      <c r="E7498">
        <v>0.65973959999999998</v>
      </c>
      <c r="F7498" t="s">
        <v>63</v>
      </c>
      <c r="G7498">
        <v>-177.41329999999999</v>
      </c>
      <c r="H7498" s="1">
        <v>-4.2956809999999999E-6</v>
      </c>
      <c r="I7498">
        <v>131.19579999999999</v>
      </c>
      <c r="J7498">
        <v>-182.21289999999999</v>
      </c>
      <c r="K7498">
        <v>1.0967910000000001</v>
      </c>
      <c r="L7498">
        <v>128.82929999999999</v>
      </c>
      <c r="M7498">
        <v>0.4613121</v>
      </c>
      <c r="N7498">
        <v>0</v>
      </c>
      <c r="O7498">
        <v>0.88709150000000003</v>
      </c>
      <c r="P7498">
        <v>0.65435109999999996</v>
      </c>
      <c r="Q7498">
        <v>1.2864309999999999E-4</v>
      </c>
      <c r="R7498">
        <v>0.7561909</v>
      </c>
      <c r="S7498">
        <v>2.8664700000000001</v>
      </c>
      <c r="T7498">
        <v>-0.63842650000000001</v>
      </c>
      <c r="U7498">
        <v>1.5116270000000001</v>
      </c>
      <c r="V7498">
        <v>0.23203850000000001</v>
      </c>
      <c r="W7498">
        <v>8.6156889999999993E-3</v>
      </c>
      <c r="X7498">
        <v>0.97266850000000005</v>
      </c>
      <c r="Y7498">
        <v>0.55035219999999996</v>
      </c>
      <c r="Z7498">
        <v>-0.19907710000000001</v>
      </c>
      <c r="AA7498">
        <v>0.81085200000000002</v>
      </c>
      <c r="AB7498">
        <v>36</v>
      </c>
      <c r="AC7498">
        <v>4.7995999999999901</v>
      </c>
      <c r="AD7498">
        <v>-1.0967952956810001</v>
      </c>
      <c r="AE7498">
        <v>2.3664999999999998</v>
      </c>
      <c r="AF7498">
        <v>3.03874903059118</v>
      </c>
      <c r="AG7498">
        <v>-1.0967952956810001</v>
      </c>
      <c r="AH7498">
        <v>4.1400605903349703</v>
      </c>
      <c r="AI7498">
        <v>102.055450713685</v>
      </c>
      <c r="AJ7498">
        <v>53.721829594947401</v>
      </c>
      <c r="AK7498">
        <v>5.2513862249116299</v>
      </c>
      <c r="AL7498">
        <v>89.506351301589206</v>
      </c>
      <c r="AM7498">
        <v>76.582376886749799</v>
      </c>
      <c r="AN7498">
        <v>1.0000000532357201</v>
      </c>
    </row>
    <row r="7499" spans="1:40" x14ac:dyDescent="0.25">
      <c r="A7499" t="str">
        <f>"20190312155022902"</f>
        <v>20190312155022902</v>
      </c>
      <c r="B7499" t="str">
        <f>"1552377022893471"</f>
        <v>1552377022893471</v>
      </c>
      <c r="C7499" t="s">
        <v>40</v>
      </c>
      <c r="D7499">
        <v>4.8000550000000004</v>
      </c>
      <c r="E7499">
        <v>0.66066510000000001</v>
      </c>
      <c r="F7499" t="s">
        <v>63</v>
      </c>
      <c r="G7499">
        <v>-177.12520000000001</v>
      </c>
      <c r="H7499" s="1">
        <v>-4.1573169999999998E-6</v>
      </c>
      <c r="I7499">
        <v>131.34899999999999</v>
      </c>
      <c r="J7499">
        <v>-182.10929999999999</v>
      </c>
      <c r="K7499">
        <v>1.096597</v>
      </c>
      <c r="L7499">
        <v>129.01480000000001</v>
      </c>
      <c r="M7499">
        <v>0.4688716</v>
      </c>
      <c r="N7499">
        <v>0</v>
      </c>
      <c r="O7499">
        <v>0.88311830000000002</v>
      </c>
      <c r="P7499">
        <v>0.6625607</v>
      </c>
      <c r="Q7499">
        <v>-1.9088849999999999E-4</v>
      </c>
      <c r="R7499">
        <v>0.74900819999999901</v>
      </c>
      <c r="S7499">
        <v>2.9158940000000002</v>
      </c>
      <c r="T7499">
        <v>-0.62860479999999996</v>
      </c>
      <c r="U7499">
        <v>1.4441219999999999</v>
      </c>
      <c r="V7499">
        <v>0.2343343</v>
      </c>
      <c r="W7499">
        <v>8.1555580000000003E-3</v>
      </c>
      <c r="X7499">
        <v>0.97212180000000004</v>
      </c>
      <c r="Y7499">
        <v>0.56448569999999998</v>
      </c>
      <c r="Z7499">
        <v>-0.19587289999999999</v>
      </c>
      <c r="AA7499">
        <v>0.80186639999999998</v>
      </c>
      <c r="AB7499">
        <v>36</v>
      </c>
      <c r="AC7499">
        <v>4.9840999999999802</v>
      </c>
      <c r="AD7499">
        <v>-1.096601157317</v>
      </c>
      <c r="AE7499">
        <v>2.3341999999999801</v>
      </c>
      <c r="AF7499">
        <v>3.1812436423599801</v>
      </c>
      <c r="AG7499">
        <v>-1.096601157317</v>
      </c>
      <c r="AH7499">
        <v>4.2308824371020597</v>
      </c>
      <c r="AI7499">
        <v>101.703934558656</v>
      </c>
      <c r="AJ7499">
        <v>53.060121007920699</v>
      </c>
      <c r="AK7499">
        <v>5.4058497395750402</v>
      </c>
      <c r="AL7499">
        <v>89.532715736772801</v>
      </c>
      <c r="AM7499">
        <v>76.447154487485903</v>
      </c>
      <c r="AN7499">
        <v>0.99999993565900802</v>
      </c>
    </row>
    <row r="7500" spans="1:40" x14ac:dyDescent="0.25">
      <c r="A7500" t="str">
        <f>"20190312155022922"</f>
        <v>20190312155022922</v>
      </c>
      <c r="B7500" t="str">
        <f>"1552377022912991"</f>
        <v>1552377022912991</v>
      </c>
      <c r="C7500" t="s">
        <v>40</v>
      </c>
      <c r="D7500">
        <v>4.7612839999999998</v>
      </c>
      <c r="E7500">
        <v>0.66072339999999996</v>
      </c>
      <c r="F7500" t="s">
        <v>63</v>
      </c>
      <c r="G7500">
        <v>-176.99799999999999</v>
      </c>
      <c r="H7500" s="1">
        <v>-4.1144979999999997E-6</v>
      </c>
      <c r="I7500">
        <v>131.4649</v>
      </c>
      <c r="J7500">
        <v>-181.9496</v>
      </c>
      <c r="K7500">
        <v>1.0963270000000001</v>
      </c>
      <c r="L7500">
        <v>129.29320000000001</v>
      </c>
      <c r="M7500">
        <v>0.48041970000000001</v>
      </c>
      <c r="N7500">
        <v>0</v>
      </c>
      <c r="O7500">
        <v>0.87688849999999996</v>
      </c>
      <c r="P7500">
        <v>0.67548629999999998</v>
      </c>
      <c r="Q7500">
        <v>-2.245655E-3</v>
      </c>
      <c r="R7500">
        <v>0.7373691</v>
      </c>
      <c r="S7500">
        <v>2.9364620000000001</v>
      </c>
      <c r="T7500">
        <v>-0.62999749999999999</v>
      </c>
      <c r="U7500">
        <v>1.407578</v>
      </c>
      <c r="V7500">
        <v>0.23842250000000001</v>
      </c>
      <c r="W7500">
        <v>5.8667959999999996E-3</v>
      </c>
      <c r="X7500">
        <v>0.9711438</v>
      </c>
      <c r="Y7500">
        <v>0.56407859999999999</v>
      </c>
      <c r="Z7500">
        <v>-0.19564880000000001</v>
      </c>
      <c r="AA7500">
        <v>0.80220749999999996</v>
      </c>
      <c r="AB7500">
        <v>36</v>
      </c>
      <c r="AC7500">
        <v>4.9516000000000098</v>
      </c>
      <c r="AD7500">
        <v>-1.0963311144979999</v>
      </c>
      <c r="AE7500">
        <v>2.17169999999998</v>
      </c>
      <c r="AF7500">
        <v>3.16882627483978</v>
      </c>
      <c r="AG7500">
        <v>-1.0963311144979999</v>
      </c>
      <c r="AH7500">
        <v>4.1145837659609903</v>
      </c>
      <c r="AI7500">
        <v>101.920206201098</v>
      </c>
      <c r="AJ7500">
        <v>52.398512242175002</v>
      </c>
      <c r="AK7500">
        <v>5.3078433887824099</v>
      </c>
      <c r="AL7500">
        <v>89.663855419603607</v>
      </c>
      <c r="AM7500">
        <v>76.2063041092417</v>
      </c>
      <c r="AN7500">
        <v>0.99999999403999695</v>
      </c>
    </row>
    <row r="7501" spans="1:40" x14ac:dyDescent="0.25">
      <c r="A7501" t="str">
        <f>"20190312155022935"</f>
        <v>20190312155022935</v>
      </c>
      <c r="B7501" t="str">
        <f>"1552377022923727"</f>
        <v>1552377022923727</v>
      </c>
      <c r="C7501" t="s">
        <v>40</v>
      </c>
      <c r="D7501">
        <v>4.8108259999999996</v>
      </c>
      <c r="E7501">
        <v>0.66121700000000005</v>
      </c>
      <c r="F7501" t="s">
        <v>63</v>
      </c>
      <c r="G7501">
        <v>-176.7987</v>
      </c>
      <c r="H7501" s="1">
        <v>-4.0491400000000002E-6</v>
      </c>
      <c r="I7501">
        <v>131.65090000000001</v>
      </c>
      <c r="J7501">
        <v>-181.84219999999999</v>
      </c>
      <c r="K7501">
        <v>1.096155</v>
      </c>
      <c r="L7501">
        <v>129.4753</v>
      </c>
      <c r="M7501">
        <v>0.48811480000000002</v>
      </c>
      <c r="N7501">
        <v>0</v>
      </c>
      <c r="O7501">
        <v>0.87262759999999995</v>
      </c>
      <c r="P7501">
        <v>0.6832435</v>
      </c>
      <c r="Q7501">
        <v>-3.5945719999999999E-3</v>
      </c>
      <c r="R7501">
        <v>0.73018179999999999</v>
      </c>
      <c r="S7501">
        <v>2.960159</v>
      </c>
      <c r="T7501">
        <v>-0.63004469999999901</v>
      </c>
      <c r="U7501">
        <v>1.354919</v>
      </c>
      <c r="V7501">
        <v>0.2401065</v>
      </c>
      <c r="W7501">
        <v>4.4024490000000001E-3</v>
      </c>
      <c r="X7501">
        <v>0.97073659999999995</v>
      </c>
      <c r="Y7501">
        <v>0.57105169999999905</v>
      </c>
      <c r="Z7501">
        <v>-0.19582250000000001</v>
      </c>
      <c r="AA7501">
        <v>0.79721619999999904</v>
      </c>
      <c r="AB7501">
        <v>36</v>
      </c>
      <c r="AC7501">
        <v>5.0434999999999901</v>
      </c>
      <c r="AD7501">
        <v>-1.09615904914</v>
      </c>
      <c r="AE7501">
        <v>2.1756000000000002</v>
      </c>
      <c r="AF7501">
        <v>3.2116876435533901</v>
      </c>
      <c r="AG7501">
        <v>-1.09615904914</v>
      </c>
      <c r="AH7501">
        <v>4.1938480199641903</v>
      </c>
      <c r="AI7501">
        <v>101.723247930217</v>
      </c>
      <c r="AJ7501">
        <v>52.5547732561866</v>
      </c>
      <c r="AK7501">
        <v>5.3948923432560401</v>
      </c>
      <c r="AL7501">
        <v>89.747757445466604</v>
      </c>
      <c r="AM7501">
        <v>76.1070369233598</v>
      </c>
      <c r="AN7501">
        <v>1.0000000297395</v>
      </c>
    </row>
    <row r="7502" spans="1:40" x14ac:dyDescent="0.25">
      <c r="A7502" t="str">
        <f>"20190312155022951"</f>
        <v>20190312155022951</v>
      </c>
      <c r="B7502" t="str">
        <f>"1552377022943031"</f>
        <v>1552377022943031</v>
      </c>
      <c r="C7502" t="s">
        <v>40</v>
      </c>
      <c r="D7502">
        <v>4.9002290000000004</v>
      </c>
      <c r="E7502">
        <v>0.66119519999999998</v>
      </c>
      <c r="F7502" t="s">
        <v>63</v>
      </c>
      <c r="G7502">
        <v>-176.6309</v>
      </c>
      <c r="H7502" s="1">
        <v>-3.9857060000000004E-6</v>
      </c>
      <c r="I7502">
        <v>131.78540000000001</v>
      </c>
      <c r="J7502">
        <v>-181.70849999999999</v>
      </c>
      <c r="K7502">
        <v>1.095947</v>
      </c>
      <c r="L7502">
        <v>129.69759999999999</v>
      </c>
      <c r="M7502">
        <v>0.49760650000000001</v>
      </c>
      <c r="N7502">
        <v>0</v>
      </c>
      <c r="O7502">
        <v>0.86724920000000005</v>
      </c>
      <c r="P7502">
        <v>0.69222609999999996</v>
      </c>
      <c r="Q7502">
        <v>-4.7947700000000003E-3</v>
      </c>
      <c r="R7502">
        <v>0.7216648</v>
      </c>
      <c r="S7502">
        <v>2.9771420000000002</v>
      </c>
      <c r="T7502">
        <v>-0.62622359999999999</v>
      </c>
      <c r="U7502">
        <v>1.3197019999999999</v>
      </c>
      <c r="V7502">
        <v>0.24149300000000001</v>
      </c>
      <c r="W7502">
        <v>3.0859099999999999E-3</v>
      </c>
      <c r="X7502">
        <v>0.97039770000000003</v>
      </c>
      <c r="Y7502">
        <v>0.57204200000000005</v>
      </c>
      <c r="Z7502">
        <v>-0.19424269999999999</v>
      </c>
      <c r="AA7502">
        <v>0.79689259999999995</v>
      </c>
      <c r="AB7502">
        <v>35</v>
      </c>
      <c r="AC7502">
        <v>5.0775999999999897</v>
      </c>
      <c r="AD7502">
        <v>-1.0959509857059999</v>
      </c>
      <c r="AE7502">
        <v>2.0878000000000099</v>
      </c>
      <c r="AF7502">
        <v>3.2361312544094698</v>
      </c>
      <c r="AG7502">
        <v>-1.0959509857059999</v>
      </c>
      <c r="AH7502">
        <v>4.1716295171061502</v>
      </c>
      <c r="AI7502">
        <v>101.726859889216</v>
      </c>
      <c r="AJ7502">
        <v>52.1975672230123</v>
      </c>
      <c r="AK7502">
        <v>5.3922302331064396</v>
      </c>
      <c r="AL7502">
        <v>89.8231901082044</v>
      </c>
      <c r="AM7502">
        <v>76.025257545951405</v>
      </c>
      <c r="AN7502">
        <v>1.0000000440273999</v>
      </c>
    </row>
    <row r="7503" spans="1:40" x14ac:dyDescent="0.25">
      <c r="A7503" t="str">
        <f>"20190312155022964"</f>
        <v>20190312155022964</v>
      </c>
      <c r="B7503" t="str">
        <f>"1552377022953767"</f>
        <v>1552377022953767</v>
      </c>
      <c r="C7503" t="s">
        <v>40</v>
      </c>
      <c r="D7503">
        <v>4.84842</v>
      </c>
      <c r="E7503">
        <v>0.66116900000000001</v>
      </c>
      <c r="F7503" t="s">
        <v>63</v>
      </c>
      <c r="G7503">
        <v>-176.41079999999999</v>
      </c>
      <c r="H7503" s="1">
        <v>-3.9041100000000003E-6</v>
      </c>
      <c r="I7503">
        <v>131.9659</v>
      </c>
      <c r="J7503">
        <v>-181.59630000000001</v>
      </c>
      <c r="K7503">
        <v>1.0957840000000001</v>
      </c>
      <c r="L7503">
        <v>129.88050000000001</v>
      </c>
      <c r="M7503">
        <v>0.50549449999999996</v>
      </c>
      <c r="N7503">
        <v>0</v>
      </c>
      <c r="O7503">
        <v>0.86267450000000001</v>
      </c>
      <c r="P7503">
        <v>0.69997390000000004</v>
      </c>
      <c r="Q7503">
        <v>-5.4830950000000003E-3</v>
      </c>
      <c r="R7503">
        <v>0.71414730000000004</v>
      </c>
      <c r="S7503">
        <v>2.9933320000000001</v>
      </c>
      <c r="T7503">
        <v>-0.61924559999999995</v>
      </c>
      <c r="U7503">
        <v>1.2816620000000001</v>
      </c>
      <c r="V7503">
        <v>0.24309649999999999</v>
      </c>
      <c r="W7503">
        <v>2.2848270000000001E-3</v>
      </c>
      <c r="X7503">
        <v>0.96999939999999996</v>
      </c>
      <c r="Y7503">
        <v>0.57518380000000002</v>
      </c>
      <c r="Z7503">
        <v>-0.19198879999999999</v>
      </c>
      <c r="AA7503">
        <v>0.79517539999999998</v>
      </c>
      <c r="AB7503">
        <v>35</v>
      </c>
      <c r="AC7503">
        <v>5.18550000000001</v>
      </c>
      <c r="AD7503">
        <v>-1.09578790411</v>
      </c>
      <c r="AE7503">
        <v>2.0853999999999902</v>
      </c>
      <c r="AF7503">
        <v>3.2931164842227201</v>
      </c>
      <c r="AG7503">
        <v>-1.09578790411</v>
      </c>
      <c r="AH7503">
        <v>4.2572149737319904</v>
      </c>
      <c r="AI7503">
        <v>101.50775870504501</v>
      </c>
      <c r="AJ7503">
        <v>52.276695354836001</v>
      </c>
      <c r="AK7503">
        <v>5.4926538796852196</v>
      </c>
      <c r="AL7503">
        <v>89.869088939772695</v>
      </c>
      <c r="AM7503">
        <v>75.930591610585495</v>
      </c>
      <c r="AN7503">
        <v>0.99999998237351395</v>
      </c>
    </row>
    <row r="7504" spans="1:40" x14ac:dyDescent="0.25">
      <c r="A7504" t="str">
        <f>"20190312155022978"</f>
        <v>20190312155022978</v>
      </c>
      <c r="B7504" t="str">
        <f>"1552377022973288"</f>
        <v>1552377022973288</v>
      </c>
      <c r="C7504" t="s">
        <v>40</v>
      </c>
      <c r="D7504">
        <v>4.8427680000000004</v>
      </c>
      <c r="E7504">
        <v>0.66065739999999995</v>
      </c>
      <c r="F7504" t="s">
        <v>63</v>
      </c>
      <c r="G7504">
        <v>-176.2491</v>
      </c>
      <c r="H7504" s="1">
        <v>-3.845405E-6</v>
      </c>
      <c r="I7504">
        <v>132.1019</v>
      </c>
      <c r="J7504">
        <v>-181.4778</v>
      </c>
      <c r="K7504">
        <v>1.095626</v>
      </c>
      <c r="L7504">
        <v>130.06799999999899</v>
      </c>
      <c r="M7504">
        <v>0.51372739999999995</v>
      </c>
      <c r="N7504">
        <v>0</v>
      </c>
      <c r="O7504">
        <v>0.85779640000000001</v>
      </c>
      <c r="P7504">
        <v>0.7094821</v>
      </c>
      <c r="Q7504">
        <v>-4.2022750000000001E-3</v>
      </c>
      <c r="R7504">
        <v>0.70471099999999998</v>
      </c>
      <c r="S7504">
        <v>3.0066989999999998</v>
      </c>
      <c r="T7504">
        <v>-0.61615940000000002</v>
      </c>
      <c r="U7504">
        <v>1.2490540000000001</v>
      </c>
      <c r="V7504">
        <v>0.24684970000000001</v>
      </c>
      <c r="W7504">
        <v>3.376305E-3</v>
      </c>
      <c r="X7504">
        <v>0.96904789999999996</v>
      </c>
      <c r="Y7504">
        <v>0.5762602</v>
      </c>
      <c r="Z7504">
        <v>-0.1907459</v>
      </c>
      <c r="AA7504">
        <v>0.79469499999999904</v>
      </c>
      <c r="AB7504">
        <v>35</v>
      </c>
      <c r="AC7504">
        <v>5.2286999999999999</v>
      </c>
      <c r="AD7504">
        <v>-1.095629845405</v>
      </c>
      <c r="AE7504">
        <v>2.0339000000000098</v>
      </c>
      <c r="AF7504">
        <v>3.3143537655505102</v>
      </c>
      <c r="AG7504">
        <v>-1.095629845405</v>
      </c>
      <c r="AH7504">
        <v>4.26860363356304</v>
      </c>
      <c r="AI7504">
        <v>101.460521912083</v>
      </c>
      <c r="AJ7504">
        <v>52.172477622470403</v>
      </c>
      <c r="AK7504">
        <v>5.5141928350238798</v>
      </c>
      <c r="AL7504">
        <v>89.806551606227401</v>
      </c>
      <c r="AM7504">
        <v>75.708745218581697</v>
      </c>
      <c r="AN7504">
        <v>1.0000000031599701</v>
      </c>
    </row>
    <row r="7505" spans="1:40" x14ac:dyDescent="0.25">
      <c r="A7505" t="str">
        <f>"20190312155023002"</f>
        <v>20190312155023002</v>
      </c>
      <c r="B7505" t="str">
        <f>"1552377022992807"</f>
        <v>1552377022992807</v>
      </c>
      <c r="C7505" t="s">
        <v>40</v>
      </c>
      <c r="D7505">
        <v>4.8366100000000003</v>
      </c>
      <c r="E7505">
        <v>0.65915539999999995</v>
      </c>
      <c r="F7505" t="s">
        <v>63</v>
      </c>
      <c r="G7505">
        <v>-176.07210000000001</v>
      </c>
      <c r="H7505" s="1">
        <v>-3.777315E-6</v>
      </c>
      <c r="I7505">
        <v>132.2407</v>
      </c>
      <c r="J7505">
        <v>-181.27459999999999</v>
      </c>
      <c r="K7505">
        <v>1.0953619999999999</v>
      </c>
      <c r="L7505">
        <v>130.38229999999999</v>
      </c>
      <c r="M7505">
        <v>0.52766880000000005</v>
      </c>
      <c r="N7505">
        <v>0</v>
      </c>
      <c r="O7505">
        <v>0.8492902</v>
      </c>
      <c r="P7505">
        <v>0.72338290000000005</v>
      </c>
      <c r="Q7505">
        <v>-2.1432650000000001E-3</v>
      </c>
      <c r="R7505">
        <v>0.69044380000000005</v>
      </c>
      <c r="S7505">
        <v>3.0194239999999999</v>
      </c>
      <c r="T7505">
        <v>-0.61197380000000001</v>
      </c>
      <c r="U7505">
        <v>1.213562</v>
      </c>
      <c r="V7505">
        <v>0.25039739999999999</v>
      </c>
      <c r="W7505">
        <v>5.2192640000000004E-3</v>
      </c>
      <c r="X7505">
        <v>0.96812909999999996</v>
      </c>
      <c r="Y7505">
        <v>0.57259459999999995</v>
      </c>
      <c r="Z7505">
        <v>-0.18860660000000001</v>
      </c>
      <c r="AA7505">
        <v>0.79784889999999997</v>
      </c>
      <c r="AB7505">
        <v>35</v>
      </c>
      <c r="AC7505">
        <v>5.2024999999999801</v>
      </c>
      <c r="AD7505">
        <v>-1.0953657773150001</v>
      </c>
      <c r="AE7505">
        <v>1.85840000000001</v>
      </c>
      <c r="AF7505">
        <v>3.3082229326850801</v>
      </c>
      <c r="AG7505">
        <v>-1.0953657773150001</v>
      </c>
      <c r="AH7505">
        <v>4.1605412121612702</v>
      </c>
      <c r="AI7505">
        <v>101.643974628267</v>
      </c>
      <c r="AJ7505">
        <v>51.510299882573797</v>
      </c>
      <c r="AK7505">
        <v>5.4271786718836399</v>
      </c>
      <c r="AL7505">
        <v>89.700956850844605</v>
      </c>
      <c r="AM7505">
        <v>75.498769041679395</v>
      </c>
      <c r="AN7505">
        <v>1.0000000264551301</v>
      </c>
    </row>
    <row r="7506" spans="1:40" x14ac:dyDescent="0.25">
      <c r="A7506" t="str">
        <f>"20190312155023023"</f>
        <v>20190312155023023</v>
      </c>
      <c r="B7506" t="str">
        <f>"1552377023013303"</f>
        <v>1552377023013303</v>
      </c>
      <c r="C7506" t="s">
        <v>40</v>
      </c>
      <c r="D7506">
        <v>4.860932</v>
      </c>
      <c r="E7506">
        <v>0.65784370000000003</v>
      </c>
      <c r="F7506" t="s">
        <v>63</v>
      </c>
      <c r="G7506">
        <v>-175.80279999999999</v>
      </c>
      <c r="H7506" s="1">
        <v>-3.6848779999999999E-6</v>
      </c>
      <c r="I7506">
        <v>132.4811</v>
      </c>
      <c r="J7506">
        <v>-181.08779999999999</v>
      </c>
      <c r="K7506">
        <v>1.0951310000000001</v>
      </c>
      <c r="L7506">
        <v>130.66120000000001</v>
      </c>
      <c r="M7506">
        <v>0.54024890000000003</v>
      </c>
      <c r="N7506">
        <v>0</v>
      </c>
      <c r="O7506">
        <v>0.84134259999999905</v>
      </c>
      <c r="P7506">
        <v>0.73550719999999903</v>
      </c>
      <c r="Q7506">
        <v>-2.450116E-3</v>
      </c>
      <c r="R7506">
        <v>0.67751249999999996</v>
      </c>
      <c r="S7506">
        <v>3.0344389999999999</v>
      </c>
      <c r="T7506">
        <v>-0.60745249999999995</v>
      </c>
      <c r="U7506">
        <v>1.16394</v>
      </c>
      <c r="V7506">
        <v>0.25314170000000003</v>
      </c>
      <c r="W7506">
        <v>4.7367080000000001E-3</v>
      </c>
      <c r="X7506">
        <v>0.96741759999999999</v>
      </c>
      <c r="Y7506">
        <v>0.57349249999999996</v>
      </c>
      <c r="Z7506">
        <v>-0.1868398</v>
      </c>
      <c r="AA7506">
        <v>0.79761969999999904</v>
      </c>
      <c r="AB7506">
        <v>35</v>
      </c>
      <c r="AC7506">
        <v>5.2849999999999904</v>
      </c>
      <c r="AD7506">
        <v>-1.0951346848779999</v>
      </c>
      <c r="AE7506">
        <v>1.8198999999999801</v>
      </c>
      <c r="AF7506">
        <v>3.3357239870488402</v>
      </c>
      <c r="AG7506">
        <v>-1.0951346848779999</v>
      </c>
      <c r="AH7506">
        <v>4.2247999966101704</v>
      </c>
      <c r="AI7506">
        <v>101.49963384137899</v>
      </c>
      <c r="AJ7506">
        <v>51.7068662925656</v>
      </c>
      <c r="AK7506">
        <v>5.4932057586761802</v>
      </c>
      <c r="AL7506">
        <v>89.728605603812696</v>
      </c>
      <c r="AM7506">
        <v>75.336331574876894</v>
      </c>
      <c r="AN7506">
        <v>0.99999998473566298</v>
      </c>
    </row>
    <row r="7507" spans="1:40" x14ac:dyDescent="0.25">
      <c r="A7507" t="str">
        <f>"20190312155023039"</f>
        <v>20190312155023039</v>
      </c>
      <c r="B7507" t="str">
        <f>"1552377023032823"</f>
        <v>1552377023032823</v>
      </c>
      <c r="C7507" t="s">
        <v>40</v>
      </c>
      <c r="D7507">
        <v>4.8613619999999997</v>
      </c>
      <c r="E7507">
        <v>0.65646700000000002</v>
      </c>
      <c r="F7507" t="s">
        <v>63</v>
      </c>
      <c r="G7507">
        <v>-175.5384</v>
      </c>
      <c r="H7507" s="1">
        <v>-3.5858820000000002E-6</v>
      </c>
      <c r="I7507">
        <v>132.69560000000001</v>
      </c>
      <c r="J7507">
        <v>-180.93780000000001</v>
      </c>
      <c r="K7507">
        <v>1.094964</v>
      </c>
      <c r="L7507">
        <v>130.8783</v>
      </c>
      <c r="M7507">
        <v>0.55018009999999995</v>
      </c>
      <c r="N7507">
        <v>0</v>
      </c>
      <c r="O7507">
        <v>0.83488119999999999</v>
      </c>
      <c r="P7507">
        <v>0.74415390000000003</v>
      </c>
      <c r="Q7507">
        <v>-3.3719430000000001E-3</v>
      </c>
      <c r="R7507">
        <v>0.66799989999999998</v>
      </c>
      <c r="S7507">
        <v>3.0476380000000001</v>
      </c>
      <c r="T7507">
        <v>-0.60143019999999903</v>
      </c>
      <c r="U7507">
        <v>1.1172789999999999</v>
      </c>
      <c r="V7507">
        <v>0.25408370000000002</v>
      </c>
      <c r="W7507">
        <v>3.7277289999999999E-3</v>
      </c>
      <c r="X7507">
        <v>0.96717509999999995</v>
      </c>
      <c r="Y7507">
        <v>0.57610649999999997</v>
      </c>
      <c r="Z7507">
        <v>-0.1848533</v>
      </c>
      <c r="AA7507">
        <v>0.7961975</v>
      </c>
      <c r="AB7507">
        <v>35</v>
      </c>
      <c r="AC7507">
        <v>5.3994000000000097</v>
      </c>
      <c r="AD7507">
        <v>-1.094967585882</v>
      </c>
      <c r="AE7507">
        <v>1.8173000000000099</v>
      </c>
      <c r="AF7507">
        <v>3.38350863970612</v>
      </c>
      <c r="AG7507">
        <v>-1.094967585882</v>
      </c>
      <c r="AH7507">
        <v>4.3285883053234597</v>
      </c>
      <c r="AI7507">
        <v>101.271356740085</v>
      </c>
      <c r="AJ7507">
        <v>51.986483094165202</v>
      </c>
      <c r="AK7507">
        <v>5.6021211559623803</v>
      </c>
      <c r="AL7507">
        <v>89.786416376790399</v>
      </c>
      <c r="AM7507">
        <v>75.280599280695</v>
      </c>
      <c r="AN7507">
        <v>1.0000000483145901</v>
      </c>
    </row>
    <row r="7508" spans="1:40" x14ac:dyDescent="0.25">
      <c r="A7508" t="str">
        <f>"20190312155023051"</f>
        <v>20190312155023051</v>
      </c>
      <c r="B7508" t="str">
        <f>"1552377023043216"</f>
        <v>1552377023043216</v>
      </c>
      <c r="C7508" t="s">
        <v>40</v>
      </c>
      <c r="D7508">
        <v>4.9034810000000002</v>
      </c>
      <c r="E7508">
        <v>0.65582830000000003</v>
      </c>
      <c r="F7508" t="s">
        <v>63</v>
      </c>
      <c r="G7508">
        <v>-175.33779999999999</v>
      </c>
      <c r="H7508" s="1">
        <v>-3.5146050000000001E-6</v>
      </c>
      <c r="I7508">
        <v>132.8683</v>
      </c>
      <c r="J7508">
        <v>-180.8236</v>
      </c>
      <c r="K7508">
        <v>1.09484</v>
      </c>
      <c r="L7508">
        <v>131.0401</v>
      </c>
      <c r="M7508">
        <v>0.55764329999999995</v>
      </c>
      <c r="N7508">
        <v>0</v>
      </c>
      <c r="O7508">
        <v>0.82991419999999905</v>
      </c>
      <c r="P7508">
        <v>0.75080999999999998</v>
      </c>
      <c r="Q7508">
        <v>-4.5487210000000004E-3</v>
      </c>
      <c r="R7508">
        <v>0.66050249999999999</v>
      </c>
      <c r="S7508">
        <v>3.0543520000000002</v>
      </c>
      <c r="T7508">
        <v>-0.59722219999999904</v>
      </c>
      <c r="U7508">
        <v>1.085434</v>
      </c>
      <c r="V7508">
        <v>0.25506709999999999</v>
      </c>
      <c r="W7508">
        <v>2.4760379999999999E-3</v>
      </c>
      <c r="X7508">
        <v>0.96692020000000001</v>
      </c>
      <c r="Y7508">
        <v>0.57700940000000001</v>
      </c>
      <c r="Z7508">
        <v>-0.18344759999999999</v>
      </c>
      <c r="AA7508">
        <v>0.79586880000000004</v>
      </c>
      <c r="AB7508">
        <v>35</v>
      </c>
      <c r="AC7508">
        <v>5.48580000000001</v>
      </c>
      <c r="AD7508">
        <v>-1.094843514605</v>
      </c>
      <c r="AE7508">
        <v>1.8282</v>
      </c>
      <c r="AF7508">
        <v>3.4114487295646101</v>
      </c>
      <c r="AG7508">
        <v>-1.094843514605</v>
      </c>
      <c r="AH7508">
        <v>4.4185958848621896</v>
      </c>
      <c r="AI7508">
        <v>101.09645750560099</v>
      </c>
      <c r="AJ7508">
        <v>52.329481330190497</v>
      </c>
      <c r="AK7508">
        <v>5.6886425753110696</v>
      </c>
      <c r="AL7508">
        <v>89.858133329815104</v>
      </c>
      <c r="AM7508">
        <v>75.222392715340007</v>
      </c>
      <c r="AN7508">
        <v>1.00000001471731</v>
      </c>
    </row>
    <row r="7509" spans="1:40" x14ac:dyDescent="0.25">
      <c r="A7509" t="str">
        <f>"20190312155023064"</f>
        <v>20190312155023064</v>
      </c>
      <c r="B7509" t="str">
        <f>"1552377023052976"</f>
        <v>1552377023052976</v>
      </c>
      <c r="C7509" t="s">
        <v>40</v>
      </c>
      <c r="D7509">
        <v>4.8718000000000004</v>
      </c>
      <c r="E7509">
        <v>0.65582830000000003</v>
      </c>
      <c r="F7509" t="s">
        <v>63</v>
      </c>
      <c r="G7509">
        <v>-175.22720000000001</v>
      </c>
      <c r="H7509" s="1">
        <v>-3.4792819999999998E-6</v>
      </c>
      <c r="I7509">
        <v>132.97399999999999</v>
      </c>
      <c r="J7509">
        <v>-180.70529999999999</v>
      </c>
      <c r="K7509">
        <v>1.0947209999999901</v>
      </c>
      <c r="L7509">
        <v>131.20519999999999</v>
      </c>
      <c r="M7509">
        <v>0.56529219999999902</v>
      </c>
      <c r="N7509">
        <v>0</v>
      </c>
      <c r="O7509">
        <v>0.82472250000000003</v>
      </c>
      <c r="P7509">
        <v>0.75743819999999995</v>
      </c>
      <c r="Q7509">
        <v>-5.4496010000000001E-3</v>
      </c>
      <c r="R7509">
        <v>0.65288409999999997</v>
      </c>
      <c r="S7509">
        <v>3.0613860000000002</v>
      </c>
      <c r="T7509">
        <v>-0.5989158</v>
      </c>
      <c r="U7509">
        <v>1.0579069999999999</v>
      </c>
      <c r="V7509">
        <v>0.255859</v>
      </c>
      <c r="W7509">
        <v>1.507584E-3</v>
      </c>
      <c r="X7509">
        <v>0.96671300000000004</v>
      </c>
      <c r="Y7509">
        <v>0.57641540000000002</v>
      </c>
      <c r="Z7509">
        <v>-0.18356600000000001</v>
      </c>
      <c r="AA7509">
        <v>0.79627179999999997</v>
      </c>
      <c r="AB7509">
        <v>35</v>
      </c>
      <c r="AC7509">
        <v>5.47809999999998</v>
      </c>
      <c r="AD7509">
        <v>-1.0947244792819999</v>
      </c>
      <c r="AE7509">
        <v>1.7687999999999899</v>
      </c>
      <c r="AF7509">
        <v>3.3957082752221401</v>
      </c>
      <c r="AG7509">
        <v>-1.0947244792819999</v>
      </c>
      <c r="AH7509">
        <v>4.3971101256790499</v>
      </c>
      <c r="AI7509">
        <v>101.14712753941799</v>
      </c>
      <c r="AJ7509">
        <v>52.3225591725298</v>
      </c>
      <c r="AK7509">
        <v>5.6624936055858504</v>
      </c>
      <c r="AL7509">
        <v>89.9136217722195</v>
      </c>
      <c r="AM7509">
        <v>75.175492826614203</v>
      </c>
      <c r="AN7509">
        <v>1.00000006252975</v>
      </c>
    </row>
    <row r="7510" spans="1:40" x14ac:dyDescent="0.25">
      <c r="A7510" t="str">
        <f>"20190312155023078"</f>
        <v>20190312155023078</v>
      </c>
      <c r="B7510" t="str">
        <f>"1552377023073472"</f>
        <v>1552377023073472</v>
      </c>
      <c r="C7510" t="s">
        <v>40</v>
      </c>
      <c r="D7510">
        <v>4.8917339999999996</v>
      </c>
      <c r="E7510">
        <v>0.63371899999999903</v>
      </c>
      <c r="F7510" t="s">
        <v>63</v>
      </c>
      <c r="G7510">
        <v>-175.11850000000001</v>
      </c>
      <c r="H7510" s="1">
        <v>-3.4424989999999998E-6</v>
      </c>
      <c r="I7510">
        <v>133.07249999999999</v>
      </c>
      <c r="J7510">
        <v>-180.56950000000001</v>
      </c>
      <c r="K7510">
        <v>1.0945910000000001</v>
      </c>
      <c r="L7510">
        <v>131.3895</v>
      </c>
      <c r="M7510">
        <v>0.57394389999999995</v>
      </c>
      <c r="N7510">
        <v>0</v>
      </c>
      <c r="O7510">
        <v>0.81872440000000002</v>
      </c>
      <c r="P7510">
        <v>0.7656733</v>
      </c>
      <c r="Q7510">
        <v>-7.0564410000000001E-3</v>
      </c>
      <c r="R7510">
        <v>0.64319090000000001</v>
      </c>
      <c r="S7510">
        <v>3.071472</v>
      </c>
      <c r="T7510">
        <v>-0.60184599999999999</v>
      </c>
      <c r="U7510">
        <v>1.0266109999999999</v>
      </c>
      <c r="V7510">
        <v>0.25791540000000002</v>
      </c>
      <c r="W7510">
        <v>-2.1942430000000001E-4</v>
      </c>
      <c r="X7510">
        <v>0.96616740000000001</v>
      </c>
      <c r="Y7510">
        <v>0.57586590000000004</v>
      </c>
      <c r="Z7510">
        <v>-0.18385860000000001</v>
      </c>
      <c r="AA7510">
        <v>0.79660180000000003</v>
      </c>
      <c r="AB7510">
        <v>35</v>
      </c>
      <c r="AC7510">
        <v>5.4509999999999899</v>
      </c>
      <c r="AD7510">
        <v>-1.094594442499</v>
      </c>
      <c r="AE7510">
        <v>1.6829999999999901</v>
      </c>
      <c r="AF7510">
        <v>3.3732254619958502</v>
      </c>
      <c r="AG7510">
        <v>-1.094594442499</v>
      </c>
      <c r="AH7510">
        <v>4.34707728623387</v>
      </c>
      <c r="AI7510">
        <v>101.25111414470101</v>
      </c>
      <c r="AJ7510">
        <v>52.189413374996697</v>
      </c>
      <c r="AK7510">
        <v>5.6101575685088596</v>
      </c>
      <c r="AL7510">
        <v>90.012572087378203</v>
      </c>
      <c r="AM7510">
        <v>75.053593225984997</v>
      </c>
      <c r="AN7510">
        <v>0.99999992326346798</v>
      </c>
    </row>
    <row r="7511" spans="1:40" x14ac:dyDescent="0.25">
      <c r="A7511" t="str">
        <f>"20190312155023090"</f>
        <v>20190312155023090</v>
      </c>
      <c r="B7511" t="str">
        <f>"1552377023083232"</f>
        <v>1552377023083232</v>
      </c>
      <c r="C7511" t="s">
        <v>40</v>
      </c>
      <c r="D7511">
        <v>4.9302429999999999</v>
      </c>
      <c r="E7511">
        <v>0.6332023</v>
      </c>
      <c r="F7511" t="s">
        <v>63</v>
      </c>
      <c r="G7511">
        <v>-175.43889999999999</v>
      </c>
      <c r="H7511" s="1">
        <v>-3.7586770000000001E-6</v>
      </c>
      <c r="I7511">
        <v>133.3297</v>
      </c>
      <c r="J7511">
        <v>-180.45509999999999</v>
      </c>
      <c r="K7511">
        <v>1.09449</v>
      </c>
      <c r="L7511">
        <v>131.5421</v>
      </c>
      <c r="M7511">
        <v>0.581142099999999</v>
      </c>
      <c r="N7511">
        <v>0</v>
      </c>
      <c r="O7511">
        <v>0.81363019999999997</v>
      </c>
      <c r="P7511">
        <v>0.77210199999999996</v>
      </c>
      <c r="Q7511">
        <v>-7.6805679999999996E-3</v>
      </c>
      <c r="R7511">
        <v>0.63545220000000002</v>
      </c>
      <c r="S7511">
        <v>2.969055</v>
      </c>
      <c r="T7511">
        <v>-0.63344529999999999</v>
      </c>
      <c r="U7511">
        <v>1.122849</v>
      </c>
      <c r="V7511">
        <v>0.25909080000000001</v>
      </c>
      <c r="W7511">
        <v>-9.2114040000000001E-4</v>
      </c>
      <c r="X7511">
        <v>0.9658525</v>
      </c>
      <c r="Y7511">
        <v>0.53481569999999901</v>
      </c>
      <c r="Z7511">
        <v>-0.19338069999999999</v>
      </c>
      <c r="AA7511">
        <v>0.82254240000000001</v>
      </c>
      <c r="AB7511">
        <v>35</v>
      </c>
      <c r="AC7511">
        <v>5.0161999999999898</v>
      </c>
      <c r="AD7511">
        <v>-1.0944937586770001</v>
      </c>
      <c r="AE7511">
        <v>1.7875999999999901</v>
      </c>
      <c r="AF7511">
        <v>2.9195762954186102</v>
      </c>
      <c r="AG7511">
        <v>-1.0944937586770001</v>
      </c>
      <c r="AH7511">
        <v>4.1930546198118401</v>
      </c>
      <c r="AI7511">
        <v>102.09078325585899</v>
      </c>
      <c r="AJ7511">
        <v>55.150943748410803</v>
      </c>
      <c r="AK7511">
        <v>5.2252798372219802</v>
      </c>
      <c r="AL7511">
        <v>90.052777466229301</v>
      </c>
      <c r="AM7511">
        <v>74.983872759546102</v>
      </c>
      <c r="AN7511">
        <v>0.99999997145026198</v>
      </c>
    </row>
    <row r="7512" spans="1:40" x14ac:dyDescent="0.25">
      <c r="A7512" t="str">
        <f>"20190312155023101"</f>
        <v>20190312155023101</v>
      </c>
      <c r="B7512" t="str">
        <f>"1552377023092992"</f>
        <v>1552377023092992</v>
      </c>
      <c r="C7512" t="s">
        <v>40</v>
      </c>
      <c r="D7512">
        <v>4.9081539999999997</v>
      </c>
      <c r="E7512">
        <v>0.63344590000000001</v>
      </c>
      <c r="F7512" t="s">
        <v>63</v>
      </c>
      <c r="G7512">
        <v>-175.2672</v>
      </c>
      <c r="H7512" s="1">
        <v>-3.68775E-6</v>
      </c>
      <c r="I7512">
        <v>133.45160000000001</v>
      </c>
      <c r="J7512">
        <v>-180.33600000000001</v>
      </c>
      <c r="K7512">
        <v>1.09439</v>
      </c>
      <c r="L7512">
        <v>131.69829999999999</v>
      </c>
      <c r="M7512">
        <v>0.58854479999999998</v>
      </c>
      <c r="N7512">
        <v>0</v>
      </c>
      <c r="O7512">
        <v>0.80829099999999998</v>
      </c>
      <c r="P7512">
        <v>0.77836749999999999</v>
      </c>
      <c r="Q7512">
        <v>-8.3929869999999993E-3</v>
      </c>
      <c r="R7512">
        <v>0.6277528</v>
      </c>
      <c r="S7512">
        <v>2.9773710000000002</v>
      </c>
      <c r="T7512">
        <v>-0.628135</v>
      </c>
      <c r="U7512">
        <v>1.095825</v>
      </c>
      <c r="V7512">
        <v>0.25983440000000002</v>
      </c>
      <c r="W7512">
        <v>-1.6935100000000001E-3</v>
      </c>
      <c r="X7512">
        <v>0.9656517</v>
      </c>
      <c r="Y7512">
        <v>0.53488069999999999</v>
      </c>
      <c r="Z7512">
        <v>-0.191303</v>
      </c>
      <c r="AA7512">
        <v>0.82298590000000005</v>
      </c>
      <c r="AB7512">
        <v>35</v>
      </c>
      <c r="AC7512">
        <v>5.06879999999998</v>
      </c>
      <c r="AD7512">
        <v>-1.09439368775</v>
      </c>
      <c r="AE7512">
        <v>1.7533000000000201</v>
      </c>
      <c r="AF7512">
        <v>2.9430663217862598</v>
      </c>
      <c r="AG7512">
        <v>-1.09439368775</v>
      </c>
      <c r="AH7512">
        <v>4.2250993241638497</v>
      </c>
      <c r="AI7512">
        <v>101.999162343699</v>
      </c>
      <c r="AJ7512">
        <v>55.140189583135303</v>
      </c>
      <c r="AK7512">
        <v>5.26410497779721</v>
      </c>
      <c r="AL7512">
        <v>90.097031022471896</v>
      </c>
      <c r="AM7512">
        <v>74.939741551386902</v>
      </c>
      <c r="AN7512">
        <v>0.99999999455618505</v>
      </c>
    </row>
    <row r="7513" spans="1:40" x14ac:dyDescent="0.25">
      <c r="A7513" t="str">
        <f>"20190312155023115"</f>
        <v>20190312155023115</v>
      </c>
      <c r="B7513" t="str">
        <f>"1552377023103728"</f>
        <v>1552377023103728</v>
      </c>
      <c r="C7513" t="s">
        <v>40</v>
      </c>
      <c r="D7513">
        <v>4.9308709999999998</v>
      </c>
      <c r="E7513">
        <v>0.63247169999999997</v>
      </c>
      <c r="F7513" t="s">
        <v>63</v>
      </c>
      <c r="G7513">
        <v>-175.05189999999999</v>
      </c>
      <c r="H7513" s="1">
        <v>-3.5895800000000002E-6</v>
      </c>
      <c r="I7513">
        <v>133.57990000000001</v>
      </c>
      <c r="J7513">
        <v>-180.21899999999999</v>
      </c>
      <c r="K7513">
        <v>1.094298</v>
      </c>
      <c r="L7513">
        <v>131.84819999999999</v>
      </c>
      <c r="M7513">
        <v>0.59572159999999996</v>
      </c>
      <c r="N7513">
        <v>0</v>
      </c>
      <c r="O7513">
        <v>0.80301559999999905</v>
      </c>
      <c r="P7513">
        <v>0.78440759999999998</v>
      </c>
      <c r="Q7513">
        <v>-9.1488049999999994E-3</v>
      </c>
      <c r="R7513">
        <v>0.62017840000000002</v>
      </c>
      <c r="S7513">
        <v>2.9891359999999998</v>
      </c>
      <c r="T7513">
        <v>-0.61907319999999999</v>
      </c>
      <c r="U7513">
        <v>1.064362</v>
      </c>
      <c r="V7513">
        <v>0.26055789999999901</v>
      </c>
      <c r="W7513">
        <v>-2.5051880000000002E-3</v>
      </c>
      <c r="X7513">
        <v>0.96545499999999995</v>
      </c>
      <c r="Y7513">
        <v>0.53676519999999905</v>
      </c>
      <c r="Z7513">
        <v>-0.18814069999999999</v>
      </c>
      <c r="AA7513">
        <v>0.82248779999999999</v>
      </c>
      <c r="AB7513">
        <v>35</v>
      </c>
      <c r="AC7513">
        <v>5.1671000000000298</v>
      </c>
      <c r="AD7513">
        <v>-1.0943015895799999</v>
      </c>
      <c r="AE7513">
        <v>1.73170000000001</v>
      </c>
      <c r="AF7513">
        <v>2.9972331016282001</v>
      </c>
      <c r="AG7513">
        <v>-1.0943015895799999</v>
      </c>
      <c r="AH7513">
        <v>4.2961325218920203</v>
      </c>
      <c r="AI7513">
        <v>101.79954143961</v>
      </c>
      <c r="AJ7513">
        <v>55.098120270274698</v>
      </c>
      <c r="AK7513">
        <v>5.3514163433722404</v>
      </c>
      <c r="AL7513">
        <v>90.143536845676294</v>
      </c>
      <c r="AM7513">
        <v>74.896783358071403</v>
      </c>
      <c r="AN7513">
        <v>1.00000002612216</v>
      </c>
    </row>
    <row r="7514" spans="1:40" x14ac:dyDescent="0.25">
      <c r="A7514" t="str">
        <f>"20190312155023127"</f>
        <v>20190312155023127</v>
      </c>
      <c r="B7514" t="str">
        <f>"1552377023123248"</f>
        <v>1552377023123248</v>
      </c>
      <c r="C7514" t="s">
        <v>40</v>
      </c>
      <c r="D7514">
        <v>4.9538840000000004</v>
      </c>
      <c r="E7514">
        <v>0.63085159999999996</v>
      </c>
      <c r="F7514" t="s">
        <v>63</v>
      </c>
      <c r="G7514">
        <v>-174.93469999999999</v>
      </c>
      <c r="H7514" s="1">
        <v>-3.5552790000000001E-6</v>
      </c>
      <c r="I7514">
        <v>133.68559999999999</v>
      </c>
      <c r="J7514">
        <v>-180.09599999999901</v>
      </c>
      <c r="K7514">
        <v>1.0942069999999999</v>
      </c>
      <c r="L7514">
        <v>132.00399999999999</v>
      </c>
      <c r="M7514">
        <v>0.60318470000000002</v>
      </c>
      <c r="N7514">
        <v>0</v>
      </c>
      <c r="O7514">
        <v>0.79742440000000003</v>
      </c>
      <c r="P7514">
        <v>0.79049689999999995</v>
      </c>
      <c r="Q7514">
        <v>-9.9408610000000005E-3</v>
      </c>
      <c r="R7514">
        <v>0.61238530000000002</v>
      </c>
      <c r="S7514">
        <v>2.9941710000000001</v>
      </c>
      <c r="T7514">
        <v>-0.62004749999999997</v>
      </c>
      <c r="U7514">
        <v>1.041107</v>
      </c>
      <c r="V7514">
        <v>0.2610712</v>
      </c>
      <c r="W7514">
        <v>-3.345612E-3</v>
      </c>
      <c r="X7514">
        <v>0.96531369999999905</v>
      </c>
      <c r="Y7514">
        <v>0.5350838</v>
      </c>
      <c r="Z7514">
        <v>-0.18783440000000001</v>
      </c>
      <c r="AA7514">
        <v>0.82365259999999996</v>
      </c>
      <c r="AB7514">
        <v>35</v>
      </c>
      <c r="AC7514">
        <v>5.1612999999999802</v>
      </c>
      <c r="AD7514">
        <v>-1.094210555279</v>
      </c>
      <c r="AE7514">
        <v>1.6816</v>
      </c>
      <c r="AF7514">
        <v>2.9807551688142699</v>
      </c>
      <c r="AG7514">
        <v>-1.094210555279</v>
      </c>
      <c r="AH7514">
        <v>4.2808554543290098</v>
      </c>
      <c r="AI7514">
        <v>101.846846035097</v>
      </c>
      <c r="AJ7514">
        <v>55.1505457827569</v>
      </c>
      <c r="AK7514">
        <v>5.3299082108940103</v>
      </c>
      <c r="AL7514">
        <v>90.191689814292005</v>
      </c>
      <c r="AM7514">
        <v>74.866279682667994</v>
      </c>
      <c r="AN7514">
        <v>0.99999995199839098</v>
      </c>
    </row>
    <row r="7515" spans="1:40" x14ac:dyDescent="0.25">
      <c r="A7515" t="str">
        <f>"20190312155023138"</f>
        <v>20190312155023138</v>
      </c>
      <c r="B7515" t="str">
        <f>"1552377023133008"</f>
        <v>1552377023133008</v>
      </c>
      <c r="C7515" t="s">
        <v>40</v>
      </c>
      <c r="D7515">
        <v>4.9659610000000001</v>
      </c>
      <c r="E7515">
        <v>0.63006260000000003</v>
      </c>
      <c r="F7515" t="s">
        <v>63</v>
      </c>
      <c r="G7515">
        <v>-174.79750000000001</v>
      </c>
      <c r="H7515" s="1">
        <v>-3.541794E-6</v>
      </c>
      <c r="I7515">
        <v>133.81039999999999</v>
      </c>
      <c r="J7515">
        <v>-179.9675</v>
      </c>
      <c r="K7515">
        <v>1.094117</v>
      </c>
      <c r="L7515">
        <v>132.16239999999999</v>
      </c>
      <c r="M7515">
        <v>0.61085239999999996</v>
      </c>
      <c r="N7515">
        <v>0</v>
      </c>
      <c r="O7515">
        <v>0.79156549999999903</v>
      </c>
      <c r="P7515">
        <v>0.7965814</v>
      </c>
      <c r="Q7515">
        <v>-1.057641E-2</v>
      </c>
      <c r="R7515">
        <v>0.6044387</v>
      </c>
      <c r="S7515">
        <v>2.995987</v>
      </c>
      <c r="T7515">
        <v>-0.61871279999999995</v>
      </c>
      <c r="U7515">
        <v>1.0214540000000001</v>
      </c>
      <c r="V7515">
        <v>0.26139129999999999</v>
      </c>
      <c r="W7515">
        <v>-4.0192860000000004E-3</v>
      </c>
      <c r="X7515">
        <v>0.96522459999999999</v>
      </c>
      <c r="Y7515">
        <v>0.53212859999999995</v>
      </c>
      <c r="Z7515">
        <v>-0.18680240000000001</v>
      </c>
      <c r="AA7515">
        <v>0.82579899999999995</v>
      </c>
      <c r="AB7515">
        <v>35</v>
      </c>
      <c r="AC7515">
        <v>5.1699999999999804</v>
      </c>
      <c r="AD7515">
        <v>-1.0941205417939901</v>
      </c>
      <c r="AE7515">
        <v>1.6479999999999899</v>
      </c>
      <c r="AF7515">
        <v>2.96557849073859</v>
      </c>
      <c r="AG7515">
        <v>-1.0941205417939901</v>
      </c>
      <c r="AH7515">
        <v>4.2888721549686997</v>
      </c>
      <c r="AI7515">
        <v>101.85045877331</v>
      </c>
      <c r="AJ7515">
        <v>55.337737906811697</v>
      </c>
      <c r="AK7515">
        <v>5.32786823282754</v>
      </c>
      <c r="AL7515">
        <v>90.230288733580096</v>
      </c>
      <c r="AM7515">
        <v>74.847242420297704</v>
      </c>
      <c r="AN7515">
        <v>1.0000000474103901</v>
      </c>
    </row>
    <row r="7516" spans="1:40" x14ac:dyDescent="0.25">
      <c r="A7516" t="str">
        <f>"20190312155023151"</f>
        <v>20190312155023151</v>
      </c>
      <c r="B7516" t="str">
        <f>"1552377023143124"</f>
        <v>1552377023143124</v>
      </c>
      <c r="C7516" t="s">
        <v>40</v>
      </c>
      <c r="D7516">
        <v>5.0609659999999996</v>
      </c>
      <c r="E7516">
        <v>0.62971069999999996</v>
      </c>
      <c r="F7516" t="s">
        <v>63</v>
      </c>
      <c r="G7516">
        <v>-174.64789999999999</v>
      </c>
      <c r="H7516" s="1">
        <v>-3.519893E-6</v>
      </c>
      <c r="I7516">
        <v>133.92760000000001</v>
      </c>
      <c r="J7516">
        <v>-179.8535</v>
      </c>
      <c r="K7516">
        <v>1.094041</v>
      </c>
      <c r="L7516">
        <v>132.30080000000001</v>
      </c>
      <c r="M7516">
        <v>0.61757859999999998</v>
      </c>
      <c r="N7516">
        <v>0</v>
      </c>
      <c r="O7516">
        <v>0.78632849999999999</v>
      </c>
      <c r="P7516">
        <v>0.80200559999999999</v>
      </c>
      <c r="Q7516">
        <v>-1.0643669999999999E-2</v>
      </c>
      <c r="R7516">
        <v>0.59722169999999997</v>
      </c>
      <c r="S7516">
        <v>3.002014</v>
      </c>
      <c r="T7516">
        <v>-0.61743760000000003</v>
      </c>
      <c r="U7516">
        <v>0.99613949999999996</v>
      </c>
      <c r="V7516">
        <v>0.26187379999999999</v>
      </c>
      <c r="W7516">
        <v>-4.1271160000000001E-3</v>
      </c>
      <c r="X7516">
        <v>0.96509330000000004</v>
      </c>
      <c r="Y7516">
        <v>0.53186389999999995</v>
      </c>
      <c r="Z7516">
        <v>-0.1859256</v>
      </c>
      <c r="AA7516">
        <v>0.82616730000000005</v>
      </c>
      <c r="AB7516">
        <v>35</v>
      </c>
      <c r="AC7516">
        <v>5.2055999999999996</v>
      </c>
      <c r="AD7516">
        <v>-1.094044519893</v>
      </c>
      <c r="AE7516">
        <v>1.6268</v>
      </c>
      <c r="AF7516">
        <v>2.9695774402078698</v>
      </c>
      <c r="AG7516">
        <v>-1.094044519893</v>
      </c>
      <c r="AH7516">
        <v>4.3208339831425402</v>
      </c>
      <c r="AI7516">
        <v>101.786865510504</v>
      </c>
      <c r="AJ7516">
        <v>55.500445645250501</v>
      </c>
      <c r="AK7516">
        <v>5.3558313915562099</v>
      </c>
      <c r="AL7516">
        <v>90.236466999904096</v>
      </c>
      <c r="AM7516">
        <v>74.818591674770204</v>
      </c>
      <c r="AN7516">
        <v>0.99999999895890301</v>
      </c>
    </row>
    <row r="7517" spans="1:40" x14ac:dyDescent="0.25">
      <c r="A7517" t="str">
        <f>"20190312155023165"</f>
        <v>20190312155023165</v>
      </c>
      <c r="B7517" t="str">
        <f>"1552377023152883"</f>
        <v>1552377023152883</v>
      </c>
      <c r="C7517" t="s">
        <v>40</v>
      </c>
      <c r="D7517">
        <v>5.0092629999999998</v>
      </c>
      <c r="E7517">
        <v>0.62919740000000002</v>
      </c>
      <c r="F7517" t="s">
        <v>63</v>
      </c>
      <c r="G7517">
        <v>-174.5462</v>
      </c>
      <c r="H7517" s="1">
        <v>-3.5077369999999999E-6</v>
      </c>
      <c r="I7517">
        <v>134.01439999999999</v>
      </c>
      <c r="J7517">
        <v>-179.70689999999999</v>
      </c>
      <c r="K7517">
        <v>1.09395</v>
      </c>
      <c r="L7517">
        <v>132.47579999999999</v>
      </c>
      <c r="M7517">
        <v>0.62610580000000005</v>
      </c>
      <c r="N7517">
        <v>0</v>
      </c>
      <c r="O7517">
        <v>0.77955509999999995</v>
      </c>
      <c r="P7517">
        <v>0.80866369999999999</v>
      </c>
      <c r="Q7517">
        <v>-1.089706E-2</v>
      </c>
      <c r="R7517">
        <v>0.58817019999999998</v>
      </c>
      <c r="S7517">
        <v>3.0089419999999998</v>
      </c>
      <c r="T7517">
        <v>-0.62026329999999996</v>
      </c>
      <c r="U7517">
        <v>0.97152709999999998</v>
      </c>
      <c r="V7517">
        <v>0.26219700000000001</v>
      </c>
      <c r="W7517">
        <v>-4.4192490000000001E-3</v>
      </c>
      <c r="X7517">
        <v>0.96500430000000004</v>
      </c>
      <c r="Y7517">
        <v>0.52932570000000001</v>
      </c>
      <c r="Z7517">
        <v>-0.185805</v>
      </c>
      <c r="AA7517">
        <v>0.82782299999999998</v>
      </c>
      <c r="AB7517">
        <v>35</v>
      </c>
      <c r="AC7517">
        <v>5.1606999999999896</v>
      </c>
      <c r="AD7517">
        <v>-1.093953507737</v>
      </c>
      <c r="AE7517">
        <v>1.5386</v>
      </c>
      <c r="AF7517">
        <v>2.93888278264488</v>
      </c>
      <c r="AG7517">
        <v>-1.093953507737</v>
      </c>
      <c r="AH7517">
        <v>4.25558667484633</v>
      </c>
      <c r="AI7517">
        <v>101.94341801871001</v>
      </c>
      <c r="AJ7517">
        <v>55.371272909234897</v>
      </c>
      <c r="AK7517">
        <v>5.28618806271081</v>
      </c>
      <c r="AL7517">
        <v>90.253205128392693</v>
      </c>
      <c r="AM7517">
        <v>74.799384350909506</v>
      </c>
      <c r="AN7517">
        <v>1.0000000477946001</v>
      </c>
    </row>
    <row r="7518" spans="1:40" x14ac:dyDescent="0.25">
      <c r="A7518" t="str">
        <f>"20190312155023178"</f>
        <v>20190312155023178</v>
      </c>
      <c r="B7518" t="str">
        <f>"1552377023173380"</f>
        <v>1552377023173380</v>
      </c>
      <c r="C7518" t="s">
        <v>40</v>
      </c>
      <c r="D7518">
        <v>5.0502919999999998</v>
      </c>
      <c r="E7518">
        <v>0.62980029999999998</v>
      </c>
      <c r="F7518" t="s">
        <v>63</v>
      </c>
      <c r="G7518">
        <v>-174.37870000000001</v>
      </c>
      <c r="H7518" s="1">
        <v>-3.4805700000000002E-6</v>
      </c>
      <c r="I7518">
        <v>134.13849999999999</v>
      </c>
      <c r="J7518">
        <v>-179.57669999999999</v>
      </c>
      <c r="K7518">
        <v>1.093877</v>
      </c>
      <c r="L7518">
        <v>132.6267</v>
      </c>
      <c r="M7518">
        <v>0.63354460000000001</v>
      </c>
      <c r="N7518">
        <v>0</v>
      </c>
      <c r="O7518">
        <v>0.77352129999999997</v>
      </c>
      <c r="P7518">
        <v>0.81479679999999999</v>
      </c>
      <c r="Q7518">
        <v>-1.04276E-2</v>
      </c>
      <c r="R7518">
        <v>0.57965279999999997</v>
      </c>
      <c r="S7518">
        <v>3.016769</v>
      </c>
      <c r="T7518">
        <v>-0.6193746</v>
      </c>
      <c r="U7518">
        <v>0.94142150000000002</v>
      </c>
      <c r="V7518">
        <v>0.2630999</v>
      </c>
      <c r="W7518">
        <v>-4.006323E-3</v>
      </c>
      <c r="X7518">
        <v>0.96476030000000002</v>
      </c>
      <c r="Y7518">
        <v>0.52952310000000002</v>
      </c>
      <c r="Z7518">
        <v>-0.18492210000000001</v>
      </c>
      <c r="AA7518">
        <v>0.82789429999999997</v>
      </c>
      <c r="AB7518">
        <v>35</v>
      </c>
      <c r="AC7518">
        <v>5.1979999999999702</v>
      </c>
      <c r="AD7518">
        <v>-1.09388048057</v>
      </c>
      <c r="AE7518">
        <v>1.51179999999999</v>
      </c>
      <c r="AF7518">
        <v>2.9432308232029598</v>
      </c>
      <c r="AG7518">
        <v>-1.09388048057</v>
      </c>
      <c r="AH7518">
        <v>4.2881197253474896</v>
      </c>
      <c r="AI7518">
        <v>101.87736537216099</v>
      </c>
      <c r="AJ7518">
        <v>55.535518163631998</v>
      </c>
      <c r="AK7518">
        <v>5.3148050729390102</v>
      </c>
      <c r="AL7518">
        <v>90.229546008225597</v>
      </c>
      <c r="AM7518">
        <v>74.745795885618506</v>
      </c>
      <c r="AN7518">
        <v>1.00000002223004</v>
      </c>
    </row>
    <row r="7519" spans="1:40" x14ac:dyDescent="0.25">
      <c r="A7519" t="str">
        <f>"20190312155023189"</f>
        <v>20190312155023189</v>
      </c>
      <c r="B7519" t="str">
        <f>"1552377023183140"</f>
        <v>1552377023183140</v>
      </c>
      <c r="C7519" t="s">
        <v>40</v>
      </c>
      <c r="D7519">
        <v>4.9414230000000003</v>
      </c>
      <c r="E7519">
        <v>0.65036749999999999</v>
      </c>
      <c r="F7519" t="s">
        <v>63</v>
      </c>
      <c r="G7519">
        <v>-174.20160000000001</v>
      </c>
      <c r="H7519" s="1">
        <v>-3.4387109999999999E-6</v>
      </c>
      <c r="I7519">
        <v>134.23509999999999</v>
      </c>
      <c r="J7519">
        <v>-179.45240000000001</v>
      </c>
      <c r="K7519">
        <v>1.0938129999999999</v>
      </c>
      <c r="L7519">
        <v>132.76900000000001</v>
      </c>
      <c r="M7519">
        <v>0.6405613</v>
      </c>
      <c r="N7519">
        <v>0</v>
      </c>
      <c r="O7519">
        <v>0.76772030000000002</v>
      </c>
      <c r="P7519">
        <v>0.82022539999999999</v>
      </c>
      <c r="Q7519">
        <v>-1.0360960000000001E-2</v>
      </c>
      <c r="R7519">
        <v>0.57194669999999903</v>
      </c>
      <c r="S7519">
        <v>3.0291899999999998</v>
      </c>
      <c r="T7519">
        <v>-0.61646619999999996</v>
      </c>
      <c r="U7519">
        <v>0.90640259999999995</v>
      </c>
      <c r="V7519">
        <v>0.26341239999999999</v>
      </c>
      <c r="W7519">
        <v>-3.9704190000000002E-3</v>
      </c>
      <c r="X7519">
        <v>0.96467510000000001</v>
      </c>
      <c r="Y7519">
        <v>0.53184589999999998</v>
      </c>
      <c r="Z7519">
        <v>-0.1834595</v>
      </c>
      <c r="AA7519">
        <v>0.82672999999999996</v>
      </c>
      <c r="AB7519">
        <v>35</v>
      </c>
      <c r="AC7519">
        <v>5.2507999999999901</v>
      </c>
      <c r="AD7519">
        <v>-1.0938164387110001</v>
      </c>
      <c r="AE7519">
        <v>1.46609999999998</v>
      </c>
      <c r="AF7519">
        <v>2.9727884878215902</v>
      </c>
      <c r="AG7519">
        <v>-1.0938164387110001</v>
      </c>
      <c r="AH7519">
        <v>4.3159145836437496</v>
      </c>
      <c r="AI7519">
        <v>101.789357007009</v>
      </c>
      <c r="AJ7519">
        <v>55.4410507059482</v>
      </c>
      <c r="AK7519">
        <v>5.3535992087779496</v>
      </c>
      <c r="AL7519">
        <v>90.227488860074999</v>
      </c>
      <c r="AM7519">
        <v>74.727237274329298</v>
      </c>
      <c r="AN7519">
        <v>0.99999995263040098</v>
      </c>
    </row>
    <row r="7520" spans="1:40" x14ac:dyDescent="0.25">
      <c r="A7520" t="str">
        <f>"20190312155023204"</f>
        <v>20190312155023204</v>
      </c>
      <c r="B7520" t="str">
        <f>"1552377023192900"</f>
        <v>1552377023192900</v>
      </c>
      <c r="C7520" t="s">
        <v>40</v>
      </c>
      <c r="D7520">
        <v>5.0264579999999999</v>
      </c>
      <c r="E7520">
        <v>0.65009649999999997</v>
      </c>
      <c r="F7520" t="s">
        <v>63</v>
      </c>
      <c r="G7520">
        <v>-173.05969999999999</v>
      </c>
      <c r="H7520" s="1">
        <v>-2.9501349999999998E-6</v>
      </c>
      <c r="I7520">
        <v>134.28200000000001</v>
      </c>
      <c r="J7520">
        <v>-179.29490000000001</v>
      </c>
      <c r="K7520">
        <v>1.0937349999999999</v>
      </c>
      <c r="L7520">
        <v>132.9461</v>
      </c>
      <c r="M7520">
        <v>0.64932159999999906</v>
      </c>
      <c r="N7520">
        <v>0</v>
      </c>
      <c r="O7520">
        <v>0.76032480000000002</v>
      </c>
      <c r="P7520">
        <v>0.82704500000000003</v>
      </c>
      <c r="Q7520">
        <v>-9.6790490000000003E-3</v>
      </c>
      <c r="R7520">
        <v>0.56205260000000001</v>
      </c>
      <c r="S7520">
        <v>3.1336210000000002</v>
      </c>
      <c r="T7520">
        <v>-0.53617389999999998</v>
      </c>
      <c r="U7520">
        <v>0.74166869999999996</v>
      </c>
      <c r="V7520">
        <v>0.26397130000000002</v>
      </c>
      <c r="W7520">
        <v>-3.332294E-3</v>
      </c>
      <c r="X7520">
        <v>0.96452479999999996</v>
      </c>
      <c r="Y7520">
        <v>0.57498369999999999</v>
      </c>
      <c r="Z7520">
        <v>-0.15948080000000001</v>
      </c>
      <c r="AA7520">
        <v>0.80247089999999999</v>
      </c>
      <c r="AB7520">
        <v>35</v>
      </c>
      <c r="AC7520">
        <v>6.2352000000000096</v>
      </c>
      <c r="AD7520">
        <v>-1.093737950135</v>
      </c>
      <c r="AE7520">
        <v>1.3359000000000001</v>
      </c>
      <c r="AF7520">
        <v>3.7631946819322599</v>
      </c>
      <c r="AG7520">
        <v>-1.093737950135</v>
      </c>
      <c r="AH7520">
        <v>4.9203428664829598</v>
      </c>
      <c r="AI7520">
        <v>100.01333403895001</v>
      </c>
      <c r="AJ7520">
        <v>52.590385179802503</v>
      </c>
      <c r="AK7520">
        <v>6.2902838442663702</v>
      </c>
      <c r="AL7520">
        <v>90.190926731710206</v>
      </c>
      <c r="AM7520">
        <v>74.694077019932195</v>
      </c>
      <c r="AN7520">
        <v>1.00000002061101</v>
      </c>
    </row>
    <row r="7521" spans="1:40" x14ac:dyDescent="0.25">
      <c r="A7521" t="str">
        <f>"20190312155023224"</f>
        <v>20190312155023224</v>
      </c>
      <c r="B7521" t="str">
        <f>"1552377023213396"</f>
        <v>1552377023213396</v>
      </c>
      <c r="C7521" t="s">
        <v>40</v>
      </c>
      <c r="D7521">
        <v>4.9537909999999998</v>
      </c>
      <c r="E7521">
        <v>0.64769829999999995</v>
      </c>
      <c r="F7521" t="s">
        <v>63</v>
      </c>
      <c r="G7521">
        <v>-172.82669999999999</v>
      </c>
      <c r="H7521" s="1">
        <v>-2.8915260000000001E-6</v>
      </c>
      <c r="I7521">
        <v>134.3999</v>
      </c>
      <c r="J7521">
        <v>-179.09950000000001</v>
      </c>
      <c r="K7521">
        <v>1.0936520000000001</v>
      </c>
      <c r="L7521">
        <v>133.1591</v>
      </c>
      <c r="M7521">
        <v>0.65995439999999905</v>
      </c>
      <c r="N7521">
        <v>0</v>
      </c>
      <c r="O7521">
        <v>0.75111349999999999</v>
      </c>
      <c r="P7521">
        <v>0.83530319999999902</v>
      </c>
      <c r="Q7521">
        <v>-9.0595799999999994E-3</v>
      </c>
      <c r="R7521">
        <v>0.54971499999999995</v>
      </c>
      <c r="S7521">
        <v>3.141327</v>
      </c>
      <c r="T7521">
        <v>-0.53118339999999997</v>
      </c>
      <c r="U7521">
        <v>0.70605469999999904</v>
      </c>
      <c r="V7521">
        <v>0.26474569999999997</v>
      </c>
      <c r="W7521">
        <v>-2.767158E-3</v>
      </c>
      <c r="X7521">
        <v>0.96431429999999996</v>
      </c>
      <c r="Y7521">
        <v>0.57304029999999995</v>
      </c>
      <c r="Z7521">
        <v>-0.15696389999999999</v>
      </c>
      <c r="AA7521">
        <v>0.80435509999999999</v>
      </c>
      <c r="AB7521">
        <v>35</v>
      </c>
      <c r="AC7521">
        <v>6.2728000000000099</v>
      </c>
      <c r="AD7521">
        <v>-1.093654891526</v>
      </c>
      <c r="AE7521">
        <v>1.2407999999999999</v>
      </c>
      <c r="AF7521">
        <v>3.7826226932968501</v>
      </c>
      <c r="AG7521">
        <v>-1.093654891526</v>
      </c>
      <c r="AH7521">
        <v>4.9283085371471396</v>
      </c>
      <c r="AI7521">
        <v>99.983944250986696</v>
      </c>
      <c r="AJ7521">
        <v>52.492693921214801</v>
      </c>
      <c r="AK7521">
        <v>6.3081328853251399</v>
      </c>
      <c r="AL7521">
        <v>90.158546676029999</v>
      </c>
      <c r="AM7521">
        <v>74.648097067689207</v>
      </c>
      <c r="AN7521">
        <v>1.00000000600818</v>
      </c>
    </row>
    <row r="7522" spans="1:40" x14ac:dyDescent="0.25">
      <c r="A7522" t="str">
        <f>"20190312155023239"</f>
        <v>20190312155023239</v>
      </c>
      <c r="B7522" t="str">
        <f>"1552377023232916"</f>
        <v>1552377023232916</v>
      </c>
      <c r="C7522" t="s">
        <v>40</v>
      </c>
      <c r="D7522">
        <v>5.0055009999999998</v>
      </c>
      <c r="E7522">
        <v>0.64631519999999898</v>
      </c>
      <c r="F7522" t="s">
        <v>63</v>
      </c>
      <c r="G7522">
        <v>-172.65620000000001</v>
      </c>
      <c r="H7522" s="1">
        <v>-2.8713139999999999E-6</v>
      </c>
      <c r="I7522">
        <v>134.54580000000001</v>
      </c>
      <c r="J7522">
        <v>-178.9195</v>
      </c>
      <c r="K7522">
        <v>1.0935820000000001</v>
      </c>
      <c r="L7522">
        <v>133.34979999999999</v>
      </c>
      <c r="M7522">
        <v>0.66953649999999998</v>
      </c>
      <c r="N7522">
        <v>0</v>
      </c>
      <c r="O7522">
        <v>0.74258419999999903</v>
      </c>
      <c r="P7522">
        <v>0.84241119999999903</v>
      </c>
      <c r="Q7522">
        <v>-9.2628020000000005E-3</v>
      </c>
      <c r="R7522">
        <v>0.5387556</v>
      </c>
      <c r="S7522">
        <v>3.140854</v>
      </c>
      <c r="T7522">
        <v>-0.53311940000000002</v>
      </c>
      <c r="U7522">
        <v>0.67599489999999995</v>
      </c>
      <c r="V7522">
        <v>0.26496249999999999</v>
      </c>
      <c r="W7522">
        <v>-2.9976109999999999E-3</v>
      </c>
      <c r="X7522">
        <v>0.96425400000000006</v>
      </c>
      <c r="Y7522">
        <v>0.56987140000000003</v>
      </c>
      <c r="Z7522">
        <v>-0.15673380000000001</v>
      </c>
      <c r="AA7522">
        <v>0.80664809999999998</v>
      </c>
      <c r="AB7522">
        <v>35</v>
      </c>
      <c r="AC7522">
        <v>6.2632999999999797</v>
      </c>
      <c r="AD7522">
        <v>-1.093584871314</v>
      </c>
      <c r="AE7522">
        <v>1.1960000000000199</v>
      </c>
      <c r="AF7522">
        <v>3.74079035677341</v>
      </c>
      <c r="AG7522">
        <v>-1.093584871314</v>
      </c>
      <c r="AH7522">
        <v>4.9371562449889304</v>
      </c>
      <c r="AI7522">
        <v>100.01226565892399</v>
      </c>
      <c r="AJ7522">
        <v>52.849475876121197</v>
      </c>
      <c r="AK7522">
        <v>6.2900677382305696</v>
      </c>
      <c r="AL7522">
        <v>90.171750725705607</v>
      </c>
      <c r="AM7522">
        <v>74.635203833284393</v>
      </c>
      <c r="AN7522">
        <v>0.99999994429697703</v>
      </c>
    </row>
    <row r="7523" spans="1:40" x14ac:dyDescent="0.25">
      <c r="A7523" t="str">
        <f>"20190312155023252"</f>
        <v>20190312155023252</v>
      </c>
      <c r="B7523" t="str">
        <f>"1552377023243651"</f>
        <v>1552377023243651</v>
      </c>
      <c r="C7523" t="s">
        <v>40</v>
      </c>
      <c r="D7523">
        <v>5.0101290000000001</v>
      </c>
      <c r="E7523">
        <v>0.64526450000000002</v>
      </c>
      <c r="F7523" t="s">
        <v>63</v>
      </c>
      <c r="G7523">
        <v>-172.46170000000001</v>
      </c>
      <c r="H7523" s="1">
        <v>-2.8332700000000001E-6</v>
      </c>
      <c r="I7523">
        <v>134.673</v>
      </c>
      <c r="J7523">
        <v>-178.7843</v>
      </c>
      <c r="K7523">
        <v>1.093531</v>
      </c>
      <c r="L7523">
        <v>133.49010000000001</v>
      </c>
      <c r="M7523">
        <v>0.67660980000000004</v>
      </c>
      <c r="N7523">
        <v>0</v>
      </c>
      <c r="O7523">
        <v>0.73614469999999899</v>
      </c>
      <c r="P7523">
        <v>0.8475123</v>
      </c>
      <c r="Q7523">
        <v>-9.3687749999999993E-3</v>
      </c>
      <c r="R7523">
        <v>0.53069299999999997</v>
      </c>
      <c r="S7523">
        <v>3.1434479999999998</v>
      </c>
      <c r="T7523">
        <v>-0.53231879999999998</v>
      </c>
      <c r="U7523">
        <v>0.64405819999999903</v>
      </c>
      <c r="V7523">
        <v>0.2649339</v>
      </c>
      <c r="W7523">
        <v>-3.1144200000000001E-3</v>
      </c>
      <c r="X7523">
        <v>0.96426149999999999</v>
      </c>
      <c r="Y7523">
        <v>0.57013139999999995</v>
      </c>
      <c r="Z7523">
        <v>-0.15603359999999999</v>
      </c>
      <c r="AA7523">
        <v>0.80660010000000004</v>
      </c>
      <c r="AB7523">
        <v>35</v>
      </c>
      <c r="AC7523">
        <v>6.3225999999999898</v>
      </c>
      <c r="AD7523">
        <v>-1.09353383327</v>
      </c>
      <c r="AE7523">
        <v>1.1828999999999801</v>
      </c>
      <c r="AF7523">
        <v>3.74627041177654</v>
      </c>
      <c r="AG7523">
        <v>-1.09353383327</v>
      </c>
      <c r="AH7523">
        <v>5.0048154646851497</v>
      </c>
      <c r="AI7523">
        <v>99.921806183070601</v>
      </c>
      <c r="AJ7523">
        <v>53.183927667272897</v>
      </c>
      <c r="AK7523">
        <v>6.3465373297736303</v>
      </c>
      <c r="AL7523">
        <v>90.178443418012193</v>
      </c>
      <c r="AM7523">
        <v>74.636897792306399</v>
      </c>
      <c r="AN7523">
        <v>0.99999995568169697</v>
      </c>
    </row>
    <row r="7524" spans="1:40" x14ac:dyDescent="0.25">
      <c r="A7524" t="str">
        <f>"20190312155023264"</f>
        <v>20190312155023264</v>
      </c>
      <c r="B7524" t="str">
        <f>"1552377023253412"</f>
        <v>1552377023253412</v>
      </c>
      <c r="C7524" t="s">
        <v>40</v>
      </c>
      <c r="D7524">
        <v>5.1876119999999997</v>
      </c>
      <c r="E7524">
        <v>0.64486160000000003</v>
      </c>
      <c r="F7524" t="s">
        <v>63</v>
      </c>
      <c r="G7524">
        <v>-172.33250000000001</v>
      </c>
      <c r="H7524" s="1">
        <v>-2.8041430000000001E-6</v>
      </c>
      <c r="I7524">
        <v>134.76429999999999</v>
      </c>
      <c r="J7524">
        <v>-178.6516</v>
      </c>
      <c r="K7524">
        <v>1.093486</v>
      </c>
      <c r="L7524">
        <v>133.626</v>
      </c>
      <c r="M7524">
        <v>0.6834614</v>
      </c>
      <c r="N7524">
        <v>0</v>
      </c>
      <c r="O7524">
        <v>0.72978750000000003</v>
      </c>
      <c r="P7524">
        <v>0.85247059999999997</v>
      </c>
      <c r="Q7524">
        <v>-9.9854999999999996E-3</v>
      </c>
      <c r="R7524">
        <v>0.52267989999999998</v>
      </c>
      <c r="S7524">
        <v>3.1449579999999999</v>
      </c>
      <c r="T7524">
        <v>-0.53304929999999995</v>
      </c>
      <c r="U7524">
        <v>0.62109380000000003</v>
      </c>
      <c r="V7524">
        <v>0.26498149999999998</v>
      </c>
      <c r="W7524">
        <v>-3.7449620000000001E-3</v>
      </c>
      <c r="X7524">
        <v>0.96424620000000005</v>
      </c>
      <c r="Y7524">
        <v>0.56826719999999997</v>
      </c>
      <c r="Z7524">
        <v>-0.15556600000000001</v>
      </c>
      <c r="AA7524">
        <v>0.80800469999999902</v>
      </c>
      <c r="AB7524">
        <v>35</v>
      </c>
      <c r="AC7524">
        <v>6.3190999999999899</v>
      </c>
      <c r="AD7524">
        <v>-1.093488804143</v>
      </c>
      <c r="AE7524">
        <v>1.1382999999999801</v>
      </c>
      <c r="AF7524">
        <v>3.7261036188509302</v>
      </c>
      <c r="AG7524">
        <v>-1.093488804143</v>
      </c>
      <c r="AH7524">
        <v>5.0051598769165997</v>
      </c>
      <c r="AI7524">
        <v>99.939774984404494</v>
      </c>
      <c r="AJ7524">
        <v>53.334068759968403</v>
      </c>
      <c r="AK7524">
        <v>6.3349184159463299</v>
      </c>
      <c r="AL7524">
        <v>90.214571023492596</v>
      </c>
      <c r="AM7524">
        <v>74.634035700128706</v>
      </c>
      <c r="AN7524">
        <v>0.99999997714853495</v>
      </c>
    </row>
    <row r="7525" spans="1:40" x14ac:dyDescent="0.25">
      <c r="A7525" t="str">
        <f>"20190312155023275"</f>
        <v>20190312155023275</v>
      </c>
      <c r="B7525" t="str">
        <f>"1552377023272932"</f>
        <v>1552377023272932</v>
      </c>
      <c r="C7525" t="s">
        <v>40</v>
      </c>
      <c r="D7525">
        <v>4.9981980000000004</v>
      </c>
      <c r="E7525">
        <v>0.64348850000000002</v>
      </c>
      <c r="F7525" t="s">
        <v>63</v>
      </c>
      <c r="G7525">
        <v>-172.27629999999999</v>
      </c>
      <c r="H7525" s="1">
        <v>-2.8009059999999999E-6</v>
      </c>
      <c r="I7525">
        <v>134.82939999999999</v>
      </c>
      <c r="J7525">
        <v>-178.52070000000001</v>
      </c>
      <c r="K7525">
        <v>1.0934410000000001</v>
      </c>
      <c r="L7525">
        <v>133.75620000000001</v>
      </c>
      <c r="M7525">
        <v>0.69009169999999997</v>
      </c>
      <c r="N7525">
        <v>0</v>
      </c>
      <c r="O7525">
        <v>0.72352079999999996</v>
      </c>
      <c r="P7525">
        <v>0.85703249999999997</v>
      </c>
      <c r="Q7525">
        <v>-9.9326989999999997E-3</v>
      </c>
      <c r="R7525">
        <v>0.51516669999999998</v>
      </c>
      <c r="S7525">
        <v>3.1484830000000001</v>
      </c>
      <c r="T7525">
        <v>-0.54002700000000003</v>
      </c>
      <c r="U7525">
        <v>0.59428409999999998</v>
      </c>
      <c r="V7525">
        <v>0.26466190000000001</v>
      </c>
      <c r="W7525">
        <v>-3.686936E-3</v>
      </c>
      <c r="X7525">
        <v>0.96433420000000003</v>
      </c>
      <c r="Y7525">
        <v>0.56728669999999903</v>
      </c>
      <c r="Z7525">
        <v>-0.1568832</v>
      </c>
      <c r="AA7525">
        <v>0.80843889999999996</v>
      </c>
      <c r="AB7525">
        <v>35</v>
      </c>
      <c r="AC7525">
        <v>6.2444000000000104</v>
      </c>
      <c r="AD7525">
        <v>-1.0934438009059999</v>
      </c>
      <c r="AE7525">
        <v>1.0731999999999799</v>
      </c>
      <c r="AF7525">
        <v>3.6686336824993102</v>
      </c>
      <c r="AG7525">
        <v>-1.0934438009059999</v>
      </c>
      <c r="AH7525">
        <v>4.9393234007637403</v>
      </c>
      <c r="AI7525">
        <v>100.077252866588</v>
      </c>
      <c r="AJ7525">
        <v>53.397245859094703</v>
      </c>
      <c r="AK7525">
        <v>6.2491125849548004</v>
      </c>
      <c r="AL7525">
        <v>90.211246354524803</v>
      </c>
      <c r="AM7525">
        <v>74.653029024993103</v>
      </c>
      <c r="AN7525">
        <v>0.99999998204915796</v>
      </c>
    </row>
    <row r="7526" spans="1:40" x14ac:dyDescent="0.25">
      <c r="A7526" t="str">
        <f>"20190312155023289"</f>
        <v>20190312155023289</v>
      </c>
      <c r="B7526" t="str">
        <f>"1552377023283668"</f>
        <v>1552377023283668</v>
      </c>
      <c r="C7526" t="s">
        <v>40</v>
      </c>
      <c r="D7526">
        <v>5.0375050000000003</v>
      </c>
      <c r="E7526">
        <v>0.6427948</v>
      </c>
      <c r="F7526" t="s">
        <v>63</v>
      </c>
      <c r="G7526">
        <v>-171.9999</v>
      </c>
      <c r="H7526" s="1">
        <v>-2.696102E-6</v>
      </c>
      <c r="I7526">
        <v>134.9485</v>
      </c>
      <c r="J7526">
        <v>-178.3655</v>
      </c>
      <c r="K7526">
        <v>1.093399</v>
      </c>
      <c r="L7526">
        <v>133.9084</v>
      </c>
      <c r="M7526">
        <v>0.69783869999999903</v>
      </c>
      <c r="N7526">
        <v>0</v>
      </c>
      <c r="O7526">
        <v>0.7160512</v>
      </c>
      <c r="P7526">
        <v>0.86248609999999903</v>
      </c>
      <c r="Q7526">
        <v>-9.9631960000000006E-3</v>
      </c>
      <c r="R7526">
        <v>0.50598279999999995</v>
      </c>
      <c r="S7526">
        <v>3.148285</v>
      </c>
      <c r="T7526">
        <v>-0.52792419999999995</v>
      </c>
      <c r="U7526">
        <v>0.57565310000000003</v>
      </c>
      <c r="V7526">
        <v>0.2645825</v>
      </c>
      <c r="W7526">
        <v>-3.7237960000000001E-3</v>
      </c>
      <c r="X7526">
        <v>0.96435590000000004</v>
      </c>
      <c r="Y7526">
        <v>0.56388539999999998</v>
      </c>
      <c r="Z7526">
        <v>-0.15251389999999901</v>
      </c>
      <c r="AA7526">
        <v>0.81164820000000004</v>
      </c>
      <c r="AB7526">
        <v>34</v>
      </c>
      <c r="AC7526">
        <v>6.3655999999999997</v>
      </c>
      <c r="AD7526">
        <v>-1.0934016961020001</v>
      </c>
      <c r="AE7526">
        <v>1.04009999999999</v>
      </c>
      <c r="AF7526">
        <v>3.7257662260928699</v>
      </c>
      <c r="AG7526">
        <v>-1.0934016961020001</v>
      </c>
      <c r="AH7526">
        <v>5.0427708408298804</v>
      </c>
      <c r="AI7526">
        <v>99.892370946283194</v>
      </c>
      <c r="AJ7526">
        <v>53.541782795962298</v>
      </c>
      <c r="AK7526">
        <v>6.3644637632448804</v>
      </c>
      <c r="AL7526">
        <v>90.213358280428096</v>
      </c>
      <c r="AM7526">
        <v>74.657745179698694</v>
      </c>
      <c r="AN7526">
        <v>1.00000003391385</v>
      </c>
    </row>
    <row r="7527" spans="1:40" x14ac:dyDescent="0.25">
      <c r="A7527" t="str">
        <f>"20190312155023302"</f>
        <v>20190312155023302</v>
      </c>
      <c r="B7527" t="str">
        <f>"1552377023293428"</f>
        <v>1552377023293428</v>
      </c>
      <c r="C7527" t="s">
        <v>40</v>
      </c>
      <c r="D7527">
        <v>5.0835710000000001</v>
      </c>
      <c r="E7527">
        <v>0.64193610000000001</v>
      </c>
      <c r="F7527" t="s">
        <v>63</v>
      </c>
      <c r="G7527">
        <v>-171.81450000000001</v>
      </c>
      <c r="H7527" s="1">
        <v>-2.6335770000000001E-6</v>
      </c>
      <c r="I7527">
        <v>135.04599999999999</v>
      </c>
      <c r="J7527">
        <v>-178.22120000000001</v>
      </c>
      <c r="K7527">
        <v>1.0933619999999999</v>
      </c>
      <c r="L7527">
        <v>134.04730000000001</v>
      </c>
      <c r="M7527">
        <v>0.70492580000000005</v>
      </c>
      <c r="N7527">
        <v>0</v>
      </c>
      <c r="O7527">
        <v>0.70907489999999995</v>
      </c>
      <c r="P7527">
        <v>0.86731369999999897</v>
      </c>
      <c r="Q7527">
        <v>-9.4160349999999997E-3</v>
      </c>
      <c r="R7527">
        <v>0.49767270000000002</v>
      </c>
      <c r="S7527">
        <v>3.1512150000000001</v>
      </c>
      <c r="T7527">
        <v>-0.52595130000000001</v>
      </c>
      <c r="U7527">
        <v>0.5471954</v>
      </c>
      <c r="V7527">
        <v>0.26428239999999997</v>
      </c>
      <c r="W7527">
        <v>-3.1709379999999999E-3</v>
      </c>
      <c r="X7527">
        <v>0.96444010000000002</v>
      </c>
      <c r="Y7527">
        <v>0.56314799999999998</v>
      </c>
      <c r="Z7527">
        <v>-0.15122579999999999</v>
      </c>
      <c r="AA7527">
        <v>0.81240080000000003</v>
      </c>
      <c r="AB7527">
        <v>34</v>
      </c>
      <c r="AC7527">
        <v>6.4066999999999998</v>
      </c>
      <c r="AD7527">
        <v>-1.093364633577</v>
      </c>
      <c r="AE7527">
        <v>0.99869999999998504</v>
      </c>
      <c r="AF7527">
        <v>3.7332323173457</v>
      </c>
      <c r="AG7527">
        <v>-1.093364633577</v>
      </c>
      <c r="AH7527">
        <v>5.0807017794955103</v>
      </c>
      <c r="AI7527">
        <v>99.838256900908107</v>
      </c>
      <c r="AJ7527">
        <v>53.692047428103301</v>
      </c>
      <c r="AK7527">
        <v>6.3989061822627296</v>
      </c>
      <c r="AL7527">
        <v>90.181681673659895</v>
      </c>
      <c r="AM7527">
        <v>74.6756034022807</v>
      </c>
      <c r="AN7527">
        <v>0.99999997414278397</v>
      </c>
    </row>
    <row r="7528" spans="1:40" x14ac:dyDescent="0.25">
      <c r="A7528" t="str">
        <f>"20190312155023313"</f>
        <v>20190312155023313</v>
      </c>
      <c r="B7528" t="str">
        <f>"1552377023303188"</f>
        <v>1552377023303188</v>
      </c>
      <c r="C7528" t="s">
        <v>40</v>
      </c>
      <c r="D7528">
        <v>5.0709479999999996</v>
      </c>
      <c r="E7528">
        <v>0.64119979999999999</v>
      </c>
      <c r="F7528" t="s">
        <v>63</v>
      </c>
      <c r="G7528">
        <v>-171.5839</v>
      </c>
      <c r="H7528" s="1">
        <v>-2.5474860000000002E-6</v>
      </c>
      <c r="I7528">
        <v>135.14840000000001</v>
      </c>
      <c r="J7528">
        <v>-178.09460000000001</v>
      </c>
      <c r="K7528">
        <v>1.0933330000000001</v>
      </c>
      <c r="L7528">
        <v>134.1661</v>
      </c>
      <c r="M7528">
        <v>0.71102659999999995</v>
      </c>
      <c r="N7528">
        <v>0</v>
      </c>
      <c r="O7528">
        <v>0.7029569</v>
      </c>
      <c r="P7528">
        <v>0.87144489999999997</v>
      </c>
      <c r="Q7528">
        <v>-8.9148999999999999E-3</v>
      </c>
      <c r="R7528">
        <v>0.49041230000000002</v>
      </c>
      <c r="S7528">
        <v>3.153168</v>
      </c>
      <c r="T7528">
        <v>-0.51942709999999903</v>
      </c>
      <c r="U7528">
        <v>0.52308650000000001</v>
      </c>
      <c r="V7528">
        <v>0.26402639999999999</v>
      </c>
      <c r="W7528">
        <v>-2.6636210000000001E-3</v>
      </c>
      <c r="X7528">
        <v>0.96451180000000003</v>
      </c>
      <c r="Y7528">
        <v>0.56260299999999996</v>
      </c>
      <c r="Z7528">
        <v>-0.14875959999999999</v>
      </c>
      <c r="AA7528">
        <v>0.81323330000000005</v>
      </c>
      <c r="AB7528">
        <v>34</v>
      </c>
      <c r="AC7528">
        <v>6.5107000000000097</v>
      </c>
      <c r="AD7528">
        <v>-1.09333554748599</v>
      </c>
      <c r="AE7528">
        <v>0.98230000000000905</v>
      </c>
      <c r="AF7528">
        <v>3.77478750145319</v>
      </c>
      <c r="AG7528">
        <v>-1.09333554748599</v>
      </c>
      <c r="AH7528">
        <v>5.1778091062105904</v>
      </c>
      <c r="AI7528">
        <v>99.683022038381793</v>
      </c>
      <c r="AJ7528">
        <v>53.906761257985202</v>
      </c>
      <c r="AK7528">
        <v>6.5003161800700902</v>
      </c>
      <c r="AL7528">
        <v>90.152614418391096</v>
      </c>
      <c r="AM7528">
        <v>74.690835370502697</v>
      </c>
      <c r="AN7528">
        <v>1.0000000235565101</v>
      </c>
    </row>
    <row r="7529" spans="1:40" x14ac:dyDescent="0.25">
      <c r="A7529" t="str">
        <f>"20190312155023325"</f>
        <v>20190312155023325</v>
      </c>
      <c r="B7529" t="str">
        <f>"1552377023312948"</f>
        <v>1552377023312948</v>
      </c>
      <c r="C7529" t="s">
        <v>40</v>
      </c>
      <c r="D7529">
        <v>5.0718220000000001</v>
      </c>
      <c r="E7529">
        <v>0.64065039999999995</v>
      </c>
      <c r="F7529" t="s">
        <v>63</v>
      </c>
      <c r="G7529">
        <v>-171.39429999999999</v>
      </c>
      <c r="H7529" s="1">
        <v>-2.47658E-6</v>
      </c>
      <c r="I7529">
        <v>135.23230000000001</v>
      </c>
      <c r="J7529">
        <v>-177.9573</v>
      </c>
      <c r="K7529">
        <v>1.0932999999999999</v>
      </c>
      <c r="L7529">
        <v>134.29390000000001</v>
      </c>
      <c r="M7529">
        <v>0.71756790000000004</v>
      </c>
      <c r="N7529">
        <v>0</v>
      </c>
      <c r="O7529">
        <v>0.69627799999999995</v>
      </c>
      <c r="P7529">
        <v>0.87593589999999999</v>
      </c>
      <c r="Q7529">
        <v>-8.9491350000000004E-3</v>
      </c>
      <c r="R7529">
        <v>0.48234460000000001</v>
      </c>
      <c r="S7529">
        <v>3.1547550000000002</v>
      </c>
      <c r="T7529">
        <v>-0.51478599999999997</v>
      </c>
      <c r="U7529">
        <v>0.50202939999999996</v>
      </c>
      <c r="V7529">
        <v>0.26391320000000001</v>
      </c>
      <c r="W7529">
        <v>-2.6986990000000001E-3</v>
      </c>
      <c r="X7529">
        <v>0.96454260000000003</v>
      </c>
      <c r="Y7529">
        <v>0.56061879999999997</v>
      </c>
      <c r="Z7529">
        <v>-0.1466433</v>
      </c>
      <c r="AA7529">
        <v>0.81498609999999905</v>
      </c>
      <c r="AB7529">
        <v>34</v>
      </c>
      <c r="AC7529">
        <v>6.5630000000000104</v>
      </c>
      <c r="AD7529">
        <v>-1.0933024765799999</v>
      </c>
      <c r="AE7529">
        <v>0.93840000000000101</v>
      </c>
      <c r="AF7529">
        <v>3.7937089072265402</v>
      </c>
      <c r="AG7529">
        <v>-1.0933024765799999</v>
      </c>
      <c r="AH7529">
        <v>5.2215720712934299</v>
      </c>
      <c r="AI7529">
        <v>99.614254540472402</v>
      </c>
      <c r="AJ7529">
        <v>53.999894179909298</v>
      </c>
      <c r="AK7529">
        <v>6.5461708252823296</v>
      </c>
      <c r="AL7529">
        <v>90.154624259275096</v>
      </c>
      <c r="AM7529">
        <v>74.697557059045593</v>
      </c>
      <c r="AN7529">
        <v>0.999999943662644</v>
      </c>
    </row>
    <row r="7530" spans="1:40" x14ac:dyDescent="0.25">
      <c r="A7530" t="str">
        <f>"20190312155023337"</f>
        <v>20190312155023337</v>
      </c>
      <c r="B7530" t="str">
        <f>"1552377023333443"</f>
        <v>1552377023333443</v>
      </c>
      <c r="C7530" t="s">
        <v>40</v>
      </c>
      <c r="D7530">
        <v>5.1007689999999997</v>
      </c>
      <c r="E7530">
        <v>0.63913249999999999</v>
      </c>
      <c r="F7530" t="s">
        <v>63</v>
      </c>
      <c r="G7530">
        <v>-171.25139999999999</v>
      </c>
      <c r="H7530" s="1">
        <v>-2.4279819999999998E-6</v>
      </c>
      <c r="I7530">
        <v>135.3066</v>
      </c>
      <c r="J7530">
        <v>-177.82</v>
      </c>
      <c r="K7530">
        <v>1.093275</v>
      </c>
      <c r="L7530">
        <v>134.4179</v>
      </c>
      <c r="M7530">
        <v>0.72397999999999996</v>
      </c>
      <c r="N7530">
        <v>0</v>
      </c>
      <c r="O7530">
        <v>0.68960809999999995</v>
      </c>
      <c r="P7530">
        <v>0.8802778</v>
      </c>
      <c r="Q7530">
        <v>-9.023395E-3</v>
      </c>
      <c r="R7530">
        <v>0.47437289999999999</v>
      </c>
      <c r="S7530">
        <v>3.1570740000000002</v>
      </c>
      <c r="T7530">
        <v>-0.51471940000000005</v>
      </c>
      <c r="U7530">
        <v>0.47679139999999998</v>
      </c>
      <c r="V7530">
        <v>0.26374130000000001</v>
      </c>
      <c r="W7530">
        <v>-2.7696029999999998E-3</v>
      </c>
      <c r="X7530">
        <v>0.96458949999999999</v>
      </c>
      <c r="Y7530">
        <v>0.55953909999999996</v>
      </c>
      <c r="Z7530">
        <v>-0.14587020000000001</v>
      </c>
      <c r="AA7530">
        <v>0.81586639999999999</v>
      </c>
      <c r="AB7530">
        <v>34</v>
      </c>
      <c r="AC7530">
        <v>6.5686</v>
      </c>
      <c r="AD7530">
        <v>-1.0932774279819999</v>
      </c>
      <c r="AE7530">
        <v>0.88870000000000005</v>
      </c>
      <c r="AF7530">
        <v>3.7839887226836302</v>
      </c>
      <c r="AG7530">
        <v>-1.0932774279819999</v>
      </c>
      <c r="AH7530">
        <v>5.2269817637550604</v>
      </c>
      <c r="AI7530">
        <v>99.615979147964396</v>
      </c>
      <c r="AJ7530">
        <v>54.097950559124797</v>
      </c>
      <c r="AK7530">
        <v>6.5448578706156697</v>
      </c>
      <c r="AL7530">
        <v>90.158686761928607</v>
      </c>
      <c r="AM7530">
        <v>74.707766235383801</v>
      </c>
      <c r="AN7530">
        <v>1.00000002376835</v>
      </c>
    </row>
    <row r="7531" spans="1:40" x14ac:dyDescent="0.25">
      <c r="A7531" t="str">
        <f>"20190312155023349"</f>
        <v>20190312155023349</v>
      </c>
      <c r="B7531" t="str">
        <f>"1552377023343204"</f>
        <v>1552377023343204</v>
      </c>
      <c r="C7531" t="s">
        <v>40</v>
      </c>
      <c r="D7531">
        <v>5.0846169999999997</v>
      </c>
      <c r="E7531">
        <v>0.63913249999999999</v>
      </c>
      <c r="F7531" t="s">
        <v>63</v>
      </c>
      <c r="G7531">
        <v>-171.11529999999999</v>
      </c>
      <c r="H7531" s="1">
        <v>-2.3882970000000002E-6</v>
      </c>
      <c r="I7531">
        <v>135.3922</v>
      </c>
      <c r="J7531">
        <v>-177.68430000000001</v>
      </c>
      <c r="K7531">
        <v>1.0932489999999999</v>
      </c>
      <c r="L7531">
        <v>134.53899999999999</v>
      </c>
      <c r="M7531">
        <v>0.73022749999999903</v>
      </c>
      <c r="N7531">
        <v>0</v>
      </c>
      <c r="O7531">
        <v>0.68298890000000001</v>
      </c>
      <c r="P7531">
        <v>0.88455919999999899</v>
      </c>
      <c r="Q7531">
        <v>-9.4675739999999994E-3</v>
      </c>
      <c r="R7531">
        <v>0.46633180000000002</v>
      </c>
      <c r="S7531">
        <v>3.15564</v>
      </c>
      <c r="T7531">
        <v>-0.51456809999999997</v>
      </c>
      <c r="U7531">
        <v>0.4585571</v>
      </c>
      <c r="V7531">
        <v>0.26372980000000001</v>
      </c>
      <c r="W7531">
        <v>-3.2175010000000002E-3</v>
      </c>
      <c r="X7531">
        <v>0.96459119999999998</v>
      </c>
      <c r="Y7531">
        <v>0.55668009999999901</v>
      </c>
      <c r="Z7531">
        <v>-0.1450446</v>
      </c>
      <c r="AA7531">
        <v>0.81796659999999999</v>
      </c>
      <c r="AB7531">
        <v>34</v>
      </c>
      <c r="AC7531">
        <v>6.5690000000000097</v>
      </c>
      <c r="AD7531">
        <v>-1.0932513882970001</v>
      </c>
      <c r="AE7531">
        <v>0.85320000000001495</v>
      </c>
      <c r="AF7531">
        <v>3.7616323668929201</v>
      </c>
      <c r="AG7531">
        <v>-1.0932513882970001</v>
      </c>
      <c r="AH7531">
        <v>5.2377161715555696</v>
      </c>
      <c r="AI7531">
        <v>99.622146788980004</v>
      </c>
      <c r="AJ7531">
        <v>54.314780882380802</v>
      </c>
      <c r="AK7531">
        <v>6.5405464110764102</v>
      </c>
      <c r="AL7531">
        <v>90.184349551222894</v>
      </c>
      <c r="AM7531">
        <v>74.708427499927794</v>
      </c>
      <c r="AN7531">
        <v>0.99999997141908203</v>
      </c>
    </row>
    <row r="7532" spans="1:40" x14ac:dyDescent="0.25">
      <c r="A7532" t="str">
        <f>"20190312155023361"</f>
        <v>20190312155023361</v>
      </c>
      <c r="B7532" t="str">
        <f>"1552377023352964"</f>
        <v>1552377023352964</v>
      </c>
      <c r="C7532" t="s">
        <v>40</v>
      </c>
      <c r="D7532">
        <v>5.0883409999999998</v>
      </c>
      <c r="E7532">
        <v>0.62509519999999996</v>
      </c>
      <c r="F7532" t="s">
        <v>63</v>
      </c>
      <c r="G7532">
        <v>-170.98269999999999</v>
      </c>
      <c r="H7532" s="1">
        <v>-2.3384220000000001E-6</v>
      </c>
      <c r="I7532">
        <v>135.4503</v>
      </c>
      <c r="J7532">
        <v>-177.53559999999999</v>
      </c>
      <c r="K7532">
        <v>1.093232</v>
      </c>
      <c r="L7532">
        <v>134.66919999999999</v>
      </c>
      <c r="M7532">
        <v>0.73696289999999998</v>
      </c>
      <c r="N7532">
        <v>0</v>
      </c>
      <c r="O7532">
        <v>0.67571550000000002</v>
      </c>
      <c r="P7532">
        <v>0.88905730000000005</v>
      </c>
      <c r="Q7532">
        <v>-9.8937650000000005E-3</v>
      </c>
      <c r="R7532">
        <v>0.45768900000000001</v>
      </c>
      <c r="S7532">
        <v>3.1595149999999999</v>
      </c>
      <c r="T7532">
        <v>-0.51542209999999999</v>
      </c>
      <c r="U7532">
        <v>0.42961120000000003</v>
      </c>
      <c r="V7532">
        <v>0.26354749999999999</v>
      </c>
      <c r="W7532">
        <v>-3.6393889999999998E-3</v>
      </c>
      <c r="X7532">
        <v>0.96463949999999998</v>
      </c>
      <c r="Y7532">
        <v>0.55603139999999995</v>
      </c>
      <c r="Z7532">
        <v>-0.14441229999999999</v>
      </c>
      <c r="AA7532">
        <v>0.81851949999999996</v>
      </c>
      <c r="AB7532">
        <v>34</v>
      </c>
      <c r="AC7532">
        <v>6.5528999999999904</v>
      </c>
      <c r="AD7532">
        <v>-1.093234338422</v>
      </c>
      <c r="AE7532">
        <v>0.78110000000000901</v>
      </c>
      <c r="AF7532">
        <v>3.7499122660843001</v>
      </c>
      <c r="AG7532">
        <v>-1.093234338422</v>
      </c>
      <c r="AH7532">
        <v>5.2147259492784004</v>
      </c>
      <c r="AI7532">
        <v>99.659494608122003</v>
      </c>
      <c r="AJ7532">
        <v>54.2800675831771</v>
      </c>
      <c r="AK7532">
        <v>6.5153948497471701</v>
      </c>
      <c r="AL7532">
        <v>90.208522100986997</v>
      </c>
      <c r="AM7532">
        <v>74.719232645511298</v>
      </c>
      <c r="AN7532">
        <v>0.99999994743439502</v>
      </c>
    </row>
    <row r="7533" spans="1:40" x14ac:dyDescent="0.25">
      <c r="A7533" t="str">
        <f>"20190312155023374"</f>
        <v>20190312155023374</v>
      </c>
      <c r="B7533" t="str">
        <f>"1552377023363700"</f>
        <v>1552377023363700</v>
      </c>
      <c r="C7533" t="s">
        <v>40</v>
      </c>
      <c r="D7533">
        <v>5.0874240000000004</v>
      </c>
      <c r="E7533">
        <v>0.62436689999999995</v>
      </c>
      <c r="F7533" t="s">
        <v>63</v>
      </c>
      <c r="G7533">
        <v>-171.03809999999999</v>
      </c>
      <c r="H7533" s="1">
        <v>-2.4847539999999999E-6</v>
      </c>
      <c r="I7533">
        <v>135.70939999999999</v>
      </c>
      <c r="J7533">
        <v>-177.39400000000001</v>
      </c>
      <c r="K7533">
        <v>1.093213</v>
      </c>
      <c r="L7533">
        <v>134.7902</v>
      </c>
      <c r="M7533">
        <v>0.74325299999999905</v>
      </c>
      <c r="N7533">
        <v>0</v>
      </c>
      <c r="O7533">
        <v>0.668790199999999</v>
      </c>
      <c r="P7533">
        <v>0.8932563</v>
      </c>
      <c r="Q7533">
        <v>-1.0142709999999999E-2</v>
      </c>
      <c r="R7533">
        <v>0.44943329999999998</v>
      </c>
      <c r="S7533">
        <v>3.1120450000000002</v>
      </c>
      <c r="T7533">
        <v>-0.52362240000000004</v>
      </c>
      <c r="U7533">
        <v>0.49823000000000001</v>
      </c>
      <c r="V7533">
        <v>0.26344669999999998</v>
      </c>
      <c r="W7533">
        <v>-3.8863359999999998E-3</v>
      </c>
      <c r="X7533">
        <v>0.96466609999999997</v>
      </c>
      <c r="Y7533">
        <v>0.52831719999999904</v>
      </c>
      <c r="Z7533">
        <v>-0.14531759999999999</v>
      </c>
      <c r="AA7533">
        <v>0.83651880000000001</v>
      </c>
      <c r="AB7533">
        <v>34</v>
      </c>
      <c r="AC7533">
        <v>6.3559000000000099</v>
      </c>
      <c r="AD7533">
        <v>-1.0932154847540001</v>
      </c>
      <c r="AE7533">
        <v>0.91919999999998903</v>
      </c>
      <c r="AF7533">
        <v>3.4676070260552301</v>
      </c>
      <c r="AG7533">
        <v>-1.0932154847540001</v>
      </c>
      <c r="AH7533">
        <v>5.1892077826618301</v>
      </c>
      <c r="AI7533">
        <v>99.935251764740499</v>
      </c>
      <c r="AJ7533">
        <v>56.247792206569699</v>
      </c>
      <c r="AK7533">
        <v>6.3361893907057096</v>
      </c>
      <c r="AL7533">
        <v>90.2226712164574</v>
      </c>
      <c r="AM7533">
        <v>74.725205587911901</v>
      </c>
      <c r="AN7533">
        <v>0.99999997591880196</v>
      </c>
    </row>
    <row r="7534" spans="1:40" x14ac:dyDescent="0.25">
      <c r="A7534" t="str">
        <f>"20190312155023386"</f>
        <v>20190312155023386</v>
      </c>
      <c r="B7534" t="str">
        <f>"1552377023383221"</f>
        <v>1552377023383221</v>
      </c>
      <c r="C7534" t="s">
        <v>40</v>
      </c>
      <c r="D7534">
        <v>5.1184949999999896</v>
      </c>
      <c r="E7534">
        <v>0.62385789999999997</v>
      </c>
      <c r="F7534" t="s">
        <v>63</v>
      </c>
      <c r="G7534">
        <v>-170.9443</v>
      </c>
      <c r="H7534" s="1">
        <v>-2.4593279999999998E-6</v>
      </c>
      <c r="I7534">
        <v>135.77279999999999</v>
      </c>
      <c r="J7534">
        <v>-177.24799999999999</v>
      </c>
      <c r="K7534">
        <v>1.093197</v>
      </c>
      <c r="L7534">
        <v>134.9136</v>
      </c>
      <c r="M7534">
        <v>0.74965329999999997</v>
      </c>
      <c r="N7534">
        <v>0</v>
      </c>
      <c r="O7534">
        <v>0.66160790000000003</v>
      </c>
      <c r="P7534">
        <v>0.89760790000000001</v>
      </c>
      <c r="Q7534">
        <v>-1.026937E-2</v>
      </c>
      <c r="R7534">
        <v>0.44067519999999999</v>
      </c>
      <c r="S7534">
        <v>3.1138309999999998</v>
      </c>
      <c r="T7534">
        <v>-0.52778939999999996</v>
      </c>
      <c r="U7534">
        <v>0.47438049999999998</v>
      </c>
      <c r="V7534">
        <v>0.2635942</v>
      </c>
      <c r="W7534">
        <v>-4.0215809999999998E-3</v>
      </c>
      <c r="X7534">
        <v>0.96462530000000002</v>
      </c>
      <c r="Y7534">
        <v>0.52638779999999996</v>
      </c>
      <c r="Z7534">
        <v>-0.14551029999999901</v>
      </c>
      <c r="AA7534">
        <v>0.83770080000000002</v>
      </c>
      <c r="AB7534">
        <v>34</v>
      </c>
      <c r="AC7534">
        <v>6.3036999999999903</v>
      </c>
      <c r="AD7534">
        <v>-1.0931994593279999</v>
      </c>
      <c r="AE7534">
        <v>0.85919999999998697</v>
      </c>
      <c r="AF7534">
        <v>3.4258422441907501</v>
      </c>
      <c r="AG7534">
        <v>-1.0931994593279999</v>
      </c>
      <c r="AH7534">
        <v>5.1429694233726604</v>
      </c>
      <c r="AI7534">
        <v>100.032211413824</v>
      </c>
      <c r="AJ7534">
        <v>56.331564690955403</v>
      </c>
      <c r="AK7534">
        <v>6.27547724318263</v>
      </c>
      <c r="AL7534">
        <v>90.230420234214904</v>
      </c>
      <c r="AM7534">
        <v>74.716437083684198</v>
      </c>
      <c r="AN7534">
        <v>1.00000002239373</v>
      </c>
    </row>
    <row r="7535" spans="1:40" x14ac:dyDescent="0.25">
      <c r="A7535" t="str">
        <f>"20190312155023398"</f>
        <v>20190312155023398</v>
      </c>
      <c r="B7535" t="str">
        <f>"1552377023392980"</f>
        <v>1552377023392980</v>
      </c>
      <c r="C7535" t="s">
        <v>40</v>
      </c>
      <c r="D7535">
        <v>5.1343019999999999</v>
      </c>
      <c r="E7535">
        <v>0.6232434</v>
      </c>
      <c r="F7535" t="s">
        <v>63</v>
      </c>
      <c r="G7535">
        <v>-170.8485</v>
      </c>
      <c r="H7535" s="1">
        <v>-2.4309490000000002E-6</v>
      </c>
      <c r="I7535">
        <v>135.83199999999999</v>
      </c>
      <c r="J7535">
        <v>-177.0925</v>
      </c>
      <c r="K7535">
        <v>1.0931789999999999</v>
      </c>
      <c r="L7535">
        <v>135.04130000000001</v>
      </c>
      <c r="M7535">
        <v>0.75632659999999996</v>
      </c>
      <c r="N7535">
        <v>0</v>
      </c>
      <c r="O7535">
        <v>0.65396869999999996</v>
      </c>
      <c r="P7535">
        <v>0.90215500000000004</v>
      </c>
      <c r="Q7535">
        <v>-9.7567639999999994E-3</v>
      </c>
      <c r="R7535">
        <v>0.43130170000000001</v>
      </c>
      <c r="S7535">
        <v>3.1165620000000001</v>
      </c>
      <c r="T7535">
        <v>-0.53239360000000002</v>
      </c>
      <c r="U7535">
        <v>0.44725039999999999</v>
      </c>
      <c r="V7535">
        <v>0.26387969999999999</v>
      </c>
      <c r="W7535">
        <v>-3.5219240000000001E-3</v>
      </c>
      <c r="X7535">
        <v>0.9645492</v>
      </c>
      <c r="Y7535">
        <v>0.5249045</v>
      </c>
      <c r="Z7535">
        <v>-0.1457463</v>
      </c>
      <c r="AA7535">
        <v>0.83858999999999995</v>
      </c>
      <c r="AB7535">
        <v>34</v>
      </c>
      <c r="AC7535">
        <v>6.2439999999999998</v>
      </c>
      <c r="AD7535">
        <v>-1.093181430949</v>
      </c>
      <c r="AE7535">
        <v>0.79069999999998597</v>
      </c>
      <c r="AF7535">
        <v>3.38378461322942</v>
      </c>
      <c r="AG7535">
        <v>-1.093181430949</v>
      </c>
      <c r="AH7535">
        <v>5.0869065109108202</v>
      </c>
      <c r="AI7535">
        <v>100.144574995657</v>
      </c>
      <c r="AJ7535">
        <v>56.368348990879099</v>
      </c>
      <c r="AK7535">
        <v>6.2065821351567401</v>
      </c>
      <c r="AL7535">
        <v>90.201791792159199</v>
      </c>
      <c r="AM7535">
        <v>74.699508229021703</v>
      </c>
      <c r="AN7535">
        <v>1.0000000296206899</v>
      </c>
    </row>
    <row r="7536" spans="1:40" x14ac:dyDescent="0.25">
      <c r="A7536" t="str">
        <f>"20190312155023412"</f>
        <v>20190312155023412</v>
      </c>
      <c r="B7536" t="str">
        <f>"1552377023403716"</f>
        <v>1552377023403716</v>
      </c>
      <c r="C7536" t="s">
        <v>40</v>
      </c>
      <c r="D7536">
        <v>5.1998920000000002</v>
      </c>
      <c r="E7536">
        <v>0.62275230000000004</v>
      </c>
      <c r="F7536" t="s">
        <v>63</v>
      </c>
      <c r="G7536">
        <v>-170.68899999999999</v>
      </c>
      <c r="H7536" s="1">
        <v>-2.370983E-6</v>
      </c>
      <c r="I7536">
        <v>135.90199999999999</v>
      </c>
      <c r="J7536">
        <v>-176.93109999999999</v>
      </c>
      <c r="K7536">
        <v>1.09317</v>
      </c>
      <c r="L7536">
        <v>135.1713</v>
      </c>
      <c r="M7536">
        <v>0.76312729999999995</v>
      </c>
      <c r="N7536">
        <v>0</v>
      </c>
      <c r="O7536">
        <v>0.64601960000000003</v>
      </c>
      <c r="P7536">
        <v>0.90658090000000002</v>
      </c>
      <c r="Q7536">
        <v>-8.8252569999999995E-3</v>
      </c>
      <c r="R7536">
        <v>0.42193979999999998</v>
      </c>
      <c r="S7536">
        <v>3.1191710000000001</v>
      </c>
      <c r="T7536">
        <v>-0.53249340000000001</v>
      </c>
      <c r="U7536">
        <v>0.41928100000000001</v>
      </c>
      <c r="V7536">
        <v>0.26381559999999998</v>
      </c>
      <c r="W7536">
        <v>-2.5871869999999999E-3</v>
      </c>
      <c r="X7536">
        <v>0.96456969999999997</v>
      </c>
      <c r="Y7536">
        <v>0.52362969999999998</v>
      </c>
      <c r="Z7536">
        <v>-0.1447273</v>
      </c>
      <c r="AA7536">
        <v>0.83956299999999995</v>
      </c>
      <c r="AB7536">
        <v>34</v>
      </c>
      <c r="AC7536">
        <v>6.2420999999999598</v>
      </c>
      <c r="AD7536">
        <v>-1.0931723709829999</v>
      </c>
      <c r="AE7536">
        <v>0.73070000000001301</v>
      </c>
      <c r="AF7536">
        <v>3.3733525362556498</v>
      </c>
      <c r="AG7536">
        <v>-1.0931723709829999</v>
      </c>
      <c r="AH7536">
        <v>5.08256120363178</v>
      </c>
      <c r="AI7536">
        <v>100.15978725891701</v>
      </c>
      <c r="AJ7536">
        <v>56.427326923234197</v>
      </c>
      <c r="AK7536">
        <v>6.1973350365464297</v>
      </c>
      <c r="AL7536">
        <v>90.148235056055697</v>
      </c>
      <c r="AM7536">
        <v>74.703360669770007</v>
      </c>
      <c r="AN7536">
        <v>1.0000000352490099</v>
      </c>
    </row>
    <row r="7537" spans="1:40" x14ac:dyDescent="0.25">
      <c r="A7537" t="str">
        <f>"20190312155023428"</f>
        <v>20190312155023428</v>
      </c>
      <c r="B7537" t="str">
        <f>"1552377023423235"</f>
        <v>1552377023423235</v>
      </c>
      <c r="C7537" t="s">
        <v>40</v>
      </c>
      <c r="D7537">
        <v>5.1278040000000003</v>
      </c>
      <c r="E7537">
        <v>0.62141899999999906</v>
      </c>
      <c r="F7537" t="s">
        <v>63</v>
      </c>
      <c r="G7537">
        <v>-170.5275</v>
      </c>
      <c r="H7537" s="1">
        <v>-2.310002E-6</v>
      </c>
      <c r="I7537">
        <v>135.97219999999999</v>
      </c>
      <c r="J7537">
        <v>-176.74160000000001</v>
      </c>
      <c r="K7537">
        <v>1.093156</v>
      </c>
      <c r="L7537">
        <v>135.321</v>
      </c>
      <c r="M7537">
        <v>0.77095789999999997</v>
      </c>
      <c r="N7537">
        <v>0</v>
      </c>
      <c r="O7537">
        <v>0.63665399999999905</v>
      </c>
      <c r="P7537">
        <v>0.91148300000000004</v>
      </c>
      <c r="Q7537">
        <v>-8.0969600000000003E-3</v>
      </c>
      <c r="R7537">
        <v>0.41125830000000002</v>
      </c>
      <c r="S7537">
        <v>3.122223</v>
      </c>
      <c r="T7537">
        <v>-0.53299859999999999</v>
      </c>
      <c r="U7537">
        <v>0.3904724</v>
      </c>
      <c r="V7537">
        <v>0.26340570000000002</v>
      </c>
      <c r="W7537">
        <v>-1.8400650000000001E-3</v>
      </c>
      <c r="X7537">
        <v>0.96468339999999997</v>
      </c>
      <c r="Y7537">
        <v>0.52113500000000001</v>
      </c>
      <c r="Z7537">
        <v>-0.1434975</v>
      </c>
      <c r="AA7537">
        <v>0.84132439999999997</v>
      </c>
      <c r="AB7537">
        <v>34</v>
      </c>
      <c r="AC7537">
        <v>6.2141000000000002</v>
      </c>
      <c r="AD7537">
        <v>-1.0931583100019999</v>
      </c>
      <c r="AE7537">
        <v>0.65119999999998801</v>
      </c>
      <c r="AF7537">
        <v>3.35208640793984</v>
      </c>
      <c r="AG7537">
        <v>-1.0931583100019999</v>
      </c>
      <c r="AH7537">
        <v>5.05153941486628</v>
      </c>
      <c r="AI7537">
        <v>100.221356499761</v>
      </c>
      <c r="AJ7537">
        <v>56.432654801505002</v>
      </c>
      <c r="AK7537">
        <v>6.1603188908504602</v>
      </c>
      <c r="AL7537">
        <v>90.105428017450606</v>
      </c>
      <c r="AM7537">
        <v>74.727732867310706</v>
      </c>
      <c r="AN7537">
        <v>1.00000000543362</v>
      </c>
    </row>
    <row r="7538" spans="1:40" x14ac:dyDescent="0.25">
      <c r="A7538" t="str">
        <f>"20190312155023444"</f>
        <v>20190312155023444</v>
      </c>
      <c r="B7538" t="str">
        <f>"1552377023432996"</f>
        <v>1552377023432996</v>
      </c>
      <c r="C7538" t="s">
        <v>40</v>
      </c>
      <c r="D7538">
        <v>5.1886720000000004</v>
      </c>
      <c r="E7538">
        <v>0.62075839999999904</v>
      </c>
      <c r="F7538" t="s">
        <v>63</v>
      </c>
      <c r="G7538">
        <v>-170.34690000000001</v>
      </c>
      <c r="H7538" s="1">
        <v>-2.2483679999999999E-6</v>
      </c>
      <c r="I7538">
        <v>136.06549999999999</v>
      </c>
      <c r="J7538">
        <v>-176.53989999999999</v>
      </c>
      <c r="K7538">
        <v>1.093146</v>
      </c>
      <c r="L7538">
        <v>135.4761</v>
      </c>
      <c r="M7538">
        <v>0.77909729999999999</v>
      </c>
      <c r="N7538">
        <v>0</v>
      </c>
      <c r="O7538">
        <v>0.62666699999999997</v>
      </c>
      <c r="P7538">
        <v>0.91654089999999999</v>
      </c>
      <c r="Q7538">
        <v>-7.8543019999999901E-3</v>
      </c>
      <c r="R7538">
        <v>0.39986389999999999</v>
      </c>
      <c r="S7538">
        <v>3.1225740000000002</v>
      </c>
      <c r="T7538">
        <v>-0.533794199999999</v>
      </c>
      <c r="U7538">
        <v>0.36355589999999999</v>
      </c>
      <c r="V7538">
        <v>0.26301239999999998</v>
      </c>
      <c r="W7538">
        <v>-1.5788060000000001E-3</v>
      </c>
      <c r="X7538">
        <v>0.96479119999999996</v>
      </c>
      <c r="Y7538">
        <v>0.5174668</v>
      </c>
      <c r="Z7538">
        <v>-0.1422467</v>
      </c>
      <c r="AA7538">
        <v>0.84379729999999997</v>
      </c>
      <c r="AB7538">
        <v>34</v>
      </c>
      <c r="AC7538">
        <v>6.1929999999999801</v>
      </c>
      <c r="AD7538">
        <v>-1.093148248368</v>
      </c>
      <c r="AE7538">
        <v>0.58939999999998305</v>
      </c>
      <c r="AF7538">
        <v>3.3197500182541102</v>
      </c>
      <c r="AG7538">
        <v>-1.093148248368</v>
      </c>
      <c r="AH7538">
        <v>5.0394702287086801</v>
      </c>
      <c r="AI7538">
        <v>100.267520333623</v>
      </c>
      <c r="AJ7538">
        <v>56.625113735433501</v>
      </c>
      <c r="AK7538">
        <v>6.1328601372157001</v>
      </c>
      <c r="AL7538">
        <v>90.090458954667795</v>
      </c>
      <c r="AM7538">
        <v>74.751098447626902</v>
      </c>
      <c r="AN7538">
        <v>1.0000000373897899</v>
      </c>
    </row>
    <row r="7539" spans="1:40" x14ac:dyDescent="0.25">
      <c r="A7539" t="str">
        <f>"20190312155023459"</f>
        <v>20190312155023459</v>
      </c>
      <c r="B7539" t="str">
        <f>"1552377023453492"</f>
        <v>1552377023453492</v>
      </c>
      <c r="C7539" t="s">
        <v>40</v>
      </c>
      <c r="D7539">
        <v>5.1833799999999997</v>
      </c>
      <c r="E7539">
        <v>0.62022270000000002</v>
      </c>
      <c r="F7539" t="s">
        <v>63</v>
      </c>
      <c r="G7539">
        <v>-170.14500000000001</v>
      </c>
      <c r="H7539" s="1">
        <v>-2.1710239999999999E-6</v>
      </c>
      <c r="I7539">
        <v>136.1508</v>
      </c>
      <c r="J7539">
        <v>-176.35480000000001</v>
      </c>
      <c r="K7539">
        <v>1.0931379999999999</v>
      </c>
      <c r="L7539">
        <v>135.614</v>
      </c>
      <c r="M7539">
        <v>0.78638599999999903</v>
      </c>
      <c r="N7539">
        <v>0</v>
      </c>
      <c r="O7539">
        <v>0.61749580000000004</v>
      </c>
      <c r="P7539">
        <v>0.92094549999999997</v>
      </c>
      <c r="Q7539">
        <v>-7.4230850000000003E-3</v>
      </c>
      <c r="R7539">
        <v>0.38962069999999999</v>
      </c>
      <c r="S7539">
        <v>3.1247560000000001</v>
      </c>
      <c r="T7539">
        <v>-0.53414510000000004</v>
      </c>
      <c r="U7539">
        <v>0.32969670000000001</v>
      </c>
      <c r="V7539">
        <v>0.26248460000000001</v>
      </c>
      <c r="W7539">
        <v>-1.122039E-3</v>
      </c>
      <c r="X7539">
        <v>0.96493549999999995</v>
      </c>
      <c r="Y7539">
        <v>0.51669709999999902</v>
      </c>
      <c r="Z7539">
        <v>-0.14115229999999901</v>
      </c>
      <c r="AA7539">
        <v>0.8444526</v>
      </c>
      <c r="AB7539">
        <v>34</v>
      </c>
      <c r="AC7539">
        <v>6.2098000000000004</v>
      </c>
      <c r="AD7539">
        <v>-1.0931401710240001</v>
      </c>
      <c r="AE7539">
        <v>0.53679999999999894</v>
      </c>
      <c r="AF7539">
        <v>3.3110558864436901</v>
      </c>
      <c r="AG7539">
        <v>-1.0931401710240001</v>
      </c>
      <c r="AH7539">
        <v>5.0599089466053098</v>
      </c>
      <c r="AI7539">
        <v>100.24698146227</v>
      </c>
      <c r="AJ7539">
        <v>56.800441993476198</v>
      </c>
      <c r="AK7539">
        <v>6.14497559511803</v>
      </c>
      <c r="AL7539">
        <v>90.064288114458904</v>
      </c>
      <c r="AM7539">
        <v>74.782449009864706</v>
      </c>
      <c r="AN7539">
        <v>0.99999997168446297</v>
      </c>
    </row>
    <row r="7540" spans="1:40" x14ac:dyDescent="0.25">
      <c r="A7540" t="str">
        <f>"20190312155023472"</f>
        <v>20190312155023472</v>
      </c>
      <c r="B7540" t="str">
        <f>"1552377023463252"</f>
        <v>1552377023463252</v>
      </c>
      <c r="C7540" t="s">
        <v>40</v>
      </c>
      <c r="D7540">
        <v>5.201619</v>
      </c>
      <c r="E7540">
        <v>0.6122879</v>
      </c>
      <c r="F7540" t="s">
        <v>42</v>
      </c>
      <c r="G7540">
        <v>-169.9537</v>
      </c>
      <c r="H7540" s="1">
        <v>-9.0412580000000005E-7</v>
      </c>
      <c r="I7540">
        <v>136.22579999999999</v>
      </c>
      <c r="J7540">
        <v>-176.20079999999999</v>
      </c>
      <c r="K7540">
        <v>1.0931470000000001</v>
      </c>
      <c r="L7540">
        <v>135.72659999999999</v>
      </c>
      <c r="M7540">
        <v>0.79233030000000004</v>
      </c>
      <c r="N7540">
        <v>0</v>
      </c>
      <c r="O7540">
        <v>0.60984969999999905</v>
      </c>
      <c r="P7540">
        <v>0.92425670000000004</v>
      </c>
      <c r="Q7540">
        <v>-7.4190430000000002E-3</v>
      </c>
      <c r="R7540">
        <v>0.38169960000000003</v>
      </c>
      <c r="S7540">
        <v>3.1268159999999998</v>
      </c>
      <c r="T7540">
        <v>-0.53398419999999902</v>
      </c>
      <c r="U7540">
        <v>0.29881289999999999</v>
      </c>
      <c r="V7540">
        <v>0.26142369999999998</v>
      </c>
      <c r="W7540">
        <v>-1.0693250000000001E-3</v>
      </c>
      <c r="X7540">
        <v>0.96522359999999896</v>
      </c>
      <c r="Y7540">
        <v>0.51686650000000001</v>
      </c>
      <c r="Z7540">
        <v>-0.14017070000000001</v>
      </c>
      <c r="AA7540">
        <v>0.8445125</v>
      </c>
      <c r="AB7540">
        <v>34</v>
      </c>
      <c r="AC7540">
        <v>6.2470999999999801</v>
      </c>
      <c r="AD7540">
        <v>-1.0931479041258001</v>
      </c>
      <c r="AE7540">
        <v>0.49920000000000098</v>
      </c>
      <c r="AF7540">
        <v>3.31393829982995</v>
      </c>
      <c r="AG7540">
        <v>-1.0931479041258001</v>
      </c>
      <c r="AH7540">
        <v>5.0998173983147002</v>
      </c>
      <c r="AI7540">
        <v>100.189316687749</v>
      </c>
      <c r="AJ7540">
        <v>56.983580935200401</v>
      </c>
      <c r="AK7540">
        <v>6.1794252881257297</v>
      </c>
      <c r="AL7540">
        <v>90.061267818274203</v>
      </c>
      <c r="AM7540">
        <v>74.845435601435</v>
      </c>
      <c r="AN7540">
        <v>1.0000000461873</v>
      </c>
    </row>
    <row r="7541" spans="1:40" x14ac:dyDescent="0.25">
      <c r="A7541" t="str">
        <f>"20190312155023483"</f>
        <v>20190312155023483</v>
      </c>
      <c r="B7541" t="str">
        <f>"1552377023473013"</f>
        <v>1552377023473013</v>
      </c>
      <c r="C7541" t="s">
        <v>40</v>
      </c>
      <c r="D7541">
        <v>5.1724019999999999</v>
      </c>
      <c r="E7541">
        <v>0.61146519999999904</v>
      </c>
      <c r="F7541" t="s">
        <v>63</v>
      </c>
      <c r="G7541">
        <v>-170.1669</v>
      </c>
      <c r="H7541" s="1">
        <v>-2.2807309999999998E-6</v>
      </c>
      <c r="I7541">
        <v>136.37029999999999</v>
      </c>
      <c r="J7541">
        <v>-176.03960000000001</v>
      </c>
      <c r="K7541">
        <v>1.0931439999999999</v>
      </c>
      <c r="L7541">
        <v>135.8426</v>
      </c>
      <c r="M7541">
        <v>0.79845049999999995</v>
      </c>
      <c r="N7541">
        <v>0</v>
      </c>
      <c r="O7541">
        <v>0.60181439999999997</v>
      </c>
      <c r="P7541">
        <v>0.92798820000000004</v>
      </c>
      <c r="Q7541">
        <v>-7.8364560000000003E-3</v>
      </c>
      <c r="R7541">
        <v>0.3725272</v>
      </c>
      <c r="S7541">
        <v>3.104568</v>
      </c>
      <c r="T7541">
        <v>-0.56244700000000003</v>
      </c>
      <c r="U7541">
        <v>0.33120729999999998</v>
      </c>
      <c r="V7541">
        <v>0.2612141</v>
      </c>
      <c r="W7541">
        <v>-1.4754130000000001E-3</v>
      </c>
      <c r="X7541">
        <v>0.96527980000000002</v>
      </c>
      <c r="Y7541">
        <v>0.49746259999999998</v>
      </c>
      <c r="Z7541">
        <v>-0.14552889999999999</v>
      </c>
      <c r="AA7541">
        <v>0.85519140000000005</v>
      </c>
      <c r="AB7541">
        <v>34</v>
      </c>
      <c r="AC7541">
        <v>5.8727</v>
      </c>
      <c r="AD7541">
        <v>-1.093146280731</v>
      </c>
      <c r="AE7541">
        <v>0.52769999999998096</v>
      </c>
      <c r="AF7541">
        <v>3.0099404915782699</v>
      </c>
      <c r="AG7541">
        <v>-1.093146280731</v>
      </c>
      <c r="AH7541">
        <v>4.84099114761593</v>
      </c>
      <c r="AI7541">
        <v>100.855565493038</v>
      </c>
      <c r="AJ7541">
        <v>58.128254139228503</v>
      </c>
      <c r="AK7541">
        <v>5.8043006336004197</v>
      </c>
      <c r="AL7541">
        <v>90.084534965431402</v>
      </c>
      <c r="AM7541">
        <v>74.857868970212493</v>
      </c>
      <c r="AN7541">
        <v>1.0000000375851801</v>
      </c>
    </row>
    <row r="7542" spans="1:40" x14ac:dyDescent="0.25">
      <c r="A7542" t="str">
        <f>"20190312155023498"</f>
        <v>20190312155023498</v>
      </c>
      <c r="B7542" t="str">
        <f>"1552377023493508"</f>
        <v>1552377023493508</v>
      </c>
      <c r="C7542" t="s">
        <v>40</v>
      </c>
      <c r="D7542">
        <v>5.2153769999999904</v>
      </c>
      <c r="E7542">
        <v>0.61055780000000004</v>
      </c>
      <c r="F7542" t="s">
        <v>42</v>
      </c>
      <c r="G7542">
        <v>-169.94120000000001</v>
      </c>
      <c r="H7542" s="1">
        <v>-8.5089569999999899E-7</v>
      </c>
      <c r="I7542">
        <v>136.44390000000001</v>
      </c>
      <c r="J7542">
        <v>-175.87350000000001</v>
      </c>
      <c r="K7542">
        <v>1.0931409999999999</v>
      </c>
      <c r="L7542">
        <v>135.95840000000001</v>
      </c>
      <c r="M7542">
        <v>0.80461329999999998</v>
      </c>
      <c r="N7542">
        <v>0</v>
      </c>
      <c r="O7542">
        <v>0.59354960000000001</v>
      </c>
      <c r="P7542">
        <v>0.93153050000000004</v>
      </c>
      <c r="Q7542">
        <v>-7.9229209999999994E-3</v>
      </c>
      <c r="R7542">
        <v>0.36357699999999998</v>
      </c>
      <c r="S7542">
        <v>3.1051790000000001</v>
      </c>
      <c r="T7542">
        <v>-0.55660799999999999</v>
      </c>
      <c r="U7542">
        <v>0.30618289999999998</v>
      </c>
      <c r="V7542">
        <v>0.2605499</v>
      </c>
      <c r="W7542">
        <v>-1.529393E-3</v>
      </c>
      <c r="X7542">
        <v>0.96545919999999996</v>
      </c>
      <c r="Y7542">
        <v>0.49586970000000002</v>
      </c>
      <c r="Z7542">
        <v>-0.14282919999999999</v>
      </c>
      <c r="AA7542">
        <v>0.85657050000000001</v>
      </c>
      <c r="AB7542">
        <v>34</v>
      </c>
      <c r="AC7542">
        <v>5.9322999999999899</v>
      </c>
      <c r="AD7542">
        <v>-1.09314185089569</v>
      </c>
      <c r="AE7542">
        <v>0.48550000000000099</v>
      </c>
      <c r="AF7542">
        <v>3.0287797229330198</v>
      </c>
      <c r="AG7542">
        <v>-1.09314185089569</v>
      </c>
      <c r="AH7542">
        <v>4.8969548397862104</v>
      </c>
      <c r="AI7542">
        <v>100.749674193651</v>
      </c>
      <c r="AJ7542">
        <v>58.2630976426967</v>
      </c>
      <c r="AK7542">
        <v>5.8607706335545604</v>
      </c>
      <c r="AL7542">
        <v>90.087627795811102</v>
      </c>
      <c r="AM7542">
        <v>74.897288593440393</v>
      </c>
      <c r="AN7542">
        <v>1.00000002814879</v>
      </c>
    </row>
    <row r="7543" spans="1:40" x14ac:dyDescent="0.25">
      <c r="A7543" t="str">
        <f>"20190312155023509"</f>
        <v>20190312155023509</v>
      </c>
      <c r="B7543" t="str">
        <f>"1552377023503268"</f>
        <v>1552377023503268</v>
      </c>
      <c r="C7543" t="s">
        <v>40</v>
      </c>
      <c r="D7543">
        <v>5.1937920000000002</v>
      </c>
      <c r="E7543">
        <v>0.61002000000000001</v>
      </c>
      <c r="F7543" t="s">
        <v>42</v>
      </c>
      <c r="G7543">
        <v>-169.69</v>
      </c>
      <c r="H7543" s="1">
        <v>-9.2691330000000004E-7</v>
      </c>
      <c r="I7543">
        <v>136.52080000000001</v>
      </c>
      <c r="J7543">
        <v>-175.72130000000001</v>
      </c>
      <c r="K7543">
        <v>1.093143</v>
      </c>
      <c r="L7543">
        <v>136.06290000000001</v>
      </c>
      <c r="M7543">
        <v>0.81016319999999997</v>
      </c>
      <c r="N7543">
        <v>0</v>
      </c>
      <c r="O7543">
        <v>0.58595160000000002</v>
      </c>
      <c r="P7543">
        <v>0.93467290000000003</v>
      </c>
      <c r="Q7543">
        <v>-7.7962909999999899E-3</v>
      </c>
      <c r="R7543">
        <v>0.35542360000000001</v>
      </c>
      <c r="S7543">
        <v>3.1056210000000002</v>
      </c>
      <c r="T7543">
        <v>-0.54902550000000006</v>
      </c>
      <c r="U7543">
        <v>0.28245540000000002</v>
      </c>
      <c r="V7543">
        <v>0.25990669999999999</v>
      </c>
      <c r="W7543">
        <v>-1.371045E-3</v>
      </c>
      <c r="X7543">
        <v>0.96563270000000001</v>
      </c>
      <c r="Y7543">
        <v>0.49477959999999899</v>
      </c>
      <c r="Z7543">
        <v>-0.13983809999999999</v>
      </c>
      <c r="AA7543">
        <v>0.8576937</v>
      </c>
      <c r="AB7543">
        <v>34</v>
      </c>
      <c r="AC7543">
        <v>6.0313000000000097</v>
      </c>
      <c r="AD7543">
        <v>-1.0931439269133001</v>
      </c>
      <c r="AE7543">
        <v>0.45789999999999498</v>
      </c>
      <c r="AF7543">
        <v>3.0634866701510601</v>
      </c>
      <c r="AG7543">
        <v>-1.0931439269133001</v>
      </c>
      <c r="AH7543">
        <v>4.9923505086874096</v>
      </c>
      <c r="AI7543">
        <v>100.57137279105</v>
      </c>
      <c r="AJ7543">
        <v>58.465217615998803</v>
      </c>
      <c r="AK7543">
        <v>5.9584794893271402</v>
      </c>
      <c r="AL7543">
        <v>90.078555121198207</v>
      </c>
      <c r="AM7543">
        <v>74.935458482521696</v>
      </c>
      <c r="AN7543">
        <v>0.99999994188928398</v>
      </c>
    </row>
    <row r="7544" spans="1:40" x14ac:dyDescent="0.25">
      <c r="A7544" t="str">
        <f>"20190312155023523"</f>
        <v>20190312155023523</v>
      </c>
      <c r="B7544" t="str">
        <f>"1552377023513028"</f>
        <v>1552377023513028</v>
      </c>
      <c r="C7544" t="s">
        <v>40</v>
      </c>
      <c r="D7544">
        <v>5.2050359999999998</v>
      </c>
      <c r="E7544">
        <v>0.60950019999999905</v>
      </c>
      <c r="F7544" t="s">
        <v>42</v>
      </c>
      <c r="G7544">
        <v>-169.4821</v>
      </c>
      <c r="H7544" s="1">
        <v>-9.9015790000000003E-7</v>
      </c>
      <c r="I7544">
        <v>136.583</v>
      </c>
      <c r="J7544">
        <v>-175.5316</v>
      </c>
      <c r="K7544">
        <v>1.0931569999999999</v>
      </c>
      <c r="L7544">
        <v>136.19040000000001</v>
      </c>
      <c r="M7544">
        <v>0.81693850000000001</v>
      </c>
      <c r="N7544">
        <v>0</v>
      </c>
      <c r="O7544">
        <v>0.57646779999999997</v>
      </c>
      <c r="P7544">
        <v>0.93827369999999999</v>
      </c>
      <c r="Q7544">
        <v>-6.8932919999999996E-3</v>
      </c>
      <c r="R7544">
        <v>0.3458251</v>
      </c>
      <c r="S7544">
        <v>3.1066739999999999</v>
      </c>
      <c r="T7544">
        <v>-0.54431390000000002</v>
      </c>
      <c r="U7544">
        <v>0.25897219999999999</v>
      </c>
      <c r="V7544">
        <v>0.25858829999999999</v>
      </c>
      <c r="W7544">
        <v>-4.0468760000000002E-4</v>
      </c>
      <c r="X7544">
        <v>0.96598759999999995</v>
      </c>
      <c r="Y7544">
        <v>0.49159849999999999</v>
      </c>
      <c r="Z7544">
        <v>-0.13709849999999901</v>
      </c>
      <c r="AA7544">
        <v>0.85996219999999901</v>
      </c>
      <c r="AB7544">
        <v>34</v>
      </c>
      <c r="AC7544">
        <v>6.0494999999999903</v>
      </c>
      <c r="AD7544">
        <v>-1.0931579901578901</v>
      </c>
      <c r="AE7544">
        <v>0.39259999999998701</v>
      </c>
      <c r="AF7544">
        <v>3.0673424972518499</v>
      </c>
      <c r="AG7544">
        <v>-1.0931579901578901</v>
      </c>
      <c r="AH7544">
        <v>5.0063679968295496</v>
      </c>
      <c r="AI7544">
        <v>100.546925232211</v>
      </c>
      <c r="AJ7544">
        <v>58.504690780506699</v>
      </c>
      <c r="AK7544">
        <v>5.9722110567672004</v>
      </c>
      <c r="AL7544">
        <v>90.023186890789006</v>
      </c>
      <c r="AM7544">
        <v>75.013686292966895</v>
      </c>
      <c r="AN7544">
        <v>1.0000000580113499</v>
      </c>
    </row>
    <row r="7545" spans="1:40" x14ac:dyDescent="0.25">
      <c r="A7545" t="str">
        <f>"20190312155023537"</f>
        <v>20190312155023537</v>
      </c>
      <c r="B7545" t="str">
        <f>"1552377023533524"</f>
        <v>1552377023533524</v>
      </c>
      <c r="C7545" t="s">
        <v>40</v>
      </c>
      <c r="D7545">
        <v>5.203106</v>
      </c>
      <c r="E7545">
        <v>0.60836330000000005</v>
      </c>
      <c r="F7545" t="s">
        <v>42</v>
      </c>
      <c r="G7545">
        <v>-169.2055</v>
      </c>
      <c r="H7545" s="1">
        <v>-1.075917E-6</v>
      </c>
      <c r="I7545">
        <v>136.66</v>
      </c>
      <c r="J7545">
        <v>-175.37520000000001</v>
      </c>
      <c r="K7545">
        <v>1.0931660000000001</v>
      </c>
      <c r="L7545">
        <v>136.29230000000001</v>
      </c>
      <c r="M7545">
        <v>0.82240139999999995</v>
      </c>
      <c r="N7545">
        <v>0</v>
      </c>
      <c r="O7545">
        <v>0.56864700000000001</v>
      </c>
      <c r="P7545">
        <v>0.94134430000000002</v>
      </c>
      <c r="Q7545">
        <v>-6.2769380000000001E-3</v>
      </c>
      <c r="R7545">
        <v>0.33738960000000001</v>
      </c>
      <c r="S7545">
        <v>3.108368</v>
      </c>
      <c r="T7545">
        <v>-0.53712689999999996</v>
      </c>
      <c r="U7545">
        <v>0.23072809999999999</v>
      </c>
      <c r="V7545">
        <v>0.25806899999999999</v>
      </c>
      <c r="W7545">
        <v>2.3919720000000001E-4</v>
      </c>
      <c r="X7545">
        <v>0.96612640000000005</v>
      </c>
      <c r="Y7545">
        <v>0.49163699999999999</v>
      </c>
      <c r="Z7545">
        <v>-0.1342585</v>
      </c>
      <c r="AA7545">
        <v>0.86038819999999905</v>
      </c>
      <c r="AB7545">
        <v>34</v>
      </c>
      <c r="AC7545">
        <v>6.1696999999999997</v>
      </c>
      <c r="AD7545">
        <v>-1.093167075917</v>
      </c>
      <c r="AE7545">
        <v>0.36769999999998398</v>
      </c>
      <c r="AF7545">
        <v>3.1091955954106001</v>
      </c>
      <c r="AG7545">
        <v>-1.093167075917</v>
      </c>
      <c r="AH7545">
        <v>5.1235655700609097</v>
      </c>
      <c r="AI7545">
        <v>100.337240389599</v>
      </c>
      <c r="AJ7545">
        <v>58.748858335922101</v>
      </c>
      <c r="AK7545">
        <v>6.0920469184916204</v>
      </c>
      <c r="AL7545">
        <v>89.986295009061905</v>
      </c>
      <c r="AM7545">
        <v>75.044484464752401</v>
      </c>
      <c r="AN7545">
        <v>0.99999994337662801</v>
      </c>
    </row>
    <row r="7546" spans="1:40" x14ac:dyDescent="0.25">
      <c r="A7546" t="str">
        <f>"20190312155023554"</f>
        <v>20190312155023554</v>
      </c>
      <c r="B7546" t="str">
        <f>"1552377023543284"</f>
        <v>1552377023543284</v>
      </c>
      <c r="C7546" t="s">
        <v>40</v>
      </c>
      <c r="D7546">
        <v>5.2318129999999998</v>
      </c>
      <c r="E7546">
        <v>0.60836330000000005</v>
      </c>
      <c r="F7546" t="s">
        <v>42</v>
      </c>
      <c r="G7546">
        <v>-169.0359</v>
      </c>
      <c r="H7546" s="1">
        <v>-1.124086E-6</v>
      </c>
      <c r="I7546">
        <v>136.72370000000001</v>
      </c>
      <c r="J7546">
        <v>-175.1534</v>
      </c>
      <c r="K7546">
        <v>1.09317999999999</v>
      </c>
      <c r="L7546">
        <v>136.43389999999999</v>
      </c>
      <c r="M7546">
        <v>0.82997880000000002</v>
      </c>
      <c r="N7546">
        <v>0</v>
      </c>
      <c r="O7546">
        <v>0.5575291</v>
      </c>
      <c r="P7546">
        <v>0.94559360000000003</v>
      </c>
      <c r="Q7546">
        <v>-5.438305E-3</v>
      </c>
      <c r="R7546">
        <v>0.3253047</v>
      </c>
      <c r="S7546">
        <v>3.1075590000000002</v>
      </c>
      <c r="T7546">
        <v>-0.53588139999999995</v>
      </c>
      <c r="U7546">
        <v>0.2114868</v>
      </c>
      <c r="V7546">
        <v>0.25747989999999998</v>
      </c>
      <c r="W7546">
        <v>1.111332E-3</v>
      </c>
      <c r="X7546">
        <v>0.966283</v>
      </c>
      <c r="Y7546">
        <v>0.48554370000000002</v>
      </c>
      <c r="Z7546">
        <v>-0.13196160000000001</v>
      </c>
      <c r="AA7546">
        <v>0.8641953</v>
      </c>
      <c r="AB7546">
        <v>34</v>
      </c>
      <c r="AC7546">
        <v>6.1174999999999997</v>
      </c>
      <c r="AD7546">
        <v>-1.0931811240860001</v>
      </c>
      <c r="AE7546">
        <v>0.28980000000001299</v>
      </c>
      <c r="AF7546">
        <v>3.07272561434658</v>
      </c>
      <c r="AG7546">
        <v>-1.0931811240860001</v>
      </c>
      <c r="AH7546">
        <v>5.0779541260819299</v>
      </c>
      <c r="AI7546">
        <v>100.436023858439</v>
      </c>
      <c r="AJ7546">
        <v>58.821408660855397</v>
      </c>
      <c r="AK7546">
        <v>6.0350895418139396</v>
      </c>
      <c r="AL7546">
        <v>89.936325352701701</v>
      </c>
      <c r="AM7546">
        <v>75.0794096310036</v>
      </c>
      <c r="AN7546">
        <v>0.99999998502591103</v>
      </c>
    </row>
    <row r="7547" spans="1:40" x14ac:dyDescent="0.25">
      <c r="A7547" t="str">
        <f>"20190312155023567"</f>
        <v>20190312155023567</v>
      </c>
      <c r="B7547" t="str">
        <f>"1552377023563780"</f>
        <v>1552377023563780</v>
      </c>
      <c r="C7547" t="s">
        <v>40</v>
      </c>
      <c r="D7547">
        <v>5.2223290000000002</v>
      </c>
      <c r="E7547">
        <v>0.59990779999999999</v>
      </c>
      <c r="F7547" t="s">
        <v>42</v>
      </c>
      <c r="G7547">
        <v>-168.77510000000001</v>
      </c>
      <c r="H7547" s="1">
        <v>-1.2077520000000001E-6</v>
      </c>
      <c r="I7547">
        <v>136.78569999999999</v>
      </c>
      <c r="J7547">
        <v>-174.97929999999999</v>
      </c>
      <c r="K7547">
        <v>1.0931900000000001</v>
      </c>
      <c r="L7547">
        <v>136.54249999999999</v>
      </c>
      <c r="M7547">
        <v>0.835788999999999</v>
      </c>
      <c r="N7547">
        <v>0</v>
      </c>
      <c r="O7547">
        <v>0.54878059999999995</v>
      </c>
      <c r="P7547">
        <v>0.9486504</v>
      </c>
      <c r="Q7547">
        <v>-4.5910170000000002E-3</v>
      </c>
      <c r="R7547">
        <v>0.3162933</v>
      </c>
      <c r="S7547">
        <v>3.1105499999999999</v>
      </c>
      <c r="T7547">
        <v>-0.53312079999999995</v>
      </c>
      <c r="U7547">
        <v>0.17158509999999999</v>
      </c>
      <c r="V7547">
        <v>0.25656010000000001</v>
      </c>
      <c r="W7547">
        <v>2.0054000000000001E-3</v>
      </c>
      <c r="X7547">
        <v>0.9665262</v>
      </c>
      <c r="Y7547">
        <v>0.48774830000000002</v>
      </c>
      <c r="Z7547">
        <v>-0.13024259999999999</v>
      </c>
      <c r="AA7547">
        <v>0.86321409999999998</v>
      </c>
      <c r="AB7547">
        <v>34</v>
      </c>
      <c r="AC7547">
        <v>6.2041999999999797</v>
      </c>
      <c r="AD7547">
        <v>-1.0931912077519901</v>
      </c>
      <c r="AE7547">
        <v>0.243200000000001</v>
      </c>
      <c r="AF7547">
        <v>3.1056812176198498</v>
      </c>
      <c r="AG7547">
        <v>-1.0931912077519901</v>
      </c>
      <c r="AH7547">
        <v>5.1597065022611703</v>
      </c>
      <c r="AI7547">
        <v>100.28855997639</v>
      </c>
      <c r="AJ7547">
        <v>58.955825842753796</v>
      </c>
      <c r="AK7547">
        <v>6.1206939174949104</v>
      </c>
      <c r="AL7547">
        <v>89.8850989668544</v>
      </c>
      <c r="AM7547">
        <v>75.133921343996093</v>
      </c>
      <c r="AN7547">
        <v>1.0000000009137999</v>
      </c>
    </row>
    <row r="7548" spans="1:40" x14ac:dyDescent="0.25">
      <c r="A7548" t="str">
        <f>"20190312155023579"</f>
        <v>20190312155023579</v>
      </c>
      <c r="B7548" t="str">
        <f>"1552377023573541"</f>
        <v>1552377023573541</v>
      </c>
      <c r="C7548" t="s">
        <v>40</v>
      </c>
      <c r="D7548">
        <v>5.2556089999999998</v>
      </c>
      <c r="E7548">
        <v>0.60012949999999998</v>
      </c>
      <c r="F7548" t="s">
        <v>42</v>
      </c>
      <c r="G7548">
        <v>-168.482</v>
      </c>
      <c r="H7548" s="1">
        <v>-1.269974E-6</v>
      </c>
      <c r="I7548">
        <v>136.97489999999999</v>
      </c>
      <c r="J7548">
        <v>-174.80619999999999</v>
      </c>
      <c r="K7548">
        <v>1.093207</v>
      </c>
      <c r="L7548">
        <v>136.6472</v>
      </c>
      <c r="M7548">
        <v>0.84143289999999904</v>
      </c>
      <c r="N7548">
        <v>0</v>
      </c>
      <c r="O7548">
        <v>0.54008699999999998</v>
      </c>
      <c r="P7548">
        <v>0.95123420000000003</v>
      </c>
      <c r="Q7548">
        <v>-3.4132810000000002E-3</v>
      </c>
      <c r="R7548">
        <v>0.30845089999999997</v>
      </c>
      <c r="S7548">
        <v>3.0912630000000001</v>
      </c>
      <c r="T7548">
        <v>-0.52011589999999996</v>
      </c>
      <c r="U7548">
        <v>0.20573430000000001</v>
      </c>
      <c r="V7548">
        <v>0.25457000000000002</v>
      </c>
      <c r="W7548">
        <v>3.277121E-3</v>
      </c>
      <c r="X7548">
        <v>0.96704880000000004</v>
      </c>
      <c r="Y7548">
        <v>0.46973579999999998</v>
      </c>
      <c r="Z7548">
        <v>-0.1250549</v>
      </c>
      <c r="AA7548">
        <v>0.87390480000000004</v>
      </c>
      <c r="AB7548">
        <v>34</v>
      </c>
      <c r="AC7548">
        <v>6.3241999999999896</v>
      </c>
      <c r="AD7548">
        <v>-1.093208269974</v>
      </c>
      <c r="AE7548">
        <v>0.327699999999993</v>
      </c>
      <c r="AF7548">
        <v>3.0494694720317099</v>
      </c>
      <c r="AG7548">
        <v>-1.093208269974</v>
      </c>
      <c r="AH7548">
        <v>5.3400536673966696</v>
      </c>
      <c r="AI7548">
        <v>100.080390463344</v>
      </c>
      <c r="AJ7548">
        <v>60.2712152065167</v>
      </c>
      <c r="AK7548">
        <v>6.2458419410892496</v>
      </c>
      <c r="AL7548">
        <v>89.8122344622235</v>
      </c>
      <c r="AM7548">
        <v>75.251811921170898</v>
      </c>
      <c r="AN7548">
        <v>1.00000000300174</v>
      </c>
    </row>
    <row r="7549" spans="1:40" x14ac:dyDescent="0.25">
      <c r="A7549" t="str">
        <f>"20190312155023594"</f>
        <v>20190312155023594</v>
      </c>
      <c r="B7549" t="str">
        <f>"1552377023583300"</f>
        <v>1552377023583300</v>
      </c>
      <c r="C7549" t="s">
        <v>40</v>
      </c>
      <c r="D7549">
        <v>5.225028</v>
      </c>
      <c r="E7549">
        <v>0.60022039999999999</v>
      </c>
      <c r="F7549" t="s">
        <v>42</v>
      </c>
      <c r="G7549">
        <v>-168.25120000000001</v>
      </c>
      <c r="H7549" s="1">
        <v>-1.3453610000000001E-6</v>
      </c>
      <c r="I7549">
        <v>137.02459999999999</v>
      </c>
      <c r="J7549">
        <v>-174.6309</v>
      </c>
      <c r="K7549">
        <v>1.0932269999999999</v>
      </c>
      <c r="L7549">
        <v>136.7509</v>
      </c>
      <c r="M7549">
        <v>0.84703109999999904</v>
      </c>
      <c r="N7549">
        <v>0</v>
      </c>
      <c r="O7549">
        <v>0.53126419999999996</v>
      </c>
      <c r="P7549">
        <v>0.95397889999999996</v>
      </c>
      <c r="Q7549">
        <v>-2.817932E-3</v>
      </c>
      <c r="R7549">
        <v>0.29986079999999998</v>
      </c>
      <c r="S7549">
        <v>3.0941770000000002</v>
      </c>
      <c r="T7549">
        <v>-0.51603009999999905</v>
      </c>
      <c r="U7549">
        <v>0.1781616</v>
      </c>
      <c r="V7549">
        <v>0.25320910000000002</v>
      </c>
      <c r="W7549">
        <v>3.938965E-3</v>
      </c>
      <c r="X7549">
        <v>0.96740349999999997</v>
      </c>
      <c r="Y7549">
        <v>0.46871170000000001</v>
      </c>
      <c r="Z7549">
        <v>-0.1227314</v>
      </c>
      <c r="AA7549">
        <v>0.874783599999999</v>
      </c>
      <c r="AB7549">
        <v>34</v>
      </c>
      <c r="AC7549">
        <v>6.3796999999999802</v>
      </c>
      <c r="AD7549">
        <v>-1.0932283453610001</v>
      </c>
      <c r="AE7549">
        <v>0.27369999999999001</v>
      </c>
      <c r="AF7549">
        <v>3.0680172660467799</v>
      </c>
      <c r="AG7549">
        <v>-1.0932283453610001</v>
      </c>
      <c r="AH7549">
        <v>5.3919928387579601</v>
      </c>
      <c r="AI7549">
        <v>99.994111816667001</v>
      </c>
      <c r="AJ7549">
        <v>60.360337786347102</v>
      </c>
      <c r="AK7549">
        <v>6.2993225773156798</v>
      </c>
      <c r="AL7549">
        <v>89.774313334459706</v>
      </c>
      <c r="AM7549">
        <v>75.332391083196796</v>
      </c>
      <c r="AN7549">
        <v>0.99999994779016399</v>
      </c>
    </row>
    <row r="7550" spans="1:40" x14ac:dyDescent="0.25">
      <c r="A7550" t="str">
        <f>"20190312155023611"</f>
        <v>20190312155023611</v>
      </c>
      <c r="B7550" t="str">
        <f>"1552377023602820"</f>
        <v>1552377023602820</v>
      </c>
      <c r="C7550" t="s">
        <v>40</v>
      </c>
      <c r="D7550">
        <v>5.2304570000000004</v>
      </c>
      <c r="E7550">
        <v>0.59996819999999995</v>
      </c>
      <c r="F7550" t="s">
        <v>42</v>
      </c>
      <c r="G7550">
        <v>-167.9897</v>
      </c>
      <c r="H7550" s="1">
        <v>-1.4335389999999999E-6</v>
      </c>
      <c r="I7550">
        <v>137.07060000000001</v>
      </c>
      <c r="J7550">
        <v>-174.4015</v>
      </c>
      <c r="K7550">
        <v>1.0932470000000001</v>
      </c>
      <c r="L7550">
        <v>136.88310000000001</v>
      </c>
      <c r="M7550">
        <v>0.85417430000000005</v>
      </c>
      <c r="N7550">
        <v>0</v>
      </c>
      <c r="O7550">
        <v>0.51970139999999998</v>
      </c>
      <c r="P7550">
        <v>0.95752380000000004</v>
      </c>
      <c r="Q7550">
        <v>-2.437163E-3</v>
      </c>
      <c r="R7550">
        <v>0.28834399999999999</v>
      </c>
      <c r="S7550">
        <v>3.0963590000000001</v>
      </c>
      <c r="T7550">
        <v>-0.50970199999999999</v>
      </c>
      <c r="U7550">
        <v>0.1490784</v>
      </c>
      <c r="V7550">
        <v>0.25173190000000001</v>
      </c>
      <c r="W7550">
        <v>4.3943419999999999E-3</v>
      </c>
      <c r="X7550">
        <v>0.96778699999999995</v>
      </c>
      <c r="Y7550">
        <v>0.46549699999999999</v>
      </c>
      <c r="Z7550">
        <v>-0.11936049999999999</v>
      </c>
      <c r="AA7550">
        <v>0.87696390000000002</v>
      </c>
      <c r="AB7550">
        <v>34</v>
      </c>
      <c r="AC7550">
        <v>6.4118000000000004</v>
      </c>
      <c r="AD7550">
        <v>-1.09324843353899</v>
      </c>
      <c r="AE7550">
        <v>0.1875</v>
      </c>
      <c r="AF7550">
        <v>3.08298200059629</v>
      </c>
      <c r="AG7550">
        <v>-1.09324843353899</v>
      </c>
      <c r="AH7550">
        <v>5.4176962318936202</v>
      </c>
      <c r="AI7550">
        <v>99.947562092880204</v>
      </c>
      <c r="AJ7550">
        <v>60.3576244990075</v>
      </c>
      <c r="AK7550">
        <v>6.3286177491226701</v>
      </c>
      <c r="AL7550">
        <v>89.748221931422606</v>
      </c>
      <c r="AM7550">
        <v>75.4198348382142</v>
      </c>
      <c r="AN7550">
        <v>0.99999996854411</v>
      </c>
    </row>
    <row r="7551" spans="1:40" x14ac:dyDescent="0.25">
      <c r="A7551" t="str">
        <f>"20190312155023626"</f>
        <v>20190312155023626</v>
      </c>
      <c r="B7551" t="str">
        <f>"1552377023613556"</f>
        <v>1552377023613556</v>
      </c>
      <c r="C7551" t="s">
        <v>40</v>
      </c>
      <c r="D7551">
        <v>5.4875860000000003</v>
      </c>
      <c r="E7551">
        <v>0.59996819999999995</v>
      </c>
      <c r="F7551" t="s">
        <v>42</v>
      </c>
      <c r="G7551">
        <v>-167.55289999999999</v>
      </c>
      <c r="H7551" s="1">
        <v>-1.5847400000000001E-6</v>
      </c>
      <c r="I7551">
        <v>137.1328</v>
      </c>
      <c r="J7551">
        <v>-174.20070000000001</v>
      </c>
      <c r="K7551">
        <v>1.093267</v>
      </c>
      <c r="L7551">
        <v>136.99590000000001</v>
      </c>
      <c r="M7551">
        <v>0.86026380000000002</v>
      </c>
      <c r="N7551">
        <v>0</v>
      </c>
      <c r="O7551">
        <v>0.50955829999999902</v>
      </c>
      <c r="P7551">
        <v>0.96046419999999999</v>
      </c>
      <c r="Q7551">
        <v>-1.571392E-3</v>
      </c>
      <c r="R7551">
        <v>0.27839950000000002</v>
      </c>
      <c r="S7551">
        <v>3.097839</v>
      </c>
      <c r="T7551">
        <v>-0.4945097</v>
      </c>
      <c r="U7551">
        <v>0.11294559999999999</v>
      </c>
      <c r="V7551">
        <v>0.25035180000000001</v>
      </c>
      <c r="W7551">
        <v>5.3298859999999998E-3</v>
      </c>
      <c r="X7551">
        <v>0.96814020000000001</v>
      </c>
      <c r="Y7551">
        <v>0.46615200000000001</v>
      </c>
      <c r="Z7551">
        <v>-0.1145408</v>
      </c>
      <c r="AA7551">
        <v>0.87725869999999995</v>
      </c>
      <c r="AB7551">
        <v>33</v>
      </c>
      <c r="AC7551">
        <v>6.6478000000000099</v>
      </c>
      <c r="AD7551">
        <v>-1.0932685847400001</v>
      </c>
      <c r="AE7551">
        <v>0.136899999999997</v>
      </c>
      <c r="AF7551">
        <v>3.1840774207801701</v>
      </c>
      <c r="AG7551">
        <v>-1.0932685847400001</v>
      </c>
      <c r="AH7551">
        <v>5.6370845348871796</v>
      </c>
      <c r="AI7551">
        <v>99.584875316627503</v>
      </c>
      <c r="AJ7551">
        <v>60.540296315251801</v>
      </c>
      <c r="AK7551">
        <v>6.5658439878941497</v>
      </c>
      <c r="AL7551">
        <v>89.694618562457293</v>
      </c>
      <c r="AM7551">
        <v>75.501457783955104</v>
      </c>
      <c r="AN7551">
        <v>0.99999993915202401</v>
      </c>
    </row>
    <row r="7552" spans="1:40" x14ac:dyDescent="0.25">
      <c r="A7552" t="str">
        <f>"20190312155023641"</f>
        <v>20190312155023641</v>
      </c>
      <c r="B7552" t="str">
        <f>"1552377023633076"</f>
        <v>1552377023633076</v>
      </c>
      <c r="C7552" t="s">
        <v>40</v>
      </c>
      <c r="D7552">
        <v>5.1478479999999998</v>
      </c>
      <c r="E7552">
        <v>0.59915810000000003</v>
      </c>
      <c r="F7552" t="s">
        <v>42</v>
      </c>
      <c r="G7552">
        <v>-167.30109999999999</v>
      </c>
      <c r="H7552" s="1">
        <v>-1.6893150000000001E-6</v>
      </c>
      <c r="I7552">
        <v>137.17490000000001</v>
      </c>
      <c r="J7552">
        <v>-173.9931</v>
      </c>
      <c r="K7552">
        <v>1.093302</v>
      </c>
      <c r="L7552">
        <v>137.10830000000001</v>
      </c>
      <c r="M7552">
        <v>0.86638369999999998</v>
      </c>
      <c r="N7552">
        <v>0</v>
      </c>
      <c r="O7552">
        <v>0.49908200000000003</v>
      </c>
      <c r="P7552">
        <v>0.96294679999999999</v>
      </c>
      <c r="Q7552">
        <v>-5.7898460000000004E-4</v>
      </c>
      <c r="R7552">
        <v>0.26969130000000002</v>
      </c>
      <c r="S7552">
        <v>3.099396</v>
      </c>
      <c r="T7552">
        <v>-0.49111500000000002</v>
      </c>
      <c r="U7552">
        <v>8.042908E-2</v>
      </c>
      <c r="V7552">
        <v>0.2474103</v>
      </c>
      <c r="W7552">
        <v>6.4618760000000001E-3</v>
      </c>
      <c r="X7552">
        <v>0.96888920000000001</v>
      </c>
      <c r="Y7552">
        <v>0.46497529999999998</v>
      </c>
      <c r="Z7552">
        <v>-0.1122433</v>
      </c>
      <c r="AA7552">
        <v>0.87817959999999995</v>
      </c>
      <c r="AB7552">
        <v>33</v>
      </c>
      <c r="AC7552">
        <v>6.6920000000000002</v>
      </c>
      <c r="AD7552">
        <v>-1.0933036893150001</v>
      </c>
      <c r="AE7552">
        <v>6.6599999999993997E-2</v>
      </c>
      <c r="AF7552">
        <v>3.1973102589594302</v>
      </c>
      <c r="AG7552">
        <v>-1.0933036893150001</v>
      </c>
      <c r="AH7552">
        <v>5.6803423423732298</v>
      </c>
      <c r="AI7552">
        <v>99.521404615629194</v>
      </c>
      <c r="AJ7552">
        <v>60.626022691571499</v>
      </c>
      <c r="AK7552">
        <v>6.6094171434155404</v>
      </c>
      <c r="AL7552">
        <v>89.629759181239095</v>
      </c>
      <c r="AM7552">
        <v>75.675373931114706</v>
      </c>
      <c r="AN7552">
        <v>0.99999994713208296</v>
      </c>
    </row>
    <row r="7553" spans="1:40" x14ac:dyDescent="0.25">
      <c r="A7553" t="str">
        <f>"20190312155023658"</f>
        <v>20190312155023658</v>
      </c>
      <c r="B7553" t="str">
        <f>"1552377023653571"</f>
        <v>1552377023653571</v>
      </c>
      <c r="C7553" t="s">
        <v>40</v>
      </c>
      <c r="D7553">
        <v>5.1691500000000001</v>
      </c>
      <c r="E7553">
        <v>0.59852879999999997</v>
      </c>
      <c r="F7553" t="s">
        <v>42</v>
      </c>
      <c r="G7553">
        <v>-166.678</v>
      </c>
      <c r="H7553" s="1">
        <v>-1.9716010000000001E-6</v>
      </c>
      <c r="I7553">
        <v>137.2441</v>
      </c>
      <c r="J7553">
        <v>-173.76050000000001</v>
      </c>
      <c r="K7553">
        <v>1.093337</v>
      </c>
      <c r="L7553">
        <v>137.23060000000001</v>
      </c>
      <c r="M7553">
        <v>0.87304660000000001</v>
      </c>
      <c r="N7553">
        <v>0</v>
      </c>
      <c r="O7553">
        <v>0.4873326</v>
      </c>
      <c r="P7553">
        <v>0.96575610000000001</v>
      </c>
      <c r="Q7553" s="1">
        <v>9.6531579999999994E-6</v>
      </c>
      <c r="R7553">
        <v>0.25945190000000001</v>
      </c>
      <c r="S7553">
        <v>3.09903</v>
      </c>
      <c r="T7553">
        <v>-0.46317629999999999</v>
      </c>
      <c r="U7553">
        <v>5.7525630000000001E-2</v>
      </c>
      <c r="V7553">
        <v>0.24463260000000001</v>
      </c>
      <c r="W7553">
        <v>7.1852230000000001E-3</v>
      </c>
      <c r="X7553">
        <v>0.96958920000000004</v>
      </c>
      <c r="Y7553">
        <v>0.46097719999999998</v>
      </c>
      <c r="Z7553">
        <v>-0.104148</v>
      </c>
      <c r="AA7553">
        <v>0.88127929999999999</v>
      </c>
      <c r="AB7553">
        <v>33</v>
      </c>
      <c r="AC7553">
        <v>7.0824999999999996</v>
      </c>
      <c r="AD7553">
        <v>-1.093338971601</v>
      </c>
      <c r="AE7553">
        <v>1.3499999999993399E-2</v>
      </c>
      <c r="AF7553">
        <v>3.3601820463771701</v>
      </c>
      <c r="AG7553">
        <v>-1.093338971601</v>
      </c>
      <c r="AH7553">
        <v>6.04675191169017</v>
      </c>
      <c r="AI7553">
        <v>98.981327513633502</v>
      </c>
      <c r="AJ7553">
        <v>60.939057586813199</v>
      </c>
      <c r="AK7553">
        <v>7.0035292655307497</v>
      </c>
      <c r="AL7553">
        <v>89.588313495161898</v>
      </c>
      <c r="AM7553">
        <v>75.8395039155874</v>
      </c>
      <c r="AN7553">
        <v>0.99999997658447903</v>
      </c>
    </row>
    <row r="7554" spans="1:40" x14ac:dyDescent="0.25">
      <c r="A7554" t="str">
        <f>"20190312155023680"</f>
        <v>20190312155023680</v>
      </c>
      <c r="B7554" t="str">
        <f>"1552377023673093"</f>
        <v>1552377023673093</v>
      </c>
      <c r="C7554" t="s">
        <v>40</v>
      </c>
      <c r="D7554">
        <v>5.1804370000000004</v>
      </c>
      <c r="E7554">
        <v>0.59386899999999998</v>
      </c>
      <c r="F7554" t="s">
        <v>42</v>
      </c>
      <c r="G7554">
        <v>-165.8862</v>
      </c>
      <c r="H7554" s="1">
        <v>-2.3355689999999999E-6</v>
      </c>
      <c r="I7554">
        <v>137.3022</v>
      </c>
      <c r="J7554">
        <v>-173.46090000000001</v>
      </c>
      <c r="K7554">
        <v>1.0933870000000001</v>
      </c>
      <c r="L7554">
        <v>137.38249999999999</v>
      </c>
      <c r="M7554">
        <v>0.88132670000000002</v>
      </c>
      <c r="N7554">
        <v>0</v>
      </c>
      <c r="O7554">
        <v>0.4721938</v>
      </c>
      <c r="P7554">
        <v>0.96929299999999996</v>
      </c>
      <c r="Q7554">
        <v>-1.040483E-4</v>
      </c>
      <c r="R7554">
        <v>0.24590890000000001</v>
      </c>
      <c r="S7554">
        <v>3.0987849999999999</v>
      </c>
      <c r="T7554">
        <v>-0.43026449999999999</v>
      </c>
      <c r="U7554">
        <v>2.816772E-2</v>
      </c>
      <c r="V7554">
        <v>0.24146670000000001</v>
      </c>
      <c r="W7554">
        <v>7.2290899999999996E-3</v>
      </c>
      <c r="X7554">
        <v>0.97038219999999997</v>
      </c>
      <c r="Y7554">
        <v>0.45562740000000002</v>
      </c>
      <c r="Z7554">
        <v>-9.4639630000000002E-2</v>
      </c>
      <c r="AA7554">
        <v>0.88512539999999995</v>
      </c>
      <c r="AB7554">
        <v>33</v>
      </c>
      <c r="AC7554">
        <v>7.5747</v>
      </c>
      <c r="AD7554">
        <v>-1.0933893355689901</v>
      </c>
      <c r="AE7554">
        <v>-8.0299999999994001E-2</v>
      </c>
      <c r="AF7554">
        <v>3.5735857135039799</v>
      </c>
      <c r="AG7554">
        <v>-1.0933893355689901</v>
      </c>
      <c r="AH7554">
        <v>6.5033614887000901</v>
      </c>
      <c r="AI7554">
        <v>98.382023791199899</v>
      </c>
      <c r="AJ7554">
        <v>61.211282750627198</v>
      </c>
      <c r="AK7554">
        <v>7.5006483548826202</v>
      </c>
      <c r="AL7554">
        <v>89.585800054059504</v>
      </c>
      <c r="AM7554">
        <v>76.026505390125607</v>
      </c>
      <c r="AN7554">
        <v>1.0000000205139701</v>
      </c>
    </row>
    <row r="7555" spans="1:40" x14ac:dyDescent="0.25">
      <c r="A7555" t="str">
        <f>"20190312155023697"</f>
        <v>20190312155023697</v>
      </c>
      <c r="B7555" t="str">
        <f>"1552377023682853"</f>
        <v>1552377023682853</v>
      </c>
      <c r="C7555" t="s">
        <v>40</v>
      </c>
      <c r="D7555">
        <v>5.1882950000000001</v>
      </c>
      <c r="E7555">
        <v>0.59286169999999905</v>
      </c>
      <c r="F7555" t="s">
        <v>42</v>
      </c>
      <c r="G7555">
        <v>-163.50559999999999</v>
      </c>
      <c r="H7555" s="1">
        <v>-3.4361180000000001E-6</v>
      </c>
      <c r="I7555">
        <v>137.4419</v>
      </c>
      <c r="J7555">
        <v>-173.2311</v>
      </c>
      <c r="K7555">
        <v>1.093432</v>
      </c>
      <c r="L7555">
        <v>137.49440000000001</v>
      </c>
      <c r="M7555">
        <v>0.88744069999999997</v>
      </c>
      <c r="N7555">
        <v>0</v>
      </c>
      <c r="O7555">
        <v>0.46060059999999903</v>
      </c>
      <c r="P7555">
        <v>0.972051</v>
      </c>
      <c r="Q7555">
        <v>-3.03572E-4</v>
      </c>
      <c r="R7555">
        <v>0.23476929999999999</v>
      </c>
      <c r="S7555">
        <v>3.0903320000000001</v>
      </c>
      <c r="T7555">
        <v>-0.3394102</v>
      </c>
      <c r="U7555">
        <v>1.843262E-2</v>
      </c>
      <c r="V7555">
        <v>0.2398747</v>
      </c>
      <c r="W7555">
        <v>7.1170369999999997E-3</v>
      </c>
      <c r="X7555">
        <v>0.97077780000000002</v>
      </c>
      <c r="Y7555">
        <v>0.45005980000000001</v>
      </c>
      <c r="Z7555">
        <v>-7.356E-2</v>
      </c>
      <c r="AA7555">
        <v>0.88996359999999997</v>
      </c>
      <c r="AB7555">
        <v>33</v>
      </c>
      <c r="AC7555">
        <v>9.7255000000000091</v>
      </c>
      <c r="AD7555">
        <v>-1.0934354361180001</v>
      </c>
      <c r="AE7555">
        <v>-5.2500000000008998E-2</v>
      </c>
      <c r="AF7555">
        <v>4.4703267205135404</v>
      </c>
      <c r="AG7555">
        <v>-1.0934354361180001</v>
      </c>
      <c r="AH7555">
        <v>8.5004510867369394</v>
      </c>
      <c r="AI7555">
        <v>96.495112672414294</v>
      </c>
      <c r="AJ7555">
        <v>62.260437376645399</v>
      </c>
      <c r="AK7555">
        <v>9.6662862940791801</v>
      </c>
      <c r="AL7555">
        <v>89.592220387136607</v>
      </c>
      <c r="AM7555">
        <v>76.120496695808797</v>
      </c>
      <c r="AN7555">
        <v>1.00000003044429</v>
      </c>
    </row>
    <row r="7556" spans="1:40" x14ac:dyDescent="0.25">
      <c r="A7556" t="str">
        <f>"20190312155023712"</f>
        <v>20190312155023712</v>
      </c>
      <c r="B7556" t="str">
        <f>"1552377023703348"</f>
        <v>1552377023703348</v>
      </c>
      <c r="C7556" t="s">
        <v>40</v>
      </c>
      <c r="D7556">
        <v>5.2108480000000004</v>
      </c>
      <c r="E7556">
        <v>0.59110940000000001</v>
      </c>
      <c r="F7556" t="s">
        <v>42</v>
      </c>
      <c r="G7556">
        <v>-162.9478</v>
      </c>
      <c r="H7556" s="1">
        <v>-3.6961890000000002E-6</v>
      </c>
      <c r="I7556">
        <v>137.4622</v>
      </c>
      <c r="J7556">
        <v>-173.03210000000001</v>
      </c>
      <c r="K7556">
        <v>1.0934820000000001</v>
      </c>
      <c r="L7556">
        <v>137.58850000000001</v>
      </c>
      <c r="M7556">
        <v>0.89257330000000001</v>
      </c>
      <c r="N7556">
        <v>0</v>
      </c>
      <c r="O7556">
        <v>0.45057399999999997</v>
      </c>
      <c r="P7556">
        <v>0.97419040000000001</v>
      </c>
      <c r="Q7556">
        <v>-1.7330979999999999E-4</v>
      </c>
      <c r="R7556">
        <v>0.22572719999999999</v>
      </c>
      <c r="S7556">
        <v>3.0884860000000001</v>
      </c>
      <c r="T7556">
        <v>-0.32840170000000002</v>
      </c>
      <c r="U7556">
        <v>-9.6740720000000006E-3</v>
      </c>
      <c r="V7556">
        <v>0.23796329999999999</v>
      </c>
      <c r="W7556">
        <v>7.3487739999999998E-3</v>
      </c>
      <c r="X7556">
        <v>0.97124639999999995</v>
      </c>
      <c r="Y7556">
        <v>0.44850869999999998</v>
      </c>
      <c r="Z7556">
        <v>-7.0210809999999998E-2</v>
      </c>
      <c r="AA7556">
        <v>0.89101649999999999</v>
      </c>
      <c r="AB7556">
        <v>33</v>
      </c>
      <c r="AC7556">
        <v>10.084300000000001</v>
      </c>
      <c r="AD7556">
        <v>-1.093485696189</v>
      </c>
      <c r="AE7556">
        <v>-0.12630000000001401</v>
      </c>
      <c r="AF7556">
        <v>4.6030305457359102</v>
      </c>
      <c r="AG7556">
        <v>-1.093485696189</v>
      </c>
      <c r="AH7556">
        <v>8.8414515553375495</v>
      </c>
      <c r="AI7556">
        <v>96.260350914121005</v>
      </c>
      <c r="AJ7556">
        <v>62.497643511552901</v>
      </c>
      <c r="AK7556">
        <v>10.027704960664099</v>
      </c>
      <c r="AL7556">
        <v>89.578942497660194</v>
      </c>
      <c r="AM7556">
        <v>76.233257887437304</v>
      </c>
      <c r="AN7556">
        <v>1.0000000530695701</v>
      </c>
    </row>
    <row r="7557" spans="1:40" x14ac:dyDescent="0.25">
      <c r="A7557" t="str">
        <f>"20190312155023725"</f>
        <v>20190312155023725</v>
      </c>
      <c r="B7557" t="str">
        <f>"1552377023713109"</f>
        <v>1552377023713109</v>
      </c>
      <c r="C7557" t="s">
        <v>40</v>
      </c>
      <c r="D7557">
        <v>5.2213200000000004</v>
      </c>
      <c r="E7557">
        <v>0.59007279999999995</v>
      </c>
      <c r="F7557" t="s">
        <v>42</v>
      </c>
      <c r="G7557">
        <v>-162.42789999999999</v>
      </c>
      <c r="H7557" s="1">
        <v>-3.9348379999999998E-6</v>
      </c>
      <c r="I7557">
        <v>137.50239999999999</v>
      </c>
      <c r="J7557">
        <v>-172.84639999999999</v>
      </c>
      <c r="K7557">
        <v>1.093529</v>
      </c>
      <c r="L7557">
        <v>137.67429999999999</v>
      </c>
      <c r="M7557">
        <v>0.897231</v>
      </c>
      <c r="N7557">
        <v>0</v>
      </c>
      <c r="O7557">
        <v>0.44122699999999998</v>
      </c>
      <c r="P7557">
        <v>0.97578319999999996</v>
      </c>
      <c r="Q7557" s="1">
        <v>9.3849379999999995E-6</v>
      </c>
      <c r="R7557">
        <v>0.2187403</v>
      </c>
      <c r="S7557">
        <v>3.0852200000000001</v>
      </c>
      <c r="T7557">
        <v>-0.31814320000000001</v>
      </c>
      <c r="U7557">
        <v>-2.5070189999999999E-2</v>
      </c>
      <c r="V7557">
        <v>0.23478589999999999</v>
      </c>
      <c r="W7557">
        <v>7.6868429999999996E-3</v>
      </c>
      <c r="X7557">
        <v>0.97201680000000001</v>
      </c>
      <c r="Y7557">
        <v>0.4439978</v>
      </c>
      <c r="Z7557">
        <v>-6.7005239999999994E-2</v>
      </c>
      <c r="AA7557">
        <v>0.89351899999999995</v>
      </c>
      <c r="AB7557">
        <v>33</v>
      </c>
      <c r="AC7557">
        <v>10.4184999999999</v>
      </c>
      <c r="AD7557">
        <v>-1.0935329348380001</v>
      </c>
      <c r="AE7557">
        <v>-0.171899999999993</v>
      </c>
      <c r="AF7557">
        <v>4.7000934498916802</v>
      </c>
      <c r="AG7557">
        <v>-1.0935329348380001</v>
      </c>
      <c r="AH7557">
        <v>9.1723019856557801</v>
      </c>
      <c r="AI7557">
        <v>96.056551812945798</v>
      </c>
      <c r="AJ7557">
        <v>62.868379517360502</v>
      </c>
      <c r="AK7557">
        <v>10.364256675389401</v>
      </c>
      <c r="AL7557">
        <v>89.559572037474396</v>
      </c>
      <c r="AM7557">
        <v>76.420589618372006</v>
      </c>
      <c r="AN7557">
        <v>1.0000000829381701</v>
      </c>
    </row>
    <row r="7558" spans="1:40" x14ac:dyDescent="0.25">
      <c r="A7558" t="str">
        <f>"20190312155023741"</f>
        <v>20190312155023741</v>
      </c>
      <c r="B7558" t="str">
        <f>"1552377023733605"</f>
        <v>1552377023733605</v>
      </c>
      <c r="C7558" t="s">
        <v>40</v>
      </c>
      <c r="D7558">
        <v>5.2227899999999998</v>
      </c>
      <c r="E7558">
        <v>0.58894899999999994</v>
      </c>
      <c r="F7558" t="s">
        <v>42</v>
      </c>
      <c r="G7558">
        <v>-162.41130000000001</v>
      </c>
      <c r="H7558" s="1">
        <v>-3.9357810000000002E-6</v>
      </c>
      <c r="I7558">
        <v>137.54140000000001</v>
      </c>
      <c r="J7558">
        <v>-172.6191</v>
      </c>
      <c r="K7558">
        <v>1.0936030000000001</v>
      </c>
      <c r="L7558">
        <v>137.77520000000001</v>
      </c>
      <c r="M7558">
        <v>0.90273639999999999</v>
      </c>
      <c r="N7558">
        <v>0</v>
      </c>
      <c r="O7558">
        <v>0.42985139999999999</v>
      </c>
      <c r="P7558">
        <v>0.97801760000000004</v>
      </c>
      <c r="Q7558" s="1">
        <v>9.7654759999999996E-5</v>
      </c>
      <c r="R7558">
        <v>0.20852319999999999</v>
      </c>
      <c r="S7558">
        <v>3.0832670000000002</v>
      </c>
      <c r="T7558">
        <v>-0.32310549999999999</v>
      </c>
      <c r="U7558">
        <v>-3.9276119999999998E-2</v>
      </c>
      <c r="V7558">
        <v>0.23266800000000001</v>
      </c>
      <c r="W7558">
        <v>7.8909210000000004E-3</v>
      </c>
      <c r="X7558">
        <v>0.97252419999999995</v>
      </c>
      <c r="Y7558">
        <v>0.4367492</v>
      </c>
      <c r="Z7558">
        <v>-6.662912E-2</v>
      </c>
      <c r="AA7558">
        <v>0.89711240000000003</v>
      </c>
      <c r="AB7558">
        <v>33</v>
      </c>
      <c r="AC7558">
        <v>10.207799999999899</v>
      </c>
      <c r="AD7558">
        <v>-1.0936069357809901</v>
      </c>
      <c r="AE7558">
        <v>-0.23380000000000201</v>
      </c>
      <c r="AF7558">
        <v>4.54740802071115</v>
      </c>
      <c r="AG7558">
        <v>-1.0936069357809901</v>
      </c>
      <c r="AH7558">
        <v>9.0124086979691302</v>
      </c>
      <c r="AI7558">
        <v>96.183027341148502</v>
      </c>
      <c r="AJ7558">
        <v>63.225772637746203</v>
      </c>
      <c r="AK7558">
        <v>10.1537385418399</v>
      </c>
      <c r="AL7558">
        <v>89.5478788346188</v>
      </c>
      <c r="AM7558">
        <v>76.545374007928601</v>
      </c>
      <c r="AN7558">
        <v>0.99999999222193403</v>
      </c>
    </row>
    <row r="7559" spans="1:40" x14ac:dyDescent="0.25">
      <c r="A7559" t="str">
        <f>"20190312155023756"</f>
        <v>20190312155023756</v>
      </c>
      <c r="B7559" t="str">
        <f>"1552377023743365"</f>
        <v>1552377023743365</v>
      </c>
      <c r="C7559" t="s">
        <v>40</v>
      </c>
      <c r="D7559">
        <v>5.2217229999999999</v>
      </c>
      <c r="E7559">
        <v>0.58825430000000001</v>
      </c>
      <c r="F7559" t="s">
        <v>42</v>
      </c>
      <c r="G7559">
        <v>-162.5463</v>
      </c>
      <c r="H7559" s="1">
        <v>-3.8668259999999901E-6</v>
      </c>
      <c r="I7559">
        <v>137.57040000000001</v>
      </c>
      <c r="J7559">
        <v>-172.41739999999999</v>
      </c>
      <c r="K7559">
        <v>1.0936790000000001</v>
      </c>
      <c r="L7559">
        <v>137.86189999999999</v>
      </c>
      <c r="M7559">
        <v>0.9074567</v>
      </c>
      <c r="N7559">
        <v>0</v>
      </c>
      <c r="O7559">
        <v>0.41979519999999998</v>
      </c>
      <c r="P7559">
        <v>0.97994899999999996</v>
      </c>
      <c r="Q7559">
        <v>2.7475230000000001E-4</v>
      </c>
      <c r="R7559">
        <v>0.1992485</v>
      </c>
      <c r="S7559">
        <v>3.0807950000000002</v>
      </c>
      <c r="T7559">
        <v>-0.33448020000000001</v>
      </c>
      <c r="U7559">
        <v>-6.2652589999999994E-2</v>
      </c>
      <c r="V7559">
        <v>0.2310817</v>
      </c>
      <c r="W7559">
        <v>8.1603279999999997E-3</v>
      </c>
      <c r="X7559">
        <v>0.97290010000000005</v>
      </c>
      <c r="Y7559">
        <v>0.43332110000000001</v>
      </c>
      <c r="Z7559">
        <v>-6.784134E-2</v>
      </c>
      <c r="AA7559">
        <v>0.89868250000000005</v>
      </c>
      <c r="AB7559">
        <v>33</v>
      </c>
      <c r="AC7559">
        <v>9.8710999999999807</v>
      </c>
      <c r="AD7559">
        <v>-1.0936828668259999</v>
      </c>
      <c r="AE7559">
        <v>-0.29149999999998499</v>
      </c>
      <c r="AF7559">
        <v>4.3555909109011299</v>
      </c>
      <c r="AG7559">
        <v>-1.0936828668259999</v>
      </c>
      <c r="AH7559">
        <v>8.7294578630586894</v>
      </c>
      <c r="AI7559">
        <v>96.396522659208998</v>
      </c>
      <c r="AJ7559">
        <v>63.482950815478098</v>
      </c>
      <c r="AK7559">
        <v>9.8168604441150293</v>
      </c>
      <c r="AL7559">
        <v>89.532442444627506</v>
      </c>
      <c r="AM7559">
        <v>76.638782220295198</v>
      </c>
      <c r="AN7559">
        <v>0.99999997380398298</v>
      </c>
    </row>
    <row r="7560" spans="1:40" x14ac:dyDescent="0.25">
      <c r="A7560" t="str">
        <f>"20190312155023772"</f>
        <v>20190312155023772</v>
      </c>
      <c r="B7560" t="str">
        <f>"1552377023762884"</f>
        <v>1552377023762884</v>
      </c>
      <c r="C7560" t="s">
        <v>40</v>
      </c>
      <c r="D7560">
        <v>5.2085140000000001</v>
      </c>
      <c r="E7560">
        <v>0.58667860000000005</v>
      </c>
      <c r="F7560" t="s">
        <v>42</v>
      </c>
      <c r="G7560">
        <v>-162.4639</v>
      </c>
      <c r="H7560" s="1">
        <v>-3.9033759999999999E-6</v>
      </c>
      <c r="I7560">
        <v>137.5839</v>
      </c>
      <c r="J7560">
        <v>-172.19229999999999</v>
      </c>
      <c r="K7560">
        <v>1.093772</v>
      </c>
      <c r="L7560">
        <v>137.95590000000001</v>
      </c>
      <c r="M7560">
        <v>0.91254020000000002</v>
      </c>
      <c r="N7560">
        <v>0</v>
      </c>
      <c r="O7560">
        <v>0.40862809999999999</v>
      </c>
      <c r="P7560">
        <v>0.98163860000000003</v>
      </c>
      <c r="Q7560">
        <v>7.1357660000000004E-4</v>
      </c>
      <c r="R7560">
        <v>0.1907478</v>
      </c>
      <c r="S7560">
        <v>3.0789490000000002</v>
      </c>
      <c r="T7560">
        <v>-0.33831209999999901</v>
      </c>
      <c r="U7560">
        <v>-8.5998539999999998E-2</v>
      </c>
      <c r="V7560">
        <v>0.22758999999999999</v>
      </c>
      <c r="W7560">
        <v>8.7773299999999999E-3</v>
      </c>
      <c r="X7560">
        <v>0.97371750000000001</v>
      </c>
      <c r="Y7560">
        <v>0.42907070000000003</v>
      </c>
      <c r="Z7560">
        <v>-6.7299499999999998E-2</v>
      </c>
      <c r="AA7560">
        <v>0.90076029999999996</v>
      </c>
      <c r="AB7560">
        <v>33</v>
      </c>
      <c r="AC7560">
        <v>9.7283999999999899</v>
      </c>
      <c r="AD7560">
        <v>-1.0937759033759999</v>
      </c>
      <c r="AE7560">
        <v>-0.37200000000001399</v>
      </c>
      <c r="AF7560">
        <v>4.2616044550735097</v>
      </c>
      <c r="AG7560">
        <v>-1.0937759033759999</v>
      </c>
      <c r="AH7560">
        <v>8.6180472261103898</v>
      </c>
      <c r="AI7560">
        <v>96.490475602677904</v>
      </c>
      <c r="AJ7560">
        <v>63.687710758693697</v>
      </c>
      <c r="AK7560">
        <v>9.6761746702804707</v>
      </c>
      <c r="AL7560">
        <v>89.497089582853505</v>
      </c>
      <c r="AM7560">
        <v>76.844257877776599</v>
      </c>
      <c r="AN7560">
        <v>1.00000000971408</v>
      </c>
    </row>
    <row r="7561" spans="1:40" x14ac:dyDescent="0.25">
      <c r="A7561" t="str">
        <f>"20190312155023793"</f>
        <v>20190312155023793</v>
      </c>
      <c r="B7561" t="str">
        <f>"1552377023783380"</f>
        <v>1552377023783380</v>
      </c>
      <c r="C7561" t="s">
        <v>40</v>
      </c>
      <c r="D7561">
        <v>5.2279280000000004</v>
      </c>
      <c r="E7561">
        <v>0.5853566</v>
      </c>
      <c r="F7561" t="s">
        <v>42</v>
      </c>
      <c r="G7561">
        <v>-162.52979999999999</v>
      </c>
      <c r="H7561" s="1">
        <v>-3.86163E-6</v>
      </c>
      <c r="I7561">
        <v>137.64359999999999</v>
      </c>
      <c r="J7561">
        <v>-171.90799999999999</v>
      </c>
      <c r="K7561">
        <v>1.093926</v>
      </c>
      <c r="L7561">
        <v>138.07</v>
      </c>
      <c r="M7561">
        <v>0.9186723</v>
      </c>
      <c r="N7561">
        <v>0</v>
      </c>
      <c r="O7561">
        <v>0.39465050000000002</v>
      </c>
      <c r="P7561">
        <v>0.98387020000000003</v>
      </c>
      <c r="Q7561">
        <v>8.3712119999999998E-4</v>
      </c>
      <c r="R7561">
        <v>0.17888270000000001</v>
      </c>
      <c r="S7561">
        <v>3.0756679999999998</v>
      </c>
      <c r="T7561">
        <v>-0.34815980000000002</v>
      </c>
      <c r="U7561">
        <v>-9.9411009999999994E-2</v>
      </c>
      <c r="V7561">
        <v>0.22448209999999999</v>
      </c>
      <c r="W7561">
        <v>9.0758200000000001E-3</v>
      </c>
      <c r="X7561">
        <v>0.97443590000000002</v>
      </c>
      <c r="Y7561">
        <v>0.41908250000000002</v>
      </c>
      <c r="Z7561">
        <v>-6.7290450000000002E-2</v>
      </c>
      <c r="AA7561">
        <v>0.90545120000000001</v>
      </c>
      <c r="AB7561">
        <v>33</v>
      </c>
      <c r="AC7561">
        <v>9.3781999999999908</v>
      </c>
      <c r="AD7561">
        <v>-1.0939298616299999</v>
      </c>
      <c r="AE7561">
        <v>-0.426400000000001</v>
      </c>
      <c r="AF7561">
        <v>4.0385943025945403</v>
      </c>
      <c r="AG7561">
        <v>-1.0939298616299999</v>
      </c>
      <c r="AH7561">
        <v>8.3352697543506604</v>
      </c>
      <c r="AI7561">
        <v>96.7358772975645</v>
      </c>
      <c r="AJ7561">
        <v>64.148942721597194</v>
      </c>
      <c r="AK7561">
        <v>9.3265024720367702</v>
      </c>
      <c r="AL7561">
        <v>89.4799866550552</v>
      </c>
      <c r="AM7561">
        <v>77.027030100161895</v>
      </c>
      <c r="AN7561">
        <v>0.99999995346894499</v>
      </c>
    </row>
    <row r="7562" spans="1:40" x14ac:dyDescent="0.25">
      <c r="A7562" t="str">
        <f>"20190312155023811"</f>
        <v>20190312155023811</v>
      </c>
      <c r="B7562" t="str">
        <f>"1552377023802901"</f>
        <v>1552377023802901</v>
      </c>
      <c r="C7562" t="s">
        <v>40</v>
      </c>
      <c r="D7562">
        <v>5.2301699999999904</v>
      </c>
      <c r="E7562">
        <v>0.58407900000000001</v>
      </c>
      <c r="F7562" t="s">
        <v>42</v>
      </c>
      <c r="G7562">
        <v>-162.5093</v>
      </c>
      <c r="H7562" s="1">
        <v>-3.863573E-6</v>
      </c>
      <c r="I7562">
        <v>137.68719999999999</v>
      </c>
      <c r="J7562">
        <v>-171.64619999999999</v>
      </c>
      <c r="K7562">
        <v>1.094085</v>
      </c>
      <c r="L7562">
        <v>138.17070000000001</v>
      </c>
      <c r="M7562">
        <v>0.92404039999999998</v>
      </c>
      <c r="N7562">
        <v>0</v>
      </c>
      <c r="O7562">
        <v>0.38191419999999998</v>
      </c>
      <c r="P7562">
        <v>0.98600209999999999</v>
      </c>
      <c r="Q7562">
        <v>8.7352839999999996E-4</v>
      </c>
      <c r="R7562">
        <v>0.16673060000000001</v>
      </c>
      <c r="S7562">
        <v>3.072235</v>
      </c>
      <c r="T7562">
        <v>-0.35758139999999999</v>
      </c>
      <c r="U7562">
        <v>-0.12510679999999999</v>
      </c>
      <c r="V7562">
        <v>0.2230316</v>
      </c>
      <c r="W7562">
        <v>9.2198179999999994E-3</v>
      </c>
      <c r="X7562">
        <v>0.97476759999999996</v>
      </c>
      <c r="Y7562">
        <v>0.41397270000000003</v>
      </c>
      <c r="Z7562">
        <v>-6.7501229999999995E-2</v>
      </c>
      <c r="AA7562">
        <v>0.90778309999999995</v>
      </c>
      <c r="AB7562">
        <v>33</v>
      </c>
      <c r="AC7562">
        <v>9.13689999999999</v>
      </c>
      <c r="AD7562">
        <v>-1.0940888635729999</v>
      </c>
      <c r="AE7562">
        <v>-0.48350000000002002</v>
      </c>
      <c r="AF7562">
        <v>3.88136005983143</v>
      </c>
      <c r="AG7562">
        <v>-1.0940888635729999</v>
      </c>
      <c r="AH7562">
        <v>8.1429775177963393</v>
      </c>
      <c r="AI7562">
        <v>96.915424862333893</v>
      </c>
      <c r="AJ7562">
        <v>64.515140340547305</v>
      </c>
      <c r="AK7562">
        <v>9.0868074267470806</v>
      </c>
      <c r="AL7562">
        <v>89.471735849395401</v>
      </c>
      <c r="AM7562">
        <v>77.112286515223502</v>
      </c>
      <c r="AN7562">
        <v>0.999999986826136</v>
      </c>
    </row>
    <row r="7563" spans="1:40" x14ac:dyDescent="0.25">
      <c r="A7563" t="str">
        <f>"20190312155023830"</f>
        <v>20190312155023830</v>
      </c>
      <c r="B7563" t="str">
        <f>"1552377023823396"</f>
        <v>1552377023823396</v>
      </c>
      <c r="C7563" t="s">
        <v>40</v>
      </c>
      <c r="D7563">
        <v>5.0472650000000003</v>
      </c>
      <c r="E7563">
        <v>0.58611840000000004</v>
      </c>
      <c r="F7563" t="s">
        <v>42</v>
      </c>
      <c r="G7563">
        <v>-162.28489999999999</v>
      </c>
      <c r="H7563" s="1">
        <v>-3.9664209999999998E-6</v>
      </c>
      <c r="I7563">
        <v>137.7054</v>
      </c>
      <c r="J7563">
        <v>-171.42580000000001</v>
      </c>
      <c r="K7563">
        <v>1.0942339999999999</v>
      </c>
      <c r="L7563">
        <v>138.2527</v>
      </c>
      <c r="M7563">
        <v>0.92835809999999996</v>
      </c>
      <c r="N7563">
        <v>0</v>
      </c>
      <c r="O7563">
        <v>0.3712973</v>
      </c>
      <c r="P7563">
        <v>0.98729769999999994</v>
      </c>
      <c r="Q7563">
        <v>2.8980059999999998E-4</v>
      </c>
      <c r="R7563">
        <v>0.15888169999999999</v>
      </c>
      <c r="S7563">
        <v>3.068695</v>
      </c>
      <c r="T7563">
        <v>-0.3586491</v>
      </c>
      <c r="U7563">
        <v>-0.15254210000000001</v>
      </c>
      <c r="V7563">
        <v>0.219587</v>
      </c>
      <c r="W7563">
        <v>8.8192900000000005E-3</v>
      </c>
      <c r="X7563">
        <v>0.97555309999999995</v>
      </c>
      <c r="Y7563">
        <v>0.41174270000000002</v>
      </c>
      <c r="Z7563">
        <v>-6.6487749999999998E-2</v>
      </c>
      <c r="AA7563">
        <v>0.90887150000000005</v>
      </c>
      <c r="AB7563">
        <v>33</v>
      </c>
      <c r="AC7563">
        <v>9.1409000000000091</v>
      </c>
      <c r="AD7563">
        <v>-1.094237966421</v>
      </c>
      <c r="AE7563">
        <v>-0.547300000000007</v>
      </c>
      <c r="AF7563">
        <v>3.8477063231606201</v>
      </c>
      <c r="AG7563">
        <v>-1.094237966421</v>
      </c>
      <c r="AH7563">
        <v>8.1673963890320795</v>
      </c>
      <c r="AI7563">
        <v>96.9105504872783</v>
      </c>
      <c r="AJ7563">
        <v>64.774611869601003</v>
      </c>
      <c r="AK7563">
        <v>9.0944249104614503</v>
      </c>
      <c r="AL7563">
        <v>89.494685374559793</v>
      </c>
      <c r="AM7563">
        <v>77.314722280242293</v>
      </c>
      <c r="AN7563">
        <v>1.0000000406823499</v>
      </c>
    </row>
    <row r="7564" spans="1:40" x14ac:dyDescent="0.25">
      <c r="A7564" t="str">
        <f>"20190312155023926"</f>
        <v>20190312155023926</v>
      </c>
      <c r="B7564" t="str">
        <f>"1552377023922948"</f>
        <v>1552377023922948</v>
      </c>
      <c r="C7564" t="s">
        <v>40</v>
      </c>
      <c r="D7564">
        <v>4.6380610000000004</v>
      </c>
      <c r="E7564">
        <v>0.58674329999999997</v>
      </c>
      <c r="F7564" t="s">
        <v>42</v>
      </c>
      <c r="G7564">
        <v>-162.0993</v>
      </c>
      <c r="H7564" s="1">
        <v>-4.0609119999999999E-6</v>
      </c>
      <c r="I7564">
        <v>137.66730000000001</v>
      </c>
      <c r="J7564">
        <v>-170.01179999999999</v>
      </c>
      <c r="K7564">
        <v>1.0956939999999999</v>
      </c>
      <c r="L7564">
        <v>138.7139</v>
      </c>
      <c r="M7564">
        <v>0.95150639999999997</v>
      </c>
      <c r="N7564">
        <v>0</v>
      </c>
      <c r="O7564">
        <v>0.30717739999999999</v>
      </c>
      <c r="P7564">
        <v>0.99416859999999996</v>
      </c>
      <c r="Q7564">
        <v>-3.3993729999999998E-3</v>
      </c>
      <c r="R7564">
        <v>0.10778260000000001</v>
      </c>
      <c r="S7564">
        <v>3.0697019999999999</v>
      </c>
      <c r="T7564">
        <v>-0.36015459999999999</v>
      </c>
      <c r="U7564">
        <v>-0.1926727</v>
      </c>
      <c r="V7564">
        <v>0.20317640000000001</v>
      </c>
      <c r="W7564">
        <v>6.149079E-3</v>
      </c>
      <c r="X7564">
        <v>0.97912279999999996</v>
      </c>
      <c r="Y7564">
        <v>0.3616895</v>
      </c>
      <c r="Z7564">
        <v>-5.6651609999999998E-2</v>
      </c>
      <c r="AA7564">
        <v>0.93057579999999995</v>
      </c>
      <c r="AB7564">
        <v>33</v>
      </c>
      <c r="AC7564">
        <v>7.9124999999999899</v>
      </c>
      <c r="AD7564">
        <v>-1.0956980609119999</v>
      </c>
      <c r="AE7564">
        <v>-1.04659999999998</v>
      </c>
      <c r="AF7564">
        <v>3.3634750647562601</v>
      </c>
      <c r="AG7564">
        <v>-1.0956980609119999</v>
      </c>
      <c r="AH7564">
        <v>7.0749675481690701</v>
      </c>
      <c r="AI7564">
        <v>97.962212189476304</v>
      </c>
      <c r="AJ7564">
        <v>64.573351060166402</v>
      </c>
      <c r="AK7564">
        <v>7.9100369505817696</v>
      </c>
      <c r="AL7564">
        <v>89.647681490705693</v>
      </c>
      <c r="AM7564">
        <v>78.277006708625507</v>
      </c>
      <c r="AN7564">
        <v>0.99999995908467298</v>
      </c>
    </row>
    <row r="7565" spans="1:40" x14ac:dyDescent="0.25">
      <c r="A7565" t="str">
        <f>"20190312155023941"</f>
        <v>20190312155023941</v>
      </c>
      <c r="B7565" t="str">
        <f>"1552377023933684"</f>
        <v>1552377023933684</v>
      </c>
      <c r="C7565" t="s">
        <v>40</v>
      </c>
      <c r="D7565">
        <v>5.1514199999999999</v>
      </c>
      <c r="E7565">
        <v>0.57627220000000001</v>
      </c>
      <c r="F7565" t="s">
        <v>42</v>
      </c>
      <c r="G7565">
        <v>-167.54169999999999</v>
      </c>
      <c r="H7565" s="1">
        <v>-1.3496299999999999E-6</v>
      </c>
      <c r="I7565">
        <v>138.44890000000001</v>
      </c>
      <c r="J7565">
        <v>-169.7903</v>
      </c>
      <c r="K7565">
        <v>1.0960190000000001</v>
      </c>
      <c r="L7565">
        <v>138.77709999999999</v>
      </c>
      <c r="M7565">
        <v>0.95442910000000003</v>
      </c>
      <c r="N7565">
        <v>0</v>
      </c>
      <c r="O7565">
        <v>0.29797610000000002</v>
      </c>
      <c r="P7565">
        <v>0.9949673</v>
      </c>
      <c r="Q7565">
        <v>-3.8420730000000001E-3</v>
      </c>
      <c r="R7565">
        <v>0.1001254</v>
      </c>
      <c r="S7565">
        <v>3.048416</v>
      </c>
      <c r="T7565">
        <v>-1.3522099999999999</v>
      </c>
      <c r="U7565">
        <v>-0.32698059999999901</v>
      </c>
      <c r="V7565">
        <v>0.20123920000000001</v>
      </c>
      <c r="W7565">
        <v>5.8601209999999898E-3</v>
      </c>
      <c r="X7565">
        <v>0.97952459999999997</v>
      </c>
      <c r="Y7565">
        <v>0.33907989999999999</v>
      </c>
      <c r="Z7565">
        <v>-0.19654969999999999</v>
      </c>
      <c r="AA7565">
        <v>0.91999629999999999</v>
      </c>
      <c r="AB7565">
        <v>33</v>
      </c>
      <c r="AC7565">
        <v>2.2486000000000099</v>
      </c>
      <c r="AD7565">
        <v>-1.0960203496300001</v>
      </c>
      <c r="AE7565">
        <v>-0.32819999999998101</v>
      </c>
      <c r="AF7565">
        <v>0.79781556255656105</v>
      </c>
      <c r="AG7565">
        <v>-1.0960203496300001</v>
      </c>
      <c r="AH7565">
        <v>1.66199303235725</v>
      </c>
      <c r="AI7565">
        <v>120.731969735316</v>
      </c>
      <c r="AJ7565">
        <v>64.357343703559195</v>
      </c>
      <c r="AK7565">
        <v>2.1447589883864699</v>
      </c>
      <c r="AL7565">
        <v>89.664237877281394</v>
      </c>
      <c r="AM7565">
        <v>78.390364443947604</v>
      </c>
      <c r="AN7565">
        <v>0.99999999931996697</v>
      </c>
    </row>
    <row r="7566" spans="1:40" x14ac:dyDescent="0.25">
      <c r="A7566" t="str">
        <f>"20190312155023960"</f>
        <v>20190312155023960</v>
      </c>
      <c r="B7566" t="str">
        <f>"1552377023953204"</f>
        <v>1552377023953204</v>
      </c>
      <c r="C7566" t="s">
        <v>40</v>
      </c>
      <c r="D7566">
        <v>5.2019469999999997</v>
      </c>
      <c r="E7566">
        <v>0.56705329999999998</v>
      </c>
      <c r="F7566" t="s">
        <v>42</v>
      </c>
      <c r="G7566">
        <v>-167.07480000000001</v>
      </c>
      <c r="H7566" s="1">
        <v>-1.554826E-6</v>
      </c>
      <c r="I7566">
        <v>138.53620000000001</v>
      </c>
      <c r="J7566">
        <v>-169.53819999999999</v>
      </c>
      <c r="K7566">
        <v>1.0964119999999999</v>
      </c>
      <c r="L7566">
        <v>138.84649999999999</v>
      </c>
      <c r="M7566">
        <v>0.95754130000000004</v>
      </c>
      <c r="N7566">
        <v>0</v>
      </c>
      <c r="O7566">
        <v>0.28782340000000001</v>
      </c>
      <c r="P7566">
        <v>0.99557839999999997</v>
      </c>
      <c r="Q7566">
        <v>-5.3740840000000003E-3</v>
      </c>
      <c r="R7566">
        <v>9.3781260000000005E-2</v>
      </c>
      <c r="S7566">
        <v>3.0375369999999999</v>
      </c>
      <c r="T7566">
        <v>-1.2259799999999901</v>
      </c>
      <c r="U7566">
        <v>-0.26942440000000001</v>
      </c>
      <c r="V7566">
        <v>0.19702140000000001</v>
      </c>
      <c r="W7566">
        <v>4.5745839999999996E-3</v>
      </c>
      <c r="X7566">
        <v>0.9803885</v>
      </c>
      <c r="Y7566">
        <v>0.32394050000000002</v>
      </c>
      <c r="Z7566">
        <v>-0.17349709999999999</v>
      </c>
      <c r="AA7566">
        <v>0.930033</v>
      </c>
      <c r="AB7566">
        <v>33</v>
      </c>
      <c r="AC7566">
        <v>2.4633999999999698</v>
      </c>
      <c r="AD7566">
        <v>-1.0964135548259999</v>
      </c>
      <c r="AE7566">
        <v>-0.31029999999998298</v>
      </c>
      <c r="AF7566">
        <v>0.84207819569904896</v>
      </c>
      <c r="AG7566">
        <v>-1.0964135548259999</v>
      </c>
      <c r="AH7566">
        <v>1.89941286689954</v>
      </c>
      <c r="AI7566">
        <v>117.820778087213</v>
      </c>
      <c r="AJ7566">
        <v>66.090563939268904</v>
      </c>
      <c r="AK7566">
        <v>2.34925256407681</v>
      </c>
      <c r="AL7566">
        <v>89.737894725638299</v>
      </c>
      <c r="AM7566">
        <v>78.637046939098894</v>
      </c>
      <c r="AN7566">
        <v>0.99999998490449105</v>
      </c>
    </row>
    <row r="7567" spans="1:40" x14ac:dyDescent="0.25">
      <c r="A7567" t="str">
        <f>"20190312155023975"</f>
        <v>20190312155023975</v>
      </c>
      <c r="B7567" t="str">
        <f>"1552377023962964"</f>
        <v>1552377023962964</v>
      </c>
      <c r="C7567" t="s">
        <v>40</v>
      </c>
      <c r="D7567">
        <v>5.1061030000000001</v>
      </c>
      <c r="E7567">
        <v>0.56705329999999998</v>
      </c>
      <c r="F7567" t="s">
        <v>42</v>
      </c>
      <c r="G7567">
        <v>-166.3056</v>
      </c>
      <c r="H7567" s="1">
        <v>-1.905063E-6</v>
      </c>
      <c r="I7567">
        <v>138.61150000000001</v>
      </c>
      <c r="J7567">
        <v>-169.32079999999999</v>
      </c>
      <c r="K7567">
        <v>1.0967800000000001</v>
      </c>
      <c r="L7567">
        <v>138.90430000000001</v>
      </c>
      <c r="M7567">
        <v>0.96003959999999999</v>
      </c>
      <c r="N7567">
        <v>0</v>
      </c>
      <c r="O7567">
        <v>0.27938180000000001</v>
      </c>
      <c r="P7567">
        <v>0.99615229999999999</v>
      </c>
      <c r="Q7567">
        <v>-6.1046130000000001E-3</v>
      </c>
      <c r="R7567">
        <v>8.7426370000000003E-2</v>
      </c>
      <c r="S7567">
        <v>3.0285190000000002</v>
      </c>
      <c r="T7567">
        <v>-1.0271999999999999</v>
      </c>
      <c r="U7567">
        <v>-0.2201996</v>
      </c>
      <c r="V7567">
        <v>0.19461600000000001</v>
      </c>
      <c r="W7567">
        <v>4.0190759999999999E-3</v>
      </c>
      <c r="X7567">
        <v>0.9808713</v>
      </c>
      <c r="Y7567">
        <v>0.3153531</v>
      </c>
      <c r="Z7567">
        <v>-0.14330979999999999</v>
      </c>
      <c r="AA7567">
        <v>0.93809100000000001</v>
      </c>
      <c r="AB7567">
        <v>33</v>
      </c>
      <c r="AC7567">
        <v>3.0151999999999899</v>
      </c>
      <c r="AD7567">
        <v>-1.0967819050630001</v>
      </c>
      <c r="AE7567">
        <v>-0.29279999999999901</v>
      </c>
      <c r="AF7567">
        <v>0.99342616754522495</v>
      </c>
      <c r="AG7567">
        <v>-1.0967819050630001</v>
      </c>
      <c r="AH7567">
        <v>2.4872609876689999</v>
      </c>
      <c r="AI7567">
        <v>112.26932975493401</v>
      </c>
      <c r="AJ7567">
        <v>68.227951696214703</v>
      </c>
      <c r="AK7567">
        <v>2.8941826684605401</v>
      </c>
      <c r="AL7567">
        <v>89.7697232931922</v>
      </c>
      <c r="AM7567">
        <v>78.777616195734694</v>
      </c>
      <c r="AN7567">
        <v>1.00000002379579</v>
      </c>
    </row>
    <row r="7568" spans="1:40" x14ac:dyDescent="0.25">
      <c r="A7568" t="str">
        <f>"20190312155023994"</f>
        <v>20190312155023994</v>
      </c>
      <c r="B7568" t="str">
        <f>"1552377023983461"</f>
        <v>1552377023983461</v>
      </c>
      <c r="C7568" t="s">
        <v>40</v>
      </c>
      <c r="D7568">
        <v>5.4073129999999896</v>
      </c>
      <c r="E7568">
        <v>0.54389449999999995</v>
      </c>
      <c r="F7568" t="s">
        <v>42</v>
      </c>
      <c r="G7568">
        <v>-166.09710000000001</v>
      </c>
      <c r="H7568" s="1">
        <v>-1.9969209999999998E-6</v>
      </c>
      <c r="I7568">
        <v>138.64940000000001</v>
      </c>
      <c r="J7568">
        <v>-169.05449999999999</v>
      </c>
      <c r="K7568">
        <v>1.0972740000000001</v>
      </c>
      <c r="L7568">
        <v>138.9726</v>
      </c>
      <c r="M7568">
        <v>0.96288059999999998</v>
      </c>
      <c r="N7568">
        <v>0</v>
      </c>
      <c r="O7568">
        <v>0.2694337</v>
      </c>
      <c r="P7568">
        <v>0.99654869999999995</v>
      </c>
      <c r="Q7568">
        <v>-7.802598E-3</v>
      </c>
      <c r="R7568">
        <v>8.2644949999999995E-2</v>
      </c>
      <c r="S7568">
        <v>3.0262760000000002</v>
      </c>
      <c r="T7568">
        <v>-1.0296069999999999</v>
      </c>
      <c r="U7568">
        <v>-0.2392426</v>
      </c>
      <c r="V7568">
        <v>0.18911259999999999</v>
      </c>
      <c r="W7568">
        <v>2.6238569999999998E-3</v>
      </c>
      <c r="X7568">
        <v>0.98195189999999999</v>
      </c>
      <c r="Y7568">
        <v>0.3120983</v>
      </c>
      <c r="Z7568">
        <v>-0.13997560000000001</v>
      </c>
      <c r="AA7568">
        <v>0.93968160000000001</v>
      </c>
      <c r="AB7568">
        <v>33</v>
      </c>
      <c r="AC7568">
        <v>2.9573999999999701</v>
      </c>
      <c r="AD7568">
        <v>-1.097275996921</v>
      </c>
      <c r="AE7568">
        <v>-0.323199999999985</v>
      </c>
      <c r="AF7568">
        <v>0.97547382180686004</v>
      </c>
      <c r="AG7568">
        <v>-1.097275996921</v>
      </c>
      <c r="AH7568">
        <v>2.43030036963781</v>
      </c>
      <c r="AI7568">
        <v>112.73396591756701</v>
      </c>
      <c r="AJ7568">
        <v>68.130463599648706</v>
      </c>
      <c r="AK7568">
        <v>2.8393526862845202</v>
      </c>
      <c r="AL7568">
        <v>89.849663894902804</v>
      </c>
      <c r="AM7568">
        <v>79.098960895895402</v>
      </c>
      <c r="AN7568">
        <v>0.99999999700896303</v>
      </c>
    </row>
    <row r="7569" spans="1:40" x14ac:dyDescent="0.25">
      <c r="A7569" t="str">
        <f>"20190312155024016"</f>
        <v>20190312155024016</v>
      </c>
      <c r="B7569" t="str">
        <f>"1552377024003956"</f>
        <v>1552377024003956</v>
      </c>
      <c r="C7569" t="s">
        <v>40</v>
      </c>
      <c r="D7569">
        <v>5.2351590000000003</v>
      </c>
      <c r="E7569">
        <v>0.54262670000000002</v>
      </c>
      <c r="F7569" t="s">
        <v>42</v>
      </c>
      <c r="G7569">
        <v>-160.93870000000001</v>
      </c>
      <c r="H7569" s="1">
        <v>-4.4206789999999999E-6</v>
      </c>
      <c r="I7569">
        <v>138.7319</v>
      </c>
      <c r="J7569">
        <v>-168.7311</v>
      </c>
      <c r="K7569">
        <v>1.097891</v>
      </c>
      <c r="L7569">
        <v>139.0521</v>
      </c>
      <c r="M7569">
        <v>0.96601999999999999</v>
      </c>
      <c r="N7569">
        <v>0</v>
      </c>
      <c r="O7569">
        <v>0.25795879999999999</v>
      </c>
      <c r="P7569">
        <v>0.99702950000000001</v>
      </c>
      <c r="Q7569">
        <v>-7.735624E-3</v>
      </c>
      <c r="R7569">
        <v>7.6631019999999994E-2</v>
      </c>
      <c r="S7569">
        <v>3.014618</v>
      </c>
      <c r="T7569">
        <v>-0.40758719999999998</v>
      </c>
      <c r="U7569">
        <v>-8.9416499999999996E-2</v>
      </c>
      <c r="V7569">
        <v>0.1833476</v>
      </c>
      <c r="W7569">
        <v>3.0196310000000001E-3</v>
      </c>
      <c r="X7569">
        <v>0.98304349999999996</v>
      </c>
      <c r="Y7569">
        <v>0.28164889999999998</v>
      </c>
      <c r="Z7569">
        <v>-5.3398559999999998E-2</v>
      </c>
      <c r="AA7569">
        <v>0.95803050000000001</v>
      </c>
      <c r="AB7569">
        <v>33</v>
      </c>
      <c r="AC7569">
        <v>7.7923999999999802</v>
      </c>
      <c r="AD7569">
        <v>-1.0978954206789999</v>
      </c>
      <c r="AE7569">
        <v>-0.32019999999999899</v>
      </c>
      <c r="AF7569">
        <v>2.2746644327639798</v>
      </c>
      <c r="AG7569">
        <v>-1.0978954206789999</v>
      </c>
      <c r="AH7569">
        <v>7.3013007920445903</v>
      </c>
      <c r="AI7569">
        <v>98.169793220703895</v>
      </c>
      <c r="AJ7569">
        <v>72.695976490428606</v>
      </c>
      <c r="AK7569">
        <v>7.7258310810125996</v>
      </c>
      <c r="AL7569">
        <v>89.826987623658098</v>
      </c>
      <c r="AM7569">
        <v>79.4351420887171</v>
      </c>
      <c r="AN7569">
        <v>0.99999999174469301</v>
      </c>
    </row>
    <row r="7570" spans="1:40" x14ac:dyDescent="0.25">
      <c r="A7570" t="str">
        <f>"20190312155024039"</f>
        <v>20190312155024039</v>
      </c>
      <c r="B7570" t="str">
        <f>"1552377024033236"</f>
        <v>1552377024033236</v>
      </c>
      <c r="C7570" t="s">
        <v>40</v>
      </c>
      <c r="D7570">
        <v>5.043412</v>
      </c>
      <c r="E7570">
        <v>0.53847970000000001</v>
      </c>
      <c r="F7570" t="s">
        <v>42</v>
      </c>
      <c r="G7570">
        <v>-158.15979999999999</v>
      </c>
      <c r="H7570" s="1">
        <v>-9.342012E-7</v>
      </c>
      <c r="I7570">
        <v>138.70050000000001</v>
      </c>
      <c r="J7570">
        <v>-168.4058</v>
      </c>
      <c r="K7570">
        <v>1.0985240000000001</v>
      </c>
      <c r="L7570">
        <v>139.1285</v>
      </c>
      <c r="M7570">
        <v>0.96886969999999994</v>
      </c>
      <c r="N7570">
        <v>0</v>
      </c>
      <c r="O7570">
        <v>0.2470484</v>
      </c>
      <c r="P7570">
        <v>0.99747889999999995</v>
      </c>
      <c r="Q7570">
        <v>-7.3737269999999897E-3</v>
      </c>
      <c r="R7570">
        <v>7.0580589999999999E-2</v>
      </c>
      <c r="S7570">
        <v>3.0142359999999999</v>
      </c>
      <c r="T7570">
        <v>-0.31304530000000003</v>
      </c>
      <c r="U7570">
        <v>-0.10026549999999999</v>
      </c>
      <c r="V7570">
        <v>0.17822789999999999</v>
      </c>
      <c r="W7570">
        <v>3.674325E-3</v>
      </c>
      <c r="X7570">
        <v>0.98398240000000003</v>
      </c>
      <c r="Y7570">
        <v>0.27636149999999998</v>
      </c>
      <c r="Z7570">
        <v>-3.9717540000000003E-2</v>
      </c>
      <c r="AA7570">
        <v>0.96023270000000005</v>
      </c>
      <c r="AB7570">
        <v>33</v>
      </c>
      <c r="AC7570">
        <v>10.246</v>
      </c>
      <c r="AD7570">
        <v>-1.0985249342012</v>
      </c>
      <c r="AE7570">
        <v>-0.42799999999999699</v>
      </c>
      <c r="AF7570">
        <v>2.9128896029191198</v>
      </c>
      <c r="AG7570">
        <v>-1.0985249342012</v>
      </c>
      <c r="AH7570">
        <v>9.7111367110293099</v>
      </c>
      <c r="AI7570">
        <v>96.183919823602295</v>
      </c>
      <c r="AJ7570">
        <v>73.303199214411094</v>
      </c>
      <c r="AK7570">
        <v>10.1979340599043</v>
      </c>
      <c r="AL7570">
        <v>89.789476216343402</v>
      </c>
      <c r="AM7570">
        <v>79.733373219020095</v>
      </c>
      <c r="AN7570">
        <v>1.00000002425618</v>
      </c>
    </row>
    <row r="7571" spans="1:40" x14ac:dyDescent="0.25">
      <c r="A7571" t="str">
        <f>"20190312155024061"</f>
        <v>20190312155024061</v>
      </c>
      <c r="B7571" t="str">
        <f>"1552377024053732"</f>
        <v>1552377024053732</v>
      </c>
      <c r="C7571" t="s">
        <v>40</v>
      </c>
      <c r="D7571">
        <v>5.0931759999999997</v>
      </c>
      <c r="E7571">
        <v>0.53733039999999999</v>
      </c>
      <c r="F7571" t="s">
        <v>42</v>
      </c>
      <c r="G7571">
        <v>-156.8963</v>
      </c>
      <c r="H7571" s="1">
        <v>-1.4585789999999999E-6</v>
      </c>
      <c r="I7571">
        <v>138.80000000000001</v>
      </c>
      <c r="J7571">
        <v>-168.08760000000001</v>
      </c>
      <c r="K7571">
        <v>1.0991379999999999</v>
      </c>
      <c r="L7571">
        <v>139.19990000000001</v>
      </c>
      <c r="M7571">
        <v>0.97138400000000003</v>
      </c>
      <c r="N7571">
        <v>0</v>
      </c>
      <c r="O7571">
        <v>0.23697670000000001</v>
      </c>
      <c r="P7571">
        <v>0.99787559999999997</v>
      </c>
      <c r="Q7571">
        <v>-6.0182219999999897E-3</v>
      </c>
      <c r="R7571">
        <v>6.4871100000000001E-2</v>
      </c>
      <c r="S7571">
        <v>3.01152</v>
      </c>
      <c r="T7571">
        <v>-0.28743259999999998</v>
      </c>
      <c r="U7571">
        <v>-8.5952760000000003E-2</v>
      </c>
      <c r="V7571">
        <v>0.17367199999999999</v>
      </c>
      <c r="W7571">
        <v>5.2869700000000002E-3</v>
      </c>
      <c r="X7571">
        <v>0.98478940000000004</v>
      </c>
      <c r="Y7571">
        <v>0.26237149999999998</v>
      </c>
      <c r="Z7571">
        <v>-3.4910789999999997E-2</v>
      </c>
      <c r="AA7571">
        <v>0.96433519999999995</v>
      </c>
      <c r="AB7571">
        <v>33</v>
      </c>
      <c r="AC7571">
        <v>11.1913</v>
      </c>
      <c r="AD7571">
        <v>-1.099139458579</v>
      </c>
      <c r="AE7571">
        <v>-0.39990000000000198</v>
      </c>
      <c r="AF7571">
        <v>3.0119061869658399</v>
      </c>
      <c r="AG7571">
        <v>-1.099139458579</v>
      </c>
      <c r="AH7571">
        <v>10.674820560172501</v>
      </c>
      <c r="AI7571">
        <v>95.659343024459801</v>
      </c>
      <c r="AJ7571">
        <v>74.243559481536295</v>
      </c>
      <c r="AK7571">
        <v>11.1459176571681</v>
      </c>
      <c r="AL7571">
        <v>89.697077533171296</v>
      </c>
      <c r="AM7571">
        <v>79.998473196000504</v>
      </c>
      <c r="AN7571">
        <v>1.00000003899406</v>
      </c>
    </row>
    <row r="7572" spans="1:40" x14ac:dyDescent="0.25">
      <c r="A7572" t="str">
        <f>"20190312155024084"</f>
        <v>20190312155024084</v>
      </c>
      <c r="B7572" t="str">
        <f>"1552377024073253"</f>
        <v>1552377024073253</v>
      </c>
      <c r="C7572" t="s">
        <v>40</v>
      </c>
      <c r="D7572">
        <v>5.1967790000000003</v>
      </c>
      <c r="E7572">
        <v>0.53608100000000003</v>
      </c>
      <c r="F7572" t="s">
        <v>42</v>
      </c>
      <c r="G7572">
        <v>-155.94739999999999</v>
      </c>
      <c r="H7572" s="1">
        <v>-1.861911E-6</v>
      </c>
      <c r="I7572">
        <v>138.82089999999999</v>
      </c>
      <c r="J7572">
        <v>-167.75919999999999</v>
      </c>
      <c r="K7572">
        <v>1.099745</v>
      </c>
      <c r="L7572">
        <v>139.2705</v>
      </c>
      <c r="M7572">
        <v>0.97372400000000003</v>
      </c>
      <c r="N7572">
        <v>0</v>
      </c>
      <c r="O7572">
        <v>0.22717860000000001</v>
      </c>
      <c r="P7572">
        <v>0.99819179999999996</v>
      </c>
      <c r="Q7572">
        <v>-5.1271240000000003E-3</v>
      </c>
      <c r="R7572">
        <v>5.9895280000000002E-2</v>
      </c>
      <c r="S7572">
        <v>3.0108489999999999</v>
      </c>
      <c r="T7572">
        <v>-0.27259359999999999</v>
      </c>
      <c r="U7572">
        <v>-9.3994140000000004E-2</v>
      </c>
      <c r="V7572">
        <v>0.16867209999999999</v>
      </c>
      <c r="W7572">
        <v>6.4356519999999896E-3</v>
      </c>
      <c r="X7572">
        <v>0.98565119999999895</v>
      </c>
      <c r="Y7572">
        <v>0.25552010000000003</v>
      </c>
      <c r="Z7572">
        <v>-3.1946299999999997E-2</v>
      </c>
      <c r="AA7572">
        <v>0.96627580000000002</v>
      </c>
      <c r="AB7572">
        <v>32</v>
      </c>
      <c r="AC7572">
        <v>11.8118</v>
      </c>
      <c r="AD7572">
        <v>-1.099746861911</v>
      </c>
      <c r="AE7572">
        <v>-0.449600000000003</v>
      </c>
      <c r="AF7572">
        <v>3.09477814168859</v>
      </c>
      <c r="AG7572">
        <v>-1.099746861911</v>
      </c>
      <c r="AH7572">
        <v>11.302887687338099</v>
      </c>
      <c r="AI7572">
        <v>95.361150260339599</v>
      </c>
      <c r="AJ7572">
        <v>74.687465299657902</v>
      </c>
      <c r="AK7572">
        <v>11.770402073809301</v>
      </c>
      <c r="AL7572">
        <v>89.631261753443695</v>
      </c>
      <c r="AM7572">
        <v>80.289175746189898</v>
      </c>
      <c r="AN7572">
        <v>0.99999999149825702</v>
      </c>
    </row>
    <row r="7573" spans="1:40" x14ac:dyDescent="0.25">
      <c r="A7573" t="str">
        <f>"20190312155024105"</f>
        <v>20190312155024105</v>
      </c>
      <c r="B7573" t="str">
        <f>"1552377024093748"</f>
        <v>1552377024093748</v>
      </c>
      <c r="C7573" t="s">
        <v>40</v>
      </c>
      <c r="D7573">
        <v>5.1738540000000004</v>
      </c>
      <c r="E7573">
        <v>0.534717</v>
      </c>
      <c r="F7573" t="s">
        <v>42</v>
      </c>
      <c r="G7573">
        <v>-155.54490000000001</v>
      </c>
      <c r="H7573" s="1">
        <v>-2.0259730000000001E-6</v>
      </c>
      <c r="I7573">
        <v>138.86949999999999</v>
      </c>
      <c r="J7573">
        <v>-167.45310000000001</v>
      </c>
      <c r="K7573">
        <v>1.1002890000000001</v>
      </c>
      <c r="L7573">
        <v>139.33340000000001</v>
      </c>
      <c r="M7573">
        <v>0.97569229999999996</v>
      </c>
      <c r="N7573">
        <v>0</v>
      </c>
      <c r="O7573">
        <v>0.21857740000000001</v>
      </c>
      <c r="P7573">
        <v>0.99842730000000002</v>
      </c>
      <c r="Q7573">
        <v>-4.4097939999999999E-3</v>
      </c>
      <c r="R7573">
        <v>5.5890240000000001E-2</v>
      </c>
      <c r="S7573">
        <v>3.009995</v>
      </c>
      <c r="T7573">
        <v>-0.27101330000000001</v>
      </c>
      <c r="U7573">
        <v>-9.8800659999999998E-2</v>
      </c>
      <c r="V7573">
        <v>0.16393489999999999</v>
      </c>
      <c r="W7573">
        <v>7.3797680000000001E-3</v>
      </c>
      <c r="X7573">
        <v>0.98644359999999998</v>
      </c>
      <c r="Y7573">
        <v>0.24861929999999999</v>
      </c>
      <c r="Z7573">
        <v>-3.0701829999999999E-2</v>
      </c>
      <c r="AA7573">
        <v>0.96811460000000005</v>
      </c>
      <c r="AB7573">
        <v>32</v>
      </c>
      <c r="AC7573">
        <v>11.9081999999999</v>
      </c>
      <c r="AD7573">
        <v>-1.1002910259730001</v>
      </c>
      <c r="AE7573">
        <v>-0.46390000000002302</v>
      </c>
      <c r="AF7573">
        <v>3.0300374198140601</v>
      </c>
      <c r="AG7573">
        <v>-1.1002910259730001</v>
      </c>
      <c r="AH7573">
        <v>11.421411244148899</v>
      </c>
      <c r="AI7573">
        <v>95.319743992038696</v>
      </c>
      <c r="AJ7573">
        <v>75.142008456879694</v>
      </c>
      <c r="AK7573">
        <v>11.867619892601899</v>
      </c>
      <c r="AL7573">
        <v>89.577166620456893</v>
      </c>
      <c r="AM7573">
        <v>80.564374891896094</v>
      </c>
      <c r="AN7573">
        <v>1.00000004419735</v>
      </c>
    </row>
    <row r="7574" spans="1:40" x14ac:dyDescent="0.25">
      <c r="A7574" t="str">
        <f>"20190312155024128"</f>
        <v>20190312155024128</v>
      </c>
      <c r="B7574" t="str">
        <f>"1552377024113269"</f>
        <v>1552377024113269</v>
      </c>
      <c r="C7574" t="s">
        <v>40</v>
      </c>
      <c r="D7574">
        <v>5.2018459999999997</v>
      </c>
      <c r="E7574">
        <v>0.53369999999999995</v>
      </c>
      <c r="F7574" t="s">
        <v>42</v>
      </c>
      <c r="G7574">
        <v>-155.05609999999999</v>
      </c>
      <c r="H7574" s="1">
        <v>-2.2268180000000001E-6</v>
      </c>
      <c r="I7574">
        <v>138.9194</v>
      </c>
      <c r="J7574">
        <v>-167.13149999999999</v>
      </c>
      <c r="K7574">
        <v>1.100857</v>
      </c>
      <c r="L7574">
        <v>139.39660000000001</v>
      </c>
      <c r="M7574">
        <v>0.97756149999999997</v>
      </c>
      <c r="N7574">
        <v>0</v>
      </c>
      <c r="O7574">
        <v>0.21006720000000001</v>
      </c>
      <c r="P7574">
        <v>0.9983997</v>
      </c>
      <c r="Q7574">
        <v>-3.3345240000000002E-3</v>
      </c>
      <c r="R7574">
        <v>5.6452769999999999E-2</v>
      </c>
      <c r="S7574">
        <v>3.0091860000000001</v>
      </c>
      <c r="T7574">
        <v>-0.26707979999999998</v>
      </c>
      <c r="U7574">
        <v>-0.1004791</v>
      </c>
      <c r="V7574">
        <v>0.15479129999999899</v>
      </c>
      <c r="W7574">
        <v>8.7787619999999903E-3</v>
      </c>
      <c r="X7574">
        <v>0.98790820000000001</v>
      </c>
      <c r="Y7574">
        <v>0.24083889999999999</v>
      </c>
      <c r="Z7574">
        <v>-2.9180040000000001E-2</v>
      </c>
      <c r="AA7574">
        <v>0.97012640000000006</v>
      </c>
      <c r="AB7574">
        <v>32</v>
      </c>
      <c r="AC7574">
        <v>12.0754</v>
      </c>
      <c r="AD7574">
        <v>-1.100859226818</v>
      </c>
      <c r="AE7574">
        <v>-0.47720000000001001</v>
      </c>
      <c r="AF7574">
        <v>2.9787876808861702</v>
      </c>
      <c r="AG7574">
        <v>-1.100859226818</v>
      </c>
      <c r="AH7574">
        <v>11.6093017004046</v>
      </c>
      <c r="AI7574">
        <v>95.247907356779095</v>
      </c>
      <c r="AJ7574">
        <v>75.609141905369498</v>
      </c>
      <c r="AK7574">
        <v>12.0358195838957</v>
      </c>
      <c r="AL7574">
        <v>89.4970075334992</v>
      </c>
      <c r="AM7574">
        <v>81.094961632178297</v>
      </c>
      <c r="AN7574">
        <v>1.0000000124225901</v>
      </c>
    </row>
    <row r="7575" spans="1:40" x14ac:dyDescent="0.25">
      <c r="A7575" t="str">
        <f>"20190312155024150"</f>
        <v>20190312155024150</v>
      </c>
      <c r="B7575" t="str">
        <f>"1552377024143525"</f>
        <v>1552377024143525</v>
      </c>
      <c r="C7575" t="s">
        <v>40</v>
      </c>
      <c r="D7575">
        <v>5.2369029999999999</v>
      </c>
      <c r="E7575">
        <v>0.53233790000000003</v>
      </c>
      <c r="F7575" t="s">
        <v>42</v>
      </c>
      <c r="G7575">
        <v>-154.5069</v>
      </c>
      <c r="H7575" s="1">
        <v>-2.445848E-6</v>
      </c>
      <c r="I7575">
        <v>139.01300000000001</v>
      </c>
      <c r="J7575">
        <v>-166.81219999999999</v>
      </c>
      <c r="K7575">
        <v>1.101367</v>
      </c>
      <c r="L7575">
        <v>139.45679999999999</v>
      </c>
      <c r="M7575">
        <v>0.97925090000000004</v>
      </c>
      <c r="N7575">
        <v>0</v>
      </c>
      <c r="O7575">
        <v>0.2020525</v>
      </c>
      <c r="P7575">
        <v>0.99862470000000003</v>
      </c>
      <c r="Q7575">
        <v>-3.0201400000000002E-3</v>
      </c>
      <c r="R7575">
        <v>5.2342800000000002E-2</v>
      </c>
      <c r="S7575">
        <v>3.0090940000000002</v>
      </c>
      <c r="T7575">
        <v>-0.26239099999999999</v>
      </c>
      <c r="U7575">
        <v>-9.1430659999999997E-2</v>
      </c>
      <c r="V7575">
        <v>0.1507589</v>
      </c>
      <c r="W7575">
        <v>9.2746500000000006E-3</v>
      </c>
      <c r="X7575">
        <v>0.98852709999999999</v>
      </c>
      <c r="Y7575">
        <v>0.23009499999999999</v>
      </c>
      <c r="Z7575">
        <v>-2.7516019999999999E-2</v>
      </c>
      <c r="AA7575">
        <v>0.97277910000000001</v>
      </c>
      <c r="AB7575">
        <v>32</v>
      </c>
      <c r="AC7575">
        <v>12.3052999999999</v>
      </c>
      <c r="AD7575">
        <v>-1.1013694458479999</v>
      </c>
      <c r="AE7575">
        <v>-0.44379999999998099</v>
      </c>
      <c r="AF7575">
        <v>2.89807628909834</v>
      </c>
      <c r="AG7575">
        <v>-1.1013694458479999</v>
      </c>
      <c r="AH7575">
        <v>11.8668149777073</v>
      </c>
      <c r="AI7575">
        <v>95.151921735291396</v>
      </c>
      <c r="AJ7575">
        <v>76.276036755766199</v>
      </c>
      <c r="AK7575">
        <v>12.265119589666501</v>
      </c>
      <c r="AL7575">
        <v>89.468594104417804</v>
      </c>
      <c r="AM7575">
        <v>81.328716100660102</v>
      </c>
      <c r="AN7575">
        <v>1.00000004624812</v>
      </c>
    </row>
    <row r="7576" spans="1:40" x14ac:dyDescent="0.25">
      <c r="A7576" t="str">
        <f>"20190312155024171"</f>
        <v>20190312155024171</v>
      </c>
      <c r="B7576" t="str">
        <f>"1552377024163044"</f>
        <v>1552377024163044</v>
      </c>
      <c r="C7576" t="s">
        <v>40</v>
      </c>
      <c r="D7576">
        <v>5.2964549999999999</v>
      </c>
      <c r="E7576">
        <v>0.53133490000000005</v>
      </c>
      <c r="F7576" t="s">
        <v>42</v>
      </c>
      <c r="G7576">
        <v>-154.22020000000001</v>
      </c>
      <c r="H7576" s="1">
        <v>-2.5590660000000001E-6</v>
      </c>
      <c r="I7576">
        <v>139.06790000000001</v>
      </c>
      <c r="J7576">
        <v>-166.49610000000001</v>
      </c>
      <c r="K7576">
        <v>1.101836</v>
      </c>
      <c r="L7576">
        <v>139.51400000000001</v>
      </c>
      <c r="M7576">
        <v>0.98078960000000004</v>
      </c>
      <c r="N7576">
        <v>0</v>
      </c>
      <c r="O7576">
        <v>0.19445280000000001</v>
      </c>
      <c r="P7576">
        <v>0.99878350000000005</v>
      </c>
      <c r="Q7576">
        <v>-4.0861869999999998E-3</v>
      </c>
      <c r="R7576">
        <v>4.9145639999999997E-2</v>
      </c>
      <c r="S7576">
        <v>3.0082089999999999</v>
      </c>
      <c r="T7576">
        <v>-0.26311420000000002</v>
      </c>
      <c r="U7576">
        <v>-9.2880249999999998E-2</v>
      </c>
      <c r="V7576">
        <v>0.14622370000000001</v>
      </c>
      <c r="W7576">
        <v>8.3830019999999901E-3</v>
      </c>
      <c r="X7576">
        <v>0.98921599999999998</v>
      </c>
      <c r="Y7576">
        <v>0.2230673</v>
      </c>
      <c r="Z7576">
        <v>-2.6638720000000001E-2</v>
      </c>
      <c r="AA7576">
        <v>0.97443900000000006</v>
      </c>
      <c r="AB7576">
        <v>32</v>
      </c>
      <c r="AC7576">
        <v>12.2759</v>
      </c>
      <c r="AD7576">
        <v>-1.101838559066</v>
      </c>
      <c r="AE7576">
        <v>-0.446100000000001</v>
      </c>
      <c r="AF7576">
        <v>2.8024052863092299</v>
      </c>
      <c r="AG7576">
        <v>-1.101838559066</v>
      </c>
      <c r="AH7576">
        <v>11.8593484676845</v>
      </c>
      <c r="AI7576">
        <v>95.166560170833407</v>
      </c>
      <c r="AJ7576">
        <v>76.704694172289706</v>
      </c>
      <c r="AK7576">
        <v>12.2356720157476</v>
      </c>
      <c r="AL7576">
        <v>89.519683725503199</v>
      </c>
      <c r="AM7576">
        <v>81.591554783424698</v>
      </c>
      <c r="AN7576">
        <v>0.99999996991010998</v>
      </c>
    </row>
    <row r="7577" spans="1:40" x14ac:dyDescent="0.25">
      <c r="A7577" t="str">
        <f>"20190312155024194"</f>
        <v>20190312155024194</v>
      </c>
      <c r="B7577" t="str">
        <f>"1552377024183540"</f>
        <v>1552377024183540</v>
      </c>
      <c r="C7577" t="s">
        <v>40</v>
      </c>
      <c r="D7577">
        <v>5.2353759999999996</v>
      </c>
      <c r="E7577">
        <v>0.53015880000000004</v>
      </c>
      <c r="F7577" t="s">
        <v>42</v>
      </c>
      <c r="G7577">
        <v>-154.06729999999999</v>
      </c>
      <c r="H7577" s="1">
        <v>-2.6149810000000001E-6</v>
      </c>
      <c r="I7577">
        <v>139.1225</v>
      </c>
      <c r="J7577">
        <v>-166.17099999999999</v>
      </c>
      <c r="K7577">
        <v>1.1022700000000001</v>
      </c>
      <c r="L7577">
        <v>139.57040000000001</v>
      </c>
      <c r="M7577">
        <v>0.98224679999999998</v>
      </c>
      <c r="N7577">
        <v>0</v>
      </c>
      <c r="O7577">
        <v>0.1869596</v>
      </c>
      <c r="P7577">
        <v>0.99891439999999998</v>
      </c>
      <c r="Q7577">
        <v>-6.3754880000000003E-3</v>
      </c>
      <c r="R7577">
        <v>4.6146680000000002E-2</v>
      </c>
      <c r="S7577">
        <v>3.0072169999999998</v>
      </c>
      <c r="T7577">
        <v>-0.26659549999999999</v>
      </c>
      <c r="U7577">
        <v>-9.4711299999999998E-2</v>
      </c>
      <c r="V7577">
        <v>0.1415864</v>
      </c>
      <c r="W7577">
        <v>6.2568429999999998E-3</v>
      </c>
      <c r="X7577">
        <v>0.98990610000000001</v>
      </c>
      <c r="Y7577">
        <v>0.2162374</v>
      </c>
      <c r="Z7577">
        <v>-2.6042030000000001E-2</v>
      </c>
      <c r="AA7577">
        <v>0.97599349999999996</v>
      </c>
      <c r="AB7577">
        <v>32</v>
      </c>
      <c r="AC7577">
        <v>12.1037</v>
      </c>
      <c r="AD7577">
        <v>-1.102272614981</v>
      </c>
      <c r="AE7577">
        <v>-0.44790000000000402</v>
      </c>
      <c r="AF7577">
        <v>2.6809676479863902</v>
      </c>
      <c r="AG7577">
        <v>-1.102272614981</v>
      </c>
      <c r="AH7577">
        <v>11.7095016818639</v>
      </c>
      <c r="AI7577">
        <v>95.242808138168499</v>
      </c>
      <c r="AJ7577">
        <v>77.104027437437196</v>
      </c>
      <c r="AK7577">
        <v>12.062960751194501</v>
      </c>
      <c r="AL7577">
        <v>89.641506953829804</v>
      </c>
      <c r="AM7577">
        <v>81.860184572883796</v>
      </c>
      <c r="AN7577">
        <v>0.99999997178324795</v>
      </c>
    </row>
    <row r="7578" spans="1:40" x14ac:dyDescent="0.25">
      <c r="A7578" t="str">
        <f>"20190312155024216"</f>
        <v>20190312155024216</v>
      </c>
      <c r="B7578" t="str">
        <f>"1552377024203282"</f>
        <v>1552377024203282</v>
      </c>
      <c r="C7578" t="s">
        <v>40</v>
      </c>
      <c r="D7578">
        <v>5.2691270000000001</v>
      </c>
      <c r="E7578">
        <v>0.52926200000000001</v>
      </c>
      <c r="F7578" t="s">
        <v>42</v>
      </c>
      <c r="G7578">
        <v>-154.37049999999999</v>
      </c>
      <c r="H7578" s="1">
        <v>-2.4715259999999998E-6</v>
      </c>
      <c r="I7578">
        <v>139.19810000000001</v>
      </c>
      <c r="J7578">
        <v>-165.85470000000001</v>
      </c>
      <c r="K7578">
        <v>1.102657</v>
      </c>
      <c r="L7578">
        <v>139.6232</v>
      </c>
      <c r="M7578">
        <v>0.98355250000000005</v>
      </c>
      <c r="N7578">
        <v>0</v>
      </c>
      <c r="O7578">
        <v>0.17996999999999999</v>
      </c>
      <c r="P7578">
        <v>0.99901329999999999</v>
      </c>
      <c r="Q7578">
        <v>-8.0023430000000003E-3</v>
      </c>
      <c r="R7578">
        <v>4.3685519999999999E-2</v>
      </c>
      <c r="S7578">
        <v>3.0058440000000002</v>
      </c>
      <c r="T7578">
        <v>-0.28077220000000003</v>
      </c>
      <c r="U7578">
        <v>-9.4848630000000003E-2</v>
      </c>
      <c r="V7578">
        <v>0.13694700000000001</v>
      </c>
      <c r="W7578">
        <v>4.7791459999999997E-3</v>
      </c>
      <c r="X7578">
        <v>0.99056679999999997</v>
      </c>
      <c r="Y7578">
        <v>0.20923700000000001</v>
      </c>
      <c r="Z7578">
        <v>-2.6463449999999999E-2</v>
      </c>
      <c r="AA7578">
        <v>0.97750680000000001</v>
      </c>
      <c r="AB7578">
        <v>32</v>
      </c>
      <c r="AC7578">
        <v>11.4842</v>
      </c>
      <c r="AD7578">
        <v>-1.1026594715260001</v>
      </c>
      <c r="AE7578">
        <v>-0.42509999999998599</v>
      </c>
      <c r="AF7578">
        <v>2.46254104538286</v>
      </c>
      <c r="AG7578">
        <v>-1.1026594715260001</v>
      </c>
      <c r="AH7578">
        <v>11.1177744486629</v>
      </c>
      <c r="AI7578">
        <v>95.530877167132005</v>
      </c>
      <c r="AJ7578">
        <v>77.510857245242605</v>
      </c>
      <c r="AK7578">
        <v>11.4404927779219</v>
      </c>
      <c r="AL7578">
        <v>89.726174049313698</v>
      </c>
      <c r="AM7578">
        <v>82.128688595311303</v>
      </c>
      <c r="AN7578">
        <v>0.99999995315386303</v>
      </c>
    </row>
    <row r="7579" spans="1:40" x14ac:dyDescent="0.25">
      <c r="A7579" t="str">
        <f>"20190312155024240"</f>
        <v>20190312155024240</v>
      </c>
      <c r="B7579" t="str">
        <f>"1552377024233536"</f>
        <v>1552377024233536</v>
      </c>
      <c r="C7579" t="s">
        <v>40</v>
      </c>
      <c r="D7579">
        <v>5.2987209999999996</v>
      </c>
      <c r="E7579">
        <v>0.52810610000000002</v>
      </c>
      <c r="F7579" t="s">
        <v>42</v>
      </c>
      <c r="G7579">
        <v>-154.50729999999999</v>
      </c>
      <c r="H7579" s="1">
        <v>-2.401676E-6</v>
      </c>
      <c r="I7579">
        <v>139.261</v>
      </c>
      <c r="J7579">
        <v>-165.52340000000001</v>
      </c>
      <c r="K7579">
        <v>1.10304</v>
      </c>
      <c r="L7579">
        <v>139.67619999999999</v>
      </c>
      <c r="M7579">
        <v>0.98481200000000002</v>
      </c>
      <c r="N7579">
        <v>0</v>
      </c>
      <c r="O7579">
        <v>0.1729512</v>
      </c>
      <c r="P7579">
        <v>0.99914979999999998</v>
      </c>
      <c r="Q7579">
        <v>-7.4831890000000003E-3</v>
      </c>
      <c r="R7579">
        <v>4.0542670000000003E-2</v>
      </c>
      <c r="S7579">
        <v>3.0048219999999999</v>
      </c>
      <c r="T7579">
        <v>-0.2919852</v>
      </c>
      <c r="U7579">
        <v>-9.5901490000000006E-2</v>
      </c>
      <c r="V7579">
        <v>0.13300200000000001</v>
      </c>
      <c r="W7579">
        <v>5.4290679999999996E-3</v>
      </c>
      <c r="X7579">
        <v>0.99110089999999995</v>
      </c>
      <c r="Y7579">
        <v>0.202539</v>
      </c>
      <c r="Z7579">
        <v>-2.652701E-2</v>
      </c>
      <c r="AA7579">
        <v>0.97891490000000003</v>
      </c>
      <c r="AB7579">
        <v>32</v>
      </c>
      <c r="AC7579">
        <v>11.0161</v>
      </c>
      <c r="AD7579">
        <v>-1.1030424016760001</v>
      </c>
      <c r="AE7579">
        <v>-0.41519999999999802</v>
      </c>
      <c r="AF7579">
        <v>2.2914698032640199</v>
      </c>
      <c r="AG7579">
        <v>-1.1030424016760001</v>
      </c>
      <c r="AH7579">
        <v>10.6713951131667</v>
      </c>
      <c r="AI7579">
        <v>95.770761773583601</v>
      </c>
      <c r="AJ7579">
        <v>77.880901207627005</v>
      </c>
      <c r="AK7579">
        <v>10.970242023788</v>
      </c>
      <c r="AL7579">
        <v>89.688935788924994</v>
      </c>
      <c r="AM7579">
        <v>82.356785629083006</v>
      </c>
      <c r="AN7579">
        <v>1.0000000003820699</v>
      </c>
    </row>
    <row r="7580" spans="1:40" x14ac:dyDescent="0.25">
      <c r="A7580" t="str">
        <f>"20190312155024261"</f>
        <v>20190312155024261</v>
      </c>
      <c r="B7580" t="str">
        <f>"1552377024253057"</f>
        <v>1552377024253057</v>
      </c>
      <c r="C7580" t="s">
        <v>40</v>
      </c>
      <c r="D7580">
        <v>5.2074420000000003</v>
      </c>
      <c r="E7580">
        <v>0.52766759999999902</v>
      </c>
      <c r="F7580" t="s">
        <v>41</v>
      </c>
      <c r="G7580">
        <v>-164.7028</v>
      </c>
      <c r="H7580">
        <v>1.021242</v>
      </c>
      <c r="I7580">
        <v>139.6499</v>
      </c>
      <c r="J7580">
        <v>-165.21109999999999</v>
      </c>
      <c r="K7580">
        <v>1.1033949999999999</v>
      </c>
      <c r="L7580">
        <v>139.7243</v>
      </c>
      <c r="M7580">
        <v>0.98590540000000004</v>
      </c>
      <c r="N7580">
        <v>0</v>
      </c>
      <c r="O7580">
        <v>0.16661129999999999</v>
      </c>
      <c r="P7580">
        <v>0.99925390000000003</v>
      </c>
      <c r="Q7580">
        <v>-6.3453119999999997E-3</v>
      </c>
      <c r="R7580">
        <v>3.8093710000000003E-2</v>
      </c>
      <c r="S7580">
        <v>3.0041959999999999</v>
      </c>
      <c r="T7580">
        <v>-0.2992958</v>
      </c>
      <c r="U7580">
        <v>-9.5733639999999995E-2</v>
      </c>
      <c r="V7580">
        <v>0.1290673</v>
      </c>
      <c r="W7580">
        <v>6.6878939999999998E-3</v>
      </c>
      <c r="X7580">
        <v>0.99161330000000003</v>
      </c>
      <c r="Y7580">
        <v>0.19616049999999999</v>
      </c>
      <c r="Z7580">
        <v>-2.6252879999999999E-2</v>
      </c>
      <c r="AA7580">
        <v>0.98022030000000004</v>
      </c>
      <c r="AB7580">
        <v>32</v>
      </c>
      <c r="AC7580">
        <v>0.50829999999999098</v>
      </c>
      <c r="AD7580">
        <v>-8.2153000000000101E-2</v>
      </c>
      <c r="AE7580">
        <v>-7.4399999999997093E-2</v>
      </c>
      <c r="AF7580">
        <v>0.15411676100286201</v>
      </c>
      <c r="AG7580">
        <v>-8.2153000000000101E-2</v>
      </c>
      <c r="AH7580">
        <v>0.47660753449950199</v>
      </c>
      <c r="AI7580">
        <v>99.314092675690503</v>
      </c>
      <c r="AJ7580">
        <v>72.080764275656605</v>
      </c>
      <c r="AK7580">
        <v>0.507598102215431</v>
      </c>
      <c r="AL7580">
        <v>89.616809049621395</v>
      </c>
      <c r="AM7580">
        <v>82.584134852478897</v>
      </c>
      <c r="AN7580">
        <v>1.00000001629616</v>
      </c>
    </row>
    <row r="7581" spans="1:40" x14ac:dyDescent="0.25">
      <c r="A7581" t="str">
        <f>"20190312155024285"</f>
        <v>20190312155024285</v>
      </c>
      <c r="B7581" t="str">
        <f>"1552377024273553"</f>
        <v>1552377024273553</v>
      </c>
      <c r="C7581" t="s">
        <v>40</v>
      </c>
      <c r="D7581">
        <v>5.2839309999999999</v>
      </c>
      <c r="E7581">
        <v>0.52711669999999999</v>
      </c>
      <c r="F7581" t="s">
        <v>41</v>
      </c>
      <c r="G7581">
        <v>-164.41720000000001</v>
      </c>
      <c r="H7581">
        <v>1.025223</v>
      </c>
      <c r="I7581">
        <v>139.69810000000001</v>
      </c>
      <c r="J7581">
        <v>-164.8811</v>
      </c>
      <c r="K7581">
        <v>1.1037650000000001</v>
      </c>
      <c r="L7581">
        <v>139.7732</v>
      </c>
      <c r="M7581">
        <v>0.98696879999999998</v>
      </c>
      <c r="N7581">
        <v>0</v>
      </c>
      <c r="O7581">
        <v>0.1601987</v>
      </c>
      <c r="P7581">
        <v>0.99933490000000003</v>
      </c>
      <c r="Q7581">
        <v>-6.7962659999999996E-3</v>
      </c>
      <c r="R7581">
        <v>3.5825740000000002E-2</v>
      </c>
      <c r="S7581">
        <v>3.0041350000000002</v>
      </c>
      <c r="T7581">
        <v>-0.29586079999999998</v>
      </c>
      <c r="U7581">
        <v>-9.8983760000000004E-2</v>
      </c>
      <c r="V7581">
        <v>0.12485639999999899</v>
      </c>
      <c r="W7581">
        <v>6.3584069999999999E-3</v>
      </c>
      <c r="X7581">
        <v>0.99215439999999999</v>
      </c>
      <c r="Y7581">
        <v>0.19094179999999999</v>
      </c>
      <c r="Z7581">
        <v>-2.5072859999999999E-2</v>
      </c>
      <c r="AA7581">
        <v>0.98128110000000002</v>
      </c>
      <c r="AB7581">
        <v>32</v>
      </c>
      <c r="AC7581">
        <v>0.46389999999999498</v>
      </c>
      <c r="AD7581">
        <v>-7.8541999999999806E-2</v>
      </c>
      <c r="AE7581">
        <v>-7.5099999999991895E-2</v>
      </c>
      <c r="AF7581">
        <v>0.14442041377058301</v>
      </c>
      <c r="AG7581">
        <v>-7.8541999999999806E-2</v>
      </c>
      <c r="AH7581">
        <v>0.43375870660646498</v>
      </c>
      <c r="AI7581">
        <v>99.748286915879504</v>
      </c>
      <c r="AJ7581">
        <v>71.584766698319299</v>
      </c>
      <c r="AK7581">
        <v>0.463867133169165</v>
      </c>
      <c r="AL7581">
        <v>89.635687642031002</v>
      </c>
      <c r="AM7581">
        <v>82.827390754982403</v>
      </c>
      <c r="AN7581">
        <v>0.99999995169994704</v>
      </c>
    </row>
    <row r="7582" spans="1:40" x14ac:dyDescent="0.25">
      <c r="A7582" t="str">
        <f>"20190312155024306"</f>
        <v>20190312155024306</v>
      </c>
      <c r="B7582" t="str">
        <f>"1552377024303808"</f>
        <v>1552377024303808</v>
      </c>
      <c r="C7582" t="s">
        <v>40</v>
      </c>
      <c r="D7582">
        <v>5.1943539999999997</v>
      </c>
      <c r="E7582">
        <v>0.52613169999999898</v>
      </c>
      <c r="F7582" t="s">
        <v>41</v>
      </c>
      <c r="G7582">
        <v>-164.13329999999999</v>
      </c>
      <c r="H7582">
        <v>1.0284660000000001</v>
      </c>
      <c r="I7582">
        <v>139.74789999999999</v>
      </c>
      <c r="J7582">
        <v>-164.57310000000001</v>
      </c>
      <c r="K7582">
        <v>1.104098</v>
      </c>
      <c r="L7582">
        <v>139.81700000000001</v>
      </c>
      <c r="M7582">
        <v>0.98787670000000005</v>
      </c>
      <c r="N7582">
        <v>0</v>
      </c>
      <c r="O7582">
        <v>0.154506</v>
      </c>
      <c r="P7582">
        <v>0.99937500000000001</v>
      </c>
      <c r="Q7582">
        <v>-7.9608179999999997E-3</v>
      </c>
      <c r="R7582">
        <v>3.444038E-2</v>
      </c>
      <c r="S7582">
        <v>3.003555</v>
      </c>
      <c r="T7582">
        <v>-0.30234630000000001</v>
      </c>
      <c r="U7582">
        <v>-0.1011963</v>
      </c>
      <c r="V7582">
        <v>0.12048730000000001</v>
      </c>
      <c r="W7582">
        <v>5.3084289999999999E-3</v>
      </c>
      <c r="X7582">
        <v>0.99270069999999999</v>
      </c>
      <c r="Y7582">
        <v>0.18598809999999999</v>
      </c>
      <c r="Z7582">
        <v>-2.4809129999999999E-2</v>
      </c>
      <c r="AA7582">
        <v>0.98223870000000002</v>
      </c>
      <c r="AB7582">
        <v>32</v>
      </c>
      <c r="AC7582">
        <v>0.43980000000001901</v>
      </c>
      <c r="AD7582">
        <v>-7.5632000000000102E-2</v>
      </c>
      <c r="AE7582">
        <v>-6.9100000000020104E-2</v>
      </c>
      <c r="AF7582">
        <v>0.13240809883569599</v>
      </c>
      <c r="AG7582">
        <v>-7.5632000000000102E-2</v>
      </c>
      <c r="AH7582">
        <v>0.41195075304333001</v>
      </c>
      <c r="AI7582">
        <v>99.914460984099904</v>
      </c>
      <c r="AJ7582">
        <v>72.181696410927202</v>
      </c>
      <c r="AK7582">
        <v>0.43926703381229298</v>
      </c>
      <c r="AL7582">
        <v>89.695848001372696</v>
      </c>
      <c r="AM7582">
        <v>83.079675314910702</v>
      </c>
      <c r="AN7582">
        <v>1.0000000243301099</v>
      </c>
    </row>
    <row r="7583" spans="1:40" x14ac:dyDescent="0.25">
      <c r="A7583" t="str">
        <f>"20190312155024328"</f>
        <v>20190312155024328</v>
      </c>
      <c r="B7583" t="str">
        <f>"1552377024323329"</f>
        <v>1552377024323329</v>
      </c>
      <c r="C7583" t="s">
        <v>40</v>
      </c>
      <c r="D7583">
        <v>5.284427</v>
      </c>
      <c r="E7583">
        <v>0.52579189999999998</v>
      </c>
      <c r="F7583" t="s">
        <v>41</v>
      </c>
      <c r="G7583">
        <v>-163.57320000000001</v>
      </c>
      <c r="H7583">
        <v>0.99958530000000001</v>
      </c>
      <c r="I7583">
        <v>139.78440000000001</v>
      </c>
      <c r="J7583">
        <v>-164.25620000000001</v>
      </c>
      <c r="K7583">
        <v>1.1044309999999999</v>
      </c>
      <c r="L7583">
        <v>139.8605</v>
      </c>
      <c r="M7583">
        <v>0.98873279999999997</v>
      </c>
      <c r="N7583">
        <v>0</v>
      </c>
      <c r="O7583">
        <v>0.14893519999999999</v>
      </c>
      <c r="P7583">
        <v>0.99941409999999997</v>
      </c>
      <c r="Q7583">
        <v>-8.1771710000000004E-3</v>
      </c>
      <c r="R7583">
        <v>3.3238230000000001E-2</v>
      </c>
      <c r="S7583">
        <v>3.0027159999999999</v>
      </c>
      <c r="T7583">
        <v>-0.31378010000000001</v>
      </c>
      <c r="U7583">
        <v>-9.7564700000000004E-2</v>
      </c>
      <c r="V7583">
        <v>0.1160769</v>
      </c>
      <c r="W7583">
        <v>5.199235E-3</v>
      </c>
      <c r="X7583">
        <v>0.99322659999999996</v>
      </c>
      <c r="Y7583">
        <v>0.17920359999999999</v>
      </c>
      <c r="Z7583">
        <v>-2.4820109999999999E-2</v>
      </c>
      <c r="AA7583">
        <v>0.98349889999999995</v>
      </c>
      <c r="AB7583">
        <v>32</v>
      </c>
      <c r="AC7583">
        <v>0.68299999999999195</v>
      </c>
      <c r="AD7583">
        <v>-0.104845699999999</v>
      </c>
      <c r="AE7583">
        <v>-7.6099999999996698E-2</v>
      </c>
      <c r="AF7583">
        <v>0.172959543736767</v>
      </c>
      <c r="AG7583">
        <v>-0.104845699999999</v>
      </c>
      <c r="AH7583">
        <v>0.64894098208002005</v>
      </c>
      <c r="AI7583">
        <v>98.873083249802406</v>
      </c>
      <c r="AJ7583">
        <v>75.076115894946199</v>
      </c>
      <c r="AK7583">
        <v>0.67972937467870398</v>
      </c>
      <c r="AL7583">
        <v>89.702104429372298</v>
      </c>
      <c r="AM7583">
        <v>83.334166474114497</v>
      </c>
      <c r="AN7583">
        <v>0.99999997885287695</v>
      </c>
    </row>
    <row r="7584" spans="1:40" x14ac:dyDescent="0.25">
      <c r="A7584" t="str">
        <f>"20190312155024350"</f>
        <v>20190312155024350</v>
      </c>
      <c r="B7584" t="str">
        <f>"1552377024343824"</f>
        <v>1552377024343824</v>
      </c>
      <c r="C7584" t="s">
        <v>40</v>
      </c>
      <c r="D7584">
        <v>5.2826839999999997</v>
      </c>
      <c r="E7584">
        <v>0.52545169999999997</v>
      </c>
      <c r="F7584" t="s">
        <v>41</v>
      </c>
      <c r="G7584">
        <v>-163.2886</v>
      </c>
      <c r="H7584">
        <v>1.0030570000000001</v>
      </c>
      <c r="I7584">
        <v>139.8288</v>
      </c>
      <c r="J7584">
        <v>-163.93870000000001</v>
      </c>
      <c r="K7584">
        <v>1.10473</v>
      </c>
      <c r="L7584">
        <v>139.90260000000001</v>
      </c>
      <c r="M7584">
        <v>0.9895235</v>
      </c>
      <c r="N7584">
        <v>0</v>
      </c>
      <c r="O7584">
        <v>0.14359330000000001</v>
      </c>
      <c r="P7584">
        <v>0.99949169999999998</v>
      </c>
      <c r="Q7584">
        <v>-7.3799139999999996E-3</v>
      </c>
      <c r="R7584">
        <v>3.1015439999999998E-2</v>
      </c>
      <c r="S7584">
        <v>3.0024570000000002</v>
      </c>
      <c r="T7584">
        <v>-0.31460460000000001</v>
      </c>
      <c r="U7584">
        <v>-9.8587040000000001E-2</v>
      </c>
      <c r="V7584">
        <v>0.1129281</v>
      </c>
      <c r="W7584">
        <v>6.0718319999999897E-3</v>
      </c>
      <c r="X7584">
        <v>0.99358460000000004</v>
      </c>
      <c r="Y7584">
        <v>0.17427329999999999</v>
      </c>
      <c r="Z7584">
        <v>-2.4075329999999999E-2</v>
      </c>
      <c r="AA7584">
        <v>0.98440300000000003</v>
      </c>
      <c r="AB7584">
        <v>32</v>
      </c>
      <c r="AC7584">
        <v>0.650100000000009</v>
      </c>
      <c r="AD7584">
        <v>-0.101673</v>
      </c>
      <c r="AE7584">
        <v>-7.3800000000005597E-2</v>
      </c>
      <c r="AF7584">
        <v>0.16247203914998101</v>
      </c>
      <c r="AG7584">
        <v>-0.101673</v>
      </c>
      <c r="AH7584">
        <v>0.61784300647420798</v>
      </c>
      <c r="AI7584">
        <v>99.042810559156194</v>
      </c>
      <c r="AJ7584">
        <v>75.266691245388202</v>
      </c>
      <c r="AK7584">
        <v>0.64688835441955606</v>
      </c>
      <c r="AL7584">
        <v>89.652107511399507</v>
      </c>
      <c r="AM7584">
        <v>83.515744482972906</v>
      </c>
      <c r="AN7584">
        <v>0.99999999013530305</v>
      </c>
    </row>
    <row r="7585" spans="1:40" x14ac:dyDescent="0.25">
      <c r="A7585" t="str">
        <f>"20190312155024373"</f>
        <v>20190312155024373</v>
      </c>
      <c r="B7585" t="str">
        <f>"1552377024363345"</f>
        <v>1552377024363345</v>
      </c>
      <c r="C7585" t="s">
        <v>40</v>
      </c>
      <c r="D7585">
        <v>5.2851179999999998</v>
      </c>
      <c r="E7585">
        <v>0.52451340000000002</v>
      </c>
      <c r="F7585" t="s">
        <v>41</v>
      </c>
      <c r="G7585">
        <v>-163.0035</v>
      </c>
      <c r="H7585">
        <v>1.0073780000000001</v>
      </c>
      <c r="I7585">
        <v>139.8706</v>
      </c>
      <c r="J7585">
        <v>-163.6233</v>
      </c>
      <c r="K7585">
        <v>1.105003</v>
      </c>
      <c r="L7585">
        <v>139.94290000000001</v>
      </c>
      <c r="M7585">
        <v>0.99024719999999999</v>
      </c>
      <c r="N7585">
        <v>0</v>
      </c>
      <c r="O7585">
        <v>0.13851930000000001</v>
      </c>
      <c r="P7585">
        <v>0.99955309999999997</v>
      </c>
      <c r="Q7585">
        <v>-6.5660980000000002E-3</v>
      </c>
      <c r="R7585">
        <v>2.9163560000000002E-2</v>
      </c>
      <c r="S7585">
        <v>3.0023960000000001</v>
      </c>
      <c r="T7585">
        <v>-0.31245729999999999</v>
      </c>
      <c r="U7585">
        <v>-0.10226440000000001</v>
      </c>
      <c r="V7585">
        <v>0.1096818</v>
      </c>
      <c r="W7585">
        <v>6.9539619999999898E-3</v>
      </c>
      <c r="X7585">
        <v>0.9939424</v>
      </c>
      <c r="Y7585">
        <v>0.17050190000000001</v>
      </c>
      <c r="Z7585">
        <v>-2.319338E-2</v>
      </c>
      <c r="AA7585">
        <v>0.98508439999999997</v>
      </c>
      <c r="AB7585">
        <v>32</v>
      </c>
      <c r="AC7585">
        <v>0.61979999999999702</v>
      </c>
      <c r="AD7585">
        <v>-9.7624999999999795E-2</v>
      </c>
      <c r="AE7585">
        <v>-7.2300000000012604E-2</v>
      </c>
      <c r="AF7585">
        <v>0.15370453619541999</v>
      </c>
      <c r="AG7585">
        <v>-9.7624999999999795E-2</v>
      </c>
      <c r="AH7585">
        <v>0.58938156905136196</v>
      </c>
      <c r="AI7585">
        <v>99.105862213497502</v>
      </c>
      <c r="AJ7585">
        <v>75.383420153793395</v>
      </c>
      <c r="AK7585">
        <v>0.61686818608961702</v>
      </c>
      <c r="AL7585">
        <v>89.601564105139303</v>
      </c>
      <c r="AM7585">
        <v>83.7028739000489</v>
      </c>
      <c r="AN7585">
        <v>0.99999997467824797</v>
      </c>
    </row>
    <row r="7586" spans="1:40" x14ac:dyDescent="0.25">
      <c r="A7586" t="str">
        <f>"20190312155024395"</f>
        <v>20190312155024395</v>
      </c>
      <c r="B7586" t="str">
        <f>"1552377024383840"</f>
        <v>1552377024383840</v>
      </c>
      <c r="C7586" t="s">
        <v>40</v>
      </c>
      <c r="D7586">
        <v>5.2914399999999997</v>
      </c>
      <c r="E7586">
        <v>0.52369140000000003</v>
      </c>
      <c r="F7586" t="s">
        <v>41</v>
      </c>
      <c r="G7586">
        <v>-162.71850000000001</v>
      </c>
      <c r="H7586">
        <v>1.012356</v>
      </c>
      <c r="I7586">
        <v>139.9128</v>
      </c>
      <c r="J7586">
        <v>-163.29910000000001</v>
      </c>
      <c r="K7586">
        <v>1.10527</v>
      </c>
      <c r="L7586">
        <v>139.9829</v>
      </c>
      <c r="M7586">
        <v>0.99093010000000004</v>
      </c>
      <c r="N7586">
        <v>0</v>
      </c>
      <c r="O7586">
        <v>0.13355259999999999</v>
      </c>
      <c r="P7586">
        <v>0.9996102</v>
      </c>
      <c r="Q7586">
        <v>-7.1235810000000004E-3</v>
      </c>
      <c r="R7586">
        <v>2.7002780000000001E-2</v>
      </c>
      <c r="S7586">
        <v>3.002243</v>
      </c>
      <c r="T7586">
        <v>-0.30742819999999998</v>
      </c>
      <c r="U7586">
        <v>-9.9822999999999995E-2</v>
      </c>
      <c r="V7586">
        <v>0.10683479999999999</v>
      </c>
      <c r="W7586">
        <v>6.4552029999999996E-3</v>
      </c>
      <c r="X7586">
        <v>0.99425580000000002</v>
      </c>
      <c r="Y7586">
        <v>0.1648695</v>
      </c>
      <c r="Z7586">
        <v>-2.2031579999999999E-2</v>
      </c>
      <c r="AA7586">
        <v>0.98606930000000004</v>
      </c>
      <c r="AB7586">
        <v>32</v>
      </c>
      <c r="AC7586">
        <v>0.580600000000004</v>
      </c>
      <c r="AD7586">
        <v>-9.2913999999999899E-2</v>
      </c>
      <c r="AE7586">
        <v>-7.0099999999996498E-2</v>
      </c>
      <c r="AF7586">
        <v>0.143401372517659</v>
      </c>
      <c r="AG7586">
        <v>-9.2913999999999899E-2</v>
      </c>
      <c r="AH7586">
        <v>0.55209854861826302</v>
      </c>
      <c r="AI7586">
        <v>99.251518633166498</v>
      </c>
      <c r="AJ7586">
        <v>75.439806813157304</v>
      </c>
      <c r="AK7586">
        <v>0.57793578572566495</v>
      </c>
      <c r="AL7586">
        <v>89.630141532422897</v>
      </c>
      <c r="AM7586">
        <v>83.866983983641404</v>
      </c>
      <c r="AN7586">
        <v>0.999999969985225</v>
      </c>
    </row>
    <row r="7587" spans="1:40" x14ac:dyDescent="0.25">
      <c r="A7587" t="str">
        <f>"20190312155024418"</f>
        <v>20190312155024418</v>
      </c>
      <c r="B7587" t="str">
        <f>"1552377024413121"</f>
        <v>1552377024413121</v>
      </c>
      <c r="C7587" t="s">
        <v>40</v>
      </c>
      <c r="D7587">
        <v>5.354927</v>
      </c>
      <c r="E7587">
        <v>0.52234409999999998</v>
      </c>
      <c r="F7587" t="s">
        <v>41</v>
      </c>
      <c r="G7587">
        <v>-162.43379999999999</v>
      </c>
      <c r="H7587">
        <v>1.017023</v>
      </c>
      <c r="I7587">
        <v>139.95410000000001</v>
      </c>
      <c r="J7587">
        <v>-162.9836</v>
      </c>
      <c r="K7587">
        <v>1.1055469999999901</v>
      </c>
      <c r="L7587">
        <v>140.0204</v>
      </c>
      <c r="M7587">
        <v>0.99153860000000005</v>
      </c>
      <c r="N7587">
        <v>0</v>
      </c>
      <c r="O7587">
        <v>0.12896150000000001</v>
      </c>
      <c r="P7587">
        <v>0.99965409999999999</v>
      </c>
      <c r="Q7587">
        <v>-8.7433770000000001E-3</v>
      </c>
      <c r="R7587">
        <v>2.4798770000000001E-2</v>
      </c>
      <c r="S7587">
        <v>3.0016780000000001</v>
      </c>
      <c r="T7587">
        <v>-0.30607240000000002</v>
      </c>
      <c r="U7587">
        <v>-9.9411009999999994E-2</v>
      </c>
      <c r="V7587">
        <v>0.10439850000000001</v>
      </c>
      <c r="W7587">
        <v>4.8854789999999999E-3</v>
      </c>
      <c r="X7587">
        <v>0.9945235</v>
      </c>
      <c r="Y7587">
        <v>0.16023219999999999</v>
      </c>
      <c r="Z7587">
        <v>-2.1238989999999999E-2</v>
      </c>
      <c r="AA7587">
        <v>0.98685080000000003</v>
      </c>
      <c r="AB7587">
        <v>32</v>
      </c>
      <c r="AC7587">
        <v>0.54980000000000395</v>
      </c>
      <c r="AD7587">
        <v>-8.8523999999999797E-2</v>
      </c>
      <c r="AE7587">
        <v>-6.6299999999983997E-2</v>
      </c>
      <c r="AF7587">
        <v>0.13325208776686501</v>
      </c>
      <c r="AG7587">
        <v>-8.8523999999999797E-2</v>
      </c>
      <c r="AH7587">
        <v>0.52328531397353495</v>
      </c>
      <c r="AI7587">
        <v>99.310135815459702</v>
      </c>
      <c r="AJ7587">
        <v>75.713537742331795</v>
      </c>
      <c r="AK7587">
        <v>0.54719296166033504</v>
      </c>
      <c r="AL7587">
        <v>89.720081545831505</v>
      </c>
      <c r="AM7587">
        <v>84.007415253925203</v>
      </c>
      <c r="AN7587">
        <v>0.99999995337977798</v>
      </c>
    </row>
    <row r="7588" spans="1:40" x14ac:dyDescent="0.25">
      <c r="A7588" t="str">
        <f>"20190312155024441"</f>
        <v>20190312155024441</v>
      </c>
      <c r="B7588" t="str">
        <f>"1552377024433617"</f>
        <v>1552377024433617</v>
      </c>
      <c r="C7588" t="s">
        <v>40</v>
      </c>
      <c r="D7588">
        <v>5.4134729999999998</v>
      </c>
      <c r="E7588">
        <v>0.52151359999999902</v>
      </c>
      <c r="F7588" t="s">
        <v>41</v>
      </c>
      <c r="G7588">
        <v>-162.15029999999999</v>
      </c>
      <c r="H7588">
        <v>1.0195829999999999</v>
      </c>
      <c r="I7588">
        <v>139.994</v>
      </c>
      <c r="J7588">
        <v>-162.6507</v>
      </c>
      <c r="K7588">
        <v>1.105842</v>
      </c>
      <c r="L7588">
        <v>140.05869999999999</v>
      </c>
      <c r="M7588">
        <v>0.99212500000000003</v>
      </c>
      <c r="N7588">
        <v>0</v>
      </c>
      <c r="O7588">
        <v>0.1243751</v>
      </c>
      <c r="P7588">
        <v>0.99970049999999999</v>
      </c>
      <c r="Q7588">
        <v>-9.7032790000000004E-3</v>
      </c>
      <c r="R7588">
        <v>2.2472329999999999E-2</v>
      </c>
      <c r="S7588">
        <v>3.0006710000000001</v>
      </c>
      <c r="T7588">
        <v>-0.30954039999999999</v>
      </c>
      <c r="U7588">
        <v>-9.5047000000000006E-2</v>
      </c>
      <c r="V7588">
        <v>0.1020993</v>
      </c>
      <c r="W7588">
        <v>3.9761600000000003E-3</v>
      </c>
      <c r="X7588">
        <v>0.99476629999999999</v>
      </c>
      <c r="Y7588">
        <v>0.15426379999999901</v>
      </c>
      <c r="Z7588">
        <v>-2.0709390000000001E-2</v>
      </c>
      <c r="AA7588">
        <v>0.98781260000000004</v>
      </c>
      <c r="AB7588">
        <v>32</v>
      </c>
      <c r="AC7588">
        <v>0.50040000000001295</v>
      </c>
      <c r="AD7588">
        <v>-8.6259000000000002E-2</v>
      </c>
      <c r="AE7588">
        <v>-6.4699999999987698E-2</v>
      </c>
      <c r="AF7588">
        <v>0.12285113753806801</v>
      </c>
      <c r="AG7588">
        <v>-8.6259000000000002E-2</v>
      </c>
      <c r="AH7588">
        <v>0.474595067109919</v>
      </c>
      <c r="AI7588">
        <v>99.9792431218427</v>
      </c>
      <c r="AJ7588">
        <v>75.487269659695798</v>
      </c>
      <c r="AK7588">
        <v>0.49776851527639399</v>
      </c>
      <c r="AL7588">
        <v>89.772182220839994</v>
      </c>
      <c r="AM7588">
        <v>84.139883344987496</v>
      </c>
      <c r="AN7588">
        <v>1.0000000342622599</v>
      </c>
    </row>
    <row r="7589" spans="1:40" x14ac:dyDescent="0.25">
      <c r="A7589" t="str">
        <f>"20190312155024463"</f>
        <v>20190312155024463</v>
      </c>
      <c r="B7589" t="str">
        <f>"1552377024453137"</f>
        <v>1552377024453137</v>
      </c>
      <c r="C7589" t="s">
        <v>40</v>
      </c>
      <c r="D7589">
        <v>5.3647530000000003</v>
      </c>
      <c r="E7589">
        <v>0.5206847</v>
      </c>
      <c r="F7589" t="s">
        <v>41</v>
      </c>
      <c r="G7589">
        <v>-161.86600000000001</v>
      </c>
      <c r="H7589">
        <v>1.0242899999999999</v>
      </c>
      <c r="I7589">
        <v>140.03370000000001</v>
      </c>
      <c r="J7589">
        <v>-162.33430000000001</v>
      </c>
      <c r="K7589">
        <v>1.1061570000000001</v>
      </c>
      <c r="L7589">
        <v>140.09399999999999</v>
      </c>
      <c r="M7589">
        <v>0.99262969999999895</v>
      </c>
      <c r="N7589">
        <v>0</v>
      </c>
      <c r="O7589">
        <v>0.12028460000000001</v>
      </c>
      <c r="P7589">
        <v>0.99976339999999997</v>
      </c>
      <c r="Q7589">
        <v>-1.060113E-2</v>
      </c>
      <c r="R7589">
        <v>1.89947E-2</v>
      </c>
      <c r="S7589">
        <v>3.0000309999999999</v>
      </c>
      <c r="T7589">
        <v>-0.31173319999999999</v>
      </c>
      <c r="U7589">
        <v>-9.4985959999999994E-2</v>
      </c>
      <c r="V7589">
        <v>0.1014468</v>
      </c>
      <c r="W7589">
        <v>3.1116590000000001E-3</v>
      </c>
      <c r="X7589">
        <v>0.9948361</v>
      </c>
      <c r="Y7589">
        <v>0.15019950000000001</v>
      </c>
      <c r="Z7589">
        <v>-2.022736E-2</v>
      </c>
      <c r="AA7589">
        <v>0.98844869999999996</v>
      </c>
      <c r="AB7589">
        <v>32</v>
      </c>
      <c r="AC7589">
        <v>0.46829999999999899</v>
      </c>
      <c r="AD7589">
        <v>-8.1867000000000106E-2</v>
      </c>
      <c r="AE7589">
        <v>-6.0299999999983797E-2</v>
      </c>
      <c r="AF7589">
        <v>0.11280624975450899</v>
      </c>
      <c r="AG7589">
        <v>-8.1867000000000106E-2</v>
      </c>
      <c r="AH7589">
        <v>0.44428867587325799</v>
      </c>
      <c r="AI7589">
        <v>100.126169614606</v>
      </c>
      <c r="AJ7589">
        <v>75.753476919417295</v>
      </c>
      <c r="AK7589">
        <v>0.46563921997818197</v>
      </c>
      <c r="AL7589">
        <v>89.821714784444893</v>
      </c>
      <c r="AM7589">
        <v>84.177481977424804</v>
      </c>
      <c r="AN7589">
        <v>1.00000000075759</v>
      </c>
    </row>
    <row r="7590" spans="1:40" x14ac:dyDescent="0.25">
      <c r="A7590" t="str">
        <f>"20190312155024488"</f>
        <v>20190312155024488</v>
      </c>
      <c r="B7590" t="str">
        <f>"1552377024483393"</f>
        <v>1552377024483393</v>
      </c>
      <c r="C7590" t="s">
        <v>40</v>
      </c>
      <c r="D7590">
        <v>5.3512199999999996</v>
      </c>
      <c r="E7590">
        <v>0.5196016</v>
      </c>
      <c r="F7590" t="s">
        <v>41</v>
      </c>
      <c r="G7590">
        <v>-161.5822</v>
      </c>
      <c r="H7590">
        <v>1.0273909999999999</v>
      </c>
      <c r="I7590">
        <v>140.0694</v>
      </c>
      <c r="J7590">
        <v>-162.0052</v>
      </c>
      <c r="K7590">
        <v>1.106492</v>
      </c>
      <c r="L7590">
        <v>140.12950000000001</v>
      </c>
      <c r="M7590">
        <v>0.99309970000000003</v>
      </c>
      <c r="N7590">
        <v>0</v>
      </c>
      <c r="O7590">
        <v>0.11634559999999999</v>
      </c>
      <c r="P7590">
        <v>0.99983219999999995</v>
      </c>
      <c r="Q7590">
        <v>-9.6369839999999995E-3</v>
      </c>
      <c r="R7590">
        <v>1.558175E-2</v>
      </c>
      <c r="S7590">
        <v>2.9992519999999998</v>
      </c>
      <c r="T7590">
        <v>-0.3141158</v>
      </c>
      <c r="U7590">
        <v>-9.8007200000000003E-2</v>
      </c>
      <c r="V7590">
        <v>0.1009031</v>
      </c>
      <c r="W7590">
        <v>4.1139640000000003E-3</v>
      </c>
      <c r="X7590">
        <v>0.99488779999999999</v>
      </c>
      <c r="Y7590">
        <v>0.14729429999999999</v>
      </c>
      <c r="Z7590">
        <v>-1.9824999999999999E-2</v>
      </c>
      <c r="AA7590">
        <v>0.98889400000000005</v>
      </c>
      <c r="AB7590">
        <v>32</v>
      </c>
      <c r="AC7590">
        <v>0.42300000000000099</v>
      </c>
      <c r="AD7590">
        <v>-7.9101000000000005E-2</v>
      </c>
      <c r="AE7590">
        <v>-6.0100000000005503E-2</v>
      </c>
      <c r="AF7590">
        <v>0.105301844168754</v>
      </c>
      <c r="AG7590">
        <v>-7.9101000000000005E-2</v>
      </c>
      <c r="AH7590">
        <v>0.399441874335415</v>
      </c>
      <c r="AI7590">
        <v>100.840158944397</v>
      </c>
      <c r="AJ7590">
        <v>75.231547042114897</v>
      </c>
      <c r="AK7590">
        <v>0.42059393428689601</v>
      </c>
      <c r="AL7590">
        <v>89.764286572013603</v>
      </c>
      <c r="AM7590">
        <v>84.208773749622097</v>
      </c>
      <c r="AN7590">
        <v>1.00000004743912</v>
      </c>
    </row>
    <row r="7591" spans="1:40" x14ac:dyDescent="0.25">
      <c r="A7591" t="str">
        <f>"20190312155024510"</f>
        <v>20190312155024510</v>
      </c>
      <c r="B7591" t="str">
        <f>"1552377024502915"</f>
        <v>1552377024502915</v>
      </c>
      <c r="C7591" t="s">
        <v>40</v>
      </c>
      <c r="D7591">
        <v>5.3623349999999999</v>
      </c>
      <c r="E7591">
        <v>0.51891279999999995</v>
      </c>
      <c r="F7591" t="s">
        <v>41</v>
      </c>
      <c r="G7591">
        <v>-161.02440000000001</v>
      </c>
      <c r="H7591">
        <v>1.0050129999999999</v>
      </c>
      <c r="I7591">
        <v>140.09710000000001</v>
      </c>
      <c r="J7591">
        <v>-161.67439999999999</v>
      </c>
      <c r="K7591">
        <v>1.1068229999999999</v>
      </c>
      <c r="L7591">
        <v>140.16419999999999</v>
      </c>
      <c r="M7591">
        <v>0.99351940000000005</v>
      </c>
      <c r="N7591">
        <v>0</v>
      </c>
      <c r="O7591">
        <v>0.1127113</v>
      </c>
      <c r="P7591">
        <v>0.99989410000000001</v>
      </c>
      <c r="Q7591">
        <v>-6.8414649999999997E-3</v>
      </c>
      <c r="R7591">
        <v>1.285323E-2</v>
      </c>
      <c r="S7591">
        <v>2.9990389999999998</v>
      </c>
      <c r="T7591">
        <v>-0.3102685</v>
      </c>
      <c r="U7591">
        <v>-9.9044800000000002E-2</v>
      </c>
      <c r="V7591">
        <v>0.1000002</v>
      </c>
      <c r="W7591">
        <v>6.9530089999999996E-3</v>
      </c>
      <c r="X7591">
        <v>0.99496309999999999</v>
      </c>
      <c r="Y7591">
        <v>0.14409060000000001</v>
      </c>
      <c r="Z7591">
        <v>-1.9046170000000001E-2</v>
      </c>
      <c r="AA7591">
        <v>0.98938119999999996</v>
      </c>
      <c r="AB7591">
        <v>32</v>
      </c>
      <c r="AC7591">
        <v>0.64999999999997704</v>
      </c>
      <c r="AD7591">
        <v>-0.101809999999999</v>
      </c>
      <c r="AE7591">
        <v>-6.7099999999982105E-2</v>
      </c>
      <c r="AF7591">
        <v>0.136626036226527</v>
      </c>
      <c r="AG7591">
        <v>-0.101809999999999</v>
      </c>
      <c r="AH7591">
        <v>0.62316635774743301</v>
      </c>
      <c r="AI7591">
        <v>99.067082427485502</v>
      </c>
      <c r="AJ7591">
        <v>77.633855577316396</v>
      </c>
      <c r="AK7591">
        <v>0.64604044711083997</v>
      </c>
      <c r="AL7591">
        <v>89.601618710402207</v>
      </c>
      <c r="AM7591">
        <v>84.260678676017804</v>
      </c>
      <c r="AN7591">
        <v>0.99999997734790103</v>
      </c>
    </row>
    <row r="7592" spans="1:40" x14ac:dyDescent="0.25">
      <c r="A7592" t="str">
        <f>"20190312155024531"</f>
        <v>20190312155024531</v>
      </c>
      <c r="B7592" t="str">
        <f>"1552377024523408"</f>
        <v>1552377024523408</v>
      </c>
      <c r="C7592" t="s">
        <v>40</v>
      </c>
      <c r="D7592">
        <v>5.3714110000000002</v>
      </c>
      <c r="E7592">
        <v>0.51827069999999997</v>
      </c>
      <c r="F7592" t="s">
        <v>41</v>
      </c>
      <c r="G7592">
        <v>-160.73949999999999</v>
      </c>
      <c r="H7592">
        <v>1.0129319999999999</v>
      </c>
      <c r="I7592">
        <v>140.13239999999999</v>
      </c>
      <c r="J7592">
        <v>-161.38679999999999</v>
      </c>
      <c r="K7592">
        <v>1.10707</v>
      </c>
      <c r="L7592">
        <v>140.19370000000001</v>
      </c>
      <c r="M7592">
        <v>0.99384989999999995</v>
      </c>
      <c r="N7592">
        <v>0</v>
      </c>
      <c r="O7592">
        <v>0.1097621</v>
      </c>
      <c r="P7592">
        <v>0.99992639999999999</v>
      </c>
      <c r="Q7592">
        <v>-4.6413779999999998E-3</v>
      </c>
      <c r="R7592">
        <v>1.1223500000000001E-2</v>
      </c>
      <c r="S7592">
        <v>2.9995729999999998</v>
      </c>
      <c r="T7592">
        <v>-0.30126209999999998</v>
      </c>
      <c r="U7592">
        <v>-0.1016541</v>
      </c>
      <c r="V7592">
        <v>9.8682740000000005E-2</v>
      </c>
      <c r="W7592">
        <v>9.1916879999999999E-3</v>
      </c>
      <c r="X7592">
        <v>0.99507650000000003</v>
      </c>
      <c r="Y7592">
        <v>0.14211099999999999</v>
      </c>
      <c r="Z7592">
        <v>-1.8099270000000001E-2</v>
      </c>
      <c r="AA7592">
        <v>0.98968520000000004</v>
      </c>
      <c r="AB7592">
        <v>32</v>
      </c>
      <c r="AC7592">
        <v>0.64730000000000099</v>
      </c>
      <c r="AD7592">
        <v>-9.4137999999999999E-2</v>
      </c>
      <c r="AE7592">
        <v>-6.1300000000017001E-2</v>
      </c>
      <c r="AF7592">
        <v>0.12927623156725601</v>
      </c>
      <c r="AG7592">
        <v>-9.4137999999999999E-2</v>
      </c>
      <c r="AH7592">
        <v>0.62358707147009096</v>
      </c>
      <c r="AI7592">
        <v>98.4085161476971</v>
      </c>
      <c r="AJ7592">
        <v>78.2878813854865</v>
      </c>
      <c r="AK7592">
        <v>0.64376637283790705</v>
      </c>
      <c r="AL7592">
        <v>89.473347657868004</v>
      </c>
      <c r="AM7592">
        <v>84.336438154254395</v>
      </c>
      <c r="AN7592">
        <v>1.00000000557722</v>
      </c>
    </row>
    <row r="7593" spans="1:40" x14ac:dyDescent="0.25">
      <c r="A7593" t="str">
        <f>"20190312155024553"</f>
        <v>20190312155024553</v>
      </c>
      <c r="B7593" t="str">
        <f>"1552377024542929"</f>
        <v>1552377024542929</v>
      </c>
      <c r="C7593" t="s">
        <v>40</v>
      </c>
      <c r="D7593">
        <v>5.2954639999999999</v>
      </c>
      <c r="E7593">
        <v>0.51799419999999996</v>
      </c>
      <c r="F7593" t="s">
        <v>41</v>
      </c>
      <c r="G7593">
        <v>-160.45670000000001</v>
      </c>
      <c r="H7593">
        <v>1.0160260000000001</v>
      </c>
      <c r="I7593">
        <v>140.16200000000001</v>
      </c>
      <c r="J7593">
        <v>-161.07089999999999</v>
      </c>
      <c r="K7593">
        <v>1.1072959999999901</v>
      </c>
      <c r="L7593">
        <v>140.2253</v>
      </c>
      <c r="M7593">
        <v>0.99417659999999997</v>
      </c>
      <c r="N7593">
        <v>0</v>
      </c>
      <c r="O7593">
        <v>0.1067664</v>
      </c>
      <c r="P7593">
        <v>0.99993620000000005</v>
      </c>
      <c r="Q7593">
        <v>-4.5836449999999999E-3</v>
      </c>
      <c r="R7593">
        <v>1.03245E-2</v>
      </c>
      <c r="S7593">
        <v>3</v>
      </c>
      <c r="T7593">
        <v>-0.29367110000000002</v>
      </c>
      <c r="U7593">
        <v>-0.1020355</v>
      </c>
      <c r="V7593">
        <v>9.6573400000000004E-2</v>
      </c>
      <c r="W7593">
        <v>9.2932480000000005E-3</v>
      </c>
      <c r="X7593">
        <v>0.99528249999999996</v>
      </c>
      <c r="Y7593">
        <v>0.139339299999999</v>
      </c>
      <c r="Z7593">
        <v>-1.721613E-2</v>
      </c>
      <c r="AA7593">
        <v>0.99009499999999995</v>
      </c>
      <c r="AB7593">
        <v>32</v>
      </c>
      <c r="AC7593">
        <v>0.61419999999998198</v>
      </c>
      <c r="AD7593">
        <v>-9.1269999999999699E-2</v>
      </c>
      <c r="AE7593">
        <v>-6.3299999999998094E-2</v>
      </c>
      <c r="AF7593">
        <v>0.1257729266408</v>
      </c>
      <c r="AG7593">
        <v>-9.1269999999999699E-2</v>
      </c>
      <c r="AH7593">
        <v>0.59101593181686496</v>
      </c>
      <c r="AI7593">
        <v>98.589404401939106</v>
      </c>
      <c r="AJ7593">
        <v>77.986216334741599</v>
      </c>
      <c r="AK7593">
        <v>0.61110463395162495</v>
      </c>
      <c r="AL7593">
        <v>89.467528457884399</v>
      </c>
      <c r="AM7593">
        <v>84.457874605007603</v>
      </c>
      <c r="AN7593">
        <v>1.0000000204260899</v>
      </c>
    </row>
    <row r="7594" spans="1:40" x14ac:dyDescent="0.25">
      <c r="A7594" t="str">
        <f>"20190312155024574"</f>
        <v>20190312155024574</v>
      </c>
      <c r="B7594" t="str">
        <f>"1552377024563425"</f>
        <v>1552377024563425</v>
      </c>
      <c r="C7594" t="s">
        <v>40</v>
      </c>
      <c r="D7594">
        <v>5.350517</v>
      </c>
      <c r="E7594">
        <v>0.48192849999999998</v>
      </c>
      <c r="F7594" t="s">
        <v>41</v>
      </c>
      <c r="G7594">
        <v>-160.17429999999999</v>
      </c>
      <c r="H7594">
        <v>1.019701</v>
      </c>
      <c r="I7594">
        <v>140.1943</v>
      </c>
      <c r="J7594">
        <v>-160.77459999999999</v>
      </c>
      <c r="K7594">
        <v>1.1074820000000001</v>
      </c>
      <c r="L7594">
        <v>140.2543</v>
      </c>
      <c r="M7594">
        <v>0.99445070000000002</v>
      </c>
      <c r="N7594">
        <v>0</v>
      </c>
      <c r="O7594">
        <v>0.1041858</v>
      </c>
      <c r="P7594">
        <v>0.99993350000000003</v>
      </c>
      <c r="Q7594">
        <v>-6.0991760000000004E-3</v>
      </c>
      <c r="R7594">
        <v>9.8093639999999992E-3</v>
      </c>
      <c r="S7594">
        <v>2.999908</v>
      </c>
      <c r="T7594">
        <v>-0.29304560000000002</v>
      </c>
      <c r="U7594">
        <v>-0.10298160000000001</v>
      </c>
      <c r="V7594">
        <v>9.4487290000000002E-2</v>
      </c>
      <c r="W7594">
        <v>7.8170150000000001E-3</v>
      </c>
      <c r="X7594">
        <v>0.99549540000000003</v>
      </c>
      <c r="Y7594">
        <v>0.13710999999999901</v>
      </c>
      <c r="Z7594">
        <v>-1.6820910000000001E-2</v>
      </c>
      <c r="AA7594">
        <v>0.99041299999999999</v>
      </c>
      <c r="AB7594">
        <v>32</v>
      </c>
      <c r="AC7594">
        <v>0.60030000000000405</v>
      </c>
      <c r="AD7594">
        <v>-8.7781000000000095E-2</v>
      </c>
      <c r="AE7594">
        <v>-6.0000000000002197E-2</v>
      </c>
      <c r="AF7594">
        <v>0.11968883592122199</v>
      </c>
      <c r="AG7594">
        <v>-8.7781000000000095E-2</v>
      </c>
      <c r="AH7594">
        <v>0.57853229154505303</v>
      </c>
      <c r="AI7594">
        <v>98.451407305962405</v>
      </c>
      <c r="AJ7594">
        <v>78.311343134321604</v>
      </c>
      <c r="AK7594">
        <v>0.59726923055314696</v>
      </c>
      <c r="AL7594">
        <v>89.552113480729105</v>
      </c>
      <c r="AM7594">
        <v>84.578023013608501</v>
      </c>
      <c r="AN7594">
        <v>1.0000000225581001</v>
      </c>
    </row>
    <row r="7595" spans="1:40" x14ac:dyDescent="0.25">
      <c r="A7595" t="str">
        <f>"20190312155024596"</f>
        <v>20190312155024596</v>
      </c>
      <c r="B7595" t="str">
        <f>"1552377024593681"</f>
        <v>1552377024593681</v>
      </c>
      <c r="C7595" t="s">
        <v>40</v>
      </c>
      <c r="D7595">
        <v>5.3374739999999896</v>
      </c>
      <c r="E7595">
        <v>0.46524860000000001</v>
      </c>
      <c r="F7595" t="s">
        <v>41</v>
      </c>
      <c r="G7595">
        <v>-159.89449999999999</v>
      </c>
      <c r="H7595">
        <v>1.0357069999999999</v>
      </c>
      <c r="I7595">
        <v>140.3075</v>
      </c>
      <c r="J7595">
        <v>-160.45580000000001</v>
      </c>
      <c r="K7595">
        <v>1.107674</v>
      </c>
      <c r="L7595">
        <v>140.28479999999999</v>
      </c>
      <c r="M7595">
        <v>0.99471469999999995</v>
      </c>
      <c r="N7595">
        <v>0</v>
      </c>
      <c r="O7595">
        <v>0.10163949999999999</v>
      </c>
      <c r="P7595">
        <v>0.99992340000000002</v>
      </c>
      <c r="Q7595">
        <v>-7.9617950000000007E-3</v>
      </c>
      <c r="R7595">
        <v>9.5177290000000008E-3</v>
      </c>
      <c r="S7595">
        <v>2.9969329999999998</v>
      </c>
      <c r="T7595">
        <v>-0.24438579999999999</v>
      </c>
      <c r="U7595">
        <v>0.18141170000000001</v>
      </c>
      <c r="V7595">
        <v>9.221174E-2</v>
      </c>
      <c r="W7595">
        <v>5.9941090000000001E-3</v>
      </c>
      <c r="X7595">
        <v>0.99572139999999998</v>
      </c>
      <c r="Y7595">
        <v>4.0885890000000001E-2</v>
      </c>
      <c r="Z7595">
        <v>-9.9135070000000002E-3</v>
      </c>
      <c r="AA7595">
        <v>0.99911459999999996</v>
      </c>
      <c r="AB7595">
        <v>32</v>
      </c>
      <c r="AC7595">
        <v>0.56130000000001701</v>
      </c>
      <c r="AD7595">
        <v>-7.19670000000001E-2</v>
      </c>
      <c r="AE7595">
        <v>2.2700000000014601E-2</v>
      </c>
      <c r="AF7595">
        <v>3.3917226873595503E-2</v>
      </c>
      <c r="AG7595">
        <v>-7.19670000000001E-2</v>
      </c>
      <c r="AH7595">
        <v>0.55164630352886002</v>
      </c>
      <c r="AI7595">
        <v>97.418896447471298</v>
      </c>
      <c r="AJ7595">
        <v>86.481675397790596</v>
      </c>
      <c r="AK7595">
        <v>0.55735381183306698</v>
      </c>
      <c r="AL7595">
        <v>89.656560802745304</v>
      </c>
      <c r="AM7595">
        <v>84.709045084406895</v>
      </c>
      <c r="AN7595">
        <v>1.0000000203772399</v>
      </c>
    </row>
    <row r="7596" spans="1:40" x14ac:dyDescent="0.25">
      <c r="A7596" t="str">
        <f>"20190312155024619"</f>
        <v>20190312155024619</v>
      </c>
      <c r="B7596" t="str">
        <f>"1552377024613202"</f>
        <v>1552377024613202</v>
      </c>
      <c r="C7596" t="s">
        <v>40</v>
      </c>
      <c r="D7596">
        <v>5.3012550000000003</v>
      </c>
      <c r="E7596">
        <v>0.46031610000000001</v>
      </c>
      <c r="F7596" t="s">
        <v>42</v>
      </c>
      <c r="G7596">
        <v>-145.8767</v>
      </c>
      <c r="H7596" s="1">
        <v>-2.333777E-6</v>
      </c>
      <c r="I7596">
        <v>141.8057</v>
      </c>
      <c r="J7596">
        <v>-160.14660000000001</v>
      </c>
      <c r="K7596">
        <v>1.1078490000000001</v>
      </c>
      <c r="L7596">
        <v>140.31379999999999</v>
      </c>
      <c r="M7596">
        <v>0.99494389999999999</v>
      </c>
      <c r="N7596">
        <v>0</v>
      </c>
      <c r="O7596">
        <v>9.9372440000000006E-2</v>
      </c>
      <c r="P7596">
        <v>0.99990000000000001</v>
      </c>
      <c r="Q7596">
        <v>-9.5117029999999998E-3</v>
      </c>
      <c r="R7596">
        <v>1.0476060000000001E-2</v>
      </c>
      <c r="S7596">
        <v>2.995438</v>
      </c>
      <c r="T7596">
        <v>-0.2275827</v>
      </c>
      <c r="U7596">
        <v>0.3124847</v>
      </c>
      <c r="V7596">
        <v>8.8974979999999995E-2</v>
      </c>
      <c r="W7596">
        <v>4.4878009999999996E-3</v>
      </c>
      <c r="X7596">
        <v>0.99602380000000001</v>
      </c>
      <c r="Y7596">
        <v>-4.665588E-3</v>
      </c>
      <c r="Z7596">
        <v>-7.324054E-3</v>
      </c>
      <c r="AA7596">
        <v>0.99996229999999997</v>
      </c>
      <c r="AB7596">
        <v>31</v>
      </c>
      <c r="AC7596">
        <v>14.2699</v>
      </c>
      <c r="AD7596">
        <v>-1.107851333777</v>
      </c>
      <c r="AE7596">
        <v>1.49190000000001</v>
      </c>
      <c r="AF7596">
        <v>-6.5935928819365497E-2</v>
      </c>
      <c r="AG7596">
        <v>-1.107851333777</v>
      </c>
      <c r="AH7596">
        <v>14.2624883594004</v>
      </c>
      <c r="AI7596">
        <v>94.4415343225008</v>
      </c>
      <c r="AJ7596">
        <v>90.264878289877501</v>
      </c>
      <c r="AK7596">
        <v>14.3056022706663</v>
      </c>
      <c r="AL7596">
        <v>89.742867092822493</v>
      </c>
      <c r="AM7596">
        <v>84.895307513948595</v>
      </c>
      <c r="AN7596">
        <v>1.0000000487951199</v>
      </c>
    </row>
    <row r="7597" spans="1:40" x14ac:dyDescent="0.25">
      <c r="A7597" t="str">
        <f>"20190312155024641"</f>
        <v>20190312155024641</v>
      </c>
      <c r="B7597" t="str">
        <f>"1552377024633697"</f>
        <v>1552377024633697</v>
      </c>
      <c r="C7597" t="s">
        <v>40</v>
      </c>
      <c r="D7597">
        <v>5.2544180000000003</v>
      </c>
      <c r="E7597">
        <v>0.45717390000000002</v>
      </c>
      <c r="F7597" t="s">
        <v>42</v>
      </c>
      <c r="G7597">
        <v>-145.4169</v>
      </c>
      <c r="H7597" s="1">
        <v>-2.59742E-6</v>
      </c>
      <c r="I7597">
        <v>142.05529999999999</v>
      </c>
      <c r="J7597">
        <v>-159.83770000000001</v>
      </c>
      <c r="K7597">
        <v>1.1080219999999901</v>
      </c>
      <c r="L7597">
        <v>140.34229999999999</v>
      </c>
      <c r="M7597">
        <v>0.9951506</v>
      </c>
      <c r="N7597">
        <v>0</v>
      </c>
      <c r="O7597">
        <v>9.7284380000000004E-2</v>
      </c>
      <c r="P7597">
        <v>0.99988529999999998</v>
      </c>
      <c r="Q7597">
        <v>-1.0849930000000001E-2</v>
      </c>
      <c r="R7597">
        <v>1.056849E-2</v>
      </c>
      <c r="S7597">
        <v>2.9944459999999999</v>
      </c>
      <c r="T7597">
        <v>-0.2252189</v>
      </c>
      <c r="U7597">
        <v>0.35403440000000003</v>
      </c>
      <c r="V7597">
        <v>8.6782440000000002E-2</v>
      </c>
      <c r="W7597">
        <v>3.1827079999999998E-3</v>
      </c>
      <c r="X7597">
        <v>0.99622219999999995</v>
      </c>
      <c r="Y7597">
        <v>-2.0446679999999998E-2</v>
      </c>
      <c r="Z7597">
        <v>-6.4979299999999999E-3</v>
      </c>
      <c r="AA7597">
        <v>0.99976980000000004</v>
      </c>
      <c r="AB7597">
        <v>31</v>
      </c>
      <c r="AC7597">
        <v>14.4208</v>
      </c>
      <c r="AD7597">
        <v>-1.10802459741999</v>
      </c>
      <c r="AE7597">
        <v>1.7129999999999901</v>
      </c>
      <c r="AF7597">
        <v>-0.30005944181918398</v>
      </c>
      <c r="AG7597">
        <v>-1.10802459741999</v>
      </c>
      <c r="AH7597">
        <v>14.4350145555273</v>
      </c>
      <c r="AI7597">
        <v>94.388444180030902</v>
      </c>
      <c r="AJ7597">
        <v>91.190831084879505</v>
      </c>
      <c r="AK7597">
        <v>14.4805869838</v>
      </c>
      <c r="AL7597">
        <v>89.817643955698699</v>
      </c>
      <c r="AM7597">
        <v>85.021444725828999</v>
      </c>
      <c r="AN7597">
        <v>0.999999996647703</v>
      </c>
    </row>
    <row r="7598" spans="1:40" x14ac:dyDescent="0.25">
      <c r="A7598" t="str">
        <f>"20190312155024667"</f>
        <v>20190312155024667</v>
      </c>
      <c r="B7598" t="str">
        <f>"1552377024653216"</f>
        <v>1552377024653216</v>
      </c>
      <c r="C7598" t="s">
        <v>40</v>
      </c>
      <c r="D7598">
        <v>5.2780300000000002</v>
      </c>
      <c r="E7598">
        <v>0.45516849999999998</v>
      </c>
      <c r="F7598" t="s">
        <v>42</v>
      </c>
      <c r="G7598">
        <v>-144.66890000000001</v>
      </c>
      <c r="H7598" s="1">
        <v>-2.9733279999999999E-6</v>
      </c>
      <c r="I7598">
        <v>142.262</v>
      </c>
      <c r="J7598">
        <v>-159.511</v>
      </c>
      <c r="K7598">
        <v>1.1081829999999999</v>
      </c>
      <c r="L7598">
        <v>140.37200000000001</v>
      </c>
      <c r="M7598">
        <v>0.99534889999999998</v>
      </c>
      <c r="N7598">
        <v>0</v>
      </c>
      <c r="O7598">
        <v>9.5237829999999996E-2</v>
      </c>
      <c r="P7598">
        <v>0.9998456</v>
      </c>
      <c r="Q7598">
        <v>-1.349464E-2</v>
      </c>
      <c r="R7598">
        <v>1.126218E-2</v>
      </c>
      <c r="S7598">
        <v>2.993973</v>
      </c>
      <c r="T7598">
        <v>-0.21869769999999999</v>
      </c>
      <c r="U7598">
        <v>0.37890629999999997</v>
      </c>
      <c r="V7598">
        <v>8.4025799999999998E-2</v>
      </c>
      <c r="W7598">
        <v>5.7012239999999997E-4</v>
      </c>
      <c r="X7598">
        <v>0.9964634</v>
      </c>
      <c r="Y7598">
        <v>-3.065822E-2</v>
      </c>
      <c r="Z7598">
        <v>-5.7886719999999999E-3</v>
      </c>
      <c r="AA7598">
        <v>0.99951310000000004</v>
      </c>
      <c r="AB7598">
        <v>31</v>
      </c>
      <c r="AC7598">
        <v>14.842099999999901</v>
      </c>
      <c r="AD7598">
        <v>-1.108185973328</v>
      </c>
      <c r="AE7598">
        <v>1.8899999999999799</v>
      </c>
      <c r="AF7598">
        <v>-0.46517729295271698</v>
      </c>
      <c r="AG7598">
        <v>-1.108185973328</v>
      </c>
      <c r="AH7598">
        <v>14.8730479294529</v>
      </c>
      <c r="AI7598">
        <v>94.259140908815695</v>
      </c>
      <c r="AJ7598">
        <v>91.791429039392597</v>
      </c>
      <c r="AK7598">
        <v>14.921528768097501</v>
      </c>
      <c r="AL7598">
        <v>89.967334390376095</v>
      </c>
      <c r="AM7598">
        <v>85.179992228386695</v>
      </c>
      <c r="AN7598">
        <v>0.99999998382237498</v>
      </c>
    </row>
    <row r="7599" spans="1:40" x14ac:dyDescent="0.25">
      <c r="A7599" t="str">
        <f>"20190312155024691"</f>
        <v>20190312155024691</v>
      </c>
      <c r="B7599" t="str">
        <f>"1552377024683474"</f>
        <v>1552377024683474</v>
      </c>
      <c r="C7599" t="s">
        <v>40</v>
      </c>
      <c r="D7599">
        <v>5.3021969999999996</v>
      </c>
      <c r="E7599">
        <v>0.45302340000000002</v>
      </c>
      <c r="F7599" t="s">
        <v>42</v>
      </c>
      <c r="G7599">
        <v>-144.71510000000001</v>
      </c>
      <c r="H7599" s="1">
        <v>-2.9724800000000002E-6</v>
      </c>
      <c r="I7599">
        <v>142.33340000000001</v>
      </c>
      <c r="J7599">
        <v>-159.14879999999999</v>
      </c>
      <c r="K7599">
        <v>1.1083259999999999</v>
      </c>
      <c r="L7599">
        <v>140.4042</v>
      </c>
      <c r="M7599">
        <v>0.99554790000000004</v>
      </c>
      <c r="N7599">
        <v>0</v>
      </c>
      <c r="O7599">
        <v>9.3138659999999998E-2</v>
      </c>
      <c r="P7599">
        <v>0.9998013</v>
      </c>
      <c r="Q7599">
        <v>-1.5906750000000001E-2</v>
      </c>
      <c r="R7599">
        <v>1.202758E-2</v>
      </c>
      <c r="S7599">
        <v>2.992966</v>
      </c>
      <c r="T7599">
        <v>-0.2241678</v>
      </c>
      <c r="U7599">
        <v>0.39677430000000002</v>
      </c>
      <c r="V7599">
        <v>8.11476E-2</v>
      </c>
      <c r="W7599">
        <v>-1.8158250000000001E-3</v>
      </c>
      <c r="X7599">
        <v>0.99670049999999999</v>
      </c>
      <c r="Y7599">
        <v>-3.865619E-2</v>
      </c>
      <c r="Z7599">
        <v>-5.4791509999999998E-3</v>
      </c>
      <c r="AA7599">
        <v>0.9992375</v>
      </c>
      <c r="AB7599">
        <v>31</v>
      </c>
      <c r="AC7599">
        <v>14.4336999999999</v>
      </c>
      <c r="AD7599">
        <v>-1.1083289724799901</v>
      </c>
      <c r="AE7599">
        <v>1.9292</v>
      </c>
      <c r="AF7599">
        <v>-0.57301653006532405</v>
      </c>
      <c r="AG7599">
        <v>-1.1083289724799901</v>
      </c>
      <c r="AH7599">
        <v>14.466843406122001</v>
      </c>
      <c r="AI7599">
        <v>94.377548150906705</v>
      </c>
      <c r="AJ7599">
        <v>92.268240180717498</v>
      </c>
      <c r="AK7599">
        <v>14.5205474825236</v>
      </c>
      <c r="AL7599">
        <v>90.104039159926302</v>
      </c>
      <c r="AM7599">
        <v>85.345459723674793</v>
      </c>
      <c r="AN7599">
        <v>1.0000000584532101</v>
      </c>
    </row>
    <row r="7600" spans="1:40" x14ac:dyDescent="0.25">
      <c r="A7600" t="str">
        <f>"20190312155024711"</f>
        <v>20190312155024711</v>
      </c>
      <c r="B7600" t="str">
        <f>"1552377024702993"</f>
        <v>1552377024702993</v>
      </c>
      <c r="C7600" t="s">
        <v>40</v>
      </c>
      <c r="D7600">
        <v>5.1672039999999999</v>
      </c>
      <c r="E7600">
        <v>0.45214140000000003</v>
      </c>
      <c r="F7600" t="s">
        <v>42</v>
      </c>
      <c r="G7600">
        <v>-144.5453</v>
      </c>
      <c r="H7600" s="1">
        <v>-3.072338E-6</v>
      </c>
      <c r="I7600">
        <v>142.4348</v>
      </c>
      <c r="J7600">
        <v>-158.85399999999899</v>
      </c>
      <c r="K7600">
        <v>1.1084210000000001</v>
      </c>
      <c r="L7600">
        <v>140.4299</v>
      </c>
      <c r="M7600">
        <v>0.99569920000000001</v>
      </c>
      <c r="N7600">
        <v>0</v>
      </c>
      <c r="O7600">
        <v>9.1508030000000004E-2</v>
      </c>
      <c r="P7600">
        <v>0.9997568</v>
      </c>
      <c r="Q7600">
        <v>-1.7549459999999999E-2</v>
      </c>
      <c r="R7600">
        <v>1.3360790000000001E-2</v>
      </c>
      <c r="S7600">
        <v>2.9919889999999998</v>
      </c>
      <c r="T7600">
        <v>-0.22707530000000001</v>
      </c>
      <c r="U7600">
        <v>0.41604609999999898</v>
      </c>
      <c r="V7600">
        <v>7.817731E-2</v>
      </c>
      <c r="W7600">
        <v>-3.4400469999999999E-3</v>
      </c>
      <c r="X7600">
        <v>0.99693350000000003</v>
      </c>
      <c r="Y7600">
        <v>-4.6630459999999999E-2</v>
      </c>
      <c r="Z7600">
        <v>-5.1259629999999999E-3</v>
      </c>
      <c r="AA7600">
        <v>0.99889899999999998</v>
      </c>
      <c r="AB7600">
        <v>31</v>
      </c>
      <c r="AC7600">
        <v>14.3086999999999</v>
      </c>
      <c r="AD7600">
        <v>-1.1084240723380001</v>
      </c>
      <c r="AE7600">
        <v>2.0048999999999899</v>
      </c>
      <c r="AF7600">
        <v>-0.68296883500892402</v>
      </c>
      <c r="AG7600">
        <v>-1.1084240723380001</v>
      </c>
      <c r="AH7600">
        <v>14.347696278815601</v>
      </c>
      <c r="AI7600">
        <v>94.412605572017398</v>
      </c>
      <c r="AJ7600">
        <v>92.725295793010005</v>
      </c>
      <c r="AK7600">
        <v>14.4066456492437</v>
      </c>
      <c r="AL7600">
        <v>90.197100570156294</v>
      </c>
      <c r="AM7600">
        <v>85.516168132762502</v>
      </c>
      <c r="AN7600">
        <v>0.99999996457222295</v>
      </c>
    </row>
    <row r="7601" spans="1:40" x14ac:dyDescent="0.25">
      <c r="A7601" t="str">
        <f>"20190312155024868"</f>
        <v>20190312155024868</v>
      </c>
      <c r="B7601" t="str">
        <f>"1552377024863739"</f>
        <v>1552377024863739</v>
      </c>
      <c r="C7601" t="s">
        <v>40</v>
      </c>
      <c r="D7601">
        <v>5.0336369999999997</v>
      </c>
      <c r="E7601">
        <v>0.49698540000000002</v>
      </c>
      <c r="F7601" t="s">
        <v>42</v>
      </c>
      <c r="G7601">
        <v>-144.80330000000001</v>
      </c>
      <c r="H7601" s="1">
        <v>-2.9620530000000002E-6</v>
      </c>
      <c r="I7601">
        <v>142.43629999999999</v>
      </c>
      <c r="J7601">
        <v>-156.70189999999999</v>
      </c>
      <c r="K7601">
        <v>1.1086860000000001</v>
      </c>
      <c r="L7601">
        <v>140.6044</v>
      </c>
      <c r="M7601">
        <v>0.99668990000000002</v>
      </c>
      <c r="N7601">
        <v>0</v>
      </c>
      <c r="O7601">
        <v>8.0012260000000002E-2</v>
      </c>
      <c r="P7601">
        <v>0.99945240000000002</v>
      </c>
      <c r="Q7601">
        <v>-1.783181E-2</v>
      </c>
      <c r="R7601">
        <v>2.7872919999999999E-2</v>
      </c>
      <c r="S7601">
        <v>2.990875</v>
      </c>
      <c r="T7601">
        <v>-0.23594190000000001</v>
      </c>
      <c r="U7601">
        <v>0.42709350000000001</v>
      </c>
      <c r="V7601">
        <v>5.2180709999999998E-2</v>
      </c>
      <c r="W7601">
        <v>-3.6392009999999999E-3</v>
      </c>
      <c r="X7601">
        <v>0.99863100000000005</v>
      </c>
      <c r="Y7601">
        <v>-6.1749600000000002E-2</v>
      </c>
      <c r="Z7601">
        <v>-3.8375990000000001E-3</v>
      </c>
      <c r="AA7601">
        <v>0.99808430000000004</v>
      </c>
      <c r="AB7601">
        <v>31</v>
      </c>
      <c r="AC7601">
        <v>11.898599999999901</v>
      </c>
      <c r="AD7601">
        <v>-1.108688962053</v>
      </c>
      <c r="AE7601">
        <v>1.8318999999999901</v>
      </c>
      <c r="AF7601">
        <v>-0.86654366010685602</v>
      </c>
      <c r="AG7601">
        <v>-1.108688962053</v>
      </c>
      <c r="AH7601">
        <v>11.9060566123245</v>
      </c>
      <c r="AI7601">
        <v>95.306072013929494</v>
      </c>
      <c r="AJ7601">
        <v>94.162747292838304</v>
      </c>
      <c r="AK7601">
        <v>11.988922936833299</v>
      </c>
      <c r="AL7601">
        <v>90.208511324140304</v>
      </c>
      <c r="AM7601">
        <v>87.008887217140796</v>
      </c>
      <c r="AN7601">
        <v>0.99999997222051096</v>
      </c>
    </row>
    <row r="7602" spans="1:40" x14ac:dyDescent="0.25">
      <c r="A7602" t="str">
        <f>"20190312155024890"</f>
        <v>20190312155024890</v>
      </c>
      <c r="B7602" t="str">
        <f>"1552377024884235"</f>
        <v>1552377024884235</v>
      </c>
      <c r="C7602" t="s">
        <v>40</v>
      </c>
      <c r="D7602">
        <v>5.343451</v>
      </c>
      <c r="E7602">
        <v>0.49684210000000001</v>
      </c>
      <c r="F7602" t="s">
        <v>41</v>
      </c>
      <c r="G7602">
        <v>-155.83779999999999</v>
      </c>
      <c r="H7602">
        <v>0.75979629999999998</v>
      </c>
      <c r="I7602">
        <v>140.64680000000001</v>
      </c>
      <c r="J7602">
        <v>-156.38749999999999</v>
      </c>
      <c r="K7602">
        <v>1.1087</v>
      </c>
      <c r="L7602">
        <v>140.6277</v>
      </c>
      <c r="M7602">
        <v>0.99682479999999996</v>
      </c>
      <c r="N7602">
        <v>0</v>
      </c>
      <c r="O7602">
        <v>7.8316140000000006E-2</v>
      </c>
      <c r="P7602">
        <v>0.99945070000000003</v>
      </c>
      <c r="Q7602">
        <v>-1.763236E-2</v>
      </c>
      <c r="R7602">
        <v>2.806378E-2</v>
      </c>
      <c r="S7602">
        <v>2.976105</v>
      </c>
      <c r="T7602">
        <v>-1.201454</v>
      </c>
      <c r="U7602">
        <v>0.14657590000000001</v>
      </c>
      <c r="V7602">
        <v>5.0291870000000002E-2</v>
      </c>
      <c r="W7602">
        <v>-3.438052E-3</v>
      </c>
      <c r="X7602">
        <v>0.99872859999999997</v>
      </c>
      <c r="Y7602">
        <v>2.1405E-2</v>
      </c>
      <c r="Z7602">
        <v>-3.452715E-2</v>
      </c>
      <c r="AA7602">
        <v>0.99917449999999997</v>
      </c>
      <c r="AB7602">
        <v>31</v>
      </c>
      <c r="AC7602">
        <v>0.54970000000000097</v>
      </c>
      <c r="AD7602">
        <v>-0.34890369999999898</v>
      </c>
      <c r="AE7602">
        <v>1.91000000000087E-2</v>
      </c>
      <c r="AF7602">
        <v>1.71234074897397E-2</v>
      </c>
      <c r="AG7602">
        <v>-0.34890369999999898</v>
      </c>
      <c r="AH7602">
        <v>0.39183925966384497</v>
      </c>
      <c r="AI7602">
        <v>131.655542293141</v>
      </c>
      <c r="AJ7602">
        <v>87.4977618078549</v>
      </c>
      <c r="AK7602">
        <v>0.52494286200658102</v>
      </c>
      <c r="AL7602">
        <v>90.1969862663952</v>
      </c>
      <c r="AM7602">
        <v>87.117254849335595</v>
      </c>
      <c r="AN7602">
        <v>0.99999995442380396</v>
      </c>
    </row>
    <row r="7603" spans="1:40" x14ac:dyDescent="0.25">
      <c r="A7603" t="str">
        <f>"20190312155024912"</f>
        <v>20190312155024912</v>
      </c>
      <c r="B7603" t="str">
        <f>"1552377024903754"</f>
        <v>1552377024903754</v>
      </c>
      <c r="C7603" t="s">
        <v>40</v>
      </c>
      <c r="D7603">
        <v>5.3819140000000001</v>
      </c>
      <c r="E7603">
        <v>0.49632419999999999</v>
      </c>
      <c r="F7603" t="s">
        <v>41</v>
      </c>
      <c r="G7603">
        <v>-155.54169999999999</v>
      </c>
      <c r="H7603">
        <v>0.80985839999999998</v>
      </c>
      <c r="I7603">
        <v>140.66829999999999</v>
      </c>
      <c r="J7603">
        <v>-156.0669</v>
      </c>
      <c r="K7603">
        <v>1.108711</v>
      </c>
      <c r="L7603">
        <v>140.65100000000001</v>
      </c>
      <c r="M7603">
        <v>0.99695929999999999</v>
      </c>
      <c r="N7603">
        <v>0</v>
      </c>
      <c r="O7603">
        <v>7.6585520000000004E-2</v>
      </c>
      <c r="P7603">
        <v>0.99948179999999998</v>
      </c>
      <c r="Q7603">
        <v>-1.7042829999999998E-2</v>
      </c>
      <c r="R7603">
        <v>2.7312090000000001E-2</v>
      </c>
      <c r="S7603">
        <v>2.9790649999999999</v>
      </c>
      <c r="T7603">
        <v>-1.0524519999999999</v>
      </c>
      <c r="U7603">
        <v>0.1431885</v>
      </c>
      <c r="V7603">
        <v>4.9312109999999999E-2</v>
      </c>
      <c r="W7603">
        <v>-2.8505010000000001E-3</v>
      </c>
      <c r="X7603">
        <v>0.99877939999999998</v>
      </c>
      <c r="Y7603">
        <v>2.2651540000000001E-2</v>
      </c>
      <c r="Z7603">
        <v>-3.0099810000000001E-2</v>
      </c>
      <c r="AA7603">
        <v>0.99929020000000002</v>
      </c>
      <c r="AB7603">
        <v>31</v>
      </c>
      <c r="AC7603">
        <v>0.52520000000001199</v>
      </c>
      <c r="AD7603">
        <v>-0.29885259999999902</v>
      </c>
      <c r="AE7603">
        <v>1.7299999999977399E-2</v>
      </c>
      <c r="AF7603">
        <v>1.7362098828639101E-2</v>
      </c>
      <c r="AG7603">
        <v>-0.29885259999999902</v>
      </c>
      <c r="AH7603">
        <v>0.39668006036671699</v>
      </c>
      <c r="AI7603">
        <v>126.967455770781</v>
      </c>
      <c r="AJ7603">
        <v>87.493848090103</v>
      </c>
      <c r="AK7603">
        <v>0.49696014859849402</v>
      </c>
      <c r="AL7603">
        <v>90.163321889854899</v>
      </c>
      <c r="AM7603">
        <v>87.173466540993601</v>
      </c>
      <c r="AN7603">
        <v>1.00000004970648</v>
      </c>
    </row>
    <row r="7604" spans="1:40" x14ac:dyDescent="0.25">
      <c r="A7604" t="str">
        <f>"20190312155024934"</f>
        <v>20190312155024934</v>
      </c>
      <c r="B7604" t="str">
        <f>"1552377024923275"</f>
        <v>1552377024923275</v>
      </c>
      <c r="C7604" t="s">
        <v>40</v>
      </c>
      <c r="D7604">
        <v>5.9047409999999996</v>
      </c>
      <c r="E7604">
        <v>0.4952992</v>
      </c>
      <c r="F7604" t="s">
        <v>41</v>
      </c>
      <c r="G7604">
        <v>-155.2473</v>
      </c>
      <c r="H7604">
        <v>0.85538099999999995</v>
      </c>
      <c r="I7604">
        <v>140.68950000000001</v>
      </c>
      <c r="J7604">
        <v>-155.7619</v>
      </c>
      <c r="K7604">
        <v>1.108717</v>
      </c>
      <c r="L7604">
        <v>140.67269999999999</v>
      </c>
      <c r="M7604">
        <v>0.99708459999999999</v>
      </c>
      <c r="N7604">
        <v>0</v>
      </c>
      <c r="O7604">
        <v>7.4938959999999999E-2</v>
      </c>
      <c r="P7604">
        <v>0.99954379999999998</v>
      </c>
      <c r="Q7604">
        <v>-1.5550980000000001E-2</v>
      </c>
      <c r="R7604">
        <v>2.5893329999999999E-2</v>
      </c>
      <c r="S7604">
        <v>2.981995</v>
      </c>
      <c r="T7604">
        <v>-0.92161269999999995</v>
      </c>
      <c r="U7604">
        <v>0.14067079999999901</v>
      </c>
      <c r="V7604">
        <v>4.9087640000000002E-2</v>
      </c>
      <c r="W7604">
        <v>-1.3630719999999999E-3</v>
      </c>
      <c r="X7604">
        <v>0.9987935</v>
      </c>
      <c r="Y7604">
        <v>2.3308559999999999E-2</v>
      </c>
      <c r="Z7604">
        <v>-2.61149E-2</v>
      </c>
      <c r="AA7604">
        <v>0.99938709999999997</v>
      </c>
      <c r="AB7604">
        <v>31</v>
      </c>
      <c r="AC7604">
        <v>0.51460000000000095</v>
      </c>
      <c r="AD7604">
        <v>-0.25333600000000001</v>
      </c>
      <c r="AE7604">
        <v>1.6800000000017599E-2</v>
      </c>
      <c r="AF7604">
        <v>1.7562877775788702E-2</v>
      </c>
      <c r="AG7604">
        <v>-0.25333600000000001</v>
      </c>
      <c r="AH7604">
        <v>0.41414744670753501</v>
      </c>
      <c r="AI7604">
        <v>121.431419317558</v>
      </c>
      <c r="AJ7604">
        <v>87.571695281586898</v>
      </c>
      <c r="AK7604">
        <v>0.48580416958496497</v>
      </c>
      <c r="AL7604">
        <v>90.078098300470501</v>
      </c>
      <c r="AM7604">
        <v>87.186351928426205</v>
      </c>
      <c r="AN7604">
        <v>0.99999995500414696</v>
      </c>
    </row>
    <row r="7605" spans="1:40" x14ac:dyDescent="0.25">
      <c r="A7605" t="str">
        <f>"20190312155024954"</f>
        <v>20190312155024954</v>
      </c>
      <c r="B7605" t="str">
        <f>"1552377024943770"</f>
        <v>1552377024943770</v>
      </c>
      <c r="C7605" t="s">
        <v>40</v>
      </c>
      <c r="D7605">
        <v>5.3288209999999996</v>
      </c>
      <c r="E7605">
        <v>0.50193580000000004</v>
      </c>
      <c r="F7605" t="s">
        <v>41</v>
      </c>
      <c r="G7605">
        <v>-154.9615</v>
      </c>
      <c r="H7605">
        <v>0.87901010000000002</v>
      </c>
      <c r="I7605">
        <v>140.71100000000001</v>
      </c>
      <c r="J7605">
        <v>-155.4923</v>
      </c>
      <c r="K7605">
        <v>1.108724</v>
      </c>
      <c r="L7605">
        <v>140.69130000000001</v>
      </c>
      <c r="M7605">
        <v>0.997193</v>
      </c>
      <c r="N7605">
        <v>0</v>
      </c>
      <c r="O7605">
        <v>7.3482729999999996E-2</v>
      </c>
      <c r="P7605">
        <v>0.99960769999999999</v>
      </c>
      <c r="Q7605">
        <v>-1.3510390000000001E-2</v>
      </c>
      <c r="R7605">
        <v>2.45376E-2</v>
      </c>
      <c r="S7605">
        <v>2.9843440000000001</v>
      </c>
      <c r="T7605">
        <v>-0.85643530000000001</v>
      </c>
      <c r="U7605">
        <v>0.14300539999999901</v>
      </c>
      <c r="V7605">
        <v>4.8992790000000001E-2</v>
      </c>
      <c r="W7605">
        <v>6.7311910000000005E-4</v>
      </c>
      <c r="X7605">
        <v>0.99879890000000005</v>
      </c>
      <c r="Y7605">
        <v>2.184026E-2</v>
      </c>
      <c r="Z7605">
        <v>-2.370858E-2</v>
      </c>
      <c r="AA7605">
        <v>0.99948029999999999</v>
      </c>
      <c r="AB7605">
        <v>31</v>
      </c>
      <c r="AC7605">
        <v>0.53079999999999905</v>
      </c>
      <c r="AD7605">
        <v>-0.2297139</v>
      </c>
      <c r="AE7605">
        <v>1.97000000000002E-2</v>
      </c>
      <c r="AF7605">
        <v>1.6311216819759299E-2</v>
      </c>
      <c r="AG7605">
        <v>-0.2297139</v>
      </c>
      <c r="AH7605">
        <v>0.44717634495949898</v>
      </c>
      <c r="AI7605">
        <v>117.174027332809</v>
      </c>
      <c r="AJ7605">
        <v>87.911003691680307</v>
      </c>
      <c r="AK7605">
        <v>0.50299226150974596</v>
      </c>
      <c r="AL7605">
        <v>89.961433113339695</v>
      </c>
      <c r="AM7605">
        <v>87.191795070534098</v>
      </c>
      <c r="AN7605">
        <v>0.99999999460125799</v>
      </c>
    </row>
    <row r="7606" spans="1:40" x14ac:dyDescent="0.25">
      <c r="A7606" t="str">
        <f>"20190312155024976"</f>
        <v>20190312155024976</v>
      </c>
      <c r="B7606" t="str">
        <f>"1552377024973051"</f>
        <v>1552377024973051</v>
      </c>
      <c r="C7606" t="s">
        <v>40</v>
      </c>
      <c r="D7606">
        <v>5.3046740000000003</v>
      </c>
      <c r="E7606">
        <v>0.49731910000000001</v>
      </c>
      <c r="F7606" t="s">
        <v>41</v>
      </c>
      <c r="G7606">
        <v>-154.61199999999999</v>
      </c>
      <c r="H7606">
        <v>1.0334129999999999</v>
      </c>
      <c r="I7606">
        <v>140.7106</v>
      </c>
      <c r="J7606">
        <v>-155.18379999999999</v>
      </c>
      <c r="K7606">
        <v>1.1087209999999901</v>
      </c>
      <c r="L7606">
        <v>140.7123</v>
      </c>
      <c r="M7606">
        <v>0.99731449999999999</v>
      </c>
      <c r="N7606">
        <v>0</v>
      </c>
      <c r="O7606">
        <v>7.1816240000000003E-2</v>
      </c>
      <c r="P7606">
        <v>0.99966160000000004</v>
      </c>
      <c r="Q7606">
        <v>-1.253875E-2</v>
      </c>
      <c r="R7606">
        <v>2.279341E-2</v>
      </c>
      <c r="S7606">
        <v>2.9961090000000001</v>
      </c>
      <c r="T7606">
        <v>-0.25634040000000002</v>
      </c>
      <c r="U7606">
        <v>6.5689090000000006E-2</v>
      </c>
      <c r="V7606">
        <v>4.9070780000000001E-2</v>
      </c>
      <c r="W7606">
        <v>1.640145E-3</v>
      </c>
      <c r="X7606">
        <v>0.99879399999999996</v>
      </c>
      <c r="Y7606">
        <v>4.9500950000000002E-2</v>
      </c>
      <c r="Z7606">
        <v>-8.2414389999999997E-3</v>
      </c>
      <c r="AA7606">
        <v>0.99874010000000002</v>
      </c>
      <c r="AB7606">
        <v>31</v>
      </c>
      <c r="AC7606">
        <v>0.57179999999999598</v>
      </c>
      <c r="AD7606">
        <v>-7.5307999999999903E-2</v>
      </c>
      <c r="AE7606">
        <v>-1.6999999999995901E-3</v>
      </c>
      <c r="AF7606">
        <v>4.2035242475154E-2</v>
      </c>
      <c r="AG7606">
        <v>-7.5307999999999903E-2</v>
      </c>
      <c r="AH7606">
        <v>0.56047927247341001</v>
      </c>
      <c r="AI7606">
        <v>97.631454068002199</v>
      </c>
      <c r="AJ7606">
        <v>85.710918130337504</v>
      </c>
      <c r="AK7606">
        <v>0.56707607192180798</v>
      </c>
      <c r="AL7606">
        <v>89.906026575616906</v>
      </c>
      <c r="AM7606">
        <v>87.187318178238101</v>
      </c>
      <c r="AN7606">
        <v>1.0000000429807101</v>
      </c>
    </row>
    <row r="7607" spans="1:40" x14ac:dyDescent="0.25">
      <c r="A7607" t="str">
        <f>"20190312155025000"</f>
        <v>20190312155025000</v>
      </c>
      <c r="B7607" t="str">
        <f>"1552377024993547"</f>
        <v>1552377024993547</v>
      </c>
      <c r="C7607" t="s">
        <v>40</v>
      </c>
      <c r="D7607">
        <v>5.3555469999999996</v>
      </c>
      <c r="E7607">
        <v>0.4962493</v>
      </c>
      <c r="F7607" t="s">
        <v>41</v>
      </c>
      <c r="G7607">
        <v>-154.3365</v>
      </c>
      <c r="H7607">
        <v>1.0358959999999999</v>
      </c>
      <c r="I7607">
        <v>140.7397</v>
      </c>
      <c r="J7607">
        <v>-154.8546</v>
      </c>
      <c r="K7607">
        <v>1.1087100000000001</v>
      </c>
      <c r="L7607">
        <v>140.73400000000001</v>
      </c>
      <c r="M7607">
        <v>0.99744109999999997</v>
      </c>
      <c r="N7607">
        <v>0</v>
      </c>
      <c r="O7607">
        <v>7.003769E-2</v>
      </c>
      <c r="P7607">
        <v>0.99970429999999999</v>
      </c>
      <c r="Q7607">
        <v>-1.272891E-2</v>
      </c>
      <c r="R7607">
        <v>2.0721860000000002E-2</v>
      </c>
      <c r="S7607">
        <v>2.9955599999999998</v>
      </c>
      <c r="T7607">
        <v>-0.25751069999999998</v>
      </c>
      <c r="U7607">
        <v>9.7503660000000006E-2</v>
      </c>
      <c r="V7607">
        <v>4.9358470000000002E-2</v>
      </c>
      <c r="W7607">
        <v>1.4436879999999901E-3</v>
      </c>
      <c r="X7607">
        <v>0.99878009999999995</v>
      </c>
      <c r="Y7607">
        <v>3.7161149999999997E-2</v>
      </c>
      <c r="Z7607">
        <v>-7.5971779999999996E-3</v>
      </c>
      <c r="AA7607">
        <v>0.99928039999999996</v>
      </c>
      <c r="AB7607">
        <v>31</v>
      </c>
      <c r="AC7607">
        <v>0.518100000000004</v>
      </c>
      <c r="AD7607">
        <v>-7.2814000000000101E-2</v>
      </c>
      <c r="AE7607">
        <v>5.6999999999902597E-3</v>
      </c>
      <c r="AF7607">
        <v>3.0011559909700999E-2</v>
      </c>
      <c r="AG7607">
        <v>-7.2814000000000101E-2</v>
      </c>
      <c r="AH7607">
        <v>0.50720972082735205</v>
      </c>
      <c r="AI7607">
        <v>98.155378603357704</v>
      </c>
      <c r="AJ7607">
        <v>86.613761310234906</v>
      </c>
      <c r="AK7607">
        <v>0.51328770998921602</v>
      </c>
      <c r="AL7607">
        <v>89.917282743212695</v>
      </c>
      <c r="AM7607">
        <v>87.170815515254503</v>
      </c>
      <c r="AN7607">
        <v>1.0000000154758899</v>
      </c>
    </row>
    <row r="7608" spans="1:40" x14ac:dyDescent="0.25">
      <c r="A7608" t="str">
        <f>"20190312155025021"</f>
        <v>20190312155025021</v>
      </c>
      <c r="B7608" t="str">
        <f>"1552377025013067"</f>
        <v>1552377025013067</v>
      </c>
      <c r="C7608" t="s">
        <v>40</v>
      </c>
      <c r="D7608">
        <v>5.3182460000000003</v>
      </c>
      <c r="E7608">
        <v>0.49624869999999999</v>
      </c>
      <c r="F7608" t="s">
        <v>41</v>
      </c>
      <c r="G7608">
        <v>-154.05850000000001</v>
      </c>
      <c r="H7608">
        <v>1.0408729999999999</v>
      </c>
      <c r="I7608">
        <v>140.76050000000001</v>
      </c>
      <c r="J7608">
        <v>-154.55860000000001</v>
      </c>
      <c r="K7608">
        <v>1.1086990000000001</v>
      </c>
      <c r="L7608">
        <v>140.75309999999999</v>
      </c>
      <c r="M7608">
        <v>0.9975522</v>
      </c>
      <c r="N7608">
        <v>0</v>
      </c>
      <c r="O7608">
        <v>6.843834E-2</v>
      </c>
      <c r="P7608">
        <v>0.99973109999999998</v>
      </c>
      <c r="Q7608">
        <v>-1.3541070000000001E-2</v>
      </c>
      <c r="R7608">
        <v>1.8829700000000001E-2</v>
      </c>
      <c r="S7608">
        <v>2.9955599999999998</v>
      </c>
      <c r="T7608">
        <v>-0.25528309999999999</v>
      </c>
      <c r="U7608">
        <v>9.9975590000000003E-2</v>
      </c>
      <c r="V7608">
        <v>4.9643859999999998E-2</v>
      </c>
      <c r="W7608">
        <v>6.2543549999999999E-4</v>
      </c>
      <c r="X7608">
        <v>0.99876679999999995</v>
      </c>
      <c r="Y7608">
        <v>3.4756349999999998E-2</v>
      </c>
      <c r="Z7608">
        <v>-7.2935939999999996E-3</v>
      </c>
      <c r="AA7608">
        <v>0.99936919999999996</v>
      </c>
      <c r="AB7608">
        <v>31</v>
      </c>
      <c r="AC7608">
        <v>0.50010000000000299</v>
      </c>
      <c r="AD7608">
        <v>-6.78259999999999E-2</v>
      </c>
      <c r="AE7608">
        <v>7.40000000001828E-3</v>
      </c>
      <c r="AF7608">
        <v>2.6362089330238599E-2</v>
      </c>
      <c r="AG7608">
        <v>-6.78259999999999E-2</v>
      </c>
      <c r="AH7608">
        <v>0.49041492400962999</v>
      </c>
      <c r="AI7608">
        <v>97.863033135707298</v>
      </c>
      <c r="AJ7608">
        <v>86.923046043679506</v>
      </c>
      <c r="AK7608">
        <v>0.49578435203344901</v>
      </c>
      <c r="AL7608">
        <v>89.964165183600201</v>
      </c>
      <c r="AM7608">
        <v>87.154446187255402</v>
      </c>
      <c r="AN7608">
        <v>1.00000001239375</v>
      </c>
    </row>
    <row r="7609" spans="1:40" x14ac:dyDescent="0.25">
      <c r="A7609" t="str">
        <f>"20190312155025044"</f>
        <v>20190312155025044</v>
      </c>
      <c r="B7609" t="str">
        <f>"1552377025033563"</f>
        <v>1552377025033563</v>
      </c>
      <c r="C7609" t="s">
        <v>40</v>
      </c>
      <c r="D7609">
        <v>5.3832950000000004</v>
      </c>
      <c r="E7609">
        <v>0.49543039999999999</v>
      </c>
      <c r="F7609" t="s">
        <v>41</v>
      </c>
      <c r="G7609">
        <v>-153.7816</v>
      </c>
      <c r="H7609">
        <v>1.043547</v>
      </c>
      <c r="I7609">
        <v>140.7775</v>
      </c>
      <c r="J7609">
        <v>-154.26089999999999</v>
      </c>
      <c r="K7609">
        <v>1.108687</v>
      </c>
      <c r="L7609">
        <v>140.77180000000001</v>
      </c>
      <c r="M7609">
        <v>0.99766120000000003</v>
      </c>
      <c r="N7609">
        <v>0</v>
      </c>
      <c r="O7609">
        <v>6.6830109999999998E-2</v>
      </c>
      <c r="P7609">
        <v>0.99975910000000001</v>
      </c>
      <c r="Q7609">
        <v>-1.408674E-2</v>
      </c>
      <c r="R7609">
        <v>1.684037E-2</v>
      </c>
      <c r="S7609">
        <v>2.9956360000000002</v>
      </c>
      <c r="T7609">
        <v>-0.2512144</v>
      </c>
      <c r="U7609">
        <v>9.4284060000000003E-2</v>
      </c>
      <c r="V7609">
        <v>5.001858E-2</v>
      </c>
      <c r="W7609" s="1">
        <v>7.4023730000000003E-5</v>
      </c>
      <c r="X7609">
        <v>0.99874830000000003</v>
      </c>
      <c r="Y7609">
        <v>3.5059159999999999E-2</v>
      </c>
      <c r="Z7609">
        <v>-7.0562519999999998E-3</v>
      </c>
      <c r="AA7609">
        <v>0.99936029999999998</v>
      </c>
      <c r="AB7609">
        <v>31</v>
      </c>
      <c r="AC7609">
        <v>0.47929999999999501</v>
      </c>
      <c r="AD7609">
        <v>-6.5139999999999906E-2</v>
      </c>
      <c r="AE7609">
        <v>5.6999999999902597E-3</v>
      </c>
      <c r="AF7609">
        <v>2.5869949544876401E-2</v>
      </c>
      <c r="AG7609">
        <v>-6.5139999999999906E-2</v>
      </c>
      <c r="AH7609">
        <v>0.46993054739131701</v>
      </c>
      <c r="AI7609">
        <v>97.880054225391106</v>
      </c>
      <c r="AJ7609">
        <v>86.849014585300196</v>
      </c>
      <c r="AK7609">
        <v>0.47512860707492399</v>
      </c>
      <c r="AL7609">
        <v>89.995758752748102</v>
      </c>
      <c r="AM7609">
        <v>87.132950164135394</v>
      </c>
      <c r="AN7609">
        <v>1.0000000152888</v>
      </c>
    </row>
    <row r="7610" spans="1:40" x14ac:dyDescent="0.25">
      <c r="A7610" t="str">
        <f>"20190312155025067"</f>
        <v>20190312155025067</v>
      </c>
      <c r="B7610" t="str">
        <f>"1552377025053084"</f>
        <v>1552377025053084</v>
      </c>
      <c r="C7610" t="s">
        <v>40</v>
      </c>
      <c r="D7610">
        <v>5.4722900000000001</v>
      </c>
      <c r="E7610">
        <v>0.49542170000000002</v>
      </c>
      <c r="F7610" t="s">
        <v>41</v>
      </c>
      <c r="G7610">
        <v>-153.50450000000001</v>
      </c>
      <c r="H7610">
        <v>1.0467329999999999</v>
      </c>
      <c r="I7610">
        <v>140.79580000000001</v>
      </c>
      <c r="J7610">
        <v>-153.9443</v>
      </c>
      <c r="K7610">
        <v>1.1086769999999999</v>
      </c>
      <c r="L7610">
        <v>140.7912</v>
      </c>
      <c r="M7610">
        <v>0.99777450000000001</v>
      </c>
      <c r="N7610">
        <v>0</v>
      </c>
      <c r="O7610">
        <v>6.5119129999999997E-2</v>
      </c>
      <c r="P7610">
        <v>0.99978350000000005</v>
      </c>
      <c r="Q7610">
        <v>-1.393896E-2</v>
      </c>
      <c r="R7610">
        <v>1.5455730000000001E-2</v>
      </c>
      <c r="S7610">
        <v>2.995682</v>
      </c>
      <c r="T7610">
        <v>-0.24538080000000001</v>
      </c>
      <c r="U7610">
        <v>9.4772339999999997E-2</v>
      </c>
      <c r="V7610">
        <v>4.9689990000000003E-2</v>
      </c>
      <c r="W7610">
        <v>2.191704E-4</v>
      </c>
      <c r="X7610">
        <v>0.99876469999999995</v>
      </c>
      <c r="Y7610">
        <v>3.3211280000000003E-2</v>
      </c>
      <c r="Z7610">
        <v>-6.67769E-3</v>
      </c>
      <c r="AA7610">
        <v>0.99942609999999998</v>
      </c>
      <c r="AB7610">
        <v>31</v>
      </c>
      <c r="AC7610">
        <v>0.43979999999999098</v>
      </c>
      <c r="AD7610">
        <v>-6.19440000000002E-2</v>
      </c>
      <c r="AE7610">
        <v>4.6000000000105904E-3</v>
      </c>
      <c r="AF7610">
        <v>2.3584299162213499E-2</v>
      </c>
      <c r="AG7610">
        <v>-6.19440000000002E-2</v>
      </c>
      <c r="AH7610">
        <v>0.43062431275863899</v>
      </c>
      <c r="AI7610">
        <v>98.173589671685804</v>
      </c>
      <c r="AJ7610">
        <v>86.865174270229502</v>
      </c>
      <c r="AK7610">
        <v>0.435695509549758</v>
      </c>
      <c r="AL7610">
        <v>89.987442461419107</v>
      </c>
      <c r="AM7610">
        <v>87.151800418697604</v>
      </c>
      <c r="AN7610">
        <v>1.0000000345539699</v>
      </c>
    </row>
    <row r="7611" spans="1:40" x14ac:dyDescent="0.25">
      <c r="A7611" t="str">
        <f>"20190312155025091"</f>
        <v>20190312155025091</v>
      </c>
      <c r="B7611" t="str">
        <f>"1552377025083339"</f>
        <v>1552377025083339</v>
      </c>
      <c r="C7611" t="s">
        <v>40</v>
      </c>
      <c r="D7611">
        <v>5.3563090000000004</v>
      </c>
      <c r="E7611">
        <v>0.49405729999999998</v>
      </c>
      <c r="F7611" t="s">
        <v>41</v>
      </c>
      <c r="G7611">
        <v>-152.96799999999999</v>
      </c>
      <c r="H7611">
        <v>1.030959</v>
      </c>
      <c r="I7611">
        <v>140.82050000000001</v>
      </c>
      <c r="J7611">
        <v>-153.6207</v>
      </c>
      <c r="K7611">
        <v>1.108671</v>
      </c>
      <c r="L7611">
        <v>140.81030000000001</v>
      </c>
      <c r="M7611">
        <v>0.99788710000000003</v>
      </c>
      <c r="N7611">
        <v>0</v>
      </c>
      <c r="O7611">
        <v>6.3370650000000001E-2</v>
      </c>
      <c r="P7611">
        <v>0.99979600000000002</v>
      </c>
      <c r="Q7611">
        <v>-1.482499E-2</v>
      </c>
      <c r="R7611">
        <v>1.3724449999999999E-2</v>
      </c>
      <c r="S7611">
        <v>2.9959259999999999</v>
      </c>
      <c r="T7611">
        <v>-0.23850950000000001</v>
      </c>
      <c r="U7611">
        <v>9.0377810000000003E-2</v>
      </c>
      <c r="V7611">
        <v>4.9665470000000003E-2</v>
      </c>
      <c r="W7611">
        <v>-6.7123089999999996E-4</v>
      </c>
      <c r="X7611">
        <v>0.99876569999999998</v>
      </c>
      <c r="Y7611">
        <v>3.2951620000000001E-2</v>
      </c>
      <c r="Z7611">
        <v>-6.3419820000000003E-3</v>
      </c>
      <c r="AA7611">
        <v>0.99943689999999996</v>
      </c>
      <c r="AB7611">
        <v>31</v>
      </c>
      <c r="AC7611">
        <v>0.65270000000000905</v>
      </c>
      <c r="AD7611">
        <v>-7.7712000000000003E-2</v>
      </c>
      <c r="AE7611">
        <v>1.0199999999997499E-2</v>
      </c>
      <c r="AF7611">
        <v>3.0750964914173898E-2</v>
      </c>
      <c r="AG7611">
        <v>-7.7712000000000003E-2</v>
      </c>
      <c r="AH7611">
        <v>0.642922544662064</v>
      </c>
      <c r="AI7611">
        <v>96.884285060162298</v>
      </c>
      <c r="AJ7611">
        <v>87.261631605048194</v>
      </c>
      <c r="AK7611">
        <v>0.64833184035792701</v>
      </c>
      <c r="AL7611">
        <v>90.038458699902904</v>
      </c>
      <c r="AM7611">
        <v>87.153206423053106</v>
      </c>
      <c r="AN7611">
        <v>1.0000000164788601</v>
      </c>
    </row>
    <row r="7612" spans="1:40" x14ac:dyDescent="0.25">
      <c r="A7612" t="str">
        <f>"20190312155025113"</f>
        <v>20190312155025113</v>
      </c>
      <c r="B7612" t="str">
        <f>"1552377025103835"</f>
        <v>1552377025103835</v>
      </c>
      <c r="C7612" t="s">
        <v>40</v>
      </c>
      <c r="D7612">
        <v>5.4210320000000003</v>
      </c>
      <c r="E7612">
        <v>0.49349660000000001</v>
      </c>
      <c r="F7612" t="s">
        <v>41</v>
      </c>
      <c r="G7612">
        <v>-152.6935</v>
      </c>
      <c r="H7612">
        <v>1.0339</v>
      </c>
      <c r="I7612">
        <v>140.84010000000001</v>
      </c>
      <c r="J7612">
        <v>-153.3109</v>
      </c>
      <c r="K7612">
        <v>1.1086609999999999</v>
      </c>
      <c r="L7612">
        <v>140.82820000000001</v>
      </c>
      <c r="M7612">
        <v>0.9979922</v>
      </c>
      <c r="N7612">
        <v>0</v>
      </c>
      <c r="O7612">
        <v>6.1695550000000002E-2</v>
      </c>
      <c r="P7612">
        <v>0.99977729999999998</v>
      </c>
      <c r="Q7612">
        <v>-1.7089940000000001E-2</v>
      </c>
      <c r="R7612">
        <v>1.239533E-2</v>
      </c>
      <c r="S7612">
        <v>2.9957120000000002</v>
      </c>
      <c r="T7612">
        <v>-0.24158850000000001</v>
      </c>
      <c r="U7612">
        <v>9.6237180000000005E-2</v>
      </c>
      <c r="V7612">
        <v>4.9306719999999998E-2</v>
      </c>
      <c r="W7612">
        <v>-2.938885E-3</v>
      </c>
      <c r="X7612">
        <v>0.99877939999999998</v>
      </c>
      <c r="Y7612">
        <v>2.9327949999999998E-2</v>
      </c>
      <c r="Z7612">
        <v>-6.1433479999999999E-3</v>
      </c>
      <c r="AA7612">
        <v>0.99955090000000002</v>
      </c>
      <c r="AB7612">
        <v>31</v>
      </c>
      <c r="AC7612">
        <v>0.61740000000000295</v>
      </c>
      <c r="AD7612">
        <v>-7.4760999999999994E-2</v>
      </c>
      <c r="AE7612">
        <v>1.18999999999971E-2</v>
      </c>
      <c r="AF7612">
        <v>2.58386889324068E-2</v>
      </c>
      <c r="AG7612">
        <v>-7.4760999999999994E-2</v>
      </c>
      <c r="AH7612">
        <v>0.60804553307466203</v>
      </c>
      <c r="AI7612">
        <v>97.003247718241497</v>
      </c>
      <c r="AJ7612">
        <v>87.566699237575904</v>
      </c>
      <c r="AK7612">
        <v>0.61316899404552105</v>
      </c>
      <c r="AL7612">
        <v>90.168385942670398</v>
      </c>
      <c r="AM7612">
        <v>87.173774990851896</v>
      </c>
      <c r="AN7612">
        <v>1.00000003977328</v>
      </c>
    </row>
    <row r="7613" spans="1:40" x14ac:dyDescent="0.25">
      <c r="A7613" t="str">
        <f>"20190312155025135"</f>
        <v>20190312155025135</v>
      </c>
      <c r="B7613" t="str">
        <f>"1552377025123356"</f>
        <v>1552377025123356</v>
      </c>
      <c r="C7613" t="s">
        <v>40</v>
      </c>
      <c r="D7613">
        <v>5.614217</v>
      </c>
      <c r="E7613">
        <v>0.49318119999999999</v>
      </c>
      <c r="F7613" t="s">
        <v>41</v>
      </c>
      <c r="G7613">
        <v>-152.41999999999999</v>
      </c>
      <c r="H7613">
        <v>1.0352650000000001</v>
      </c>
      <c r="I7613">
        <v>140.8569</v>
      </c>
      <c r="J7613">
        <v>-153.02090000000001</v>
      </c>
      <c r="K7613">
        <v>1.1086510000000001</v>
      </c>
      <c r="L7613">
        <v>140.84450000000001</v>
      </c>
      <c r="M7613">
        <v>0.99808790000000003</v>
      </c>
      <c r="N7613">
        <v>0</v>
      </c>
      <c r="O7613">
        <v>6.0127409999999999E-2</v>
      </c>
      <c r="P7613">
        <v>0.99975320000000001</v>
      </c>
      <c r="Q7613">
        <v>-1.9362540000000001E-2</v>
      </c>
      <c r="R7613">
        <v>1.090415E-2</v>
      </c>
      <c r="S7613">
        <v>2.9952700000000001</v>
      </c>
      <c r="T7613">
        <v>-0.2468139</v>
      </c>
      <c r="U7613">
        <v>9.6755980000000005E-2</v>
      </c>
      <c r="V7613">
        <v>4.9217009999999999E-2</v>
      </c>
      <c r="W7613">
        <v>-5.2149589999999999E-3</v>
      </c>
      <c r="X7613">
        <v>0.99877450000000001</v>
      </c>
      <c r="Y7613">
        <v>2.757793E-2</v>
      </c>
      <c r="Z7613">
        <v>-6.0759849999999999E-3</v>
      </c>
      <c r="AA7613">
        <v>0.99960119999999997</v>
      </c>
      <c r="AB7613">
        <v>31</v>
      </c>
      <c r="AC7613">
        <v>0.60090000000002397</v>
      </c>
      <c r="AD7613">
        <v>-7.3386000000000104E-2</v>
      </c>
      <c r="AE7613">
        <v>1.23999999999853E-2</v>
      </c>
      <c r="AF7613">
        <v>2.3407732002791601E-2</v>
      </c>
      <c r="AG7613">
        <v>-7.3386000000000104E-2</v>
      </c>
      <c r="AH7613">
        <v>0.59173626629188802</v>
      </c>
      <c r="AI7613">
        <v>97.064146766045099</v>
      </c>
      <c r="AJ7613">
        <v>87.734691234397403</v>
      </c>
      <c r="AK7613">
        <v>0.59672877906011801</v>
      </c>
      <c r="AL7613">
        <v>90.298796493627904</v>
      </c>
      <c r="AM7613">
        <v>87.178894970019698</v>
      </c>
      <c r="AN7613">
        <v>1.0000000058604801</v>
      </c>
    </row>
    <row r="7614" spans="1:40" x14ac:dyDescent="0.25">
      <c r="A7614" t="str">
        <f>"20190312155025155"</f>
        <v>20190312155025155</v>
      </c>
      <c r="B7614" t="str">
        <f>"1552377025142875"</f>
        <v>1552377025142875</v>
      </c>
      <c r="C7614" t="s">
        <v>40</v>
      </c>
      <c r="D7614">
        <v>5.4087300000000003</v>
      </c>
      <c r="E7614">
        <v>0.49251800000000001</v>
      </c>
      <c r="F7614" t="s">
        <v>41</v>
      </c>
      <c r="G7614">
        <v>-152.1472</v>
      </c>
      <c r="H7614">
        <v>1.035652</v>
      </c>
      <c r="I7614">
        <v>140.87200000000001</v>
      </c>
      <c r="J7614">
        <v>-152.73339999999999</v>
      </c>
      <c r="K7614">
        <v>1.1086320000000001</v>
      </c>
      <c r="L7614">
        <v>140.86009999999999</v>
      </c>
      <c r="M7614">
        <v>0.99818059999999997</v>
      </c>
      <c r="N7614">
        <v>0</v>
      </c>
      <c r="O7614">
        <v>5.8572029999999997E-2</v>
      </c>
      <c r="P7614">
        <v>0.9997085</v>
      </c>
      <c r="Q7614">
        <v>-2.2011329999999999E-2</v>
      </c>
      <c r="R7614">
        <v>9.9442760000000002E-3</v>
      </c>
      <c r="S7614">
        <v>2.9948730000000001</v>
      </c>
      <c r="T7614">
        <v>-0.25022800000000001</v>
      </c>
      <c r="U7614">
        <v>9.4757079999999994E-2</v>
      </c>
      <c r="V7614">
        <v>4.860747E-2</v>
      </c>
      <c r="W7614">
        <v>-7.8651280000000007E-3</v>
      </c>
      <c r="X7614">
        <v>0.99878699999999998</v>
      </c>
      <c r="Y7614">
        <v>2.6682620000000001E-2</v>
      </c>
      <c r="Z7614">
        <v>-5.9938400000000003E-3</v>
      </c>
      <c r="AA7614">
        <v>0.99962600000000001</v>
      </c>
      <c r="AB7614">
        <v>31</v>
      </c>
      <c r="AC7614">
        <v>0.58619999999999095</v>
      </c>
      <c r="AD7614">
        <v>-7.2980000000000003E-2</v>
      </c>
      <c r="AE7614">
        <v>1.19000000000255E-2</v>
      </c>
      <c r="AF7614">
        <v>2.2116226841073498E-2</v>
      </c>
      <c r="AG7614">
        <v>-7.2980000000000003E-2</v>
      </c>
      <c r="AH7614">
        <v>0.57695172846522702</v>
      </c>
      <c r="AI7614">
        <v>97.203957478288501</v>
      </c>
      <c r="AJ7614">
        <v>87.804762030581301</v>
      </c>
      <c r="AK7614">
        <v>0.58196950510202705</v>
      </c>
      <c r="AL7614">
        <v>90.450643281962797</v>
      </c>
      <c r="AM7614">
        <v>87.213813045588793</v>
      </c>
      <c r="AN7614">
        <v>1.0000000088736201</v>
      </c>
    </row>
    <row r="7615" spans="1:40" x14ac:dyDescent="0.25">
      <c r="A7615" t="str">
        <f>"20190312155025189"</f>
        <v>20190312155025189</v>
      </c>
      <c r="B7615" t="str">
        <f>"1552377025182891"</f>
        <v>1552377025182891</v>
      </c>
      <c r="C7615" t="s">
        <v>40</v>
      </c>
      <c r="D7615">
        <v>5.4615359999999997</v>
      </c>
      <c r="E7615">
        <v>0.49193819999999999</v>
      </c>
      <c r="F7615" t="s">
        <v>41</v>
      </c>
      <c r="G7615">
        <v>-151.87440000000001</v>
      </c>
      <c r="H7615">
        <v>1.036683</v>
      </c>
      <c r="I7615">
        <v>140.8878</v>
      </c>
      <c r="J7615">
        <v>-152.28</v>
      </c>
      <c r="K7615">
        <v>1.108633</v>
      </c>
      <c r="L7615">
        <v>140.88390000000001</v>
      </c>
      <c r="M7615">
        <v>0.99832140000000003</v>
      </c>
      <c r="N7615">
        <v>0</v>
      </c>
      <c r="O7615">
        <v>5.6119519999999999E-2</v>
      </c>
      <c r="P7615">
        <v>0.99970890000000001</v>
      </c>
      <c r="Q7615">
        <v>-2.2568299999999999E-2</v>
      </c>
      <c r="R7615">
        <v>8.5335110000000006E-3</v>
      </c>
      <c r="S7615">
        <v>2.9943849999999999</v>
      </c>
      <c r="T7615">
        <v>-0.25081609999999999</v>
      </c>
      <c r="U7615">
        <v>9.6664429999999996E-2</v>
      </c>
      <c r="V7615">
        <v>4.7560890000000001E-2</v>
      </c>
      <c r="W7615">
        <v>-8.4230499999999996E-3</v>
      </c>
      <c r="X7615">
        <v>0.99883279999999997</v>
      </c>
      <c r="Y7615">
        <v>2.3603180000000001E-2</v>
      </c>
      <c r="Z7615">
        <v>-5.6753699999999999E-3</v>
      </c>
      <c r="AA7615">
        <v>0.99970530000000002</v>
      </c>
      <c r="AB7615">
        <v>30</v>
      </c>
      <c r="AC7615">
        <v>0.40559999999999202</v>
      </c>
      <c r="AD7615">
        <v>-7.1949999999999903E-2</v>
      </c>
      <c r="AE7615">
        <v>3.8999999999873498E-3</v>
      </c>
      <c r="AF7615">
        <v>1.8294911514502899E-2</v>
      </c>
      <c r="AG7615">
        <v>-7.1949999999999903E-2</v>
      </c>
      <c r="AH7615">
        <v>0.39281955029562798</v>
      </c>
      <c r="AI7615">
        <v>100.368419779538</v>
      </c>
      <c r="AJ7615">
        <v>87.333472047236697</v>
      </c>
      <c r="AK7615">
        <v>0.39977331749603201</v>
      </c>
      <c r="AL7615">
        <v>90.482610934892605</v>
      </c>
      <c r="AM7615">
        <v>87.273836476354901</v>
      </c>
      <c r="AN7615">
        <v>0.99999997419236697</v>
      </c>
    </row>
    <row r="7616" spans="1:40" x14ac:dyDescent="0.25">
      <c r="A7616" t="str">
        <f>"20190312155025212"</f>
        <v>20190312155025212</v>
      </c>
      <c r="B7616" t="str">
        <f>"1552377025203387"</f>
        <v>1552377025203387</v>
      </c>
      <c r="C7616" t="s">
        <v>40</v>
      </c>
      <c r="D7616">
        <v>5.3723369999999999</v>
      </c>
      <c r="E7616">
        <v>0.51012500000000005</v>
      </c>
      <c r="F7616" t="s">
        <v>41</v>
      </c>
      <c r="G7616">
        <v>-151.3338</v>
      </c>
      <c r="H7616">
        <v>1.0299860000000001</v>
      </c>
      <c r="I7616">
        <v>140.9143</v>
      </c>
      <c r="J7616">
        <v>-151.95859999999999</v>
      </c>
      <c r="K7616">
        <v>1.1086309999999999</v>
      </c>
      <c r="L7616">
        <v>140.90010000000001</v>
      </c>
      <c r="M7616">
        <v>0.99841769999999996</v>
      </c>
      <c r="N7616">
        <v>0</v>
      </c>
      <c r="O7616">
        <v>5.4379669999999998E-2</v>
      </c>
      <c r="P7616">
        <v>0.99971299999999996</v>
      </c>
      <c r="Q7616">
        <v>-2.273679E-2</v>
      </c>
      <c r="R7616">
        <v>7.5547549999999998E-3</v>
      </c>
      <c r="S7616">
        <v>2.994415</v>
      </c>
      <c r="T7616">
        <v>-0.2489198</v>
      </c>
      <c r="U7616">
        <v>9.6633910000000003E-2</v>
      </c>
      <c r="V7616">
        <v>4.6797529999999997E-2</v>
      </c>
      <c r="W7616">
        <v>-8.5920609999999998E-3</v>
      </c>
      <c r="X7616">
        <v>0.99886750000000002</v>
      </c>
      <c r="Y7616">
        <v>2.1887549999999999E-2</v>
      </c>
      <c r="Z7616">
        <v>-5.4172580000000003E-3</v>
      </c>
      <c r="AA7616">
        <v>0.99974580000000002</v>
      </c>
      <c r="AB7616">
        <v>30</v>
      </c>
      <c r="AC7616">
        <v>0.62479999999999303</v>
      </c>
      <c r="AD7616">
        <v>-7.8644999999999798E-2</v>
      </c>
      <c r="AE7616">
        <v>1.4199999999988199E-2</v>
      </c>
      <c r="AF7616">
        <v>1.9492243293618101E-2</v>
      </c>
      <c r="AG7616">
        <v>-7.8644999999999798E-2</v>
      </c>
      <c r="AH7616">
        <v>0.61491008212649301</v>
      </c>
      <c r="AI7616">
        <v>97.284755927841104</v>
      </c>
      <c r="AJ7616">
        <v>88.184369629738001</v>
      </c>
      <c r="AK7616">
        <v>0.62022527574618203</v>
      </c>
      <c r="AL7616">
        <v>90.492294861623193</v>
      </c>
      <c r="AM7616">
        <v>87.317620463456095</v>
      </c>
      <c r="AN7616">
        <v>1.00000005744128</v>
      </c>
    </row>
    <row r="7617" spans="1:40" x14ac:dyDescent="0.25">
      <c r="A7617" t="str">
        <f>"20190312155025233"</f>
        <v>20190312155025233</v>
      </c>
      <c r="B7617" t="str">
        <f>"1552377025223882"</f>
        <v>1552377025223882</v>
      </c>
      <c r="C7617" t="s">
        <v>40</v>
      </c>
      <c r="D7617">
        <v>5.3712410000000004</v>
      </c>
      <c r="E7617">
        <v>0.51161190000000001</v>
      </c>
      <c r="F7617" t="s">
        <v>41</v>
      </c>
      <c r="G7617">
        <v>-151.05719999999999</v>
      </c>
      <c r="H7617">
        <v>1.0365200000000001</v>
      </c>
      <c r="I7617">
        <v>140.8844</v>
      </c>
      <c r="J7617">
        <v>-151.67449999999999</v>
      </c>
      <c r="K7617">
        <v>1.1086240000000001</v>
      </c>
      <c r="L7617">
        <v>140.91390000000001</v>
      </c>
      <c r="M7617">
        <v>0.99850019999999995</v>
      </c>
      <c r="N7617">
        <v>0</v>
      </c>
      <c r="O7617">
        <v>5.2842519999999997E-2</v>
      </c>
      <c r="P7617">
        <v>0.999718</v>
      </c>
      <c r="Q7617">
        <v>-2.265203E-2</v>
      </c>
      <c r="R7617">
        <v>7.1168569999999999E-3</v>
      </c>
      <c r="S7617">
        <v>2.9958040000000001</v>
      </c>
      <c r="T7617">
        <v>-0.23967910000000001</v>
      </c>
      <c r="U7617">
        <v>-5.1986690000000002E-2</v>
      </c>
      <c r="V7617">
        <v>4.569807E-2</v>
      </c>
      <c r="W7617">
        <v>-8.5060080000000007E-3</v>
      </c>
      <c r="X7617">
        <v>0.99891909999999895</v>
      </c>
      <c r="Y7617">
        <v>6.9774639999999999E-2</v>
      </c>
      <c r="Z7617">
        <v>-7.0065379999999997E-3</v>
      </c>
      <c r="AA7617">
        <v>0.99753809999999998</v>
      </c>
      <c r="AB7617">
        <v>30</v>
      </c>
      <c r="AC7617">
        <v>0.61729999999999996</v>
      </c>
      <c r="AD7617">
        <v>-7.2103999999999904E-2</v>
      </c>
      <c r="AE7617">
        <v>-2.9500000000012901E-2</v>
      </c>
      <c r="AF7617">
        <v>6.1248073051121399E-2</v>
      </c>
      <c r="AG7617">
        <v>-7.2103999999999904E-2</v>
      </c>
      <c r="AH7617">
        <v>0.60662077397528102</v>
      </c>
      <c r="AI7617">
        <v>96.744501286609804</v>
      </c>
      <c r="AJ7617">
        <v>84.234612395508194</v>
      </c>
      <c r="AK7617">
        <v>0.61395364376054096</v>
      </c>
      <c r="AL7617">
        <v>90.487364227687493</v>
      </c>
      <c r="AM7617">
        <v>87.380686512547797</v>
      </c>
      <c r="AN7617">
        <v>1.00000001705931</v>
      </c>
    </row>
    <row r="7618" spans="1:40" x14ac:dyDescent="0.25">
      <c r="A7618" t="str">
        <f>"20190312155025256"</f>
        <v>20190312155025256</v>
      </c>
      <c r="B7618" t="str">
        <f>"1552377025243403"</f>
        <v>1552377025243403</v>
      </c>
      <c r="C7618" t="s">
        <v>40</v>
      </c>
      <c r="D7618">
        <v>5.3817329999999997</v>
      </c>
      <c r="E7618">
        <v>0.51113560000000002</v>
      </c>
      <c r="F7618" t="s">
        <v>41</v>
      </c>
      <c r="G7618">
        <v>-150.78530000000001</v>
      </c>
      <c r="H7618">
        <v>1.0379430000000001</v>
      </c>
      <c r="I7618">
        <v>140.89439999999999</v>
      </c>
      <c r="J7618">
        <v>-151.36779999999999</v>
      </c>
      <c r="K7618">
        <v>1.1086259999999999</v>
      </c>
      <c r="L7618">
        <v>140.92830000000001</v>
      </c>
      <c r="M7618">
        <v>0.9985868</v>
      </c>
      <c r="N7618">
        <v>0</v>
      </c>
      <c r="O7618">
        <v>5.1182659999999998E-2</v>
      </c>
      <c r="P7618">
        <v>0.99973889999999999</v>
      </c>
      <c r="Q7618">
        <v>-2.1728919999999999E-2</v>
      </c>
      <c r="R7618">
        <v>7.0939330000000002E-3</v>
      </c>
      <c r="S7618">
        <v>2.995911</v>
      </c>
      <c r="T7618">
        <v>-0.23812990000000001</v>
      </c>
      <c r="U7618">
        <v>-6.5399170000000006E-2</v>
      </c>
      <c r="V7618">
        <v>4.4064760000000001E-2</v>
      </c>
      <c r="W7618">
        <v>-7.5795209999999997E-3</v>
      </c>
      <c r="X7618">
        <v>0.999</v>
      </c>
      <c r="Y7618">
        <v>7.2581220000000002E-2</v>
      </c>
      <c r="Z7618">
        <v>-6.9406889999999999E-3</v>
      </c>
      <c r="AA7618">
        <v>0.99733839999999996</v>
      </c>
      <c r="AB7618">
        <v>30</v>
      </c>
      <c r="AC7618">
        <v>0.58249999999998103</v>
      </c>
      <c r="AD7618">
        <v>-7.0682999999999996E-2</v>
      </c>
      <c r="AE7618">
        <v>-3.3900000000016903E-2</v>
      </c>
      <c r="AF7618">
        <v>6.2751647917434095E-2</v>
      </c>
      <c r="AG7618">
        <v>-7.0682999999999996E-2</v>
      </c>
      <c r="AH7618">
        <v>0.57161284111521804</v>
      </c>
      <c r="AI7618">
        <v>97.0074707154061</v>
      </c>
      <c r="AJ7618">
        <v>83.735157150225405</v>
      </c>
      <c r="AK7618">
        <v>0.57937474568120895</v>
      </c>
      <c r="AL7618">
        <v>90.434278689202898</v>
      </c>
      <c r="AM7618">
        <v>87.474385064780805</v>
      </c>
      <c r="AN7618">
        <v>1.00000007610622</v>
      </c>
    </row>
    <row r="7619" spans="1:40" x14ac:dyDescent="0.25">
      <c r="A7619" t="str">
        <f>"20190312155025280"</f>
        <v>20190312155025280</v>
      </c>
      <c r="B7619" t="str">
        <f>"1552377025273659"</f>
        <v>1552377025273659</v>
      </c>
      <c r="C7619" t="s">
        <v>40</v>
      </c>
      <c r="D7619">
        <v>5.4118370000000002</v>
      </c>
      <c r="E7619">
        <v>0.51088420000000001</v>
      </c>
      <c r="F7619" t="s">
        <v>41</v>
      </c>
      <c r="G7619">
        <v>-150.5128</v>
      </c>
      <c r="H7619">
        <v>1.041747</v>
      </c>
      <c r="I7619">
        <v>140.91069999999999</v>
      </c>
      <c r="J7619">
        <v>-151.0429</v>
      </c>
      <c r="K7619">
        <v>1.108633</v>
      </c>
      <c r="L7619">
        <v>140.94309999999999</v>
      </c>
      <c r="M7619">
        <v>0.99867519999999999</v>
      </c>
      <c r="N7619">
        <v>0</v>
      </c>
      <c r="O7619">
        <v>4.9428979999999997E-2</v>
      </c>
      <c r="P7619">
        <v>0.9997395</v>
      </c>
      <c r="Q7619">
        <v>-2.1491610000000001E-2</v>
      </c>
      <c r="R7619">
        <v>7.69669E-3</v>
      </c>
      <c r="S7619">
        <v>2.99614</v>
      </c>
      <c r="T7619">
        <v>-0.23432900000000001</v>
      </c>
      <c r="U7619">
        <v>-6.167603E-2</v>
      </c>
      <c r="V7619">
        <v>4.1709749999999997E-2</v>
      </c>
      <c r="W7619">
        <v>-7.3360569999999896E-3</v>
      </c>
      <c r="X7619">
        <v>0.99910279999999996</v>
      </c>
      <c r="Y7619">
        <v>6.9615819999999995E-2</v>
      </c>
      <c r="Z7619">
        <v>-6.5771579999999996E-3</v>
      </c>
      <c r="AA7619">
        <v>0.9975522</v>
      </c>
      <c r="AB7619">
        <v>30</v>
      </c>
      <c r="AC7619">
        <v>0.53010000000000401</v>
      </c>
      <c r="AD7619">
        <v>-6.6886000000000001E-2</v>
      </c>
      <c r="AE7619">
        <v>-3.2399999999995502E-2</v>
      </c>
      <c r="AF7619">
        <v>5.7650958767985101E-2</v>
      </c>
      <c r="AG7619">
        <v>-6.6886000000000001E-2</v>
      </c>
      <c r="AH7619">
        <v>0.51960862658436902</v>
      </c>
      <c r="AI7619">
        <v>97.290743338104306</v>
      </c>
      <c r="AJ7619">
        <v>83.668885257392702</v>
      </c>
      <c r="AK7619">
        <v>0.52705834104372395</v>
      </c>
      <c r="AL7619">
        <v>90.420328890180002</v>
      </c>
      <c r="AM7619">
        <v>87.609449441966206</v>
      </c>
      <c r="AN7619">
        <v>0.99999996297260396</v>
      </c>
    </row>
    <row r="7620" spans="1:40" x14ac:dyDescent="0.25">
      <c r="A7620" t="str">
        <f>"20190312155025303"</f>
        <v>20190312155025303</v>
      </c>
      <c r="B7620" t="str">
        <f>"1552377025293179"</f>
        <v>1552377025293179</v>
      </c>
      <c r="C7620" t="s">
        <v>40</v>
      </c>
      <c r="D7620">
        <v>5.4108749999999999</v>
      </c>
      <c r="E7620">
        <v>0.51077320000000004</v>
      </c>
      <c r="F7620" t="s">
        <v>41</v>
      </c>
      <c r="G7620">
        <v>-150.2413</v>
      </c>
      <c r="H7620">
        <v>1.043733</v>
      </c>
      <c r="I7620">
        <v>140.92760000000001</v>
      </c>
      <c r="J7620">
        <v>-150.72730000000001</v>
      </c>
      <c r="K7620">
        <v>1.1086480000000001</v>
      </c>
      <c r="L7620">
        <v>140.95679999999999</v>
      </c>
      <c r="M7620">
        <v>0.99875740000000002</v>
      </c>
      <c r="N7620">
        <v>0</v>
      </c>
      <c r="O7620">
        <v>4.7739249999999997E-2</v>
      </c>
      <c r="P7620">
        <v>0.99975000000000003</v>
      </c>
      <c r="Q7620">
        <v>-2.090618E-2</v>
      </c>
      <c r="R7620">
        <v>7.9344369999999904E-3</v>
      </c>
      <c r="S7620">
        <v>2.9960170000000002</v>
      </c>
      <c r="T7620">
        <v>-0.24257000000000001</v>
      </c>
      <c r="U7620">
        <v>-5.7617189999999999E-2</v>
      </c>
      <c r="V7620">
        <v>3.978483E-2</v>
      </c>
      <c r="W7620">
        <v>-6.7456219999999997E-3</v>
      </c>
      <c r="X7620">
        <v>0.99918549999999995</v>
      </c>
      <c r="Y7620">
        <v>6.6567169999999995E-2</v>
      </c>
      <c r="Z7620">
        <v>-6.5483619999999899E-3</v>
      </c>
      <c r="AA7620">
        <v>0.99776050000000005</v>
      </c>
      <c r="AB7620">
        <v>30</v>
      </c>
      <c r="AC7620">
        <v>0.48600000000001797</v>
      </c>
      <c r="AD7620">
        <v>-6.4914999999999806E-2</v>
      </c>
      <c r="AE7620">
        <v>-2.91999999999745E-2</v>
      </c>
      <c r="AF7620">
        <v>5.1455635287991602E-2</v>
      </c>
      <c r="AG7620">
        <v>-6.4914999999999806E-2</v>
      </c>
      <c r="AH7620">
        <v>0.475597060455552</v>
      </c>
      <c r="AI7620">
        <v>97.727815891782697</v>
      </c>
      <c r="AJ7620">
        <v>83.825093100205805</v>
      </c>
      <c r="AK7620">
        <v>0.48275687829574498</v>
      </c>
      <c r="AL7620">
        <v>90.386498602087997</v>
      </c>
      <c r="AM7620">
        <v>87.719843472361902</v>
      </c>
      <c r="AN7620">
        <v>0.99999999976227205</v>
      </c>
    </row>
    <row r="7621" spans="1:40" x14ac:dyDescent="0.25">
      <c r="A7621" t="str">
        <f>"20190312155025327"</f>
        <v>20190312155025327</v>
      </c>
      <c r="B7621" t="str">
        <f>"1552377025313675"</f>
        <v>1552377025313675</v>
      </c>
      <c r="C7621" t="s">
        <v>40</v>
      </c>
      <c r="D7621">
        <v>5.4054929999999999</v>
      </c>
      <c r="E7621">
        <v>0.51108679999999995</v>
      </c>
      <c r="F7621" t="s">
        <v>41</v>
      </c>
      <c r="G7621">
        <v>-149.96799999999999</v>
      </c>
      <c r="H7621">
        <v>1.0470790000000001</v>
      </c>
      <c r="I7621">
        <v>140.9427</v>
      </c>
      <c r="J7621">
        <v>-150.4117</v>
      </c>
      <c r="K7621">
        <v>1.108679</v>
      </c>
      <c r="L7621">
        <v>140.9701</v>
      </c>
      <c r="M7621">
        <v>0.99883509999999998</v>
      </c>
      <c r="N7621">
        <v>0</v>
      </c>
      <c r="O7621">
        <v>4.6087240000000002E-2</v>
      </c>
      <c r="P7621">
        <v>0.99979249999999997</v>
      </c>
      <c r="Q7621">
        <v>-1.8840639999999999E-2</v>
      </c>
      <c r="R7621">
        <v>7.7562029999999997E-3</v>
      </c>
      <c r="S7621">
        <v>2.9960939999999998</v>
      </c>
      <c r="T7621">
        <v>-0.24290880000000001</v>
      </c>
      <c r="U7621">
        <v>-5.577087E-2</v>
      </c>
      <c r="V7621">
        <v>3.831938E-2</v>
      </c>
      <c r="W7621">
        <v>-4.6759979999999998E-3</v>
      </c>
      <c r="X7621">
        <v>0.99925459999999999</v>
      </c>
      <c r="Y7621">
        <v>6.431336E-2</v>
      </c>
      <c r="Z7621">
        <v>-6.332491E-3</v>
      </c>
      <c r="AA7621">
        <v>0.99790970000000001</v>
      </c>
      <c r="AB7621">
        <v>30</v>
      </c>
      <c r="AC7621">
        <v>0.44370000000000598</v>
      </c>
      <c r="AD7621">
        <v>-6.1600000000000099E-2</v>
      </c>
      <c r="AE7621">
        <v>-2.7400000000000001E-2</v>
      </c>
      <c r="AF7621">
        <v>4.6920937270340697E-2</v>
      </c>
      <c r="AG7621">
        <v>-6.1600000000000099E-2</v>
      </c>
      <c r="AH7621">
        <v>0.433639103173657</v>
      </c>
      <c r="AI7621">
        <v>98.038676834397407</v>
      </c>
      <c r="AJ7621">
        <v>83.824465831544998</v>
      </c>
      <c r="AK7621">
        <v>0.440498588142551</v>
      </c>
      <c r="AL7621">
        <v>90.267915927353897</v>
      </c>
      <c r="AM7621">
        <v>87.803899559064703</v>
      </c>
      <c r="AN7621">
        <v>0.99999999773102</v>
      </c>
    </row>
    <row r="7622" spans="1:40" x14ac:dyDescent="0.25">
      <c r="A7622" t="str">
        <f>"20190312155025345"</f>
        <v>20190312155025345</v>
      </c>
      <c r="B7622" t="str">
        <f>"1552377025333195"</f>
        <v>1552377025333195</v>
      </c>
      <c r="C7622" t="s">
        <v>40</v>
      </c>
      <c r="D7622">
        <v>5.4390749999999999</v>
      </c>
      <c r="E7622">
        <v>0.5107583</v>
      </c>
      <c r="F7622" t="s">
        <v>41</v>
      </c>
      <c r="G7622">
        <v>-149.43770000000001</v>
      </c>
      <c r="H7622">
        <v>1.031388</v>
      </c>
      <c r="I7622">
        <v>140.95099999999999</v>
      </c>
      <c r="J7622">
        <v>-150.15610000000001</v>
      </c>
      <c r="K7622">
        <v>1.1087260000000001</v>
      </c>
      <c r="L7622">
        <v>140.98050000000001</v>
      </c>
      <c r="M7622">
        <v>0.99889410000000001</v>
      </c>
      <c r="N7622">
        <v>0</v>
      </c>
      <c r="O7622">
        <v>4.4790969999999999E-2</v>
      </c>
      <c r="P7622">
        <v>0.99987309999999996</v>
      </c>
      <c r="Q7622">
        <v>-1.460412E-2</v>
      </c>
      <c r="R7622">
        <v>6.3654410000000003E-3</v>
      </c>
      <c r="S7622">
        <v>2.996613</v>
      </c>
      <c r="T7622">
        <v>-0.23780609999999999</v>
      </c>
      <c r="U7622">
        <v>-5.8456420000000002E-2</v>
      </c>
      <c r="V7622">
        <v>3.8429640000000001E-2</v>
      </c>
      <c r="W7622">
        <v>-4.3997980000000001E-4</v>
      </c>
      <c r="X7622">
        <v>0.99926119999999996</v>
      </c>
      <c r="Y7622">
        <v>6.3929540000000007E-2</v>
      </c>
      <c r="Z7622">
        <v>-6.0809260000000004E-3</v>
      </c>
      <c r="AA7622">
        <v>0.99793589999999999</v>
      </c>
      <c r="AB7622">
        <v>30</v>
      </c>
      <c r="AC7622">
        <v>0.71840000000000204</v>
      </c>
      <c r="AD7622">
        <v>-7.7338000000000101E-2</v>
      </c>
      <c r="AE7622">
        <v>-2.9500000000012901E-2</v>
      </c>
      <c r="AF7622">
        <v>6.0946377850531398E-2</v>
      </c>
      <c r="AG7622">
        <v>-7.7338000000000101E-2</v>
      </c>
      <c r="AH7622">
        <v>0.70816414788347204</v>
      </c>
      <c r="AI7622">
        <v>96.209749338699794</v>
      </c>
      <c r="AJ7622">
        <v>85.081102365984506</v>
      </c>
      <c r="AK7622">
        <v>0.71497698394047904</v>
      </c>
      <c r="AL7622">
        <v>90.025208986718795</v>
      </c>
      <c r="AM7622">
        <v>87.7976012564191</v>
      </c>
      <c r="AN7622">
        <v>0.99999998831909598</v>
      </c>
    </row>
    <row r="7623" spans="1:40" x14ac:dyDescent="0.25">
      <c r="A7623" t="str">
        <f>"20190312155025368"</f>
        <v>20190312155025368</v>
      </c>
      <c r="B7623" t="str">
        <f>"1552377025353691"</f>
        <v>1552377025353691</v>
      </c>
      <c r="C7623" t="s">
        <v>40</v>
      </c>
      <c r="D7623">
        <v>5.551882</v>
      </c>
      <c r="E7623">
        <v>0.51073100000000005</v>
      </c>
      <c r="F7623" t="s">
        <v>41</v>
      </c>
      <c r="G7623">
        <v>-149.16810000000001</v>
      </c>
      <c r="H7623">
        <v>1.032149</v>
      </c>
      <c r="I7623">
        <v>140.96080000000001</v>
      </c>
      <c r="J7623">
        <v>-149.8535</v>
      </c>
      <c r="K7623">
        <v>1.108784</v>
      </c>
      <c r="L7623">
        <v>140.9924</v>
      </c>
      <c r="M7623">
        <v>0.99895970000000001</v>
      </c>
      <c r="N7623">
        <v>0</v>
      </c>
      <c r="O7623">
        <v>4.3306780000000003E-2</v>
      </c>
      <c r="P7623">
        <v>0.99992780000000003</v>
      </c>
      <c r="Q7623">
        <v>-1.12222E-2</v>
      </c>
      <c r="R7623">
        <v>4.3215299999999996E-3</v>
      </c>
      <c r="S7623">
        <v>2.99736</v>
      </c>
      <c r="T7623">
        <v>-0.23239560000000001</v>
      </c>
      <c r="U7623">
        <v>-5.9127810000000003E-2</v>
      </c>
      <c r="V7623">
        <v>3.8999560000000003E-2</v>
      </c>
      <c r="W7623">
        <v>2.939999E-3</v>
      </c>
      <c r="X7623">
        <v>0.99923490000000004</v>
      </c>
      <c r="Y7623">
        <v>6.2689049999999996E-2</v>
      </c>
      <c r="Z7623">
        <v>-5.7786519999999996E-3</v>
      </c>
      <c r="AA7623">
        <v>0.99801640000000003</v>
      </c>
      <c r="AB7623">
        <v>30</v>
      </c>
      <c r="AC7623">
        <v>0.68539999999998702</v>
      </c>
      <c r="AD7623">
        <v>-7.6634999999999995E-2</v>
      </c>
      <c r="AE7623">
        <v>-3.1599999999997401E-2</v>
      </c>
      <c r="AF7623">
        <v>6.0501086225107199E-2</v>
      </c>
      <c r="AG7623">
        <v>-7.6634999999999995E-2</v>
      </c>
      <c r="AH7623">
        <v>0.67496791641698095</v>
      </c>
      <c r="AI7623">
        <v>96.451903238180606</v>
      </c>
      <c r="AJ7623">
        <v>84.877952660930006</v>
      </c>
      <c r="AK7623">
        <v>0.68199339648687096</v>
      </c>
      <c r="AL7623">
        <v>89.831550222407699</v>
      </c>
      <c r="AM7623">
        <v>87.764913315047195</v>
      </c>
      <c r="AN7623">
        <v>0.99999999732616096</v>
      </c>
    </row>
    <row r="7624" spans="1:40" x14ac:dyDescent="0.25">
      <c r="A7624" t="str">
        <f>"20190312155025392"</f>
        <v>20190312155025392</v>
      </c>
      <c r="B7624" t="str">
        <f>"1552377025383947"</f>
        <v>1552377025383947</v>
      </c>
      <c r="C7624" t="s">
        <v>40</v>
      </c>
      <c r="D7624">
        <v>5.4154460000000002</v>
      </c>
      <c r="E7624">
        <v>0.51092139999999997</v>
      </c>
      <c r="F7624" t="s">
        <v>41</v>
      </c>
      <c r="G7624">
        <v>-148.89769999999999</v>
      </c>
      <c r="H7624">
        <v>1.0353380000000001</v>
      </c>
      <c r="I7624">
        <v>140.9718</v>
      </c>
      <c r="J7624">
        <v>-149.5342</v>
      </c>
      <c r="K7624">
        <v>1.108849</v>
      </c>
      <c r="L7624">
        <v>141.00450000000001</v>
      </c>
      <c r="M7624">
        <v>0.99902299999999999</v>
      </c>
      <c r="N7624">
        <v>0</v>
      </c>
      <c r="O7624">
        <v>4.1822270000000002E-2</v>
      </c>
      <c r="P7624">
        <v>0.99995699999999998</v>
      </c>
      <c r="Q7624">
        <v>-9.1564769999999997E-3</v>
      </c>
      <c r="R7624">
        <v>1.5916630000000001E-3</v>
      </c>
      <c r="S7624">
        <v>2.9979100000000001</v>
      </c>
      <c r="T7624">
        <v>-0.23032259999999999</v>
      </c>
      <c r="U7624">
        <v>-6.462097E-2</v>
      </c>
      <c r="V7624">
        <v>4.0248979999999997E-2</v>
      </c>
      <c r="W7624">
        <v>5.0023029999999996E-3</v>
      </c>
      <c r="X7624">
        <v>0.99917719999999999</v>
      </c>
      <c r="Y7624">
        <v>6.3039410000000004E-2</v>
      </c>
      <c r="Z7624">
        <v>-5.6257420000000004E-3</v>
      </c>
      <c r="AA7624">
        <v>0.99799519999999997</v>
      </c>
      <c r="AB7624">
        <v>30</v>
      </c>
      <c r="AC7624">
        <v>0.63650000000001195</v>
      </c>
      <c r="AD7624">
        <v>-7.3511000000000104E-2</v>
      </c>
      <c r="AE7624">
        <v>-3.2700000000005502E-2</v>
      </c>
      <c r="AF7624">
        <v>5.8515517430128498E-2</v>
      </c>
      <c r="AG7624">
        <v>-7.3511000000000104E-2</v>
      </c>
      <c r="AH7624">
        <v>0.62624407918118896</v>
      </c>
      <c r="AI7624">
        <v>96.666192420712903</v>
      </c>
      <c r="AJ7624">
        <v>84.661848556522997</v>
      </c>
      <c r="AK7624">
        <v>0.63325317181251595</v>
      </c>
      <c r="AL7624">
        <v>89.713387966454306</v>
      </c>
      <c r="AM7624">
        <v>87.693251439492897</v>
      </c>
      <c r="AN7624">
        <v>1.00000004021309</v>
      </c>
    </row>
    <row r="7625" spans="1:40" x14ac:dyDescent="0.25">
      <c r="A7625" t="str">
        <f>"20190312155025413"</f>
        <v>20190312155025413</v>
      </c>
      <c r="B7625" t="str">
        <f>"1552377025403467"</f>
        <v>1552377025403467</v>
      </c>
      <c r="C7625" t="s">
        <v>40</v>
      </c>
      <c r="D7625">
        <v>5.4553510000000003</v>
      </c>
      <c r="E7625">
        <v>0.51117250000000003</v>
      </c>
      <c r="F7625" t="s">
        <v>41</v>
      </c>
      <c r="G7625">
        <v>-148.62690000000001</v>
      </c>
      <c r="H7625">
        <v>1.0398179999999999</v>
      </c>
      <c r="I7625">
        <v>140.9821</v>
      </c>
      <c r="J7625">
        <v>-149.2602</v>
      </c>
      <c r="K7625">
        <v>1.1089310000000001</v>
      </c>
      <c r="L7625">
        <v>141.0147</v>
      </c>
      <c r="M7625">
        <v>0.99907199999999996</v>
      </c>
      <c r="N7625">
        <v>0</v>
      </c>
      <c r="O7625">
        <v>4.0635039999999997E-2</v>
      </c>
      <c r="P7625">
        <v>0.99997440000000004</v>
      </c>
      <c r="Q7625">
        <v>-7.1377530000000002E-3</v>
      </c>
      <c r="R7625">
        <v>-4.5257050000000002E-4</v>
      </c>
      <c r="S7625">
        <v>2.998138</v>
      </c>
      <c r="T7625">
        <v>-0.22813929999999999</v>
      </c>
      <c r="U7625">
        <v>-7.3989869999999999E-2</v>
      </c>
      <c r="V7625">
        <v>4.1109649999999998E-2</v>
      </c>
      <c r="W7625">
        <v>7.0202420000000003E-3</v>
      </c>
      <c r="X7625">
        <v>0.99912999999999996</v>
      </c>
      <c r="Y7625">
        <v>6.4972370000000002E-2</v>
      </c>
      <c r="Z7625">
        <v>-5.5552500000000003E-3</v>
      </c>
      <c r="AA7625">
        <v>0.99787159999999997</v>
      </c>
      <c r="AB7625">
        <v>30</v>
      </c>
      <c r="AC7625">
        <v>0.63329999999999098</v>
      </c>
      <c r="AD7625">
        <v>-6.9112999999999702E-2</v>
      </c>
      <c r="AE7625">
        <v>-3.26000000000021E-2</v>
      </c>
      <c r="AF7625">
        <v>5.7625377266077901E-2</v>
      </c>
      <c r="AG7625">
        <v>-6.9112999999999702E-2</v>
      </c>
      <c r="AH7625">
        <v>0.624039508975757</v>
      </c>
      <c r="AI7625">
        <v>96.293251173357604</v>
      </c>
      <c r="AJ7625">
        <v>84.724125753644401</v>
      </c>
      <c r="AK7625">
        <v>0.63049393306895696</v>
      </c>
      <c r="AL7625">
        <v>89.597766467114099</v>
      </c>
      <c r="AM7625">
        <v>87.643868569926596</v>
      </c>
      <c r="AN7625">
        <v>1.0000000220104299</v>
      </c>
    </row>
    <row r="7626" spans="1:40" x14ac:dyDescent="0.25">
      <c r="A7626" t="str">
        <f>"20190312155025439"</f>
        <v>20190312155025439</v>
      </c>
      <c r="B7626" t="str">
        <f>"1552377025433724"</f>
        <v>1552377025433724</v>
      </c>
      <c r="C7626" t="s">
        <v>40</v>
      </c>
      <c r="D7626">
        <v>5.4246809999999996</v>
      </c>
      <c r="E7626">
        <v>0.51149060000000002</v>
      </c>
      <c r="F7626" t="s">
        <v>41</v>
      </c>
      <c r="G7626">
        <v>-148.3578</v>
      </c>
      <c r="H7626">
        <v>1.041569</v>
      </c>
      <c r="I7626">
        <v>140.99</v>
      </c>
      <c r="J7626">
        <v>-148.89670000000001</v>
      </c>
      <c r="K7626">
        <v>1.1090629999999999</v>
      </c>
      <c r="L7626">
        <v>141.02780000000001</v>
      </c>
      <c r="M7626">
        <v>0.99912849999999997</v>
      </c>
      <c r="N7626">
        <v>0</v>
      </c>
      <c r="O7626">
        <v>3.9223939999999999E-2</v>
      </c>
      <c r="P7626">
        <v>0.99999199999999999</v>
      </c>
      <c r="Q7626">
        <v>-2.8920209999999998E-3</v>
      </c>
      <c r="R7626">
        <v>-2.7686780000000001E-3</v>
      </c>
      <c r="S7626">
        <v>2.9984280000000001</v>
      </c>
      <c r="T7626">
        <v>-0.22383690000000001</v>
      </c>
      <c r="U7626">
        <v>-8.1954959999999993E-2</v>
      </c>
      <c r="V7626">
        <v>4.2022129999999998E-2</v>
      </c>
      <c r="W7626">
        <v>1.1268200000000001E-2</v>
      </c>
      <c r="X7626">
        <v>0.99905310000000003</v>
      </c>
      <c r="Y7626">
        <v>6.6221459999999996E-2</v>
      </c>
      <c r="Z7626">
        <v>-5.3915059999999999E-3</v>
      </c>
      <c r="AA7626">
        <v>0.99779039999999997</v>
      </c>
      <c r="AB7626">
        <v>30</v>
      </c>
      <c r="AC7626">
        <v>0.53890000000001204</v>
      </c>
      <c r="AD7626">
        <v>-6.7493999999999901E-2</v>
      </c>
      <c r="AE7626">
        <v>-3.7800000000004198E-2</v>
      </c>
      <c r="AF7626">
        <v>5.8005417655370602E-2</v>
      </c>
      <c r="AG7626">
        <v>-6.7493999999999901E-2</v>
      </c>
      <c r="AH7626">
        <v>0.52874900282168102</v>
      </c>
      <c r="AI7626">
        <v>97.231457798449</v>
      </c>
      <c r="AJ7626">
        <v>83.739508411747593</v>
      </c>
      <c r="AK7626">
        <v>0.53618613978570595</v>
      </c>
      <c r="AL7626">
        <v>89.354366010730004</v>
      </c>
      <c r="AM7626">
        <v>87.591447042856103</v>
      </c>
      <c r="AN7626">
        <v>0.99999996418029202</v>
      </c>
    </row>
    <row r="7627" spans="1:40" x14ac:dyDescent="0.25">
      <c r="A7627" t="str">
        <f>"20190312155025462"</f>
        <v>20190312155025462</v>
      </c>
      <c r="B7627" t="str">
        <f>"1552377025453243"</f>
        <v>1552377025453243</v>
      </c>
      <c r="C7627" t="s">
        <v>40</v>
      </c>
      <c r="D7627">
        <v>5.4294769999999897</v>
      </c>
      <c r="E7627">
        <v>0.51157969999999997</v>
      </c>
      <c r="F7627" t="s">
        <v>41</v>
      </c>
      <c r="G7627">
        <v>-148.08199999999999</v>
      </c>
      <c r="H7627">
        <v>1.0509120000000001</v>
      </c>
      <c r="I7627">
        <v>141.00290000000001</v>
      </c>
      <c r="J7627">
        <v>-148.60409999999999</v>
      </c>
      <c r="K7627">
        <v>1.1092059999999999</v>
      </c>
      <c r="L7627">
        <v>141.03819999999999</v>
      </c>
      <c r="M7627">
        <v>0.99916649999999996</v>
      </c>
      <c r="N7627">
        <v>0</v>
      </c>
      <c r="O7627">
        <v>3.8247429999999999E-2</v>
      </c>
      <c r="P7627">
        <v>0.99998580000000004</v>
      </c>
      <c r="Q7627">
        <v>2.539417E-3</v>
      </c>
      <c r="R7627">
        <v>-4.6741930000000001E-3</v>
      </c>
      <c r="S7627">
        <v>2.9991460000000001</v>
      </c>
      <c r="T7627">
        <v>-0.21409829999999999</v>
      </c>
      <c r="U7627">
        <v>-9.144592E-2</v>
      </c>
      <c r="V7627">
        <v>4.2958429999999999E-2</v>
      </c>
      <c r="W7627">
        <v>1.670313E-2</v>
      </c>
      <c r="X7627">
        <v>0.99893719999999997</v>
      </c>
      <c r="Y7627">
        <v>6.8416519999999995E-2</v>
      </c>
      <c r="Z7627">
        <v>-5.1647610000000004E-3</v>
      </c>
      <c r="AA7627">
        <v>0.99764350000000002</v>
      </c>
      <c r="AB7627">
        <v>30</v>
      </c>
      <c r="AC7627">
        <v>0.52209999999999401</v>
      </c>
      <c r="AD7627">
        <v>-5.8293999999999797E-2</v>
      </c>
      <c r="AE7627">
        <v>-3.5299999999978099E-2</v>
      </c>
      <c r="AF7627">
        <v>5.4568010523033499E-2</v>
      </c>
      <c r="AG7627">
        <v>-5.8293999999999797E-2</v>
      </c>
      <c r="AH7627">
        <v>0.51398920332945897</v>
      </c>
      <c r="AI7627">
        <v>96.434686746100994</v>
      </c>
      <c r="AJ7627">
        <v>83.939855150680202</v>
      </c>
      <c r="AK7627">
        <v>0.52015455332784899</v>
      </c>
      <c r="AL7627">
        <v>89.042936616701894</v>
      </c>
      <c r="AM7627">
        <v>87.537561801415194</v>
      </c>
      <c r="AN7627">
        <v>0.99999997540185004</v>
      </c>
    </row>
    <row r="7628" spans="1:40" x14ac:dyDescent="0.25">
      <c r="A7628" t="str">
        <f>"20190312155025481"</f>
        <v>20190312155025481</v>
      </c>
      <c r="B7628" t="str">
        <f>"1552377025473740"</f>
        <v>1552377025473740</v>
      </c>
      <c r="C7628" t="s">
        <v>40</v>
      </c>
      <c r="D7628">
        <v>5.4129110000000003</v>
      </c>
      <c r="E7628">
        <v>0.51157959999999902</v>
      </c>
      <c r="F7628" t="s">
        <v>42</v>
      </c>
      <c r="G7628">
        <v>-131.9828</v>
      </c>
      <c r="H7628" s="1">
        <v>-3.6557430000000001E-6</v>
      </c>
      <c r="I7628">
        <v>140.49590000000001</v>
      </c>
      <c r="J7628">
        <v>-148.3389</v>
      </c>
      <c r="K7628">
        <v>1.1093420000000001</v>
      </c>
      <c r="L7628">
        <v>141.04750000000001</v>
      </c>
      <c r="M7628">
        <v>0.99919440000000004</v>
      </c>
      <c r="N7628">
        <v>0</v>
      </c>
      <c r="O7628">
        <v>3.75085E-2</v>
      </c>
      <c r="P7628">
        <v>0.99995330000000004</v>
      </c>
      <c r="Q7628">
        <v>7.7109450000000003E-3</v>
      </c>
      <c r="R7628">
        <v>-5.8524669999999897E-3</v>
      </c>
      <c r="S7628">
        <v>3.000092</v>
      </c>
      <c r="T7628">
        <v>-0.20020760000000001</v>
      </c>
      <c r="U7628">
        <v>-9.7869869999999998E-2</v>
      </c>
      <c r="V7628">
        <v>4.3400660000000001E-2</v>
      </c>
      <c r="W7628">
        <v>2.1882519999999999E-2</v>
      </c>
      <c r="X7628">
        <v>0.99881810000000004</v>
      </c>
      <c r="Y7628">
        <v>6.9835830000000002E-2</v>
      </c>
      <c r="Z7628">
        <v>-4.8268390000000003E-3</v>
      </c>
      <c r="AA7628">
        <v>0.99754679999999996</v>
      </c>
      <c r="AB7628">
        <v>30</v>
      </c>
      <c r="AC7628">
        <v>16.356099999999898</v>
      </c>
      <c r="AD7628">
        <v>-1.1093456557429999</v>
      </c>
      <c r="AE7628">
        <v>-0.55160000000000697</v>
      </c>
      <c r="AF7628">
        <v>1.1594394601231299</v>
      </c>
      <c r="AG7628">
        <v>-1.1093456557429999</v>
      </c>
      <c r="AH7628">
        <v>16.2492318368759</v>
      </c>
      <c r="AI7628">
        <v>93.895686085836701</v>
      </c>
      <c r="AJ7628">
        <v>85.918663048952496</v>
      </c>
      <c r="AK7628">
        <v>16.328272503058798</v>
      </c>
      <c r="AL7628">
        <v>88.746123913563196</v>
      </c>
      <c r="AM7628">
        <v>87.511947966328194</v>
      </c>
      <c r="AN7628">
        <v>1.0000000294287901</v>
      </c>
    </row>
    <row r="7629" spans="1:40" x14ac:dyDescent="0.25">
      <c r="A7629" t="str">
        <f>"20190312155025508"</f>
        <v>20190312155025508</v>
      </c>
      <c r="B7629" t="str">
        <f>"1552377025493259"</f>
        <v>1552377025493259</v>
      </c>
      <c r="C7629" t="s">
        <v>40</v>
      </c>
      <c r="D7629">
        <v>5.5276360000000002</v>
      </c>
      <c r="E7629">
        <v>0.51150909999999905</v>
      </c>
      <c r="F7629" t="s">
        <v>42</v>
      </c>
      <c r="G7629">
        <v>-130.43979999999999</v>
      </c>
      <c r="H7629" s="1">
        <v>-4.2726399999999998E-6</v>
      </c>
      <c r="I7629">
        <v>140.441</v>
      </c>
      <c r="J7629">
        <v>-147.99100000000001</v>
      </c>
      <c r="K7629">
        <v>1.109523</v>
      </c>
      <c r="L7629">
        <v>141.05959999999999</v>
      </c>
      <c r="M7629">
        <v>0.99922169999999999</v>
      </c>
      <c r="N7629">
        <v>0</v>
      </c>
      <c r="O7629">
        <v>3.6758619999999999E-2</v>
      </c>
      <c r="P7629">
        <v>0.99991459999999999</v>
      </c>
      <c r="Q7629">
        <v>1.110887E-2</v>
      </c>
      <c r="R7629">
        <v>-6.8915570000000004E-3</v>
      </c>
      <c r="S7629">
        <v>3.0009610000000002</v>
      </c>
      <c r="T7629">
        <v>-0.18599270000000001</v>
      </c>
      <c r="U7629">
        <v>-0.1016693</v>
      </c>
      <c r="V7629">
        <v>4.3684050000000002E-2</v>
      </c>
      <c r="W7629">
        <v>2.534148E-2</v>
      </c>
      <c r="X7629">
        <v>0.9987239</v>
      </c>
      <c r="Y7629">
        <v>7.0372530000000003E-2</v>
      </c>
      <c r="Z7629">
        <v>-4.4536339999999997E-3</v>
      </c>
      <c r="AA7629">
        <v>0.99751089999999998</v>
      </c>
      <c r="AB7629">
        <v>30</v>
      </c>
      <c r="AC7629">
        <v>17.551200000000001</v>
      </c>
      <c r="AD7629">
        <v>-1.1095272726400001</v>
      </c>
      <c r="AE7629">
        <v>-0.61859999999998605</v>
      </c>
      <c r="AF7629">
        <v>1.2583831268313299</v>
      </c>
      <c r="AG7629">
        <v>-1.1095272726400001</v>
      </c>
      <c r="AH7629">
        <v>17.446957341825801</v>
      </c>
      <c r="AI7629">
        <v>93.629382837323206</v>
      </c>
      <c r="AJ7629">
        <v>85.874615643145106</v>
      </c>
      <c r="AK7629">
        <v>17.5274327655283</v>
      </c>
      <c r="AL7629">
        <v>88.547884637091201</v>
      </c>
      <c r="AM7629">
        <v>87.495486633829202</v>
      </c>
      <c r="AN7629">
        <v>0.99999995763210003</v>
      </c>
    </row>
    <row r="7630" spans="1:40" x14ac:dyDescent="0.25">
      <c r="A7630" t="str">
        <f>"20190312155025530"</f>
        <v>20190312155025530</v>
      </c>
      <c r="B7630" t="str">
        <f>"1552377025523516"</f>
        <v>1552377025523516</v>
      </c>
      <c r="C7630" t="s">
        <v>40</v>
      </c>
      <c r="D7630">
        <v>5.4680030000000004</v>
      </c>
      <c r="E7630">
        <v>0.51497230000000005</v>
      </c>
      <c r="F7630" t="s">
        <v>41</v>
      </c>
      <c r="G7630">
        <v>-147.01329999999999</v>
      </c>
      <c r="H7630">
        <v>1.05287</v>
      </c>
      <c r="I7630">
        <v>141.02549999999999</v>
      </c>
      <c r="J7630">
        <v>-147.68989999999999</v>
      </c>
      <c r="K7630">
        <v>1.1097129999999999</v>
      </c>
      <c r="L7630">
        <v>141.0701</v>
      </c>
      <c r="M7630">
        <v>0.99923580000000001</v>
      </c>
      <c r="N7630">
        <v>0</v>
      </c>
      <c r="O7630">
        <v>3.631678E-2</v>
      </c>
      <c r="P7630">
        <v>0.99988370000000004</v>
      </c>
      <c r="Q7630">
        <v>1.326722E-2</v>
      </c>
      <c r="R7630">
        <v>-7.5278649999999999E-3</v>
      </c>
      <c r="S7630">
        <v>3.0014500000000002</v>
      </c>
      <c r="T7630">
        <v>-0.1740062</v>
      </c>
      <c r="U7630">
        <v>-0.1042023</v>
      </c>
      <c r="V7630">
        <v>4.3870859999999998E-2</v>
      </c>
      <c r="W7630">
        <v>2.7660009999999999E-2</v>
      </c>
      <c r="X7630">
        <v>0.99865420000000005</v>
      </c>
      <c r="Y7630">
        <v>7.0792560000000004E-2</v>
      </c>
      <c r="Z7630">
        <v>-4.1529669999999996E-3</v>
      </c>
      <c r="AA7630">
        <v>0.99748239999999999</v>
      </c>
      <c r="AB7630">
        <v>30</v>
      </c>
      <c r="AC7630">
        <v>0.67660000000000697</v>
      </c>
      <c r="AD7630">
        <v>-5.6842999999999901E-2</v>
      </c>
      <c r="AE7630">
        <v>-4.4600000000002603E-2</v>
      </c>
      <c r="AF7630">
        <v>6.8662540034787597E-2</v>
      </c>
      <c r="AG7630">
        <v>-5.6842999999999901E-2</v>
      </c>
      <c r="AH7630">
        <v>0.66982640344029198</v>
      </c>
      <c r="AI7630">
        <v>94.825462903795497</v>
      </c>
      <c r="AJ7630">
        <v>84.147169521072698</v>
      </c>
      <c r="AK7630">
        <v>0.67573151606150905</v>
      </c>
      <c r="AL7630">
        <v>88.414995965946702</v>
      </c>
      <c r="AM7630">
        <v>87.484614764268599</v>
      </c>
      <c r="AN7630">
        <v>0.99999996984398898</v>
      </c>
    </row>
    <row r="7631" spans="1:40" x14ac:dyDescent="0.25">
      <c r="A7631" t="str">
        <f>"20190312155025549"</f>
        <v>20190312155025549</v>
      </c>
      <c r="B7631" t="str">
        <f>"1552377025543035"</f>
        <v>1552377025543035</v>
      </c>
      <c r="C7631" t="s">
        <v>40</v>
      </c>
      <c r="D7631">
        <v>5.475142</v>
      </c>
      <c r="E7631">
        <v>0.51389679999999904</v>
      </c>
      <c r="F7631" t="s">
        <v>48</v>
      </c>
      <c r="G7631">
        <v>0</v>
      </c>
      <c r="H7631">
        <v>0</v>
      </c>
      <c r="I7631">
        <v>0</v>
      </c>
      <c r="J7631">
        <v>-147.42599999999999</v>
      </c>
      <c r="K7631">
        <v>1.109885</v>
      </c>
      <c r="L7631">
        <v>141.07929999999999</v>
      </c>
      <c r="M7631">
        <v>0.99924219999999997</v>
      </c>
      <c r="N7631">
        <v>0</v>
      </c>
      <c r="O7631">
        <v>3.6050369999999998E-2</v>
      </c>
      <c r="P7631">
        <v>0.99985840000000004</v>
      </c>
      <c r="Q7631">
        <v>1.505838E-2</v>
      </c>
      <c r="R7631">
        <v>-7.5181040000000003E-3</v>
      </c>
      <c r="S7631">
        <v>2.9982449999999998</v>
      </c>
      <c r="T7631">
        <v>7.6750869999999999E-2</v>
      </c>
      <c r="U7631">
        <v>-0.14353940000000001</v>
      </c>
      <c r="V7631">
        <v>4.358803E-2</v>
      </c>
      <c r="W7631">
        <v>2.96843E-2</v>
      </c>
      <c r="X7631">
        <v>0.99860850000000001</v>
      </c>
      <c r="Y7631">
        <v>8.3762439999999994E-2</v>
      </c>
      <c r="Z7631">
        <v>1.9936200000000002E-3</v>
      </c>
      <c r="AA7631">
        <v>0.99648369999999997</v>
      </c>
      <c r="AB7631">
        <v>30</v>
      </c>
      <c r="AC7631">
        <v>2.9982449999999998</v>
      </c>
      <c r="AD7631">
        <v>7.6750869999999999E-2</v>
      </c>
      <c r="AE7631">
        <v>-0.14353940000000001</v>
      </c>
      <c r="AF7631">
        <v>0.25138120946047499</v>
      </c>
      <c r="AG7631">
        <v>7.6750869999999999E-2</v>
      </c>
      <c r="AH7631">
        <v>2.98916615105002</v>
      </c>
      <c r="AI7631">
        <v>88.534348223436794</v>
      </c>
      <c r="AJ7631">
        <v>85.192883131740302</v>
      </c>
      <c r="AK7631">
        <v>3.00069949963317</v>
      </c>
      <c r="AL7631">
        <v>88.298965025227901</v>
      </c>
      <c r="AM7631">
        <v>87.500696286347903</v>
      </c>
      <c r="AN7631">
        <v>1.0000000051490101</v>
      </c>
    </row>
    <row r="7632" spans="1:40" x14ac:dyDescent="0.25">
      <c r="A7632" t="str">
        <f>"20190312155025570"</f>
        <v>20190312155025570</v>
      </c>
      <c r="B7632" t="str">
        <f>"1552377025563531"</f>
        <v>1552377025563531</v>
      </c>
      <c r="C7632" t="s">
        <v>40</v>
      </c>
      <c r="D7632">
        <v>5.5043530000000001</v>
      </c>
      <c r="E7632">
        <v>0.51342509999999997</v>
      </c>
      <c r="F7632" t="s">
        <v>48</v>
      </c>
      <c r="G7632">
        <v>0</v>
      </c>
      <c r="H7632">
        <v>0</v>
      </c>
      <c r="I7632">
        <v>0</v>
      </c>
      <c r="J7632">
        <v>-147.1525</v>
      </c>
      <c r="K7632">
        <v>1.110063</v>
      </c>
      <c r="L7632">
        <v>141.0889</v>
      </c>
      <c r="M7632">
        <v>0.99924349999999995</v>
      </c>
      <c r="N7632">
        <v>0</v>
      </c>
      <c r="O7632">
        <v>3.5893019999999998E-2</v>
      </c>
      <c r="P7632">
        <v>0.99982859999999996</v>
      </c>
      <c r="Q7632">
        <v>1.70935999999999E-2</v>
      </c>
      <c r="R7632">
        <v>-7.1326619999999997E-3</v>
      </c>
      <c r="S7632">
        <v>2.997986</v>
      </c>
      <c r="T7632">
        <v>9.4066739999999996E-2</v>
      </c>
      <c r="U7632">
        <v>-0.1354523</v>
      </c>
      <c r="V7632">
        <v>4.3038630000000001E-2</v>
      </c>
      <c r="W7632">
        <v>3.2024459999999998E-2</v>
      </c>
      <c r="X7632">
        <v>0.99856</v>
      </c>
      <c r="Y7632">
        <v>8.0909040000000002E-2</v>
      </c>
      <c r="Z7632">
        <v>2.3938929999999998E-3</v>
      </c>
      <c r="AA7632">
        <v>0.99671860000000001</v>
      </c>
      <c r="AB7632">
        <v>30</v>
      </c>
      <c r="AC7632">
        <v>2.997986</v>
      </c>
      <c r="AD7632">
        <v>9.4066739999999996E-2</v>
      </c>
      <c r="AE7632">
        <v>-0.1354523</v>
      </c>
      <c r="AF7632">
        <v>0.242745337510135</v>
      </c>
      <c r="AG7632">
        <v>9.4066739999999996E-2</v>
      </c>
      <c r="AH7632">
        <v>2.9882555155825199</v>
      </c>
      <c r="AI7632">
        <v>88.202907885027201</v>
      </c>
      <c r="AJ7632">
        <v>85.355882030614694</v>
      </c>
      <c r="AK7632">
        <v>2.9995741159148701</v>
      </c>
      <c r="AL7632">
        <v>88.164819792863199</v>
      </c>
      <c r="AM7632">
        <v>87.532039544687606</v>
      </c>
      <c r="AN7632">
        <v>0.99999998165528403</v>
      </c>
    </row>
    <row r="7633" spans="1:40" x14ac:dyDescent="0.25">
      <c r="A7633" t="str">
        <f>"20190312155025591"</f>
        <v>20190312155025591</v>
      </c>
      <c r="B7633" t="str">
        <f>"1552377025583052"</f>
        <v>1552377025583052</v>
      </c>
      <c r="C7633" t="s">
        <v>40</v>
      </c>
      <c r="D7633">
        <v>5.5118939999999998</v>
      </c>
      <c r="E7633">
        <v>0.51325299999999996</v>
      </c>
      <c r="F7633" t="s">
        <v>48</v>
      </c>
      <c r="G7633">
        <v>0</v>
      </c>
      <c r="H7633">
        <v>0</v>
      </c>
      <c r="I7633">
        <v>0</v>
      </c>
      <c r="J7633">
        <v>-146.88040000000001</v>
      </c>
      <c r="K7633">
        <v>1.1102350000000001</v>
      </c>
      <c r="L7633">
        <v>141.0986</v>
      </c>
      <c r="M7633">
        <v>0.99924009999999996</v>
      </c>
      <c r="N7633">
        <v>0</v>
      </c>
      <c r="O7633">
        <v>3.5830609999999999E-2</v>
      </c>
      <c r="P7633">
        <v>0.99980530000000001</v>
      </c>
      <c r="Q7633">
        <v>1.8666820000000001E-2</v>
      </c>
      <c r="R7633">
        <v>-6.4033569999999897E-3</v>
      </c>
      <c r="S7633">
        <v>2.9977870000000002</v>
      </c>
      <c r="T7633">
        <v>0.1039841</v>
      </c>
      <c r="U7633">
        <v>-0.13064580000000001</v>
      </c>
      <c r="V7633">
        <v>4.2240769999999997E-2</v>
      </c>
      <c r="W7633">
        <v>3.397128E-2</v>
      </c>
      <c r="X7633">
        <v>0.99852969999999996</v>
      </c>
      <c r="Y7633">
        <v>7.9243179999999996E-2</v>
      </c>
      <c r="Z7633">
        <v>2.6153690000000002E-3</v>
      </c>
      <c r="AA7633">
        <v>0.99685190000000001</v>
      </c>
      <c r="AB7633">
        <v>30</v>
      </c>
      <c r="AC7633">
        <v>2.9977870000000002</v>
      </c>
      <c r="AD7633">
        <v>0.1039841</v>
      </c>
      <c r="AE7633">
        <v>-0.13064580000000001</v>
      </c>
      <c r="AF7633">
        <v>0.237701613844333</v>
      </c>
      <c r="AG7633">
        <v>0.1039841</v>
      </c>
      <c r="AH7633">
        <v>2.9875921193884598</v>
      </c>
      <c r="AI7633">
        <v>88.012881244072005</v>
      </c>
      <c r="AJ7633">
        <v>85.450962023914101</v>
      </c>
      <c r="AK7633">
        <v>2.9988366781318798</v>
      </c>
      <c r="AL7633">
        <v>88.053214356673394</v>
      </c>
      <c r="AM7633">
        <v>87.577662738096905</v>
      </c>
      <c r="AN7633">
        <v>0.99999994614855903</v>
      </c>
    </row>
    <row r="7634" spans="1:40" x14ac:dyDescent="0.25">
      <c r="A7634" t="str">
        <f>"20190312155025615"</f>
        <v>20190312155025615</v>
      </c>
      <c r="B7634" t="str">
        <f>"1552377025603547"</f>
        <v>1552377025603547</v>
      </c>
      <c r="C7634" t="s">
        <v>40</v>
      </c>
      <c r="D7634">
        <v>5.4456530000000001</v>
      </c>
      <c r="E7634">
        <v>0.51321240000000001</v>
      </c>
      <c r="F7634" t="s">
        <v>48</v>
      </c>
      <c r="G7634">
        <v>0</v>
      </c>
      <c r="H7634">
        <v>0</v>
      </c>
      <c r="I7634">
        <v>0</v>
      </c>
      <c r="J7634">
        <v>-146.57339999999999</v>
      </c>
      <c r="K7634">
        <v>1.1104149999999999</v>
      </c>
      <c r="L7634">
        <v>141.1095</v>
      </c>
      <c r="M7634">
        <v>0.99923200000000001</v>
      </c>
      <c r="N7634">
        <v>0</v>
      </c>
      <c r="O7634">
        <v>3.585265E-2</v>
      </c>
      <c r="P7634">
        <v>0.99975780000000003</v>
      </c>
      <c r="Q7634">
        <v>2.121932E-2</v>
      </c>
      <c r="R7634">
        <v>-5.8500230000000002E-3</v>
      </c>
      <c r="S7634">
        <v>2.9976959999999999</v>
      </c>
      <c r="T7634">
        <v>0.1100001</v>
      </c>
      <c r="U7634">
        <v>-0.12710569999999999</v>
      </c>
      <c r="V7634">
        <v>4.170223E-2</v>
      </c>
      <c r="W7634">
        <v>3.7000619999999998E-2</v>
      </c>
      <c r="X7634">
        <v>0.99844469999999996</v>
      </c>
      <c r="Y7634">
        <v>7.8084189999999998E-2</v>
      </c>
      <c r="Z7634">
        <v>2.7463000000000001E-3</v>
      </c>
      <c r="AA7634">
        <v>0.99694300000000002</v>
      </c>
      <c r="AB7634">
        <v>29</v>
      </c>
      <c r="AC7634">
        <v>2.9976959999999999</v>
      </c>
      <c r="AD7634">
        <v>0.1100001</v>
      </c>
      <c r="AE7634">
        <v>-0.12710569999999999</v>
      </c>
      <c r="AF7634">
        <v>0.23419795899587001</v>
      </c>
      <c r="AG7634">
        <v>0.1100001</v>
      </c>
      <c r="AH7634">
        <v>2.9871955314204399</v>
      </c>
      <c r="AI7634">
        <v>87.897546352663497</v>
      </c>
      <c r="AJ7634">
        <v>85.517145646618005</v>
      </c>
      <c r="AK7634">
        <v>2.9983805377129999</v>
      </c>
      <c r="AL7634">
        <v>87.879536548777395</v>
      </c>
      <c r="AM7634">
        <v>87.608306383588996</v>
      </c>
      <c r="AN7634">
        <v>0.99999997041272304</v>
      </c>
    </row>
    <row r="7635" spans="1:40" x14ac:dyDescent="0.25">
      <c r="A7635" t="str">
        <f>"20190312155025637"</f>
        <v>20190312155025637</v>
      </c>
      <c r="B7635" t="str">
        <f>"1552377025633803"</f>
        <v>1552377025633803</v>
      </c>
      <c r="C7635" t="s">
        <v>40</v>
      </c>
      <c r="D7635">
        <v>5.4520249999999999</v>
      </c>
      <c r="E7635">
        <v>0.5129049</v>
      </c>
      <c r="F7635" t="s">
        <v>48</v>
      </c>
      <c r="G7635">
        <v>0</v>
      </c>
      <c r="H7635">
        <v>0</v>
      </c>
      <c r="I7635">
        <v>0</v>
      </c>
      <c r="J7635">
        <v>-146.28749999999999</v>
      </c>
      <c r="K7635">
        <v>1.110573</v>
      </c>
      <c r="L7635">
        <v>141.1198</v>
      </c>
      <c r="M7635">
        <v>0.99922129999999998</v>
      </c>
      <c r="N7635">
        <v>0</v>
      </c>
      <c r="O7635">
        <v>3.5940029999999998E-2</v>
      </c>
      <c r="P7635">
        <v>0.99969889999999995</v>
      </c>
      <c r="Q7635">
        <v>2.3965899999999998E-2</v>
      </c>
      <c r="R7635">
        <v>-5.2861080000000003E-3</v>
      </c>
      <c r="S7635">
        <v>2.9975130000000001</v>
      </c>
      <c r="T7635">
        <v>0.1174523</v>
      </c>
      <c r="U7635">
        <v>-0.1250916</v>
      </c>
      <c r="V7635">
        <v>4.1218379999999999E-2</v>
      </c>
      <c r="W7635">
        <v>4.0226869999999998E-2</v>
      </c>
      <c r="X7635">
        <v>0.99834009999999995</v>
      </c>
      <c r="Y7635">
        <v>7.7495159999999993E-2</v>
      </c>
      <c r="Z7635">
        <v>2.924332E-3</v>
      </c>
      <c r="AA7635">
        <v>0.9969884</v>
      </c>
      <c r="AB7635">
        <v>29</v>
      </c>
      <c r="AC7635">
        <v>2.9975130000000001</v>
      </c>
      <c r="AD7635">
        <v>0.1174523</v>
      </c>
      <c r="AE7635">
        <v>-0.1250916</v>
      </c>
      <c r="AF7635">
        <v>0.23239956403438899</v>
      </c>
      <c r="AG7635">
        <v>0.1174523</v>
      </c>
      <c r="AH7635">
        <v>2.9865022602561599</v>
      </c>
      <c r="AI7635">
        <v>87.754629831559797</v>
      </c>
      <c r="AJ7635">
        <v>85.550402041568404</v>
      </c>
      <c r="AK7635">
        <v>2.9978326088449001</v>
      </c>
      <c r="AL7635">
        <v>87.694548188099603</v>
      </c>
      <c r="AM7635">
        <v>87.635776933570597</v>
      </c>
      <c r="AN7635">
        <v>1.0000000555939099</v>
      </c>
    </row>
    <row r="7636" spans="1:40" x14ac:dyDescent="0.25">
      <c r="A7636" t="str">
        <f>"20190312155025660"</f>
        <v>20190312155025660</v>
      </c>
      <c r="B7636" t="str">
        <f>"1552377025653323"</f>
        <v>1552377025653323</v>
      </c>
      <c r="C7636" t="s">
        <v>40</v>
      </c>
      <c r="D7636">
        <v>5.4871650000000001</v>
      </c>
      <c r="E7636">
        <v>0.51268119999999995</v>
      </c>
      <c r="F7636" t="s">
        <v>48</v>
      </c>
      <c r="G7636">
        <v>0</v>
      </c>
      <c r="H7636">
        <v>0</v>
      </c>
      <c r="I7636">
        <v>0</v>
      </c>
      <c r="J7636">
        <v>-145.98990000000001</v>
      </c>
      <c r="K7636">
        <v>1.1107320000000001</v>
      </c>
      <c r="L7636">
        <v>141.13059999999999</v>
      </c>
      <c r="M7636">
        <v>0.99920719999999996</v>
      </c>
      <c r="N7636">
        <v>0</v>
      </c>
      <c r="O7636">
        <v>3.6078829999999999E-2</v>
      </c>
      <c r="P7636">
        <v>0.99960990000000005</v>
      </c>
      <c r="Q7636">
        <v>2.7631380000000001E-2</v>
      </c>
      <c r="R7636">
        <v>-4.081182E-3</v>
      </c>
      <c r="S7636">
        <v>2.9972080000000001</v>
      </c>
      <c r="T7636">
        <v>0.12767919999999999</v>
      </c>
      <c r="U7636">
        <v>-0.121048</v>
      </c>
      <c r="V7636">
        <v>4.0144220000000001E-2</v>
      </c>
      <c r="W7636">
        <v>4.4442139999999998E-2</v>
      </c>
      <c r="X7636">
        <v>0.99820509999999996</v>
      </c>
      <c r="Y7636">
        <v>7.6280529999999999E-2</v>
      </c>
      <c r="Z7636">
        <v>3.1592159999999998E-3</v>
      </c>
      <c r="AA7636">
        <v>0.99708140000000001</v>
      </c>
      <c r="AB7636">
        <v>29</v>
      </c>
      <c r="AC7636">
        <v>2.9972080000000001</v>
      </c>
      <c r="AD7636">
        <v>0.12767919999999999</v>
      </c>
      <c r="AE7636">
        <v>-0.121048</v>
      </c>
      <c r="AF7636">
        <v>0.228705888690662</v>
      </c>
      <c r="AG7636">
        <v>0.12767919999999999</v>
      </c>
      <c r="AH7636">
        <v>2.9854792690094301</v>
      </c>
      <c r="AI7636">
        <v>87.558284269795493</v>
      </c>
      <c r="AJ7636">
        <v>85.619350352749805</v>
      </c>
      <c r="AK7636">
        <v>2.9969475850137099</v>
      </c>
      <c r="AL7636">
        <v>87.452814089852694</v>
      </c>
      <c r="AM7636">
        <v>87.697010811163906</v>
      </c>
      <c r="AN7636">
        <v>1.00000004193659</v>
      </c>
    </row>
    <row r="7637" spans="1:40" x14ac:dyDescent="0.25">
      <c r="A7637" t="str">
        <f>"20190312155025707"</f>
        <v>20190312155025707</v>
      </c>
      <c r="B7637" t="str">
        <f>"1552377025704076"</f>
        <v>1552377025704076</v>
      </c>
      <c r="C7637" t="s">
        <v>40</v>
      </c>
      <c r="D7637">
        <v>5.8278610000000004</v>
      </c>
      <c r="E7637">
        <v>0.50683659999999997</v>
      </c>
      <c r="F7637" t="s">
        <v>48</v>
      </c>
      <c r="G7637">
        <v>0</v>
      </c>
      <c r="H7637">
        <v>0</v>
      </c>
      <c r="I7637">
        <v>0</v>
      </c>
      <c r="J7637">
        <v>-145.3954</v>
      </c>
      <c r="K7637">
        <v>1.1110120000000001</v>
      </c>
      <c r="L7637">
        <v>141.1525</v>
      </c>
      <c r="M7637">
        <v>0.99917259999999997</v>
      </c>
      <c r="N7637">
        <v>0</v>
      </c>
      <c r="O7637">
        <v>3.6439810000000003E-2</v>
      </c>
      <c r="P7637">
        <v>0.99945989999999996</v>
      </c>
      <c r="Q7637">
        <v>3.2858770000000002E-2</v>
      </c>
      <c r="R7637">
        <v>4.1469139999999999E-4</v>
      </c>
      <c r="S7637">
        <v>2.99675</v>
      </c>
      <c r="T7637">
        <v>0.14232800000000001</v>
      </c>
      <c r="U7637">
        <v>-0.1156006</v>
      </c>
      <c r="V7637">
        <v>3.5998250000000002E-2</v>
      </c>
      <c r="W7637">
        <v>5.0903070000000002E-2</v>
      </c>
      <c r="X7637">
        <v>0.99805460000000001</v>
      </c>
      <c r="Y7637">
        <v>7.4814450000000005E-2</v>
      </c>
      <c r="Z7637">
        <v>3.5043219999999998E-3</v>
      </c>
      <c r="AA7637">
        <v>0.9971913</v>
      </c>
      <c r="AB7637">
        <v>29</v>
      </c>
      <c r="AC7637">
        <v>2.99675</v>
      </c>
      <c r="AD7637">
        <v>0.14232800000000001</v>
      </c>
      <c r="AE7637">
        <v>-0.1156006</v>
      </c>
      <c r="AF7637">
        <v>0.22423755829266101</v>
      </c>
      <c r="AG7637">
        <v>0.14232800000000001</v>
      </c>
      <c r="AH7637">
        <v>2.9838253179910099</v>
      </c>
      <c r="AI7637">
        <v>87.276737865236001</v>
      </c>
      <c r="AJ7637">
        <v>85.702241554628898</v>
      </c>
      <c r="AK7637">
        <v>2.9956223511012299</v>
      </c>
      <c r="AL7637">
        <v>87.0822079114037</v>
      </c>
      <c r="AM7637">
        <v>87.934327358705403</v>
      </c>
      <c r="AN7637">
        <v>0.99999999055982303</v>
      </c>
    </row>
    <row r="7638" spans="1:40" x14ac:dyDescent="0.25">
      <c r="A7638" t="str">
        <f>"20190312155025730"</f>
        <v>20190312155025730</v>
      </c>
      <c r="B7638" t="str">
        <f>"1552377025723596"</f>
        <v>1552377025723596</v>
      </c>
      <c r="C7638" t="s">
        <v>40</v>
      </c>
      <c r="D7638">
        <v>5.7398369999999996</v>
      </c>
      <c r="E7638">
        <v>0.50570490000000001</v>
      </c>
      <c r="F7638" t="s">
        <v>48</v>
      </c>
      <c r="G7638">
        <v>0</v>
      </c>
      <c r="H7638">
        <v>0</v>
      </c>
      <c r="I7638">
        <v>0</v>
      </c>
      <c r="J7638">
        <v>-145.10409999999999</v>
      </c>
      <c r="K7638">
        <v>1.111116</v>
      </c>
      <c r="L7638">
        <v>141.16329999999999</v>
      </c>
      <c r="M7638">
        <v>0.99915430000000005</v>
      </c>
      <c r="N7638">
        <v>0</v>
      </c>
      <c r="O7638">
        <v>3.6637120000000002E-2</v>
      </c>
      <c r="P7638">
        <v>0.99938389999999999</v>
      </c>
      <c r="Q7638">
        <v>3.503473E-2</v>
      </c>
      <c r="R7638">
        <v>2.1174150000000001E-3</v>
      </c>
      <c r="S7638">
        <v>2.9876100000000001</v>
      </c>
      <c r="T7638">
        <v>0.42766670000000001</v>
      </c>
      <c r="U7638">
        <v>-6.4163209999999998E-2</v>
      </c>
      <c r="V7638">
        <v>3.4489020000000002E-2</v>
      </c>
      <c r="W7638">
        <v>5.3682550000000002E-2</v>
      </c>
      <c r="X7638">
        <v>0.99796229999999997</v>
      </c>
      <c r="Y7638">
        <v>5.713654E-2</v>
      </c>
      <c r="Z7638">
        <v>9.2860939999999999E-3</v>
      </c>
      <c r="AA7638">
        <v>0.99832319999999997</v>
      </c>
      <c r="AB7638">
        <v>28</v>
      </c>
      <c r="AC7638">
        <v>2.9876100000000001</v>
      </c>
      <c r="AD7638">
        <v>0.42766670000000001</v>
      </c>
      <c r="AE7638">
        <v>-6.4163209999999998E-2</v>
      </c>
      <c r="AF7638">
        <v>0.17011245049814699</v>
      </c>
      <c r="AG7638">
        <v>0.42766670000000001</v>
      </c>
      <c r="AH7638">
        <v>2.92337706987293</v>
      </c>
      <c r="AI7638">
        <v>81.690982947387099</v>
      </c>
      <c r="AJ7638">
        <v>86.669691824992995</v>
      </c>
      <c r="AK7638">
        <v>2.9593868528399998</v>
      </c>
      <c r="AL7638">
        <v>86.922737319067096</v>
      </c>
      <c r="AM7638">
        <v>88.020677597720706</v>
      </c>
      <c r="AN7638">
        <v>1.00000003044817</v>
      </c>
    </row>
    <row r="7639" spans="1:40" x14ac:dyDescent="0.25">
      <c r="A7639" t="str">
        <f>"20190312155025751"</f>
        <v>20190312155025751</v>
      </c>
      <c r="B7639" t="str">
        <f>"1552377025743116"</f>
        <v>1552377025743116</v>
      </c>
      <c r="C7639" t="s">
        <v>40</v>
      </c>
      <c r="D7639">
        <v>5.6082130000000001</v>
      </c>
      <c r="E7639">
        <v>0.50525500000000001</v>
      </c>
      <c r="F7639" t="s">
        <v>48</v>
      </c>
      <c r="G7639">
        <v>0</v>
      </c>
      <c r="H7639">
        <v>0</v>
      </c>
      <c r="I7639">
        <v>0</v>
      </c>
      <c r="J7639">
        <v>-144.83240000000001</v>
      </c>
      <c r="K7639">
        <v>1.1111979999999999</v>
      </c>
      <c r="L7639">
        <v>141.17349999999999</v>
      </c>
      <c r="M7639">
        <v>0.99913689999999999</v>
      </c>
      <c r="N7639">
        <v>0</v>
      </c>
      <c r="O7639">
        <v>3.6822550000000003E-2</v>
      </c>
      <c r="P7639">
        <v>0.99928349999999999</v>
      </c>
      <c r="Q7639">
        <v>3.7744880000000001E-2</v>
      </c>
      <c r="R7639">
        <v>2.793069E-3</v>
      </c>
      <c r="S7639">
        <v>2.9869539999999999</v>
      </c>
      <c r="T7639">
        <v>0.42851600000000001</v>
      </c>
      <c r="U7639">
        <v>-5.0064089999999999E-2</v>
      </c>
      <c r="V7639">
        <v>3.399427E-2</v>
      </c>
      <c r="W7639">
        <v>5.6948180000000001E-2</v>
      </c>
      <c r="X7639">
        <v>0.99779819999999997</v>
      </c>
      <c r="Y7639">
        <v>5.2655449999999999E-2</v>
      </c>
      <c r="Z7639">
        <v>9.0134140000000008E-3</v>
      </c>
      <c r="AA7639">
        <v>0.99857209999999996</v>
      </c>
      <c r="AB7639">
        <v>28</v>
      </c>
      <c r="AC7639">
        <v>2.9869539999999999</v>
      </c>
      <c r="AD7639">
        <v>0.42851600000000001</v>
      </c>
      <c r="AE7639">
        <v>-5.0064089999999999E-2</v>
      </c>
      <c r="AF7639">
        <v>0.15681121327426101</v>
      </c>
      <c r="AG7639">
        <v>0.42851600000000001</v>
      </c>
      <c r="AH7639">
        <v>2.9229420938688202</v>
      </c>
      <c r="AI7639">
        <v>81.671412738383694</v>
      </c>
      <c r="AJ7639">
        <v>86.929116087663999</v>
      </c>
      <c r="AK7639">
        <v>2.9583451798217801</v>
      </c>
      <c r="AL7639">
        <v>86.735343336252697</v>
      </c>
      <c r="AM7639">
        <v>88.048728554006402</v>
      </c>
      <c r="AN7639">
        <v>0.99999997676069197</v>
      </c>
    </row>
    <row r="7640" spans="1:40" x14ac:dyDescent="0.25">
      <c r="A7640" t="str">
        <f>"20190312155025773"</f>
        <v>20190312155025773</v>
      </c>
      <c r="B7640" t="str">
        <f>"1552377025763612"</f>
        <v>1552377025763612</v>
      </c>
      <c r="C7640" t="s">
        <v>40</v>
      </c>
      <c r="D7640">
        <v>5.7223800000000002</v>
      </c>
      <c r="E7640">
        <v>0.50614879999999995</v>
      </c>
      <c r="F7640" t="s">
        <v>48</v>
      </c>
      <c r="G7640">
        <v>0</v>
      </c>
      <c r="H7640">
        <v>0</v>
      </c>
      <c r="I7640">
        <v>0</v>
      </c>
      <c r="J7640">
        <v>-144.5615</v>
      </c>
      <c r="K7640">
        <v>1.111275</v>
      </c>
      <c r="L7640">
        <v>141.18369999999999</v>
      </c>
      <c r="M7640">
        <v>0.99911989999999995</v>
      </c>
      <c r="N7640">
        <v>0</v>
      </c>
      <c r="O7640">
        <v>3.7002460000000001E-2</v>
      </c>
      <c r="P7640">
        <v>0.99917920000000005</v>
      </c>
      <c r="Q7640">
        <v>4.0388130000000001E-2</v>
      </c>
      <c r="R7640">
        <v>3.1419310000000002E-3</v>
      </c>
      <c r="S7640">
        <v>2.985306</v>
      </c>
      <c r="T7640">
        <v>0.4491407</v>
      </c>
      <c r="U7640">
        <v>-4.5181270000000003E-2</v>
      </c>
      <c r="V7640">
        <v>3.3820860000000001E-2</v>
      </c>
      <c r="W7640">
        <v>6.0128929999999997E-2</v>
      </c>
      <c r="X7640">
        <v>0.99761750000000005</v>
      </c>
      <c r="Y7640">
        <v>5.113612E-2</v>
      </c>
      <c r="Z7640">
        <v>9.3610729999999993E-3</v>
      </c>
      <c r="AA7640">
        <v>0.99864779999999997</v>
      </c>
      <c r="AB7640">
        <v>28</v>
      </c>
      <c r="AC7640">
        <v>2.985306</v>
      </c>
      <c r="AD7640">
        <v>0.4491407</v>
      </c>
      <c r="AE7640">
        <v>-4.5181270000000003E-2</v>
      </c>
      <c r="AF7640">
        <v>0.15219142612747999</v>
      </c>
      <c r="AG7640">
        <v>0.4491407</v>
      </c>
      <c r="AH7640">
        <v>2.9156079648817501</v>
      </c>
      <c r="AI7640">
        <v>81.254317963089804</v>
      </c>
      <c r="AJ7640">
        <v>87.011937258980197</v>
      </c>
      <c r="AK7640">
        <v>2.9539227145382698</v>
      </c>
      <c r="AL7640">
        <v>86.552786752071796</v>
      </c>
      <c r="AM7640">
        <v>88.058323287810893</v>
      </c>
      <c r="AN7640">
        <v>1.0000000075501601</v>
      </c>
    </row>
    <row r="7641" spans="1:40" x14ac:dyDescent="0.25">
      <c r="A7641" t="str">
        <f>"20190312155025795"</f>
        <v>20190312155025795</v>
      </c>
      <c r="B7641" t="str">
        <f>"1552377025783132"</f>
        <v>1552377025783132</v>
      </c>
      <c r="C7641" t="s">
        <v>40</v>
      </c>
      <c r="D7641">
        <v>5.46516</v>
      </c>
      <c r="E7641">
        <v>0.51191509999999996</v>
      </c>
      <c r="F7641" t="s">
        <v>48</v>
      </c>
      <c r="G7641">
        <v>0</v>
      </c>
      <c r="H7641">
        <v>0</v>
      </c>
      <c r="I7641">
        <v>0</v>
      </c>
      <c r="J7641">
        <v>-144.28579999999999</v>
      </c>
      <c r="K7641">
        <v>1.1113409999999999</v>
      </c>
      <c r="L7641">
        <v>141.19409999999999</v>
      </c>
      <c r="M7641">
        <v>0.9991023</v>
      </c>
      <c r="N7641">
        <v>0</v>
      </c>
      <c r="O7641">
        <v>3.7179829999999997E-2</v>
      </c>
      <c r="P7641">
        <v>0.99910209999999999</v>
      </c>
      <c r="Q7641">
        <v>4.2240659999999999E-2</v>
      </c>
      <c r="R7641">
        <v>3.256049E-3</v>
      </c>
      <c r="S7641">
        <v>2.984146</v>
      </c>
      <c r="T7641">
        <v>0.4575109</v>
      </c>
      <c r="U7641">
        <v>-5.1254269999999998E-2</v>
      </c>
      <c r="V7641">
        <v>3.3881330000000001E-2</v>
      </c>
      <c r="W7641">
        <v>6.2519099999999994E-2</v>
      </c>
      <c r="X7641">
        <v>0.99746849999999998</v>
      </c>
      <c r="Y7641">
        <v>5.3286300000000002E-2</v>
      </c>
      <c r="Z7641">
        <v>9.7280409999999998E-3</v>
      </c>
      <c r="AA7641">
        <v>0.99853190000000003</v>
      </c>
      <c r="AB7641">
        <v>28</v>
      </c>
      <c r="AC7641">
        <v>2.984146</v>
      </c>
      <c r="AD7641">
        <v>0.4575109</v>
      </c>
      <c r="AE7641">
        <v>-5.1254269999999998E-2</v>
      </c>
      <c r="AF7641">
        <v>0.15846802178015801</v>
      </c>
      <c r="AG7641">
        <v>0.4575109</v>
      </c>
      <c r="AH7641">
        <v>2.9117548577619798</v>
      </c>
      <c r="AI7641">
        <v>81.083364096637794</v>
      </c>
      <c r="AJ7641">
        <v>86.884833761676404</v>
      </c>
      <c r="AK7641">
        <v>2.95173587728411</v>
      </c>
      <c r="AL7641">
        <v>86.415581791431705</v>
      </c>
      <c r="AM7641">
        <v>88.0545639927888</v>
      </c>
      <c r="AN7641">
        <v>0.99999999543981399</v>
      </c>
    </row>
    <row r="7642" spans="1:40" x14ac:dyDescent="0.25">
      <c r="A7642" t="str">
        <f>"20190312155025818"</f>
        <v>20190312155025818</v>
      </c>
      <c r="B7642" t="str">
        <f>"1552377025813388"</f>
        <v>1552377025813388</v>
      </c>
      <c r="C7642" t="s">
        <v>40</v>
      </c>
      <c r="D7642">
        <v>5.5502640000000003</v>
      </c>
      <c r="E7642">
        <v>0.51094989999999996</v>
      </c>
      <c r="F7642" t="s">
        <v>48</v>
      </c>
      <c r="G7642">
        <v>0</v>
      </c>
      <c r="H7642">
        <v>0</v>
      </c>
      <c r="I7642">
        <v>0</v>
      </c>
      <c r="J7642">
        <v>-144.01050000000001</v>
      </c>
      <c r="K7642">
        <v>1.111399</v>
      </c>
      <c r="L7642">
        <v>141.2046</v>
      </c>
      <c r="M7642">
        <v>0.99908490000000005</v>
      </c>
      <c r="N7642">
        <v>0</v>
      </c>
      <c r="O7642">
        <v>3.7351210000000003E-2</v>
      </c>
      <c r="P7642">
        <v>0.99905290000000002</v>
      </c>
      <c r="Q7642">
        <v>4.340157E-2</v>
      </c>
      <c r="R7642">
        <v>3.1631160000000001E-3</v>
      </c>
      <c r="S7642">
        <v>2.9898220000000002</v>
      </c>
      <c r="T7642">
        <v>0.3109344</v>
      </c>
      <c r="U7642">
        <v>-9.1506959999999998E-2</v>
      </c>
      <c r="V7642">
        <v>3.4144250000000001E-2</v>
      </c>
      <c r="W7642">
        <v>6.4213709999999993E-2</v>
      </c>
      <c r="X7642">
        <v>0.99735189999999996</v>
      </c>
      <c r="Y7642">
        <v>6.7348030000000003E-2</v>
      </c>
      <c r="Z7642">
        <v>7.3655939999999996E-3</v>
      </c>
      <c r="AA7642">
        <v>0.99770239999999999</v>
      </c>
      <c r="AB7642">
        <v>28</v>
      </c>
      <c r="AC7642">
        <v>2.9898220000000002</v>
      </c>
      <c r="AD7642">
        <v>0.3109344</v>
      </c>
      <c r="AE7642">
        <v>-9.1506959999999998E-2</v>
      </c>
      <c r="AF7642">
        <v>0.20096925290161699</v>
      </c>
      <c r="AG7642">
        <v>0.3109344</v>
      </c>
      <c r="AH7642">
        <v>2.9524141855345798</v>
      </c>
      <c r="AI7642">
        <v>84.001817546981798</v>
      </c>
      <c r="AJ7642">
        <v>86.105913904824206</v>
      </c>
      <c r="AK7642">
        <v>2.9755366515405299</v>
      </c>
      <c r="AL7642">
        <v>86.318292354100095</v>
      </c>
      <c r="AM7642">
        <v>88.039250069865503</v>
      </c>
      <c r="AN7642">
        <v>1.0000000213968101</v>
      </c>
    </row>
    <row r="7643" spans="1:40" x14ac:dyDescent="0.25">
      <c r="A7643" t="str">
        <f>"20190312155025839"</f>
        <v>20190312155025839</v>
      </c>
      <c r="B7643" t="str">
        <f>"1552377025833883"</f>
        <v>1552377025833883</v>
      </c>
      <c r="C7643" t="s">
        <v>40</v>
      </c>
      <c r="D7643">
        <v>5.4403129999999997</v>
      </c>
      <c r="E7643">
        <v>0.51186390000000004</v>
      </c>
      <c r="F7643" t="s">
        <v>48</v>
      </c>
      <c r="G7643">
        <v>0</v>
      </c>
      <c r="H7643">
        <v>0</v>
      </c>
      <c r="I7643">
        <v>0</v>
      </c>
      <c r="J7643">
        <v>-143.74520000000001</v>
      </c>
      <c r="K7643">
        <v>1.1114470000000001</v>
      </c>
      <c r="L7643">
        <v>141.21469999999999</v>
      </c>
      <c r="M7643">
        <v>0.99906779999999995</v>
      </c>
      <c r="N7643">
        <v>0</v>
      </c>
      <c r="O7643">
        <v>3.7512919999999998E-2</v>
      </c>
      <c r="P7643">
        <v>0.9990677</v>
      </c>
      <c r="Q7643">
        <v>4.3085529999999997E-2</v>
      </c>
      <c r="R7643">
        <v>2.8139559999999998E-3</v>
      </c>
      <c r="S7643">
        <v>2.9876399999999999</v>
      </c>
      <c r="T7643">
        <v>0.35622300000000001</v>
      </c>
      <c r="U7643">
        <v>-8.5372920000000005E-2</v>
      </c>
      <c r="V7643">
        <v>3.4656220000000001E-2</v>
      </c>
      <c r="W7643">
        <v>6.4423099999999997E-2</v>
      </c>
      <c r="X7643">
        <v>0.99732069999999995</v>
      </c>
      <c r="Y7643">
        <v>6.5321799999999999E-2</v>
      </c>
      <c r="Z7643">
        <v>8.3365920000000003E-3</v>
      </c>
      <c r="AA7643">
        <v>0.99782939999999998</v>
      </c>
      <c r="AB7643">
        <v>27</v>
      </c>
      <c r="AC7643">
        <v>2.9876399999999999</v>
      </c>
      <c r="AD7643">
        <v>0.35622300000000001</v>
      </c>
      <c r="AE7643">
        <v>-8.5372920000000005E-2</v>
      </c>
      <c r="AF7643">
        <v>0.19464855224286401</v>
      </c>
      <c r="AG7643">
        <v>0.35622300000000001</v>
      </c>
      <c r="AH7643">
        <v>2.9405629538408999</v>
      </c>
      <c r="AI7643">
        <v>83.107721643280101</v>
      </c>
      <c r="AJ7643">
        <v>86.212869979374503</v>
      </c>
      <c r="AK7643">
        <v>2.96844965766994</v>
      </c>
      <c r="AL7643">
        <v>86.306270160289898</v>
      </c>
      <c r="AM7643">
        <v>88.009811205188797</v>
      </c>
      <c r="AN7643">
        <v>0.99999998402339396</v>
      </c>
    </row>
    <row r="7644" spans="1:40" x14ac:dyDescent="0.25">
      <c r="A7644" t="str">
        <f>"20190312155025864"</f>
        <v>20190312155025864</v>
      </c>
      <c r="B7644" t="str">
        <f>"1552377025853403"</f>
        <v>1552377025853403</v>
      </c>
      <c r="C7644" t="s">
        <v>40</v>
      </c>
      <c r="D7644">
        <v>5.4563670000000002</v>
      </c>
      <c r="E7644">
        <v>0.51250720000000005</v>
      </c>
      <c r="F7644" t="s">
        <v>48</v>
      </c>
      <c r="G7644">
        <v>0</v>
      </c>
      <c r="H7644">
        <v>0</v>
      </c>
      <c r="I7644">
        <v>0</v>
      </c>
      <c r="J7644">
        <v>-143.46850000000001</v>
      </c>
      <c r="K7644">
        <v>1.1115139999999999</v>
      </c>
      <c r="L7644">
        <v>141.2253</v>
      </c>
      <c r="M7644">
        <v>0.99904879999999996</v>
      </c>
      <c r="N7644">
        <v>0</v>
      </c>
      <c r="O7644">
        <v>3.7679339999999999E-2</v>
      </c>
      <c r="P7644">
        <v>0.99906799999999996</v>
      </c>
      <c r="Q7644">
        <v>4.3102250000000002E-2</v>
      </c>
      <c r="R7644">
        <v>2.337025E-3</v>
      </c>
      <c r="S7644">
        <v>2.986542</v>
      </c>
      <c r="T7644">
        <v>0.38311820000000002</v>
      </c>
      <c r="U7644">
        <v>-9.4284060000000003E-2</v>
      </c>
      <c r="V7644">
        <v>3.5300379999999999E-2</v>
      </c>
      <c r="W7644">
        <v>6.5013609999999999E-2</v>
      </c>
      <c r="X7644">
        <v>0.99725980000000003</v>
      </c>
      <c r="Y7644">
        <v>6.8333089999999999E-2</v>
      </c>
      <c r="Z7644">
        <v>9.1776489999999995E-3</v>
      </c>
      <c r="AA7644">
        <v>0.99762030000000002</v>
      </c>
      <c r="AB7644">
        <v>27</v>
      </c>
      <c r="AC7644">
        <v>2.986542</v>
      </c>
      <c r="AD7644">
        <v>0.38311820000000002</v>
      </c>
      <c r="AE7644">
        <v>-9.4284060000000003E-2</v>
      </c>
      <c r="AF7644">
        <v>0.20343076800288701</v>
      </c>
      <c r="AG7644">
        <v>0.38311820000000002</v>
      </c>
      <c r="AH7644">
        <v>2.9326545993790498</v>
      </c>
      <c r="AI7644">
        <v>82.574747190142503</v>
      </c>
      <c r="AJ7644">
        <v>86.031894430940199</v>
      </c>
      <c r="AK7644">
        <v>2.9645617942287101</v>
      </c>
      <c r="AL7644">
        <v>86.272365399740295</v>
      </c>
      <c r="AM7644">
        <v>87.972726180254298</v>
      </c>
      <c r="AN7644">
        <v>0.99999999750470803</v>
      </c>
    </row>
    <row r="7645" spans="1:40" x14ac:dyDescent="0.25">
      <c r="A7645" t="str">
        <f>"20190312155025888"</f>
        <v>20190312155025888</v>
      </c>
      <c r="B7645" t="str">
        <f>"1552377025883660"</f>
        <v>1552377025883660</v>
      </c>
      <c r="C7645" t="s">
        <v>40</v>
      </c>
      <c r="D7645">
        <v>5.4571120000000004</v>
      </c>
      <c r="E7645">
        <v>0.51221939999999999</v>
      </c>
      <c r="F7645" t="s">
        <v>48</v>
      </c>
      <c r="G7645">
        <v>0</v>
      </c>
      <c r="H7645">
        <v>0</v>
      </c>
      <c r="I7645">
        <v>0</v>
      </c>
      <c r="J7645">
        <v>-143.18010000000001</v>
      </c>
      <c r="K7645">
        <v>1.1115950000000001</v>
      </c>
      <c r="L7645">
        <v>141.2364</v>
      </c>
      <c r="M7645">
        <v>0.99902800000000003</v>
      </c>
      <c r="N7645">
        <v>0</v>
      </c>
      <c r="O7645">
        <v>3.7850130000000003E-2</v>
      </c>
      <c r="P7645">
        <v>0.99910279999999996</v>
      </c>
      <c r="Q7645">
        <v>4.2314480000000002E-2</v>
      </c>
      <c r="R7645">
        <v>1.755979E-3</v>
      </c>
      <c r="S7645">
        <v>2.9861599999999999</v>
      </c>
      <c r="T7645">
        <v>0.39147710000000002</v>
      </c>
      <c r="U7645">
        <v>-0.10110470000000001</v>
      </c>
      <c r="V7645">
        <v>3.6054469999999998E-2</v>
      </c>
      <c r="W7645">
        <v>6.4877039999999997E-2</v>
      </c>
      <c r="X7645">
        <v>0.99724170000000001</v>
      </c>
      <c r="Y7645">
        <v>7.0724010000000004E-2</v>
      </c>
      <c r="Z7645">
        <v>9.5554730000000001E-3</v>
      </c>
      <c r="AA7645">
        <v>0.99745019999999995</v>
      </c>
      <c r="AB7645">
        <v>27</v>
      </c>
      <c r="AC7645">
        <v>2.9861599999999999</v>
      </c>
      <c r="AD7645">
        <v>0.39147710000000002</v>
      </c>
      <c r="AE7645">
        <v>-0.10110470000000001</v>
      </c>
      <c r="AF7645">
        <v>0.210474445117975</v>
      </c>
      <c r="AG7645">
        <v>0.39147710000000002</v>
      </c>
      <c r="AH7645">
        <v>2.9298944298201701</v>
      </c>
      <c r="AI7645">
        <v>82.408848104866607</v>
      </c>
      <c r="AJ7645">
        <v>85.891108864823295</v>
      </c>
      <c r="AK7645">
        <v>2.96341613374892</v>
      </c>
      <c r="AL7645">
        <v>86.280206780058506</v>
      </c>
      <c r="AM7645">
        <v>87.929419121204006</v>
      </c>
      <c r="AN7645">
        <v>0.99999998167251603</v>
      </c>
    </row>
    <row r="7646" spans="1:40" x14ac:dyDescent="0.25">
      <c r="A7646" t="str">
        <f>"20190312155025909"</f>
        <v>20190312155025909</v>
      </c>
      <c r="B7646" t="str">
        <f>"1552377025903180"</f>
        <v>1552377025903180</v>
      </c>
      <c r="C7646" t="s">
        <v>40</v>
      </c>
      <c r="D7646">
        <v>5.9540829999999998</v>
      </c>
      <c r="E7646">
        <v>0.51220770000000004</v>
      </c>
      <c r="F7646" t="s">
        <v>48</v>
      </c>
      <c r="G7646">
        <v>0</v>
      </c>
      <c r="H7646">
        <v>0</v>
      </c>
      <c r="I7646">
        <v>0</v>
      </c>
      <c r="J7646">
        <v>-142.93709999999999</v>
      </c>
      <c r="K7646">
        <v>1.1116699999999999</v>
      </c>
      <c r="L7646">
        <v>141.2458</v>
      </c>
      <c r="M7646">
        <v>0.99900869999999997</v>
      </c>
      <c r="N7646">
        <v>0</v>
      </c>
      <c r="O7646">
        <v>3.7992440000000002E-2</v>
      </c>
      <c r="P7646">
        <v>0.99916070000000001</v>
      </c>
      <c r="Q7646">
        <v>4.0947339999999999E-2</v>
      </c>
      <c r="R7646">
        <v>1.1675310000000001E-3</v>
      </c>
      <c r="S7646">
        <v>2.985916</v>
      </c>
      <c r="T7646">
        <v>0.40050200000000002</v>
      </c>
      <c r="U7646">
        <v>-0.1009521</v>
      </c>
      <c r="V7646">
        <v>3.6788130000000002E-2</v>
      </c>
      <c r="W7646">
        <v>6.4110449999999999E-2</v>
      </c>
      <c r="X7646">
        <v>0.9972645</v>
      </c>
      <c r="Y7646">
        <v>7.077348E-2</v>
      </c>
      <c r="Z7646">
        <v>9.7969960000000005E-3</v>
      </c>
      <c r="AA7646">
        <v>0.99744429999999995</v>
      </c>
      <c r="AB7646">
        <v>26</v>
      </c>
      <c r="AC7646">
        <v>2.985916</v>
      </c>
      <c r="AD7646">
        <v>0.40050200000000002</v>
      </c>
      <c r="AE7646">
        <v>-0.1009521</v>
      </c>
      <c r="AF7646">
        <v>0.210567956515543</v>
      </c>
      <c r="AG7646">
        <v>0.40050200000000002</v>
      </c>
      <c r="AH7646">
        <v>2.9273175327974101</v>
      </c>
      <c r="AI7646">
        <v>82.229257774090598</v>
      </c>
      <c r="AJ7646">
        <v>85.885683379793903</v>
      </c>
      <c r="AK7646">
        <v>2.9620818108449001</v>
      </c>
      <c r="AL7646">
        <v>86.324220851952404</v>
      </c>
      <c r="AM7646">
        <v>87.887371641117497</v>
      </c>
      <c r="AN7646">
        <v>0.99999999963417396</v>
      </c>
    </row>
    <row r="7647" spans="1:40" x14ac:dyDescent="0.25">
      <c r="A7647" t="str">
        <f>"20190312155025930"</f>
        <v>20190312155025930</v>
      </c>
      <c r="B7647" t="str">
        <f>"1552377025923676"</f>
        <v>1552377025923676</v>
      </c>
      <c r="C7647" t="s">
        <v>40</v>
      </c>
      <c r="D7647">
        <v>5.4733280000000004</v>
      </c>
      <c r="E7647">
        <v>0.51231210000000005</v>
      </c>
      <c r="F7647" t="s">
        <v>48</v>
      </c>
      <c r="G7647">
        <v>0</v>
      </c>
      <c r="H7647">
        <v>0</v>
      </c>
      <c r="I7647">
        <v>0</v>
      </c>
      <c r="J7647">
        <v>-142.691</v>
      </c>
      <c r="K7647">
        <v>1.1117490000000001</v>
      </c>
      <c r="L7647">
        <v>141.25530000000001</v>
      </c>
      <c r="M7647">
        <v>0.99898830000000005</v>
      </c>
      <c r="N7647">
        <v>0</v>
      </c>
      <c r="O7647">
        <v>3.8135860000000001E-2</v>
      </c>
      <c r="P7647">
        <v>0.99921380000000004</v>
      </c>
      <c r="Q7647">
        <v>3.964202E-2</v>
      </c>
      <c r="R7647">
        <v>8.3810989999999995E-4</v>
      </c>
      <c r="S7647">
        <v>2.9862820000000001</v>
      </c>
      <c r="T7647">
        <v>0.3992831</v>
      </c>
      <c r="U7647">
        <v>-0.10273740000000001</v>
      </c>
      <c r="V7647">
        <v>3.7263890000000001E-2</v>
      </c>
      <c r="W7647">
        <v>6.3446139999999998E-2</v>
      </c>
      <c r="X7647">
        <v>0.99728930000000005</v>
      </c>
      <c r="Y7647">
        <v>7.1507039999999994E-2</v>
      </c>
      <c r="Z7647">
        <v>9.8341420000000006E-3</v>
      </c>
      <c r="AA7647">
        <v>0.99739160000000004</v>
      </c>
      <c r="AB7647">
        <v>26</v>
      </c>
      <c r="AC7647">
        <v>2.9862820000000001</v>
      </c>
      <c r="AD7647">
        <v>0.3992831</v>
      </c>
      <c r="AE7647">
        <v>-0.10273740000000001</v>
      </c>
      <c r="AF7647">
        <v>0.21277999370878001</v>
      </c>
      <c r="AG7647">
        <v>0.3992831</v>
      </c>
      <c r="AH7647">
        <v>2.9279083302648199</v>
      </c>
      <c r="AI7647">
        <v>82.254571942458696</v>
      </c>
      <c r="AJ7647">
        <v>85.843448782854296</v>
      </c>
      <c r="AK7647">
        <v>2.9626591957399402</v>
      </c>
      <c r="AL7647">
        <v>86.362360586078395</v>
      </c>
      <c r="AM7647">
        <v>87.860128621441902</v>
      </c>
      <c r="AN7647">
        <v>0.99999997903666005</v>
      </c>
    </row>
    <row r="7648" spans="1:40" x14ac:dyDescent="0.25">
      <c r="A7648" t="str">
        <f>"20190312155025953"</f>
        <v>20190312155025953</v>
      </c>
      <c r="B7648" t="str">
        <f>"1552377025943196"</f>
        <v>1552377025943196</v>
      </c>
      <c r="C7648" t="s">
        <v>40</v>
      </c>
      <c r="D7648">
        <v>5.6033289999999996</v>
      </c>
      <c r="E7648">
        <v>0.51291260000000005</v>
      </c>
      <c r="F7648" t="s">
        <v>48</v>
      </c>
      <c r="G7648">
        <v>0</v>
      </c>
      <c r="H7648">
        <v>0</v>
      </c>
      <c r="I7648">
        <v>0</v>
      </c>
      <c r="J7648">
        <v>-142.41829999999999</v>
      </c>
      <c r="K7648">
        <v>1.111837</v>
      </c>
      <c r="L7648">
        <v>141.26589999999999</v>
      </c>
      <c r="M7648">
        <v>0.99896510000000005</v>
      </c>
      <c r="N7648">
        <v>0</v>
      </c>
      <c r="O7648">
        <v>3.8294769999999999E-2</v>
      </c>
      <c r="P7648">
        <v>0.99922679999999997</v>
      </c>
      <c r="Q7648">
        <v>3.9283100000000001E-2</v>
      </c>
      <c r="R7648">
        <v>1.699171E-3</v>
      </c>
      <c r="S7648">
        <v>2.986618</v>
      </c>
      <c r="T7648">
        <v>0.39859810000000001</v>
      </c>
      <c r="U7648">
        <v>-0.1048737</v>
      </c>
      <c r="V7648">
        <v>3.6563749999999999E-2</v>
      </c>
      <c r="W7648">
        <v>6.3791630000000002E-2</v>
      </c>
      <c r="X7648">
        <v>0.99729319999999999</v>
      </c>
      <c r="Y7648">
        <v>7.2369509999999998E-2</v>
      </c>
      <c r="Z7648">
        <v>9.8947029999999995E-3</v>
      </c>
      <c r="AA7648">
        <v>0.99732880000000002</v>
      </c>
      <c r="AB7648">
        <v>26</v>
      </c>
      <c r="AC7648">
        <v>2.986618</v>
      </c>
      <c r="AD7648">
        <v>0.39859810000000001</v>
      </c>
      <c r="AE7648">
        <v>-0.1048737</v>
      </c>
      <c r="AF7648">
        <v>0.21537157185998501</v>
      </c>
      <c r="AG7648">
        <v>0.39859810000000001</v>
      </c>
      <c r="AH7648">
        <v>2.9283139281466699</v>
      </c>
      <c r="AI7648">
        <v>82.269242909878599</v>
      </c>
      <c r="AJ7648">
        <v>85.793584885184899</v>
      </c>
      <c r="AK7648">
        <v>2.9631550450603901</v>
      </c>
      <c r="AL7648">
        <v>86.342525374607405</v>
      </c>
      <c r="AM7648">
        <v>87.900305892524301</v>
      </c>
      <c r="AN7648">
        <v>1.00000000331917</v>
      </c>
    </row>
    <row r="7649" spans="1:40" x14ac:dyDescent="0.25">
      <c r="A7649" t="str">
        <f>"20190312155025975"</f>
        <v>20190312155025975</v>
      </c>
      <c r="B7649" t="str">
        <f>"1552377025963692"</f>
        <v>1552377025963692</v>
      </c>
      <c r="C7649" t="s">
        <v>40</v>
      </c>
      <c r="D7649">
        <v>5.5056000000000003</v>
      </c>
      <c r="E7649">
        <v>0.51322599999999996</v>
      </c>
      <c r="F7649" t="s">
        <v>48</v>
      </c>
      <c r="G7649">
        <v>0</v>
      </c>
      <c r="H7649">
        <v>0</v>
      </c>
      <c r="I7649">
        <v>0</v>
      </c>
      <c r="J7649">
        <v>-142.1814</v>
      </c>
      <c r="K7649">
        <v>1.111901</v>
      </c>
      <c r="L7649">
        <v>141.27520000000001</v>
      </c>
      <c r="M7649">
        <v>0.99894490000000002</v>
      </c>
      <c r="N7649">
        <v>0</v>
      </c>
      <c r="O7649">
        <v>3.843477E-2</v>
      </c>
      <c r="P7649">
        <v>0.9992181</v>
      </c>
      <c r="Q7649">
        <v>3.9488200000000001E-2</v>
      </c>
      <c r="R7649">
        <v>2.0203529999999999E-3</v>
      </c>
      <c r="S7649">
        <v>2.9871669999999999</v>
      </c>
      <c r="T7649">
        <v>0.3901095</v>
      </c>
      <c r="U7649">
        <v>-0.10688780000000001</v>
      </c>
      <c r="V7649">
        <v>3.6382980000000002E-2</v>
      </c>
      <c r="W7649">
        <v>6.4584890000000006E-2</v>
      </c>
      <c r="X7649">
        <v>0.99724880000000005</v>
      </c>
      <c r="Y7649">
        <v>7.3208220000000004E-2</v>
      </c>
      <c r="Z7649">
        <v>9.7567069999999999E-3</v>
      </c>
      <c r="AA7649">
        <v>0.99726899999999996</v>
      </c>
      <c r="AB7649">
        <v>26</v>
      </c>
      <c r="AC7649">
        <v>2.9871669999999999</v>
      </c>
      <c r="AD7649">
        <v>0.3901095</v>
      </c>
      <c r="AE7649">
        <v>-0.10688780000000001</v>
      </c>
      <c r="AF7649">
        <v>0.21794383871859299</v>
      </c>
      <c r="AG7649">
        <v>0.3901095</v>
      </c>
      <c r="AH7649">
        <v>2.9309256298651798</v>
      </c>
      <c r="AI7649">
        <v>82.439061658279996</v>
      </c>
      <c r="AJ7649">
        <v>85.747308533749802</v>
      </c>
      <c r="AK7649">
        <v>2.9647951002769601</v>
      </c>
      <c r="AL7649">
        <v>86.296981172263898</v>
      </c>
      <c r="AM7649">
        <v>87.910584550153402</v>
      </c>
      <c r="AN7649">
        <v>1.0000000491757099</v>
      </c>
    </row>
    <row r="7650" spans="1:40" x14ac:dyDescent="0.25">
      <c r="A7650" t="str">
        <f>"20190312155025999"</f>
        <v>20190312155025999</v>
      </c>
      <c r="B7650" t="str">
        <f>"1552377025992972"</f>
        <v>1552377025992972</v>
      </c>
      <c r="C7650" t="s">
        <v>40</v>
      </c>
      <c r="D7650">
        <v>5.4420219999999997</v>
      </c>
      <c r="E7650">
        <v>0.51345680000000005</v>
      </c>
      <c r="F7650" t="s">
        <v>48</v>
      </c>
      <c r="G7650">
        <v>0</v>
      </c>
      <c r="H7650">
        <v>0</v>
      </c>
      <c r="I7650">
        <v>0</v>
      </c>
      <c r="J7650">
        <v>-141.9016</v>
      </c>
      <c r="K7650">
        <v>1.111974</v>
      </c>
      <c r="L7650">
        <v>141.28620000000001</v>
      </c>
      <c r="M7650">
        <v>0.99892150000000002</v>
      </c>
      <c r="N7650">
        <v>0</v>
      </c>
      <c r="O7650">
        <v>3.8602579999999997E-2</v>
      </c>
      <c r="P7650">
        <v>0.99920399999999998</v>
      </c>
      <c r="Q7650">
        <v>3.9853149999999997E-2</v>
      </c>
      <c r="R7650">
        <v>1.8422E-3</v>
      </c>
      <c r="S7650">
        <v>2.9871669999999999</v>
      </c>
      <c r="T7650">
        <v>0.389658</v>
      </c>
      <c r="U7650">
        <v>-0.1086884</v>
      </c>
      <c r="V7650">
        <v>3.6729280000000003E-2</v>
      </c>
      <c r="W7650">
        <v>6.5616460000000001E-2</v>
      </c>
      <c r="X7650">
        <v>0.99716870000000002</v>
      </c>
      <c r="Y7650">
        <v>7.3971029999999993E-2</v>
      </c>
      <c r="Z7650">
        <v>9.816824E-3</v>
      </c>
      <c r="AA7650">
        <v>0.99721210000000005</v>
      </c>
      <c r="AB7650">
        <v>25</v>
      </c>
      <c r="AC7650">
        <v>2.9871669999999999</v>
      </c>
      <c r="AD7650">
        <v>0.389658</v>
      </c>
      <c r="AE7650">
        <v>-0.1086884</v>
      </c>
      <c r="AF7650">
        <v>0.22021592709117799</v>
      </c>
      <c r="AG7650">
        <v>0.389658</v>
      </c>
      <c r="AH7650">
        <v>2.93093615333306</v>
      </c>
      <c r="AI7650">
        <v>82.4481681795816</v>
      </c>
      <c r="AJ7650">
        <v>85.703154321839506</v>
      </c>
      <c r="AK7650">
        <v>2.9649140200726598</v>
      </c>
      <c r="AL7650">
        <v>86.237750689860206</v>
      </c>
      <c r="AM7650">
        <v>87.890545702330002</v>
      </c>
      <c r="AN7650">
        <v>0.99999998804596901</v>
      </c>
    </row>
    <row r="7651" spans="1:40" x14ac:dyDescent="0.25">
      <c r="A7651" t="str">
        <f>"20190312155026019"</f>
        <v>20190312155026019</v>
      </c>
      <c r="B7651" t="str">
        <f>"1552377026013467"</f>
        <v>1552377026013467</v>
      </c>
      <c r="C7651" t="s">
        <v>40</v>
      </c>
      <c r="D7651">
        <v>5.3894869999999999</v>
      </c>
      <c r="E7651">
        <v>0.51343549999999905</v>
      </c>
      <c r="F7651" t="s">
        <v>48</v>
      </c>
      <c r="G7651">
        <v>0</v>
      </c>
      <c r="H7651">
        <v>0</v>
      </c>
      <c r="I7651">
        <v>0</v>
      </c>
      <c r="J7651">
        <v>-141.69329999999999</v>
      </c>
      <c r="K7651">
        <v>1.112033</v>
      </c>
      <c r="L7651">
        <v>141.2944</v>
      </c>
      <c r="M7651">
        <v>0.9989036</v>
      </c>
      <c r="N7651">
        <v>0</v>
      </c>
      <c r="O7651">
        <v>3.8728020000000002E-2</v>
      </c>
      <c r="P7651">
        <v>0.99918720000000005</v>
      </c>
      <c r="Q7651">
        <v>4.0295749999999998E-2</v>
      </c>
      <c r="R7651">
        <v>1.340443E-3</v>
      </c>
      <c r="S7651">
        <v>2.987015</v>
      </c>
      <c r="T7651">
        <v>0.39051540000000001</v>
      </c>
      <c r="U7651">
        <v>-0.1112823</v>
      </c>
      <c r="V7651">
        <v>3.735604E-2</v>
      </c>
      <c r="W7651">
        <v>6.6552829999999993E-2</v>
      </c>
      <c r="X7651">
        <v>0.99708339999999995</v>
      </c>
      <c r="Y7651">
        <v>7.4949760000000004E-2</v>
      </c>
      <c r="Z7651">
        <v>9.9186840000000005E-3</v>
      </c>
      <c r="AA7651">
        <v>0.99713799999999997</v>
      </c>
      <c r="AB7651">
        <v>25</v>
      </c>
      <c r="AC7651">
        <v>2.987015</v>
      </c>
      <c r="AD7651">
        <v>0.39051540000000001</v>
      </c>
      <c r="AE7651">
        <v>-0.1112823</v>
      </c>
      <c r="AF7651">
        <v>0.22311174873971801</v>
      </c>
      <c r="AG7651">
        <v>0.39051540000000001</v>
      </c>
      <c r="AH7651">
        <v>2.9304426240504502</v>
      </c>
      <c r="AI7651">
        <v>82.431046895593198</v>
      </c>
      <c r="AJ7651">
        <v>85.646136624548305</v>
      </c>
      <c r="AK7651">
        <v>2.9647554878800002</v>
      </c>
      <c r="AL7651">
        <v>86.183983262626697</v>
      </c>
      <c r="AM7651">
        <v>87.854399297820194</v>
      </c>
      <c r="AN7651">
        <v>1.00000002973052</v>
      </c>
    </row>
    <row r="7652" spans="1:40" x14ac:dyDescent="0.25">
      <c r="A7652" t="str">
        <f>"20190312155026039"</f>
        <v>20190312155026039</v>
      </c>
      <c r="B7652" t="str">
        <f>"1552377026032988"</f>
        <v>1552377026032988</v>
      </c>
      <c r="C7652" t="s">
        <v>40</v>
      </c>
      <c r="D7652">
        <v>5.4234220000000004</v>
      </c>
      <c r="E7652">
        <v>0.51349309999999904</v>
      </c>
      <c r="F7652" t="s">
        <v>48</v>
      </c>
      <c r="G7652">
        <v>0</v>
      </c>
      <c r="H7652">
        <v>0</v>
      </c>
      <c r="I7652">
        <v>0</v>
      </c>
      <c r="J7652">
        <v>-141.477</v>
      </c>
      <c r="K7652">
        <v>1.1120989999999999</v>
      </c>
      <c r="L7652">
        <v>141.303</v>
      </c>
      <c r="M7652">
        <v>0.99888429999999995</v>
      </c>
      <c r="N7652">
        <v>0</v>
      </c>
      <c r="O7652">
        <v>3.8858259999999999E-2</v>
      </c>
      <c r="P7652">
        <v>0.99917719999999999</v>
      </c>
      <c r="Q7652">
        <v>4.0555960000000002E-2</v>
      </c>
      <c r="R7652">
        <v>6.7745039999999896E-4</v>
      </c>
      <c r="S7652">
        <v>2.9866640000000002</v>
      </c>
      <c r="T7652">
        <v>0.39494119999999999</v>
      </c>
      <c r="U7652">
        <v>-0.112793</v>
      </c>
      <c r="V7652">
        <v>3.8149210000000003E-2</v>
      </c>
      <c r="W7652">
        <v>6.7346409999999995E-2</v>
      </c>
      <c r="X7652">
        <v>0.997</v>
      </c>
      <c r="Y7652">
        <v>7.5559710000000002E-2</v>
      </c>
      <c r="Z7652">
        <v>1.008857E-2</v>
      </c>
      <c r="AA7652">
        <v>0.99709020000000004</v>
      </c>
      <c r="AB7652">
        <v>25</v>
      </c>
      <c r="AC7652">
        <v>2.9866640000000002</v>
      </c>
      <c r="AD7652">
        <v>0.39494119999999999</v>
      </c>
      <c r="AE7652">
        <v>-0.112793</v>
      </c>
      <c r="AF7652">
        <v>0.22487947269616201</v>
      </c>
      <c r="AG7652">
        <v>0.39494119999999999</v>
      </c>
      <c r="AH7652">
        <v>2.9288804637183001</v>
      </c>
      <c r="AI7652">
        <v>82.342614171879006</v>
      </c>
      <c r="AJ7652">
        <v>85.609443619279801</v>
      </c>
      <c r="AK7652">
        <v>2.96393152745611</v>
      </c>
      <c r="AL7652">
        <v>86.138411926848804</v>
      </c>
      <c r="AM7652">
        <v>87.808703211144206</v>
      </c>
      <c r="AN7652">
        <v>0.99999995058175495</v>
      </c>
    </row>
    <row r="7653" spans="1:40" x14ac:dyDescent="0.25">
      <c r="A7653" t="str">
        <f>"20190312155026061"</f>
        <v>20190312155026061</v>
      </c>
      <c r="B7653" t="str">
        <f>"1552377026053484"</f>
        <v>1552377026053484</v>
      </c>
      <c r="C7653" t="s">
        <v>40</v>
      </c>
      <c r="D7653">
        <v>5.566465</v>
      </c>
      <c r="E7653">
        <v>0.51361659999999998</v>
      </c>
      <c r="F7653" t="s">
        <v>48</v>
      </c>
      <c r="G7653">
        <v>0</v>
      </c>
      <c r="H7653">
        <v>0</v>
      </c>
      <c r="I7653">
        <v>0</v>
      </c>
      <c r="J7653">
        <v>-141.24539999999999</v>
      </c>
      <c r="K7653">
        <v>1.1121719999999999</v>
      </c>
      <c r="L7653">
        <v>141.31209999999999</v>
      </c>
      <c r="M7653">
        <v>0.99886220000000003</v>
      </c>
      <c r="N7653">
        <v>0</v>
      </c>
      <c r="O7653">
        <v>3.8997459999999998E-2</v>
      </c>
      <c r="P7653">
        <v>0.99919210000000003</v>
      </c>
      <c r="Q7653">
        <v>4.0188870000000002E-2</v>
      </c>
      <c r="R7653" s="1">
        <v>-5.287619E-5</v>
      </c>
      <c r="S7653">
        <v>2.986389</v>
      </c>
      <c r="T7653">
        <v>0.39793460000000003</v>
      </c>
      <c r="U7653">
        <v>-0.1153412</v>
      </c>
      <c r="V7653">
        <v>3.9019770000000002E-2</v>
      </c>
      <c r="W7653">
        <v>6.7589040000000003E-2</v>
      </c>
      <c r="X7653">
        <v>0.99694989999999994</v>
      </c>
      <c r="Y7653">
        <v>7.6527280000000003E-2</v>
      </c>
      <c r="Z7653">
        <v>1.0247859999999999E-2</v>
      </c>
      <c r="AA7653">
        <v>0.99701479999999998</v>
      </c>
      <c r="AB7653">
        <v>24</v>
      </c>
      <c r="AC7653">
        <v>2.986389</v>
      </c>
      <c r="AD7653">
        <v>0.39793460000000003</v>
      </c>
      <c r="AE7653">
        <v>-0.1153412</v>
      </c>
      <c r="AF7653">
        <v>0.227721614577203</v>
      </c>
      <c r="AG7653">
        <v>0.39793460000000003</v>
      </c>
      <c r="AH7653">
        <v>2.9277105906977798</v>
      </c>
      <c r="AI7653">
        <v>82.282813508236003</v>
      </c>
      <c r="AJ7653">
        <v>85.552405240951003</v>
      </c>
      <c r="AK7653">
        <v>2.9633930523146601</v>
      </c>
      <c r="AL7653">
        <v>86.124478547341994</v>
      </c>
      <c r="AM7653">
        <v>87.758636015528495</v>
      </c>
      <c r="AN7653">
        <v>0.99999996194449103</v>
      </c>
    </row>
    <row r="7654" spans="1:40" x14ac:dyDescent="0.25">
      <c r="A7654" t="str">
        <f>"20190312155026086"</f>
        <v>20190312155026086</v>
      </c>
      <c r="B7654" t="str">
        <f>"1552377026073004"</f>
        <v>1552377026073004</v>
      </c>
      <c r="C7654" t="s">
        <v>40</v>
      </c>
      <c r="D7654">
        <v>5.4332839999999996</v>
      </c>
      <c r="E7654">
        <v>0.51365039999999995</v>
      </c>
      <c r="F7654" t="s">
        <v>48</v>
      </c>
      <c r="G7654">
        <v>0</v>
      </c>
      <c r="H7654">
        <v>0</v>
      </c>
      <c r="I7654">
        <v>0</v>
      </c>
      <c r="J7654">
        <v>-140.98859999999999</v>
      </c>
      <c r="K7654">
        <v>1.1122639999999999</v>
      </c>
      <c r="L7654">
        <v>141.32239999999999</v>
      </c>
      <c r="M7654">
        <v>0.9988359</v>
      </c>
      <c r="N7654">
        <v>0</v>
      </c>
      <c r="O7654">
        <v>3.9153269999999997E-2</v>
      </c>
      <c r="P7654">
        <v>0.99921850000000001</v>
      </c>
      <c r="Q7654">
        <v>3.952978E-2</v>
      </c>
      <c r="R7654">
        <v>-1.5622530000000001E-4</v>
      </c>
      <c r="S7654">
        <v>2.9866489999999999</v>
      </c>
      <c r="T7654">
        <v>0.39213249999999999</v>
      </c>
      <c r="U7654">
        <v>-0.11828610000000001</v>
      </c>
      <c r="V7654">
        <v>3.9281209999999997E-2</v>
      </c>
      <c r="W7654">
        <v>6.7656599999999997E-2</v>
      </c>
      <c r="X7654">
        <v>0.99693509999999996</v>
      </c>
      <c r="Y7654">
        <v>7.7680170000000007E-2</v>
      </c>
      <c r="Z7654">
        <v>1.0194480000000001E-2</v>
      </c>
      <c r="AA7654">
        <v>0.99692619999999998</v>
      </c>
      <c r="AB7654">
        <v>24</v>
      </c>
      <c r="AC7654">
        <v>2.9866489999999999</v>
      </c>
      <c r="AD7654">
        <v>0.39213249999999999</v>
      </c>
      <c r="AE7654">
        <v>-0.11828610000000001</v>
      </c>
      <c r="AF7654">
        <v>0.23119957439784</v>
      </c>
      <c r="AG7654">
        <v>0.39213249999999999</v>
      </c>
      <c r="AH7654">
        <v>2.9293064262238602</v>
      </c>
      <c r="AI7654">
        <v>82.3987723783614</v>
      </c>
      <c r="AJ7654">
        <v>85.4872062104306</v>
      </c>
      <c r="AK7654">
        <v>2.96446576628477</v>
      </c>
      <c r="AL7654">
        <v>86.120598955090401</v>
      </c>
      <c r="AM7654">
        <v>87.743600451832805</v>
      </c>
      <c r="AN7654">
        <v>1.00000001129731</v>
      </c>
    </row>
    <row r="7655" spans="1:40" x14ac:dyDescent="0.25">
      <c r="A7655" t="str">
        <f>"20190312155026111"</f>
        <v>20190312155026111</v>
      </c>
      <c r="B7655" t="str">
        <f>"1552377026103260"</f>
        <v>1552377026103260</v>
      </c>
      <c r="C7655" t="s">
        <v>40</v>
      </c>
      <c r="D7655">
        <v>5.6103420000000002</v>
      </c>
      <c r="E7655">
        <v>0.51368659999999999</v>
      </c>
      <c r="F7655" t="s">
        <v>48</v>
      </c>
      <c r="G7655">
        <v>0</v>
      </c>
      <c r="H7655">
        <v>0</v>
      </c>
      <c r="I7655">
        <v>0</v>
      </c>
      <c r="J7655">
        <v>-140.7354</v>
      </c>
      <c r="K7655">
        <v>1.11236</v>
      </c>
      <c r="L7655">
        <v>141.33250000000001</v>
      </c>
      <c r="M7655">
        <v>0.99880800000000003</v>
      </c>
      <c r="N7655">
        <v>0</v>
      </c>
      <c r="O7655">
        <v>3.930757E-2</v>
      </c>
      <c r="P7655">
        <v>0.99924639999999998</v>
      </c>
      <c r="Q7655">
        <v>3.8823980000000001E-2</v>
      </c>
      <c r="R7655" s="1">
        <v>-5.4274919999999897E-5</v>
      </c>
      <c r="S7655">
        <v>2.986923</v>
      </c>
      <c r="T7655">
        <v>0.38940170000000002</v>
      </c>
      <c r="U7655">
        <v>-0.1187897</v>
      </c>
      <c r="V7655">
        <v>3.9336040000000003E-2</v>
      </c>
      <c r="W7655">
        <v>6.771083E-2</v>
      </c>
      <c r="X7655">
        <v>0.99692919999999996</v>
      </c>
      <c r="Y7655">
        <v>7.8009140000000005E-2</v>
      </c>
      <c r="Z7655">
        <v>1.0164619999999999E-2</v>
      </c>
      <c r="AA7655">
        <v>0.99690080000000003</v>
      </c>
      <c r="AB7655">
        <v>23</v>
      </c>
      <c r="AC7655">
        <v>2.986923</v>
      </c>
      <c r="AD7655">
        <v>0.38940170000000002</v>
      </c>
      <c r="AE7655">
        <v>-0.1187897</v>
      </c>
      <c r="AF7655">
        <v>0.23221519260316201</v>
      </c>
      <c r="AG7655">
        <v>0.38940170000000002</v>
      </c>
      <c r="AH7655">
        <v>2.9302179132677302</v>
      </c>
      <c r="AI7655">
        <v>82.453604491521602</v>
      </c>
      <c r="AJ7655">
        <v>85.468868779680093</v>
      </c>
      <c r="AK7655">
        <v>2.9650859344838101</v>
      </c>
      <c r="AL7655">
        <v>86.117484445175293</v>
      </c>
      <c r="AM7655">
        <v>87.740440799141197</v>
      </c>
      <c r="AN7655">
        <v>0.99999995517740403</v>
      </c>
    </row>
    <row r="7656" spans="1:40" x14ac:dyDescent="0.25">
      <c r="A7656" t="str">
        <f>"20190312155026133"</f>
        <v>20190312155026133</v>
      </c>
      <c r="B7656" t="str">
        <f>"1552377026123756"</f>
        <v>1552377026123756</v>
      </c>
      <c r="C7656" t="s">
        <v>40</v>
      </c>
      <c r="D7656">
        <v>5.4633099999999999</v>
      </c>
      <c r="E7656">
        <v>0.51371499999999903</v>
      </c>
      <c r="F7656" t="s">
        <v>48</v>
      </c>
      <c r="G7656">
        <v>0</v>
      </c>
      <c r="H7656">
        <v>0</v>
      </c>
      <c r="I7656">
        <v>0</v>
      </c>
      <c r="J7656">
        <v>-140.5068</v>
      </c>
      <c r="K7656">
        <v>1.112452</v>
      </c>
      <c r="L7656">
        <v>141.3417</v>
      </c>
      <c r="M7656">
        <v>0.99878199999999995</v>
      </c>
      <c r="N7656">
        <v>0</v>
      </c>
      <c r="O7656">
        <v>3.9447509999999998E-2</v>
      </c>
      <c r="P7656">
        <v>0.99928399999999995</v>
      </c>
      <c r="Q7656">
        <v>3.7839820000000003E-2</v>
      </c>
      <c r="R7656">
        <v>1.367606E-4</v>
      </c>
      <c r="S7656">
        <v>2.9873050000000001</v>
      </c>
      <c r="T7656">
        <v>0.38486500000000001</v>
      </c>
      <c r="U7656">
        <v>-0.1187286</v>
      </c>
      <c r="V7656">
        <v>3.928806E-2</v>
      </c>
      <c r="W7656">
        <v>6.7426799999999995E-2</v>
      </c>
      <c r="X7656">
        <v>0.99695040000000001</v>
      </c>
      <c r="Y7656">
        <v>7.8145060000000002E-2</v>
      </c>
      <c r="Z7656">
        <v>1.0072680000000001E-2</v>
      </c>
      <c r="AA7656">
        <v>0.99689110000000003</v>
      </c>
      <c r="AB7656">
        <v>23</v>
      </c>
      <c r="AC7656">
        <v>2.9873050000000001</v>
      </c>
      <c r="AD7656">
        <v>0.38486500000000001</v>
      </c>
      <c r="AE7656">
        <v>-0.1187286</v>
      </c>
      <c r="AF7656">
        <v>0.23267379413881301</v>
      </c>
      <c r="AG7656">
        <v>0.38486500000000001</v>
      </c>
      <c r="AH7656">
        <v>2.9317081959179898</v>
      </c>
      <c r="AI7656">
        <v>82.544344143041101</v>
      </c>
      <c r="AJ7656">
        <v>85.462255837368303</v>
      </c>
      <c r="AK7656">
        <v>2.9660025469841802</v>
      </c>
      <c r="AL7656">
        <v>86.133795665217406</v>
      </c>
      <c r="AM7656">
        <v>87.743241978240405</v>
      </c>
      <c r="AN7656">
        <v>1.00000001253848</v>
      </c>
    </row>
    <row r="7657" spans="1:40" x14ac:dyDescent="0.25">
      <c r="A7657" t="str">
        <f>"20190312155026154"</f>
        <v>20190312155026154</v>
      </c>
      <c r="B7657" t="str">
        <f>"1552377026144251"</f>
        <v>1552377026144251</v>
      </c>
      <c r="C7657" t="s">
        <v>40</v>
      </c>
      <c r="D7657">
        <v>5.4519849999999996</v>
      </c>
      <c r="E7657">
        <v>0.5136347</v>
      </c>
      <c r="F7657" t="s">
        <v>48</v>
      </c>
      <c r="G7657">
        <v>0</v>
      </c>
      <c r="H7657">
        <v>0</v>
      </c>
      <c r="I7657">
        <v>0</v>
      </c>
      <c r="J7657">
        <v>-140.2929</v>
      </c>
      <c r="K7657">
        <v>1.1125259999999999</v>
      </c>
      <c r="L7657">
        <v>141.3503</v>
      </c>
      <c r="M7657">
        <v>0.99875740000000002</v>
      </c>
      <c r="N7657">
        <v>0</v>
      </c>
      <c r="O7657">
        <v>3.9578780000000001E-2</v>
      </c>
      <c r="P7657">
        <v>0.9993109</v>
      </c>
      <c r="Q7657">
        <v>3.7127460000000001E-2</v>
      </c>
      <c r="R7657" s="1">
        <v>2.1894699999999999E-5</v>
      </c>
      <c r="S7657">
        <v>2.9876860000000001</v>
      </c>
      <c r="T7657">
        <v>0.3815694</v>
      </c>
      <c r="U7657">
        <v>-0.1183777</v>
      </c>
      <c r="V7657">
        <v>3.9536210000000002E-2</v>
      </c>
      <c r="W7657">
        <v>6.7361630000000006E-2</v>
      </c>
      <c r="X7657">
        <v>0.99694499999999997</v>
      </c>
      <c r="Y7657">
        <v>7.8170329999999996E-2</v>
      </c>
      <c r="Z7657">
        <v>1.0004280000000001E-2</v>
      </c>
      <c r="AA7657">
        <v>0.99688980000000005</v>
      </c>
      <c r="AB7657">
        <v>22</v>
      </c>
      <c r="AC7657">
        <v>2.9876860000000001</v>
      </c>
      <c r="AD7657">
        <v>0.3815694</v>
      </c>
      <c r="AE7657">
        <v>-0.1183777</v>
      </c>
      <c r="AF7657">
        <v>0.23279692309622699</v>
      </c>
      <c r="AG7657">
        <v>0.3815694</v>
      </c>
      <c r="AH7657">
        <v>2.9328924136939301</v>
      </c>
      <c r="AI7657">
        <v>82.6104353887023</v>
      </c>
      <c r="AJ7657">
        <v>85.461690056148797</v>
      </c>
      <c r="AK7657">
        <v>2.9667570720776699</v>
      </c>
      <c r="AL7657">
        <v>86.137538157413005</v>
      </c>
      <c r="AM7657">
        <v>87.728990504339194</v>
      </c>
      <c r="AN7657">
        <v>1.00000001706121</v>
      </c>
    </row>
    <row r="7658" spans="1:40" x14ac:dyDescent="0.25">
      <c r="A7658" t="str">
        <f>"20190312155026174"</f>
        <v>20190312155026174</v>
      </c>
      <c r="B7658" t="str">
        <f>"1552377026163772"</f>
        <v>1552377026163772</v>
      </c>
      <c r="C7658" t="s">
        <v>40</v>
      </c>
      <c r="D7658">
        <v>5.5129910000000004</v>
      </c>
      <c r="E7658">
        <v>0.5135303</v>
      </c>
      <c r="F7658" t="s">
        <v>48</v>
      </c>
      <c r="G7658">
        <v>0</v>
      </c>
      <c r="H7658">
        <v>0</v>
      </c>
      <c r="I7658">
        <v>0</v>
      </c>
      <c r="J7658">
        <v>-140.1086</v>
      </c>
      <c r="K7658">
        <v>1.1125890000000001</v>
      </c>
      <c r="L7658">
        <v>141.3578</v>
      </c>
      <c r="M7658">
        <v>0.99873599999999996</v>
      </c>
      <c r="N7658">
        <v>0</v>
      </c>
      <c r="O7658">
        <v>3.9691980000000002E-2</v>
      </c>
      <c r="P7658">
        <v>0.99935249999999998</v>
      </c>
      <c r="Q7658">
        <v>3.5988630000000001E-2</v>
      </c>
      <c r="R7658">
        <v>-3.1747019999999999E-4</v>
      </c>
      <c r="S7658">
        <v>2.9878999999999998</v>
      </c>
      <c r="T7658">
        <v>0.38162669999999999</v>
      </c>
      <c r="U7658">
        <v>-0.11836240000000001</v>
      </c>
      <c r="V7658">
        <v>3.9991150000000003E-2</v>
      </c>
      <c r="W7658">
        <v>6.6776929999999998E-2</v>
      </c>
      <c r="X7658">
        <v>0.99696620000000002</v>
      </c>
      <c r="Y7658">
        <v>7.8274179999999999E-2</v>
      </c>
      <c r="Z7658">
        <v>1.0026149999999999E-2</v>
      </c>
      <c r="AA7658">
        <v>0.99688140000000003</v>
      </c>
      <c r="AB7658">
        <v>22</v>
      </c>
      <c r="AC7658">
        <v>2.9878999999999998</v>
      </c>
      <c r="AD7658">
        <v>0.38162669999999999</v>
      </c>
      <c r="AE7658">
        <v>-0.11836240000000001</v>
      </c>
      <c r="AF7658">
        <v>0.23312403876486701</v>
      </c>
      <c r="AG7658">
        <v>0.38162669999999999</v>
      </c>
      <c r="AH7658">
        <v>2.93306944295297</v>
      </c>
      <c r="AI7658">
        <v>82.609840684105706</v>
      </c>
      <c r="AJ7658">
        <v>85.455612874342904</v>
      </c>
      <c r="AK7658">
        <v>2.9669651350812001</v>
      </c>
      <c r="AL7658">
        <v>86.171114641869806</v>
      </c>
      <c r="AM7658">
        <v>87.702934809926404</v>
      </c>
      <c r="AN7658">
        <v>1.0000000272004901</v>
      </c>
    </row>
    <row r="7659" spans="1:40" x14ac:dyDescent="0.25">
      <c r="A7659" t="str">
        <f>"20190312155026197"</f>
        <v>20190312155026197</v>
      </c>
      <c r="B7659" t="str">
        <f>"1552377026183292"</f>
        <v>1552377026183292</v>
      </c>
      <c r="C7659" t="s">
        <v>40</v>
      </c>
      <c r="D7659">
        <v>5.5295829999999997</v>
      </c>
      <c r="E7659">
        <v>0.51346740000000002</v>
      </c>
      <c r="F7659" t="s">
        <v>48</v>
      </c>
      <c r="G7659">
        <v>0</v>
      </c>
      <c r="H7659">
        <v>0</v>
      </c>
      <c r="I7659">
        <v>0</v>
      </c>
      <c r="J7659">
        <v>-139.88740000000001</v>
      </c>
      <c r="K7659">
        <v>1.1126609999999999</v>
      </c>
      <c r="L7659">
        <v>141.36670000000001</v>
      </c>
      <c r="M7659">
        <v>0.99870910000000002</v>
      </c>
      <c r="N7659">
        <v>0</v>
      </c>
      <c r="O7659">
        <v>3.9828710000000003E-2</v>
      </c>
      <c r="P7659">
        <v>0.99943369999999998</v>
      </c>
      <c r="Q7659">
        <v>3.3643060000000002E-2</v>
      </c>
      <c r="R7659">
        <v>-6.463126E-4</v>
      </c>
      <c r="S7659">
        <v>2.9882200000000001</v>
      </c>
      <c r="T7659">
        <v>0.3801332</v>
      </c>
      <c r="U7659">
        <v>-0.1186523</v>
      </c>
      <c r="V7659">
        <v>4.046131E-2</v>
      </c>
      <c r="W7659">
        <v>6.5111630000000004E-2</v>
      </c>
      <c r="X7659">
        <v>0.99705739999999998</v>
      </c>
      <c r="Y7659">
        <v>7.850849E-2</v>
      </c>
      <c r="Z7659">
        <v>1.001841E-2</v>
      </c>
      <c r="AA7659">
        <v>0.9968631</v>
      </c>
      <c r="AB7659">
        <v>22</v>
      </c>
      <c r="AC7659">
        <v>2.9882200000000001</v>
      </c>
      <c r="AD7659">
        <v>0.3801332</v>
      </c>
      <c r="AE7659">
        <v>-0.1186523</v>
      </c>
      <c r="AF7659">
        <v>0.233855768945293</v>
      </c>
      <c r="AG7659">
        <v>0.3801332</v>
      </c>
      <c r="AH7659">
        <v>2.93371818052207</v>
      </c>
      <c r="AI7659">
        <v>82.640187802776694</v>
      </c>
      <c r="AJ7659">
        <v>85.442412770090598</v>
      </c>
      <c r="AK7659">
        <v>2.9674723474932199</v>
      </c>
      <c r="AL7659">
        <v>86.266737540462799</v>
      </c>
      <c r="AM7659">
        <v>87.676170915685404</v>
      </c>
      <c r="AN7659">
        <v>1.0000000504314599</v>
      </c>
    </row>
    <row r="7660" spans="1:40" x14ac:dyDescent="0.25">
      <c r="A7660" t="str">
        <f>"20190312155026219"</f>
        <v>20190312155026219</v>
      </c>
      <c r="B7660" t="str">
        <f>"1552377026203788"</f>
        <v>1552377026203788</v>
      </c>
      <c r="C7660" t="s">
        <v>40</v>
      </c>
      <c r="D7660">
        <v>5.5145910000000002</v>
      </c>
      <c r="E7660">
        <v>0.51697280000000001</v>
      </c>
      <c r="F7660" t="s">
        <v>48</v>
      </c>
      <c r="G7660">
        <v>0</v>
      </c>
      <c r="H7660">
        <v>0</v>
      </c>
      <c r="I7660">
        <v>0</v>
      </c>
      <c r="J7660">
        <v>-139.69110000000001</v>
      </c>
      <c r="K7660">
        <v>1.1127229999999999</v>
      </c>
      <c r="L7660">
        <v>141.37469999999999</v>
      </c>
      <c r="M7660">
        <v>0.99868420000000002</v>
      </c>
      <c r="N7660">
        <v>0</v>
      </c>
      <c r="O7660">
        <v>3.9950449999999998E-2</v>
      </c>
      <c r="P7660">
        <v>0.999502</v>
      </c>
      <c r="Q7660">
        <v>3.1532739999999997E-2</v>
      </c>
      <c r="R7660">
        <v>-1.2854730000000001E-3</v>
      </c>
      <c r="S7660">
        <v>2.98909</v>
      </c>
      <c r="T7660">
        <v>0.37290689999999999</v>
      </c>
      <c r="U7660">
        <v>-0.1190948</v>
      </c>
      <c r="V7660">
        <v>4.1225949999999997E-2</v>
      </c>
      <c r="W7660">
        <v>6.3634599999999999E-2</v>
      </c>
      <c r="X7660">
        <v>0.99712140000000005</v>
      </c>
      <c r="Y7660">
        <v>7.8799690000000006E-2</v>
      </c>
      <c r="Z7660">
        <v>9.8598929999999998E-3</v>
      </c>
      <c r="AA7660">
        <v>0.99684170000000005</v>
      </c>
      <c r="AB7660">
        <v>21</v>
      </c>
      <c r="AC7660">
        <v>2.98909</v>
      </c>
      <c r="AD7660">
        <v>0.37290689999999999</v>
      </c>
      <c r="AE7660">
        <v>-0.1190948</v>
      </c>
      <c r="AF7660">
        <v>0.234827808908771</v>
      </c>
      <c r="AG7660">
        <v>0.37290689999999999</v>
      </c>
      <c r="AH7660">
        <v>2.93631237004396</v>
      </c>
      <c r="AI7660">
        <v>82.785066516330701</v>
      </c>
      <c r="AJ7660">
        <v>85.427575180209601</v>
      </c>
      <c r="AK7660">
        <v>2.96919753306809</v>
      </c>
      <c r="AL7660">
        <v>86.351540886288404</v>
      </c>
      <c r="AM7660">
        <v>87.632456382810602</v>
      </c>
      <c r="AN7660">
        <v>1.00000001380426</v>
      </c>
    </row>
    <row r="7661" spans="1:40" x14ac:dyDescent="0.25">
      <c r="A7661" t="str">
        <f>"20190312155026263"</f>
        <v>20190312155026263</v>
      </c>
      <c r="B7661" t="str">
        <f>"1552377026253564"</f>
        <v>1552377026253564</v>
      </c>
      <c r="C7661" t="s">
        <v>40</v>
      </c>
      <c r="D7661">
        <v>5.4996159999999996</v>
      </c>
      <c r="E7661">
        <v>0.52386670000000002</v>
      </c>
      <c r="F7661" t="s">
        <v>48</v>
      </c>
      <c r="G7661">
        <v>0</v>
      </c>
      <c r="H7661">
        <v>0</v>
      </c>
      <c r="I7661">
        <v>0</v>
      </c>
      <c r="J7661">
        <v>-139.30099999999999</v>
      </c>
      <c r="K7661">
        <v>1.112873</v>
      </c>
      <c r="L7661">
        <v>141.39060000000001</v>
      </c>
      <c r="M7661">
        <v>0.99863080000000004</v>
      </c>
      <c r="N7661">
        <v>0</v>
      </c>
      <c r="O7661">
        <v>4.0195010000000003E-2</v>
      </c>
      <c r="P7661">
        <v>0.99957770000000001</v>
      </c>
      <c r="Q7661">
        <v>2.899347E-2</v>
      </c>
      <c r="R7661">
        <v>-2.0108499999999998E-3</v>
      </c>
      <c r="S7661">
        <v>3.0002140000000002</v>
      </c>
      <c r="T7661">
        <v>3.522778E-2</v>
      </c>
      <c r="U7661">
        <v>-0.1371155</v>
      </c>
      <c r="V7661">
        <v>4.2201299999999997E-2</v>
      </c>
      <c r="W7661">
        <v>6.2424880000000002E-2</v>
      </c>
      <c r="X7661">
        <v>0.99715699999999996</v>
      </c>
      <c r="Y7661">
        <v>8.5784269999999996E-2</v>
      </c>
      <c r="Z7661">
        <v>9.753241E-4</v>
      </c>
      <c r="AA7661">
        <v>0.99631329999999996</v>
      </c>
      <c r="AB7661">
        <v>20</v>
      </c>
      <c r="AC7661">
        <v>3.0002140000000002</v>
      </c>
      <c r="AD7661">
        <v>3.522778E-2</v>
      </c>
      <c r="AE7661">
        <v>-0.1371155</v>
      </c>
      <c r="AF7661">
        <v>0.25763039558689399</v>
      </c>
      <c r="AG7661">
        <v>3.522778E-2</v>
      </c>
      <c r="AH7661">
        <v>2.9918605924339001</v>
      </c>
      <c r="AI7661">
        <v>89.327886799081199</v>
      </c>
      <c r="AJ7661">
        <v>85.078376575443201</v>
      </c>
      <c r="AK7661">
        <v>3.0031390613444602</v>
      </c>
      <c r="AL7661">
        <v>86.4209905986568</v>
      </c>
      <c r="AM7661">
        <v>87.576595949201305</v>
      </c>
      <c r="AN7661">
        <v>0.99999994900684996</v>
      </c>
    </row>
    <row r="7662" spans="1:40" x14ac:dyDescent="0.25">
      <c r="A7662" t="str">
        <f>"20190312155026286"</f>
        <v>20190312155026286</v>
      </c>
      <c r="B7662" t="str">
        <f>"1552377026273866"</f>
        <v>1552377026273866</v>
      </c>
      <c r="C7662" t="s">
        <v>40</v>
      </c>
      <c r="D7662">
        <v>5.4846399999999997</v>
      </c>
      <c r="E7662">
        <v>0.52417290000000005</v>
      </c>
      <c r="F7662" t="s">
        <v>41</v>
      </c>
      <c r="G7662">
        <v>-138.57900000000001</v>
      </c>
      <c r="H7662">
        <v>0.98507020000000001</v>
      </c>
      <c r="I7662">
        <v>141.34889999999999</v>
      </c>
      <c r="J7662">
        <v>-139.10810000000001</v>
      </c>
      <c r="K7662">
        <v>1.1129450000000001</v>
      </c>
      <c r="L7662">
        <v>141.39859999999999</v>
      </c>
      <c r="M7662">
        <v>0.99860360000000004</v>
      </c>
      <c r="N7662">
        <v>0</v>
      </c>
      <c r="O7662">
        <v>4.0316890000000001E-2</v>
      </c>
      <c r="P7662">
        <v>0.99959450000000005</v>
      </c>
      <c r="Q7662">
        <v>2.8357589999999998E-2</v>
      </c>
      <c r="R7662">
        <v>-2.6491179999999998E-3</v>
      </c>
      <c r="S7662">
        <v>3.0164029999999999</v>
      </c>
      <c r="T7662">
        <v>-0.53398230000000002</v>
      </c>
      <c r="U7662">
        <v>-0.17422489999999999</v>
      </c>
      <c r="V7662">
        <v>4.2962800000000002E-2</v>
      </c>
      <c r="W7662">
        <v>6.243916E-2</v>
      </c>
      <c r="X7662">
        <v>0.99712369999999995</v>
      </c>
      <c r="Y7662">
        <v>9.5778950000000002E-2</v>
      </c>
      <c r="Z7662">
        <v>-1.548649E-2</v>
      </c>
      <c r="AA7662">
        <v>0.99528220000000001</v>
      </c>
      <c r="AB7662">
        <v>20</v>
      </c>
      <c r="AC7662">
        <v>0.52909999999999902</v>
      </c>
      <c r="AD7662">
        <v>-0.12787480000000001</v>
      </c>
      <c r="AE7662">
        <v>-4.9700000000001403E-2</v>
      </c>
      <c r="AF7662">
        <v>6.7117539542529706E-2</v>
      </c>
      <c r="AG7662">
        <v>-0.12787480000000001</v>
      </c>
      <c r="AH7662">
        <v>0.49783944224607601</v>
      </c>
      <c r="AI7662">
        <v>104.281692936505</v>
      </c>
      <c r="AJ7662">
        <v>82.321813826688896</v>
      </c>
      <c r="AK7662">
        <v>0.51836361643653805</v>
      </c>
      <c r="AL7662">
        <v>86.420171220666106</v>
      </c>
      <c r="AM7662">
        <v>87.532838176408802</v>
      </c>
      <c r="AN7662">
        <v>1.0000000619935101</v>
      </c>
    </row>
    <row r="7663" spans="1:40" x14ac:dyDescent="0.25">
      <c r="A7663" t="str">
        <f>"20190312155026351"</f>
        <v>20190312155026351</v>
      </c>
      <c r="B7663" t="str">
        <f>"1552377026343161"</f>
        <v>1552377026343161</v>
      </c>
      <c r="C7663" t="s">
        <v>40</v>
      </c>
      <c r="D7663">
        <v>5.5666449999999896</v>
      </c>
      <c r="E7663">
        <v>0.52450819999999998</v>
      </c>
      <c r="F7663" t="s">
        <v>41</v>
      </c>
      <c r="G7663">
        <v>-138.25739999999999</v>
      </c>
      <c r="H7663">
        <v>0.95501570000000002</v>
      </c>
      <c r="I7663">
        <v>141.3484</v>
      </c>
      <c r="J7663">
        <v>-138.5856</v>
      </c>
      <c r="K7663">
        <v>1.1130949999999999</v>
      </c>
      <c r="L7663">
        <v>141.42009999999999</v>
      </c>
      <c r="M7663">
        <v>0.99853349999999996</v>
      </c>
      <c r="N7663">
        <v>0</v>
      </c>
      <c r="O7663">
        <v>4.0648820000000002E-2</v>
      </c>
      <c r="P7663">
        <v>0.99966069999999996</v>
      </c>
      <c r="Q7663">
        <v>2.5741739999999999E-2</v>
      </c>
      <c r="R7663">
        <v>-4.016609E-3</v>
      </c>
      <c r="S7663">
        <v>3.016632</v>
      </c>
      <c r="T7663">
        <v>-0.56006999999999996</v>
      </c>
      <c r="U7663">
        <v>-0.17788699999999999</v>
      </c>
      <c r="V7663">
        <v>4.4667640000000002E-2</v>
      </c>
      <c r="W7663">
        <v>6.1439720000000003E-2</v>
      </c>
      <c r="X7663">
        <v>0.99711079999999996</v>
      </c>
      <c r="Y7663">
        <v>9.7074999999999995E-2</v>
      </c>
      <c r="Z7663">
        <v>-1.6409670000000001E-2</v>
      </c>
      <c r="AA7663">
        <v>0.99514179999999997</v>
      </c>
      <c r="AB7663">
        <v>19</v>
      </c>
      <c r="AC7663">
        <v>0.32820000000000898</v>
      </c>
      <c r="AD7663">
        <v>-0.15807930000000001</v>
      </c>
      <c r="AE7663">
        <v>-7.16999999999927E-2</v>
      </c>
      <c r="AF7663">
        <v>6.9582828893586607E-2</v>
      </c>
      <c r="AG7663">
        <v>-0.15807930000000001</v>
      </c>
      <c r="AH7663">
        <v>0.266092680611346</v>
      </c>
      <c r="AI7663">
        <v>119.88813164166901</v>
      </c>
      <c r="AJ7663">
        <v>75.345393545486303</v>
      </c>
      <c r="AK7663">
        <v>0.31723201263468997</v>
      </c>
      <c r="AL7663">
        <v>86.477544830827199</v>
      </c>
      <c r="AM7663">
        <v>87.435031942903095</v>
      </c>
      <c r="AN7663">
        <v>0.99999999236674397</v>
      </c>
    </row>
    <row r="7664" spans="1:40" x14ac:dyDescent="0.25">
      <c r="A7664" t="str">
        <f>"20190312155026376"</f>
        <v>20190312155026376</v>
      </c>
      <c r="B7664" t="str">
        <f>"1552377026363658"</f>
        <v>1552377026363658</v>
      </c>
      <c r="C7664" t="s">
        <v>40</v>
      </c>
      <c r="D7664">
        <v>5.5922799999999997</v>
      </c>
      <c r="E7664">
        <v>0.52461590000000002</v>
      </c>
      <c r="F7664" t="s">
        <v>41</v>
      </c>
      <c r="G7664">
        <v>-137.78360000000001</v>
      </c>
      <c r="H7664">
        <v>0.95536489999999996</v>
      </c>
      <c r="I7664">
        <v>141.37139999999999</v>
      </c>
      <c r="J7664">
        <v>-138.39230000000001</v>
      </c>
      <c r="K7664">
        <v>1.113132</v>
      </c>
      <c r="L7664">
        <v>141.4281</v>
      </c>
      <c r="M7664">
        <v>0.99851049999999997</v>
      </c>
      <c r="N7664">
        <v>0</v>
      </c>
      <c r="O7664">
        <v>4.0773240000000002E-2</v>
      </c>
      <c r="P7664">
        <v>0.99967870000000003</v>
      </c>
      <c r="Q7664">
        <v>2.499987E-2</v>
      </c>
      <c r="R7664">
        <v>-4.1811699999999997E-3</v>
      </c>
      <c r="S7664">
        <v>3.0155639999999999</v>
      </c>
      <c r="T7664">
        <v>-0.59309019999999901</v>
      </c>
      <c r="U7664">
        <v>-0.18309020000000001</v>
      </c>
      <c r="V7664">
        <v>4.4958449999999997E-2</v>
      </c>
      <c r="W7664">
        <v>6.119604E-2</v>
      </c>
      <c r="X7664">
        <v>0.99711280000000002</v>
      </c>
      <c r="Y7664">
        <v>9.8615640000000004E-2</v>
      </c>
      <c r="Z7664">
        <v>-1.7539019999999999E-2</v>
      </c>
      <c r="AA7664">
        <v>0.99497100000000005</v>
      </c>
      <c r="AB7664">
        <v>18</v>
      </c>
      <c r="AC7664">
        <v>0.60869999999999802</v>
      </c>
      <c r="AD7664">
        <v>-0.15776709999999999</v>
      </c>
      <c r="AE7664">
        <v>-5.6700000000006398E-2</v>
      </c>
      <c r="AF7664">
        <v>7.6399573021305497E-2</v>
      </c>
      <c r="AG7664">
        <v>-0.15776709999999999</v>
      </c>
      <c r="AH7664">
        <v>0.56804780515030096</v>
      </c>
      <c r="AI7664">
        <v>105.38995134049399</v>
      </c>
      <c r="AJ7664">
        <v>82.339972246749298</v>
      </c>
      <c r="AK7664">
        <v>0.59447931968767598</v>
      </c>
      <c r="AL7664">
        <v>86.491533284558798</v>
      </c>
      <c r="AM7664">
        <v>87.418360333561694</v>
      </c>
      <c r="AN7664">
        <v>1.00000007673095</v>
      </c>
    </row>
    <row r="7665" spans="1:40" x14ac:dyDescent="0.25">
      <c r="A7665" t="str">
        <f>"20190312155026421"</f>
        <v>20190312155026421</v>
      </c>
      <c r="B7665" t="str">
        <f>"1552377026414410"</f>
        <v>1552377026414410</v>
      </c>
      <c r="C7665" t="s">
        <v>40</v>
      </c>
      <c r="D7665">
        <v>5.581804</v>
      </c>
      <c r="E7665">
        <v>0.53805800000000004</v>
      </c>
      <c r="F7665" t="s">
        <v>41</v>
      </c>
      <c r="G7665">
        <v>-137.6311</v>
      </c>
      <c r="H7665">
        <v>0.96103510000000003</v>
      </c>
      <c r="I7665">
        <v>141.38149999999999</v>
      </c>
      <c r="J7665">
        <v>-138.0685</v>
      </c>
      <c r="K7665">
        <v>1.113159</v>
      </c>
      <c r="L7665">
        <v>141.4417</v>
      </c>
      <c r="M7665">
        <v>0.99847799999999998</v>
      </c>
      <c r="N7665">
        <v>0</v>
      </c>
      <c r="O7665">
        <v>4.0983459999999999E-2</v>
      </c>
      <c r="P7665">
        <v>0.99973009999999995</v>
      </c>
      <c r="Q7665">
        <v>2.2874950000000002E-2</v>
      </c>
      <c r="R7665">
        <v>-4.0697429999999998E-3</v>
      </c>
      <c r="S7665">
        <v>3.0152589999999999</v>
      </c>
      <c r="T7665">
        <v>-0.60253630000000002</v>
      </c>
      <c r="U7665">
        <v>-0.18437190000000001</v>
      </c>
      <c r="V7665">
        <v>4.5061579999999997E-2</v>
      </c>
      <c r="W7665">
        <v>5.972388E-2</v>
      </c>
      <c r="X7665">
        <v>0.99719729999999995</v>
      </c>
      <c r="Y7665">
        <v>9.9153630000000006E-2</v>
      </c>
      <c r="Z7665">
        <v>-1.7909520000000002E-2</v>
      </c>
      <c r="AA7665">
        <v>0.99491099999999999</v>
      </c>
      <c r="AB7665">
        <v>17</v>
      </c>
      <c r="AC7665">
        <v>0.43739999999999601</v>
      </c>
      <c r="AD7665">
        <v>-0.15212389999999901</v>
      </c>
      <c r="AE7665">
        <v>-6.0200000000008899E-2</v>
      </c>
      <c r="AF7665">
        <v>6.9801584717806994E-2</v>
      </c>
      <c r="AG7665">
        <v>-0.15212389999999901</v>
      </c>
      <c r="AH7665">
        <v>0.38845015924658699</v>
      </c>
      <c r="AI7665">
        <v>111.078863121727</v>
      </c>
      <c r="AJ7665">
        <v>79.813092082053899</v>
      </c>
      <c r="AK7665">
        <v>0.42297454816930302</v>
      </c>
      <c r="AL7665">
        <v>86.576036067839695</v>
      </c>
      <c r="AM7665">
        <v>87.412665325660399</v>
      </c>
      <c r="AN7665">
        <v>0.99999997148081898</v>
      </c>
    </row>
    <row r="7666" spans="1:40" x14ac:dyDescent="0.25">
      <c r="A7666" t="str">
        <f>"20190312155026440"</f>
        <v>20190312155026440</v>
      </c>
      <c r="B7666" t="str">
        <f>"1552377026433929"</f>
        <v>1552377026433929</v>
      </c>
      <c r="C7666" t="s">
        <v>40</v>
      </c>
      <c r="D7666">
        <v>5.5693549999999998</v>
      </c>
      <c r="E7666">
        <v>0.53791519999999904</v>
      </c>
      <c r="F7666" t="s">
        <v>41</v>
      </c>
      <c r="G7666">
        <v>-137.36330000000001</v>
      </c>
      <c r="H7666">
        <v>0.9214078</v>
      </c>
      <c r="I7666">
        <v>141.37520000000001</v>
      </c>
      <c r="J7666">
        <v>-137.93119999999999</v>
      </c>
      <c r="K7666">
        <v>1.113159</v>
      </c>
      <c r="L7666">
        <v>141.44739999999999</v>
      </c>
      <c r="M7666">
        <v>0.99846599999999996</v>
      </c>
      <c r="N7666">
        <v>0</v>
      </c>
      <c r="O7666">
        <v>4.1073100000000001E-2</v>
      </c>
      <c r="P7666">
        <v>0.99977079999999996</v>
      </c>
      <c r="Q7666">
        <v>2.1087189999999999E-2</v>
      </c>
      <c r="R7666">
        <v>-3.6799049999999998E-3</v>
      </c>
      <c r="S7666">
        <v>3.0184329999999999</v>
      </c>
      <c r="T7666">
        <v>-0.82082880000000003</v>
      </c>
      <c r="U7666">
        <v>-0.28425600000000001</v>
      </c>
      <c r="V7666">
        <v>4.4764279999999997E-2</v>
      </c>
      <c r="W7666">
        <v>5.8162100000000001E-2</v>
      </c>
      <c r="X7666">
        <v>0.99730300000000005</v>
      </c>
      <c r="Y7666">
        <v>0.12848869999999901</v>
      </c>
      <c r="Z7666">
        <v>-2.8080669999999999E-2</v>
      </c>
      <c r="AA7666">
        <v>0.99131329999999995</v>
      </c>
      <c r="AB7666">
        <v>16</v>
      </c>
      <c r="AC7666">
        <v>0.56789999999997998</v>
      </c>
      <c r="AD7666">
        <v>-0.19175119999999901</v>
      </c>
      <c r="AE7666">
        <v>-7.2199999999980904E-2</v>
      </c>
      <c r="AF7666">
        <v>8.5848794338735004E-2</v>
      </c>
      <c r="AG7666">
        <v>-0.19175119999999901</v>
      </c>
      <c r="AH7666">
        <v>0.50751279058002896</v>
      </c>
      <c r="AI7666">
        <v>110.43203092741901</v>
      </c>
      <c r="AJ7666">
        <v>80.398964894309898</v>
      </c>
      <c r="AK7666">
        <v>0.54927931946613695</v>
      </c>
      <c r="AL7666">
        <v>86.665675335896097</v>
      </c>
      <c r="AM7666">
        <v>87.429984704107596</v>
      </c>
      <c r="AN7666">
        <v>0.99999997222466297</v>
      </c>
    </row>
    <row r="7667" spans="1:40" x14ac:dyDescent="0.25">
      <c r="A7667" t="str">
        <f>"20190312155026467"</f>
        <v>20190312155026467</v>
      </c>
      <c r="B7667" t="str">
        <f>"1552377026453450"</f>
        <v>1552377026453450</v>
      </c>
      <c r="C7667" t="s">
        <v>40</v>
      </c>
      <c r="D7667">
        <v>5.5969379999999997</v>
      </c>
      <c r="E7667">
        <v>0.53760350000000001</v>
      </c>
      <c r="F7667" t="s">
        <v>41</v>
      </c>
      <c r="G7667">
        <v>-137.2268</v>
      </c>
      <c r="H7667">
        <v>0.91953090000000004</v>
      </c>
      <c r="I7667">
        <v>141.38149999999999</v>
      </c>
      <c r="J7667">
        <v>-137.7602</v>
      </c>
      <c r="K7667">
        <v>1.1131660000000001</v>
      </c>
      <c r="L7667">
        <v>141.4546</v>
      </c>
      <c r="M7667">
        <v>0.99845130000000004</v>
      </c>
      <c r="N7667">
        <v>0</v>
      </c>
      <c r="O7667">
        <v>4.1184850000000002E-2</v>
      </c>
      <c r="P7667">
        <v>0.9998068</v>
      </c>
      <c r="Q7667">
        <v>1.9363370000000001E-2</v>
      </c>
      <c r="R7667">
        <v>-3.3704070000000002E-3</v>
      </c>
      <c r="S7667">
        <v>3.0171359999999998</v>
      </c>
      <c r="T7667">
        <v>-0.82941369999999903</v>
      </c>
      <c r="U7667">
        <v>-0.28225709999999998</v>
      </c>
      <c r="V7667">
        <v>4.4569600000000001E-2</v>
      </c>
      <c r="W7667">
        <v>5.6709200000000001E-2</v>
      </c>
      <c r="X7667">
        <v>0.99739540000000004</v>
      </c>
      <c r="Y7667">
        <v>0.1278753</v>
      </c>
      <c r="Z7667">
        <v>-2.832411E-2</v>
      </c>
      <c r="AA7667">
        <v>0.99138570000000004</v>
      </c>
      <c r="AB7667">
        <v>16</v>
      </c>
      <c r="AC7667">
        <v>0.53339999999999999</v>
      </c>
      <c r="AD7667">
        <v>-0.19363509999999901</v>
      </c>
      <c r="AE7667">
        <v>-7.3100000000010795E-2</v>
      </c>
      <c r="AF7667">
        <v>8.4137691998250996E-2</v>
      </c>
      <c r="AG7667">
        <v>-0.19363509999999901</v>
      </c>
      <c r="AH7667">
        <v>0.46923630924424797</v>
      </c>
      <c r="AI7667">
        <v>112.106109922665</v>
      </c>
      <c r="AJ7667">
        <v>79.834450916419399</v>
      </c>
      <c r="AK7667">
        <v>0.51454486401087096</v>
      </c>
      <c r="AL7667">
        <v>86.749058066929393</v>
      </c>
      <c r="AM7667">
        <v>87.441383560921494</v>
      </c>
      <c r="AN7667">
        <v>0.99999998327497996</v>
      </c>
    </row>
    <row r="7668" spans="1:40" x14ac:dyDescent="0.25">
      <c r="A7668" t="str">
        <f>"20190312155026507"</f>
        <v>20190312155026507</v>
      </c>
      <c r="B7668" t="str">
        <f>"1552377026504202"</f>
        <v>1552377026504202</v>
      </c>
      <c r="C7668" t="s">
        <v>40</v>
      </c>
      <c r="D7668">
        <v>5.6067049999999998</v>
      </c>
      <c r="E7668">
        <v>0.54566159999999997</v>
      </c>
      <c r="F7668" t="s">
        <v>41</v>
      </c>
      <c r="G7668">
        <v>-136.97470000000001</v>
      </c>
      <c r="H7668">
        <v>0.89639950000000002</v>
      </c>
      <c r="I7668">
        <v>141.3817</v>
      </c>
      <c r="J7668">
        <v>-137.50579999999999</v>
      </c>
      <c r="K7668">
        <v>1.1133200000000001</v>
      </c>
      <c r="L7668">
        <v>141.46530000000001</v>
      </c>
      <c r="M7668">
        <v>0.99841060000000004</v>
      </c>
      <c r="N7668">
        <v>0</v>
      </c>
      <c r="O7668">
        <v>4.1344480000000003E-2</v>
      </c>
      <c r="P7668">
        <v>0.99987740000000003</v>
      </c>
      <c r="Q7668">
        <v>1.5427150000000001E-2</v>
      </c>
      <c r="R7668">
        <v>-2.789939E-3</v>
      </c>
      <c r="S7668">
        <v>3.0157780000000001</v>
      </c>
      <c r="T7668">
        <v>-0.83231659999999996</v>
      </c>
      <c r="U7668">
        <v>-0.2793274</v>
      </c>
      <c r="V7668">
        <v>4.4154810000000003E-2</v>
      </c>
      <c r="W7668">
        <v>5.3680659999999998E-2</v>
      </c>
      <c r="X7668">
        <v>0.99758139999999995</v>
      </c>
      <c r="Y7668">
        <v>0.1270956</v>
      </c>
      <c r="Z7668">
        <v>-2.8371319999999998E-2</v>
      </c>
      <c r="AA7668">
        <v>0.99148460000000005</v>
      </c>
      <c r="AB7668">
        <v>15</v>
      </c>
      <c r="AC7668">
        <v>0.53109999999998003</v>
      </c>
      <c r="AD7668">
        <v>-0.21692049999999999</v>
      </c>
      <c r="AE7668">
        <v>-8.3600000000018299E-2</v>
      </c>
      <c r="AF7668">
        <v>9.0732537737169203E-2</v>
      </c>
      <c r="AG7668">
        <v>-0.21692049999999999</v>
      </c>
      <c r="AH7668">
        <v>0.45338175497093403</v>
      </c>
      <c r="AI7668">
        <v>115.133510820786</v>
      </c>
      <c r="AJ7668">
        <v>78.683240229552098</v>
      </c>
      <c r="AK7668">
        <v>0.51072684721385198</v>
      </c>
      <c r="AL7668">
        <v>86.922845532265399</v>
      </c>
      <c r="AM7668">
        <v>87.465636299676007</v>
      </c>
      <c r="AN7668">
        <v>0.99999995506506401</v>
      </c>
    </row>
    <row r="7669" spans="1:40" x14ac:dyDescent="0.25">
      <c r="A7669" t="str">
        <f>"20190312155026557"</f>
        <v>20190312155026557</v>
      </c>
      <c r="B7669" t="str">
        <f>"1552377026553977"</f>
        <v>1552377026553977</v>
      </c>
      <c r="C7669" t="s">
        <v>40</v>
      </c>
      <c r="D7669">
        <v>5.6000360000000002</v>
      </c>
      <c r="E7669">
        <v>0.54632919999999996</v>
      </c>
      <c r="F7669" t="s">
        <v>41</v>
      </c>
      <c r="G7669">
        <v>-136.74940000000001</v>
      </c>
      <c r="H7669">
        <v>0.86046199999999995</v>
      </c>
      <c r="I7669">
        <v>141.38069999999999</v>
      </c>
      <c r="J7669">
        <v>-137.22049999999999</v>
      </c>
      <c r="K7669">
        <v>1.1137300000000001</v>
      </c>
      <c r="L7669">
        <v>141.47739999999999</v>
      </c>
      <c r="M7669">
        <v>0.99831460000000005</v>
      </c>
      <c r="N7669">
        <v>0</v>
      </c>
      <c r="O7669">
        <v>4.1509450000000003E-2</v>
      </c>
      <c r="P7669">
        <v>0.99991200000000002</v>
      </c>
      <c r="Q7669">
        <v>1.287867E-2</v>
      </c>
      <c r="R7669">
        <v>-3.1986190000000002E-3</v>
      </c>
      <c r="S7669">
        <v>3.0149840000000001</v>
      </c>
      <c r="T7669">
        <v>-1.007822</v>
      </c>
      <c r="U7669">
        <v>-0.33697510000000003</v>
      </c>
      <c r="V7669">
        <v>4.4735370000000003E-2</v>
      </c>
      <c r="W7669">
        <v>5.3384479999999998E-2</v>
      </c>
      <c r="X7669">
        <v>0.99757150000000006</v>
      </c>
      <c r="Y7669">
        <v>0.1423722</v>
      </c>
      <c r="Z7669">
        <v>-3.658409E-2</v>
      </c>
      <c r="AA7669">
        <v>0.98913689999999999</v>
      </c>
      <c r="AB7669">
        <v>13</v>
      </c>
      <c r="AC7669">
        <v>0.47109999999997798</v>
      </c>
      <c r="AD7669">
        <v>-0.25326799999999899</v>
      </c>
      <c r="AE7669">
        <v>-9.6699999999998398E-2</v>
      </c>
      <c r="AF7669">
        <v>9.09607501194276E-2</v>
      </c>
      <c r="AG7669">
        <v>-0.25326799999999899</v>
      </c>
      <c r="AH7669">
        <v>0.36535014402329502</v>
      </c>
      <c r="AI7669">
        <v>123.928131093278</v>
      </c>
      <c r="AJ7669">
        <v>76.019383360500896</v>
      </c>
      <c r="AK7669">
        <v>0.45376124297270098</v>
      </c>
      <c r="AL7669">
        <v>86.939839984832403</v>
      </c>
      <c r="AM7669">
        <v>87.432332624752306</v>
      </c>
      <c r="AN7669">
        <v>1.00000002682307</v>
      </c>
    </row>
    <row r="7670" spans="1:40" x14ac:dyDescent="0.25">
      <c r="A7670" t="str">
        <f>"20190312155026579"</f>
        <v>20190312155026579</v>
      </c>
      <c r="B7670" t="str">
        <f>"1552377026574008"</f>
        <v>1552377026574008</v>
      </c>
      <c r="C7670" t="s">
        <v>40</v>
      </c>
      <c r="D7670">
        <v>5.6035309999999896</v>
      </c>
      <c r="E7670">
        <v>0.54617609999999905</v>
      </c>
      <c r="F7670" t="s">
        <v>41</v>
      </c>
      <c r="G7670">
        <v>-136.5239</v>
      </c>
      <c r="H7670">
        <v>0.87680899999999995</v>
      </c>
      <c r="I7670">
        <v>141.3981</v>
      </c>
      <c r="J7670">
        <v>-137.10249999999999</v>
      </c>
      <c r="K7670">
        <v>1.113748</v>
      </c>
      <c r="L7670">
        <v>141.48230000000001</v>
      </c>
      <c r="M7670">
        <v>0.99829179999999995</v>
      </c>
      <c r="N7670">
        <v>0</v>
      </c>
      <c r="O7670">
        <v>4.1580569999999997E-2</v>
      </c>
      <c r="P7670">
        <v>0.99990630000000003</v>
      </c>
      <c r="Q7670">
        <v>1.3108130000000001E-2</v>
      </c>
      <c r="R7670">
        <v>-3.9737549999999998E-3</v>
      </c>
      <c r="S7670">
        <v>3.0123600000000001</v>
      </c>
      <c r="T7670">
        <v>-1.0245569999999999</v>
      </c>
      <c r="U7670">
        <v>-0.34225460000000002</v>
      </c>
      <c r="V7670">
        <v>4.5581690000000001E-2</v>
      </c>
      <c r="W7670">
        <v>5.4095860000000003E-2</v>
      </c>
      <c r="X7670">
        <v>0.99749480000000001</v>
      </c>
      <c r="Y7670">
        <v>0.1438277</v>
      </c>
      <c r="Z7670">
        <v>-3.7450839999999999E-2</v>
      </c>
      <c r="AA7670">
        <v>0.98889389999999999</v>
      </c>
      <c r="AB7670">
        <v>12</v>
      </c>
      <c r="AC7670">
        <v>0.57859999999999401</v>
      </c>
      <c r="AD7670">
        <v>-0.23693899999999901</v>
      </c>
      <c r="AE7670">
        <v>-8.4200000000009795E-2</v>
      </c>
      <c r="AF7670">
        <v>9.2943126645953403E-2</v>
      </c>
      <c r="AG7670">
        <v>-0.23693899999999901</v>
      </c>
      <c r="AH7670">
        <v>0.49354653837986201</v>
      </c>
      <c r="AI7670">
        <v>115.257081224724</v>
      </c>
      <c r="AJ7670">
        <v>79.335139180941297</v>
      </c>
      <c r="AK7670">
        <v>0.55530775256471099</v>
      </c>
      <c r="AL7670">
        <v>86.899021735285103</v>
      </c>
      <c r="AM7670">
        <v>87.383622539030199</v>
      </c>
      <c r="AN7670">
        <v>0.99999996427971705</v>
      </c>
    </row>
    <row r="7671" spans="1:40" x14ac:dyDescent="0.25">
      <c r="A7671" t="str">
        <f>"20190312155026603"</f>
        <v>20190312155026603</v>
      </c>
      <c r="B7671" t="str">
        <f>"1552377026593526"</f>
        <v>1552377026593526</v>
      </c>
      <c r="C7671" t="s">
        <v>40</v>
      </c>
      <c r="D7671">
        <v>5.6080889999999997</v>
      </c>
      <c r="E7671">
        <v>0.54601549999999999</v>
      </c>
      <c r="F7671" t="s">
        <v>41</v>
      </c>
      <c r="G7671">
        <v>-136.4186</v>
      </c>
      <c r="H7671">
        <v>0.88168969999999902</v>
      </c>
      <c r="I7671">
        <v>141.40440000000001</v>
      </c>
      <c r="J7671">
        <v>-136.9881</v>
      </c>
      <c r="K7671">
        <v>1.113583</v>
      </c>
      <c r="L7671">
        <v>141.4872</v>
      </c>
      <c r="M7671">
        <v>0.99829889999999999</v>
      </c>
      <c r="N7671">
        <v>0</v>
      </c>
      <c r="O7671">
        <v>4.1654080000000003E-2</v>
      </c>
      <c r="P7671">
        <v>0.99989019999999995</v>
      </c>
      <c r="Q7671">
        <v>1.414384E-2</v>
      </c>
      <c r="R7671">
        <v>-4.4002729999999997E-3</v>
      </c>
      <c r="S7671">
        <v>3.0123139999999999</v>
      </c>
      <c r="T7671">
        <v>-1.022168</v>
      </c>
      <c r="U7671">
        <v>-0.34315489999999998</v>
      </c>
      <c r="V7671">
        <v>4.6080210000000003E-2</v>
      </c>
      <c r="W7671">
        <v>5.4878139999999999E-2</v>
      </c>
      <c r="X7671">
        <v>0.99742920000000002</v>
      </c>
      <c r="Y7671">
        <v>0.1442148</v>
      </c>
      <c r="Z7671">
        <v>-3.7455860000000001E-2</v>
      </c>
      <c r="AA7671">
        <v>0.98883719999999997</v>
      </c>
      <c r="AB7671">
        <v>12</v>
      </c>
      <c r="AC7671">
        <v>0.569500000000005</v>
      </c>
      <c r="AD7671">
        <v>-0.2318933</v>
      </c>
      <c r="AE7671">
        <v>-8.27999999999917E-2</v>
      </c>
      <c r="AF7671">
        <v>9.1597194338204999E-2</v>
      </c>
      <c r="AG7671">
        <v>-0.2318933</v>
      </c>
      <c r="AH7671">
        <v>0.48655190639406298</v>
      </c>
      <c r="AI7671">
        <v>115.09735063153001</v>
      </c>
      <c r="AJ7671">
        <v>79.338406020282406</v>
      </c>
      <c r="AK7671">
        <v>0.54671501370569497</v>
      </c>
      <c r="AL7671">
        <v>86.854133828446706</v>
      </c>
      <c r="AM7671">
        <v>87.354874324568001</v>
      </c>
      <c r="AN7671">
        <v>1.00000000250807</v>
      </c>
    </row>
    <row r="7672" spans="1:40" x14ac:dyDescent="0.25">
      <c r="A7672" t="str">
        <f>"20190312155026642"</f>
        <v>20190312155026642</v>
      </c>
      <c r="B7672" t="str">
        <f>"1552377026633542"</f>
        <v>1552377026633542</v>
      </c>
      <c r="C7672" t="s">
        <v>40</v>
      </c>
      <c r="D7672">
        <v>5.5667609999999996</v>
      </c>
      <c r="E7672">
        <v>0.54585609999999996</v>
      </c>
      <c r="F7672" t="s">
        <v>41</v>
      </c>
      <c r="G7672">
        <v>-136.31620000000001</v>
      </c>
      <c r="H7672">
        <v>0.88626050000000001</v>
      </c>
      <c r="I7672">
        <v>141.41059999999999</v>
      </c>
      <c r="J7672">
        <v>-136.80520000000001</v>
      </c>
      <c r="K7672">
        <v>1.1133500000000001</v>
      </c>
      <c r="L7672">
        <v>141.495</v>
      </c>
      <c r="M7672">
        <v>0.99832120000000002</v>
      </c>
      <c r="N7672">
        <v>0</v>
      </c>
      <c r="O7672">
        <v>4.1778830000000003E-2</v>
      </c>
      <c r="P7672">
        <v>0.99986790000000003</v>
      </c>
      <c r="Q7672">
        <v>1.5282570000000001E-2</v>
      </c>
      <c r="R7672">
        <v>-5.5747050000000001E-3</v>
      </c>
      <c r="S7672">
        <v>3.013245</v>
      </c>
      <c r="T7672">
        <v>-1.019377</v>
      </c>
      <c r="U7672">
        <v>-0.3427887</v>
      </c>
      <c r="V7672">
        <v>4.7376389999999997E-2</v>
      </c>
      <c r="W7672">
        <v>5.5337110000000002E-2</v>
      </c>
      <c r="X7672">
        <v>0.99734310000000004</v>
      </c>
      <c r="Y7672">
        <v>0.1442367</v>
      </c>
      <c r="Z7672">
        <v>-3.7392500000000002E-2</v>
      </c>
      <c r="AA7672">
        <v>0.98883650000000001</v>
      </c>
      <c r="AB7672">
        <v>12</v>
      </c>
      <c r="AC7672">
        <v>0.48900000000000399</v>
      </c>
      <c r="AD7672">
        <v>-0.2270895</v>
      </c>
      <c r="AE7672">
        <v>-8.4400000000016406E-2</v>
      </c>
      <c r="AF7672">
        <v>8.6630031992214807E-2</v>
      </c>
      <c r="AG7672">
        <v>-0.2270895</v>
      </c>
      <c r="AH7672">
        <v>0.40105299664621702</v>
      </c>
      <c r="AI7672">
        <v>118.96313622903899</v>
      </c>
      <c r="AJ7672">
        <v>77.811013997513598</v>
      </c>
      <c r="AK7672">
        <v>0.46895405912747201</v>
      </c>
      <c r="AL7672">
        <v>86.827796718905603</v>
      </c>
      <c r="AM7672">
        <v>87.280345924680304</v>
      </c>
      <c r="AN7672">
        <v>0.99999998859509698</v>
      </c>
    </row>
    <row r="7673" spans="1:40" x14ac:dyDescent="0.25">
      <c r="A7673" t="str">
        <f>"20190312155026665"</f>
        <v>20190312155026665</v>
      </c>
      <c r="B7673" t="str">
        <f>"1552377026653062"</f>
        <v>1552377026653062</v>
      </c>
      <c r="C7673" t="s">
        <v>40</v>
      </c>
      <c r="D7673">
        <v>5.5789260000000001</v>
      </c>
      <c r="E7673">
        <v>0.54585600000000001</v>
      </c>
      <c r="F7673" t="s">
        <v>41</v>
      </c>
      <c r="G7673">
        <v>-136.12719999999999</v>
      </c>
      <c r="H7673">
        <v>0.88488319999999998</v>
      </c>
      <c r="I7673">
        <v>141.41720000000001</v>
      </c>
      <c r="J7673">
        <v>-136.7002</v>
      </c>
      <c r="K7673">
        <v>1.11334</v>
      </c>
      <c r="L7673">
        <v>141.49950000000001</v>
      </c>
      <c r="M7673">
        <v>0.99832080000000001</v>
      </c>
      <c r="N7673">
        <v>0</v>
      </c>
      <c r="O7673">
        <v>4.1853250000000002E-2</v>
      </c>
      <c r="P7673">
        <v>0.99984989999999996</v>
      </c>
      <c r="Q7673">
        <v>1.637309E-2</v>
      </c>
      <c r="R7673">
        <v>-5.6834370000000004E-3</v>
      </c>
      <c r="S7673">
        <v>3.013992</v>
      </c>
      <c r="T7673">
        <v>-1.0156849999999999</v>
      </c>
      <c r="U7673">
        <v>-0.34504699999999999</v>
      </c>
      <c r="V7673">
        <v>4.755906E-2</v>
      </c>
      <c r="W7673">
        <v>5.6359760000000002E-2</v>
      </c>
      <c r="X7673">
        <v>0.99727710000000003</v>
      </c>
      <c r="Y7673">
        <v>0.145043899999999</v>
      </c>
      <c r="Z7673">
        <v>-3.7410289999999999E-2</v>
      </c>
      <c r="AA7673">
        <v>0.98871770000000003</v>
      </c>
      <c r="AB7673">
        <v>11</v>
      </c>
      <c r="AC7673">
        <v>0.57300000000000695</v>
      </c>
      <c r="AD7673">
        <v>-0.22845679999999999</v>
      </c>
      <c r="AE7673">
        <v>-8.2300000000003495E-2</v>
      </c>
      <c r="AF7673">
        <v>9.1913344499933894E-2</v>
      </c>
      <c r="AG7673">
        <v>-0.22845679999999999</v>
      </c>
      <c r="AH7673">
        <v>0.49236369705693001</v>
      </c>
      <c r="AI7673">
        <v>114.51870465738401</v>
      </c>
      <c r="AJ7673">
        <v>79.425863234404801</v>
      </c>
      <c r="AK7673">
        <v>0.55051120110581897</v>
      </c>
      <c r="AL7673">
        <v>86.769111471062402</v>
      </c>
      <c r="AM7673">
        <v>87.2696951336643</v>
      </c>
      <c r="AN7673">
        <v>0.999999950459874</v>
      </c>
    </row>
    <row r="7674" spans="1:40" x14ac:dyDescent="0.25">
      <c r="A7674" t="str">
        <f>"20190312155026691"</f>
        <v>20190312155026691</v>
      </c>
      <c r="B7674" t="str">
        <f>"1552377026683318"</f>
        <v>1552377026683318</v>
      </c>
      <c r="C7674" t="s">
        <v>40</v>
      </c>
      <c r="D7674">
        <v>5.5768190000000004</v>
      </c>
      <c r="E7674">
        <v>0.54565640000000004</v>
      </c>
      <c r="F7674" t="s">
        <v>41</v>
      </c>
      <c r="G7674">
        <v>-136.03700000000001</v>
      </c>
      <c r="H7674">
        <v>0.89055869999999904</v>
      </c>
      <c r="I7674">
        <v>141.42359999999999</v>
      </c>
      <c r="J7674">
        <v>-136.59370000000001</v>
      </c>
      <c r="K7674">
        <v>1.1133710000000001</v>
      </c>
      <c r="L7674">
        <v>141.50399999999999</v>
      </c>
      <c r="M7674">
        <v>0.99831639999999999</v>
      </c>
      <c r="N7674">
        <v>0</v>
      </c>
      <c r="O7674">
        <v>4.1929630000000002E-2</v>
      </c>
      <c r="P7674">
        <v>0.99983630000000001</v>
      </c>
      <c r="Q7674">
        <v>1.7185590000000001E-2</v>
      </c>
      <c r="R7674">
        <v>-5.6710619999999897E-3</v>
      </c>
      <c r="S7674">
        <v>3.015091</v>
      </c>
      <c r="T7674">
        <v>-1.012872</v>
      </c>
      <c r="U7674">
        <v>-0.34458919999999998</v>
      </c>
      <c r="V7674">
        <v>4.7623119999999998E-2</v>
      </c>
      <c r="W7674">
        <v>5.7198110000000003E-2</v>
      </c>
      <c r="X7674">
        <v>0.99722639999999996</v>
      </c>
      <c r="Y7674">
        <v>0.14499129999999999</v>
      </c>
      <c r="Z7674">
        <v>-3.7315859999999999E-2</v>
      </c>
      <c r="AA7674">
        <v>0.98872899999999997</v>
      </c>
      <c r="AB7674">
        <v>10</v>
      </c>
      <c r="AC7674">
        <v>0.55670000000000597</v>
      </c>
      <c r="AD7674">
        <v>-0.22281229999999999</v>
      </c>
      <c r="AE7674">
        <v>-8.0399999999997293E-2</v>
      </c>
      <c r="AF7674">
        <v>8.9626269311144702E-2</v>
      </c>
      <c r="AG7674">
        <v>-0.22281229999999999</v>
      </c>
      <c r="AH7674">
        <v>0.47785249338733499</v>
      </c>
      <c r="AI7674">
        <v>114.621373413679</v>
      </c>
      <c r="AJ7674">
        <v>79.3769941552532</v>
      </c>
      <c r="AK7674">
        <v>0.53480949376242104</v>
      </c>
      <c r="AL7674">
        <v>86.721000226738695</v>
      </c>
      <c r="AM7674">
        <v>87.265884319749304</v>
      </c>
      <c r="AN7674">
        <v>1.00000003910153</v>
      </c>
    </row>
    <row r="7675" spans="1:40" x14ac:dyDescent="0.25">
      <c r="A7675" t="str">
        <f>"20190312155026736"</f>
        <v>20190312155026736</v>
      </c>
      <c r="B7675" t="str">
        <f>"1552377026723334"</f>
        <v>1552377026723334</v>
      </c>
      <c r="C7675" t="s">
        <v>40</v>
      </c>
      <c r="D7675">
        <v>5.5958319999999997</v>
      </c>
      <c r="E7675">
        <v>0.54553999999999903</v>
      </c>
      <c r="F7675" t="s">
        <v>41</v>
      </c>
      <c r="G7675">
        <v>-135.8811</v>
      </c>
      <c r="H7675">
        <v>0.87447989999999998</v>
      </c>
      <c r="I7675">
        <v>141.423</v>
      </c>
      <c r="J7675">
        <v>-136.4171</v>
      </c>
      <c r="K7675">
        <v>1.113211</v>
      </c>
      <c r="L7675">
        <v>141.51159999999999</v>
      </c>
      <c r="M7675">
        <v>0.99834449999999997</v>
      </c>
      <c r="N7675">
        <v>0</v>
      </c>
      <c r="O7675">
        <v>4.2051789999999999E-2</v>
      </c>
      <c r="P7675">
        <v>0.99981339999999996</v>
      </c>
      <c r="Q7675">
        <v>1.8650429999999999E-2</v>
      </c>
      <c r="R7675">
        <v>-5.066877E-3</v>
      </c>
      <c r="S7675">
        <v>3.01593</v>
      </c>
      <c r="T7675">
        <v>-1.0110269999999999</v>
      </c>
      <c r="U7675">
        <v>-0.34283449999999999</v>
      </c>
      <c r="V7675">
        <v>4.7139739999999999E-2</v>
      </c>
      <c r="W7675">
        <v>5.7827440000000001E-2</v>
      </c>
      <c r="X7675">
        <v>0.99721300000000002</v>
      </c>
      <c r="Y7675">
        <v>0.1445688</v>
      </c>
      <c r="Z7675">
        <v>-3.7213330000000003E-2</v>
      </c>
      <c r="AA7675">
        <v>0.98879470000000003</v>
      </c>
      <c r="AB7675">
        <v>9</v>
      </c>
      <c r="AC7675">
        <v>0.53600000000000103</v>
      </c>
      <c r="AD7675">
        <v>-0.238731099999999</v>
      </c>
      <c r="AE7675">
        <v>-8.8599999999985302E-2</v>
      </c>
      <c r="AF7675">
        <v>9.3100902468568697E-2</v>
      </c>
      <c r="AG7675">
        <v>-0.238731099999999</v>
      </c>
      <c r="AH7675">
        <v>0.44572684701777598</v>
      </c>
      <c r="AI7675">
        <v>117.66733820860701</v>
      </c>
      <c r="AJ7675">
        <v>78.202006107985795</v>
      </c>
      <c r="AK7675">
        <v>0.51413299670423795</v>
      </c>
      <c r="AL7675">
        <v>86.684882254307894</v>
      </c>
      <c r="AM7675">
        <v>87.293558114538598</v>
      </c>
      <c r="AN7675">
        <v>0.99999996763661003</v>
      </c>
    </row>
    <row r="7676" spans="1:40" x14ac:dyDescent="0.25">
      <c r="A7676" t="str">
        <f>"20190312155026759"</f>
        <v>20190312155026759</v>
      </c>
      <c r="B7676" t="str">
        <f>"1552377026743831"</f>
        <v>1552377026743831</v>
      </c>
      <c r="C7676" t="s">
        <v>40</v>
      </c>
      <c r="D7676">
        <v>5.6049800000000003</v>
      </c>
      <c r="E7676">
        <v>0.54547950000000001</v>
      </c>
      <c r="F7676" t="s">
        <v>41</v>
      </c>
      <c r="G7676">
        <v>-135.72739999999999</v>
      </c>
      <c r="H7676">
        <v>0.88288319999999998</v>
      </c>
      <c r="I7676">
        <v>141.434</v>
      </c>
      <c r="J7676">
        <v>-136.33770000000001</v>
      </c>
      <c r="K7676">
        <v>1.113067</v>
      </c>
      <c r="L7676">
        <v>141.51499999999999</v>
      </c>
      <c r="M7676">
        <v>0.99837359999999997</v>
      </c>
      <c r="N7676">
        <v>0</v>
      </c>
      <c r="O7676">
        <v>4.210585E-2</v>
      </c>
      <c r="P7676">
        <v>0.99978920000000004</v>
      </c>
      <c r="Q7676">
        <v>1.9821419999999999E-2</v>
      </c>
      <c r="R7676">
        <v>-5.3685740000000001E-3</v>
      </c>
      <c r="S7676">
        <v>3.017639</v>
      </c>
      <c r="T7676">
        <v>-1.007819</v>
      </c>
      <c r="U7676">
        <v>-0.339447</v>
      </c>
      <c r="V7676">
        <v>4.749316E-2</v>
      </c>
      <c r="W7676">
        <v>5.8190659999999998E-2</v>
      </c>
      <c r="X7676">
        <v>0.99717520000000004</v>
      </c>
      <c r="Y7676">
        <v>0.14358399999999999</v>
      </c>
      <c r="Z7676">
        <v>-3.6941040000000001E-2</v>
      </c>
      <c r="AA7676">
        <v>0.98894839999999995</v>
      </c>
      <c r="AB7676">
        <v>9</v>
      </c>
      <c r="AC7676">
        <v>0.61030000000002305</v>
      </c>
      <c r="AD7676">
        <v>-0.23018379999999999</v>
      </c>
      <c r="AE7676">
        <v>-8.0999999999988803E-2</v>
      </c>
      <c r="AF7676">
        <v>9.3564749818549994E-2</v>
      </c>
      <c r="AG7676">
        <v>-0.23018379999999999</v>
      </c>
      <c r="AH7676">
        <v>0.53197898009137301</v>
      </c>
      <c r="AI7676">
        <v>113.08139103117</v>
      </c>
      <c r="AJ7676">
        <v>80.024809803617202</v>
      </c>
      <c r="AK7676">
        <v>0.58714613125703696</v>
      </c>
      <c r="AL7676">
        <v>86.664036506478496</v>
      </c>
      <c r="AM7676">
        <v>87.273194455961402</v>
      </c>
      <c r="AN7676">
        <v>1.0000000663265201</v>
      </c>
    </row>
    <row r="7677" spans="1:40" x14ac:dyDescent="0.25">
      <c r="A7677" t="str">
        <f>"20190312155026781"</f>
        <v>20190312155026781</v>
      </c>
      <c r="B7677" t="str">
        <f>"1552377026773110"</f>
        <v>1552377026773110</v>
      </c>
      <c r="C7677" t="s">
        <v>40</v>
      </c>
      <c r="D7677">
        <v>5.596908</v>
      </c>
      <c r="E7677">
        <v>0.54535199999999995</v>
      </c>
      <c r="F7677" t="s">
        <v>41</v>
      </c>
      <c r="G7677">
        <v>-135.655</v>
      </c>
      <c r="H7677">
        <v>0.88578210000000002</v>
      </c>
      <c r="I7677">
        <v>141.43799999999999</v>
      </c>
      <c r="J7677">
        <v>-136.25829999999999</v>
      </c>
      <c r="K7677">
        <v>1.1129</v>
      </c>
      <c r="L7677">
        <v>141.51840000000001</v>
      </c>
      <c r="M7677">
        <v>0.99841000000000002</v>
      </c>
      <c r="N7677">
        <v>0</v>
      </c>
      <c r="O7677">
        <v>4.2161079999999997E-2</v>
      </c>
      <c r="P7677">
        <v>0.99973020000000001</v>
      </c>
      <c r="Q7677">
        <v>2.2540790000000002E-2</v>
      </c>
      <c r="R7677">
        <v>-5.6313300000000004E-3</v>
      </c>
      <c r="S7677">
        <v>3.0187379999999999</v>
      </c>
      <c r="T7677">
        <v>-1.0050680000000001</v>
      </c>
      <c r="U7677">
        <v>-0.3399353</v>
      </c>
      <c r="V7677">
        <v>4.7807210000000003E-2</v>
      </c>
      <c r="W7677">
        <v>5.9887139999999998E-2</v>
      </c>
      <c r="X7677">
        <v>0.99705969999999999</v>
      </c>
      <c r="Y7677">
        <v>0.14380079999999901</v>
      </c>
      <c r="Z7677">
        <v>-3.6884769999999997E-2</v>
      </c>
      <c r="AA7677">
        <v>0.98891899999999999</v>
      </c>
      <c r="AB7677">
        <v>8</v>
      </c>
      <c r="AC7677">
        <v>0.60329999999998996</v>
      </c>
      <c r="AD7677">
        <v>-0.22711790000000001</v>
      </c>
      <c r="AE7677">
        <v>-8.0400000000025701E-2</v>
      </c>
      <c r="AF7677">
        <v>9.2852444879805096E-2</v>
      </c>
      <c r="AG7677">
        <v>-0.22711790000000001</v>
      </c>
      <c r="AH7677">
        <v>0.52611055554990305</v>
      </c>
      <c r="AI7677">
        <v>113.03142328672099</v>
      </c>
      <c r="AJ7677">
        <v>79.991026818634396</v>
      </c>
      <c r="AK7677">
        <v>0.58051393926553996</v>
      </c>
      <c r="AL7677">
        <v>86.566665359224402</v>
      </c>
      <c r="AM7677">
        <v>87.254873379658306</v>
      </c>
      <c r="AN7677">
        <v>1.0000000221147201</v>
      </c>
    </row>
    <row r="7678" spans="1:40" x14ac:dyDescent="0.25">
      <c r="A7678" t="str">
        <f>"20190312155026806"</f>
        <v>20190312155026806</v>
      </c>
      <c r="B7678" t="str">
        <f>"1552377026793607"</f>
        <v>1552377026793607</v>
      </c>
      <c r="C7678" t="s">
        <v>40</v>
      </c>
      <c r="D7678">
        <v>5.5917209999999997</v>
      </c>
      <c r="E7678">
        <v>0.54524010000000001</v>
      </c>
      <c r="F7678" t="s">
        <v>41</v>
      </c>
      <c r="G7678">
        <v>-135.58430000000001</v>
      </c>
      <c r="H7678">
        <v>0.89007409999999998</v>
      </c>
      <c r="I7678">
        <v>141.4425</v>
      </c>
      <c r="J7678">
        <v>-136.17769999999999</v>
      </c>
      <c r="K7678">
        <v>1.1127020000000001</v>
      </c>
      <c r="L7678">
        <v>141.52189999999999</v>
      </c>
      <c r="M7678">
        <v>0.99845519999999999</v>
      </c>
      <c r="N7678">
        <v>0</v>
      </c>
      <c r="O7678">
        <v>4.2217749999999998E-2</v>
      </c>
      <c r="P7678">
        <v>0.99963239999999998</v>
      </c>
      <c r="Q7678">
        <v>2.6494009999999998E-2</v>
      </c>
      <c r="R7678">
        <v>-5.7522069999999996E-3</v>
      </c>
      <c r="S7678">
        <v>3.021439</v>
      </c>
      <c r="T7678">
        <v>-0.99882769999999999</v>
      </c>
      <c r="U7678">
        <v>-0.33982849999999998</v>
      </c>
      <c r="V7678">
        <v>4.7978890000000003E-2</v>
      </c>
      <c r="W7678">
        <v>6.2547660000000005E-2</v>
      </c>
      <c r="X7678">
        <v>0.996888</v>
      </c>
      <c r="Y7678">
        <v>0.14385309999999901</v>
      </c>
      <c r="Z7678">
        <v>-3.6662380000000001E-2</v>
      </c>
      <c r="AA7678">
        <v>0.98891969999999996</v>
      </c>
      <c r="AB7678">
        <v>8</v>
      </c>
      <c r="AC7678">
        <v>0.59339999999997395</v>
      </c>
      <c r="AD7678">
        <v>-0.22262789999999999</v>
      </c>
      <c r="AE7678">
        <v>-7.9399999999992504E-2</v>
      </c>
      <c r="AF7678">
        <v>9.1715175439611996E-2</v>
      </c>
      <c r="AG7678">
        <v>-0.22262789999999999</v>
      </c>
      <c r="AH7678">
        <v>0.51790096278984998</v>
      </c>
      <c r="AI7678">
        <v>112.941958481965</v>
      </c>
      <c r="AJ7678">
        <v>79.957595930353406</v>
      </c>
      <c r="AK7678">
        <v>0.57113594049313898</v>
      </c>
      <c r="AL7678">
        <v>86.413941994848301</v>
      </c>
      <c r="AM7678">
        <v>87.2445567691978</v>
      </c>
      <c r="AN7678">
        <v>0.99999993410055099</v>
      </c>
    </row>
    <row r="7679" spans="1:40" x14ac:dyDescent="0.25">
      <c r="A7679" t="str">
        <f>"20190312155026826"</f>
        <v>20190312155026826</v>
      </c>
      <c r="B7679" t="str">
        <f>"1552377026813126"</f>
        <v>1552377026813126</v>
      </c>
      <c r="C7679" t="s">
        <v>40</v>
      </c>
      <c r="D7679">
        <v>5.5940830000000004</v>
      </c>
      <c r="E7679">
        <v>0.54516209999999998</v>
      </c>
      <c r="F7679" t="s">
        <v>41</v>
      </c>
      <c r="G7679">
        <v>-135.4546</v>
      </c>
      <c r="H7679">
        <v>0.87639359999999999</v>
      </c>
      <c r="I7679">
        <v>141.4409</v>
      </c>
      <c r="J7679">
        <v>-136.10550000000001</v>
      </c>
      <c r="K7679">
        <v>1.1123179999999999</v>
      </c>
      <c r="L7679">
        <v>141.52500000000001</v>
      </c>
      <c r="M7679">
        <v>0.99852589999999997</v>
      </c>
      <c r="N7679">
        <v>0</v>
      </c>
      <c r="O7679">
        <v>4.2270809999999999E-2</v>
      </c>
      <c r="P7679">
        <v>0.99953309999999995</v>
      </c>
      <c r="Q7679">
        <v>3.0020160000000001E-2</v>
      </c>
      <c r="R7679">
        <v>-5.7322369999999899E-3</v>
      </c>
      <c r="S7679">
        <v>3.0253450000000002</v>
      </c>
      <c r="T7679">
        <v>-0.98870279999999999</v>
      </c>
      <c r="U7679">
        <v>-0.33825680000000002</v>
      </c>
      <c r="V7679">
        <v>4.8004329999999998E-2</v>
      </c>
      <c r="W7679">
        <v>6.3998169999999993E-2</v>
      </c>
      <c r="X7679">
        <v>0.99679479999999998</v>
      </c>
      <c r="Y7679">
        <v>0.1434858</v>
      </c>
      <c r="Z7679">
        <v>-3.6223270000000002E-2</v>
      </c>
      <c r="AA7679">
        <v>0.98898920000000001</v>
      </c>
      <c r="AB7679">
        <v>8</v>
      </c>
      <c r="AC7679">
        <v>0.65090000000000703</v>
      </c>
      <c r="AD7679">
        <v>-0.23592440000000001</v>
      </c>
      <c r="AE7679">
        <v>-8.4100000000006503E-2</v>
      </c>
      <c r="AF7679">
        <v>9.8789305045597603E-2</v>
      </c>
      <c r="AG7679">
        <v>-0.23592440000000001</v>
      </c>
      <c r="AH7679">
        <v>0.57275021298558604</v>
      </c>
      <c r="AI7679">
        <v>112.09327319575701</v>
      </c>
      <c r="AJ7679">
        <v>80.213778158690403</v>
      </c>
      <c r="AK7679">
        <v>0.62726585733784801</v>
      </c>
      <c r="AL7679">
        <v>86.330667362300304</v>
      </c>
      <c r="AM7679">
        <v>87.242840623459998</v>
      </c>
      <c r="AN7679">
        <v>1.00000002738456</v>
      </c>
    </row>
    <row r="7680" spans="1:40" x14ac:dyDescent="0.25">
      <c r="A7680" t="str">
        <f>"20190312155026854"</f>
        <v>20190312155026854</v>
      </c>
      <c r="B7680" t="str">
        <f>"1552377026843382"</f>
        <v>1552377026843382</v>
      </c>
      <c r="C7680" t="s">
        <v>40</v>
      </c>
      <c r="D7680">
        <v>5.6076079999999999</v>
      </c>
      <c r="E7680">
        <v>0.54498340000000001</v>
      </c>
      <c r="F7680" t="s">
        <v>41</v>
      </c>
      <c r="G7680">
        <v>-135.38419999999999</v>
      </c>
      <c r="H7680">
        <v>0.87906479999999998</v>
      </c>
      <c r="I7680">
        <v>141.44470000000001</v>
      </c>
      <c r="J7680">
        <v>-136.01220000000001</v>
      </c>
      <c r="K7680">
        <v>1.111829</v>
      </c>
      <c r="L7680">
        <v>141.529</v>
      </c>
      <c r="M7680">
        <v>0.99861960000000005</v>
      </c>
      <c r="N7680">
        <v>0</v>
      </c>
      <c r="O7680">
        <v>4.2340080000000002E-2</v>
      </c>
      <c r="P7680">
        <v>0.99943070000000001</v>
      </c>
      <c r="Q7680">
        <v>3.3225829999999998E-2</v>
      </c>
      <c r="R7680">
        <v>-5.8728529999999999E-3</v>
      </c>
      <c r="S7680">
        <v>3.028931</v>
      </c>
      <c r="T7680">
        <v>-0.97961909999999996</v>
      </c>
      <c r="U7680">
        <v>-0.33676149999999999</v>
      </c>
      <c r="V7680">
        <v>4.8205230000000002E-2</v>
      </c>
      <c r="W7680">
        <v>6.4241309999999996E-2</v>
      </c>
      <c r="X7680">
        <v>0.99676940000000003</v>
      </c>
      <c r="Y7680">
        <v>0.1431444</v>
      </c>
      <c r="Z7680">
        <v>-3.5834079999999997E-2</v>
      </c>
      <c r="AA7680">
        <v>0.98905290000000001</v>
      </c>
      <c r="AB7680">
        <v>8</v>
      </c>
      <c r="AC7680">
        <v>0.62800000000001399</v>
      </c>
      <c r="AD7680">
        <v>-0.2327642</v>
      </c>
      <c r="AE7680">
        <v>-8.4299999999984707E-2</v>
      </c>
      <c r="AF7680">
        <v>9.7649443049555196E-2</v>
      </c>
      <c r="AG7680">
        <v>-0.2327642</v>
      </c>
      <c r="AH7680">
        <v>0.54968765280868404</v>
      </c>
      <c r="AI7680">
        <v>112.632263323771</v>
      </c>
      <c r="AJ7680">
        <v>79.926758531105705</v>
      </c>
      <c r="AK7680">
        <v>0.60487279834676699</v>
      </c>
      <c r="AL7680">
        <v>86.316707505039403</v>
      </c>
      <c r="AM7680">
        <v>87.231249277873502</v>
      </c>
      <c r="AN7680">
        <v>0.99999996344311304</v>
      </c>
    </row>
    <row r="7681" spans="1:40" x14ac:dyDescent="0.25">
      <c r="A7681" t="str">
        <f>"20190312155026876"</f>
        <v>20190312155026876</v>
      </c>
      <c r="B7681" t="str">
        <f>"1552377026863878"</f>
        <v>1552377026863878</v>
      </c>
      <c r="C7681" t="s">
        <v>40</v>
      </c>
      <c r="D7681">
        <v>5.5934109999999997</v>
      </c>
      <c r="E7681">
        <v>0.54493859999999905</v>
      </c>
      <c r="F7681" t="s">
        <v>41</v>
      </c>
      <c r="G7681">
        <v>-135.31219999999999</v>
      </c>
      <c r="H7681">
        <v>0.88740549999999996</v>
      </c>
      <c r="I7681">
        <v>141.45150000000001</v>
      </c>
      <c r="J7681">
        <v>-135.9348</v>
      </c>
      <c r="K7681">
        <v>1.111605</v>
      </c>
      <c r="L7681">
        <v>141.5324</v>
      </c>
      <c r="M7681">
        <v>0.99867779999999995</v>
      </c>
      <c r="N7681">
        <v>0</v>
      </c>
      <c r="O7681">
        <v>4.2395009999999997E-2</v>
      </c>
      <c r="P7681">
        <v>0.99936029999999998</v>
      </c>
      <c r="Q7681">
        <v>3.5153820000000002E-2</v>
      </c>
      <c r="R7681">
        <v>-6.5969729999999999E-3</v>
      </c>
      <c r="S7681">
        <v>3.0320589999999998</v>
      </c>
      <c r="T7681">
        <v>-0.97205810000000004</v>
      </c>
      <c r="U7681">
        <v>-0.33540340000000002</v>
      </c>
      <c r="V7681">
        <v>4.8978109999999998E-2</v>
      </c>
      <c r="W7681">
        <v>6.4163739999999997E-2</v>
      </c>
      <c r="X7681">
        <v>0.99673679999999998</v>
      </c>
      <c r="Y7681">
        <v>0.14281849999999999</v>
      </c>
      <c r="Z7681">
        <v>-3.5502209999999999E-2</v>
      </c>
      <c r="AA7681">
        <v>0.98911199999999999</v>
      </c>
      <c r="AB7681">
        <v>8</v>
      </c>
      <c r="AC7681">
        <v>0.62260000000000504</v>
      </c>
      <c r="AD7681">
        <v>-0.224199499999999</v>
      </c>
      <c r="AE7681">
        <v>-8.0899999999985497E-2</v>
      </c>
      <c r="AF7681">
        <v>9.5105598456119197E-2</v>
      </c>
      <c r="AG7681">
        <v>-0.224199499999999</v>
      </c>
      <c r="AH7681">
        <v>0.54864512558802003</v>
      </c>
      <c r="AI7681">
        <v>111.931563080717</v>
      </c>
      <c r="AJ7681">
        <v>80.165715185513307</v>
      </c>
      <c r="AK7681">
        <v>0.60026824377892996</v>
      </c>
      <c r="AL7681">
        <v>86.321161426226496</v>
      </c>
      <c r="AM7681">
        <v>87.186836463752996</v>
      </c>
      <c r="AN7681">
        <v>1.00000004463209</v>
      </c>
    </row>
    <row r="7682" spans="1:40" x14ac:dyDescent="0.25">
      <c r="A7682" t="str">
        <f>"20190312155026911"</f>
        <v>20190312155026911</v>
      </c>
      <c r="B7682" t="str">
        <f>"1552377026903894"</f>
        <v>1552377026903894</v>
      </c>
      <c r="C7682" t="s">
        <v>40</v>
      </c>
      <c r="D7682">
        <v>5.6774300000000002</v>
      </c>
      <c r="E7682">
        <v>0.54571990000000004</v>
      </c>
      <c r="F7682" t="s">
        <v>41</v>
      </c>
      <c r="G7682">
        <v>-135.2433</v>
      </c>
      <c r="H7682">
        <v>0.89102300000000001</v>
      </c>
      <c r="I7682">
        <v>141.4555</v>
      </c>
      <c r="J7682">
        <v>-135.8192</v>
      </c>
      <c r="K7682">
        <v>1.1113949999999999</v>
      </c>
      <c r="L7682">
        <v>141.53739999999999</v>
      </c>
      <c r="M7682">
        <v>0.99874839999999998</v>
      </c>
      <c r="N7682">
        <v>0</v>
      </c>
      <c r="O7682">
        <v>4.2472900000000001E-2</v>
      </c>
      <c r="P7682">
        <v>0.99924380000000002</v>
      </c>
      <c r="Q7682">
        <v>3.7879160000000002E-2</v>
      </c>
      <c r="R7682">
        <v>-8.7749669999999998E-3</v>
      </c>
      <c r="S7682">
        <v>3.0337519999999998</v>
      </c>
      <c r="T7682">
        <v>-0.96781329999999999</v>
      </c>
      <c r="U7682">
        <v>-0.33699040000000002</v>
      </c>
      <c r="V7682">
        <v>5.1224459999999999E-2</v>
      </c>
      <c r="W7682">
        <v>6.4224660000000003E-2</v>
      </c>
      <c r="X7682">
        <v>0.9966199</v>
      </c>
      <c r="Y7682">
        <v>0.14339959999999999</v>
      </c>
      <c r="Z7682">
        <v>-3.5448279999999999E-2</v>
      </c>
      <c r="AA7682">
        <v>0.98902979999999996</v>
      </c>
      <c r="AB7682">
        <v>8</v>
      </c>
      <c r="AC7682">
        <v>0.57589999999998998</v>
      </c>
      <c r="AD7682">
        <v>-0.22037200000000001</v>
      </c>
      <c r="AE7682">
        <v>-8.18999999999903E-2</v>
      </c>
      <c r="AF7682">
        <v>9.2953685821267798E-2</v>
      </c>
      <c r="AG7682">
        <v>-0.22037200000000001</v>
      </c>
      <c r="AH7682">
        <v>0.50012108505191699</v>
      </c>
      <c r="AI7682">
        <v>113.42313399218401</v>
      </c>
      <c r="AJ7682">
        <v>79.471014655457296</v>
      </c>
      <c r="AK7682">
        <v>0.55436928649165396</v>
      </c>
      <c r="AL7682">
        <v>86.317663546909401</v>
      </c>
      <c r="AM7682">
        <v>87.057689729846999</v>
      </c>
      <c r="AN7682">
        <v>0.99999998866520801</v>
      </c>
    </row>
    <row r="7683" spans="1:40" x14ac:dyDescent="0.25">
      <c r="A7683" t="str">
        <f>"20190312155026993"</f>
        <v>20190312155026993</v>
      </c>
      <c r="B7683" t="str">
        <f>"1552377026984941"</f>
        <v>1552377026984941</v>
      </c>
      <c r="C7683" t="s">
        <v>40</v>
      </c>
      <c r="D7683">
        <v>5.6537839999999999</v>
      </c>
      <c r="E7683">
        <v>0.54412559999999999</v>
      </c>
      <c r="F7683" t="s">
        <v>41</v>
      </c>
      <c r="G7683">
        <v>-135.10429999999999</v>
      </c>
      <c r="H7683">
        <v>0.89798960000000005</v>
      </c>
      <c r="I7683">
        <v>141.45429999999999</v>
      </c>
      <c r="J7683">
        <v>-135.5376</v>
      </c>
      <c r="K7683">
        <v>1.1109880000000001</v>
      </c>
      <c r="L7683">
        <v>141.54949999999999</v>
      </c>
      <c r="M7683">
        <v>0.99887879999999996</v>
      </c>
      <c r="N7683">
        <v>0</v>
      </c>
      <c r="O7683">
        <v>4.2625150000000001E-2</v>
      </c>
      <c r="P7683">
        <v>0.99905259999999996</v>
      </c>
      <c r="Q7683">
        <v>4.2086970000000001E-2</v>
      </c>
      <c r="R7683">
        <v>-1.1077490000000001E-2</v>
      </c>
      <c r="S7683">
        <v>3.0335079999999999</v>
      </c>
      <c r="T7683">
        <v>-0.90553300000000003</v>
      </c>
      <c r="U7683">
        <v>-0.3523712</v>
      </c>
      <c r="V7683">
        <v>5.3663969999999998E-2</v>
      </c>
      <c r="W7683">
        <v>6.2629039999999997E-2</v>
      </c>
      <c r="X7683">
        <v>0.99659310000000001</v>
      </c>
      <c r="Y7683">
        <v>0.149356399999999</v>
      </c>
      <c r="Z7683">
        <v>-3.4168650000000002E-2</v>
      </c>
      <c r="AA7683">
        <v>0.98819290000000004</v>
      </c>
      <c r="AB7683">
        <v>8</v>
      </c>
      <c r="AC7683">
        <v>0.43330000000000202</v>
      </c>
      <c r="AD7683">
        <v>-0.21299839999999901</v>
      </c>
      <c r="AE7683">
        <v>-9.5200000000005502E-2</v>
      </c>
      <c r="AF7683">
        <v>9.2308289087116593E-2</v>
      </c>
      <c r="AG7683">
        <v>-0.21299839999999901</v>
      </c>
      <c r="AH7683">
        <v>0.34851006550703201</v>
      </c>
      <c r="AI7683">
        <v>120.57444620508601</v>
      </c>
      <c r="AJ7683">
        <v>75.164974364312499</v>
      </c>
      <c r="AK7683">
        <v>0.41874622911313097</v>
      </c>
      <c r="AL7683">
        <v>86.409270386831807</v>
      </c>
      <c r="AM7683">
        <v>86.917746680845994</v>
      </c>
      <c r="AN7683">
        <v>1.0000000126475399</v>
      </c>
    </row>
    <row r="7684" spans="1:40" x14ac:dyDescent="0.25">
      <c r="A7684" t="str">
        <f>"20190312155027043"</f>
        <v>20190312155027043</v>
      </c>
      <c r="B7684" t="str">
        <f>"1552377027033741"</f>
        <v>1552377027033741</v>
      </c>
      <c r="C7684" t="s">
        <v>40</v>
      </c>
      <c r="D7684">
        <v>5.6544980000000002</v>
      </c>
      <c r="E7684">
        <v>0.54410459999999905</v>
      </c>
      <c r="F7684" t="s">
        <v>41</v>
      </c>
      <c r="G7684">
        <v>-134.83179999999999</v>
      </c>
      <c r="H7684">
        <v>0.89839570000000002</v>
      </c>
      <c r="I7684">
        <v>141.46899999999999</v>
      </c>
      <c r="J7684">
        <v>-135.36799999999999</v>
      </c>
      <c r="K7684">
        <v>1.1109359999999999</v>
      </c>
      <c r="L7684">
        <v>141.55690000000001</v>
      </c>
      <c r="M7684">
        <v>0.99892219999999998</v>
      </c>
      <c r="N7684">
        <v>0</v>
      </c>
      <c r="O7684">
        <v>4.268396E-2</v>
      </c>
      <c r="P7684">
        <v>0.9988977</v>
      </c>
      <c r="Q7684">
        <v>4.5147739999999999E-2</v>
      </c>
      <c r="R7684">
        <v>-1.2848750000000001E-2</v>
      </c>
      <c r="S7684">
        <v>3.0375670000000001</v>
      </c>
      <c r="T7684">
        <v>-0.91494770000000003</v>
      </c>
      <c r="U7684">
        <v>-0.34577940000000001</v>
      </c>
      <c r="V7684">
        <v>5.5484220000000001E-2</v>
      </c>
      <c r="W7684">
        <v>6.3324809999999995E-2</v>
      </c>
      <c r="X7684">
        <v>0.99644940000000004</v>
      </c>
      <c r="Y7684">
        <v>0.14709149999999999</v>
      </c>
      <c r="Z7684">
        <v>-3.415294E-2</v>
      </c>
      <c r="AA7684">
        <v>0.98853310000000005</v>
      </c>
      <c r="AB7684">
        <v>8</v>
      </c>
      <c r="AC7684">
        <v>0.536200000000008</v>
      </c>
      <c r="AD7684">
        <v>-0.21254029999999999</v>
      </c>
      <c r="AE7684">
        <v>-8.7900000000018894E-2</v>
      </c>
      <c r="AF7684">
        <v>9.6019178308021896E-2</v>
      </c>
      <c r="AG7684">
        <v>-0.21254029999999999</v>
      </c>
      <c r="AH7684">
        <v>0.46136623411789801</v>
      </c>
      <c r="AI7684">
        <v>114.275943534481</v>
      </c>
      <c r="AJ7684">
        <v>78.243469347522705</v>
      </c>
      <c r="AK7684">
        <v>0.51696408357947699</v>
      </c>
      <c r="AL7684">
        <v>86.369326252036998</v>
      </c>
      <c r="AM7684">
        <v>86.812951816529207</v>
      </c>
      <c r="AN7684">
        <v>0.99999996849545103</v>
      </c>
    </row>
    <row r="7685" spans="1:40" x14ac:dyDescent="0.25">
      <c r="A7685" t="str">
        <f>"20190312155027070"</f>
        <v>20190312155027070</v>
      </c>
      <c r="B7685" t="str">
        <f>"1552377027063997"</f>
        <v>1552377027063997</v>
      </c>
      <c r="C7685" t="s">
        <v>40</v>
      </c>
      <c r="D7685">
        <v>5.6355510000000004</v>
      </c>
      <c r="E7685">
        <v>0.54398359999999901</v>
      </c>
      <c r="F7685" t="s">
        <v>41</v>
      </c>
      <c r="G7685">
        <v>-134.6917</v>
      </c>
      <c r="H7685">
        <v>0.90765260000000003</v>
      </c>
      <c r="I7685">
        <v>141.47919999999999</v>
      </c>
      <c r="J7685">
        <v>-135.27440000000001</v>
      </c>
      <c r="K7685">
        <v>1.1109279999999999</v>
      </c>
      <c r="L7685">
        <v>141.5609</v>
      </c>
      <c r="M7685">
        <v>0.99893929999999997</v>
      </c>
      <c r="N7685">
        <v>0</v>
      </c>
      <c r="O7685">
        <v>4.2715000000000003E-2</v>
      </c>
      <c r="P7685">
        <v>0.99883010000000005</v>
      </c>
      <c r="Q7685">
        <v>4.6562930000000002E-2</v>
      </c>
      <c r="R7685">
        <v>-1.306788E-2</v>
      </c>
      <c r="S7685">
        <v>3.0401310000000001</v>
      </c>
      <c r="T7685">
        <v>-0.91382549999999996</v>
      </c>
      <c r="U7685">
        <v>-0.34851070000000001</v>
      </c>
      <c r="V7685">
        <v>5.5730380000000003E-2</v>
      </c>
      <c r="W7685">
        <v>6.3710249999999996E-2</v>
      </c>
      <c r="X7685">
        <v>0.99641109999999999</v>
      </c>
      <c r="Y7685">
        <v>0.14790220000000001</v>
      </c>
      <c r="Z7685">
        <v>-3.4211579999999998E-2</v>
      </c>
      <c r="AA7685">
        <v>0.98841009999999996</v>
      </c>
      <c r="AB7685">
        <v>8</v>
      </c>
      <c r="AC7685">
        <v>0.58270000000001598</v>
      </c>
      <c r="AD7685">
        <v>-0.20327539999999999</v>
      </c>
      <c r="AE7685">
        <v>-8.1700000000012096E-2</v>
      </c>
      <c r="AF7685">
        <v>9.5161530747245301E-2</v>
      </c>
      <c r="AG7685">
        <v>-0.20327539999999999</v>
      </c>
      <c r="AH7685">
        <v>0.51697622927170495</v>
      </c>
      <c r="AI7685">
        <v>111.141680774102</v>
      </c>
      <c r="AJ7685">
        <v>79.570128184188505</v>
      </c>
      <c r="AK7685">
        <v>0.56359651064507998</v>
      </c>
      <c r="AL7685">
        <v>86.347197508202896</v>
      </c>
      <c r="AM7685">
        <v>86.798718784401103</v>
      </c>
      <c r="AN7685">
        <v>0.99999997570660804</v>
      </c>
    </row>
    <row r="7686" spans="1:40" x14ac:dyDescent="0.25">
      <c r="A7686" t="str">
        <f>"20190312155027094"</f>
        <v>20190312155027094</v>
      </c>
      <c r="B7686" t="str">
        <f>"1552377027083517"</f>
        <v>1552377027083517</v>
      </c>
      <c r="C7686" t="s">
        <v>40</v>
      </c>
      <c r="D7686">
        <v>5.8135919999999999</v>
      </c>
      <c r="E7686">
        <v>0.54426730000000001</v>
      </c>
      <c r="F7686" t="s">
        <v>41</v>
      </c>
      <c r="G7686">
        <v>-134.56</v>
      </c>
      <c r="H7686">
        <v>0.89558269999999995</v>
      </c>
      <c r="I7686">
        <v>141.47890000000001</v>
      </c>
      <c r="J7686">
        <v>-135.19880000000001</v>
      </c>
      <c r="K7686">
        <v>1.1109209999999901</v>
      </c>
      <c r="L7686">
        <v>141.5642</v>
      </c>
      <c r="M7686">
        <v>0.99894989999999995</v>
      </c>
      <c r="N7686">
        <v>0</v>
      </c>
      <c r="O7686">
        <v>4.2741080000000001E-2</v>
      </c>
      <c r="P7686">
        <v>0.99875689999999995</v>
      </c>
      <c r="Q7686">
        <v>4.8130079999999999E-2</v>
      </c>
      <c r="R7686">
        <v>-1.297063E-2</v>
      </c>
      <c r="S7686">
        <v>3.0417179999999999</v>
      </c>
      <c r="T7686">
        <v>-0.91698230000000003</v>
      </c>
      <c r="U7686">
        <v>-0.3483887</v>
      </c>
      <c r="V7686">
        <v>5.565531E-2</v>
      </c>
      <c r="W7686">
        <v>6.4582020000000004E-2</v>
      </c>
      <c r="X7686">
        <v>0.9963592</v>
      </c>
      <c r="Y7686">
        <v>0.147786</v>
      </c>
      <c r="Z7686">
        <v>-3.4298240000000001E-2</v>
      </c>
      <c r="AA7686">
        <v>0.98842450000000004</v>
      </c>
      <c r="AB7686">
        <v>8</v>
      </c>
      <c r="AC7686">
        <v>0.63880000000000303</v>
      </c>
      <c r="AD7686">
        <v>-0.21533829999999901</v>
      </c>
      <c r="AE7686">
        <v>-8.5299999999989495E-2</v>
      </c>
      <c r="AF7686">
        <v>0.101227283965634</v>
      </c>
      <c r="AG7686">
        <v>-0.21533829999999901</v>
      </c>
      <c r="AH7686">
        <v>0.57083879150226902</v>
      </c>
      <c r="AI7686">
        <v>110.376831529475</v>
      </c>
      <c r="AJ7686">
        <v>79.944230778560495</v>
      </c>
      <c r="AK7686">
        <v>0.61844520561624605</v>
      </c>
      <c r="AL7686">
        <v>86.297145784426107</v>
      </c>
      <c r="AM7686">
        <v>86.802855843064705</v>
      </c>
      <c r="AN7686">
        <v>1.0000000031315499</v>
      </c>
    </row>
    <row r="7687" spans="1:40" x14ac:dyDescent="0.25">
      <c r="A7687" t="str">
        <f>"20190312155027116"</f>
        <v>20190312155027116</v>
      </c>
      <c r="B7687" t="str">
        <f>"1552377027113773"</f>
        <v>1552377027113773</v>
      </c>
      <c r="C7687" t="s">
        <v>40</v>
      </c>
      <c r="D7687">
        <v>5.4719309999999997</v>
      </c>
      <c r="E7687">
        <v>0.54345690000000002</v>
      </c>
      <c r="F7687" t="s">
        <v>41</v>
      </c>
      <c r="G7687">
        <v>-134.49010000000001</v>
      </c>
      <c r="H7687">
        <v>0.89950790000000003</v>
      </c>
      <c r="I7687">
        <v>141.48240000000001</v>
      </c>
      <c r="J7687">
        <v>-135.11699999999999</v>
      </c>
      <c r="K7687">
        <v>1.110911</v>
      </c>
      <c r="L7687">
        <v>141.5677</v>
      </c>
      <c r="M7687">
        <v>0.99895909999999999</v>
      </c>
      <c r="N7687">
        <v>0</v>
      </c>
      <c r="O7687">
        <v>4.2771289999999997E-2</v>
      </c>
      <c r="P7687">
        <v>0.99870610000000004</v>
      </c>
      <c r="Q7687">
        <v>4.9189629999999998E-2</v>
      </c>
      <c r="R7687">
        <v>-1.289909E-2</v>
      </c>
      <c r="S7687">
        <v>3.0429529999999998</v>
      </c>
      <c r="T7687">
        <v>-0.90787790000000002</v>
      </c>
      <c r="U7687">
        <v>-0.35034179999999998</v>
      </c>
      <c r="V7687">
        <v>5.5611149999999998E-2</v>
      </c>
      <c r="W7687">
        <v>6.4987429999999999E-2</v>
      </c>
      <c r="X7687">
        <v>0.99633530000000003</v>
      </c>
      <c r="Y7687">
        <v>0.14853189999999999</v>
      </c>
      <c r="Z7687">
        <v>-3.4074840000000002E-2</v>
      </c>
      <c r="AA7687">
        <v>0.98832039999999999</v>
      </c>
      <c r="AB7687">
        <v>8</v>
      </c>
      <c r="AC7687">
        <v>0.62690000000000601</v>
      </c>
      <c r="AD7687">
        <v>-0.21140309999999901</v>
      </c>
      <c r="AE7687">
        <v>-8.5299999999989495E-2</v>
      </c>
      <c r="AF7687">
        <v>0.10078586129644</v>
      </c>
      <c r="AG7687">
        <v>-0.21140309999999901</v>
      </c>
      <c r="AH7687">
        <v>0.56013787109729496</v>
      </c>
      <c r="AI7687">
        <v>110.37739869477601</v>
      </c>
      <c r="AJ7687">
        <v>79.799885980139095</v>
      </c>
      <c r="AK7687">
        <v>0.60712724791783501</v>
      </c>
      <c r="AL7687">
        <v>86.273868584149795</v>
      </c>
      <c r="AM7687">
        <v>86.805310904279594</v>
      </c>
      <c r="AN7687">
        <v>0.99999999804420803</v>
      </c>
    </row>
    <row r="7688" spans="1:40" x14ac:dyDescent="0.25">
      <c r="A7688" t="str">
        <f>"20190312155027227"</f>
        <v>20190312155027227</v>
      </c>
      <c r="B7688" t="str">
        <f>"1552377027223086"</f>
        <v>1552377027223086</v>
      </c>
      <c r="C7688" t="s">
        <v>40</v>
      </c>
      <c r="D7688">
        <v>3.6027619999999998</v>
      </c>
      <c r="E7688">
        <v>0.51215880000000003</v>
      </c>
      <c r="F7688" t="s">
        <v>41</v>
      </c>
      <c r="G7688">
        <v>-134.4205</v>
      </c>
      <c r="H7688">
        <v>0.90342120000000004</v>
      </c>
      <c r="I7688">
        <v>141.48869999999999</v>
      </c>
      <c r="J7688">
        <v>-134.7433</v>
      </c>
      <c r="K7688">
        <v>1.1108100000000001</v>
      </c>
      <c r="L7688">
        <v>141.5839</v>
      </c>
      <c r="M7688">
        <v>0.9989825</v>
      </c>
      <c r="N7688">
        <v>0</v>
      </c>
      <c r="O7688">
        <v>4.2926520000000003E-2</v>
      </c>
      <c r="P7688">
        <v>0.99829480000000004</v>
      </c>
      <c r="Q7688">
        <v>5.7545510000000001E-2</v>
      </c>
      <c r="R7688">
        <v>-9.7930099999999996E-3</v>
      </c>
      <c r="S7688">
        <v>3.0441280000000002</v>
      </c>
      <c r="T7688">
        <v>-0.90689949999999997</v>
      </c>
      <c r="U7688">
        <v>-0.34428409999999998</v>
      </c>
      <c r="V7688">
        <v>5.2643500000000003E-2</v>
      </c>
      <c r="W7688">
        <v>7.132935E-2</v>
      </c>
      <c r="X7688">
        <v>0.99606260000000002</v>
      </c>
      <c r="Y7688">
        <v>0.1467888</v>
      </c>
      <c r="Z7688">
        <v>-3.382197E-2</v>
      </c>
      <c r="AA7688">
        <v>0.98858950000000001</v>
      </c>
      <c r="AB7688">
        <v>8</v>
      </c>
      <c r="AC7688">
        <v>0.32279999999999998</v>
      </c>
      <c r="AD7688">
        <v>-0.20738880000000001</v>
      </c>
      <c r="AE7688">
        <v>-9.5200000000005502E-2</v>
      </c>
      <c r="AF7688">
        <v>7.8978987546193105E-2</v>
      </c>
      <c r="AG7688">
        <v>-0.20738880000000001</v>
      </c>
      <c r="AH7688">
        <v>0.23077976763996999</v>
      </c>
      <c r="AI7688">
        <v>130.372277830352</v>
      </c>
      <c r="AJ7688">
        <v>71.107686431241405</v>
      </c>
      <c r="AK7688">
        <v>0.32016729375628</v>
      </c>
      <c r="AL7688">
        <v>85.909655579599601</v>
      </c>
      <c r="AM7688">
        <v>86.974641308487506</v>
      </c>
      <c r="AN7688">
        <v>0.99999995869121505</v>
      </c>
    </row>
    <row r="7689" spans="1:40" x14ac:dyDescent="0.25">
      <c r="A7689" t="str">
        <f>"20190312155027247"</f>
        <v>20190312155027247</v>
      </c>
      <c r="B7689" t="str">
        <f>"1552377027243581"</f>
        <v>1552377027243581</v>
      </c>
      <c r="C7689" t="s">
        <v>40</v>
      </c>
      <c r="D7689">
        <v>5.4288990000000004</v>
      </c>
      <c r="E7689">
        <v>0.51060609999999995</v>
      </c>
      <c r="F7689" t="s">
        <v>41</v>
      </c>
      <c r="G7689">
        <v>-134.04650000000001</v>
      </c>
      <c r="H7689">
        <v>0.82585569999999897</v>
      </c>
      <c r="I7689">
        <v>141.56799999999899</v>
      </c>
      <c r="J7689">
        <v>-134.67169999999999</v>
      </c>
      <c r="K7689">
        <v>1.110795</v>
      </c>
      <c r="L7689">
        <v>141.58699999999999</v>
      </c>
      <c r="M7689">
        <v>0.9989846</v>
      </c>
      <c r="N7689">
        <v>0</v>
      </c>
      <c r="O7689">
        <v>4.2954140000000002E-2</v>
      </c>
      <c r="P7689">
        <v>0.99822089999999997</v>
      </c>
      <c r="Q7689">
        <v>5.8978269999999999E-2</v>
      </c>
      <c r="R7689">
        <v>-8.7665520000000004E-3</v>
      </c>
      <c r="S7689">
        <v>3.0769959999999998</v>
      </c>
      <c r="T7689">
        <v>-1.2583409999999999</v>
      </c>
      <c r="U7689">
        <v>-6.9519040000000004E-2</v>
      </c>
      <c r="V7689">
        <v>5.1642189999999998E-2</v>
      </c>
      <c r="W7689">
        <v>7.2516929999999993E-2</v>
      </c>
      <c r="X7689">
        <v>0.99602930000000001</v>
      </c>
      <c r="Y7689">
        <v>5.7445870000000003E-2</v>
      </c>
      <c r="Z7689">
        <v>-2.8176039999999999E-2</v>
      </c>
      <c r="AA7689">
        <v>0.99795100000000003</v>
      </c>
      <c r="AB7689">
        <v>8</v>
      </c>
      <c r="AC7689">
        <v>0.625199999999978</v>
      </c>
      <c r="AD7689">
        <v>-0.28493930000000001</v>
      </c>
      <c r="AE7689">
        <v>-1.9000000000033799E-2</v>
      </c>
      <c r="AF7689">
        <v>3.7961907536338199E-2</v>
      </c>
      <c r="AG7689">
        <v>-0.28493930000000001</v>
      </c>
      <c r="AH7689">
        <v>0.51660030738120299</v>
      </c>
      <c r="AI7689">
        <v>118.81444736598</v>
      </c>
      <c r="AJ7689">
        <v>85.797225341396299</v>
      </c>
      <c r="AK7689">
        <v>0.59119149917318803</v>
      </c>
      <c r="AL7689">
        <v>85.8414357189491</v>
      </c>
      <c r="AM7689">
        <v>87.031982467345202</v>
      </c>
      <c r="AN7689">
        <v>0.99999999369155501</v>
      </c>
    </row>
    <row r="7690" spans="1:40" x14ac:dyDescent="0.25">
      <c r="A7690" t="str">
        <f>"20190312155027270"</f>
        <v>20190312155027270</v>
      </c>
      <c r="B7690" t="str">
        <f>"1552377027263102"</f>
        <v>1552377027263102</v>
      </c>
      <c r="C7690" t="s">
        <v>40</v>
      </c>
      <c r="D7690">
        <v>5.8703719999999997</v>
      </c>
      <c r="E7690">
        <v>0.51194949999999995</v>
      </c>
      <c r="F7690" t="s">
        <v>41</v>
      </c>
      <c r="G7690">
        <v>-133.96960000000001</v>
      </c>
      <c r="H7690">
        <v>0.84815429999999903</v>
      </c>
      <c r="I7690">
        <v>141.5737</v>
      </c>
      <c r="J7690">
        <v>-134.59229999999999</v>
      </c>
      <c r="K7690">
        <v>1.1107750000000001</v>
      </c>
      <c r="L7690">
        <v>141.59049999999999</v>
      </c>
      <c r="M7690">
        <v>0.9989865</v>
      </c>
      <c r="N7690">
        <v>0</v>
      </c>
      <c r="O7690">
        <v>4.2983979999999998E-2</v>
      </c>
      <c r="P7690">
        <v>0.99818240000000003</v>
      </c>
      <c r="Q7690">
        <v>5.9720200000000001E-2</v>
      </c>
      <c r="R7690">
        <v>-8.0795940000000007E-3</v>
      </c>
      <c r="S7690">
        <v>3.0727540000000002</v>
      </c>
      <c r="T7690">
        <v>-1.1493469999999999</v>
      </c>
      <c r="U7690">
        <v>-5.7861330000000002E-2</v>
      </c>
      <c r="V7690">
        <v>5.0983979999999998E-2</v>
      </c>
      <c r="W7690">
        <v>7.3025789999999993E-2</v>
      </c>
      <c r="X7690">
        <v>0.99602599999999997</v>
      </c>
      <c r="Y7690">
        <v>5.5151560000000002E-2</v>
      </c>
      <c r="Z7690">
        <v>-2.552594E-2</v>
      </c>
      <c r="AA7690">
        <v>0.99815169999999998</v>
      </c>
      <c r="AB7690">
        <v>8</v>
      </c>
      <c r="AC7690">
        <v>0.62269999999998005</v>
      </c>
      <c r="AD7690">
        <v>-0.26262069999999998</v>
      </c>
      <c r="AE7690">
        <v>-1.6799999999989199E-2</v>
      </c>
      <c r="AF7690">
        <v>3.69801455914315E-2</v>
      </c>
      <c r="AG7690">
        <v>-0.26262069999999998</v>
      </c>
      <c r="AH7690">
        <v>0.52762273024435602</v>
      </c>
      <c r="AI7690">
        <v>116.405560409152</v>
      </c>
      <c r="AJ7690">
        <v>85.990796282530297</v>
      </c>
      <c r="AK7690">
        <v>0.59052765278771002</v>
      </c>
      <c r="AL7690">
        <v>85.812202549986196</v>
      </c>
      <c r="AM7690">
        <v>87.069735547163702</v>
      </c>
      <c r="AN7690">
        <v>0.99999996244888101</v>
      </c>
    </row>
    <row r="7691" spans="1:40" x14ac:dyDescent="0.25">
      <c r="A7691" t="str">
        <f>"20190312155027293"</f>
        <v>20190312155027293</v>
      </c>
      <c r="B7691" t="str">
        <f>"1552377027283597"</f>
        <v>1552377027283597</v>
      </c>
      <c r="C7691" t="s">
        <v>40</v>
      </c>
      <c r="D7691">
        <v>5.9077999999999999</v>
      </c>
      <c r="E7691">
        <v>0.51539590000000002</v>
      </c>
      <c r="F7691" t="s">
        <v>41</v>
      </c>
      <c r="G7691">
        <v>-133.82320000000001</v>
      </c>
      <c r="H7691">
        <v>1.0169570000000001</v>
      </c>
      <c r="I7691">
        <v>141.56569999999999</v>
      </c>
      <c r="J7691">
        <v>-134.5145</v>
      </c>
      <c r="K7691">
        <v>1.110754</v>
      </c>
      <c r="L7691">
        <v>141.59389999999999</v>
      </c>
      <c r="M7691">
        <v>0.99898799999999999</v>
      </c>
      <c r="N7691">
        <v>0</v>
      </c>
      <c r="O7691">
        <v>4.3012759999999997E-2</v>
      </c>
      <c r="P7691">
        <v>0.99814270000000005</v>
      </c>
      <c r="Q7691">
        <v>6.0407809999999999E-2</v>
      </c>
      <c r="R7691">
        <v>-7.8975839999999992E-3</v>
      </c>
      <c r="S7691">
        <v>3.0267490000000001</v>
      </c>
      <c r="T7691">
        <v>-0.36930229999999997</v>
      </c>
      <c r="U7691">
        <v>-9.7274780000000005E-2</v>
      </c>
      <c r="V7691">
        <v>5.082909E-2</v>
      </c>
      <c r="W7691">
        <v>7.3516579999999998E-2</v>
      </c>
      <c r="X7691">
        <v>0.99599780000000004</v>
      </c>
      <c r="Y7691">
        <v>7.4217669999999999E-2</v>
      </c>
      <c r="Z7691">
        <v>-9.7374009999999997E-3</v>
      </c>
      <c r="AA7691">
        <v>0.99719449999999998</v>
      </c>
      <c r="AB7691">
        <v>8</v>
      </c>
      <c r="AC7691">
        <v>0.69129999999998404</v>
      </c>
      <c r="AD7691">
        <v>-9.3797000000000103E-2</v>
      </c>
      <c r="AE7691">
        <v>-2.8199999999998199E-2</v>
      </c>
      <c r="AF7691">
        <v>5.6866045574851899E-2</v>
      </c>
      <c r="AG7691">
        <v>-9.3797000000000103E-2</v>
      </c>
      <c r="AH7691">
        <v>0.67700435582951701</v>
      </c>
      <c r="AI7691">
        <v>97.860616763735393</v>
      </c>
      <c r="AJ7691">
        <v>85.198621645625593</v>
      </c>
      <c r="AK7691">
        <v>0.68583272170439702</v>
      </c>
      <c r="AL7691">
        <v>85.784006514377694</v>
      </c>
      <c r="AM7691">
        <v>87.078539714082396</v>
      </c>
      <c r="AN7691">
        <v>0.99999995076498105</v>
      </c>
    </row>
    <row r="7692" spans="1:40" x14ac:dyDescent="0.25">
      <c r="A7692" t="str">
        <f>"20190312155027319"</f>
        <v>20190312155027319</v>
      </c>
      <c r="B7692" t="str">
        <f>"1552377027313853"</f>
        <v>1552377027313853</v>
      </c>
      <c r="C7692" t="s">
        <v>40</v>
      </c>
      <c r="D7692">
        <v>5.8302079999999998</v>
      </c>
      <c r="E7692">
        <v>0.50751199999999996</v>
      </c>
      <c r="F7692" t="s">
        <v>42</v>
      </c>
      <c r="G7692">
        <v>-117.2891</v>
      </c>
      <c r="H7692" s="1">
        <v>-1.471874E-6</v>
      </c>
      <c r="I7692">
        <v>140.84370000000001</v>
      </c>
      <c r="J7692">
        <v>-134.42580000000001</v>
      </c>
      <c r="K7692">
        <v>1.1107199999999999</v>
      </c>
      <c r="L7692">
        <v>141.5977</v>
      </c>
      <c r="M7692">
        <v>0.99898909999999996</v>
      </c>
      <c r="N7692">
        <v>0</v>
      </c>
      <c r="O7692">
        <v>4.3046019999999997E-2</v>
      </c>
      <c r="P7692">
        <v>0.99815900000000002</v>
      </c>
      <c r="Q7692">
        <v>6.0159219999999999E-2</v>
      </c>
      <c r="R7692">
        <v>-7.7373499999999996E-3</v>
      </c>
      <c r="S7692">
        <v>3.0163120000000001</v>
      </c>
      <c r="T7692">
        <v>-0.19450149999999999</v>
      </c>
      <c r="U7692">
        <v>-0.13136289999999901</v>
      </c>
      <c r="V7692">
        <v>5.070268E-2</v>
      </c>
      <c r="W7692">
        <v>7.3078580000000004E-2</v>
      </c>
      <c r="X7692">
        <v>0.99603649999999999</v>
      </c>
      <c r="Y7692">
        <v>8.6210099999999998E-2</v>
      </c>
      <c r="Z7692">
        <v>-5.5471540000000003E-3</v>
      </c>
      <c r="AA7692">
        <v>0.99626150000000002</v>
      </c>
      <c r="AB7692">
        <v>8</v>
      </c>
      <c r="AC7692">
        <v>17.136700000000001</v>
      </c>
      <c r="AD7692">
        <v>-1.1107214718739999</v>
      </c>
      <c r="AE7692">
        <v>-0.75399999999999001</v>
      </c>
      <c r="AF7692">
        <v>1.48480397257439</v>
      </c>
      <c r="AG7692">
        <v>-1.1107214718739999</v>
      </c>
      <c r="AH7692">
        <v>17.017002902856699</v>
      </c>
      <c r="AI7692">
        <v>93.720375843074393</v>
      </c>
      <c r="AJ7692">
        <v>85.013335345655307</v>
      </c>
      <c r="AK7692">
        <v>17.117731532562601</v>
      </c>
      <c r="AL7692">
        <v>85.809169855113595</v>
      </c>
      <c r="AM7692">
        <v>87.085905767618399</v>
      </c>
      <c r="AN7692">
        <v>0.99999997497312398</v>
      </c>
    </row>
    <row r="7693" spans="1:40" x14ac:dyDescent="0.25">
      <c r="A7693" t="str">
        <f>"20190312155027353"</f>
        <v>20190312155027353</v>
      </c>
      <c r="B7693" t="str">
        <f>"1552377027343639"</f>
        <v>1552377027343639</v>
      </c>
      <c r="C7693" t="s">
        <v>40</v>
      </c>
      <c r="D7693">
        <v>6.0763030000000002</v>
      </c>
      <c r="E7693">
        <v>0.50946329999999995</v>
      </c>
      <c r="F7693" t="s">
        <v>48</v>
      </c>
      <c r="G7693">
        <v>0</v>
      </c>
      <c r="H7693">
        <v>0</v>
      </c>
      <c r="I7693">
        <v>0</v>
      </c>
      <c r="J7693">
        <v>-134.3229</v>
      </c>
      <c r="K7693">
        <v>1.1106849999999999</v>
      </c>
      <c r="L7693">
        <v>141.60220000000001</v>
      </c>
      <c r="M7693">
        <v>0.99898960000000003</v>
      </c>
      <c r="N7693">
        <v>0</v>
      </c>
      <c r="O7693">
        <v>4.3085520000000002E-2</v>
      </c>
      <c r="P7693">
        <v>0.99817009999999995</v>
      </c>
      <c r="Q7693">
        <v>5.9989489999999999E-2</v>
      </c>
      <c r="R7693">
        <v>-7.6330139999999996E-3</v>
      </c>
      <c r="S7693">
        <v>2.9850460000000001</v>
      </c>
      <c r="T7693">
        <v>0.32843090000000003</v>
      </c>
      <c r="U7693">
        <v>-8.8989260000000001E-2</v>
      </c>
      <c r="V7693">
        <v>5.0637990000000001E-2</v>
      </c>
      <c r="W7693">
        <v>7.2725709999999999E-2</v>
      </c>
      <c r="X7693">
        <v>0.9960656</v>
      </c>
      <c r="Y7693">
        <v>7.2145810000000005E-2</v>
      </c>
      <c r="Z7693">
        <v>8.6813680000000001E-3</v>
      </c>
      <c r="AA7693">
        <v>0.99735629999999997</v>
      </c>
      <c r="AB7693">
        <v>8</v>
      </c>
      <c r="AC7693">
        <v>2.9850460000000001</v>
      </c>
      <c r="AD7693">
        <v>0.32843090000000003</v>
      </c>
      <c r="AE7693">
        <v>-8.8989260000000001E-2</v>
      </c>
      <c r="AF7693">
        <v>0.21492983691855899</v>
      </c>
      <c r="AG7693">
        <v>0.32843090000000003</v>
      </c>
      <c r="AH7693">
        <v>2.94284588184171</v>
      </c>
      <c r="AI7693">
        <v>83.648738949874797</v>
      </c>
      <c r="AJ7693">
        <v>85.822837053210193</v>
      </c>
      <c r="AK7693">
        <v>2.9689061243403101</v>
      </c>
      <c r="AL7693">
        <v>85.829441684793906</v>
      </c>
      <c r="AM7693">
        <v>87.089702255628595</v>
      </c>
      <c r="AN7693">
        <v>0.99999995721480095</v>
      </c>
    </row>
    <row r="7694" spans="1:40" x14ac:dyDescent="0.25">
      <c r="A7694" t="str">
        <f>"20190312155027400"</f>
        <v>20190312155027400</v>
      </c>
      <c r="B7694" t="str">
        <f>"1552377027393416"</f>
        <v>1552377027393416</v>
      </c>
      <c r="C7694" t="s">
        <v>40</v>
      </c>
      <c r="D7694">
        <v>5.7466249999999999</v>
      </c>
      <c r="E7694">
        <v>0.51078059999999903</v>
      </c>
      <c r="F7694" t="s">
        <v>48</v>
      </c>
      <c r="G7694">
        <v>0</v>
      </c>
      <c r="H7694">
        <v>0</v>
      </c>
      <c r="I7694">
        <v>0</v>
      </c>
      <c r="J7694">
        <v>-134.15020000000001</v>
      </c>
      <c r="K7694">
        <v>1.1106389999999999</v>
      </c>
      <c r="L7694">
        <v>141.60980000000001</v>
      </c>
      <c r="M7694">
        <v>0.99898960000000003</v>
      </c>
      <c r="N7694">
        <v>0</v>
      </c>
      <c r="O7694">
        <v>4.3152700000000002E-2</v>
      </c>
      <c r="P7694">
        <v>0.99796510000000005</v>
      </c>
      <c r="Q7694">
        <v>6.333192E-2</v>
      </c>
      <c r="R7694">
        <v>-7.40121099999999E-3</v>
      </c>
      <c r="S7694">
        <v>2.982758</v>
      </c>
      <c r="T7694">
        <v>0.36478189999999999</v>
      </c>
      <c r="U7694">
        <v>-0.1057892</v>
      </c>
      <c r="V7694">
        <v>5.0464599999999998E-2</v>
      </c>
      <c r="W7694">
        <v>7.5831330000000002E-2</v>
      </c>
      <c r="X7694">
        <v>0.99584280000000003</v>
      </c>
      <c r="Y7694">
        <v>7.7641520000000006E-2</v>
      </c>
      <c r="Z7694">
        <v>9.9849710000000005E-3</v>
      </c>
      <c r="AA7694">
        <v>0.99693129999999996</v>
      </c>
      <c r="AB7694">
        <v>8</v>
      </c>
      <c r="AC7694">
        <v>2.982758</v>
      </c>
      <c r="AD7694">
        <v>0.36478189999999999</v>
      </c>
      <c r="AE7694">
        <v>-0.1057892</v>
      </c>
      <c r="AF7694">
        <v>0.23096475822326401</v>
      </c>
      <c r="AG7694">
        <v>0.36478189999999999</v>
      </c>
      <c r="AH7694">
        <v>2.93162186653108</v>
      </c>
      <c r="AI7694">
        <v>82.928826671253006</v>
      </c>
      <c r="AJ7694">
        <v>85.495316701704198</v>
      </c>
      <c r="AK7694">
        <v>2.9632443912765498</v>
      </c>
      <c r="AL7694">
        <v>85.651009848204495</v>
      </c>
      <c r="AM7694">
        <v>87.099002601371396</v>
      </c>
      <c r="AN7694">
        <v>0.99999997438728405</v>
      </c>
    </row>
    <row r="7695" spans="1:40" x14ac:dyDescent="0.25">
      <c r="A7695" t="str">
        <f>"20190312155027427"</f>
        <v>20190312155027427</v>
      </c>
      <c r="B7695" t="str">
        <f>"1552377027413912"</f>
        <v>1552377027413912</v>
      </c>
      <c r="C7695" t="s">
        <v>40</v>
      </c>
      <c r="D7695">
        <v>5.7046060000000001</v>
      </c>
      <c r="E7695">
        <v>0.51142069999999995</v>
      </c>
      <c r="F7695" t="s">
        <v>48</v>
      </c>
      <c r="G7695">
        <v>0</v>
      </c>
      <c r="H7695">
        <v>0</v>
      </c>
      <c r="I7695">
        <v>0</v>
      </c>
      <c r="J7695">
        <v>-134.06100000000001</v>
      </c>
      <c r="K7695">
        <v>1.110617</v>
      </c>
      <c r="L7695">
        <v>141.61369999999999</v>
      </c>
      <c r="M7695">
        <v>0.99898929999999997</v>
      </c>
      <c r="N7695">
        <v>0</v>
      </c>
      <c r="O7695">
        <v>4.3187290000000003E-2</v>
      </c>
      <c r="P7695">
        <v>0.99789609999999995</v>
      </c>
      <c r="Q7695">
        <v>6.4382670000000003E-2</v>
      </c>
      <c r="R7695">
        <v>-7.628386E-3</v>
      </c>
      <c r="S7695">
        <v>2.9830019999999999</v>
      </c>
      <c r="T7695">
        <v>0.3505819</v>
      </c>
      <c r="U7695">
        <v>-0.1147156</v>
      </c>
      <c r="V7695">
        <v>5.0723209999999998E-2</v>
      </c>
      <c r="W7695">
        <v>7.6787449999999993E-2</v>
      </c>
      <c r="X7695">
        <v>0.99575639999999999</v>
      </c>
      <c r="Y7695">
        <v>8.0699270000000003E-2</v>
      </c>
      <c r="Z7695">
        <v>9.7808129999999993E-3</v>
      </c>
      <c r="AA7695">
        <v>0.99669050000000003</v>
      </c>
      <c r="AB7695">
        <v>8</v>
      </c>
      <c r="AC7695">
        <v>2.9830019999999999</v>
      </c>
      <c r="AD7695">
        <v>0.3505819</v>
      </c>
      <c r="AE7695">
        <v>-0.1147156</v>
      </c>
      <c r="AF7695">
        <v>0.24013437108381</v>
      </c>
      <c r="AG7695">
        <v>0.3505819</v>
      </c>
      <c r="AH7695">
        <v>2.93478692167333</v>
      </c>
      <c r="AI7695">
        <v>83.210355932864204</v>
      </c>
      <c r="AJ7695">
        <v>85.322282689032605</v>
      </c>
      <c r="AK7695">
        <v>2.9653914514627302</v>
      </c>
      <c r="AL7695">
        <v>85.596068038862498</v>
      </c>
      <c r="AM7695">
        <v>87.083909225547899</v>
      </c>
      <c r="AN7695">
        <v>0.99999998232558296</v>
      </c>
    </row>
    <row r="7696" spans="1:40" x14ac:dyDescent="0.25">
      <c r="A7696" t="str">
        <f>"20190312155027491"</f>
        <v>20190312155027491</v>
      </c>
      <c r="B7696" t="str">
        <f>"1552377027483209"</f>
        <v>1552377027483209</v>
      </c>
      <c r="C7696" t="s">
        <v>40</v>
      </c>
      <c r="D7696">
        <v>5.7514320000000003</v>
      </c>
      <c r="E7696">
        <v>0.51291579999999903</v>
      </c>
      <c r="F7696" t="s">
        <v>48</v>
      </c>
      <c r="G7696">
        <v>0</v>
      </c>
      <c r="H7696">
        <v>0</v>
      </c>
      <c r="I7696">
        <v>0</v>
      </c>
      <c r="J7696">
        <v>-133.84360000000001</v>
      </c>
      <c r="K7696">
        <v>1.1105929999999999</v>
      </c>
      <c r="L7696">
        <v>141.6232</v>
      </c>
      <c r="M7696">
        <v>0.99898799999999999</v>
      </c>
      <c r="N7696">
        <v>0</v>
      </c>
      <c r="O7696">
        <v>4.3270990000000002E-2</v>
      </c>
      <c r="P7696">
        <v>0.99753979999999998</v>
      </c>
      <c r="Q7696">
        <v>6.966928E-2</v>
      </c>
      <c r="R7696">
        <v>-7.7965380000000004E-3</v>
      </c>
      <c r="S7696">
        <v>2.9836580000000001</v>
      </c>
      <c r="T7696">
        <v>0.33732319999999999</v>
      </c>
      <c r="U7696">
        <v>-0.11967469999999999</v>
      </c>
      <c r="V7696">
        <v>5.0959400000000002E-2</v>
      </c>
      <c r="W7696">
        <v>8.1902530000000001E-2</v>
      </c>
      <c r="X7696">
        <v>0.99533669999999996</v>
      </c>
      <c r="Y7696">
        <v>8.2479689999999994E-2</v>
      </c>
      <c r="Z7696">
        <v>9.5206820000000008E-3</v>
      </c>
      <c r="AA7696">
        <v>0.99654730000000002</v>
      </c>
      <c r="AB7696">
        <v>8</v>
      </c>
      <c r="AC7696">
        <v>2.9836580000000001</v>
      </c>
      <c r="AD7696">
        <v>0.33732319999999999</v>
      </c>
      <c r="AE7696">
        <v>-0.11967469999999999</v>
      </c>
      <c r="AF7696">
        <v>0.245544672028818</v>
      </c>
      <c r="AG7696">
        <v>0.33732319999999999</v>
      </c>
      <c r="AH7696">
        <v>2.9381889472910698</v>
      </c>
      <c r="AI7696">
        <v>83.473299781533797</v>
      </c>
      <c r="AJ7696">
        <v>85.222887796051296</v>
      </c>
      <c r="AK7696">
        <v>2.9676646402859199</v>
      </c>
      <c r="AL7696">
        <v>85.302068449279204</v>
      </c>
      <c r="AM7696">
        <v>87.069121020538702</v>
      </c>
      <c r="AN7696">
        <v>1.0000000156178199</v>
      </c>
    </row>
    <row r="7697" spans="1:40" x14ac:dyDescent="0.25">
      <c r="A7697" t="str">
        <f>"20190312155027518"</f>
        <v>20190312155027518</v>
      </c>
      <c r="B7697" t="str">
        <f>"1552377027503704"</f>
        <v>1552377027503704</v>
      </c>
      <c r="C7697" t="s">
        <v>40</v>
      </c>
      <c r="D7697">
        <v>5.9186610000000002</v>
      </c>
      <c r="E7697">
        <v>0.51351619999999998</v>
      </c>
      <c r="F7697" t="s">
        <v>48</v>
      </c>
      <c r="G7697">
        <v>0</v>
      </c>
      <c r="H7697">
        <v>0</v>
      </c>
      <c r="I7697">
        <v>0</v>
      </c>
      <c r="J7697">
        <v>-133.7509</v>
      </c>
      <c r="K7697">
        <v>1.1105959999999999</v>
      </c>
      <c r="L7697">
        <v>141.62729999999999</v>
      </c>
      <c r="M7697">
        <v>0.99898699999999996</v>
      </c>
      <c r="N7697">
        <v>0</v>
      </c>
      <c r="O7697">
        <v>4.3306600000000001E-2</v>
      </c>
      <c r="P7697">
        <v>0.99705140000000003</v>
      </c>
      <c r="Q7697">
        <v>7.643846E-2</v>
      </c>
      <c r="R7697">
        <v>-6.7898159999999997E-3</v>
      </c>
      <c r="S7697">
        <v>2.9861759999999999</v>
      </c>
      <c r="T7697">
        <v>0.28934569999999998</v>
      </c>
      <c r="U7697">
        <v>-0.1293945</v>
      </c>
      <c r="V7697">
        <v>4.99678E-2</v>
      </c>
      <c r="W7697">
        <v>8.8613769999999994E-2</v>
      </c>
      <c r="X7697">
        <v>0.99481200000000003</v>
      </c>
      <c r="Y7697">
        <v>8.591493E-2</v>
      </c>
      <c r="Z7697">
        <v>8.3354620000000001E-3</v>
      </c>
      <c r="AA7697">
        <v>0.99626760000000003</v>
      </c>
      <c r="AB7697">
        <v>8</v>
      </c>
      <c r="AC7697">
        <v>2.9861759999999999</v>
      </c>
      <c r="AD7697">
        <v>0.28934569999999998</v>
      </c>
      <c r="AE7697">
        <v>-0.1293945</v>
      </c>
      <c r="AF7697">
        <v>0.25620299290643</v>
      </c>
      <c r="AG7697">
        <v>0.28934569999999998</v>
      </c>
      <c r="AH7697">
        <v>2.9501241992723402</v>
      </c>
      <c r="AI7697">
        <v>84.419266015145993</v>
      </c>
      <c r="AJ7697">
        <v>85.036611575350307</v>
      </c>
      <c r="AK7697">
        <v>2.9753308553529001</v>
      </c>
      <c r="AL7697">
        <v>84.916136934025502</v>
      </c>
      <c r="AM7697">
        <v>87.1245420663152</v>
      </c>
      <c r="AN7697">
        <v>1.00000004830722</v>
      </c>
    </row>
    <row r="7698" spans="1:40" x14ac:dyDescent="0.25">
      <c r="A7698" t="str">
        <f>"20190312155027543"</f>
        <v>20190312155027543</v>
      </c>
      <c r="B7698" t="str">
        <f>"1552377027533960"</f>
        <v>1552377027533960</v>
      </c>
      <c r="C7698" t="s">
        <v>40</v>
      </c>
      <c r="D7698">
        <v>5.6906540000000003</v>
      </c>
      <c r="E7698">
        <v>0.51377329999999999</v>
      </c>
      <c r="F7698" t="s">
        <v>48</v>
      </c>
      <c r="G7698">
        <v>0</v>
      </c>
      <c r="H7698">
        <v>0</v>
      </c>
      <c r="I7698">
        <v>0</v>
      </c>
      <c r="J7698">
        <v>-133.66630000000001</v>
      </c>
      <c r="K7698">
        <v>1.1106</v>
      </c>
      <c r="L7698">
        <v>141.631</v>
      </c>
      <c r="M7698">
        <v>0.99898609999999999</v>
      </c>
      <c r="N7698">
        <v>0</v>
      </c>
      <c r="O7698">
        <v>4.3338870000000002E-2</v>
      </c>
      <c r="P7698">
        <v>0.99659940000000002</v>
      </c>
      <c r="Q7698">
        <v>8.2232620000000006E-2</v>
      </c>
      <c r="R7698">
        <v>-5.2485359999999998E-3</v>
      </c>
      <c r="S7698">
        <v>2.9855040000000002</v>
      </c>
      <c r="T7698">
        <v>0.29351080000000002</v>
      </c>
      <c r="U7698">
        <v>-0.130661</v>
      </c>
      <c r="V7698">
        <v>4.8440820000000002E-2</v>
      </c>
      <c r="W7698">
        <v>9.436311E-2</v>
      </c>
      <c r="X7698">
        <v>0.99435870000000004</v>
      </c>
      <c r="Y7698">
        <v>8.6358550000000006E-2</v>
      </c>
      <c r="Z7698">
        <v>8.4816049999999997E-3</v>
      </c>
      <c r="AA7698">
        <v>0.996228</v>
      </c>
      <c r="AB7698">
        <v>8</v>
      </c>
      <c r="AC7698">
        <v>2.9855040000000002</v>
      </c>
      <c r="AD7698">
        <v>0.29351080000000002</v>
      </c>
      <c r="AE7698">
        <v>-0.130661</v>
      </c>
      <c r="AF7698">
        <v>0.257452609930726</v>
      </c>
      <c r="AG7698">
        <v>0.29351080000000002</v>
      </c>
      <c r="AH7698">
        <v>2.9485910000637401</v>
      </c>
      <c r="AI7698">
        <v>84.336753818749898</v>
      </c>
      <c r="AJ7698">
        <v>85.009944432767895</v>
      </c>
      <c r="AK7698">
        <v>2.97432670057169</v>
      </c>
      <c r="AL7698">
        <v>84.585336332696897</v>
      </c>
      <c r="AM7698">
        <v>87.211004357764907</v>
      </c>
      <c r="AN7698">
        <v>1.0000000669184099</v>
      </c>
    </row>
    <row r="7699" spans="1:40" x14ac:dyDescent="0.25">
      <c r="A7699" t="str">
        <f>"20190312155027567"</f>
        <v>20190312155027567</v>
      </c>
      <c r="B7699" t="str">
        <f>"1552377027553480"</f>
        <v>1552377027553480</v>
      </c>
      <c r="C7699" t="s">
        <v>40</v>
      </c>
      <c r="D7699">
        <v>5.7471439999999996</v>
      </c>
      <c r="E7699">
        <v>0.51399189999999995</v>
      </c>
      <c r="F7699" t="s">
        <v>48</v>
      </c>
      <c r="G7699">
        <v>0</v>
      </c>
      <c r="H7699">
        <v>0</v>
      </c>
      <c r="I7699">
        <v>0</v>
      </c>
      <c r="J7699">
        <v>-133.589</v>
      </c>
      <c r="K7699">
        <v>1.110592</v>
      </c>
      <c r="L7699">
        <v>141.6344</v>
      </c>
      <c r="M7699">
        <v>0.99898520000000002</v>
      </c>
      <c r="N7699">
        <v>0</v>
      </c>
      <c r="O7699">
        <v>4.3368450000000003E-2</v>
      </c>
      <c r="P7699">
        <v>0.99609970000000003</v>
      </c>
      <c r="Q7699">
        <v>8.8187280000000007E-2</v>
      </c>
      <c r="R7699">
        <v>-2.9468960000000001E-3</v>
      </c>
      <c r="S7699">
        <v>2.9850919999999999</v>
      </c>
      <c r="T7699">
        <v>0.29705559999999998</v>
      </c>
      <c r="U7699">
        <v>-0.12760930000000001</v>
      </c>
      <c r="V7699">
        <v>4.6149290000000003E-2</v>
      </c>
      <c r="W7699">
        <v>0.100282</v>
      </c>
      <c r="X7699">
        <v>0.9938882</v>
      </c>
      <c r="Y7699">
        <v>8.5366830000000005E-2</v>
      </c>
      <c r="Z7699">
        <v>8.5386130000000005E-3</v>
      </c>
      <c r="AA7699">
        <v>0.996313</v>
      </c>
      <c r="AB7699">
        <v>8</v>
      </c>
      <c r="AC7699">
        <v>2.9850919999999999</v>
      </c>
      <c r="AD7699">
        <v>0.29705559999999998</v>
      </c>
      <c r="AE7699">
        <v>-0.12760930000000001</v>
      </c>
      <c r="AF7699">
        <v>0.25444248973938899</v>
      </c>
      <c r="AG7699">
        <v>0.29705559999999998</v>
      </c>
      <c r="AH7699">
        <v>2.9476119207120099</v>
      </c>
      <c r="AI7699">
        <v>84.266432167679199</v>
      </c>
      <c r="AJ7699">
        <v>85.066368260482506</v>
      </c>
      <c r="AK7699">
        <v>2.9734490150664499</v>
      </c>
      <c r="AL7699">
        <v>84.244590456192199</v>
      </c>
      <c r="AM7699">
        <v>87.341490016228605</v>
      </c>
      <c r="AN7699">
        <v>0.99999999529537198</v>
      </c>
    </row>
    <row r="7700" spans="1:40" x14ac:dyDescent="0.25">
      <c r="A7700" t="str">
        <f>"20190312155027589"</f>
        <v>20190312155027589</v>
      </c>
      <c r="B7700" t="str">
        <f>"1552377027583736"</f>
        <v>1552377027583736</v>
      </c>
      <c r="C7700" t="s">
        <v>40</v>
      </c>
      <c r="D7700">
        <v>5.7573990000000004</v>
      </c>
      <c r="E7700">
        <v>0.51457159999999902</v>
      </c>
      <c r="F7700" t="s">
        <v>48</v>
      </c>
      <c r="G7700">
        <v>0</v>
      </c>
      <c r="H7700">
        <v>0</v>
      </c>
      <c r="I7700">
        <v>0</v>
      </c>
      <c r="J7700">
        <v>-133.51009999999999</v>
      </c>
      <c r="K7700">
        <v>1.1105799999999999</v>
      </c>
      <c r="L7700">
        <v>141.6379</v>
      </c>
      <c r="M7700">
        <v>0.99898430000000005</v>
      </c>
      <c r="N7700">
        <v>0</v>
      </c>
      <c r="O7700">
        <v>4.339842E-2</v>
      </c>
      <c r="P7700">
        <v>0.99587890000000001</v>
      </c>
      <c r="Q7700">
        <v>9.0692159999999994E-2</v>
      </c>
      <c r="R7700">
        <v>-7.4935659999999995E-4</v>
      </c>
      <c r="S7700">
        <v>2.9843139999999999</v>
      </c>
      <c r="T7700">
        <v>0.3054385</v>
      </c>
      <c r="U7700">
        <v>-0.12207030000000001</v>
      </c>
      <c r="V7700">
        <v>4.3974119999999998E-2</v>
      </c>
      <c r="W7700">
        <v>0.10275869999999999</v>
      </c>
      <c r="X7700">
        <v>0.9937338</v>
      </c>
      <c r="Y7700">
        <v>8.353447E-2</v>
      </c>
      <c r="Z7700">
        <v>8.6904800000000004E-3</v>
      </c>
      <c r="AA7700">
        <v>0.99646699999999999</v>
      </c>
      <c r="AB7700">
        <v>8</v>
      </c>
      <c r="AC7700">
        <v>2.9843139999999999</v>
      </c>
      <c r="AD7700">
        <v>0.3054385</v>
      </c>
      <c r="AE7700">
        <v>-0.12207030000000001</v>
      </c>
      <c r="AF7700">
        <v>0.24887664787509201</v>
      </c>
      <c r="AG7700">
        <v>0.3054385</v>
      </c>
      <c r="AH7700">
        <v>2.9454019828036402</v>
      </c>
      <c r="AI7700">
        <v>84.100457106477094</v>
      </c>
      <c r="AJ7700">
        <v>85.170170336402705</v>
      </c>
      <c r="AK7700">
        <v>2.9716367717881398</v>
      </c>
      <c r="AL7700">
        <v>84.101948845270002</v>
      </c>
      <c r="AM7700">
        <v>87.466234073995196</v>
      </c>
      <c r="AN7700">
        <v>0.99999996945895098</v>
      </c>
    </row>
    <row r="7701" spans="1:40" x14ac:dyDescent="0.25">
      <c r="A7701" t="str">
        <f>"20190312155027624"</f>
        <v>20190312155027624</v>
      </c>
      <c r="B7701" t="str">
        <f>"1552377027613016"</f>
        <v>1552377027613016</v>
      </c>
      <c r="C7701" t="s">
        <v>40</v>
      </c>
      <c r="D7701">
        <v>5.9098280000000001</v>
      </c>
      <c r="E7701">
        <v>0.51441629999999905</v>
      </c>
      <c r="F7701" t="s">
        <v>48</v>
      </c>
      <c r="G7701">
        <v>0</v>
      </c>
      <c r="H7701">
        <v>0</v>
      </c>
      <c r="I7701">
        <v>0</v>
      </c>
      <c r="J7701">
        <v>-133.3937</v>
      </c>
      <c r="K7701">
        <v>1.1105609999999999</v>
      </c>
      <c r="L7701">
        <v>141.643</v>
      </c>
      <c r="M7701">
        <v>0.9989827</v>
      </c>
      <c r="N7701">
        <v>0</v>
      </c>
      <c r="O7701">
        <v>4.3443330000000002E-2</v>
      </c>
      <c r="P7701">
        <v>0.99587029999999999</v>
      </c>
      <c r="Q7701">
        <v>9.0769370000000002E-2</v>
      </c>
      <c r="R7701">
        <v>1.901664E-3</v>
      </c>
      <c r="S7701">
        <v>2.984604</v>
      </c>
      <c r="T7701">
        <v>0.30432199999999998</v>
      </c>
      <c r="U7701">
        <v>-0.1198425</v>
      </c>
      <c r="V7701">
        <v>4.1370049999999998E-2</v>
      </c>
      <c r="W7701">
        <v>0.1028052</v>
      </c>
      <c r="X7701">
        <v>0.99384079999999997</v>
      </c>
      <c r="Y7701">
        <v>8.284097E-2</v>
      </c>
      <c r="Z7701">
        <v>8.6274650000000008E-3</v>
      </c>
      <c r="AA7701">
        <v>0.99652540000000001</v>
      </c>
      <c r="AB7701">
        <v>8</v>
      </c>
      <c r="AC7701">
        <v>2.984604</v>
      </c>
      <c r="AD7701">
        <v>0.30432199999999998</v>
      </c>
      <c r="AE7701">
        <v>-0.1198425</v>
      </c>
      <c r="AF7701">
        <v>0.246837803450451</v>
      </c>
      <c r="AG7701">
        <v>0.30432199999999998</v>
      </c>
      <c r="AH7701">
        <v>2.9459998487216201</v>
      </c>
      <c r="AI7701">
        <v>84.122709773885404</v>
      </c>
      <c r="AJ7701">
        <v>85.210519978382493</v>
      </c>
      <c r="AK7701">
        <v>2.9719447992121402</v>
      </c>
      <c r="AL7701">
        <v>84.099270367729702</v>
      </c>
      <c r="AM7701">
        <v>87.616357052192697</v>
      </c>
      <c r="AN7701">
        <v>0.99999996296434002</v>
      </c>
    </row>
    <row r="7702" spans="1:40" x14ac:dyDescent="0.25">
      <c r="A7702" t="str">
        <f>"20190312155027672"</f>
        <v>20190312155027672</v>
      </c>
      <c r="B7702" t="str">
        <f>"1552377027663768"</f>
        <v>1552377027663768</v>
      </c>
      <c r="C7702" t="s">
        <v>40</v>
      </c>
      <c r="D7702">
        <v>5.7793799999999997</v>
      </c>
      <c r="E7702">
        <v>0.4756785</v>
      </c>
      <c r="F7702" t="s">
        <v>48</v>
      </c>
      <c r="G7702">
        <v>0</v>
      </c>
      <c r="H7702">
        <v>0</v>
      </c>
      <c r="I7702">
        <v>0</v>
      </c>
      <c r="J7702">
        <v>-133.2313</v>
      </c>
      <c r="K7702">
        <v>1.110541</v>
      </c>
      <c r="L7702">
        <v>141.65010000000001</v>
      </c>
      <c r="M7702">
        <v>0.99898039999999999</v>
      </c>
      <c r="N7702">
        <v>0</v>
      </c>
      <c r="O7702">
        <v>4.3505710000000003E-2</v>
      </c>
      <c r="P7702">
        <v>0.99567760000000005</v>
      </c>
      <c r="Q7702">
        <v>9.2870789999999995E-2</v>
      </c>
      <c r="R7702">
        <v>1.0889370000000001E-3</v>
      </c>
      <c r="S7702">
        <v>2.9855499999999999</v>
      </c>
      <c r="T7702">
        <v>0.29729879999999997</v>
      </c>
      <c r="U7702">
        <v>-0.1103668</v>
      </c>
      <c r="V7702">
        <v>4.2235710000000003E-2</v>
      </c>
      <c r="W7702">
        <v>0.10487009999999999</v>
      </c>
      <c r="X7702">
        <v>0.99358860000000004</v>
      </c>
      <c r="Y7702">
        <v>7.9776899999999901E-2</v>
      </c>
      <c r="Z7702">
        <v>8.2811900000000008E-3</v>
      </c>
      <c r="AA7702">
        <v>0.99677839999999995</v>
      </c>
      <c r="AB7702">
        <v>8</v>
      </c>
      <c r="AC7702">
        <v>2.9855499999999999</v>
      </c>
      <c r="AD7702">
        <v>0.29729879999999997</v>
      </c>
      <c r="AE7702">
        <v>-0.1103668</v>
      </c>
      <c r="AF7702">
        <v>0.23780533878497101</v>
      </c>
      <c r="AG7702">
        <v>0.29729879999999997</v>
      </c>
      <c r="AH7702">
        <v>2.9487211802366202</v>
      </c>
      <c r="AI7702">
        <v>84.261232406514395</v>
      </c>
      <c r="AJ7702">
        <v>85.3892494526891</v>
      </c>
      <c r="AK7702">
        <v>2.9731960168162699</v>
      </c>
      <c r="AL7702">
        <v>83.980317175696797</v>
      </c>
      <c r="AM7702">
        <v>87.565922211523599</v>
      </c>
      <c r="AN7702">
        <v>0.999999949561585</v>
      </c>
    </row>
    <row r="7703" spans="1:40" x14ac:dyDescent="0.25">
      <c r="A7703" t="str">
        <f>"20190312155027768"</f>
        <v>20190312155027768</v>
      </c>
      <c r="B7703" t="str">
        <f>"1552377027763320"</f>
        <v>1552377027763320</v>
      </c>
      <c r="C7703" t="s">
        <v>40</v>
      </c>
      <c r="D7703">
        <v>5.8114229999999996</v>
      </c>
      <c r="E7703">
        <v>0.47539880000000001</v>
      </c>
      <c r="F7703" t="s">
        <v>48</v>
      </c>
      <c r="G7703">
        <v>0</v>
      </c>
      <c r="H7703">
        <v>0</v>
      </c>
      <c r="I7703">
        <v>0</v>
      </c>
      <c r="J7703">
        <v>-132.91030000000001</v>
      </c>
      <c r="K7703">
        <v>1.110514</v>
      </c>
      <c r="L7703">
        <v>141.6643</v>
      </c>
      <c r="M7703">
        <v>0.99897550000000002</v>
      </c>
      <c r="N7703">
        <v>0</v>
      </c>
      <c r="O7703">
        <v>4.3629109999999999E-2</v>
      </c>
      <c r="P7703">
        <v>0.99584569999999994</v>
      </c>
      <c r="Q7703">
        <v>9.1055419999999998E-2</v>
      </c>
      <c r="R7703">
        <v>-7.6335339999999995E-4</v>
      </c>
      <c r="S7703">
        <v>2.990723</v>
      </c>
      <c r="T7703">
        <v>0.23667869999999999</v>
      </c>
      <c r="U7703">
        <v>0.19892879999999999</v>
      </c>
      <c r="V7703">
        <v>4.4216279999999997E-2</v>
      </c>
      <c r="W7703">
        <v>0.1030148</v>
      </c>
      <c r="X7703">
        <v>0.99369660000000004</v>
      </c>
      <c r="Y7703">
        <v>-2.283402E-2</v>
      </c>
      <c r="Z7703">
        <v>2.540596E-3</v>
      </c>
      <c r="AA7703">
        <v>0.99973610000000002</v>
      </c>
      <c r="AB7703">
        <v>8</v>
      </c>
      <c r="AC7703">
        <v>2.990723</v>
      </c>
      <c r="AD7703">
        <v>0.23667869999999999</v>
      </c>
      <c r="AE7703">
        <v>0.19892879999999999</v>
      </c>
      <c r="AF7703">
        <v>-6.7824446670727706E-2</v>
      </c>
      <c r="AG7703">
        <v>0.23667869999999999</v>
      </c>
      <c r="AH7703">
        <v>2.9779862559902002</v>
      </c>
      <c r="AI7703">
        <v>85.457080139639402</v>
      </c>
      <c r="AJ7703">
        <v>91.304701399338597</v>
      </c>
      <c r="AK7703">
        <v>2.9881464327349101</v>
      </c>
      <c r="AL7703">
        <v>84.087197472373305</v>
      </c>
      <c r="AM7703">
        <v>87.4522040253662</v>
      </c>
      <c r="AN7703">
        <v>1.0000000306438099</v>
      </c>
    </row>
    <row r="7704" spans="1:40" x14ac:dyDescent="0.25">
      <c r="A7704" t="str">
        <f>"20190312155027790"</f>
        <v>20190312155027790</v>
      </c>
      <c r="B7704" t="str">
        <f>"1552377027783816"</f>
        <v>1552377027783816</v>
      </c>
      <c r="C7704" t="s">
        <v>40</v>
      </c>
      <c r="D7704">
        <v>5.8284649999999996</v>
      </c>
      <c r="E7704">
        <v>0.47529009999999999</v>
      </c>
      <c r="F7704" t="s">
        <v>48</v>
      </c>
      <c r="G7704">
        <v>0</v>
      </c>
      <c r="H7704">
        <v>0</v>
      </c>
      <c r="I7704">
        <v>0</v>
      </c>
      <c r="J7704">
        <v>-132.8348</v>
      </c>
      <c r="K7704">
        <v>1.1105119999999999</v>
      </c>
      <c r="L7704">
        <v>141.66759999999999</v>
      </c>
      <c r="M7704">
        <v>0.99897420000000003</v>
      </c>
      <c r="N7704">
        <v>0</v>
      </c>
      <c r="O7704">
        <v>4.3657990000000001E-2</v>
      </c>
      <c r="P7704">
        <v>0.99586300000000005</v>
      </c>
      <c r="Q7704">
        <v>9.0865109999999999E-2</v>
      </c>
      <c r="R7704">
        <v>-8.8725610000000004E-4</v>
      </c>
      <c r="S7704">
        <v>2.9921880000000001</v>
      </c>
      <c r="T7704">
        <v>0.2239072</v>
      </c>
      <c r="U7704">
        <v>0.1958008</v>
      </c>
      <c r="V7704">
        <v>4.4369539999999999E-2</v>
      </c>
      <c r="W7704">
        <v>0.1028189</v>
      </c>
      <c r="X7704">
        <v>0.99370999999999998</v>
      </c>
      <c r="Y7704">
        <v>-2.172841E-2</v>
      </c>
      <c r="Z7704">
        <v>2.4462440000000002E-3</v>
      </c>
      <c r="AA7704">
        <v>0.99976089999999995</v>
      </c>
      <c r="AB7704">
        <v>8</v>
      </c>
      <c r="AC7704">
        <v>2.9921880000000001</v>
      </c>
      <c r="AD7704">
        <v>0.2239072</v>
      </c>
      <c r="AE7704">
        <v>0.1958008</v>
      </c>
      <c r="AF7704">
        <v>-6.4611472136473197E-2</v>
      </c>
      <c r="AG7704">
        <v>0.2239072</v>
      </c>
      <c r="AH7704">
        <v>2.9812607884148599</v>
      </c>
      <c r="AI7704">
        <v>85.705876375068101</v>
      </c>
      <c r="AJ7704">
        <v>91.241550298646999</v>
      </c>
      <c r="AK7704">
        <v>2.9903553242187599</v>
      </c>
      <c r="AL7704">
        <v>84.098481294294899</v>
      </c>
      <c r="AM7704">
        <v>87.443419124262505</v>
      </c>
      <c r="AN7704">
        <v>0.99999997318850997</v>
      </c>
    </row>
    <row r="7705" spans="1:40" x14ac:dyDescent="0.25">
      <c r="A7705" t="str">
        <f>"20190312155027814"</f>
        <v>20190312155027814</v>
      </c>
      <c r="B7705" t="str">
        <f>"1552377027803336"</f>
        <v>1552377027803336</v>
      </c>
      <c r="C7705" t="s">
        <v>40</v>
      </c>
      <c r="D7705">
        <v>5.7554410000000003</v>
      </c>
      <c r="E7705">
        <v>0.47518549999999998</v>
      </c>
      <c r="F7705" t="s">
        <v>48</v>
      </c>
      <c r="G7705">
        <v>0</v>
      </c>
      <c r="H7705">
        <v>0</v>
      </c>
      <c r="I7705">
        <v>0</v>
      </c>
      <c r="J7705">
        <v>-132.75659999999999</v>
      </c>
      <c r="K7705">
        <v>1.1105080000000001</v>
      </c>
      <c r="L7705">
        <v>141.6711</v>
      </c>
      <c r="M7705">
        <v>0.998973</v>
      </c>
      <c r="N7705">
        <v>0</v>
      </c>
      <c r="O7705">
        <v>4.368789E-2</v>
      </c>
      <c r="P7705">
        <v>0.99592159999999996</v>
      </c>
      <c r="Q7705">
        <v>9.0219789999999994E-2</v>
      </c>
      <c r="R7705">
        <v>-8.6546409999999996E-4</v>
      </c>
      <c r="S7705">
        <v>2.9922330000000001</v>
      </c>
      <c r="T7705">
        <v>0.22360540000000001</v>
      </c>
      <c r="U7705">
        <v>0.1962738</v>
      </c>
      <c r="V7705">
        <v>4.4380040000000003E-2</v>
      </c>
      <c r="W7705">
        <v>0.1021691</v>
      </c>
      <c r="X7705">
        <v>0.99377660000000001</v>
      </c>
      <c r="Y7705">
        <v>-2.1854430000000001E-2</v>
      </c>
      <c r="Z7705">
        <v>2.4404309999999999E-3</v>
      </c>
      <c r="AA7705">
        <v>0.99975820000000004</v>
      </c>
      <c r="AB7705">
        <v>8</v>
      </c>
      <c r="AC7705">
        <v>2.9922330000000001</v>
      </c>
      <c r="AD7705">
        <v>0.22360540000000001</v>
      </c>
      <c r="AE7705">
        <v>0.1962738</v>
      </c>
      <c r="AF7705">
        <v>-6.4991216690359302E-2</v>
      </c>
      <c r="AG7705">
        <v>0.22360540000000001</v>
      </c>
      <c r="AH7705">
        <v>2.9813733475424402</v>
      </c>
      <c r="AI7705">
        <v>85.711815777084894</v>
      </c>
      <c r="AJ7705">
        <v>91.248797892118105</v>
      </c>
      <c r="AK7705">
        <v>2.9904531881627001</v>
      </c>
      <c r="AL7705">
        <v>84.135909489223295</v>
      </c>
      <c r="AM7705">
        <v>87.442986062990798</v>
      </c>
      <c r="AN7705">
        <v>1.00000002182638</v>
      </c>
    </row>
    <row r="7706" spans="1:40" x14ac:dyDescent="0.25">
      <c r="A7706" t="str">
        <f>"20190312155027837"</f>
        <v>20190312155027837</v>
      </c>
      <c r="B7706" t="str">
        <f>"1552377027823833"</f>
        <v>1552377027823833</v>
      </c>
      <c r="C7706" t="s">
        <v>40</v>
      </c>
      <c r="D7706">
        <v>5.8174289999999997</v>
      </c>
      <c r="E7706">
        <v>0.47484789999999999</v>
      </c>
      <c r="F7706" t="s">
        <v>48</v>
      </c>
      <c r="G7706">
        <v>0</v>
      </c>
      <c r="H7706">
        <v>0</v>
      </c>
      <c r="I7706">
        <v>0</v>
      </c>
      <c r="J7706">
        <v>-132.67830000000001</v>
      </c>
      <c r="K7706">
        <v>1.1105039999999999</v>
      </c>
      <c r="L7706">
        <v>141.6746</v>
      </c>
      <c r="M7706">
        <v>0.99897170000000002</v>
      </c>
      <c r="N7706">
        <v>0</v>
      </c>
      <c r="O7706">
        <v>4.3718069999999998E-2</v>
      </c>
      <c r="P7706">
        <v>0.99581660000000005</v>
      </c>
      <c r="Q7706">
        <v>9.1364989999999993E-2</v>
      </c>
      <c r="R7706">
        <v>-1.357577E-3</v>
      </c>
      <c r="S7706">
        <v>2.99234</v>
      </c>
      <c r="T7706">
        <v>0.22204260000000001</v>
      </c>
      <c r="U7706">
        <v>0.1971436</v>
      </c>
      <c r="V7706">
        <v>4.4897180000000002E-2</v>
      </c>
      <c r="W7706">
        <v>0.10330789999999999</v>
      </c>
      <c r="X7706">
        <v>0.99363559999999995</v>
      </c>
      <c r="Y7706">
        <v>-2.2109770000000001E-2</v>
      </c>
      <c r="Z7706">
        <v>2.4160869999999999E-3</v>
      </c>
      <c r="AA7706">
        <v>0.99975259999999999</v>
      </c>
      <c r="AB7706">
        <v>8</v>
      </c>
      <c r="AC7706">
        <v>2.99234</v>
      </c>
      <c r="AD7706">
        <v>0.22204260000000001</v>
      </c>
      <c r="AE7706">
        <v>0.1971436</v>
      </c>
      <c r="AF7706">
        <v>-6.5765764529215606E-2</v>
      </c>
      <c r="AG7706">
        <v>0.22204260000000001</v>
      </c>
      <c r="AH7706">
        <v>2.9817508803305</v>
      </c>
      <c r="AI7706">
        <v>85.742236763265794</v>
      </c>
      <c r="AJ7706">
        <v>91.263515984212802</v>
      </c>
      <c r="AK7706">
        <v>2.9907300721313099</v>
      </c>
      <c r="AL7706">
        <v>84.0703137720717</v>
      </c>
      <c r="AM7706">
        <v>87.412864034350605</v>
      </c>
      <c r="AN7706">
        <v>0.99999999228086101</v>
      </c>
    </row>
    <row r="7707" spans="1:40" x14ac:dyDescent="0.25">
      <c r="A7707" t="str">
        <f>"20190312155027858"</f>
        <v>20190312155027858</v>
      </c>
      <c r="B7707" t="str">
        <f>"1552377027853113"</f>
        <v>1552377027853113</v>
      </c>
      <c r="C7707" t="s">
        <v>40</v>
      </c>
      <c r="D7707">
        <v>5.7764829999999998</v>
      </c>
      <c r="E7707">
        <v>0.47461700000000001</v>
      </c>
      <c r="F7707" t="s">
        <v>48</v>
      </c>
      <c r="G7707">
        <v>0</v>
      </c>
      <c r="H7707">
        <v>0</v>
      </c>
      <c r="I7707">
        <v>0</v>
      </c>
      <c r="J7707">
        <v>-132.6053</v>
      </c>
      <c r="K7707">
        <v>1.1105119999999999</v>
      </c>
      <c r="L7707">
        <v>141.67779999999999</v>
      </c>
      <c r="M7707">
        <v>0.99897060000000004</v>
      </c>
      <c r="N7707">
        <v>0</v>
      </c>
      <c r="O7707">
        <v>4.3746109999999998E-2</v>
      </c>
      <c r="P7707">
        <v>0.99564549999999996</v>
      </c>
      <c r="Q7707">
        <v>9.3216660000000007E-2</v>
      </c>
      <c r="R7707">
        <v>-9.8783849999999995E-4</v>
      </c>
      <c r="S7707">
        <v>2.9920040000000001</v>
      </c>
      <c r="T7707">
        <v>0.22762270000000001</v>
      </c>
      <c r="U7707">
        <v>0.1984253</v>
      </c>
      <c r="V7707">
        <v>4.4548400000000002E-2</v>
      </c>
      <c r="W7707">
        <v>0.1051541</v>
      </c>
      <c r="X7707">
        <v>0.99345760000000005</v>
      </c>
      <c r="Y7707">
        <v>-2.2517410000000002E-2</v>
      </c>
      <c r="Z7707">
        <v>2.4635260000000002E-3</v>
      </c>
      <c r="AA7707">
        <v>0.99974339999999995</v>
      </c>
      <c r="AB7707">
        <v>8</v>
      </c>
      <c r="AC7707">
        <v>2.9920040000000001</v>
      </c>
      <c r="AD7707">
        <v>0.22762270000000001</v>
      </c>
      <c r="AE7707">
        <v>0.1984253</v>
      </c>
      <c r="AF7707">
        <v>-6.6951554554155204E-2</v>
      </c>
      <c r="AG7707">
        <v>0.22762270000000001</v>
      </c>
      <c r="AH7707">
        <v>2.9806446763010399</v>
      </c>
      <c r="AI7707">
        <v>85.634070110014804</v>
      </c>
      <c r="AJ7707">
        <v>91.286767450064701</v>
      </c>
      <c r="AK7707">
        <v>2.9900731246198999</v>
      </c>
      <c r="AL7707">
        <v>83.963954851523098</v>
      </c>
      <c r="AM7707">
        <v>87.432475662838002</v>
      </c>
      <c r="AN7707">
        <v>0.99999997384356398</v>
      </c>
    </row>
    <row r="7708" spans="1:40" x14ac:dyDescent="0.25">
      <c r="A7708" t="str">
        <f>"20190312155027877"</f>
        <v>20190312155027877</v>
      </c>
      <c r="B7708" t="str">
        <f>"1552377027873608"</f>
        <v>1552377027873608</v>
      </c>
      <c r="C7708" t="s">
        <v>40</v>
      </c>
      <c r="D7708">
        <v>5.8132489999999999</v>
      </c>
      <c r="E7708">
        <v>0.4745586</v>
      </c>
      <c r="F7708" t="s">
        <v>48</v>
      </c>
      <c r="G7708">
        <v>0</v>
      </c>
      <c r="H7708">
        <v>0</v>
      </c>
      <c r="I7708">
        <v>0</v>
      </c>
      <c r="J7708">
        <v>-132.54230000000001</v>
      </c>
      <c r="K7708">
        <v>1.1105119999999999</v>
      </c>
      <c r="L7708">
        <v>141.6806</v>
      </c>
      <c r="M7708">
        <v>0.99896940000000001</v>
      </c>
      <c r="N7708">
        <v>0</v>
      </c>
      <c r="O7708">
        <v>4.3770379999999998E-2</v>
      </c>
      <c r="P7708">
        <v>0.99544639999999995</v>
      </c>
      <c r="Q7708">
        <v>9.5316949999999998E-2</v>
      </c>
      <c r="R7708">
        <v>-1.014586E-3</v>
      </c>
      <c r="S7708">
        <v>2.9919889999999998</v>
      </c>
      <c r="T7708">
        <v>0.22799800000000001</v>
      </c>
      <c r="U7708">
        <v>0.2015228</v>
      </c>
      <c r="V7708">
        <v>4.4590699999999997E-2</v>
      </c>
      <c r="W7708">
        <v>0.10724939999999999</v>
      </c>
      <c r="X7708">
        <v>0.99323170000000005</v>
      </c>
      <c r="Y7708">
        <v>-2.3521219999999999E-2</v>
      </c>
      <c r="Z7708">
        <v>2.4311789999999999E-3</v>
      </c>
      <c r="AA7708">
        <v>0.99972039999999995</v>
      </c>
      <c r="AB7708">
        <v>8</v>
      </c>
      <c r="AC7708">
        <v>2.9919889999999998</v>
      </c>
      <c r="AD7708">
        <v>0.22799800000000001</v>
      </c>
      <c r="AE7708">
        <v>0.2015228</v>
      </c>
      <c r="AF7708">
        <v>-6.9955304644653202E-2</v>
      </c>
      <c r="AG7708">
        <v>0.22799800000000001</v>
      </c>
      <c r="AH7708">
        <v>2.9807120430213998</v>
      </c>
      <c r="AI7708">
        <v>85.627098708731396</v>
      </c>
      <c r="AJ7708">
        <v>91.344446557855505</v>
      </c>
      <c r="AK7708">
        <v>2.99023763538364</v>
      </c>
      <c r="AL7708">
        <v>83.843220257934703</v>
      </c>
      <c r="AM7708">
        <v>87.429457265016694</v>
      </c>
      <c r="AN7708">
        <v>0.99999998710587001</v>
      </c>
    </row>
    <row r="7709" spans="1:40" x14ac:dyDescent="0.25">
      <c r="A7709" t="str">
        <f>"20190312155027918"</f>
        <v>20190312155027918</v>
      </c>
      <c r="B7709" t="str">
        <f>"1552377027913624"</f>
        <v>1552377027913624</v>
      </c>
      <c r="C7709" t="s">
        <v>40</v>
      </c>
      <c r="D7709">
        <v>5.8028050000000002</v>
      </c>
      <c r="E7709">
        <v>0.47452359999999999</v>
      </c>
      <c r="F7709" t="s">
        <v>48</v>
      </c>
      <c r="G7709">
        <v>0</v>
      </c>
      <c r="H7709">
        <v>0</v>
      </c>
      <c r="I7709">
        <v>0</v>
      </c>
      <c r="J7709">
        <v>-132.4066</v>
      </c>
      <c r="K7709">
        <v>1.1105229999999999</v>
      </c>
      <c r="L7709">
        <v>141.6866</v>
      </c>
      <c r="M7709">
        <v>0.9989673</v>
      </c>
      <c r="N7709">
        <v>0</v>
      </c>
      <c r="O7709">
        <v>4.3822149999999997E-2</v>
      </c>
      <c r="P7709">
        <v>0.99523810000000001</v>
      </c>
      <c r="Q7709">
        <v>9.7474169999999999E-2</v>
      </c>
      <c r="R7709">
        <v>-4.8769539999999999E-4</v>
      </c>
      <c r="S7709">
        <v>2.9916079999999998</v>
      </c>
      <c r="T7709">
        <v>0.23304340000000001</v>
      </c>
      <c r="U7709">
        <v>0.2019196</v>
      </c>
      <c r="V7709">
        <v>4.4106569999999998E-2</v>
      </c>
      <c r="W7709">
        <v>0.1093996</v>
      </c>
      <c r="X7709">
        <v>0.99301879999999998</v>
      </c>
      <c r="Y7709">
        <v>-2.361245E-2</v>
      </c>
      <c r="Z7709">
        <v>2.4855929999999999E-3</v>
      </c>
      <c r="AA7709">
        <v>0.99971810000000005</v>
      </c>
      <c r="AB7709">
        <v>7</v>
      </c>
      <c r="AC7709">
        <v>2.9916079999999998</v>
      </c>
      <c r="AD7709">
        <v>0.23304340000000001</v>
      </c>
      <c r="AE7709">
        <v>0.2019196</v>
      </c>
      <c r="AF7709">
        <v>-7.0193445618128097E-2</v>
      </c>
      <c r="AG7709">
        <v>0.23304340000000001</v>
      </c>
      <c r="AH7709">
        <v>2.9795839834587898</v>
      </c>
      <c r="AI7709">
        <v>85.529042092072999</v>
      </c>
      <c r="AJ7709">
        <v>91.349532163421102</v>
      </c>
      <c r="AK7709">
        <v>2.9895078291543999</v>
      </c>
      <c r="AL7709">
        <v>83.719293689556693</v>
      </c>
      <c r="AM7709">
        <v>87.456784899665095</v>
      </c>
      <c r="AN7709">
        <v>0.99999999957538199</v>
      </c>
    </row>
    <row r="7710" spans="1:40" x14ac:dyDescent="0.25">
      <c r="A7710" t="str">
        <f>"20190312155027943"</f>
        <v>20190312155027943</v>
      </c>
      <c r="B7710" t="str">
        <f>"1552377027933651"</f>
        <v>1552377027933651</v>
      </c>
      <c r="C7710" t="s">
        <v>40</v>
      </c>
      <c r="D7710">
        <v>5.8062199999999997</v>
      </c>
      <c r="E7710">
        <v>0.48160849999999999</v>
      </c>
      <c r="F7710" t="s">
        <v>48</v>
      </c>
      <c r="G7710">
        <v>0</v>
      </c>
      <c r="H7710">
        <v>0</v>
      </c>
      <c r="I7710">
        <v>0</v>
      </c>
      <c r="J7710">
        <v>-132.3228</v>
      </c>
      <c r="K7710">
        <v>1.11052</v>
      </c>
      <c r="L7710">
        <v>141.69030000000001</v>
      </c>
      <c r="M7710">
        <v>0.99896600000000002</v>
      </c>
      <c r="N7710">
        <v>0</v>
      </c>
      <c r="O7710">
        <v>4.3854169999999998E-2</v>
      </c>
      <c r="P7710">
        <v>0.99513189999999996</v>
      </c>
      <c r="Q7710">
        <v>9.8553070000000007E-2</v>
      </c>
      <c r="R7710">
        <v>-1.746695E-4</v>
      </c>
      <c r="S7710">
        <v>2.9911650000000001</v>
      </c>
      <c r="T7710">
        <v>0.2378161</v>
      </c>
      <c r="U7710">
        <v>0.2038422</v>
      </c>
      <c r="V7710">
        <v>4.3821029999999997E-2</v>
      </c>
      <c r="W7710">
        <v>0.1104754</v>
      </c>
      <c r="X7710">
        <v>0.99291240000000003</v>
      </c>
      <c r="Y7710">
        <v>-2.4230660000000001E-2</v>
      </c>
      <c r="Z7710">
        <v>2.514671E-3</v>
      </c>
      <c r="AA7710">
        <v>0.99970320000000001</v>
      </c>
      <c r="AB7710">
        <v>7</v>
      </c>
      <c r="AC7710">
        <v>2.9911650000000001</v>
      </c>
      <c r="AD7710">
        <v>0.2378161</v>
      </c>
      <c r="AE7710">
        <v>0.2038422</v>
      </c>
      <c r="AF7710">
        <v>-7.2008498560456297E-2</v>
      </c>
      <c r="AG7710">
        <v>0.2378161</v>
      </c>
      <c r="AH7710">
        <v>2.97848621906458</v>
      </c>
      <c r="AI7710">
        <v>85.436252758933406</v>
      </c>
      <c r="AJ7710">
        <v>91.384924827606994</v>
      </c>
      <c r="AK7710">
        <v>2.9888328622460301</v>
      </c>
      <c r="AL7710">
        <v>83.657279403871797</v>
      </c>
      <c r="AM7710">
        <v>87.472957507055298</v>
      </c>
      <c r="AN7710">
        <v>1.00000006537458</v>
      </c>
    </row>
    <row r="7711" spans="1:40" x14ac:dyDescent="0.25">
      <c r="A7711" t="str">
        <f>"20190312155027968"</f>
        <v>20190312155027968</v>
      </c>
      <c r="B7711" t="str">
        <f>"1552377027963908"</f>
        <v>1552377027963908</v>
      </c>
      <c r="C7711" t="s">
        <v>40</v>
      </c>
      <c r="D7711">
        <v>5.8089190000000004</v>
      </c>
      <c r="E7711">
        <v>0.48142669999999999</v>
      </c>
      <c r="F7711" t="s">
        <v>48</v>
      </c>
      <c r="G7711">
        <v>0</v>
      </c>
      <c r="H7711">
        <v>0</v>
      </c>
      <c r="I7711">
        <v>0</v>
      </c>
      <c r="J7711">
        <v>-132.23929999999999</v>
      </c>
      <c r="K7711">
        <v>1.110514</v>
      </c>
      <c r="L7711">
        <v>141.69399999999999</v>
      </c>
      <c r="M7711">
        <v>0.99896450000000003</v>
      </c>
      <c r="N7711">
        <v>0</v>
      </c>
      <c r="O7711">
        <v>4.3886130000000002E-2</v>
      </c>
      <c r="P7711">
        <v>0.99512889999999998</v>
      </c>
      <c r="Q7711">
        <v>9.8582820000000002E-2</v>
      </c>
      <c r="R7711">
        <v>-1.358865E-4</v>
      </c>
      <c r="S7711">
        <v>2.9713129999999999</v>
      </c>
      <c r="T7711">
        <v>0.43822109999999898</v>
      </c>
      <c r="U7711">
        <v>0.14088439999999999</v>
      </c>
      <c r="V7711">
        <v>4.381417E-2</v>
      </c>
      <c r="W7711">
        <v>0.1105034</v>
      </c>
      <c r="X7711">
        <v>0.99290959999999995</v>
      </c>
      <c r="Y7711">
        <v>-3.9070540000000001E-3</v>
      </c>
      <c r="Z7711">
        <v>6.1449599999999997E-3</v>
      </c>
      <c r="AA7711">
        <v>0.99997349999999996</v>
      </c>
      <c r="AB7711">
        <v>7</v>
      </c>
      <c r="AC7711">
        <v>2.9713129999999999</v>
      </c>
      <c r="AD7711">
        <v>0.43822109999999898</v>
      </c>
      <c r="AE7711">
        <v>0.14088439999999999</v>
      </c>
      <c r="AF7711">
        <v>-1.01201938772851E-2</v>
      </c>
      <c r="AG7711">
        <v>0.43822109999999898</v>
      </c>
      <c r="AH7711">
        <v>2.9114467997343998</v>
      </c>
      <c r="AI7711">
        <v>81.4403393421278</v>
      </c>
      <c r="AJ7711">
        <v>90.199159421958896</v>
      </c>
      <c r="AK7711">
        <v>2.9442592648224699</v>
      </c>
      <c r="AL7711">
        <v>83.655665321692695</v>
      </c>
      <c r="AM7711">
        <v>87.473345476438794</v>
      </c>
      <c r="AN7711">
        <v>1.0000000783382501</v>
      </c>
    </row>
    <row r="7712" spans="1:40" x14ac:dyDescent="0.25">
      <c r="A7712" t="str">
        <f>"20190312155027990"</f>
        <v>20190312155027990</v>
      </c>
      <c r="B7712" t="str">
        <f>"1552377027984404"</f>
        <v>1552377027984404</v>
      </c>
      <c r="C7712" t="s">
        <v>40</v>
      </c>
      <c r="D7712">
        <v>5.7776579999999997</v>
      </c>
      <c r="E7712">
        <v>0.48146299999999997</v>
      </c>
      <c r="F7712" t="s">
        <v>48</v>
      </c>
      <c r="G7712">
        <v>0</v>
      </c>
      <c r="H7712">
        <v>0</v>
      </c>
      <c r="I7712">
        <v>0</v>
      </c>
      <c r="J7712">
        <v>-132.16730000000001</v>
      </c>
      <c r="K7712">
        <v>1.1105100000000001</v>
      </c>
      <c r="L7712">
        <v>141.69720000000001</v>
      </c>
      <c r="M7712">
        <v>0.99896339999999995</v>
      </c>
      <c r="N7712">
        <v>0</v>
      </c>
      <c r="O7712">
        <v>4.3913960000000002E-2</v>
      </c>
      <c r="P7712">
        <v>0.99516490000000002</v>
      </c>
      <c r="Q7712">
        <v>9.8219829999999994E-2</v>
      </c>
      <c r="R7712" s="1">
        <v>-2.4537089999999999E-5</v>
      </c>
      <c r="S7712">
        <v>2.9709780000000001</v>
      </c>
      <c r="T7712">
        <v>0.44141730000000001</v>
      </c>
      <c r="U7712">
        <v>0.14225769999999999</v>
      </c>
      <c r="V7712">
        <v>4.3732229999999997E-2</v>
      </c>
      <c r="W7712">
        <v>0.1101399</v>
      </c>
      <c r="X7712">
        <v>0.99295350000000004</v>
      </c>
      <c r="Y7712">
        <v>-4.3475579999999996E-3</v>
      </c>
      <c r="Z7712">
        <v>6.1614809999999999E-3</v>
      </c>
      <c r="AA7712">
        <v>0.99997159999999996</v>
      </c>
      <c r="AB7712">
        <v>7</v>
      </c>
      <c r="AC7712">
        <v>2.9709780000000001</v>
      </c>
      <c r="AD7712">
        <v>0.44141730000000001</v>
      </c>
      <c r="AE7712">
        <v>0.14225769999999999</v>
      </c>
      <c r="AF7712">
        <v>-1.1392744155836401E-2</v>
      </c>
      <c r="AG7712">
        <v>0.44141730000000001</v>
      </c>
      <c r="AH7712">
        <v>2.91026213411044</v>
      </c>
      <c r="AI7712">
        <v>81.375400679355906</v>
      </c>
      <c r="AJ7712">
        <v>90.2242934803525</v>
      </c>
      <c r="AK7712">
        <v>2.9435700631369</v>
      </c>
      <c r="AL7712">
        <v>83.676619617620801</v>
      </c>
      <c r="AM7712">
        <v>87.4781760011617</v>
      </c>
      <c r="AN7712">
        <v>0.99999997933751605</v>
      </c>
    </row>
    <row r="7713" spans="1:40" x14ac:dyDescent="0.25">
      <c r="A7713" t="str">
        <f>"20190312155028014"</f>
        <v>20190312155028014</v>
      </c>
      <c r="B7713" t="str">
        <f>"1552377028003924"</f>
        <v>1552377028003924</v>
      </c>
      <c r="C7713" t="s">
        <v>40</v>
      </c>
      <c r="D7713">
        <v>5.8287430000000002</v>
      </c>
      <c r="E7713">
        <v>0.48176869999999999</v>
      </c>
      <c r="F7713" t="s">
        <v>48</v>
      </c>
      <c r="G7713">
        <v>0</v>
      </c>
      <c r="H7713">
        <v>0</v>
      </c>
      <c r="I7713">
        <v>0</v>
      </c>
      <c r="J7713">
        <v>-132.0849</v>
      </c>
      <c r="K7713">
        <v>1.110506</v>
      </c>
      <c r="L7713">
        <v>141.70089999999999</v>
      </c>
      <c r="M7713">
        <v>0.99896200000000002</v>
      </c>
      <c r="N7713">
        <v>0</v>
      </c>
      <c r="O7713">
        <v>4.3945619999999998E-2</v>
      </c>
      <c r="P7713">
        <v>0.99526409999999998</v>
      </c>
      <c r="Q7713">
        <v>9.7209710000000005E-2</v>
      </c>
      <c r="R7713">
        <v>-3.1185659999999999E-4</v>
      </c>
      <c r="S7713">
        <v>2.9711150000000002</v>
      </c>
      <c r="T7713">
        <v>0.44048619999999999</v>
      </c>
      <c r="U7713">
        <v>0.14241029999999999</v>
      </c>
      <c r="V7713">
        <v>4.4054940000000001E-2</v>
      </c>
      <c r="W7713">
        <v>0.1091299</v>
      </c>
      <c r="X7713">
        <v>0.99305080000000001</v>
      </c>
      <c r="Y7713">
        <v>-4.3632189999999998E-3</v>
      </c>
      <c r="Z7713">
        <v>6.1518400000000004E-3</v>
      </c>
      <c r="AA7713">
        <v>0.99997159999999996</v>
      </c>
      <c r="AB7713">
        <v>7</v>
      </c>
      <c r="AC7713">
        <v>2.9711150000000002</v>
      </c>
      <c r="AD7713">
        <v>0.44048619999999999</v>
      </c>
      <c r="AE7713">
        <v>0.14241029999999999</v>
      </c>
      <c r="AF7713">
        <v>-1.14448477617874E-2</v>
      </c>
      <c r="AG7713">
        <v>0.44048619999999999</v>
      </c>
      <c r="AH7713">
        <v>2.9106733633027</v>
      </c>
      <c r="AI7713">
        <v>81.394518543590806</v>
      </c>
      <c r="AJ7713">
        <v>90.225287420698194</v>
      </c>
      <c r="AK7713">
        <v>2.9438373774328199</v>
      </c>
      <c r="AL7713">
        <v>83.734839643237805</v>
      </c>
      <c r="AM7713">
        <v>87.459839768341098</v>
      </c>
      <c r="AN7713">
        <v>1.0000000320965201</v>
      </c>
    </row>
    <row r="7714" spans="1:40" x14ac:dyDescent="0.25">
      <c r="A7714" t="str">
        <f>"20190312155028048"</f>
        <v>20190312155028048</v>
      </c>
      <c r="B7714" t="str">
        <f>"1552377028043940"</f>
        <v>1552377028043940</v>
      </c>
      <c r="C7714" t="s">
        <v>40</v>
      </c>
      <c r="D7714">
        <v>5.7769969999999997</v>
      </c>
      <c r="E7714">
        <v>0.48169580000000001</v>
      </c>
      <c r="F7714" t="s">
        <v>48</v>
      </c>
      <c r="G7714">
        <v>0</v>
      </c>
      <c r="H7714">
        <v>0</v>
      </c>
      <c r="I7714">
        <v>0</v>
      </c>
      <c r="J7714">
        <v>-131.97299999999899</v>
      </c>
      <c r="K7714">
        <v>1.1104969999999901</v>
      </c>
      <c r="L7714">
        <v>141.70590000000001</v>
      </c>
      <c r="M7714">
        <v>0.99895999999999996</v>
      </c>
      <c r="N7714">
        <v>0</v>
      </c>
      <c r="O7714">
        <v>4.3988659999999999E-2</v>
      </c>
      <c r="P7714">
        <v>0.99538309999999997</v>
      </c>
      <c r="Q7714">
        <v>9.5981750000000005E-2</v>
      </c>
      <c r="R7714">
        <v>-5.6674280000000002E-4</v>
      </c>
      <c r="S7714">
        <v>2.972092</v>
      </c>
      <c r="T7714">
        <v>0.43236920000000001</v>
      </c>
      <c r="U7714">
        <v>0.13932800000000001</v>
      </c>
      <c r="V7714">
        <v>4.4357609999999999E-2</v>
      </c>
      <c r="W7714">
        <v>0.1079022</v>
      </c>
      <c r="X7714">
        <v>0.99317149999999998</v>
      </c>
      <c r="Y7714">
        <v>-3.2657599999999999E-3</v>
      </c>
      <c r="Z7714">
        <v>6.1234749999999998E-3</v>
      </c>
      <c r="AA7714">
        <v>0.99997590000000003</v>
      </c>
      <c r="AB7714">
        <v>7</v>
      </c>
      <c r="AC7714">
        <v>2.972092</v>
      </c>
      <c r="AD7714">
        <v>0.43236920000000001</v>
      </c>
      <c r="AE7714">
        <v>0.13932800000000001</v>
      </c>
      <c r="AF7714">
        <v>-8.2707097939878297E-3</v>
      </c>
      <c r="AG7714">
        <v>0.43236920000000001</v>
      </c>
      <c r="AH7714">
        <v>2.9138130763255301</v>
      </c>
      <c r="AI7714">
        <v>81.559727165974905</v>
      </c>
      <c r="AJ7714">
        <v>90.162630710935801</v>
      </c>
      <c r="AK7714">
        <v>2.9457288017593899</v>
      </c>
      <c r="AL7714">
        <v>83.805599677404302</v>
      </c>
      <c r="AM7714">
        <v>87.442721648390602</v>
      </c>
      <c r="AN7714">
        <v>1.00000005537099</v>
      </c>
    </row>
    <row r="7715" spans="1:40" x14ac:dyDescent="0.25">
      <c r="A7715" t="str">
        <f>"20190312155028071"</f>
        <v>20190312155028071</v>
      </c>
      <c r="B7715" t="str">
        <f>"1552377028063459"</f>
        <v>1552377028063459</v>
      </c>
      <c r="C7715" t="s">
        <v>40</v>
      </c>
      <c r="D7715">
        <v>5.7406930000000003</v>
      </c>
      <c r="E7715">
        <v>0.48171449999999999</v>
      </c>
      <c r="F7715" t="s">
        <v>48</v>
      </c>
      <c r="G7715">
        <v>0</v>
      </c>
      <c r="H7715">
        <v>0</v>
      </c>
      <c r="I7715">
        <v>0</v>
      </c>
      <c r="J7715">
        <v>-131.8965</v>
      </c>
      <c r="K7715">
        <v>1.1104940000000001</v>
      </c>
      <c r="L7715">
        <v>141.70930000000001</v>
      </c>
      <c r="M7715">
        <v>0.99895869999999998</v>
      </c>
      <c r="N7715">
        <v>0</v>
      </c>
      <c r="O7715">
        <v>4.4018050000000003E-2</v>
      </c>
      <c r="P7715">
        <v>0.99541710000000005</v>
      </c>
      <c r="Q7715">
        <v>9.5627569999999995E-2</v>
      </c>
      <c r="R7715">
        <v>-5.9087899999999999E-4</v>
      </c>
      <c r="S7715">
        <v>2.9730219999999998</v>
      </c>
      <c r="T7715">
        <v>0.42492089999999999</v>
      </c>
      <c r="U7715">
        <v>0.13917539999999901</v>
      </c>
      <c r="V7715">
        <v>4.4412569999999998E-2</v>
      </c>
      <c r="W7715">
        <v>0.107548</v>
      </c>
      <c r="X7715">
        <v>0.99320739999999996</v>
      </c>
      <c r="Y7715">
        <v>-3.1571009999999998E-3</v>
      </c>
      <c r="Z7715">
        <v>6.0290959999999899E-3</v>
      </c>
      <c r="AA7715">
        <v>0.9999768</v>
      </c>
      <c r="AB7715">
        <v>7</v>
      </c>
      <c r="AC7715">
        <v>2.9730219999999998</v>
      </c>
      <c r="AD7715">
        <v>0.42492089999999999</v>
      </c>
      <c r="AE7715">
        <v>0.13917539999999901</v>
      </c>
      <c r="AF7715">
        <v>-8.0013413982934992E-3</v>
      </c>
      <c r="AG7715">
        <v>0.42492089999999999</v>
      </c>
      <c r="AH7715">
        <v>2.9168130544994599</v>
      </c>
      <c r="AI7715">
        <v>81.711496563117294</v>
      </c>
      <c r="AJ7715">
        <v>90.157172206127598</v>
      </c>
      <c r="AK7715">
        <v>2.9476126250950001</v>
      </c>
      <c r="AL7715">
        <v>83.826012250092404</v>
      </c>
      <c r="AM7715">
        <v>87.439649766916801</v>
      </c>
      <c r="AN7715">
        <v>0.99999999404638196</v>
      </c>
    </row>
    <row r="7716" spans="1:40" x14ac:dyDescent="0.25">
      <c r="A7716" t="str">
        <f>"20190312155028092"</f>
        <v>20190312155028092</v>
      </c>
      <c r="B7716" t="str">
        <f>"1552377028083955"</f>
        <v>1552377028083955</v>
      </c>
      <c r="C7716" t="s">
        <v>40</v>
      </c>
      <c r="D7716">
        <v>5.7875569999999996</v>
      </c>
      <c r="E7716">
        <v>0.48143459999999899</v>
      </c>
      <c r="F7716" t="s">
        <v>48</v>
      </c>
      <c r="G7716">
        <v>0</v>
      </c>
      <c r="H7716">
        <v>0</v>
      </c>
      <c r="I7716">
        <v>0</v>
      </c>
      <c r="J7716">
        <v>-131.82579999999999</v>
      </c>
      <c r="K7716">
        <v>1.110495</v>
      </c>
      <c r="L7716">
        <v>141.7124</v>
      </c>
      <c r="M7716">
        <v>0.99895750000000005</v>
      </c>
      <c r="N7716">
        <v>0</v>
      </c>
      <c r="O7716">
        <v>4.4045229999999998E-2</v>
      </c>
      <c r="P7716">
        <v>0.99536590000000003</v>
      </c>
      <c r="Q7716">
        <v>9.6154939999999994E-2</v>
      </c>
      <c r="R7716">
        <v>-9.4571100000000001E-4</v>
      </c>
      <c r="S7716">
        <v>2.9730530000000002</v>
      </c>
      <c r="T7716">
        <v>0.42518470000000003</v>
      </c>
      <c r="U7716">
        <v>0.1389465</v>
      </c>
      <c r="V7716">
        <v>4.4791919999999999E-2</v>
      </c>
      <c r="W7716">
        <v>0.1080742</v>
      </c>
      <c r="X7716">
        <v>0.99313320000000005</v>
      </c>
      <c r="Y7716">
        <v>-3.0544230000000001E-3</v>
      </c>
      <c r="Z7716">
        <v>6.0439159999999999E-3</v>
      </c>
      <c r="AA7716">
        <v>0.99997709999999995</v>
      </c>
      <c r="AB7716">
        <v>7</v>
      </c>
      <c r="AC7716">
        <v>2.9730530000000002</v>
      </c>
      <c r="AD7716">
        <v>0.42518470000000003</v>
      </c>
      <c r="AE7716">
        <v>0.1389465</v>
      </c>
      <c r="AF7716">
        <v>-7.6963426114728299E-3</v>
      </c>
      <c r="AG7716">
        <v>0.42518470000000003</v>
      </c>
      <c r="AH7716">
        <v>2.9167621691130998</v>
      </c>
      <c r="AI7716">
        <v>81.706277461295997</v>
      </c>
      <c r="AJ7716">
        <v>90.151183709999103</v>
      </c>
      <c r="AK7716">
        <v>2.9475995002667998</v>
      </c>
      <c r="AL7716">
        <v>83.795686184422607</v>
      </c>
      <c r="AM7716">
        <v>87.417617346654396</v>
      </c>
      <c r="AN7716">
        <v>0.99999995087258198</v>
      </c>
    </row>
    <row r="7717" spans="1:40" x14ac:dyDescent="0.25">
      <c r="A7717" t="str">
        <f>"20190312155028115"</f>
        <v>20190312155028115</v>
      </c>
      <c r="B7717" t="str">
        <f>"1552377028103476"</f>
        <v>1552377028103476</v>
      </c>
      <c r="C7717" t="s">
        <v>40</v>
      </c>
      <c r="D7717">
        <v>5.7857339999999997</v>
      </c>
      <c r="E7717">
        <v>0.4815605</v>
      </c>
      <c r="F7717" t="s">
        <v>48</v>
      </c>
      <c r="G7717">
        <v>0</v>
      </c>
      <c r="H7717">
        <v>0</v>
      </c>
      <c r="I7717">
        <v>0</v>
      </c>
      <c r="J7717">
        <v>-131.7508</v>
      </c>
      <c r="K7717">
        <v>1.110498</v>
      </c>
      <c r="L7717">
        <v>141.7158</v>
      </c>
      <c r="M7717">
        <v>0.99895630000000002</v>
      </c>
      <c r="N7717">
        <v>0</v>
      </c>
      <c r="O7717">
        <v>4.4074080000000002E-2</v>
      </c>
      <c r="P7717">
        <v>0.9953632</v>
      </c>
      <c r="Q7717">
        <v>9.6181799999999998E-2</v>
      </c>
      <c r="R7717">
        <v>-1.2427079999999999E-3</v>
      </c>
      <c r="S7717">
        <v>2.9726720000000002</v>
      </c>
      <c r="T7717">
        <v>0.42889690000000003</v>
      </c>
      <c r="U7717">
        <v>0.13996889999999901</v>
      </c>
      <c r="V7717">
        <v>4.5116980000000001E-2</v>
      </c>
      <c r="W7717">
        <v>0.1081008</v>
      </c>
      <c r="X7717">
        <v>0.99311570000000005</v>
      </c>
      <c r="Y7717">
        <v>-3.3789810000000001E-3</v>
      </c>
      <c r="Z7717">
        <v>6.0777110000000004E-3</v>
      </c>
      <c r="AA7717">
        <v>0.99997579999999997</v>
      </c>
      <c r="AB7717">
        <v>7</v>
      </c>
      <c r="AC7717">
        <v>2.9726720000000002</v>
      </c>
      <c r="AD7717">
        <v>0.42889690000000003</v>
      </c>
      <c r="AE7717">
        <v>0.13996889999999901</v>
      </c>
      <c r="AF7717">
        <v>-8.6264862916031193E-3</v>
      </c>
      <c r="AG7717">
        <v>0.42889690000000003</v>
      </c>
      <c r="AH7717">
        <v>2.9153976802749302</v>
      </c>
      <c r="AI7717">
        <v>81.631034676483594</v>
      </c>
      <c r="AJ7717">
        <v>90.169534268828997</v>
      </c>
      <c r="AK7717">
        <v>2.94678988074274</v>
      </c>
      <c r="AL7717">
        <v>83.794153810067598</v>
      </c>
      <c r="AM7717">
        <v>87.398856579490996</v>
      </c>
      <c r="AN7717">
        <v>1.0000000592157201</v>
      </c>
    </row>
    <row r="7718" spans="1:40" x14ac:dyDescent="0.25">
      <c r="A7718" t="str">
        <f>"20190312155028140"</f>
        <v>20190312155028140</v>
      </c>
      <c r="B7718" t="str">
        <f>"1552377028133732"</f>
        <v>1552377028133732</v>
      </c>
      <c r="C7718" t="s">
        <v>40</v>
      </c>
      <c r="D7718">
        <v>5.819693</v>
      </c>
      <c r="E7718">
        <v>0.4816182</v>
      </c>
      <c r="F7718" t="s">
        <v>48</v>
      </c>
      <c r="G7718">
        <v>0</v>
      </c>
      <c r="H7718">
        <v>0</v>
      </c>
      <c r="I7718">
        <v>0</v>
      </c>
      <c r="J7718">
        <v>-131.6677</v>
      </c>
      <c r="K7718">
        <v>1.1104969999999901</v>
      </c>
      <c r="L7718">
        <v>141.71950000000001</v>
      </c>
      <c r="M7718">
        <v>0.99895500000000004</v>
      </c>
      <c r="N7718">
        <v>0</v>
      </c>
      <c r="O7718">
        <v>4.4105730000000003E-2</v>
      </c>
      <c r="P7718">
        <v>0.99536919999999995</v>
      </c>
      <c r="Q7718">
        <v>9.6120010000000006E-2</v>
      </c>
      <c r="R7718">
        <v>-1.070919E-3</v>
      </c>
      <c r="S7718">
        <v>2.9729610000000002</v>
      </c>
      <c r="T7718">
        <v>0.42624770000000001</v>
      </c>
      <c r="U7718">
        <v>0.13818359999999999</v>
      </c>
      <c r="V7718">
        <v>4.4977259999999998E-2</v>
      </c>
      <c r="W7718">
        <v>0.1080391</v>
      </c>
      <c r="X7718">
        <v>0.99312869999999998</v>
      </c>
      <c r="Y7718">
        <v>-2.7451139999999999E-3</v>
      </c>
      <c r="Z7718">
        <v>6.0897640000000001E-3</v>
      </c>
      <c r="AA7718">
        <v>0.99997769999999997</v>
      </c>
      <c r="AB7718">
        <v>7</v>
      </c>
      <c r="AC7718">
        <v>2.9729610000000002</v>
      </c>
      <c r="AD7718">
        <v>0.42624770000000001</v>
      </c>
      <c r="AE7718">
        <v>0.13818359999999999</v>
      </c>
      <c r="AF7718">
        <v>-6.7760882084166802E-3</v>
      </c>
      <c r="AG7718">
        <v>0.42624770000000001</v>
      </c>
      <c r="AH7718">
        <v>2.9163425521932602</v>
      </c>
      <c r="AI7718">
        <v>81.684645941676706</v>
      </c>
      <c r="AJ7718">
        <v>90.133125841821297</v>
      </c>
      <c r="AK7718">
        <v>2.9473355592568402</v>
      </c>
      <c r="AL7718">
        <v>83.797709466267904</v>
      </c>
      <c r="AM7718">
        <v>87.4069347854049</v>
      </c>
      <c r="AN7718">
        <v>1.0000000079047999</v>
      </c>
    </row>
    <row r="7719" spans="1:40" x14ac:dyDescent="0.25">
      <c r="A7719" t="str">
        <f>"20190312155028167"</f>
        <v>20190312155028167</v>
      </c>
      <c r="B7719" t="str">
        <f>"1552377028153252"</f>
        <v>1552377028153252</v>
      </c>
      <c r="C7719" t="s">
        <v>40</v>
      </c>
      <c r="D7719">
        <v>5.2733499999999998</v>
      </c>
      <c r="E7719">
        <v>0.48185600000000001</v>
      </c>
      <c r="F7719" t="s">
        <v>48</v>
      </c>
      <c r="G7719">
        <v>0</v>
      </c>
      <c r="H7719">
        <v>0</v>
      </c>
      <c r="I7719">
        <v>0</v>
      </c>
      <c r="J7719">
        <v>-131.57919999999999</v>
      </c>
      <c r="K7719">
        <v>1.1105039999999999</v>
      </c>
      <c r="L7719">
        <v>141.7234</v>
      </c>
      <c r="M7719">
        <v>0.99895350000000005</v>
      </c>
      <c r="N7719">
        <v>0</v>
      </c>
      <c r="O7719">
        <v>4.4139339999999999E-2</v>
      </c>
      <c r="P7719">
        <v>0.99539040000000001</v>
      </c>
      <c r="Q7719">
        <v>9.5908549999999995E-2</v>
      </c>
      <c r="R7719">
        <v>-2.0691009999999999E-4</v>
      </c>
      <c r="S7719">
        <v>2.9728089999999998</v>
      </c>
      <c r="T7719">
        <v>0.42767290000000002</v>
      </c>
      <c r="U7719">
        <v>0.13829040000000001</v>
      </c>
      <c r="V7719">
        <v>4.4148420000000001E-2</v>
      </c>
      <c r="W7719">
        <v>0.1078287</v>
      </c>
      <c r="X7719">
        <v>0.99318870000000004</v>
      </c>
      <c r="Y7719">
        <v>-2.7528090000000002E-3</v>
      </c>
      <c r="Z7719">
        <v>6.1144750000000003E-3</v>
      </c>
      <c r="AA7719">
        <v>0.99997749999999996</v>
      </c>
      <c r="AB7719">
        <v>7</v>
      </c>
      <c r="AC7719">
        <v>2.9728089999999998</v>
      </c>
      <c r="AD7719">
        <v>0.42767290000000002</v>
      </c>
      <c r="AE7719">
        <v>0.13829040000000001</v>
      </c>
      <c r="AF7719">
        <v>-6.7881639785461996E-3</v>
      </c>
      <c r="AG7719">
        <v>0.42767290000000002</v>
      </c>
      <c r="AH7719">
        <v>2.9158002046654601</v>
      </c>
      <c r="AI7719">
        <v>81.655703600661397</v>
      </c>
      <c r="AJ7719">
        <v>90.133387892399895</v>
      </c>
      <c r="AK7719">
        <v>2.94700543299325</v>
      </c>
      <c r="AL7719">
        <v>83.809834993409794</v>
      </c>
      <c r="AM7719">
        <v>87.454809867894198</v>
      </c>
      <c r="AN7719">
        <v>0.99999995266993702</v>
      </c>
    </row>
    <row r="7720" spans="1:40" x14ac:dyDescent="0.25">
      <c r="A7720" t="str">
        <f>"20190312155028204"</f>
        <v>20190312155028204</v>
      </c>
      <c r="B7720" t="str">
        <f>"1552377028193268"</f>
        <v>1552377028193268</v>
      </c>
      <c r="C7720" t="s">
        <v>40</v>
      </c>
      <c r="D7720">
        <v>5.8831850000000001</v>
      </c>
      <c r="E7720">
        <v>0.54357549999999999</v>
      </c>
      <c r="F7720" t="s">
        <v>48</v>
      </c>
      <c r="G7720">
        <v>0</v>
      </c>
      <c r="H7720">
        <v>0</v>
      </c>
      <c r="I7720">
        <v>0</v>
      </c>
      <c r="J7720">
        <v>-131.45339999999999</v>
      </c>
      <c r="K7720">
        <v>1.1105039999999999</v>
      </c>
      <c r="L7720">
        <v>141.72909999999999</v>
      </c>
      <c r="M7720">
        <v>0.99895129999999999</v>
      </c>
      <c r="N7720">
        <v>0</v>
      </c>
      <c r="O7720">
        <v>4.4187450000000003E-2</v>
      </c>
      <c r="P7720">
        <v>0.99539319999999998</v>
      </c>
      <c r="Q7720">
        <v>9.5872830000000006E-2</v>
      </c>
      <c r="R7720">
        <v>9.7357990000000001E-4</v>
      </c>
      <c r="S7720">
        <v>2.9728240000000001</v>
      </c>
      <c r="T7720">
        <v>0.42648580000000003</v>
      </c>
      <c r="U7720">
        <v>0.139022799999999</v>
      </c>
      <c r="V7720">
        <v>4.3017E-2</v>
      </c>
      <c r="W7720">
        <v>0.1077936</v>
      </c>
      <c r="X7720">
        <v>0.99324219999999996</v>
      </c>
      <c r="Y7720">
        <v>-2.946405E-3</v>
      </c>
      <c r="Z7720">
        <v>6.0906469999999898E-3</v>
      </c>
      <c r="AA7720">
        <v>0.99997709999999995</v>
      </c>
      <c r="AB7720">
        <v>7</v>
      </c>
      <c r="AC7720">
        <v>2.9728240000000001</v>
      </c>
      <c r="AD7720">
        <v>0.42648580000000003</v>
      </c>
      <c r="AE7720">
        <v>0.139022799999999</v>
      </c>
      <c r="AF7720">
        <v>-7.3647897681822201E-3</v>
      </c>
      <c r="AG7720">
        <v>0.42648580000000003</v>
      </c>
      <c r="AH7720">
        <v>2.9161759637545099</v>
      </c>
      <c r="AI7720">
        <v>81.679601415885998</v>
      </c>
      <c r="AJ7720">
        <v>90.144699935407502</v>
      </c>
      <c r="AK7720">
        <v>2.9472065806979799</v>
      </c>
      <c r="AL7720">
        <v>83.811858129956093</v>
      </c>
      <c r="AM7720">
        <v>87.520088002498198</v>
      </c>
      <c r="AN7720">
        <v>0.99999999517539995</v>
      </c>
    </row>
    <row r="7721" spans="1:40" x14ac:dyDescent="0.25">
      <c r="A7721" t="str">
        <f>"20190312155028231"</f>
        <v>20190312155028231</v>
      </c>
      <c r="B7721" t="str">
        <f>"1552377028223524"</f>
        <v>1552377028223524</v>
      </c>
      <c r="C7721" t="s">
        <v>40</v>
      </c>
      <c r="D7721">
        <v>5.826543</v>
      </c>
      <c r="E7721">
        <v>0.54502569999999995</v>
      </c>
      <c r="F7721" t="s">
        <v>41</v>
      </c>
      <c r="G7721">
        <v>-130.75700000000001</v>
      </c>
      <c r="H7721">
        <v>0.96266569999999996</v>
      </c>
      <c r="I7721">
        <v>141.65860000000001</v>
      </c>
      <c r="J7721">
        <v>-131.3691</v>
      </c>
      <c r="K7721">
        <v>1.110503</v>
      </c>
      <c r="L7721">
        <v>141.7328</v>
      </c>
      <c r="M7721">
        <v>0.9989498</v>
      </c>
      <c r="N7721">
        <v>0</v>
      </c>
      <c r="O7721">
        <v>4.4219750000000002E-2</v>
      </c>
      <c r="P7721">
        <v>0.99539460000000002</v>
      </c>
      <c r="Q7721">
        <v>9.5847870000000002E-2</v>
      </c>
      <c r="R7721">
        <v>1.72623E-3</v>
      </c>
      <c r="S7721">
        <v>3.0771030000000001</v>
      </c>
      <c r="T7721">
        <v>-0.65326770000000001</v>
      </c>
      <c r="U7721">
        <v>-0.31025700000000001</v>
      </c>
      <c r="V7721">
        <v>4.229724E-2</v>
      </c>
      <c r="W7721">
        <v>0.1077694</v>
      </c>
      <c r="X7721">
        <v>0.99327580000000004</v>
      </c>
      <c r="Y7721">
        <v>0.14014839999999901</v>
      </c>
      <c r="Z7721">
        <v>-2.3941899999999999E-2</v>
      </c>
      <c r="AA7721">
        <v>0.98984099999999997</v>
      </c>
      <c r="AB7721">
        <v>7</v>
      </c>
      <c r="AC7721">
        <v>0.61209999999999798</v>
      </c>
      <c r="AD7721">
        <v>-0.1478373</v>
      </c>
      <c r="AE7721">
        <v>-7.4199999999990496E-2</v>
      </c>
      <c r="AF7721">
        <v>9.5694826777491193E-2</v>
      </c>
      <c r="AG7721">
        <v>-0.1478373</v>
      </c>
      <c r="AH7721">
        <v>0.575154537736842</v>
      </c>
      <c r="AI7721">
        <v>104.22771764017099</v>
      </c>
      <c r="AJ7721">
        <v>80.553599817017798</v>
      </c>
      <c r="AK7721">
        <v>0.60151152060666602</v>
      </c>
      <c r="AL7721">
        <v>83.813253199349205</v>
      </c>
      <c r="AM7721">
        <v>87.561613739842201</v>
      </c>
      <c r="AN7721">
        <v>1.0000000574768</v>
      </c>
    </row>
    <row r="7722" spans="1:40" x14ac:dyDescent="0.25">
      <c r="A7722" t="str">
        <f>"20190312155028252"</f>
        <v>20190312155028252</v>
      </c>
      <c r="B7722" t="str">
        <f>"1552377028244019"</f>
        <v>1552377028244019</v>
      </c>
      <c r="C7722" t="s">
        <v>40</v>
      </c>
      <c r="D7722">
        <v>5.820201</v>
      </c>
      <c r="E7722">
        <v>0.54606709999999903</v>
      </c>
      <c r="F7722" t="s">
        <v>41</v>
      </c>
      <c r="G7722">
        <v>-130.64359999999999</v>
      </c>
      <c r="H7722">
        <v>0.92210320000000001</v>
      </c>
      <c r="I7722">
        <v>141.65880000000001</v>
      </c>
      <c r="J7722">
        <v>-131.29679999999999</v>
      </c>
      <c r="K7722">
        <v>1.110503</v>
      </c>
      <c r="L7722">
        <v>141.73609999999999</v>
      </c>
      <c r="M7722">
        <v>0.99894879999999997</v>
      </c>
      <c r="N7722">
        <v>0</v>
      </c>
      <c r="O7722">
        <v>4.4246929999999997E-2</v>
      </c>
      <c r="P7722">
        <v>0.99545090000000003</v>
      </c>
      <c r="Q7722">
        <v>9.5250779999999993E-2</v>
      </c>
      <c r="R7722">
        <v>2.2850980000000002E-3</v>
      </c>
      <c r="S7722">
        <v>3.091736</v>
      </c>
      <c r="T7722">
        <v>-0.80286539999999995</v>
      </c>
      <c r="U7722">
        <v>-0.3147278</v>
      </c>
      <c r="V7722">
        <v>4.1768550000000002E-2</v>
      </c>
      <c r="W7722">
        <v>0.1071735</v>
      </c>
      <c r="X7722">
        <v>0.99336259999999998</v>
      </c>
      <c r="Y7722">
        <v>0.13916819999999999</v>
      </c>
      <c r="Z7722">
        <v>-2.901043E-2</v>
      </c>
      <c r="AA7722">
        <v>0.98984369999999999</v>
      </c>
      <c r="AB7722">
        <v>7</v>
      </c>
      <c r="AC7722">
        <v>0.653199999999998</v>
      </c>
      <c r="AD7722">
        <v>-0.18839980000000001</v>
      </c>
      <c r="AE7722">
        <v>-7.7299999999979704E-2</v>
      </c>
      <c r="AF7722">
        <v>9.8081768237004499E-2</v>
      </c>
      <c r="AG7722">
        <v>-0.18839980000000001</v>
      </c>
      <c r="AH7722">
        <v>0.599921728438914</v>
      </c>
      <c r="AI7722">
        <v>107.219562695574</v>
      </c>
      <c r="AJ7722">
        <v>80.714806372166606</v>
      </c>
      <c r="AK7722">
        <v>0.63641228630006097</v>
      </c>
      <c r="AL7722">
        <v>83.847594377877599</v>
      </c>
      <c r="AM7722">
        <v>87.592266154687593</v>
      </c>
      <c r="AN7722">
        <v>1.0000000129750499</v>
      </c>
    </row>
    <row r="7723" spans="1:40" x14ac:dyDescent="0.25">
      <c r="A7723" t="str">
        <f>"20190312155028271"</f>
        <v>20190312155028271</v>
      </c>
      <c r="B7723" t="str">
        <f>"1552377028263540"</f>
        <v>1552377028263540</v>
      </c>
      <c r="C7723" t="s">
        <v>40</v>
      </c>
      <c r="D7723">
        <v>5.8086630000000001</v>
      </c>
      <c r="E7723">
        <v>0.54624619999999902</v>
      </c>
      <c r="F7723" t="s">
        <v>41</v>
      </c>
      <c r="G7723">
        <v>-130.58029999999999</v>
      </c>
      <c r="H7723">
        <v>0.91615749999999996</v>
      </c>
      <c r="I7723">
        <v>141.6618</v>
      </c>
      <c r="J7723">
        <v>-131.23249999999999</v>
      </c>
      <c r="K7723">
        <v>1.1105210000000001</v>
      </c>
      <c r="L7723">
        <v>141.739</v>
      </c>
      <c r="M7723">
        <v>0.99894760000000005</v>
      </c>
      <c r="N7723">
        <v>0</v>
      </c>
      <c r="O7723">
        <v>4.4271480000000002E-2</v>
      </c>
      <c r="P7723">
        <v>0.99555000000000005</v>
      </c>
      <c r="Q7723">
        <v>9.4202670000000002E-2</v>
      </c>
      <c r="R7723">
        <v>2.5824490000000001E-3</v>
      </c>
      <c r="S7723">
        <v>3.0947879999999999</v>
      </c>
      <c r="T7723">
        <v>-0.83948579999999995</v>
      </c>
      <c r="U7723">
        <v>-0.32022089999999998</v>
      </c>
      <c r="V7723">
        <v>4.1500080000000002E-2</v>
      </c>
      <c r="W7723">
        <v>0.1061271</v>
      </c>
      <c r="X7723">
        <v>0.99348619999999999</v>
      </c>
      <c r="Y7723">
        <v>0.1402543</v>
      </c>
      <c r="Z7723">
        <v>-3.0408350000000001E-2</v>
      </c>
      <c r="AA7723">
        <v>0.98964850000000004</v>
      </c>
      <c r="AB7723">
        <v>7</v>
      </c>
      <c r="AC7723">
        <v>0.65219999999999301</v>
      </c>
      <c r="AD7723">
        <v>-0.194363499999999</v>
      </c>
      <c r="AE7723">
        <v>-7.7200000000004806E-2</v>
      </c>
      <c r="AF7723">
        <v>9.7463943238842707E-2</v>
      </c>
      <c r="AG7723">
        <v>-0.194363499999999</v>
      </c>
      <c r="AH7723">
        <v>0.59594698510478505</v>
      </c>
      <c r="AI7723">
        <v>107.841613097039</v>
      </c>
      <c r="AJ7723">
        <v>80.711809041454998</v>
      </c>
      <c r="AK7723">
        <v>0.63437307589414405</v>
      </c>
      <c r="AL7723">
        <v>83.907892655065197</v>
      </c>
      <c r="AM7723">
        <v>87.608021256663207</v>
      </c>
      <c r="AN7723">
        <v>1.00000002379242</v>
      </c>
    </row>
    <row r="7724" spans="1:40" x14ac:dyDescent="0.25">
      <c r="A7724" t="str">
        <f>"20190312155028295"</f>
        <v>20190312155028295</v>
      </c>
      <c r="B7724" t="str">
        <f>"1552377028284036"</f>
        <v>1552377028284036</v>
      </c>
      <c r="C7724" t="s">
        <v>40</v>
      </c>
      <c r="D7724">
        <v>5.8420370000000004</v>
      </c>
      <c r="E7724">
        <v>0.54604680000000005</v>
      </c>
      <c r="F7724" t="s">
        <v>41</v>
      </c>
      <c r="G7724">
        <v>-130.51609999999999</v>
      </c>
      <c r="H7724">
        <v>0.91191140000000004</v>
      </c>
      <c r="I7724">
        <v>141.66470000000001</v>
      </c>
      <c r="J7724">
        <v>-131.15289999999999</v>
      </c>
      <c r="K7724">
        <v>1.110528</v>
      </c>
      <c r="L7724">
        <v>141.74250000000001</v>
      </c>
      <c r="M7724">
        <v>0.99894620000000001</v>
      </c>
      <c r="N7724">
        <v>0</v>
      </c>
      <c r="O7724">
        <v>4.4301819999999999E-2</v>
      </c>
      <c r="P7724">
        <v>0.99549900000000002</v>
      </c>
      <c r="Q7724">
        <v>9.4723749999999995E-2</v>
      </c>
      <c r="R7724">
        <v>3.0493740000000001E-3</v>
      </c>
      <c r="S7724">
        <v>3.095459</v>
      </c>
      <c r="T7724">
        <v>-0.85827819999999899</v>
      </c>
      <c r="U7724">
        <v>-0.31986999999999999</v>
      </c>
      <c r="V7724">
        <v>4.1061819999999999E-2</v>
      </c>
      <c r="W7724">
        <v>0.1066482</v>
      </c>
      <c r="X7724">
        <v>0.99344860000000001</v>
      </c>
      <c r="Y7724">
        <v>0.13987359999999999</v>
      </c>
      <c r="Z7724">
        <v>-3.1015000000000001E-2</v>
      </c>
      <c r="AA7724">
        <v>0.98968350000000005</v>
      </c>
      <c r="AB7724">
        <v>7</v>
      </c>
      <c r="AC7724">
        <v>0.63679999999999304</v>
      </c>
      <c r="AD7724">
        <v>-0.1986166</v>
      </c>
      <c r="AE7724">
        <v>-7.7799999999996303E-2</v>
      </c>
      <c r="AF7724">
        <v>9.6671139238662399E-2</v>
      </c>
      <c r="AG7724">
        <v>-0.1986166</v>
      </c>
      <c r="AH7724">
        <v>0.57738557011990599</v>
      </c>
      <c r="AI7724">
        <v>108.740562580928</v>
      </c>
      <c r="AJ7724">
        <v>80.495180183614707</v>
      </c>
      <c r="AK7724">
        <v>0.61819734675906701</v>
      </c>
      <c r="AL7724">
        <v>83.8778653655488</v>
      </c>
      <c r="AM7724">
        <v>87.633163303621401</v>
      </c>
      <c r="AN7724">
        <v>1.0000000162334499</v>
      </c>
    </row>
    <row r="7725" spans="1:40" x14ac:dyDescent="0.25">
      <c r="A7725" t="str">
        <f>"20190312155028317"</f>
        <v>20190312155028317</v>
      </c>
      <c r="B7725" t="str">
        <f>"1552377028313316"</f>
        <v>1552377028313316</v>
      </c>
      <c r="C7725" t="s">
        <v>40</v>
      </c>
      <c r="D7725">
        <v>5.8908430000000003</v>
      </c>
      <c r="E7725">
        <v>0.54647040000000002</v>
      </c>
      <c r="F7725" t="s">
        <v>41</v>
      </c>
      <c r="G7725">
        <v>-130.44929999999999</v>
      </c>
      <c r="H7725">
        <v>0.91427309999999995</v>
      </c>
      <c r="I7725">
        <v>141.6705</v>
      </c>
      <c r="J7725">
        <v>-131.07990000000001</v>
      </c>
      <c r="K7725">
        <v>1.11053</v>
      </c>
      <c r="L7725">
        <v>141.7458</v>
      </c>
      <c r="M7725">
        <v>0.99894490000000002</v>
      </c>
      <c r="N7725">
        <v>0</v>
      </c>
      <c r="O7725">
        <v>4.4329540000000001E-2</v>
      </c>
      <c r="P7725">
        <v>0.9954132</v>
      </c>
      <c r="Q7725">
        <v>9.5618140000000004E-2</v>
      </c>
      <c r="R7725">
        <v>3.1475769999999999E-3</v>
      </c>
      <c r="S7725">
        <v>3.0967410000000002</v>
      </c>
      <c r="T7725">
        <v>-0.86374409999999902</v>
      </c>
      <c r="U7725">
        <v>-0.31640629999999997</v>
      </c>
      <c r="V7725">
        <v>4.0987419999999997E-2</v>
      </c>
      <c r="W7725">
        <v>0.10754229999999999</v>
      </c>
      <c r="X7725">
        <v>0.99335530000000005</v>
      </c>
      <c r="Y7725">
        <v>0.1387244</v>
      </c>
      <c r="Z7725">
        <v>-3.1045240000000002E-2</v>
      </c>
      <c r="AA7725">
        <v>0.98984430000000001</v>
      </c>
      <c r="AB7725">
        <v>7</v>
      </c>
      <c r="AC7725">
        <v>0.63060000000001504</v>
      </c>
      <c r="AD7725">
        <v>-0.19625690000000001</v>
      </c>
      <c r="AE7725">
        <v>-7.5299999999998493E-2</v>
      </c>
      <c r="AF7725">
        <v>9.4187492980688195E-2</v>
      </c>
      <c r="AG7725">
        <v>-0.19625690000000001</v>
      </c>
      <c r="AH7725">
        <v>0.57201555132889803</v>
      </c>
      <c r="AI7725">
        <v>108.70293943125</v>
      </c>
      <c r="AJ7725">
        <v>80.649637514557497</v>
      </c>
      <c r="AK7725">
        <v>0.61203745440430402</v>
      </c>
      <c r="AL7725">
        <v>83.826340985509702</v>
      </c>
      <c r="AM7725">
        <v>87.637225267139996</v>
      </c>
      <c r="AN7725">
        <v>1.0000000334628101</v>
      </c>
    </row>
    <row r="7726" spans="1:40" x14ac:dyDescent="0.25">
      <c r="A7726" t="str">
        <f>"20190312155028340"</f>
        <v>20190312155028340</v>
      </c>
      <c r="B7726" t="str">
        <f>"1552377028333811"</f>
        <v>1552377028333811</v>
      </c>
      <c r="C7726" t="s">
        <v>40</v>
      </c>
      <c r="D7726">
        <v>5.8329279999999999</v>
      </c>
      <c r="E7726">
        <v>0.54636909999999905</v>
      </c>
      <c r="F7726" t="s">
        <v>41</v>
      </c>
      <c r="G7726">
        <v>-130.3836</v>
      </c>
      <c r="H7726">
        <v>0.91372540000000002</v>
      </c>
      <c r="I7726">
        <v>141.6738</v>
      </c>
      <c r="J7726">
        <v>-131.0035</v>
      </c>
      <c r="K7726">
        <v>1.110528</v>
      </c>
      <c r="L7726">
        <v>141.7492</v>
      </c>
      <c r="M7726">
        <v>0.99894369999999999</v>
      </c>
      <c r="N7726">
        <v>0</v>
      </c>
      <c r="O7726">
        <v>4.4358679999999998E-2</v>
      </c>
      <c r="P7726">
        <v>0.99542679999999995</v>
      </c>
      <c r="Q7726">
        <v>9.5466590000000004E-2</v>
      </c>
      <c r="R7726">
        <v>3.4117069999999999E-3</v>
      </c>
      <c r="S7726">
        <v>3.0989840000000002</v>
      </c>
      <c r="T7726">
        <v>-0.87588509999999997</v>
      </c>
      <c r="U7726">
        <v>-0.31958009999999998</v>
      </c>
      <c r="V7726">
        <v>4.0753230000000001E-2</v>
      </c>
      <c r="W7726">
        <v>0.1073906</v>
      </c>
      <c r="X7726">
        <v>0.99338130000000002</v>
      </c>
      <c r="Y7726">
        <v>0.1394724</v>
      </c>
      <c r="Z7726">
        <v>-3.155355E-2</v>
      </c>
      <c r="AA7726">
        <v>0.98972309999999997</v>
      </c>
      <c r="AB7726">
        <v>7</v>
      </c>
      <c r="AC7726">
        <v>0.61990000000000101</v>
      </c>
      <c r="AD7726">
        <v>-0.196802599999999</v>
      </c>
      <c r="AE7726">
        <v>-7.5400000000001896E-2</v>
      </c>
      <c r="AF7726">
        <v>9.3535655654961095E-2</v>
      </c>
      <c r="AG7726">
        <v>-0.196802599999999</v>
      </c>
      <c r="AH7726">
        <v>0.56029580187599304</v>
      </c>
      <c r="AI7726">
        <v>109.108808084741</v>
      </c>
      <c r="AJ7726">
        <v>80.522453374086993</v>
      </c>
      <c r="AK7726">
        <v>0.60117515571206503</v>
      </c>
      <c r="AL7726">
        <v>83.835083096914303</v>
      </c>
      <c r="AM7726">
        <v>87.650771713414002</v>
      </c>
      <c r="AN7726">
        <v>0.99999998695674097</v>
      </c>
    </row>
    <row r="7727" spans="1:40" x14ac:dyDescent="0.25">
      <c r="A7727" t="str">
        <f>"20190312155028366"</f>
        <v>20190312155028366</v>
      </c>
      <c r="B7727" t="str">
        <f>"1552377028353332"</f>
        <v>1552377028353332</v>
      </c>
      <c r="C7727" t="s">
        <v>40</v>
      </c>
      <c r="D7727">
        <v>5.8174630000000001</v>
      </c>
      <c r="E7727">
        <v>0.54637049999999998</v>
      </c>
      <c r="F7727" t="s">
        <v>41</v>
      </c>
      <c r="G7727">
        <v>-130.3168</v>
      </c>
      <c r="H7727">
        <v>0.91577430000000004</v>
      </c>
      <c r="I7727">
        <v>141.6788</v>
      </c>
      <c r="J7727">
        <v>-130.9178</v>
      </c>
      <c r="K7727">
        <v>1.110511</v>
      </c>
      <c r="L7727">
        <v>141.75309999999999</v>
      </c>
      <c r="M7727">
        <v>0.99894240000000001</v>
      </c>
      <c r="N7727">
        <v>0</v>
      </c>
      <c r="O7727">
        <v>4.4391340000000001E-2</v>
      </c>
      <c r="P7727">
        <v>0.99558950000000002</v>
      </c>
      <c r="Q7727">
        <v>9.374768E-2</v>
      </c>
      <c r="R7727">
        <v>3.6974059999999999E-3</v>
      </c>
      <c r="S7727">
        <v>3.099167</v>
      </c>
      <c r="T7727">
        <v>-0.87896160000000001</v>
      </c>
      <c r="U7727">
        <v>-0.31764219999999999</v>
      </c>
      <c r="V7727">
        <v>4.0507370000000001E-2</v>
      </c>
      <c r="W7727">
        <v>0.1056743</v>
      </c>
      <c r="X7727">
        <v>0.9935754</v>
      </c>
      <c r="Y7727">
        <v>0.13885999999999901</v>
      </c>
      <c r="Z7727">
        <v>-3.1583439999999997E-2</v>
      </c>
      <c r="AA7727">
        <v>0.98980829999999997</v>
      </c>
      <c r="AB7727">
        <v>7</v>
      </c>
      <c r="AC7727">
        <v>0.60099999999999898</v>
      </c>
      <c r="AD7727">
        <v>-0.19473670000000001</v>
      </c>
      <c r="AE7727">
        <v>-7.4299999999993802E-2</v>
      </c>
      <c r="AF7727">
        <v>9.1450981170891898E-2</v>
      </c>
      <c r="AG7727">
        <v>-0.19473670000000001</v>
      </c>
      <c r="AH7727">
        <v>0.54114913814562504</v>
      </c>
      <c r="AI7727">
        <v>109.53604134416901</v>
      </c>
      <c r="AJ7727">
        <v>80.4079820975263</v>
      </c>
      <c r="AK7727">
        <v>0.58234702197208998</v>
      </c>
      <c r="AL7727">
        <v>83.9339826914496</v>
      </c>
      <c r="AM7727">
        <v>87.665384291067397</v>
      </c>
      <c r="AN7727">
        <v>0.99999999009498297</v>
      </c>
    </row>
    <row r="7728" spans="1:40" x14ac:dyDescent="0.25">
      <c r="A7728" t="str">
        <f>"20190312155028388"</f>
        <v>20190312155028388</v>
      </c>
      <c r="B7728" t="str">
        <f>"1552377028383588"</f>
        <v>1552377028383588</v>
      </c>
      <c r="C7728" t="s">
        <v>40</v>
      </c>
      <c r="D7728">
        <v>5.8550719999999998</v>
      </c>
      <c r="E7728">
        <v>0.54625829999999997</v>
      </c>
      <c r="F7728" t="s">
        <v>41</v>
      </c>
      <c r="G7728">
        <v>-130.19040000000001</v>
      </c>
      <c r="H7728">
        <v>0.90247509999999997</v>
      </c>
      <c r="I7728">
        <v>141.67850000000001</v>
      </c>
      <c r="J7728">
        <v>-130.84799999999899</v>
      </c>
      <c r="K7728">
        <v>1.1104940000000001</v>
      </c>
      <c r="L7728">
        <v>141.75620000000001</v>
      </c>
      <c r="M7728">
        <v>0.99894110000000003</v>
      </c>
      <c r="N7728">
        <v>0</v>
      </c>
      <c r="O7728">
        <v>4.4418329999999999E-2</v>
      </c>
      <c r="P7728">
        <v>0.99576129999999996</v>
      </c>
      <c r="Q7728">
        <v>9.1891E-2</v>
      </c>
      <c r="R7728">
        <v>3.9694689999999998E-3</v>
      </c>
      <c r="S7728">
        <v>3.0978699999999999</v>
      </c>
      <c r="T7728">
        <v>-0.88592569999999904</v>
      </c>
      <c r="U7728">
        <v>-0.31687929999999997</v>
      </c>
      <c r="V7728">
        <v>4.0270100000000003E-2</v>
      </c>
      <c r="W7728">
        <v>0.1038201</v>
      </c>
      <c r="X7728">
        <v>0.99378049999999996</v>
      </c>
      <c r="Y7728">
        <v>0.1385797</v>
      </c>
      <c r="Z7728">
        <v>-3.1805609999999998E-2</v>
      </c>
      <c r="AA7728">
        <v>0.98984039999999995</v>
      </c>
      <c r="AB7728">
        <v>7</v>
      </c>
      <c r="AC7728">
        <v>0.65759999999997298</v>
      </c>
      <c r="AD7728">
        <v>-0.20801890000000001</v>
      </c>
      <c r="AE7728">
        <v>-7.7699999999992997E-2</v>
      </c>
      <c r="AF7728">
        <v>9.7238682537163904E-2</v>
      </c>
      <c r="AG7728">
        <v>-0.20801890000000001</v>
      </c>
      <c r="AH7728">
        <v>0.59480016899753096</v>
      </c>
      <c r="AI7728">
        <v>109.041972981155</v>
      </c>
      <c r="AJ7728">
        <v>80.715346506638497</v>
      </c>
      <c r="AK7728">
        <v>0.63758486900040601</v>
      </c>
      <c r="AL7728">
        <v>84.040808191009901</v>
      </c>
      <c r="AM7728">
        <v>87.679522676763895</v>
      </c>
      <c r="AN7728">
        <v>0.99999998814913404</v>
      </c>
    </row>
    <row r="7729" spans="1:40" x14ac:dyDescent="0.25">
      <c r="A7729" t="str">
        <f>"20190312155028411"</f>
        <v>20190312155028411</v>
      </c>
      <c r="B7729" t="str">
        <f>"1552377028404083"</f>
        <v>1552377028404083</v>
      </c>
      <c r="C7729" t="s">
        <v>40</v>
      </c>
      <c r="D7729">
        <v>5.8724020000000001</v>
      </c>
      <c r="E7729">
        <v>0.54606540000000003</v>
      </c>
      <c r="F7729" t="s">
        <v>41</v>
      </c>
      <c r="G7729">
        <v>-130.1251</v>
      </c>
      <c r="H7729">
        <v>0.90144469999999999</v>
      </c>
      <c r="I7729">
        <v>141.6823</v>
      </c>
      <c r="J7729">
        <v>-130.77189999999999</v>
      </c>
      <c r="K7729">
        <v>1.110492</v>
      </c>
      <c r="L7729">
        <v>141.75960000000001</v>
      </c>
      <c r="M7729">
        <v>0.99893980000000004</v>
      </c>
      <c r="N7729">
        <v>0</v>
      </c>
      <c r="O7729">
        <v>4.444766E-2</v>
      </c>
      <c r="P7729">
        <v>0.99581520000000001</v>
      </c>
      <c r="Q7729">
        <v>9.1297509999999998E-2</v>
      </c>
      <c r="R7729">
        <v>4.138854E-3</v>
      </c>
      <c r="S7729">
        <v>3.0966640000000001</v>
      </c>
      <c r="T7729">
        <v>-0.89552009999999904</v>
      </c>
      <c r="U7729">
        <v>-0.31570429999999999</v>
      </c>
      <c r="V7729">
        <v>4.013249E-2</v>
      </c>
      <c r="W7729">
        <v>0.10322779999999999</v>
      </c>
      <c r="X7729">
        <v>0.99384779999999995</v>
      </c>
      <c r="Y7729">
        <v>0.1381319</v>
      </c>
      <c r="Z7729">
        <v>-3.2094190000000002E-2</v>
      </c>
      <c r="AA7729">
        <v>0.98989369999999999</v>
      </c>
      <c r="AB7729">
        <v>7</v>
      </c>
      <c r="AC7729">
        <v>0.64679999999998405</v>
      </c>
      <c r="AD7729">
        <v>-0.20904729999999999</v>
      </c>
      <c r="AE7729">
        <v>-7.7300000000008098E-2</v>
      </c>
      <c r="AF7729">
        <v>9.60793141110724E-2</v>
      </c>
      <c r="AG7729">
        <v>-0.20904729999999999</v>
      </c>
      <c r="AH7729">
        <v>0.58271184513844099</v>
      </c>
      <c r="AI7729">
        <v>109.492420034554</v>
      </c>
      <c r="AJ7729">
        <v>80.637137426777997</v>
      </c>
      <c r="AK7729">
        <v>0.62648631485611095</v>
      </c>
      <c r="AL7729">
        <v>84.074928012463005</v>
      </c>
      <c r="AM7729">
        <v>87.687599959842203</v>
      </c>
      <c r="AN7729">
        <v>1.00000002250563</v>
      </c>
    </row>
    <row r="7730" spans="1:40" x14ac:dyDescent="0.25">
      <c r="A7730" t="str">
        <f>"20190312155028430"</f>
        <v>20190312155028430</v>
      </c>
      <c r="B7730" t="str">
        <f>"1552377028423605"</f>
        <v>1552377028423605</v>
      </c>
      <c r="C7730" t="s">
        <v>40</v>
      </c>
      <c r="D7730">
        <v>5.8464859999999996</v>
      </c>
      <c r="E7730">
        <v>0.5467187</v>
      </c>
      <c r="F7730" t="s">
        <v>41</v>
      </c>
      <c r="G7730">
        <v>-130.05879999999999</v>
      </c>
      <c r="H7730">
        <v>0.90318560000000003</v>
      </c>
      <c r="I7730">
        <v>141.68729999999999</v>
      </c>
      <c r="J7730">
        <v>-130.70840000000001</v>
      </c>
      <c r="K7730">
        <v>1.1104959999999999</v>
      </c>
      <c r="L7730">
        <v>141.76249999999999</v>
      </c>
      <c r="M7730">
        <v>0.99893860000000001</v>
      </c>
      <c r="N7730">
        <v>0</v>
      </c>
      <c r="O7730">
        <v>4.4472030000000003E-2</v>
      </c>
      <c r="P7730">
        <v>0.99579220000000002</v>
      </c>
      <c r="Q7730">
        <v>9.1534509999999999E-2</v>
      </c>
      <c r="R7730">
        <v>4.4461049999999997E-3</v>
      </c>
      <c r="S7730">
        <v>3.0964360000000002</v>
      </c>
      <c r="T7730">
        <v>-0.90015339999999999</v>
      </c>
      <c r="U7730">
        <v>-0.31358340000000001</v>
      </c>
      <c r="V7730">
        <v>3.9848809999999998E-2</v>
      </c>
      <c r="W7730">
        <v>0.103464899999999</v>
      </c>
      <c r="X7730">
        <v>0.99383460000000001</v>
      </c>
      <c r="Y7730">
        <v>0.13744239999999999</v>
      </c>
      <c r="Z7730">
        <v>-3.216596E-2</v>
      </c>
      <c r="AA7730">
        <v>0.98998730000000001</v>
      </c>
      <c r="AB7730">
        <v>7</v>
      </c>
      <c r="AC7730">
        <v>0.64960000000002005</v>
      </c>
      <c r="AD7730">
        <v>-0.20731039999999901</v>
      </c>
      <c r="AE7730">
        <v>-7.5199999999995201E-2</v>
      </c>
      <c r="AF7730">
        <v>9.4517619149849005E-2</v>
      </c>
      <c r="AG7730">
        <v>-0.20731039999999901</v>
      </c>
      <c r="AH7730">
        <v>0.58665362346803096</v>
      </c>
      <c r="AI7730">
        <v>109.232799979899</v>
      </c>
      <c r="AJ7730">
        <v>80.847546523474904</v>
      </c>
      <c r="AK7730">
        <v>0.62934382987845805</v>
      </c>
      <c r="AL7730">
        <v>84.061270290314496</v>
      </c>
      <c r="AM7730">
        <v>87.703897341114995</v>
      </c>
      <c r="AN7730">
        <v>1.0000000626737899</v>
      </c>
    </row>
    <row r="7731" spans="1:40" x14ac:dyDescent="0.25">
      <c r="A7731" t="str">
        <f>"20190312155028451"</f>
        <v>20190312155028451</v>
      </c>
      <c r="B7731" t="str">
        <f>"1552377028444100"</f>
        <v>1552377028444100</v>
      </c>
      <c r="C7731" t="s">
        <v>40</v>
      </c>
      <c r="D7731">
        <v>5.8746600000000004</v>
      </c>
      <c r="E7731">
        <v>0.54698619999999898</v>
      </c>
      <c r="F7731" t="s">
        <v>41</v>
      </c>
      <c r="G7731">
        <v>-129.99359999999999</v>
      </c>
      <c r="H7731">
        <v>0.90157339999999997</v>
      </c>
      <c r="I7731">
        <v>141.68899999999999</v>
      </c>
      <c r="J7731">
        <v>-130.63820000000001</v>
      </c>
      <c r="K7731">
        <v>1.1105080000000001</v>
      </c>
      <c r="L7731">
        <v>141.76560000000001</v>
      </c>
      <c r="M7731">
        <v>0.99893750000000003</v>
      </c>
      <c r="N7731">
        <v>0</v>
      </c>
      <c r="O7731">
        <v>4.4498910000000003E-2</v>
      </c>
      <c r="P7731">
        <v>0.99576120000000001</v>
      </c>
      <c r="Q7731">
        <v>9.1878849999999998E-2</v>
      </c>
      <c r="R7731">
        <v>4.2683779999999998E-3</v>
      </c>
      <c r="S7731">
        <v>3.0972900000000001</v>
      </c>
      <c r="T7731">
        <v>-0.90539099999999995</v>
      </c>
      <c r="U7731">
        <v>-0.31781009999999998</v>
      </c>
      <c r="V7731">
        <v>4.0051969999999999E-2</v>
      </c>
      <c r="W7731">
        <v>0.1038092</v>
      </c>
      <c r="X7731">
        <v>0.99379039999999996</v>
      </c>
      <c r="Y7731">
        <v>0.1386474</v>
      </c>
      <c r="Z7731">
        <v>-3.2514899999999999E-2</v>
      </c>
      <c r="AA7731">
        <v>0.98980789999999996</v>
      </c>
      <c r="AB7731">
        <v>7</v>
      </c>
      <c r="AC7731">
        <v>0.64460000000002504</v>
      </c>
      <c r="AD7731">
        <v>-0.2089346</v>
      </c>
      <c r="AE7731">
        <v>-7.6600000000013296E-2</v>
      </c>
      <c r="AF7731">
        <v>9.5333805642291797E-2</v>
      </c>
      <c r="AG7731">
        <v>-0.2089346</v>
      </c>
      <c r="AH7731">
        <v>0.58042211945007305</v>
      </c>
      <c r="AI7731">
        <v>109.55557653151099</v>
      </c>
      <c r="AJ7731">
        <v>80.672503570909399</v>
      </c>
      <c r="AK7731">
        <v>0.62420512519709204</v>
      </c>
      <c r="AL7731">
        <v>84.041435788341005</v>
      </c>
      <c r="AM7731">
        <v>87.692101283392006</v>
      </c>
      <c r="AN7731">
        <v>0.99999993471883797</v>
      </c>
    </row>
    <row r="7732" spans="1:40" x14ac:dyDescent="0.25">
      <c r="A7732" t="str">
        <f>"20190312155028496"</f>
        <v>20190312155028496</v>
      </c>
      <c r="B7732" t="str">
        <f>"1552377028484115"</f>
        <v>1552377028484115</v>
      </c>
      <c r="C7732" t="s">
        <v>40</v>
      </c>
      <c r="D7732">
        <v>5.8420699999999997</v>
      </c>
      <c r="E7732">
        <v>0.54786259999999998</v>
      </c>
      <c r="F7732" t="s">
        <v>41</v>
      </c>
      <c r="G7732">
        <v>-129.92789999999999</v>
      </c>
      <c r="H7732">
        <v>0.90155989999999997</v>
      </c>
      <c r="I7732">
        <v>141.6918</v>
      </c>
      <c r="J7732">
        <v>-130.49440000000001</v>
      </c>
      <c r="K7732">
        <v>1.11052</v>
      </c>
      <c r="L7732">
        <v>141.77209999999999</v>
      </c>
      <c r="M7732">
        <v>0.99893489999999996</v>
      </c>
      <c r="N7732">
        <v>0</v>
      </c>
      <c r="O7732">
        <v>4.455427E-2</v>
      </c>
      <c r="P7732">
        <v>0.99571319999999996</v>
      </c>
      <c r="Q7732">
        <v>9.2389150000000003E-2</v>
      </c>
      <c r="R7732">
        <v>4.4342560000000001E-3</v>
      </c>
      <c r="S7732">
        <v>3.098236</v>
      </c>
      <c r="T7732">
        <v>-0.91142029999999996</v>
      </c>
      <c r="U7732">
        <v>-0.3214264</v>
      </c>
      <c r="V7732">
        <v>3.9939189999999999E-2</v>
      </c>
      <c r="W7732">
        <v>0.10432</v>
      </c>
      <c r="X7732">
        <v>0.99374150000000006</v>
      </c>
      <c r="Y7732">
        <v>0.1396753</v>
      </c>
      <c r="Z7732">
        <v>-3.2875019999999998E-2</v>
      </c>
      <c r="AA7732">
        <v>0.98965150000000002</v>
      </c>
      <c r="AB7732">
        <v>7</v>
      </c>
      <c r="AC7732">
        <v>0.56650000000001899</v>
      </c>
      <c r="AD7732">
        <v>-0.20896010000000001</v>
      </c>
      <c r="AE7732">
        <v>-8.0299999999994001E-2</v>
      </c>
      <c r="AF7732">
        <v>9.30510098763421E-2</v>
      </c>
      <c r="AG7732">
        <v>-0.20896010000000001</v>
      </c>
      <c r="AH7732">
        <v>0.496179483887011</v>
      </c>
      <c r="AI7732">
        <v>112.485755908549</v>
      </c>
      <c r="AJ7732">
        <v>79.378408564873197</v>
      </c>
      <c r="AK7732">
        <v>0.54636699576511605</v>
      </c>
      <c r="AL7732">
        <v>84.012009634679998</v>
      </c>
      <c r="AM7732">
        <v>87.698479837068405</v>
      </c>
      <c r="AN7732">
        <v>0.99999998506005305</v>
      </c>
    </row>
    <row r="7733" spans="1:40" x14ac:dyDescent="0.25">
      <c r="A7733" t="str">
        <f>"20190312155028520"</f>
        <v>20190312155028520</v>
      </c>
      <c r="B7733" t="str">
        <f>"1552377028513396"</f>
        <v>1552377028513396</v>
      </c>
      <c r="C7733" t="s">
        <v>40</v>
      </c>
      <c r="D7733">
        <v>5.8706269999999998</v>
      </c>
      <c r="E7733">
        <v>0.54840619999999995</v>
      </c>
      <c r="F7733" t="s">
        <v>41</v>
      </c>
      <c r="G7733">
        <v>-129.79589999999999</v>
      </c>
      <c r="H7733">
        <v>0.90337659999999997</v>
      </c>
      <c r="I7733">
        <v>141.69799999999901</v>
      </c>
      <c r="J7733">
        <v>-130.4143</v>
      </c>
      <c r="K7733">
        <v>1.1105020000000001</v>
      </c>
      <c r="L7733">
        <v>141.7757</v>
      </c>
      <c r="M7733">
        <v>0.99893370000000004</v>
      </c>
      <c r="N7733">
        <v>0</v>
      </c>
      <c r="O7733">
        <v>4.4584899999999997E-2</v>
      </c>
      <c r="P7733">
        <v>0.99573719999999999</v>
      </c>
      <c r="Q7733">
        <v>9.2116149999999994E-2</v>
      </c>
      <c r="R7733">
        <v>4.7246120000000004E-3</v>
      </c>
      <c r="S7733">
        <v>3.0996700000000001</v>
      </c>
      <c r="T7733">
        <v>-0.91923169999999998</v>
      </c>
      <c r="U7733">
        <v>-0.32788089999999998</v>
      </c>
      <c r="V7733">
        <v>3.968083E-2</v>
      </c>
      <c r="W7733">
        <v>0.1040473</v>
      </c>
      <c r="X7733">
        <v>0.99378040000000001</v>
      </c>
      <c r="Y7733">
        <v>0.14149639999999999</v>
      </c>
      <c r="Z7733">
        <v>-3.3399930000000001E-2</v>
      </c>
      <c r="AA7733">
        <v>0.98937520000000001</v>
      </c>
      <c r="AB7733">
        <v>7</v>
      </c>
      <c r="AC7733">
        <v>0.61840000000000805</v>
      </c>
      <c r="AD7733">
        <v>-0.20712539999999999</v>
      </c>
      <c r="AE7733">
        <v>-7.7700000000021405E-2</v>
      </c>
      <c r="AF7733">
        <v>9.4733654211268795E-2</v>
      </c>
      <c r="AG7733">
        <v>-0.20712539999999999</v>
      </c>
      <c r="AH7733">
        <v>0.55322274725801102</v>
      </c>
      <c r="AI7733">
        <v>110.255394467044</v>
      </c>
      <c r="AJ7733">
        <v>80.282938706136093</v>
      </c>
      <c r="AK7733">
        <v>0.59827318563435705</v>
      </c>
      <c r="AL7733">
        <v>84.027719453811699</v>
      </c>
      <c r="AM7733">
        <v>87.713441546538704</v>
      </c>
      <c r="AN7733">
        <v>0.99999994616546795</v>
      </c>
    </row>
    <row r="7734" spans="1:40" x14ac:dyDescent="0.25">
      <c r="A7734" t="str">
        <f>"20190312155028541"</f>
        <v>20190312155028541</v>
      </c>
      <c r="B7734" t="str">
        <f>"1552377028533892"</f>
        <v>1552377028533892</v>
      </c>
      <c r="C7734" t="s">
        <v>40</v>
      </c>
      <c r="D7734">
        <v>5.7682039999999999</v>
      </c>
      <c r="E7734">
        <v>0.54867650000000001</v>
      </c>
      <c r="F7734" t="s">
        <v>41</v>
      </c>
      <c r="G7734">
        <v>-129.72929999999999</v>
      </c>
      <c r="H7734">
        <v>0.90603359999999999</v>
      </c>
      <c r="I7734">
        <v>141.70230000000001</v>
      </c>
      <c r="J7734">
        <v>-130.34479999999999</v>
      </c>
      <c r="K7734">
        <v>1.1104969999999901</v>
      </c>
      <c r="L7734">
        <v>141.77889999999999</v>
      </c>
      <c r="M7734">
        <v>0.99893240000000005</v>
      </c>
      <c r="N7734">
        <v>0</v>
      </c>
      <c r="O7734">
        <v>4.4611600000000001E-2</v>
      </c>
      <c r="P7734">
        <v>0.99581730000000002</v>
      </c>
      <c r="Q7734">
        <v>9.1201980000000002E-2</v>
      </c>
      <c r="R7734">
        <v>5.502669E-3</v>
      </c>
      <c r="S7734">
        <v>3.1000369999999999</v>
      </c>
      <c r="T7734">
        <v>-0.92541030000000002</v>
      </c>
      <c r="U7734">
        <v>-0.33113100000000001</v>
      </c>
      <c r="V7734">
        <v>3.8933669999999997E-2</v>
      </c>
      <c r="W7734">
        <v>0.1031348</v>
      </c>
      <c r="X7734">
        <v>0.99390509999999999</v>
      </c>
      <c r="Y7734">
        <v>0.1423944</v>
      </c>
      <c r="Z7734">
        <v>-3.374829E-2</v>
      </c>
      <c r="AA7734">
        <v>0.98923450000000002</v>
      </c>
      <c r="AB7734">
        <v>7</v>
      </c>
      <c r="AC7734">
        <v>0.61549999999999705</v>
      </c>
      <c r="AD7734">
        <v>-0.20446339999999999</v>
      </c>
      <c r="AE7734">
        <v>-7.6599999999984902E-2</v>
      </c>
      <c r="AF7734">
        <v>9.3791989531479505E-2</v>
      </c>
      <c r="AG7734">
        <v>-0.20446339999999999</v>
      </c>
      <c r="AH7734">
        <v>0.55153557214716098</v>
      </c>
      <c r="AI7734">
        <v>110.07582925520801</v>
      </c>
      <c r="AJ7734">
        <v>80.348830590333904</v>
      </c>
      <c r="AK7734">
        <v>0.59564562164388501</v>
      </c>
      <c r="AL7734">
        <v>84.080284876640505</v>
      </c>
      <c r="AM7734">
        <v>87.756732492614404</v>
      </c>
      <c r="AN7734">
        <v>0.99999998271835899</v>
      </c>
    </row>
    <row r="7735" spans="1:40" x14ac:dyDescent="0.25">
      <c r="A7735" t="str">
        <f>"20190312155028569"</f>
        <v>20190312155028569</v>
      </c>
      <c r="B7735" t="str">
        <f>"1552377028564148"</f>
        <v>1552377028564148</v>
      </c>
      <c r="C7735" t="s">
        <v>40</v>
      </c>
      <c r="D7735">
        <v>5.8197799999999997</v>
      </c>
      <c r="E7735">
        <v>0.54930040000000002</v>
      </c>
      <c r="F7735" t="s">
        <v>41</v>
      </c>
      <c r="G7735">
        <v>-129.66390000000001</v>
      </c>
      <c r="H7735">
        <v>0.90603579999999995</v>
      </c>
      <c r="I7735">
        <v>141.70609999999999</v>
      </c>
      <c r="J7735">
        <v>-130.2577</v>
      </c>
      <c r="K7735">
        <v>1.11049</v>
      </c>
      <c r="L7735">
        <v>141.78280000000001</v>
      </c>
      <c r="M7735">
        <v>0.99893100000000001</v>
      </c>
      <c r="N7735">
        <v>0</v>
      </c>
      <c r="O7735">
        <v>4.4644740000000002E-2</v>
      </c>
      <c r="P7735">
        <v>0.99587230000000004</v>
      </c>
      <c r="Q7735">
        <v>9.0548020000000007E-2</v>
      </c>
      <c r="R7735">
        <v>6.2959879999999998E-3</v>
      </c>
      <c r="S7735">
        <v>3.0997159999999999</v>
      </c>
      <c r="T7735">
        <v>-0.93081829999999999</v>
      </c>
      <c r="U7735">
        <v>-0.33055109999999999</v>
      </c>
      <c r="V7735">
        <v>3.8176439999999999E-2</v>
      </c>
      <c r="W7735">
        <v>0.10248259999999999</v>
      </c>
      <c r="X7735">
        <v>0.99400189999999999</v>
      </c>
      <c r="Y7735">
        <v>0.14216889999999999</v>
      </c>
      <c r="Z7735">
        <v>-3.3917589999999997E-2</v>
      </c>
      <c r="AA7735">
        <v>0.98926119999999995</v>
      </c>
      <c r="AB7735">
        <v>7</v>
      </c>
      <c r="AC7735">
        <v>0.593799999999987</v>
      </c>
      <c r="AD7735">
        <v>-0.204454199999999</v>
      </c>
      <c r="AE7735">
        <v>-7.6700000000016602E-2</v>
      </c>
      <c r="AF7735">
        <v>9.2365033138516794E-2</v>
      </c>
      <c r="AG7735">
        <v>-0.204454199999999</v>
      </c>
      <c r="AH7735">
        <v>0.52819230593576305</v>
      </c>
      <c r="AI7735">
        <v>110.871690925081</v>
      </c>
      <c r="AJ7735">
        <v>80.080977079216396</v>
      </c>
      <c r="AK7735">
        <v>0.57386403554679899</v>
      </c>
      <c r="AL7735">
        <v>84.117852059426994</v>
      </c>
      <c r="AM7735">
        <v>87.800533044518701</v>
      </c>
      <c r="AN7735">
        <v>0.99999995053872004</v>
      </c>
    </row>
    <row r="7736" spans="1:40" x14ac:dyDescent="0.25">
      <c r="A7736" t="str">
        <f>"20190312155028616"</f>
        <v>20190312155028616</v>
      </c>
      <c r="B7736" t="str">
        <f>"1552377028604164"</f>
        <v>1552377028604164</v>
      </c>
      <c r="C7736" t="s">
        <v>40</v>
      </c>
      <c r="D7736">
        <v>5.7468409999999999</v>
      </c>
      <c r="E7736">
        <v>0.54965589999999998</v>
      </c>
      <c r="F7736" t="s">
        <v>41</v>
      </c>
      <c r="G7736">
        <v>-129.53819999999999</v>
      </c>
      <c r="H7736">
        <v>0.89237459999999902</v>
      </c>
      <c r="I7736">
        <v>141.7055</v>
      </c>
      <c r="J7736">
        <v>-130.09739999999999</v>
      </c>
      <c r="K7736">
        <v>1.11049</v>
      </c>
      <c r="L7736">
        <v>141.79</v>
      </c>
      <c r="M7736">
        <v>0.99892809999999999</v>
      </c>
      <c r="N7736">
        <v>0</v>
      </c>
      <c r="O7736">
        <v>4.4706660000000002E-2</v>
      </c>
      <c r="P7736">
        <v>0.99583480000000002</v>
      </c>
      <c r="Q7736">
        <v>9.0951690000000002E-2</v>
      </c>
      <c r="R7736">
        <v>6.4034510000000001E-3</v>
      </c>
      <c r="S7736">
        <v>3.0999910000000002</v>
      </c>
      <c r="T7736">
        <v>-0.93984290000000004</v>
      </c>
      <c r="U7736">
        <v>-0.33268740000000002</v>
      </c>
      <c r="V7736">
        <v>3.8129280000000002E-2</v>
      </c>
      <c r="W7736">
        <v>0.1028867</v>
      </c>
      <c r="X7736">
        <v>0.99396200000000001</v>
      </c>
      <c r="Y7736">
        <v>0.14271439999999999</v>
      </c>
      <c r="Z7736">
        <v>-3.4327429999999999E-2</v>
      </c>
      <c r="AA7736">
        <v>0.98916850000000001</v>
      </c>
      <c r="AB7736">
        <v>7</v>
      </c>
      <c r="AC7736">
        <v>0.55920000000000403</v>
      </c>
      <c r="AD7736">
        <v>-0.21811539999999999</v>
      </c>
      <c r="AE7736">
        <v>-8.4499999999991304E-2</v>
      </c>
      <c r="AF7736">
        <v>9.5249653402556603E-2</v>
      </c>
      <c r="AG7736">
        <v>-0.21811539999999999</v>
      </c>
      <c r="AH7736">
        <v>0.48301784434175898</v>
      </c>
      <c r="AI7736">
        <v>113.895069567162</v>
      </c>
      <c r="AJ7736">
        <v>78.844575458627801</v>
      </c>
      <c r="AK7736">
        <v>0.538472898243753</v>
      </c>
      <c r="AL7736">
        <v>84.094576005904699</v>
      </c>
      <c r="AM7736">
        <v>87.803159323098598</v>
      </c>
      <c r="AN7736">
        <v>0.99999998623710395</v>
      </c>
    </row>
    <row r="7737" spans="1:40" x14ac:dyDescent="0.25">
      <c r="A7737" t="str">
        <f>"20190312155028651"</f>
        <v>20190312155028651</v>
      </c>
      <c r="B7737" t="str">
        <f>"1552377028643204"</f>
        <v>1552377028643204</v>
      </c>
      <c r="C7737" t="s">
        <v>40</v>
      </c>
      <c r="D7737">
        <v>5.7206729999999997</v>
      </c>
      <c r="E7737">
        <v>0.55399679999999996</v>
      </c>
      <c r="F7737" t="s">
        <v>41</v>
      </c>
      <c r="G7737">
        <v>-129.4041</v>
      </c>
      <c r="H7737">
        <v>0.90090599999999998</v>
      </c>
      <c r="I7737">
        <v>141.7148</v>
      </c>
      <c r="J7737">
        <v>-129.98580000000001</v>
      </c>
      <c r="K7737">
        <v>1.110493</v>
      </c>
      <c r="L7737">
        <v>141.79509999999999</v>
      </c>
      <c r="M7737">
        <v>0.99892570000000003</v>
      </c>
      <c r="N7737">
        <v>0</v>
      </c>
      <c r="O7737">
        <v>4.4749289999999997E-2</v>
      </c>
      <c r="P7737">
        <v>0.99577380000000004</v>
      </c>
      <c r="Q7737">
        <v>9.1641689999999998E-2</v>
      </c>
      <c r="R7737">
        <v>6.0218819999999897E-3</v>
      </c>
      <c r="S7737">
        <v>3.100311</v>
      </c>
      <c r="T7737">
        <v>-0.93732059999999995</v>
      </c>
      <c r="U7737">
        <v>-0.33573910000000001</v>
      </c>
      <c r="V7737">
        <v>3.8550309999999997E-2</v>
      </c>
      <c r="W7737">
        <v>0.1036115</v>
      </c>
      <c r="X7737">
        <v>0.99387049999999999</v>
      </c>
      <c r="Y7737">
        <v>0.14370869999999999</v>
      </c>
      <c r="Z7737">
        <v>-3.4393430000000003E-2</v>
      </c>
      <c r="AA7737">
        <v>0.98902219999999996</v>
      </c>
      <c r="AB7737">
        <v>7</v>
      </c>
      <c r="AC7737">
        <v>0.58170000000001199</v>
      </c>
      <c r="AD7737">
        <v>-0.209587</v>
      </c>
      <c r="AE7737">
        <v>-8.0299999999994001E-2</v>
      </c>
      <c r="AF7737">
        <v>9.4246157397143204E-2</v>
      </c>
      <c r="AG7737">
        <v>-0.209587</v>
      </c>
      <c r="AH7737">
        <v>0.51226638294672699</v>
      </c>
      <c r="AI7737">
        <v>111.919037570279</v>
      </c>
      <c r="AJ7737">
        <v>79.575366049246398</v>
      </c>
      <c r="AK7737">
        <v>0.56144981596795396</v>
      </c>
      <c r="AL7737">
        <v>84.052825087605399</v>
      </c>
      <c r="AM7737">
        <v>87.778721319824101</v>
      </c>
      <c r="AN7737">
        <v>1.00000002005179</v>
      </c>
    </row>
    <row r="7738" spans="1:40" x14ac:dyDescent="0.25">
      <c r="A7738" t="str">
        <f>"20190312155028675"</f>
        <v>20190312155028675</v>
      </c>
      <c r="B7738" t="str">
        <f>"1552377028663700"</f>
        <v>1552377028663700</v>
      </c>
      <c r="C7738" t="s">
        <v>40</v>
      </c>
      <c r="D7738">
        <v>5.7275489999999998</v>
      </c>
      <c r="E7738">
        <v>0.55368790000000001</v>
      </c>
      <c r="F7738" t="s">
        <v>41</v>
      </c>
      <c r="G7738">
        <v>-129.26490000000001</v>
      </c>
      <c r="H7738">
        <v>0.91868099999999997</v>
      </c>
      <c r="I7738">
        <v>141.7072</v>
      </c>
      <c r="J7738">
        <v>-129.90729999999999</v>
      </c>
      <c r="K7738">
        <v>1.110568</v>
      </c>
      <c r="L7738">
        <v>141.7987</v>
      </c>
      <c r="M7738">
        <v>0.99892110000000001</v>
      </c>
      <c r="N7738">
        <v>0</v>
      </c>
      <c r="O7738">
        <v>4.477867E-2</v>
      </c>
      <c r="P7738">
        <v>0.99580420000000003</v>
      </c>
      <c r="Q7738">
        <v>9.1322929999999997E-2</v>
      </c>
      <c r="R7738">
        <v>5.8329660000000002E-3</v>
      </c>
      <c r="S7738">
        <v>3.0907140000000002</v>
      </c>
      <c r="T7738">
        <v>-0.82243849999999996</v>
      </c>
      <c r="U7738">
        <v>-0.37640380000000001</v>
      </c>
      <c r="V7738">
        <v>3.8769860000000003E-2</v>
      </c>
      <c r="W7738">
        <v>0.10356170000000001</v>
      </c>
      <c r="X7738">
        <v>0.99386719999999895</v>
      </c>
      <c r="Y7738">
        <v>0.158251799999999</v>
      </c>
      <c r="Z7738">
        <v>-3.229949E-2</v>
      </c>
      <c r="AA7738">
        <v>0.98687029999999998</v>
      </c>
      <c r="AB7738">
        <v>7</v>
      </c>
      <c r="AC7738">
        <v>0.64239999999997999</v>
      </c>
      <c r="AD7738">
        <v>-0.191887</v>
      </c>
      <c r="AE7738">
        <v>-9.1499999999996307E-2</v>
      </c>
      <c r="AF7738">
        <v>0.110511982646931</v>
      </c>
      <c r="AG7738">
        <v>-0.191887</v>
      </c>
      <c r="AH7738">
        <v>0.58637937840725496</v>
      </c>
      <c r="AI7738">
        <v>107.82670567676701</v>
      </c>
      <c r="AJ7738">
        <v>79.326942086182697</v>
      </c>
      <c r="AK7738">
        <v>0.62679685265549501</v>
      </c>
      <c r="AL7738">
        <v>84.055694145008303</v>
      </c>
      <c r="AM7738">
        <v>87.766076163410602</v>
      </c>
      <c r="AN7738">
        <v>1.00000006949357</v>
      </c>
    </row>
    <row r="7739" spans="1:40" x14ac:dyDescent="0.25">
      <c r="A7739" t="str">
        <f>"20190312155028699"</f>
        <v>20190312155028699</v>
      </c>
      <c r="B7739" t="str">
        <f>"1552377028693956"</f>
        <v>1552377028693956</v>
      </c>
      <c r="C7739" t="s">
        <v>40</v>
      </c>
      <c r="D7739">
        <v>5.7481790000000004</v>
      </c>
      <c r="E7739">
        <v>0.55407700000000004</v>
      </c>
      <c r="F7739" t="s">
        <v>41</v>
      </c>
      <c r="G7739">
        <v>-129.20259999999999</v>
      </c>
      <c r="H7739">
        <v>0.9163365</v>
      </c>
      <c r="I7739">
        <v>141.71360000000001</v>
      </c>
      <c r="J7739">
        <v>-129.83269999999999</v>
      </c>
      <c r="K7739">
        <v>1.1107070000000001</v>
      </c>
      <c r="L7739">
        <v>141.80199999999999</v>
      </c>
      <c r="M7739">
        <v>0.99891319999999995</v>
      </c>
      <c r="N7739">
        <v>0</v>
      </c>
      <c r="O7739">
        <v>4.4806260000000001E-2</v>
      </c>
      <c r="P7739">
        <v>0.99582800000000005</v>
      </c>
      <c r="Q7739">
        <v>9.1078210000000007E-2</v>
      </c>
      <c r="R7739">
        <v>5.6200169999999997E-3</v>
      </c>
      <c r="S7739">
        <v>3.0930019999999998</v>
      </c>
      <c r="T7739">
        <v>-0.85251569999999899</v>
      </c>
      <c r="U7739">
        <v>-0.37318420000000002</v>
      </c>
      <c r="V7739">
        <v>3.901168E-2</v>
      </c>
      <c r="W7739">
        <v>0.10385659999999999</v>
      </c>
      <c r="X7739">
        <v>0.99382689999999996</v>
      </c>
      <c r="Y7739">
        <v>0.1567336</v>
      </c>
      <c r="Z7739">
        <v>-3.3220329999999999E-2</v>
      </c>
      <c r="AA7739">
        <v>0.98708209999999996</v>
      </c>
      <c r="AB7739">
        <v>7</v>
      </c>
      <c r="AC7739">
        <v>0.630099999999998</v>
      </c>
      <c r="AD7739">
        <v>-0.194370499999999</v>
      </c>
      <c r="AE7739">
        <v>-8.8400000000007098E-2</v>
      </c>
      <c r="AF7739">
        <v>0.10659817030792</v>
      </c>
      <c r="AG7739">
        <v>-0.194370499999999</v>
      </c>
      <c r="AH7739">
        <v>0.57211579787378797</v>
      </c>
      <c r="AI7739">
        <v>108.46889643798301</v>
      </c>
      <c r="AJ7739">
        <v>79.445521033352193</v>
      </c>
      <c r="AK7739">
        <v>0.61356299379933799</v>
      </c>
      <c r="AL7739">
        <v>84.038705634345305</v>
      </c>
      <c r="AM7739">
        <v>87.752065658593196</v>
      </c>
      <c r="AN7739">
        <v>1.0000000058517899</v>
      </c>
    </row>
    <row r="7740" spans="1:40" x14ac:dyDescent="0.25">
      <c r="A7740" t="str">
        <f>"20190312155028721"</f>
        <v>20190312155028721</v>
      </c>
      <c r="B7740" t="str">
        <f>"1552377028713477"</f>
        <v>1552377028713477</v>
      </c>
      <c r="C7740" t="s">
        <v>40</v>
      </c>
      <c r="D7740">
        <v>5.7152539999999998</v>
      </c>
      <c r="E7740">
        <v>0.5536124</v>
      </c>
      <c r="F7740" t="s">
        <v>41</v>
      </c>
      <c r="G7740">
        <v>-129.14320000000001</v>
      </c>
      <c r="H7740">
        <v>0.90970430000000002</v>
      </c>
      <c r="I7740">
        <v>141.7184</v>
      </c>
      <c r="J7740">
        <v>-129.76679999999999</v>
      </c>
      <c r="K7740">
        <v>1.1108450000000001</v>
      </c>
      <c r="L7740">
        <v>141.80500000000001</v>
      </c>
      <c r="M7740">
        <v>0.99890380000000001</v>
      </c>
      <c r="N7740">
        <v>0</v>
      </c>
      <c r="O7740">
        <v>4.4830420000000003E-2</v>
      </c>
      <c r="P7740">
        <v>0.99583379999999999</v>
      </c>
      <c r="Q7740">
        <v>9.1044879999999995E-2</v>
      </c>
      <c r="R7740">
        <v>5.1112789999999998E-3</v>
      </c>
      <c r="S7740">
        <v>3.0972900000000001</v>
      </c>
      <c r="T7740">
        <v>-0.90301560000000003</v>
      </c>
      <c r="U7740">
        <v>-0.37506099999999998</v>
      </c>
      <c r="V7740">
        <v>3.9544559999999999E-2</v>
      </c>
      <c r="W7740">
        <v>0.1044447</v>
      </c>
      <c r="X7740">
        <v>0.99374419999999997</v>
      </c>
      <c r="Y7740">
        <v>0.15633620000000001</v>
      </c>
      <c r="Z7740">
        <v>-3.5015020000000001E-2</v>
      </c>
      <c r="AA7740">
        <v>0.98708309999999999</v>
      </c>
      <c r="AB7740">
        <v>7</v>
      </c>
      <c r="AC7740">
        <v>0.62359999999998195</v>
      </c>
      <c r="AD7740">
        <v>-0.20114070000000001</v>
      </c>
      <c r="AE7740">
        <v>-8.6600000000004201E-2</v>
      </c>
      <c r="AF7740">
        <v>0.103869856983707</v>
      </c>
      <c r="AG7740">
        <v>-0.20114070000000001</v>
      </c>
      <c r="AH7740">
        <v>0.56175294426032796</v>
      </c>
      <c r="AI7740">
        <v>109.39669453553201</v>
      </c>
      <c r="AJ7740">
        <v>79.524150561276997</v>
      </c>
      <c r="AK7740">
        <v>0.60565080596945697</v>
      </c>
      <c r="AL7740">
        <v>84.004825704020902</v>
      </c>
      <c r="AM7740">
        <v>87.721202722589794</v>
      </c>
      <c r="AN7740">
        <v>1.0000000013086601</v>
      </c>
    </row>
    <row r="7741" spans="1:40" x14ac:dyDescent="0.25">
      <c r="A7741" t="str">
        <f>"20190312155028743"</f>
        <v>20190312155028743</v>
      </c>
      <c r="B7741" t="str">
        <f>"1552377028733973"</f>
        <v>1552377028733973</v>
      </c>
      <c r="C7741" t="s">
        <v>40</v>
      </c>
      <c r="D7741">
        <v>5.8437000000000001</v>
      </c>
      <c r="E7741">
        <v>0.55360750000000003</v>
      </c>
      <c r="F7741" t="s">
        <v>41</v>
      </c>
      <c r="G7741">
        <v>-129.08269999999999</v>
      </c>
      <c r="H7741">
        <v>0.90869200000000006</v>
      </c>
      <c r="I7741">
        <v>141.7226</v>
      </c>
      <c r="J7741">
        <v>-129.69749999999999</v>
      </c>
      <c r="K7741">
        <v>1.1109849999999999</v>
      </c>
      <c r="L7741">
        <v>141.8081</v>
      </c>
      <c r="M7741">
        <v>0.99889249999999996</v>
      </c>
      <c r="N7741">
        <v>0</v>
      </c>
      <c r="O7741">
        <v>4.4855260000000001E-2</v>
      </c>
      <c r="P7741">
        <v>0.99590210000000001</v>
      </c>
      <c r="Q7741">
        <v>9.0287580000000006E-2</v>
      </c>
      <c r="R7741">
        <v>5.2544920000000004E-3</v>
      </c>
      <c r="S7741">
        <v>3.09816</v>
      </c>
      <c r="T7741">
        <v>-0.91553019999999996</v>
      </c>
      <c r="U7741">
        <v>-0.37258910000000001</v>
      </c>
      <c r="V7741">
        <v>3.942992E-2</v>
      </c>
      <c r="W7741">
        <v>0.1044177</v>
      </c>
      <c r="X7741">
        <v>0.99375159999999996</v>
      </c>
      <c r="Y7741">
        <v>0.15536910000000001</v>
      </c>
      <c r="Z7741">
        <v>-3.5340610000000001E-2</v>
      </c>
      <c r="AA7741">
        <v>0.98722410000000005</v>
      </c>
      <c r="AB7741">
        <v>7</v>
      </c>
      <c r="AC7741">
        <v>0.61480000000000201</v>
      </c>
      <c r="AD7741">
        <v>-0.202293</v>
      </c>
      <c r="AE7741">
        <v>-8.5499999999996107E-2</v>
      </c>
      <c r="AF7741">
        <v>0.102144700495563</v>
      </c>
      <c r="AG7741">
        <v>-0.202293</v>
      </c>
      <c r="AH7741">
        <v>0.55174361224898205</v>
      </c>
      <c r="AI7741">
        <v>109.82510033801201</v>
      </c>
      <c r="AJ7741">
        <v>79.511539339519302</v>
      </c>
      <c r="AK7741">
        <v>0.59647046141940996</v>
      </c>
      <c r="AL7741">
        <v>84.006381239078394</v>
      </c>
      <c r="AM7741">
        <v>87.727818942298697</v>
      </c>
      <c r="AN7741">
        <v>1.0000000085835199</v>
      </c>
    </row>
    <row r="7742" spans="1:40" x14ac:dyDescent="0.25">
      <c r="A7742" t="str">
        <f>"20190312155028770"</f>
        <v>20190312155028770</v>
      </c>
      <c r="B7742" t="str">
        <f>"1552377028764229"</f>
        <v>1552377028764229</v>
      </c>
      <c r="C7742" t="s">
        <v>40</v>
      </c>
      <c r="D7742">
        <v>5.6890679999999998</v>
      </c>
      <c r="E7742">
        <v>0.5536451</v>
      </c>
      <c r="F7742" t="s">
        <v>41</v>
      </c>
      <c r="G7742">
        <v>-129.02119999999999</v>
      </c>
      <c r="H7742">
        <v>0.91279180000000004</v>
      </c>
      <c r="I7742">
        <v>141.72669999999999</v>
      </c>
      <c r="J7742">
        <v>-129.6224</v>
      </c>
      <c r="K7742">
        <v>1.111137</v>
      </c>
      <c r="L7742">
        <v>141.8116</v>
      </c>
      <c r="M7742">
        <v>0.99887780000000004</v>
      </c>
      <c r="N7742">
        <v>0</v>
      </c>
      <c r="O7742">
        <v>4.4882150000000003E-2</v>
      </c>
      <c r="P7742">
        <v>0.99605379999999999</v>
      </c>
      <c r="Q7742">
        <v>8.8583309999999998E-2</v>
      </c>
      <c r="R7742">
        <v>5.5012619999999998E-3</v>
      </c>
      <c r="S7742">
        <v>3.096619</v>
      </c>
      <c r="T7742">
        <v>-0.90759429999999996</v>
      </c>
      <c r="U7742">
        <v>-0.37237550000000003</v>
      </c>
      <c r="V7742">
        <v>3.9217639999999998E-2</v>
      </c>
      <c r="W7742">
        <v>0.1036247</v>
      </c>
      <c r="X7742">
        <v>0.99384300000000003</v>
      </c>
      <c r="Y7742">
        <v>0.15551499999999999</v>
      </c>
      <c r="Z7742">
        <v>-3.5092060000000001E-2</v>
      </c>
      <c r="AA7742">
        <v>0.98721000000000003</v>
      </c>
      <c r="AB7742">
        <v>7</v>
      </c>
      <c r="AC7742">
        <v>0.60120000000000495</v>
      </c>
      <c r="AD7742">
        <v>-0.1983452</v>
      </c>
      <c r="AE7742">
        <v>-8.4900000000004597E-2</v>
      </c>
      <c r="AF7742">
        <v>0.101020184324128</v>
      </c>
      <c r="AG7742">
        <v>-0.1983452</v>
      </c>
      <c r="AH7742">
        <v>0.53923776307696503</v>
      </c>
      <c r="AI7742">
        <v>109.87672910811899</v>
      </c>
      <c r="AJ7742">
        <v>79.389264421783906</v>
      </c>
      <c r="AK7742">
        <v>0.58337231776299603</v>
      </c>
      <c r="AL7742">
        <v>84.052064601534397</v>
      </c>
      <c r="AM7742">
        <v>87.740246655488505</v>
      </c>
      <c r="AN7742">
        <v>1.0000000051931199</v>
      </c>
    </row>
    <row r="7743" spans="1:40" x14ac:dyDescent="0.25">
      <c r="A7743" t="str">
        <f>"20190312155028791"</f>
        <v>20190312155028791</v>
      </c>
      <c r="B7743" t="str">
        <f>"1552377028783749"</f>
        <v>1552377028783749</v>
      </c>
      <c r="C7743" t="s">
        <v>40</v>
      </c>
      <c r="D7743">
        <v>5.7215600000000002</v>
      </c>
      <c r="E7743">
        <v>0.55372500000000002</v>
      </c>
      <c r="F7743" t="s">
        <v>41</v>
      </c>
      <c r="G7743">
        <v>-128.90950000000001</v>
      </c>
      <c r="H7743">
        <v>0.90492169999999905</v>
      </c>
      <c r="I7743">
        <v>141.72559999999999</v>
      </c>
      <c r="J7743">
        <v>-129.56129999999999</v>
      </c>
      <c r="K7743">
        <v>1.111278</v>
      </c>
      <c r="L7743">
        <v>141.8143</v>
      </c>
      <c r="M7743">
        <v>0.9988631</v>
      </c>
      <c r="N7743">
        <v>0</v>
      </c>
      <c r="O7743">
        <v>4.4903800000000001E-2</v>
      </c>
      <c r="P7743">
        <v>0.99616179999999999</v>
      </c>
      <c r="Q7743">
        <v>8.7329450000000003E-2</v>
      </c>
      <c r="R7743">
        <v>5.9340879999999997E-3</v>
      </c>
      <c r="S7743">
        <v>3.0935359999999998</v>
      </c>
      <c r="T7743">
        <v>-0.89489599999999903</v>
      </c>
      <c r="U7743">
        <v>-0.3729095</v>
      </c>
      <c r="V7743">
        <v>3.8812449999999998E-2</v>
      </c>
      <c r="W7743">
        <v>0.10324999999999999</v>
      </c>
      <c r="X7743">
        <v>0.9938979</v>
      </c>
      <c r="Y7743">
        <v>0.15601180000000001</v>
      </c>
      <c r="Z7743">
        <v>-3.4729389999999999E-2</v>
      </c>
      <c r="AA7743">
        <v>0.98714449999999998</v>
      </c>
      <c r="AB7743">
        <v>6</v>
      </c>
      <c r="AC7743">
        <v>0.65179999999997995</v>
      </c>
      <c r="AD7743">
        <v>-0.20635629999999999</v>
      </c>
      <c r="AE7743">
        <v>-8.8700000000017099E-2</v>
      </c>
      <c r="AF7743">
        <v>0.107321121122047</v>
      </c>
      <c r="AG7743">
        <v>-0.20635629999999999</v>
      </c>
      <c r="AH7743">
        <v>0.58917809530551501</v>
      </c>
      <c r="AI7743">
        <v>109.012645122509</v>
      </c>
      <c r="AJ7743">
        <v>79.676531793314496</v>
      </c>
      <c r="AK7743">
        <v>0.63342842814040001</v>
      </c>
      <c r="AL7743">
        <v>84.073649092264404</v>
      </c>
      <c r="AM7743">
        <v>87.763693621146899</v>
      </c>
      <c r="AN7743">
        <v>1.0000000021997</v>
      </c>
    </row>
    <row r="7744" spans="1:40" x14ac:dyDescent="0.25">
      <c r="A7744" t="str">
        <f>"20190312155028841"</f>
        <v>20190312155028841</v>
      </c>
      <c r="B7744" t="str">
        <f>"1552377028833524"</f>
        <v>1552377028833524</v>
      </c>
      <c r="C7744" t="s">
        <v>40</v>
      </c>
      <c r="D7744">
        <v>5.789981</v>
      </c>
      <c r="E7744">
        <v>0.55376169999999902</v>
      </c>
      <c r="F7744" t="s">
        <v>41</v>
      </c>
      <c r="G7744">
        <v>-128.85480000000001</v>
      </c>
      <c r="H7744">
        <v>0.90623279999999995</v>
      </c>
      <c r="I7744">
        <v>141.72909999999999</v>
      </c>
      <c r="J7744">
        <v>-129.4333</v>
      </c>
      <c r="K7744">
        <v>1.1115679999999999</v>
      </c>
      <c r="L7744">
        <v>141.8201</v>
      </c>
      <c r="M7744">
        <v>0.99882590000000004</v>
      </c>
      <c r="N7744">
        <v>0</v>
      </c>
      <c r="O7744">
        <v>4.4948290000000002E-2</v>
      </c>
      <c r="P7744">
        <v>0.99621910000000002</v>
      </c>
      <c r="Q7744">
        <v>8.6648210000000003E-2</v>
      </c>
      <c r="R7744">
        <v>6.3146390000000004E-3</v>
      </c>
      <c r="S7744">
        <v>3.0924529999999999</v>
      </c>
      <c r="T7744">
        <v>-0.8975263</v>
      </c>
      <c r="U7744">
        <v>-0.37223820000000002</v>
      </c>
      <c r="V7744">
        <v>3.8481139999999997E-2</v>
      </c>
      <c r="W7744">
        <v>0.10462299999999999</v>
      </c>
      <c r="X7744">
        <v>0.99376719999999996</v>
      </c>
      <c r="Y7744">
        <v>0.15583959999999999</v>
      </c>
      <c r="Z7744">
        <v>-3.4828190000000002E-2</v>
      </c>
      <c r="AA7744">
        <v>0.98716820000000005</v>
      </c>
      <c r="AB7744">
        <v>6</v>
      </c>
      <c r="AC7744">
        <v>0.57849999999999102</v>
      </c>
      <c r="AD7744">
        <v>-0.205335199999999</v>
      </c>
      <c r="AE7744">
        <v>-9.1000000000008199E-2</v>
      </c>
      <c r="AF7744">
        <v>0.104114640726682</v>
      </c>
      <c r="AG7744">
        <v>-0.205335199999999</v>
      </c>
      <c r="AH7744">
        <v>0.51100016432909401</v>
      </c>
      <c r="AI7744">
        <v>111.49156794525599</v>
      </c>
      <c r="AJ7744">
        <v>78.483798792101098</v>
      </c>
      <c r="AK7744">
        <v>0.56046727889953296</v>
      </c>
      <c r="AL7744">
        <v>83.994553635538594</v>
      </c>
      <c r="AM7744">
        <v>87.782472677926506</v>
      </c>
      <c r="AN7744">
        <v>1.0000000090302601</v>
      </c>
    </row>
    <row r="7745" spans="1:40" x14ac:dyDescent="0.25">
      <c r="A7745" t="str">
        <f>"20190312155028882"</f>
        <v>20190312155028882</v>
      </c>
      <c r="B7745" t="str">
        <f>"1552377028873541"</f>
        <v>1552377028873541</v>
      </c>
      <c r="C7745" t="s">
        <v>40</v>
      </c>
      <c r="D7745">
        <v>5.7864750000000003</v>
      </c>
      <c r="E7745">
        <v>0.55368669999999998</v>
      </c>
      <c r="F7745" t="s">
        <v>41</v>
      </c>
      <c r="G7745">
        <v>-128.74950000000001</v>
      </c>
      <c r="H7745">
        <v>0.91388369999999997</v>
      </c>
      <c r="I7745">
        <v>141.738</v>
      </c>
      <c r="J7745">
        <v>-129.3357</v>
      </c>
      <c r="K7745">
        <v>1.1116950000000001</v>
      </c>
      <c r="L7745">
        <v>141.8246</v>
      </c>
      <c r="M7745">
        <v>0.99879709999999999</v>
      </c>
      <c r="N7745">
        <v>0</v>
      </c>
      <c r="O7745">
        <v>4.4980939999999997E-2</v>
      </c>
      <c r="P7745">
        <v>0.9963611</v>
      </c>
      <c r="Q7745">
        <v>8.5030720000000004E-2</v>
      </c>
      <c r="R7745">
        <v>5.8864299999999998E-3</v>
      </c>
      <c r="S7745">
        <v>3.0914609999999998</v>
      </c>
      <c r="T7745">
        <v>-0.89363289999999995</v>
      </c>
      <c r="U7745">
        <v>-0.37110900000000002</v>
      </c>
      <c r="V7745">
        <v>3.894918E-2</v>
      </c>
      <c r="W7745">
        <v>0.1044509</v>
      </c>
      <c r="X7745">
        <v>0.99376710000000001</v>
      </c>
      <c r="Y7745">
        <v>0.1556264</v>
      </c>
      <c r="Z7745">
        <v>-3.4673780000000001E-2</v>
      </c>
      <c r="AA7745">
        <v>0.98720719999999995</v>
      </c>
      <c r="AB7745">
        <v>6</v>
      </c>
      <c r="AC7745">
        <v>0.58619999999999095</v>
      </c>
      <c r="AD7745">
        <v>-0.1978113</v>
      </c>
      <c r="AE7745">
        <v>-8.6600000000004201E-2</v>
      </c>
      <c r="AF7745">
        <v>0.10156674657648899</v>
      </c>
      <c r="AG7745">
        <v>-0.1978113</v>
      </c>
      <c r="AH7745">
        <v>0.52338522652820796</v>
      </c>
      <c r="AI7745">
        <v>110.356082394182</v>
      </c>
      <c r="AJ7745">
        <v>79.017831942116501</v>
      </c>
      <c r="AK7745">
        <v>0.56866265022929596</v>
      </c>
      <c r="AL7745">
        <v>84.004468743842196</v>
      </c>
      <c r="AM7745">
        <v>87.755528438195398</v>
      </c>
      <c r="AN7745">
        <v>1.00000003908794</v>
      </c>
    </row>
    <row r="7746" spans="1:40" x14ac:dyDescent="0.25">
      <c r="A7746" t="str">
        <f>"20190312155028920"</f>
        <v>20190312155028920</v>
      </c>
      <c r="B7746" t="str">
        <f>"1552377028913558"</f>
        <v>1552377028913558</v>
      </c>
      <c r="C7746" t="s">
        <v>40</v>
      </c>
      <c r="D7746">
        <v>5.8353440000000001</v>
      </c>
      <c r="E7746">
        <v>0.55395909999999904</v>
      </c>
      <c r="F7746" t="s">
        <v>41</v>
      </c>
      <c r="G7746">
        <v>-128.65479999999999</v>
      </c>
      <c r="H7746">
        <v>0.91436479999999998</v>
      </c>
      <c r="I7746">
        <v>141.74260000000001</v>
      </c>
      <c r="J7746">
        <v>-129.25239999999999</v>
      </c>
      <c r="K7746">
        <v>1.1117629999999901</v>
      </c>
      <c r="L7746">
        <v>141.82830000000001</v>
      </c>
      <c r="M7746">
        <v>0.99877389999999999</v>
      </c>
      <c r="N7746">
        <v>0</v>
      </c>
      <c r="O7746">
        <v>4.5006520000000001E-2</v>
      </c>
      <c r="P7746">
        <v>0.99650780000000005</v>
      </c>
      <c r="Q7746">
        <v>8.3367140000000006E-2</v>
      </c>
      <c r="R7746">
        <v>4.7506450000000004E-3</v>
      </c>
      <c r="S7746">
        <v>3.0895540000000001</v>
      </c>
      <c r="T7746">
        <v>-0.8953025</v>
      </c>
      <c r="U7746">
        <v>-0.37141420000000003</v>
      </c>
      <c r="V7746">
        <v>4.0117310000000003E-2</v>
      </c>
      <c r="W7746">
        <v>0.1038837</v>
      </c>
      <c r="X7746">
        <v>0.99378010000000006</v>
      </c>
      <c r="Y7746">
        <v>0.15577439999999901</v>
      </c>
      <c r="Z7746">
        <v>-3.4784790000000003E-2</v>
      </c>
      <c r="AA7746">
        <v>0.98717999999999995</v>
      </c>
      <c r="AB7746">
        <v>5</v>
      </c>
      <c r="AC7746">
        <v>0.59759999999999902</v>
      </c>
      <c r="AD7746">
        <v>-0.197398199999999</v>
      </c>
      <c r="AE7746">
        <v>-8.5700000000002705E-2</v>
      </c>
      <c r="AF7746">
        <v>0.10164745868800799</v>
      </c>
      <c r="AG7746">
        <v>-0.197398199999999</v>
      </c>
      <c r="AH7746">
        <v>0.53584801370445301</v>
      </c>
      <c r="AI7746">
        <v>109.896728890535</v>
      </c>
      <c r="AJ7746">
        <v>79.258923959149797</v>
      </c>
      <c r="AK7746">
        <v>0.58002702438074205</v>
      </c>
      <c r="AL7746">
        <v>84.0371447648714</v>
      </c>
      <c r="AM7746">
        <v>87.688316370675494</v>
      </c>
      <c r="AN7746">
        <v>1.0000000544216601</v>
      </c>
    </row>
    <row r="7747" spans="1:40" x14ac:dyDescent="0.25">
      <c r="A7747" t="str">
        <f>"20190312155028946"</f>
        <v>20190312155028946</v>
      </c>
      <c r="B7747" t="str">
        <f>"1552377028934052"</f>
        <v>1552377028934052</v>
      </c>
      <c r="C7747" t="s">
        <v>40</v>
      </c>
      <c r="D7747">
        <v>5.7627860000000002</v>
      </c>
      <c r="E7747">
        <v>0.55412419999999996</v>
      </c>
      <c r="F7747" t="s">
        <v>41</v>
      </c>
      <c r="G7747">
        <v>-128.56799999999899</v>
      </c>
      <c r="H7747">
        <v>0.9145972</v>
      </c>
      <c r="I7747">
        <v>141.74469999999999</v>
      </c>
      <c r="J7747">
        <v>-129.19909999999999</v>
      </c>
      <c r="K7747">
        <v>1.1117549999999901</v>
      </c>
      <c r="L7747">
        <v>141.83070000000001</v>
      </c>
      <c r="M7747">
        <v>0.99876410000000004</v>
      </c>
      <c r="N7747">
        <v>0</v>
      </c>
      <c r="O7747">
        <v>4.5021169999999999E-2</v>
      </c>
      <c r="P7747">
        <v>0.99649799999999999</v>
      </c>
      <c r="Q7747">
        <v>8.355419E-2</v>
      </c>
      <c r="R7747">
        <v>3.257439E-3</v>
      </c>
      <c r="S7747">
        <v>3.0866850000000001</v>
      </c>
      <c r="T7747">
        <v>-0.88915919999999904</v>
      </c>
      <c r="U7747">
        <v>-0.37640380000000001</v>
      </c>
      <c r="V7747">
        <v>4.1623819999999999E-2</v>
      </c>
      <c r="W7747">
        <v>0.1045031</v>
      </c>
      <c r="X7747">
        <v>0.99365309999999996</v>
      </c>
      <c r="Y7747">
        <v>0.15749730000000001</v>
      </c>
      <c r="Z7747">
        <v>-3.4829569999999997E-2</v>
      </c>
      <c r="AA7747">
        <v>0.98690500000000003</v>
      </c>
      <c r="AB7747">
        <v>5</v>
      </c>
      <c r="AC7747">
        <v>0.63110000000000299</v>
      </c>
      <c r="AD7747">
        <v>-0.19715779999999899</v>
      </c>
      <c r="AE7747">
        <v>-8.6000000000012705E-2</v>
      </c>
      <c r="AF7747">
        <v>0.104334902517321</v>
      </c>
      <c r="AG7747">
        <v>-0.19715779999999899</v>
      </c>
      <c r="AH7747">
        <v>0.57179924542139804</v>
      </c>
      <c r="AI7747">
        <v>108.737036164825</v>
      </c>
      <c r="AJ7747">
        <v>79.659132965776095</v>
      </c>
      <c r="AK7747">
        <v>0.61376815414993602</v>
      </c>
      <c r="AL7747">
        <v>84.001460980445103</v>
      </c>
      <c r="AM7747">
        <v>87.601299957309706</v>
      </c>
      <c r="AN7747">
        <v>0.99999996172030503</v>
      </c>
    </row>
    <row r="7748" spans="1:40" x14ac:dyDescent="0.25">
      <c r="A7748" t="str">
        <f>"20190312155028971"</f>
        <v>20190312155028971</v>
      </c>
      <c r="B7748" t="str">
        <f>"1552377028963333"</f>
        <v>1552377028963333</v>
      </c>
      <c r="C7748" t="s">
        <v>40</v>
      </c>
      <c r="D7748">
        <v>5.772824</v>
      </c>
      <c r="E7748">
        <v>0.55420950000000002</v>
      </c>
      <c r="F7748" t="s">
        <v>41</v>
      </c>
      <c r="G7748">
        <v>-128.48990000000001</v>
      </c>
      <c r="H7748">
        <v>0.90759769999999895</v>
      </c>
      <c r="I7748">
        <v>141.74289999999999</v>
      </c>
      <c r="J7748">
        <v>-129.14920000000001</v>
      </c>
      <c r="K7748">
        <v>1.1116919999999999</v>
      </c>
      <c r="L7748">
        <v>141.833</v>
      </c>
      <c r="M7748">
        <v>0.99876109999999896</v>
      </c>
      <c r="N7748">
        <v>0</v>
      </c>
      <c r="O7748">
        <v>4.5033410000000003E-2</v>
      </c>
      <c r="P7748">
        <v>0.99642019999999998</v>
      </c>
      <c r="Q7748">
        <v>8.4510329999999995E-2</v>
      </c>
      <c r="R7748">
        <v>2.2737310000000002E-3</v>
      </c>
      <c r="S7748">
        <v>3.0862880000000001</v>
      </c>
      <c r="T7748">
        <v>-0.88852039999999999</v>
      </c>
      <c r="U7748">
        <v>-0.38183590000000001</v>
      </c>
      <c r="V7748">
        <v>4.2615609999999998E-2</v>
      </c>
      <c r="W7748">
        <v>0.1055695</v>
      </c>
      <c r="X7748">
        <v>0.9934984</v>
      </c>
      <c r="Y7748">
        <v>0.15917919999999999</v>
      </c>
      <c r="Z7748">
        <v>-3.5046319999999999E-2</v>
      </c>
      <c r="AA7748">
        <v>0.98662749999999999</v>
      </c>
      <c r="AB7748">
        <v>5</v>
      </c>
      <c r="AC7748">
        <v>0.659300000000001</v>
      </c>
      <c r="AD7748">
        <v>-0.20409430000000001</v>
      </c>
      <c r="AE7748">
        <v>-9.0100000000006703E-2</v>
      </c>
      <c r="AF7748">
        <v>0.10941305032637</v>
      </c>
      <c r="AG7748">
        <v>-0.20409430000000001</v>
      </c>
      <c r="AH7748">
        <v>0.59829016474844399</v>
      </c>
      <c r="AI7748">
        <v>108.549908110139</v>
      </c>
      <c r="AJ7748">
        <v>79.636482625067799</v>
      </c>
      <c r="AK7748">
        <v>0.64154253180044896</v>
      </c>
      <c r="AL7748">
        <v>83.940021370296705</v>
      </c>
      <c r="AM7748">
        <v>87.543832256211701</v>
      </c>
      <c r="AN7748">
        <v>1.0000000401742399</v>
      </c>
    </row>
    <row r="7749" spans="1:40" x14ac:dyDescent="0.25">
      <c r="A7749" t="str">
        <f>"20190312155028994"</f>
        <v>20190312155028994</v>
      </c>
      <c r="B7749" t="str">
        <f>"1552377028984805"</f>
        <v>1552377028984805</v>
      </c>
      <c r="C7749" t="s">
        <v>40</v>
      </c>
      <c r="D7749">
        <v>5.8382909999999999</v>
      </c>
      <c r="E7749">
        <v>0.55428949999999999</v>
      </c>
      <c r="F7749" t="s">
        <v>41</v>
      </c>
      <c r="G7749">
        <v>-128.4511</v>
      </c>
      <c r="H7749">
        <v>0.90814850000000003</v>
      </c>
      <c r="I7749">
        <v>141.7458</v>
      </c>
      <c r="J7749">
        <v>-129.10550000000001</v>
      </c>
      <c r="K7749">
        <v>1.111594</v>
      </c>
      <c r="L7749">
        <v>141.83500000000001</v>
      </c>
      <c r="M7749">
        <v>0.99876339999999997</v>
      </c>
      <c r="N7749">
        <v>0</v>
      </c>
      <c r="O7749">
        <v>4.504209E-2</v>
      </c>
      <c r="P7749">
        <v>0.99632860000000001</v>
      </c>
      <c r="Q7749">
        <v>8.5608740000000003E-2</v>
      </c>
      <c r="R7749">
        <v>7.9251780000000002E-4</v>
      </c>
      <c r="S7749">
        <v>3.088028</v>
      </c>
      <c r="T7749">
        <v>-0.90040100000000001</v>
      </c>
      <c r="U7749">
        <v>-0.3851929</v>
      </c>
      <c r="V7749">
        <v>4.410004E-2</v>
      </c>
      <c r="W7749">
        <v>0.1065349</v>
      </c>
      <c r="X7749">
        <v>0.99333050000000001</v>
      </c>
      <c r="Y7749">
        <v>0.1599391</v>
      </c>
      <c r="Z7749">
        <v>-3.5585819999999997E-2</v>
      </c>
      <c r="AA7749">
        <v>0.98648519999999895</v>
      </c>
      <c r="AB7749">
        <v>4</v>
      </c>
      <c r="AC7749">
        <v>0.65440000000000897</v>
      </c>
      <c r="AD7749">
        <v>-0.203445499999999</v>
      </c>
      <c r="AE7749">
        <v>-8.9200000000005206E-2</v>
      </c>
      <c r="AF7749">
        <v>0.10831375172819301</v>
      </c>
      <c r="AG7749">
        <v>-0.203445499999999</v>
      </c>
      <c r="AH7749">
        <v>0.593409087123692</v>
      </c>
      <c r="AI7749">
        <v>108.637687881834</v>
      </c>
      <c r="AJ7749">
        <v>79.655792363205606</v>
      </c>
      <c r="AK7749">
        <v>0.63659742770817096</v>
      </c>
      <c r="AL7749">
        <v>83.884394013612194</v>
      </c>
      <c r="AM7749">
        <v>87.4579578075261</v>
      </c>
      <c r="AN7749">
        <v>0.99999999033813003</v>
      </c>
    </row>
    <row r="7750" spans="1:40" x14ac:dyDescent="0.25">
      <c r="A7750" t="str">
        <f>"20190312155029018"</f>
        <v>20190312155029018</v>
      </c>
      <c r="B7750" t="str">
        <f>"1552377029014084"</f>
        <v>1552377029014084</v>
      </c>
      <c r="C7750" t="s">
        <v>40</v>
      </c>
      <c r="D7750">
        <v>5.7561039999999997</v>
      </c>
      <c r="E7750">
        <v>0.55435500000000004</v>
      </c>
      <c r="F7750" t="s">
        <v>41</v>
      </c>
      <c r="G7750">
        <v>-128.41290000000001</v>
      </c>
      <c r="H7750">
        <v>0.90863059999999995</v>
      </c>
      <c r="I7750">
        <v>141.7475</v>
      </c>
      <c r="J7750">
        <v>-129.05959999999999</v>
      </c>
      <c r="K7750">
        <v>1.1114649999999999</v>
      </c>
      <c r="L7750">
        <v>141.83699999999999</v>
      </c>
      <c r="M7750">
        <v>0.99877099999999996</v>
      </c>
      <c r="N7750">
        <v>0</v>
      </c>
      <c r="O7750">
        <v>4.5047730000000001E-2</v>
      </c>
      <c r="P7750">
        <v>0.99626859999999995</v>
      </c>
      <c r="Q7750">
        <v>8.6306720000000003E-2</v>
      </c>
      <c r="R7750" s="1">
        <v>5.3691910000000001E-5</v>
      </c>
      <c r="S7750">
        <v>3.0891570000000002</v>
      </c>
      <c r="T7750">
        <v>-0.90535900000000002</v>
      </c>
      <c r="U7750">
        <v>-0.38987729999999998</v>
      </c>
      <c r="V7750">
        <v>4.4841300000000001E-2</v>
      </c>
      <c r="W7750">
        <v>0.1068606</v>
      </c>
      <c r="X7750">
        <v>0.99326239999999999</v>
      </c>
      <c r="Y7750">
        <v>0.1612354</v>
      </c>
      <c r="Z7750">
        <v>-3.5945310000000001E-2</v>
      </c>
      <c r="AA7750">
        <v>0.98626119999999995</v>
      </c>
      <c r="AB7750">
        <v>4</v>
      </c>
      <c r="AC7750">
        <v>0.64669999999998096</v>
      </c>
      <c r="AD7750">
        <v>-0.202834399999999</v>
      </c>
      <c r="AE7750">
        <v>-8.9500000000015206E-2</v>
      </c>
      <c r="AF7750">
        <v>0.108112207049325</v>
      </c>
      <c r="AG7750">
        <v>-0.202834399999999</v>
      </c>
      <c r="AH7750">
        <v>0.58549582419327095</v>
      </c>
      <c r="AI7750">
        <v>108.812578120943</v>
      </c>
      <c r="AJ7750">
        <v>79.538134825236199</v>
      </c>
      <c r="AK7750">
        <v>0.62899555108457905</v>
      </c>
      <c r="AL7750">
        <v>83.865626083921995</v>
      </c>
      <c r="AM7750">
        <v>87.415110129013897</v>
      </c>
      <c r="AN7750">
        <v>1.0000000626359</v>
      </c>
    </row>
    <row r="7751" spans="1:40" x14ac:dyDescent="0.25">
      <c r="A7751" t="str">
        <f>"20190312155029040"</f>
        <v>20190312155029040</v>
      </c>
      <c r="B7751" t="str">
        <f>"1552377029033605"</f>
        <v>1552377029033605</v>
      </c>
      <c r="C7751" t="s">
        <v>40</v>
      </c>
      <c r="D7751">
        <v>5.7947189999999997</v>
      </c>
      <c r="E7751">
        <v>0.55423069999999997</v>
      </c>
      <c r="F7751" t="s">
        <v>41</v>
      </c>
      <c r="G7751">
        <v>-128.37309999999999</v>
      </c>
      <c r="H7751">
        <v>0.91376630000000003</v>
      </c>
      <c r="I7751">
        <v>141.74959999999999</v>
      </c>
      <c r="J7751">
        <v>-129.01900000000001</v>
      </c>
      <c r="K7751">
        <v>1.1113219999999999</v>
      </c>
      <c r="L7751">
        <v>141.83879999999999</v>
      </c>
      <c r="M7751">
        <v>0.99878279999999997</v>
      </c>
      <c r="N7751">
        <v>0</v>
      </c>
      <c r="O7751">
        <v>4.5049980000000003E-2</v>
      </c>
      <c r="P7751">
        <v>0.99624069999999998</v>
      </c>
      <c r="Q7751">
        <v>8.6628179999999999E-2</v>
      </c>
      <c r="R7751">
        <v>-3.6432709999999999E-4</v>
      </c>
      <c r="S7751">
        <v>3.0883180000000001</v>
      </c>
      <c r="T7751">
        <v>-0.88946460000000005</v>
      </c>
      <c r="U7751">
        <v>-0.39291379999999998</v>
      </c>
      <c r="V7751">
        <v>4.5259510000000003E-2</v>
      </c>
      <c r="W7751">
        <v>0.10660269999999999</v>
      </c>
      <c r="X7751">
        <v>0.99327109999999996</v>
      </c>
      <c r="Y7751">
        <v>0.1624641</v>
      </c>
      <c r="Z7751">
        <v>-3.5519259999999997E-2</v>
      </c>
      <c r="AA7751">
        <v>0.98607489999999998</v>
      </c>
      <c r="AB7751">
        <v>4</v>
      </c>
      <c r="AC7751">
        <v>0.64590000000001102</v>
      </c>
      <c r="AD7751">
        <v>-0.197555699999999</v>
      </c>
      <c r="AE7751">
        <v>-8.9200000000005206E-2</v>
      </c>
      <c r="AF7751">
        <v>0.10827352353318601</v>
      </c>
      <c r="AG7751">
        <v>-0.197555699999999</v>
      </c>
      <c r="AH7751">
        <v>0.587309568970934</v>
      </c>
      <c r="AI7751">
        <v>108.304195172109</v>
      </c>
      <c r="AJ7751">
        <v>79.554512385741006</v>
      </c>
      <c r="AK7751">
        <v>0.62903413286212495</v>
      </c>
      <c r="AL7751">
        <v>83.880487284163905</v>
      </c>
      <c r="AM7751">
        <v>87.391058267966201</v>
      </c>
      <c r="AN7751">
        <v>1.0000000184939699</v>
      </c>
    </row>
    <row r="7752" spans="1:40" x14ac:dyDescent="0.25">
      <c r="A7752" t="str">
        <f>"20190312155029062"</f>
        <v>20190312155029062</v>
      </c>
      <c r="B7752" t="str">
        <f>"1552377029054103"</f>
        <v>1552377029054103</v>
      </c>
      <c r="C7752" t="s">
        <v>40</v>
      </c>
      <c r="D7752">
        <v>6.0736650000000001</v>
      </c>
      <c r="E7752">
        <v>0.55436249999999998</v>
      </c>
      <c r="F7752" t="s">
        <v>41</v>
      </c>
      <c r="G7752">
        <v>-128.33580000000001</v>
      </c>
      <c r="H7752">
        <v>0.91317979999999999</v>
      </c>
      <c r="I7752">
        <v>141.7517</v>
      </c>
      <c r="J7752">
        <v>-128.9759</v>
      </c>
      <c r="K7752">
        <v>1.111156</v>
      </c>
      <c r="L7752">
        <v>141.8408</v>
      </c>
      <c r="M7752">
        <v>0.99879839999999998</v>
      </c>
      <c r="N7752">
        <v>0</v>
      </c>
      <c r="O7752">
        <v>4.5050199999999999E-2</v>
      </c>
      <c r="P7752">
        <v>0.99605350000000004</v>
      </c>
      <c r="Q7752">
        <v>8.8751860000000002E-2</v>
      </c>
      <c r="R7752">
        <v>-8.0612279999999999E-4</v>
      </c>
      <c r="S7752">
        <v>3.0890960000000001</v>
      </c>
      <c r="T7752">
        <v>-0.89595749999999996</v>
      </c>
      <c r="U7752">
        <v>-0.39321899999999999</v>
      </c>
      <c r="V7752">
        <v>4.569223E-2</v>
      </c>
      <c r="W7752">
        <v>0.1079363</v>
      </c>
      <c r="X7752">
        <v>0.99310730000000003</v>
      </c>
      <c r="Y7752">
        <v>0.16241520000000001</v>
      </c>
      <c r="Z7752">
        <v>-3.5752560000000003E-2</v>
      </c>
      <c r="AA7752">
        <v>0.98607460000000002</v>
      </c>
      <c r="AB7752">
        <v>4</v>
      </c>
      <c r="AC7752">
        <v>0.64009999999998901</v>
      </c>
      <c r="AD7752">
        <v>-0.19797619999999999</v>
      </c>
      <c r="AE7752">
        <v>-8.91000000000019E-2</v>
      </c>
      <c r="AF7752">
        <v>0.1077409133704</v>
      </c>
      <c r="AG7752">
        <v>-0.19797619999999999</v>
      </c>
      <c r="AH7752">
        <v>0.58092057018442</v>
      </c>
      <c r="AI7752">
        <v>108.525128564577</v>
      </c>
      <c r="AJ7752">
        <v>79.492977377818704</v>
      </c>
      <c r="AK7752">
        <v>0.62311426644213397</v>
      </c>
      <c r="AL7752">
        <v>83.803634486135195</v>
      </c>
      <c r="AM7752">
        <v>87.365715684527402</v>
      </c>
      <c r="AN7752">
        <v>1.00000006702667</v>
      </c>
    </row>
    <row r="7753" spans="1:40" x14ac:dyDescent="0.25">
      <c r="A7753" t="str">
        <f>"20190312155029086"</f>
        <v>20190312155029086</v>
      </c>
      <c r="B7753" t="str">
        <f>"1552377029073622"</f>
        <v>1552377029073622</v>
      </c>
      <c r="C7753" t="s">
        <v>40</v>
      </c>
      <c r="D7753">
        <v>5.520861</v>
      </c>
      <c r="E7753">
        <v>0.55511779999999999</v>
      </c>
      <c r="F7753" t="s">
        <v>41</v>
      </c>
      <c r="G7753">
        <v>-128.29759999999999</v>
      </c>
      <c r="H7753">
        <v>0.91436220000000001</v>
      </c>
      <c r="I7753">
        <v>141.75389999999999</v>
      </c>
      <c r="J7753">
        <v>-128.93279999999999</v>
      </c>
      <c r="K7753">
        <v>1.111019</v>
      </c>
      <c r="L7753">
        <v>141.84270000000001</v>
      </c>
      <c r="M7753">
        <v>0.99881370000000003</v>
      </c>
      <c r="N7753">
        <v>0</v>
      </c>
      <c r="O7753">
        <v>4.5047579999999997E-2</v>
      </c>
      <c r="P7753">
        <v>0.99576719999999996</v>
      </c>
      <c r="Q7753">
        <v>9.1902730000000002E-2</v>
      </c>
      <c r="R7753">
        <v>-1.3165529999999901E-3</v>
      </c>
      <c r="S7753">
        <v>3.0914920000000001</v>
      </c>
      <c r="T7753">
        <v>-0.8969395</v>
      </c>
      <c r="U7753">
        <v>-0.39546199999999998</v>
      </c>
      <c r="V7753">
        <v>4.6186310000000001E-2</v>
      </c>
      <c r="W7753">
        <v>0.11028250000000001</v>
      </c>
      <c r="X7753">
        <v>0.9928266</v>
      </c>
      <c r="Y7753">
        <v>0.16299229999999901</v>
      </c>
      <c r="Z7753">
        <v>-3.5843050000000001E-2</v>
      </c>
      <c r="AA7753">
        <v>0.98597599999999996</v>
      </c>
      <c r="AB7753">
        <v>4</v>
      </c>
      <c r="AC7753">
        <v>0.63519999999999699</v>
      </c>
      <c r="AD7753">
        <v>-0.19665679999999999</v>
      </c>
      <c r="AE7753">
        <v>-8.8800000000020404E-2</v>
      </c>
      <c r="AF7753">
        <v>0.10724631593787699</v>
      </c>
      <c r="AG7753">
        <v>-0.19665679999999999</v>
      </c>
      <c r="AH7753">
        <v>0.57636759203032595</v>
      </c>
      <c r="AI7753">
        <v>108.543651500355</v>
      </c>
      <c r="AJ7753">
        <v>79.459361968663003</v>
      </c>
      <c r="AK7753">
        <v>0.61836499772490605</v>
      </c>
      <c r="AL7753">
        <v>83.668399492520393</v>
      </c>
      <c r="AM7753">
        <v>87.336519629931303</v>
      </c>
      <c r="AN7753">
        <v>1.0000000313526101</v>
      </c>
    </row>
    <row r="7754" spans="1:40" x14ac:dyDescent="0.25">
      <c r="A7754" t="str">
        <f>"20190312155029221"</f>
        <v>20190312155029221</v>
      </c>
      <c r="B7754" t="str">
        <f>"1552377029213190"</f>
        <v>1552377029213190</v>
      </c>
      <c r="C7754" t="s">
        <v>40</v>
      </c>
      <c r="D7754">
        <v>5.9664630000000001</v>
      </c>
      <c r="E7754">
        <v>0.55511779999999999</v>
      </c>
      <c r="F7754" t="s">
        <v>41</v>
      </c>
      <c r="G7754">
        <v>-128.2715</v>
      </c>
      <c r="H7754">
        <v>0.79938710000000002</v>
      </c>
      <c r="I7754">
        <v>141.76230000000001</v>
      </c>
      <c r="J7754">
        <v>-128.67869999999999</v>
      </c>
      <c r="K7754">
        <v>1.1108209999999901</v>
      </c>
      <c r="L7754">
        <v>141.85390000000001</v>
      </c>
      <c r="M7754">
        <v>0.99887689999999996</v>
      </c>
      <c r="N7754">
        <v>0</v>
      </c>
      <c r="O7754">
        <v>4.4953960000000001E-2</v>
      </c>
      <c r="P7754">
        <v>0.99318419999999996</v>
      </c>
      <c r="Q7754">
        <v>0.1165215</v>
      </c>
      <c r="R7754">
        <v>-2.86426E-3</v>
      </c>
      <c r="S7754">
        <v>3.1492</v>
      </c>
      <c r="T7754">
        <v>-1.48403</v>
      </c>
      <c r="U7754">
        <v>-0.38244630000000002</v>
      </c>
      <c r="V7754">
        <v>4.752228E-2</v>
      </c>
      <c r="W7754">
        <v>0.13135920000000001</v>
      </c>
      <c r="X7754">
        <v>0.99019520000000005</v>
      </c>
      <c r="Y7754">
        <v>0.14525550000000001</v>
      </c>
      <c r="Z7754">
        <v>-5.2477749999999997E-2</v>
      </c>
      <c r="AA7754">
        <v>0.98800149999999998</v>
      </c>
      <c r="AB7754">
        <v>4</v>
      </c>
      <c r="AC7754">
        <v>0.40719999999998802</v>
      </c>
      <c r="AD7754">
        <v>-0.31143389999999899</v>
      </c>
      <c r="AE7754">
        <v>-9.1599999999999598E-2</v>
      </c>
      <c r="AF7754">
        <v>7.0539975311284295E-2</v>
      </c>
      <c r="AG7754">
        <v>-0.31143389999999899</v>
      </c>
      <c r="AH7754">
        <v>0.25865696862624399</v>
      </c>
      <c r="AI7754">
        <v>139.27592409440001</v>
      </c>
      <c r="AJ7754">
        <v>74.745465669274097</v>
      </c>
      <c r="AK7754">
        <v>0.41093842556402999</v>
      </c>
      <c r="AL7754">
        <v>82.451858193742396</v>
      </c>
      <c r="AM7754">
        <v>87.252321103443407</v>
      </c>
      <c r="AN7754">
        <v>1.00000007031203</v>
      </c>
    </row>
    <row r="7755" spans="1:40" x14ac:dyDescent="0.25">
      <c r="A7755" t="str">
        <f>"20190312155029243"</f>
        <v>20190312155029243</v>
      </c>
      <c r="B7755" t="str">
        <f>"1552377029233685"</f>
        <v>1552377029233685</v>
      </c>
      <c r="C7755" t="s">
        <v>40</v>
      </c>
      <c r="D7755">
        <v>5.84138</v>
      </c>
      <c r="E7755">
        <v>0.3419874</v>
      </c>
      <c r="F7755" t="s">
        <v>41</v>
      </c>
      <c r="G7755">
        <v>-128.03530000000001</v>
      </c>
      <c r="H7755">
        <v>0.826748699999999</v>
      </c>
      <c r="I7755">
        <v>141.77600000000001</v>
      </c>
      <c r="J7755">
        <v>-128.63720000000001</v>
      </c>
      <c r="K7755">
        <v>1.1108370000000001</v>
      </c>
      <c r="L7755">
        <v>141.85579999999999</v>
      </c>
      <c r="M7755">
        <v>0.99888339999999998</v>
      </c>
      <c r="N7755">
        <v>0</v>
      </c>
      <c r="O7755">
        <v>4.4935250000000003E-2</v>
      </c>
      <c r="P7755">
        <v>0.99235899999999999</v>
      </c>
      <c r="Q7755">
        <v>0.1233715</v>
      </c>
      <c r="R7755">
        <v>-1.7257079999999901E-3</v>
      </c>
      <c r="S7755">
        <v>3.184418</v>
      </c>
      <c r="T7755">
        <v>-1.4059189999999999</v>
      </c>
      <c r="U7755">
        <v>-0.3856812</v>
      </c>
      <c r="V7755">
        <v>4.6328630000000003E-2</v>
      </c>
      <c r="W7755">
        <v>0.1378154</v>
      </c>
      <c r="X7755">
        <v>0.98937379999999997</v>
      </c>
      <c r="Y7755">
        <v>0.1470726</v>
      </c>
      <c r="Z7755">
        <v>-4.9828129999999998E-2</v>
      </c>
      <c r="AA7755">
        <v>0.98786989999999997</v>
      </c>
      <c r="AB7755">
        <v>4</v>
      </c>
      <c r="AC7755">
        <v>0.60189999999999999</v>
      </c>
      <c r="AD7755">
        <v>-0.28408830000000002</v>
      </c>
      <c r="AE7755">
        <v>-7.9799999999977403E-2</v>
      </c>
      <c r="AF7755">
        <v>8.7592752427648801E-2</v>
      </c>
      <c r="AG7755">
        <v>-0.28408830000000002</v>
      </c>
      <c r="AH7755">
        <v>0.49035574399480503</v>
      </c>
      <c r="AI7755">
        <v>119.6971340317</v>
      </c>
      <c r="AJ7755">
        <v>79.872018905296599</v>
      </c>
      <c r="AK7755">
        <v>0.57343474619475199</v>
      </c>
      <c r="AL7755">
        <v>82.0785472557817</v>
      </c>
      <c r="AM7755">
        <v>87.319013909063301</v>
      </c>
      <c r="AN7755">
        <v>0.999999971280638</v>
      </c>
    </row>
    <row r="7756" spans="1:40" x14ac:dyDescent="0.25">
      <c r="A7756" t="str">
        <f>"20190312155029283"</f>
        <v>20190312155029283</v>
      </c>
      <c r="B7756" t="str">
        <f>"1552377029273702"</f>
        <v>1552377029273702</v>
      </c>
      <c r="C7756" t="s">
        <v>40</v>
      </c>
      <c r="D7756">
        <v>6.2038330000000004</v>
      </c>
      <c r="E7756">
        <v>0.33448919999999999</v>
      </c>
      <c r="F7756" t="s">
        <v>79</v>
      </c>
      <c r="G7756">
        <v>-89.806030000000007</v>
      </c>
      <c r="H7756">
        <v>1.6561870000000001</v>
      </c>
      <c r="I7756">
        <v>158.15549999999999</v>
      </c>
      <c r="J7756">
        <v>-128.56</v>
      </c>
      <c r="K7756">
        <v>1.1108659999999999</v>
      </c>
      <c r="L7756">
        <v>141.85919999999999</v>
      </c>
      <c r="M7756">
        <v>0.99889349999999999</v>
      </c>
      <c r="N7756">
        <v>0</v>
      </c>
      <c r="O7756">
        <v>4.4903230000000002E-2</v>
      </c>
      <c r="P7756">
        <v>0.9917821</v>
      </c>
      <c r="Q7756">
        <v>0.12792629999999999</v>
      </c>
      <c r="R7756">
        <v>1.841887E-3</v>
      </c>
      <c r="S7756">
        <v>3.0200200000000001</v>
      </c>
      <c r="T7756">
        <v>4.2413949999999999E-2</v>
      </c>
      <c r="U7756">
        <v>1.267685</v>
      </c>
      <c r="V7756">
        <v>4.2705300000000002E-2</v>
      </c>
      <c r="W7756">
        <v>0.14176830000000001</v>
      </c>
      <c r="X7756">
        <v>0.98897829999999998</v>
      </c>
      <c r="Y7756">
        <v>-0.34522170000000002</v>
      </c>
      <c r="Z7756">
        <v>-1.722211E-3</v>
      </c>
      <c r="AA7756">
        <v>0.93851960000000001</v>
      </c>
      <c r="AB7756">
        <v>4</v>
      </c>
      <c r="AC7756">
        <v>38.753970000000002</v>
      </c>
      <c r="AD7756">
        <v>0.54532099999999994</v>
      </c>
      <c r="AE7756">
        <v>16.296299999999999</v>
      </c>
      <c r="AF7756">
        <v>-14.537064956752699</v>
      </c>
      <c r="AG7756">
        <v>0.54532099999999994</v>
      </c>
      <c r="AH7756">
        <v>39.440064997106496</v>
      </c>
      <c r="AI7756">
        <v>89.256722018846304</v>
      </c>
      <c r="AJ7756">
        <v>110.233192004568</v>
      </c>
      <c r="AK7756">
        <v>42.037392396839699</v>
      </c>
      <c r="AL7756">
        <v>81.849817205881806</v>
      </c>
      <c r="AM7756">
        <v>87.527433768540305</v>
      </c>
      <c r="AN7756">
        <v>1.0000000357019301</v>
      </c>
    </row>
    <row r="7757" spans="1:40" x14ac:dyDescent="0.25">
      <c r="A7757" t="str">
        <f>"20190312155029302"</f>
        <v>20190312155029302</v>
      </c>
      <c r="B7757" t="str">
        <f>"1552377029293221"</f>
        <v>1552377029293221</v>
      </c>
      <c r="C7757" t="s">
        <v>40</v>
      </c>
      <c r="D7757">
        <v>5.8486479999999998</v>
      </c>
      <c r="E7757">
        <v>0.33813840000000001</v>
      </c>
      <c r="F7757" t="s">
        <v>79</v>
      </c>
      <c r="G7757">
        <v>-93.281589999999994</v>
      </c>
      <c r="H7757">
        <v>3.6589209999999999</v>
      </c>
      <c r="I7757">
        <v>157.5685</v>
      </c>
      <c r="J7757">
        <v>-128.52529999999999</v>
      </c>
      <c r="K7757">
        <v>1.110878</v>
      </c>
      <c r="L7757">
        <v>141.86070000000001</v>
      </c>
      <c r="M7757">
        <v>0.99889729999999999</v>
      </c>
      <c r="N7757">
        <v>0</v>
      </c>
      <c r="O7757">
        <v>4.4889730000000003E-2</v>
      </c>
      <c r="P7757">
        <v>0.99134199999999995</v>
      </c>
      <c r="Q7757">
        <v>0.131237299999999</v>
      </c>
      <c r="R7757">
        <v>4.2657779999999996E-3</v>
      </c>
      <c r="S7757">
        <v>2.9944920000000002</v>
      </c>
      <c r="T7757">
        <v>0.21628339999999999</v>
      </c>
      <c r="U7757">
        <v>1.3334349999999999</v>
      </c>
      <c r="V7757">
        <v>4.0250519999999998E-2</v>
      </c>
      <c r="W7757">
        <v>0.14485319999999999</v>
      </c>
      <c r="X7757">
        <v>0.98863409999999996</v>
      </c>
      <c r="Y7757">
        <v>-0.3646742</v>
      </c>
      <c r="Z7757">
        <v>-9.4758399999999993E-3</v>
      </c>
      <c r="AA7757">
        <v>0.931087</v>
      </c>
      <c r="AB7757">
        <v>4</v>
      </c>
      <c r="AC7757">
        <v>35.243709999999901</v>
      </c>
      <c r="AD7757">
        <v>2.5480429999999998</v>
      </c>
      <c r="AE7757">
        <v>15.707799999999899</v>
      </c>
      <c r="AF7757">
        <v>-14.048470600423499</v>
      </c>
      <c r="AG7757">
        <v>2.5480429999999998</v>
      </c>
      <c r="AH7757">
        <v>35.757432075113201</v>
      </c>
      <c r="AI7757">
        <v>86.205474632053694</v>
      </c>
      <c r="AJ7757">
        <v>111.44899671912</v>
      </c>
      <c r="AK7757">
        <v>38.502545343745098</v>
      </c>
      <c r="AL7757">
        <v>81.671221317436107</v>
      </c>
      <c r="AM7757">
        <v>87.668589456736896</v>
      </c>
      <c r="AN7757">
        <v>0.99999996879665898</v>
      </c>
    </row>
    <row r="7758" spans="1:40" x14ac:dyDescent="0.25">
      <c r="A7758" t="str">
        <f>"20190312155029323"</f>
        <v>20190312155029323</v>
      </c>
      <c r="B7758" t="str">
        <f>"1552377029313717"</f>
        <v>1552377029313717</v>
      </c>
      <c r="C7758" t="s">
        <v>40</v>
      </c>
      <c r="D7758">
        <v>5.8230149999999998</v>
      </c>
      <c r="E7758">
        <v>0.3422077</v>
      </c>
      <c r="F7758" t="s">
        <v>79</v>
      </c>
      <c r="G7758">
        <v>-92.732380000000006</v>
      </c>
      <c r="H7758">
        <v>4.0619959999999997</v>
      </c>
      <c r="I7758">
        <v>157.5686</v>
      </c>
      <c r="J7758">
        <v>-128.48740000000001</v>
      </c>
      <c r="K7758">
        <v>1.110897</v>
      </c>
      <c r="L7758">
        <v>141.86240000000001</v>
      </c>
      <c r="M7758">
        <v>0.99890080000000003</v>
      </c>
      <c r="N7758">
        <v>0</v>
      </c>
      <c r="O7758">
        <v>4.4875310000000002E-2</v>
      </c>
      <c r="P7758">
        <v>0.99108249999999998</v>
      </c>
      <c r="Q7758">
        <v>0.13306009999999999</v>
      </c>
      <c r="R7758">
        <v>7.0848600000000001E-3</v>
      </c>
      <c r="S7758">
        <v>2.987946</v>
      </c>
      <c r="T7758">
        <v>0.24635599999999999</v>
      </c>
      <c r="U7758">
        <v>1.3112790000000001</v>
      </c>
      <c r="V7758">
        <v>3.7408480000000001E-2</v>
      </c>
      <c r="W7758">
        <v>0.14645949999999999</v>
      </c>
      <c r="X7758">
        <v>0.98850910000000003</v>
      </c>
      <c r="Y7758">
        <v>-0.35946909999999999</v>
      </c>
      <c r="Z7758">
        <v>-1.0622909999999999E-2</v>
      </c>
      <c r="AA7758">
        <v>0.9330965</v>
      </c>
      <c r="AB7758">
        <v>4</v>
      </c>
      <c r="AC7758">
        <v>35.755020000000002</v>
      </c>
      <c r="AD7758">
        <v>2.9510990000000001</v>
      </c>
      <c r="AE7758">
        <v>15.7061999999999</v>
      </c>
      <c r="AF7758">
        <v>-14.0057313424629</v>
      </c>
      <c r="AG7758">
        <v>2.9510990000000001</v>
      </c>
      <c r="AH7758">
        <v>36.217064491439203</v>
      </c>
      <c r="AI7758">
        <v>85.653944493975004</v>
      </c>
      <c r="AJ7758">
        <v>111.14230165181399</v>
      </c>
      <c r="AK7758">
        <v>38.942846019803397</v>
      </c>
      <c r="AL7758">
        <v>81.578195340943495</v>
      </c>
      <c r="AM7758">
        <v>87.832770862121095</v>
      </c>
      <c r="AN7758">
        <v>1.0000000101494799</v>
      </c>
    </row>
    <row r="7759" spans="1:40" x14ac:dyDescent="0.25">
      <c r="A7759" t="str">
        <f>"20190312155029347"</f>
        <v>20190312155029347</v>
      </c>
      <c r="B7759" t="str">
        <f>"1552377029343973"</f>
        <v>1552377029343973</v>
      </c>
      <c r="C7759" t="s">
        <v>40</v>
      </c>
      <c r="D7759">
        <v>5.8521299999999998</v>
      </c>
      <c r="E7759">
        <v>0.34633989999999998</v>
      </c>
      <c r="F7759" t="s">
        <v>79</v>
      </c>
      <c r="G7759">
        <v>-92.069289999999995</v>
      </c>
      <c r="H7759">
        <v>3.5691220000000001</v>
      </c>
      <c r="I7759">
        <v>157.5685</v>
      </c>
      <c r="J7759">
        <v>-128.44200000000001</v>
      </c>
      <c r="K7759">
        <v>1.1108960000000001</v>
      </c>
      <c r="L7759">
        <v>141.86439999999999</v>
      </c>
      <c r="M7759">
        <v>0.99890469999999998</v>
      </c>
      <c r="N7759">
        <v>0</v>
      </c>
      <c r="O7759">
        <v>4.4857300000000003E-2</v>
      </c>
      <c r="P7759">
        <v>0.9914096</v>
      </c>
      <c r="Q7759">
        <v>0.13045000000000001</v>
      </c>
      <c r="R7759">
        <v>9.4860980000000001E-3</v>
      </c>
      <c r="S7759">
        <v>2.9906769999999998</v>
      </c>
      <c r="T7759">
        <v>0.20187140000000001</v>
      </c>
      <c r="U7759">
        <v>1.289795</v>
      </c>
      <c r="V7759">
        <v>3.5006059999999999E-2</v>
      </c>
      <c r="W7759">
        <v>0.14363199999999901</v>
      </c>
      <c r="X7759">
        <v>0.9890118</v>
      </c>
      <c r="Y7759">
        <v>-0.3538308</v>
      </c>
      <c r="Z7759">
        <v>-8.5326550000000001E-3</v>
      </c>
      <c r="AA7759">
        <v>0.9352705</v>
      </c>
      <c r="AB7759">
        <v>4</v>
      </c>
      <c r="AC7759">
        <v>36.372709999999998</v>
      </c>
      <c r="AD7759">
        <v>2.4582259999999998</v>
      </c>
      <c r="AE7759">
        <v>15.7041</v>
      </c>
      <c r="AF7759">
        <v>-14.002653656495101</v>
      </c>
      <c r="AG7759">
        <v>2.4582259999999998</v>
      </c>
      <c r="AH7759">
        <v>36.89853883264</v>
      </c>
      <c r="AI7759">
        <v>86.435824724381305</v>
      </c>
      <c r="AJ7759">
        <v>110.781289776509</v>
      </c>
      <c r="AK7759">
        <v>39.542627030518297</v>
      </c>
      <c r="AL7759">
        <v>81.741930291660495</v>
      </c>
      <c r="AM7759">
        <v>87.972862870913403</v>
      </c>
      <c r="AN7759">
        <v>0.99999995809997999</v>
      </c>
    </row>
    <row r="7760" spans="1:40" x14ac:dyDescent="0.25">
      <c r="A7760" t="str">
        <f>"20190312155029371"</f>
        <v>20190312155029371</v>
      </c>
      <c r="B7760" t="str">
        <f>"1552377029363493"</f>
        <v>1552377029363493</v>
      </c>
      <c r="C7760" t="s">
        <v>40</v>
      </c>
      <c r="D7760">
        <v>5.8547580000000004</v>
      </c>
      <c r="E7760">
        <v>0.348445</v>
      </c>
      <c r="F7760" t="s">
        <v>79</v>
      </c>
      <c r="G7760">
        <v>-89.919910000000002</v>
      </c>
      <c r="H7760">
        <v>2.9128319999999999</v>
      </c>
      <c r="I7760">
        <v>158.1559</v>
      </c>
      <c r="J7760">
        <v>-128.39879999999999</v>
      </c>
      <c r="K7760">
        <v>1.1109039999999999</v>
      </c>
      <c r="L7760">
        <v>141.8663</v>
      </c>
      <c r="M7760">
        <v>0.99890800000000002</v>
      </c>
      <c r="N7760">
        <v>0</v>
      </c>
      <c r="O7760">
        <v>4.4839629999999998E-2</v>
      </c>
      <c r="P7760">
        <v>0.99209179999999997</v>
      </c>
      <c r="Q7760">
        <v>0.12508540000000001</v>
      </c>
      <c r="R7760">
        <v>1.0387739999999999E-2</v>
      </c>
      <c r="S7760">
        <v>2.995438</v>
      </c>
      <c r="T7760">
        <v>0.1401172</v>
      </c>
      <c r="U7760">
        <v>1.266815</v>
      </c>
      <c r="V7760">
        <v>3.4117969999999997E-2</v>
      </c>
      <c r="W7760">
        <v>0.1380941</v>
      </c>
      <c r="X7760">
        <v>0.98983129999999997</v>
      </c>
      <c r="Y7760">
        <v>-0.34754030000000002</v>
      </c>
      <c r="Z7760">
        <v>-5.7851040000000001E-3</v>
      </c>
      <c r="AA7760">
        <v>0.93764720000000001</v>
      </c>
      <c r="AB7760">
        <v>4</v>
      </c>
      <c r="AC7760">
        <v>38.4788899999999</v>
      </c>
      <c r="AD7760">
        <v>1.801928</v>
      </c>
      <c r="AE7760">
        <v>16.2896</v>
      </c>
      <c r="AF7760">
        <v>-14.520681566458</v>
      </c>
      <c r="AG7760">
        <v>1.801928</v>
      </c>
      <c r="AH7760">
        <v>39.097954314208302</v>
      </c>
      <c r="AI7760">
        <v>87.526124597576995</v>
      </c>
      <c r="AJ7760">
        <v>110.37461201644101</v>
      </c>
      <c r="AK7760">
        <v>41.746223412754098</v>
      </c>
      <c r="AL7760">
        <v>82.0624250713484</v>
      </c>
      <c r="AM7760">
        <v>88.025883722001694</v>
      </c>
      <c r="AN7760">
        <v>1.00000000939571</v>
      </c>
    </row>
    <row r="7761" spans="1:40" x14ac:dyDescent="0.25">
      <c r="A7761" t="str">
        <f>"20190312155029395"</f>
        <v>20190312155029395</v>
      </c>
      <c r="B7761" t="str">
        <f>"1552377029383990"</f>
        <v>1552377029383990</v>
      </c>
      <c r="C7761" t="s">
        <v>40</v>
      </c>
      <c r="D7761">
        <v>5.8777369999999998</v>
      </c>
      <c r="E7761">
        <v>0.35027170000000002</v>
      </c>
      <c r="F7761" t="s">
        <v>79</v>
      </c>
      <c r="G7761">
        <v>-89.492840000000001</v>
      </c>
      <c r="H7761">
        <v>2.43113</v>
      </c>
      <c r="I7761">
        <v>158.1558</v>
      </c>
      <c r="J7761">
        <v>-128.35290000000001</v>
      </c>
      <c r="K7761">
        <v>1.1109209999999901</v>
      </c>
      <c r="L7761">
        <v>141.8683</v>
      </c>
      <c r="M7761">
        <v>0.99891099999999999</v>
      </c>
      <c r="N7761">
        <v>0</v>
      </c>
      <c r="O7761">
        <v>4.4820350000000002E-2</v>
      </c>
      <c r="P7761">
        <v>0.9925699</v>
      </c>
      <c r="Q7761">
        <v>0.1211957</v>
      </c>
      <c r="R7761">
        <v>1.080805E-2</v>
      </c>
      <c r="S7761">
        <v>2.9979399999999998</v>
      </c>
      <c r="T7761">
        <v>0.1017318</v>
      </c>
      <c r="U7761">
        <v>1.2552030000000001</v>
      </c>
      <c r="V7761">
        <v>3.3700019999999997E-2</v>
      </c>
      <c r="W7761">
        <v>0.13404269999999999</v>
      </c>
      <c r="X7761">
        <v>0.99040240000000002</v>
      </c>
      <c r="Y7761">
        <v>-0.3443235</v>
      </c>
      <c r="Z7761">
        <v>-4.1492480000000003E-3</v>
      </c>
      <c r="AA7761">
        <v>0.93884190000000001</v>
      </c>
      <c r="AB7761">
        <v>4</v>
      </c>
      <c r="AC7761">
        <v>38.860059999999997</v>
      </c>
      <c r="AD7761">
        <v>1.320209</v>
      </c>
      <c r="AE7761">
        <v>16.287499999999898</v>
      </c>
      <c r="AF7761">
        <v>-14.5150117381563</v>
      </c>
      <c r="AG7761">
        <v>1.320209</v>
      </c>
      <c r="AH7761">
        <v>39.512283871019498</v>
      </c>
      <c r="AI7761">
        <v>88.203601738728196</v>
      </c>
      <c r="AJ7761">
        <v>110.17103059493699</v>
      </c>
      <c r="AK7761">
        <v>42.114713512815499</v>
      </c>
      <c r="AL7761">
        <v>82.296732674359106</v>
      </c>
      <c r="AM7761">
        <v>88.051171685129304</v>
      </c>
      <c r="AN7761">
        <v>1.0000000253485199</v>
      </c>
    </row>
    <row r="7762" spans="1:40" x14ac:dyDescent="0.25">
      <c r="A7762" t="str">
        <f>"20190312155029421"</f>
        <v>20190312155029421</v>
      </c>
      <c r="B7762" t="str">
        <f>"1552377029413268"</f>
        <v>1552377029413268</v>
      </c>
      <c r="C7762" t="s">
        <v>40</v>
      </c>
      <c r="D7762">
        <v>5.8648360000000004</v>
      </c>
      <c r="E7762">
        <v>0.3517227</v>
      </c>
      <c r="F7762" t="s">
        <v>79</v>
      </c>
      <c r="G7762">
        <v>-89.069810000000004</v>
      </c>
      <c r="H7762">
        <v>2.0432320000000002</v>
      </c>
      <c r="I7762">
        <v>158.1557</v>
      </c>
      <c r="J7762">
        <v>-128.30600000000001</v>
      </c>
      <c r="K7762">
        <v>1.1109209999999901</v>
      </c>
      <c r="L7762">
        <v>141.87049999999999</v>
      </c>
      <c r="M7762">
        <v>0.99891390000000002</v>
      </c>
      <c r="N7762">
        <v>0</v>
      </c>
      <c r="O7762">
        <v>4.4800140000000002E-2</v>
      </c>
      <c r="P7762">
        <v>0.99268869999999998</v>
      </c>
      <c r="Q7762">
        <v>0.12008820000000001</v>
      </c>
      <c r="R7762">
        <v>1.219196E-2</v>
      </c>
      <c r="S7762">
        <v>3.0002439999999999</v>
      </c>
      <c r="T7762">
        <v>7.1205499999999894E-2</v>
      </c>
      <c r="U7762">
        <v>1.2439420000000001</v>
      </c>
      <c r="V7762">
        <v>3.2302419999999998E-2</v>
      </c>
      <c r="W7762">
        <v>0.1327914</v>
      </c>
      <c r="X7762">
        <v>0.99061750000000004</v>
      </c>
      <c r="Y7762">
        <v>-0.34115590000000001</v>
      </c>
      <c r="Z7762">
        <v>-2.8688749999999999E-3</v>
      </c>
      <c r="AA7762">
        <v>0.94000240000000002</v>
      </c>
      <c r="AB7762">
        <v>4</v>
      </c>
      <c r="AC7762">
        <v>39.236190000000001</v>
      </c>
      <c r="AD7762">
        <v>0.932311</v>
      </c>
      <c r="AE7762">
        <v>16.2852</v>
      </c>
      <c r="AF7762">
        <v>-14.503929919776199</v>
      </c>
      <c r="AG7762">
        <v>0.932311</v>
      </c>
      <c r="AH7762">
        <v>39.907207483775203</v>
      </c>
      <c r="AI7762">
        <v>88.742170083491402</v>
      </c>
      <c r="AJ7762">
        <v>109.973238081571</v>
      </c>
      <c r="AK7762">
        <v>42.471383260633097</v>
      </c>
      <c r="AL7762">
        <v>82.369073549865305</v>
      </c>
      <c r="AM7762">
        <v>88.1323399129747</v>
      </c>
      <c r="AN7762">
        <v>1.0000000167790299</v>
      </c>
    </row>
    <row r="7763" spans="1:40" x14ac:dyDescent="0.25">
      <c r="A7763" t="str">
        <f>"20190312155029444"</f>
        <v>20190312155029444</v>
      </c>
      <c r="B7763" t="str">
        <f>"1552377029433765"</f>
        <v>1552377029433765</v>
      </c>
      <c r="C7763" t="s">
        <v>40</v>
      </c>
      <c r="D7763">
        <v>5.9771539999999996</v>
      </c>
      <c r="E7763">
        <v>0.35312719999999997</v>
      </c>
      <c r="F7763" t="s">
        <v>79</v>
      </c>
      <c r="G7763">
        <v>-88.819400000000002</v>
      </c>
      <c r="H7763">
        <v>1.7867500000000001</v>
      </c>
      <c r="I7763">
        <v>158.15559999999999</v>
      </c>
      <c r="J7763">
        <v>-128.26169999999999</v>
      </c>
      <c r="K7763">
        <v>1.11093</v>
      </c>
      <c r="L7763">
        <v>141.8724</v>
      </c>
      <c r="M7763">
        <v>0.99891620000000003</v>
      </c>
      <c r="N7763">
        <v>0</v>
      </c>
      <c r="O7763">
        <v>4.4781330000000001E-2</v>
      </c>
      <c r="P7763">
        <v>0.99252399999999996</v>
      </c>
      <c r="Q7763">
        <v>0.12123780000000001</v>
      </c>
      <c r="R7763">
        <v>1.404971E-2</v>
      </c>
      <c r="S7763">
        <v>3.0006870000000001</v>
      </c>
      <c r="T7763">
        <v>5.1358340000000002E-2</v>
      </c>
      <c r="U7763">
        <v>1.237549</v>
      </c>
      <c r="V7763">
        <v>3.0420470000000002E-2</v>
      </c>
      <c r="W7763">
        <v>0.1338211</v>
      </c>
      <c r="X7763">
        <v>0.99053849999999999</v>
      </c>
      <c r="Y7763">
        <v>-0.33944790000000002</v>
      </c>
      <c r="Z7763">
        <v>-2.056142E-3</v>
      </c>
      <c r="AA7763">
        <v>0.94062259999999998</v>
      </c>
      <c r="AB7763">
        <v>4</v>
      </c>
      <c r="AC7763">
        <v>39.442299999999904</v>
      </c>
      <c r="AD7763">
        <v>0.67581999999999998</v>
      </c>
      <c r="AE7763">
        <v>16.283199999999901</v>
      </c>
      <c r="AF7763">
        <v>-14.496805038734101</v>
      </c>
      <c r="AG7763">
        <v>0.67581999999999998</v>
      </c>
      <c r="AH7763">
        <v>40.121903661653299</v>
      </c>
      <c r="AI7763">
        <v>89.092408000499006</v>
      </c>
      <c r="AJ7763">
        <v>109.865749421923</v>
      </c>
      <c r="AK7763">
        <v>42.665926011730498</v>
      </c>
      <c r="AL7763">
        <v>82.309544699066507</v>
      </c>
      <c r="AM7763">
        <v>88.240939769474494</v>
      </c>
      <c r="AN7763">
        <v>1.0000000058912399</v>
      </c>
    </row>
    <row r="7764" spans="1:40" x14ac:dyDescent="0.25">
      <c r="A7764" t="str">
        <f>"20190312155029467"</f>
        <v>20190312155029467</v>
      </c>
      <c r="B7764" t="str">
        <f>"1552377029464021"</f>
        <v>1552377029464021</v>
      </c>
      <c r="C7764" t="s">
        <v>40</v>
      </c>
      <c r="D7764">
        <v>5.9488059999999896</v>
      </c>
      <c r="E7764">
        <v>0.39268380000000003</v>
      </c>
      <c r="F7764" t="s">
        <v>79</v>
      </c>
      <c r="G7764">
        <v>-88.606459999999998</v>
      </c>
      <c r="H7764">
        <v>1.6714960000000001</v>
      </c>
      <c r="I7764">
        <v>158.15549999999999</v>
      </c>
      <c r="J7764">
        <v>-128.2192</v>
      </c>
      <c r="K7764">
        <v>1.110946</v>
      </c>
      <c r="L7764">
        <v>141.87430000000001</v>
      </c>
      <c r="M7764">
        <v>0.99891819999999998</v>
      </c>
      <c r="N7764">
        <v>0</v>
      </c>
      <c r="O7764">
        <v>4.476368E-2</v>
      </c>
      <c r="P7764">
        <v>0.99229279999999997</v>
      </c>
      <c r="Q7764">
        <v>0.1230494</v>
      </c>
      <c r="R7764">
        <v>1.4627289999999999E-2</v>
      </c>
      <c r="S7764">
        <v>2.9999690000000001</v>
      </c>
      <c r="T7764">
        <v>4.240799E-2</v>
      </c>
      <c r="U7764">
        <v>1.2318420000000001</v>
      </c>
      <c r="V7764">
        <v>2.981553E-2</v>
      </c>
      <c r="W7764">
        <v>0.13553299999999999</v>
      </c>
      <c r="X7764">
        <v>0.99032410000000004</v>
      </c>
      <c r="Y7764">
        <v>-0.33802500000000002</v>
      </c>
      <c r="Z7764">
        <v>-1.6893829999999901E-3</v>
      </c>
      <c r="AA7764">
        <v>0.94113559999999996</v>
      </c>
      <c r="AB7764">
        <v>4</v>
      </c>
      <c r="AC7764">
        <v>39.612740000000002</v>
      </c>
      <c r="AD7764">
        <v>0.56054999999999899</v>
      </c>
      <c r="AE7764">
        <v>16.281199999999899</v>
      </c>
      <c r="AF7764">
        <v>-14.4890424623597</v>
      </c>
      <c r="AG7764">
        <v>0.56054999999999899</v>
      </c>
      <c r="AH7764">
        <v>40.294987543247601</v>
      </c>
      <c r="AI7764">
        <v>89.2500061403871</v>
      </c>
      <c r="AJ7764">
        <v>109.777281650316</v>
      </c>
      <c r="AK7764">
        <v>42.824439154401603</v>
      </c>
      <c r="AL7764">
        <v>82.210558117196001</v>
      </c>
      <c r="AM7764">
        <v>88.275525996557903</v>
      </c>
      <c r="AN7764">
        <v>0.99999999147949503</v>
      </c>
    </row>
    <row r="7765" spans="1:40" x14ac:dyDescent="0.25">
      <c r="A7765" t="str">
        <f>"20190312155029506"</f>
        <v>20190312155029506</v>
      </c>
      <c r="B7765" t="str">
        <f>"1552377029504037"</f>
        <v>1552377029504037</v>
      </c>
      <c r="C7765" t="s">
        <v>40</v>
      </c>
      <c r="D7765">
        <v>5.9549399999999997</v>
      </c>
      <c r="E7765">
        <v>0.39607209999999998</v>
      </c>
      <c r="F7765" t="s">
        <v>79</v>
      </c>
      <c r="G7765">
        <v>-76.278319999999994</v>
      </c>
      <c r="H7765">
        <v>2.3928729999999998</v>
      </c>
      <c r="I7765">
        <v>157.73310000000001</v>
      </c>
      <c r="J7765">
        <v>-128.1454</v>
      </c>
      <c r="K7765">
        <v>1.1109370000000001</v>
      </c>
      <c r="L7765">
        <v>141.8776</v>
      </c>
      <c r="M7765">
        <v>0.99892139999999996</v>
      </c>
      <c r="N7765">
        <v>0</v>
      </c>
      <c r="O7765">
        <v>4.4733130000000003E-2</v>
      </c>
      <c r="P7765">
        <v>0.9922396</v>
      </c>
      <c r="Q7765">
        <v>0.1233052</v>
      </c>
      <c r="R7765">
        <v>1.6024179999999999E-2</v>
      </c>
      <c r="S7765">
        <v>3.0005950000000001</v>
      </c>
      <c r="T7765">
        <v>7.4056510000000006E-2</v>
      </c>
      <c r="U7765">
        <v>0.916153</v>
      </c>
      <c r="V7765">
        <v>2.8387300000000001E-2</v>
      </c>
      <c r="W7765">
        <v>0.13565099999999999</v>
      </c>
      <c r="X7765">
        <v>0.99034990000000001</v>
      </c>
      <c r="Y7765">
        <v>-0.24888009999999999</v>
      </c>
      <c r="Z7765">
        <v>-1.925097E-3</v>
      </c>
      <c r="AA7765">
        <v>0.96853239999999996</v>
      </c>
      <c r="AB7765">
        <v>4</v>
      </c>
      <c r="AC7765">
        <v>51.867080000000001</v>
      </c>
      <c r="AD7765">
        <v>1.28193599999999</v>
      </c>
      <c r="AE7765">
        <v>15.855499999999999</v>
      </c>
      <c r="AF7765">
        <v>-13.511720591902201</v>
      </c>
      <c r="AG7765">
        <v>1.28193599999999</v>
      </c>
      <c r="AH7765">
        <v>52.4951455566394</v>
      </c>
      <c r="AI7765">
        <v>88.645249084807404</v>
      </c>
      <c r="AJ7765">
        <v>104.434049300336</v>
      </c>
      <c r="AK7765">
        <v>54.221308175610098</v>
      </c>
      <c r="AL7765">
        <v>82.203734092893001</v>
      </c>
      <c r="AM7765">
        <v>88.358128522099904</v>
      </c>
      <c r="AN7765">
        <v>0.99999997851614897</v>
      </c>
    </row>
    <row r="7766" spans="1:40" x14ac:dyDescent="0.25">
      <c r="A7766" t="str">
        <f>"20190312155029527"</f>
        <v>20190312155029527</v>
      </c>
      <c r="B7766" t="str">
        <f>"1552377029523557"</f>
        <v>1552377029523557</v>
      </c>
      <c r="C7766" t="s">
        <v>40</v>
      </c>
      <c r="D7766">
        <v>5.8134550000000003</v>
      </c>
      <c r="E7766">
        <v>0.39615539999999999</v>
      </c>
      <c r="F7766" t="s">
        <v>79</v>
      </c>
      <c r="G7766">
        <v>-75.392880000000005</v>
      </c>
      <c r="H7766">
        <v>2.1367699999999998</v>
      </c>
      <c r="I7766">
        <v>157.56799999999899</v>
      </c>
      <c r="J7766">
        <v>-128.107</v>
      </c>
      <c r="K7766">
        <v>1.110922</v>
      </c>
      <c r="L7766">
        <v>141.8793</v>
      </c>
      <c r="M7766">
        <v>0.9989228</v>
      </c>
      <c r="N7766">
        <v>0</v>
      </c>
      <c r="O7766">
        <v>4.4716880000000001E-2</v>
      </c>
      <c r="P7766">
        <v>0.99260289999999995</v>
      </c>
      <c r="Q7766">
        <v>0.12011380000000001</v>
      </c>
      <c r="R7766">
        <v>1.7670959999999999E-2</v>
      </c>
      <c r="S7766">
        <v>3.0018009999999999</v>
      </c>
      <c r="T7766">
        <v>5.8373689999999999E-2</v>
      </c>
      <c r="U7766">
        <v>0.89283749999999995</v>
      </c>
      <c r="V7766">
        <v>2.6742180000000001E-2</v>
      </c>
      <c r="W7766">
        <v>0.1324071</v>
      </c>
      <c r="X7766">
        <v>0.99083460000000001</v>
      </c>
      <c r="Y7766">
        <v>-0.24190690000000001</v>
      </c>
      <c r="Z7766">
        <v>-1.4525E-3</v>
      </c>
      <c r="AA7766">
        <v>0.97029840000000001</v>
      </c>
      <c r="AB7766">
        <v>4</v>
      </c>
      <c r="AC7766">
        <v>52.714120000000001</v>
      </c>
      <c r="AD7766">
        <v>1.0258480000000001</v>
      </c>
      <c r="AE7766">
        <v>15.6886999999999</v>
      </c>
      <c r="AF7766">
        <v>-13.3109812250035</v>
      </c>
      <c r="AG7766">
        <v>1.0258480000000001</v>
      </c>
      <c r="AH7766">
        <v>53.344427108119099</v>
      </c>
      <c r="AI7766">
        <v>88.931068627765995</v>
      </c>
      <c r="AJ7766">
        <v>104.01084144196901</v>
      </c>
      <c r="AK7766">
        <v>54.989658016621</v>
      </c>
      <c r="AL7766">
        <v>82.391288310504706</v>
      </c>
      <c r="AM7766">
        <v>88.453988010069395</v>
      </c>
      <c r="AN7766">
        <v>0.99999999443936105</v>
      </c>
    </row>
    <row r="7767" spans="1:40" x14ac:dyDescent="0.25">
      <c r="A7767" t="str">
        <f>"20190312155029549"</f>
        <v>20190312155029549</v>
      </c>
      <c r="B7767" t="str">
        <f>"1552377029543701"</f>
        <v>1552377029543701</v>
      </c>
      <c r="C7767" t="s">
        <v>40</v>
      </c>
      <c r="D7767">
        <v>5.7793609999999997</v>
      </c>
      <c r="E7767">
        <v>0.39668720000000002</v>
      </c>
      <c r="F7767" t="s">
        <v>79</v>
      </c>
      <c r="G7767">
        <v>-75.534669999999906</v>
      </c>
      <c r="H7767">
        <v>1.914561</v>
      </c>
      <c r="I7767">
        <v>157.56790000000001</v>
      </c>
      <c r="J7767">
        <v>-128.06559999999999</v>
      </c>
      <c r="K7767">
        <v>1.110908</v>
      </c>
      <c r="L7767">
        <v>141.8811</v>
      </c>
      <c r="M7767">
        <v>0.99892420000000004</v>
      </c>
      <c r="N7767">
        <v>0</v>
      </c>
      <c r="O7767">
        <v>4.4699780000000001E-2</v>
      </c>
      <c r="P7767">
        <v>0.99288989999999999</v>
      </c>
      <c r="Q7767">
        <v>0.117480399999999</v>
      </c>
      <c r="R7767">
        <v>1.918489E-2</v>
      </c>
      <c r="S7767">
        <v>3.0008849999999998</v>
      </c>
      <c r="T7767">
        <v>4.587281E-2</v>
      </c>
      <c r="U7767">
        <v>0.89552310000000002</v>
      </c>
      <c r="V7767">
        <v>2.5225239999999999E-2</v>
      </c>
      <c r="W7767">
        <v>0.1297239</v>
      </c>
      <c r="X7767">
        <v>0.99122920000000003</v>
      </c>
      <c r="Y7767">
        <v>-0.2428148</v>
      </c>
      <c r="Z7767">
        <v>-1.148722E-3</v>
      </c>
      <c r="AA7767">
        <v>0.97007200000000005</v>
      </c>
      <c r="AB7767">
        <v>4</v>
      </c>
      <c r="AC7767">
        <v>52.530929999999998</v>
      </c>
      <c r="AD7767">
        <v>0.80365299999999995</v>
      </c>
      <c r="AE7767">
        <v>15.6868</v>
      </c>
      <c r="AF7767">
        <v>-13.3199558971465</v>
      </c>
      <c r="AG7767">
        <v>0.80365299999999995</v>
      </c>
      <c r="AH7767">
        <v>53.168240292057803</v>
      </c>
      <c r="AI7767">
        <v>89.159979927189397</v>
      </c>
      <c r="AJ7767">
        <v>104.064533077701</v>
      </c>
      <c r="AK7767">
        <v>54.8172314058301</v>
      </c>
      <c r="AL7767">
        <v>82.5463618866888</v>
      </c>
      <c r="AM7767">
        <v>88.542226250870698</v>
      </c>
      <c r="AN7767">
        <v>0.999999964948453</v>
      </c>
    </row>
    <row r="7768" spans="1:40" x14ac:dyDescent="0.25">
      <c r="A7768" t="str">
        <f>"20190312155029573"</f>
        <v>20190312155029573</v>
      </c>
      <c r="B7768" t="str">
        <f>"1552377029563221"</f>
        <v>1552377029563221</v>
      </c>
      <c r="C7768" t="s">
        <v>40</v>
      </c>
      <c r="D7768">
        <v>5.8083450000000001</v>
      </c>
      <c r="E7768">
        <v>0.39674169999999997</v>
      </c>
      <c r="F7768" t="s">
        <v>79</v>
      </c>
      <c r="G7768">
        <v>-75.450050000000005</v>
      </c>
      <c r="H7768">
        <v>1.7509539999999999</v>
      </c>
      <c r="I7768">
        <v>157.56790000000001</v>
      </c>
      <c r="J7768">
        <v>-128.0223</v>
      </c>
      <c r="K7768">
        <v>1.1108960000000001</v>
      </c>
      <c r="L7768">
        <v>141.88310000000001</v>
      </c>
      <c r="M7768">
        <v>0.99892570000000003</v>
      </c>
      <c r="N7768">
        <v>0</v>
      </c>
      <c r="O7768">
        <v>4.4681619999999998E-2</v>
      </c>
      <c r="P7768">
        <v>0.99313560000000001</v>
      </c>
      <c r="Q7768">
        <v>0.115438899999999</v>
      </c>
      <c r="R7768">
        <v>1.887455E-2</v>
      </c>
      <c r="S7768">
        <v>2.9998779999999998</v>
      </c>
      <c r="T7768">
        <v>3.6492469999999999E-2</v>
      </c>
      <c r="U7768">
        <v>0.89437869999999997</v>
      </c>
      <c r="V7768">
        <v>2.5527939999999999E-2</v>
      </c>
      <c r="W7768">
        <v>0.12763620000000001</v>
      </c>
      <c r="X7768">
        <v>0.9914925</v>
      </c>
      <c r="Y7768">
        <v>-0.24258959999999999</v>
      </c>
      <c r="Z7768">
        <v>-9.1306039999999996E-4</v>
      </c>
      <c r="AA7768">
        <v>0.97012860000000001</v>
      </c>
      <c r="AB7768">
        <v>4</v>
      </c>
      <c r="AC7768">
        <v>52.572249999999997</v>
      </c>
      <c r="AD7768">
        <v>0.64005800000000002</v>
      </c>
      <c r="AE7768">
        <v>15.6847999999999</v>
      </c>
      <c r="AF7768">
        <v>-13.31812946366</v>
      </c>
      <c r="AG7768">
        <v>0.64005800000000002</v>
      </c>
      <c r="AH7768">
        <v>53.2133692548977</v>
      </c>
      <c r="AI7768">
        <v>89.331488908343601</v>
      </c>
      <c r="AJ7768">
        <v>104.05122751081601</v>
      </c>
      <c r="AK7768">
        <v>54.858407870738198</v>
      </c>
      <c r="AL7768">
        <v>82.666981574978493</v>
      </c>
      <c r="AM7768">
        <v>88.525132412709695</v>
      </c>
      <c r="AN7768">
        <v>1.0000000264136599</v>
      </c>
    </row>
    <row r="7769" spans="1:40" x14ac:dyDescent="0.25">
      <c r="A7769" t="str">
        <f>"20190312155029623"</f>
        <v>20190312155029623</v>
      </c>
      <c r="B7769" t="str">
        <f>"1552377029613974"</f>
        <v>1552377029613974</v>
      </c>
      <c r="C7769" t="s">
        <v>40</v>
      </c>
      <c r="D7769">
        <v>5.8356079999999997</v>
      </c>
      <c r="E7769">
        <v>0.39665790000000001</v>
      </c>
      <c r="F7769" t="s">
        <v>79</v>
      </c>
      <c r="G7769">
        <v>-75.265879999999996</v>
      </c>
      <c r="H7769">
        <v>1.600017</v>
      </c>
      <c r="I7769">
        <v>157.56780000000001</v>
      </c>
      <c r="J7769">
        <v>-127.9303</v>
      </c>
      <c r="K7769">
        <v>1.1108960000000001</v>
      </c>
      <c r="L7769">
        <v>141.8871</v>
      </c>
      <c r="M7769">
        <v>0.9989285</v>
      </c>
      <c r="N7769">
        <v>0</v>
      </c>
      <c r="O7769">
        <v>4.4643299999999997E-2</v>
      </c>
      <c r="P7769">
        <v>0.99329299999999998</v>
      </c>
      <c r="Q7769">
        <v>0.1142816</v>
      </c>
      <c r="R7769">
        <v>1.7577470000000001E-2</v>
      </c>
      <c r="S7769">
        <v>3.000534</v>
      </c>
      <c r="T7769">
        <v>2.781904E-2</v>
      </c>
      <c r="U7769">
        <v>0.89207459999999905</v>
      </c>
      <c r="V7769">
        <v>2.67926E-2</v>
      </c>
      <c r="W7769">
        <v>0.1263975</v>
      </c>
      <c r="X7769">
        <v>0.99161779999999999</v>
      </c>
      <c r="Y7769">
        <v>-0.2418901</v>
      </c>
      <c r="Z7769">
        <v>-6.9315649999999996E-4</v>
      </c>
      <c r="AA7769">
        <v>0.97030340000000004</v>
      </c>
      <c r="AB7769">
        <v>4</v>
      </c>
      <c r="AC7769">
        <v>52.6644199999999</v>
      </c>
      <c r="AD7769">
        <v>0.48912099999999997</v>
      </c>
      <c r="AE7769">
        <v>15.6807</v>
      </c>
      <c r="AF7769">
        <v>-13.312720582261599</v>
      </c>
      <c r="AG7769">
        <v>0.48912099999999997</v>
      </c>
      <c r="AH7769">
        <v>53.307771809380398</v>
      </c>
      <c r="AI7769">
        <v>89.489965303618206</v>
      </c>
      <c r="AJ7769">
        <v>104.021855402833</v>
      </c>
      <c r="AK7769">
        <v>54.9471227994241</v>
      </c>
      <c r="AL7769">
        <v>82.738533316186107</v>
      </c>
      <c r="AM7769">
        <v>88.452297338416699</v>
      </c>
      <c r="AN7769">
        <v>1.00000001634892</v>
      </c>
    </row>
    <row r="7770" spans="1:40" x14ac:dyDescent="0.25">
      <c r="A7770" t="str">
        <f>"20190312155029657"</f>
        <v>20190312155029657</v>
      </c>
      <c r="B7770" t="str">
        <f>"1552377029653774"</f>
        <v>1552377029653774</v>
      </c>
      <c r="C7770" t="s">
        <v>40</v>
      </c>
      <c r="D7770">
        <v>5.4308769999999997</v>
      </c>
      <c r="E7770">
        <v>0.39831070000000002</v>
      </c>
      <c r="F7770" t="s">
        <v>79</v>
      </c>
      <c r="G7770">
        <v>-74.898830000000004</v>
      </c>
      <c r="H7770">
        <v>1.7991710000000001</v>
      </c>
      <c r="I7770">
        <v>157.56790000000001</v>
      </c>
      <c r="J7770">
        <v>-127.8677</v>
      </c>
      <c r="K7770">
        <v>1.110911</v>
      </c>
      <c r="L7770">
        <v>141.88990000000001</v>
      </c>
      <c r="M7770">
        <v>0.99893010000000004</v>
      </c>
      <c r="N7770">
        <v>0</v>
      </c>
      <c r="O7770">
        <v>4.4617049999999998E-2</v>
      </c>
      <c r="P7770">
        <v>0.99240729999999999</v>
      </c>
      <c r="Q7770">
        <v>0.1218795</v>
      </c>
      <c r="R7770">
        <v>1.6522080000000001E-2</v>
      </c>
      <c r="S7770">
        <v>3.000076</v>
      </c>
      <c r="T7770">
        <v>3.8937090000000001E-2</v>
      </c>
      <c r="U7770">
        <v>0.88708500000000001</v>
      </c>
      <c r="V7770">
        <v>2.778187E-2</v>
      </c>
      <c r="W7770">
        <v>0.13394159999999999</v>
      </c>
      <c r="X7770">
        <v>0.99059980000000003</v>
      </c>
      <c r="Y7770">
        <v>-0.24046509999999999</v>
      </c>
      <c r="Z7770">
        <v>-9.6180300000000001E-4</v>
      </c>
      <c r="AA7770">
        <v>0.97065729999999995</v>
      </c>
      <c r="AB7770">
        <v>4</v>
      </c>
      <c r="AC7770">
        <v>52.968870000000003</v>
      </c>
      <c r="AD7770">
        <v>0.68825999999999898</v>
      </c>
      <c r="AE7770">
        <v>15.6779999999999</v>
      </c>
      <c r="AF7770">
        <v>-13.296831226725599</v>
      </c>
      <c r="AG7770">
        <v>0.68825999999999898</v>
      </c>
      <c r="AH7770">
        <v>53.6073499560489</v>
      </c>
      <c r="AI7770">
        <v>89.286057315478899</v>
      </c>
      <c r="AJ7770">
        <v>103.93056554402099</v>
      </c>
      <c r="AK7770">
        <v>55.236105871159403</v>
      </c>
      <c r="AL7770">
        <v>82.302578366073902</v>
      </c>
      <c r="AM7770">
        <v>88.393532125202796</v>
      </c>
      <c r="AN7770">
        <v>1.0000000741356401</v>
      </c>
    </row>
    <row r="7771" spans="1:40" x14ac:dyDescent="0.25">
      <c r="A7771" t="str">
        <f>"20190312155029815"</f>
        <v>20190312155029815</v>
      </c>
      <c r="B7771" t="str">
        <f>"1552377029803731"</f>
        <v>1552377029803731</v>
      </c>
      <c r="C7771" t="s">
        <v>40</v>
      </c>
      <c r="D7771">
        <v>5.7623959999999999</v>
      </c>
      <c r="E7771">
        <v>0.58484939999999996</v>
      </c>
      <c r="F7771" t="s">
        <v>80</v>
      </c>
      <c r="G7771">
        <v>-63.932110000000002</v>
      </c>
      <c r="H7771">
        <v>2.6633800000000001</v>
      </c>
      <c r="I7771">
        <v>160.44</v>
      </c>
      <c r="J7771">
        <v>-127.57940000000001</v>
      </c>
      <c r="K7771">
        <v>1.110852</v>
      </c>
      <c r="L7771">
        <v>141.90260000000001</v>
      </c>
      <c r="M7771">
        <v>0.99893679999999996</v>
      </c>
      <c r="N7771">
        <v>0</v>
      </c>
      <c r="O7771">
        <v>4.4495609999999998E-2</v>
      </c>
      <c r="P7771">
        <v>0.99186039999999998</v>
      </c>
      <c r="Q7771">
        <v>0.12674250000000001</v>
      </c>
      <c r="R7771">
        <v>1.223021E-2</v>
      </c>
      <c r="S7771">
        <v>2.9995120000000002</v>
      </c>
      <c r="T7771">
        <v>7.2835209999999997E-2</v>
      </c>
      <c r="U7771">
        <v>0.87026979999999998</v>
      </c>
      <c r="V7771">
        <v>3.1924399999999999E-2</v>
      </c>
      <c r="W7771">
        <v>0.1386877</v>
      </c>
      <c r="X7771">
        <v>0.98982150000000002</v>
      </c>
      <c r="Y7771">
        <v>-0.2355817</v>
      </c>
      <c r="Z7771">
        <v>-1.7454359999999999E-3</v>
      </c>
      <c r="AA7771">
        <v>0.97185299999999997</v>
      </c>
      <c r="AB7771">
        <v>4</v>
      </c>
      <c r="AC7771">
        <v>63.647289999999998</v>
      </c>
      <c r="AD7771">
        <v>1.5525279999999999</v>
      </c>
      <c r="AE7771">
        <v>18.537399999999899</v>
      </c>
      <c r="AF7771">
        <v>-15.6782074626871</v>
      </c>
      <c r="AG7771">
        <v>1.5525279999999999</v>
      </c>
      <c r="AH7771">
        <v>64.373828615619502</v>
      </c>
      <c r="AI7771">
        <v>88.657666476867504</v>
      </c>
      <c r="AJ7771">
        <v>103.68786766072201</v>
      </c>
      <c r="AK7771">
        <v>66.273722870131493</v>
      </c>
      <c r="AL7771">
        <v>82.028083968815494</v>
      </c>
      <c r="AM7771">
        <v>88.152697697698997</v>
      </c>
      <c r="AN7771">
        <v>1.00000002365444</v>
      </c>
    </row>
    <row r="7772" spans="1:40" x14ac:dyDescent="0.25">
      <c r="A7772" t="str">
        <f>"20190312155029883"</f>
        <v>20190312155029883</v>
      </c>
      <c r="B7772" t="str">
        <f>"1552377029874003"</f>
        <v>1552377029874003</v>
      </c>
      <c r="C7772" t="s">
        <v>40</v>
      </c>
      <c r="D7772">
        <v>5.7990089999999999</v>
      </c>
      <c r="E7772">
        <v>0.58404029999999996</v>
      </c>
      <c r="F7772" t="s">
        <v>48</v>
      </c>
      <c r="G7772">
        <v>0</v>
      </c>
      <c r="H7772">
        <v>0</v>
      </c>
      <c r="I7772">
        <v>0</v>
      </c>
      <c r="J7772">
        <v>-127.4558</v>
      </c>
      <c r="K7772">
        <v>1.1106450000000001</v>
      </c>
      <c r="L7772">
        <v>141.90799999999999</v>
      </c>
      <c r="M7772">
        <v>0.99893929999999997</v>
      </c>
      <c r="N7772">
        <v>0</v>
      </c>
      <c r="O7772">
        <v>4.4444009999999999E-2</v>
      </c>
      <c r="P7772">
        <v>0.99224319999999999</v>
      </c>
      <c r="Q7772">
        <v>0.1241891</v>
      </c>
      <c r="R7772">
        <v>5.5334219999999996E-3</v>
      </c>
      <c r="S7772">
        <v>2.973328</v>
      </c>
      <c r="T7772">
        <v>0.46347319999999997</v>
      </c>
      <c r="U7772">
        <v>-0.64389039999999997</v>
      </c>
      <c r="V7772">
        <v>3.8580370000000003E-2</v>
      </c>
      <c r="W7772">
        <v>0.1361145</v>
      </c>
      <c r="X7772">
        <v>0.98994159999999998</v>
      </c>
      <c r="Y7772">
        <v>0.25145859999999998</v>
      </c>
      <c r="Z7772">
        <v>2.607694E-2</v>
      </c>
      <c r="AA7772">
        <v>0.96751670000000001</v>
      </c>
      <c r="AB7772">
        <v>4</v>
      </c>
      <c r="AC7772">
        <v>2.973328</v>
      </c>
      <c r="AD7772">
        <v>0.46347319999999997</v>
      </c>
      <c r="AE7772">
        <v>-0.64389039999999997</v>
      </c>
      <c r="AF7772">
        <v>0.75782183594400299</v>
      </c>
      <c r="AG7772">
        <v>0.46347319999999997</v>
      </c>
      <c r="AH7772">
        <v>2.87504299721969</v>
      </c>
      <c r="AI7772">
        <v>81.139955614980906</v>
      </c>
      <c r="AJ7772">
        <v>75.233485576546002</v>
      </c>
      <c r="AK7772">
        <v>3.0091483143929199</v>
      </c>
      <c r="AL7772">
        <v>82.176928942588503</v>
      </c>
      <c r="AM7772">
        <v>87.768177173666103</v>
      </c>
      <c r="AN7772">
        <v>0.99999998673507295</v>
      </c>
    </row>
    <row r="7773" spans="1:40" x14ac:dyDescent="0.25">
      <c r="A7773" t="str">
        <f>"20190312155029910"</f>
        <v>20190312155029910</v>
      </c>
      <c r="B7773" t="str">
        <f>"1552377029903283"</f>
        <v>1552377029903283</v>
      </c>
      <c r="C7773" t="s">
        <v>40</v>
      </c>
      <c r="D7773">
        <v>5.8135409999999998</v>
      </c>
      <c r="E7773">
        <v>0.58283069999999904</v>
      </c>
      <c r="F7773" t="s">
        <v>48</v>
      </c>
      <c r="G7773">
        <v>0</v>
      </c>
      <c r="H7773">
        <v>0</v>
      </c>
      <c r="I7773">
        <v>0</v>
      </c>
      <c r="J7773">
        <v>-127.40770000000001</v>
      </c>
      <c r="K7773">
        <v>1.11056</v>
      </c>
      <c r="L7773">
        <v>141.9101</v>
      </c>
      <c r="M7773">
        <v>0.99894039999999995</v>
      </c>
      <c r="N7773">
        <v>0</v>
      </c>
      <c r="O7773">
        <v>4.4423419999999998E-2</v>
      </c>
      <c r="P7773">
        <v>0.99286940000000001</v>
      </c>
      <c r="Q7773">
        <v>0.1191547</v>
      </c>
      <c r="R7773">
        <v>3.5283770000000001E-3</v>
      </c>
      <c r="S7773">
        <v>2.9713590000000001</v>
      </c>
      <c r="T7773">
        <v>0.44550499999999998</v>
      </c>
      <c r="U7773">
        <v>-0.657196</v>
      </c>
      <c r="V7773">
        <v>4.0590609999999999E-2</v>
      </c>
      <c r="W7773">
        <v>0.13108120000000001</v>
      </c>
      <c r="X7773">
        <v>0.99054030000000004</v>
      </c>
      <c r="Y7773">
        <v>0.25591380000000002</v>
      </c>
      <c r="Z7773">
        <v>2.5406709999999999E-2</v>
      </c>
      <c r="AA7773">
        <v>0.96636569999999999</v>
      </c>
      <c r="AB7773">
        <v>4</v>
      </c>
      <c r="AC7773">
        <v>2.9713590000000001</v>
      </c>
      <c r="AD7773">
        <v>0.44550499999999998</v>
      </c>
      <c r="AE7773">
        <v>-0.657196</v>
      </c>
      <c r="AF7773">
        <v>0.77200926517074198</v>
      </c>
      <c r="AG7773">
        <v>0.44550499999999998</v>
      </c>
      <c r="AH7773">
        <v>2.8775578000153299</v>
      </c>
      <c r="AI7773">
        <v>81.495430762311003</v>
      </c>
      <c r="AJ7773">
        <v>74.981981828076201</v>
      </c>
      <c r="AK7773">
        <v>3.01244284642274</v>
      </c>
      <c r="AL7773">
        <v>82.467924681092796</v>
      </c>
      <c r="AM7773">
        <v>87.653431988381797</v>
      </c>
      <c r="AN7773">
        <v>0.99999998226885001</v>
      </c>
    </row>
    <row r="7774" spans="1:40" x14ac:dyDescent="0.25">
      <c r="A7774" t="str">
        <f>"20190312155029932"</f>
        <v>20190312155029932</v>
      </c>
      <c r="B7774" t="str">
        <f>"1552377029923780"</f>
        <v>1552377029923780</v>
      </c>
      <c r="C7774" t="s">
        <v>40</v>
      </c>
      <c r="D7774">
        <v>5.8196589999999997</v>
      </c>
      <c r="E7774">
        <v>0.58198399999999995</v>
      </c>
      <c r="F7774" t="s">
        <v>48</v>
      </c>
      <c r="G7774">
        <v>0</v>
      </c>
      <c r="H7774">
        <v>0</v>
      </c>
      <c r="I7774">
        <v>0</v>
      </c>
      <c r="J7774">
        <v>-127.3665</v>
      </c>
      <c r="K7774">
        <v>1.1105020000000001</v>
      </c>
      <c r="L7774">
        <v>141.9119</v>
      </c>
      <c r="M7774">
        <v>0.99894119999999997</v>
      </c>
      <c r="N7774">
        <v>0</v>
      </c>
      <c r="O7774">
        <v>4.4406170000000002E-2</v>
      </c>
      <c r="P7774">
        <v>0.99327759999999998</v>
      </c>
      <c r="Q7774">
        <v>0.1157543</v>
      </c>
      <c r="R7774">
        <v>1.1045689999999999E-3</v>
      </c>
      <c r="S7774">
        <v>2.9745940000000002</v>
      </c>
      <c r="T7774">
        <v>0.41064689999999998</v>
      </c>
      <c r="U7774">
        <v>-0.65299989999999997</v>
      </c>
      <c r="V7774">
        <v>4.3012719999999997E-2</v>
      </c>
      <c r="W7774">
        <v>0.12767970000000001</v>
      </c>
      <c r="X7774">
        <v>0.99088229999999999</v>
      </c>
      <c r="Y7774">
        <v>0.25486989999999998</v>
      </c>
      <c r="Z7774">
        <v>2.334313E-2</v>
      </c>
      <c r="AA7774">
        <v>0.96669360000000004</v>
      </c>
      <c r="AB7774">
        <v>4</v>
      </c>
      <c r="AC7774">
        <v>2.9745940000000002</v>
      </c>
      <c r="AD7774">
        <v>0.41064689999999998</v>
      </c>
      <c r="AE7774">
        <v>-0.65299989999999997</v>
      </c>
      <c r="AF7774">
        <v>0.77044728428625997</v>
      </c>
      <c r="AG7774">
        <v>0.41064689999999998</v>
      </c>
      <c r="AH7774">
        <v>2.8901120502958602</v>
      </c>
      <c r="AI7774">
        <v>82.182607797580204</v>
      </c>
      <c r="AJ7774">
        <v>75.073196418556194</v>
      </c>
      <c r="AK7774">
        <v>3.0191004550377301</v>
      </c>
      <c r="AL7774">
        <v>82.664468204111699</v>
      </c>
      <c r="AM7774">
        <v>87.514436224114505</v>
      </c>
      <c r="AN7774">
        <v>0.99999996616358799</v>
      </c>
    </row>
    <row r="7775" spans="1:40" x14ac:dyDescent="0.25">
      <c r="A7775" t="str">
        <f>"20190312155029953"</f>
        <v>20190312155029953</v>
      </c>
      <c r="B7775" t="str">
        <f>"1552377029943299"</f>
        <v>1552377029943299</v>
      </c>
      <c r="C7775" t="s">
        <v>40</v>
      </c>
      <c r="D7775">
        <v>5.8006830000000003</v>
      </c>
      <c r="E7775">
        <v>0.58114980000000005</v>
      </c>
      <c r="F7775" t="s">
        <v>48</v>
      </c>
      <c r="G7775">
        <v>0</v>
      </c>
      <c r="H7775">
        <v>0</v>
      </c>
      <c r="I7775">
        <v>0</v>
      </c>
      <c r="J7775">
        <v>-127.3291</v>
      </c>
      <c r="K7775">
        <v>1.1104480000000001</v>
      </c>
      <c r="L7775">
        <v>141.9136</v>
      </c>
      <c r="M7775">
        <v>0.998942</v>
      </c>
      <c r="N7775">
        <v>0</v>
      </c>
      <c r="O7775">
        <v>4.4390220000000001E-2</v>
      </c>
      <c r="P7775">
        <v>0.99356789999999995</v>
      </c>
      <c r="Q7775">
        <v>0.11322409999999999</v>
      </c>
      <c r="R7775">
        <v>-1.7907330000000001E-3</v>
      </c>
      <c r="S7775">
        <v>2.9746090000000001</v>
      </c>
      <c r="T7775">
        <v>0.39834639999999999</v>
      </c>
      <c r="U7775">
        <v>-0.65371699999999999</v>
      </c>
      <c r="V7775">
        <v>4.5902209999999999E-2</v>
      </c>
      <c r="W7775">
        <v>0.1251486</v>
      </c>
      <c r="X7775">
        <v>0.99107559999999995</v>
      </c>
      <c r="Y7775">
        <v>0.25523249999999997</v>
      </c>
      <c r="Z7775">
        <v>2.2671090000000001E-2</v>
      </c>
      <c r="AA7775">
        <v>0.96661390000000003</v>
      </c>
      <c r="AB7775">
        <v>4</v>
      </c>
      <c r="AC7775">
        <v>2.9746090000000001</v>
      </c>
      <c r="AD7775">
        <v>0.39834639999999999</v>
      </c>
      <c r="AE7775">
        <v>-0.65371699999999999</v>
      </c>
      <c r="AF7775">
        <v>0.77192024287512195</v>
      </c>
      <c r="AG7775">
        <v>0.39834639999999999</v>
      </c>
      <c r="AH7775">
        <v>2.8931619153108401</v>
      </c>
      <c r="AI7775">
        <v>82.422330621989502</v>
      </c>
      <c r="AJ7775">
        <v>75.060995192600302</v>
      </c>
      <c r="AK7775">
        <v>3.0207493414645401</v>
      </c>
      <c r="AL7775">
        <v>82.8106627860803</v>
      </c>
      <c r="AM7775">
        <v>87.348209607838101</v>
      </c>
      <c r="AN7775">
        <v>1.0000000149401</v>
      </c>
    </row>
    <row r="7776" spans="1:40" x14ac:dyDescent="0.25">
      <c r="A7776" t="str">
        <f>"20190312155029973"</f>
        <v>20190312155029973</v>
      </c>
      <c r="B7776" t="str">
        <f>"1552377029963795"</f>
        <v>1552377029963795</v>
      </c>
      <c r="C7776" t="s">
        <v>40</v>
      </c>
      <c r="D7776">
        <v>5.8624269999999896</v>
      </c>
      <c r="E7776">
        <v>0.58103099999999996</v>
      </c>
      <c r="F7776" t="s">
        <v>48</v>
      </c>
      <c r="G7776">
        <v>0</v>
      </c>
      <c r="H7776">
        <v>0</v>
      </c>
      <c r="I7776">
        <v>0</v>
      </c>
      <c r="J7776">
        <v>-127.292</v>
      </c>
      <c r="K7776">
        <v>1.110419</v>
      </c>
      <c r="L7776">
        <v>141.9152</v>
      </c>
      <c r="M7776">
        <v>0.99894260000000001</v>
      </c>
      <c r="N7776">
        <v>0</v>
      </c>
      <c r="O7776">
        <v>4.4374740000000003E-2</v>
      </c>
      <c r="P7776">
        <v>0.99402429999999997</v>
      </c>
      <c r="Q7776">
        <v>0.10904759999999999</v>
      </c>
      <c r="R7776">
        <v>-4.9057850000000002E-3</v>
      </c>
      <c r="S7776">
        <v>2.972931</v>
      </c>
      <c r="T7776">
        <v>0.3975532</v>
      </c>
      <c r="U7776">
        <v>-0.65629579999999998</v>
      </c>
      <c r="V7776">
        <v>4.9018930000000002E-2</v>
      </c>
      <c r="W7776">
        <v>0.120973499999999</v>
      </c>
      <c r="X7776">
        <v>0.99144469999999996</v>
      </c>
      <c r="Y7776">
        <v>0.25613180000000002</v>
      </c>
      <c r="Z7776">
        <v>2.2693789999999998E-2</v>
      </c>
      <c r="AA7776">
        <v>0.9663754</v>
      </c>
      <c r="AB7776">
        <v>4</v>
      </c>
      <c r="AC7776">
        <v>2.972931</v>
      </c>
      <c r="AD7776">
        <v>0.3975532</v>
      </c>
      <c r="AE7776">
        <v>-0.65629579999999998</v>
      </c>
      <c r="AF7776">
        <v>0.77437771364726005</v>
      </c>
      <c r="AG7776">
        <v>0.3975532</v>
      </c>
      <c r="AH7776">
        <v>2.8915721964967398</v>
      </c>
      <c r="AI7776">
        <v>82.434994303464904</v>
      </c>
      <c r="AJ7776">
        <v>75.007704375671196</v>
      </c>
      <c r="AK7776">
        <v>3.0197515059648201</v>
      </c>
      <c r="AL7776">
        <v>83.051710779671197</v>
      </c>
      <c r="AM7776">
        <v>87.169491520915997</v>
      </c>
      <c r="AN7776">
        <v>1.00000001817934</v>
      </c>
    </row>
    <row r="7777" spans="1:40" x14ac:dyDescent="0.25">
      <c r="A7777" t="str">
        <f>"20190312155030001"</f>
        <v>20190312155030001</v>
      </c>
      <c r="B7777" t="str">
        <f>"1552377029994051"</f>
        <v>1552377029994051</v>
      </c>
      <c r="C7777" t="s">
        <v>40</v>
      </c>
      <c r="D7777">
        <v>6.0049460000000003</v>
      </c>
      <c r="E7777">
        <v>0.61624669999999904</v>
      </c>
      <c r="F7777" t="s">
        <v>48</v>
      </c>
      <c r="G7777">
        <v>0</v>
      </c>
      <c r="H7777">
        <v>0</v>
      </c>
      <c r="I7777">
        <v>0</v>
      </c>
      <c r="J7777">
        <v>-127.2413</v>
      </c>
      <c r="K7777">
        <v>1.1104130000000001</v>
      </c>
      <c r="L7777">
        <v>141.91739999999999</v>
      </c>
      <c r="M7777">
        <v>0.99894349999999998</v>
      </c>
      <c r="N7777">
        <v>0</v>
      </c>
      <c r="O7777">
        <v>4.4353660000000003E-2</v>
      </c>
      <c r="P7777">
        <v>0.99447459999999999</v>
      </c>
      <c r="Q7777">
        <v>0.10460940000000001</v>
      </c>
      <c r="R7777">
        <v>-8.7753540000000008E-3</v>
      </c>
      <c r="S7777">
        <v>2.9725190000000001</v>
      </c>
      <c r="T7777">
        <v>0.38504929999999998</v>
      </c>
      <c r="U7777">
        <v>-0.66499330000000001</v>
      </c>
      <c r="V7777">
        <v>5.2883489999999998E-2</v>
      </c>
      <c r="W7777">
        <v>0.11653520000000001</v>
      </c>
      <c r="X7777">
        <v>0.99177769999999998</v>
      </c>
      <c r="Y7777">
        <v>0.25896950000000002</v>
      </c>
      <c r="Z7777">
        <v>2.2160180000000002E-2</v>
      </c>
      <c r="AA7777">
        <v>0.96563120000000002</v>
      </c>
      <c r="AB7777">
        <v>4</v>
      </c>
      <c r="AC7777">
        <v>2.9725190000000001</v>
      </c>
      <c r="AD7777">
        <v>0.38504929999999998</v>
      </c>
      <c r="AE7777">
        <v>-0.66499330000000001</v>
      </c>
      <c r="AF7777">
        <v>0.78366747751168098</v>
      </c>
      <c r="AG7777">
        <v>0.38504929999999998</v>
      </c>
      <c r="AH7777">
        <v>2.8938527720439602</v>
      </c>
      <c r="AI7777">
        <v>82.681468367580493</v>
      </c>
      <c r="AJ7777">
        <v>74.847487242509402</v>
      </c>
      <c r="AK7777">
        <v>3.0227109595537698</v>
      </c>
      <c r="AL7777">
        <v>83.307819452513101</v>
      </c>
      <c r="AM7777">
        <v>86.947769634439297</v>
      </c>
      <c r="AN7777">
        <v>1.00000006128545</v>
      </c>
    </row>
    <row r="7778" spans="1:40" x14ac:dyDescent="0.25">
      <c r="A7778" t="str">
        <f>"20190312155030032"</f>
        <v>20190312155030032</v>
      </c>
      <c r="B7778" t="str">
        <f>"1552377030023332"</f>
        <v>1552377030023332</v>
      </c>
      <c r="C7778" t="s">
        <v>40</v>
      </c>
      <c r="D7778">
        <v>6.0369299999999999</v>
      </c>
      <c r="E7778">
        <v>0.6238435</v>
      </c>
      <c r="F7778" t="s">
        <v>48</v>
      </c>
      <c r="G7778">
        <v>0</v>
      </c>
      <c r="H7778">
        <v>0</v>
      </c>
      <c r="I7778">
        <v>0</v>
      </c>
      <c r="J7778">
        <v>-127.1883</v>
      </c>
      <c r="K7778">
        <v>1.110425</v>
      </c>
      <c r="L7778">
        <v>141.91980000000001</v>
      </c>
      <c r="M7778">
        <v>0.99894479999999997</v>
      </c>
      <c r="N7778">
        <v>0</v>
      </c>
      <c r="O7778">
        <v>4.4331089999999997E-2</v>
      </c>
      <c r="P7778">
        <v>0.99494059999999995</v>
      </c>
      <c r="Q7778">
        <v>9.958206E-2</v>
      </c>
      <c r="R7778">
        <v>-1.3303540000000001E-2</v>
      </c>
      <c r="S7778">
        <v>2.9842219999999999</v>
      </c>
      <c r="T7778">
        <v>0.22885440000000001</v>
      </c>
      <c r="U7778">
        <v>-0.95016480000000003</v>
      </c>
      <c r="V7778">
        <v>5.7405310000000001E-2</v>
      </c>
      <c r="W7778">
        <v>0.111508</v>
      </c>
      <c r="X7778">
        <v>0.99210410000000004</v>
      </c>
      <c r="Y7778">
        <v>0.34429559999999998</v>
      </c>
      <c r="Z7778">
        <v>1.618373E-2</v>
      </c>
      <c r="AA7778">
        <v>0.93872180000000005</v>
      </c>
      <c r="AB7778">
        <v>4</v>
      </c>
      <c r="AC7778">
        <v>2.9842219999999999</v>
      </c>
      <c r="AD7778">
        <v>0.22885440000000001</v>
      </c>
      <c r="AE7778">
        <v>-0.95016480000000003</v>
      </c>
      <c r="AF7778">
        <v>1.0757894528018099</v>
      </c>
      <c r="AG7778">
        <v>0.22885440000000001</v>
      </c>
      <c r="AH7778">
        <v>2.9235518699244198</v>
      </c>
      <c r="AI7778">
        <v>85.798384227790095</v>
      </c>
      <c r="AJ7778">
        <v>69.797724869021394</v>
      </c>
      <c r="AK7778">
        <v>3.12359613575404</v>
      </c>
      <c r="AL7778">
        <v>83.597747373638299</v>
      </c>
      <c r="AM7778">
        <v>86.688433512393999</v>
      </c>
      <c r="AN7778">
        <v>0.99999997445850197</v>
      </c>
    </row>
    <row r="7779" spans="1:40" x14ac:dyDescent="0.25">
      <c r="A7779" t="str">
        <f>"20190312155030054"</f>
        <v>20190312155030054</v>
      </c>
      <c r="B7779" t="str">
        <f>"1552377030044306"</f>
        <v>1552377030044306</v>
      </c>
      <c r="C7779" t="s">
        <v>40</v>
      </c>
      <c r="D7779">
        <v>6.069731</v>
      </c>
      <c r="E7779">
        <v>0.62608889999999995</v>
      </c>
      <c r="F7779" t="s">
        <v>81</v>
      </c>
      <c r="G7779">
        <v>-57.6830199999999</v>
      </c>
      <c r="H7779">
        <v>5.6553459999999998</v>
      </c>
      <c r="I7779">
        <v>118.06959999999999</v>
      </c>
      <c r="J7779">
        <v>-127.1484</v>
      </c>
      <c r="K7779">
        <v>1.1104620000000001</v>
      </c>
      <c r="L7779">
        <v>141.92150000000001</v>
      </c>
      <c r="M7779">
        <v>0.99894539999999998</v>
      </c>
      <c r="N7779">
        <v>0</v>
      </c>
      <c r="O7779">
        <v>4.4314300000000001E-2</v>
      </c>
      <c r="P7779">
        <v>0.99485769999999996</v>
      </c>
      <c r="Q7779">
        <v>9.9666770000000002E-2</v>
      </c>
      <c r="R7779">
        <v>-1.8030750000000002E-2</v>
      </c>
      <c r="S7779">
        <v>2.982056</v>
      </c>
      <c r="T7779">
        <v>0.19499540000000001</v>
      </c>
      <c r="U7779">
        <v>-1.0232699999999999</v>
      </c>
      <c r="V7779">
        <v>6.2107339999999997E-2</v>
      </c>
      <c r="W7779">
        <v>0.1115877</v>
      </c>
      <c r="X7779">
        <v>0.99181189999999997</v>
      </c>
      <c r="Y7779">
        <v>0.36537930000000002</v>
      </c>
      <c r="Z7779">
        <v>1.442129E-2</v>
      </c>
      <c r="AA7779">
        <v>0.93074699999999999</v>
      </c>
      <c r="AB7779">
        <v>4</v>
      </c>
      <c r="AC7779">
        <v>69.465379999999996</v>
      </c>
      <c r="AD7779">
        <v>4.5448839999999997</v>
      </c>
      <c r="AE7779">
        <v>-23.851900000000001</v>
      </c>
      <c r="AF7779">
        <v>26.8043584587185</v>
      </c>
      <c r="AG7779">
        <v>4.5448839999999997</v>
      </c>
      <c r="AH7779">
        <v>68.079384981713901</v>
      </c>
      <c r="AI7779">
        <v>86.445504626323299</v>
      </c>
      <c r="AJ7779">
        <v>68.509343933965297</v>
      </c>
      <c r="AK7779">
        <v>73.307109221721007</v>
      </c>
      <c r="AL7779">
        <v>83.593152326512097</v>
      </c>
      <c r="AM7779">
        <v>86.4168123998856</v>
      </c>
      <c r="AN7779">
        <v>0.99999999072738699</v>
      </c>
    </row>
    <row r="7780" spans="1:40" x14ac:dyDescent="0.25">
      <c r="A7780" t="str">
        <f>"20190312155030081"</f>
        <v>20190312155030081</v>
      </c>
      <c r="B7780" t="str">
        <f>"1552377030073585"</f>
        <v>1552377030073585</v>
      </c>
      <c r="C7780" t="s">
        <v>40</v>
      </c>
      <c r="D7780">
        <v>6.0891570000000002</v>
      </c>
      <c r="E7780">
        <v>0.62666549999999999</v>
      </c>
      <c r="F7780" t="s">
        <v>81</v>
      </c>
      <c r="G7780">
        <v>-59.919849999999997</v>
      </c>
      <c r="H7780">
        <v>5.714334</v>
      </c>
      <c r="I7780">
        <v>118.0686</v>
      </c>
      <c r="J7780">
        <v>-127.0985</v>
      </c>
      <c r="K7780">
        <v>1.11056</v>
      </c>
      <c r="L7780">
        <v>141.9237</v>
      </c>
      <c r="M7780">
        <v>0.99894640000000001</v>
      </c>
      <c r="N7780">
        <v>0</v>
      </c>
      <c r="O7780">
        <v>4.429321E-2</v>
      </c>
      <c r="P7780">
        <v>0.9926528</v>
      </c>
      <c r="Q7780">
        <v>0.11807140000000001</v>
      </c>
      <c r="R7780">
        <v>-2.645057E-2</v>
      </c>
      <c r="S7780">
        <v>2.9759519999999999</v>
      </c>
      <c r="T7780">
        <v>0.20379610000000001</v>
      </c>
      <c r="U7780">
        <v>-1.0558780000000001</v>
      </c>
      <c r="V7780">
        <v>7.0401240000000004E-2</v>
      </c>
      <c r="W7780">
        <v>0.1299575</v>
      </c>
      <c r="X7780">
        <v>0.98901709999999998</v>
      </c>
      <c r="Y7780">
        <v>0.37492300000000001</v>
      </c>
      <c r="Z7780">
        <v>1.5389109999999999E-2</v>
      </c>
      <c r="AA7780">
        <v>0.92692819999999998</v>
      </c>
      <c r="AB7780">
        <v>4</v>
      </c>
      <c r="AC7780">
        <v>67.178650000000005</v>
      </c>
      <c r="AD7780">
        <v>4.6037739999999996</v>
      </c>
      <c r="AE7780">
        <v>-23.8551</v>
      </c>
      <c r="AF7780">
        <v>26.696120527036999</v>
      </c>
      <c r="AG7780">
        <v>4.6037739999999996</v>
      </c>
      <c r="AH7780">
        <v>65.781670720697505</v>
      </c>
      <c r="AI7780">
        <v>86.289627538429201</v>
      </c>
      <c r="AJ7780">
        <v>67.911251034638696</v>
      </c>
      <c r="AK7780">
        <v>71.141449163223001</v>
      </c>
      <c r="AL7780">
        <v>82.532864003073897</v>
      </c>
      <c r="AM7780">
        <v>85.928380186290596</v>
      </c>
      <c r="AN7780">
        <v>1.0000000552460899</v>
      </c>
    </row>
    <row r="7781" spans="1:40" x14ac:dyDescent="0.25">
      <c r="A7781" t="str">
        <f>"20190312155030105"</f>
        <v>20190312155030105</v>
      </c>
      <c r="B7781" t="str">
        <f>"1552377030094082"</f>
        <v>1552377030094082</v>
      </c>
      <c r="C7781" t="s">
        <v>40</v>
      </c>
      <c r="D7781">
        <v>6.0309109999999997</v>
      </c>
      <c r="E7781">
        <v>0.62683719999999998</v>
      </c>
      <c r="F7781" t="s">
        <v>81</v>
      </c>
      <c r="G7781">
        <v>-61.067520000000002</v>
      </c>
      <c r="H7781">
        <v>7.1445829999999999</v>
      </c>
      <c r="I7781">
        <v>117.69880000000001</v>
      </c>
      <c r="J7781">
        <v>-127.0547</v>
      </c>
      <c r="K7781">
        <v>1.1105929999999999</v>
      </c>
      <c r="L7781">
        <v>141.92570000000001</v>
      </c>
      <c r="M7781">
        <v>0.99894729999999998</v>
      </c>
      <c r="N7781">
        <v>0</v>
      </c>
      <c r="O7781">
        <v>4.4274620000000001E-2</v>
      </c>
      <c r="P7781">
        <v>0.9916933</v>
      </c>
      <c r="Q7781">
        <v>0.12546109999999999</v>
      </c>
      <c r="R7781">
        <v>-2.836004E-2</v>
      </c>
      <c r="S7781">
        <v>2.9610750000000001</v>
      </c>
      <c r="T7781">
        <v>0.27058789999999999</v>
      </c>
      <c r="U7781">
        <v>-1.0863339999999999</v>
      </c>
      <c r="V7781">
        <v>7.2248039999999999E-2</v>
      </c>
      <c r="W7781">
        <v>0.1373327</v>
      </c>
      <c r="X7781">
        <v>0.98788659999999995</v>
      </c>
      <c r="Y7781">
        <v>0.38407530000000001</v>
      </c>
      <c r="Z7781">
        <v>2.0880599999999999E-2</v>
      </c>
      <c r="AA7781">
        <v>0.92306569999999999</v>
      </c>
      <c r="AB7781">
        <v>4</v>
      </c>
      <c r="AC7781">
        <v>65.987179999999995</v>
      </c>
      <c r="AD7781">
        <v>6.0339900000000002</v>
      </c>
      <c r="AE7781">
        <v>-24.226900000000001</v>
      </c>
      <c r="AF7781">
        <v>26.926502572218698</v>
      </c>
      <c r="AG7781">
        <v>6.0339900000000002</v>
      </c>
      <c r="AH7781">
        <v>64.375406709691404</v>
      </c>
      <c r="AI7781">
        <v>85.057824925959906</v>
      </c>
      <c r="AJ7781">
        <v>67.301752367175894</v>
      </c>
      <c r="AK7781">
        <v>70.040263885353696</v>
      </c>
      <c r="AL7781">
        <v>82.106469593576904</v>
      </c>
      <c r="AM7781">
        <v>85.817180625376594</v>
      </c>
      <c r="AN7781">
        <v>0.99999999211634505</v>
      </c>
    </row>
    <row r="7782" spans="1:40" x14ac:dyDescent="0.25">
      <c r="A7782" t="str">
        <f>"20190312155030130"</f>
        <v>20190312155030130</v>
      </c>
      <c r="B7782" t="str">
        <f>"1552377030123362"</f>
        <v>1552377030123362</v>
      </c>
      <c r="C7782" t="s">
        <v>40</v>
      </c>
      <c r="D7782">
        <v>6.0782350000000003</v>
      </c>
      <c r="E7782">
        <v>0.62717579999999995</v>
      </c>
      <c r="F7782" t="s">
        <v>81</v>
      </c>
      <c r="G7782">
        <v>-62.584200000000003</v>
      </c>
      <c r="H7782">
        <v>7.6603259999999898</v>
      </c>
      <c r="I7782">
        <v>118.0669</v>
      </c>
      <c r="J7782">
        <v>-127.01139999999999</v>
      </c>
      <c r="K7782">
        <v>1.1106039999999999</v>
      </c>
      <c r="L7782">
        <v>141.92760000000001</v>
      </c>
      <c r="M7782">
        <v>0.99894810000000001</v>
      </c>
      <c r="N7782">
        <v>0</v>
      </c>
      <c r="O7782">
        <v>4.4256629999999998E-2</v>
      </c>
      <c r="P7782">
        <v>0.99108980000000002</v>
      </c>
      <c r="Q7782">
        <v>0.1299882</v>
      </c>
      <c r="R7782">
        <v>-2.905582E-2</v>
      </c>
      <c r="S7782">
        <v>2.9558719999999998</v>
      </c>
      <c r="T7782">
        <v>0.30029509999999998</v>
      </c>
      <c r="U7782">
        <v>-1.0938870000000001</v>
      </c>
      <c r="V7782">
        <v>7.2898790000000005E-2</v>
      </c>
      <c r="W7782">
        <v>0.14185039999999999</v>
      </c>
      <c r="X7782">
        <v>0.98720019999999997</v>
      </c>
      <c r="Y7782">
        <v>0.3862796</v>
      </c>
      <c r="Z7782">
        <v>2.329757E-2</v>
      </c>
      <c r="AA7782">
        <v>0.92208749999999995</v>
      </c>
      <c r="AB7782">
        <v>4</v>
      </c>
      <c r="AC7782">
        <v>64.427199999999999</v>
      </c>
      <c r="AD7782">
        <v>6.5497219999999903</v>
      </c>
      <c r="AE7782">
        <v>-23.860700000000001</v>
      </c>
      <c r="AF7782">
        <v>26.448480582382299</v>
      </c>
      <c r="AG7782">
        <v>6.5497219999999903</v>
      </c>
      <c r="AH7782">
        <v>62.737810684289897</v>
      </c>
      <c r="AI7782">
        <v>84.5050939261927</v>
      </c>
      <c r="AJ7782">
        <v>67.141092458370693</v>
      </c>
      <c r="AK7782">
        <v>68.399224212353005</v>
      </c>
      <c r="AL7782">
        <v>81.845064923827294</v>
      </c>
      <c r="AM7782">
        <v>85.776717005377293</v>
      </c>
      <c r="AN7782">
        <v>1.0000000022218301</v>
      </c>
    </row>
    <row r="7783" spans="1:40" x14ac:dyDescent="0.25">
      <c r="A7783" t="str">
        <f>"20190312155030150"</f>
        <v>20190312155030150</v>
      </c>
      <c r="B7783" t="str">
        <f>"1552377030143859"</f>
        <v>1552377030143859</v>
      </c>
      <c r="C7783" t="s">
        <v>40</v>
      </c>
      <c r="D7783">
        <v>6.0616000000000003</v>
      </c>
      <c r="E7783">
        <v>0.62722129999999998</v>
      </c>
      <c r="F7783" t="s">
        <v>81</v>
      </c>
      <c r="G7783">
        <v>-62.890889999999999</v>
      </c>
      <c r="H7783">
        <v>8.0167809999999999</v>
      </c>
      <c r="I7783">
        <v>118.0667</v>
      </c>
      <c r="J7783">
        <v>-126.97450000000001</v>
      </c>
      <c r="K7783">
        <v>1.110608</v>
      </c>
      <c r="L7783">
        <v>141.92920000000001</v>
      </c>
      <c r="M7783">
        <v>0.99894879999999997</v>
      </c>
      <c r="N7783">
        <v>0</v>
      </c>
      <c r="O7783">
        <v>4.4241019999999999E-2</v>
      </c>
      <c r="P7783">
        <v>0.99055110000000002</v>
      </c>
      <c r="Q7783">
        <v>0.1343492</v>
      </c>
      <c r="R7783">
        <v>-2.75538E-2</v>
      </c>
      <c r="S7783">
        <v>2.953049</v>
      </c>
      <c r="T7783">
        <v>0.31806210000000001</v>
      </c>
      <c r="U7783">
        <v>-1.0989070000000001</v>
      </c>
      <c r="V7783">
        <v>7.1358950000000004E-2</v>
      </c>
      <c r="W7783">
        <v>0.146204799999999</v>
      </c>
      <c r="X7783">
        <v>0.98667729999999998</v>
      </c>
      <c r="Y7783">
        <v>0.38768180000000002</v>
      </c>
      <c r="Z7783">
        <v>2.4755249999999999E-2</v>
      </c>
      <c r="AA7783">
        <v>0.92146079999999997</v>
      </c>
      <c r="AB7783">
        <v>4</v>
      </c>
      <c r="AC7783">
        <v>64.083609999999993</v>
      </c>
      <c r="AD7783">
        <v>6.9061729999999999</v>
      </c>
      <c r="AE7783">
        <v>-23.862500000000001</v>
      </c>
      <c r="AF7783">
        <v>26.405135845331799</v>
      </c>
      <c r="AG7783">
        <v>6.9061729999999999</v>
      </c>
      <c r="AH7783">
        <v>62.329336301691797</v>
      </c>
      <c r="AI7783">
        <v>84.174622752907496</v>
      </c>
      <c r="AJ7783">
        <v>67.040591169973098</v>
      </c>
      <c r="AK7783">
        <v>68.043167095056305</v>
      </c>
      <c r="AL7783">
        <v>81.592947447282796</v>
      </c>
      <c r="AM7783">
        <v>85.863429227014194</v>
      </c>
      <c r="AN7783">
        <v>1.00000001881171</v>
      </c>
    </row>
    <row r="7784" spans="1:40" x14ac:dyDescent="0.25">
      <c r="A7784" t="str">
        <f>"20190312155030173"</f>
        <v>20190312155030173</v>
      </c>
      <c r="B7784" t="str">
        <f>"1552377030163378"</f>
        <v>1552377030163378</v>
      </c>
      <c r="C7784" t="s">
        <v>40</v>
      </c>
      <c r="D7784">
        <v>6.0481699999999998</v>
      </c>
      <c r="E7784">
        <v>0.62705859999999902</v>
      </c>
      <c r="F7784" t="s">
        <v>81</v>
      </c>
      <c r="G7784">
        <v>-62.613570000000003</v>
      </c>
      <c r="H7784">
        <v>8.3440239999999992</v>
      </c>
      <c r="I7784">
        <v>118.0667</v>
      </c>
      <c r="J7784">
        <v>-126.9342</v>
      </c>
      <c r="K7784">
        <v>1.110579</v>
      </c>
      <c r="L7784">
        <v>141.93100000000001</v>
      </c>
      <c r="M7784">
        <v>0.99894950000000005</v>
      </c>
      <c r="N7784">
        <v>0</v>
      </c>
      <c r="O7784">
        <v>4.4224039999999999E-2</v>
      </c>
      <c r="P7784">
        <v>0.99030600000000002</v>
      </c>
      <c r="Q7784">
        <v>0.13720729999999901</v>
      </c>
      <c r="R7784">
        <v>-2.1645310000000001E-2</v>
      </c>
      <c r="S7784">
        <v>2.9531399999999999</v>
      </c>
      <c r="T7784">
        <v>0.33189879999999999</v>
      </c>
      <c r="U7784">
        <v>-1.09491</v>
      </c>
      <c r="V7784">
        <v>6.5428810000000004E-2</v>
      </c>
      <c r="W7784">
        <v>0.14906179999999999</v>
      </c>
      <c r="X7784">
        <v>0.9866608</v>
      </c>
      <c r="Y7784">
        <v>0.38637110000000002</v>
      </c>
      <c r="Z7784">
        <v>2.5758329999999999E-2</v>
      </c>
      <c r="AA7784">
        <v>0.92198369999999996</v>
      </c>
      <c r="AB7784">
        <v>4</v>
      </c>
      <c r="AC7784">
        <v>64.320629999999994</v>
      </c>
      <c r="AD7784">
        <v>7.2334449999999997</v>
      </c>
      <c r="AE7784">
        <v>-23.8643</v>
      </c>
      <c r="AF7784">
        <v>26.3922749956415</v>
      </c>
      <c r="AG7784">
        <v>7.2334449999999997</v>
      </c>
      <c r="AH7784">
        <v>62.507360323743697</v>
      </c>
      <c r="AI7784">
        <v>83.914783868319304</v>
      </c>
      <c r="AJ7784">
        <v>67.1092317543376</v>
      </c>
      <c r="AK7784">
        <v>68.235218184277301</v>
      </c>
      <c r="AL7784">
        <v>81.427439076975404</v>
      </c>
      <c r="AM7784">
        <v>86.206078054837803</v>
      </c>
      <c r="AN7784">
        <v>0.99999994182694596</v>
      </c>
    </row>
    <row r="7785" spans="1:40" x14ac:dyDescent="0.25">
      <c r="A7785" t="str">
        <f>"20190312155030216"</f>
        <v>20190312155030216</v>
      </c>
      <c r="B7785" t="str">
        <f>"1552377030203393"</f>
        <v>1552377030203393</v>
      </c>
      <c r="C7785" t="s">
        <v>40</v>
      </c>
      <c r="D7785">
        <v>6.0689630000000001</v>
      </c>
      <c r="E7785">
        <v>0.62665769999999998</v>
      </c>
      <c r="F7785" t="s">
        <v>48</v>
      </c>
      <c r="G7785">
        <v>0</v>
      </c>
      <c r="H7785">
        <v>0</v>
      </c>
      <c r="I7785">
        <v>0</v>
      </c>
      <c r="J7785">
        <v>-126.8586</v>
      </c>
      <c r="K7785">
        <v>1.1105750000000001</v>
      </c>
      <c r="L7785">
        <v>141.93430000000001</v>
      </c>
      <c r="M7785">
        <v>0.99895100000000003</v>
      </c>
      <c r="N7785">
        <v>0</v>
      </c>
      <c r="O7785">
        <v>4.4192040000000002E-2</v>
      </c>
      <c r="P7785">
        <v>0.99024920000000005</v>
      </c>
      <c r="Q7785">
        <v>0.13873460000000001</v>
      </c>
      <c r="R7785">
        <v>-1.263658E-2</v>
      </c>
      <c r="S7785">
        <v>2.9586790000000001</v>
      </c>
      <c r="T7785">
        <v>0.34057140000000002</v>
      </c>
      <c r="U7785">
        <v>-1.0760190000000001</v>
      </c>
      <c r="V7785">
        <v>5.6394880000000001E-2</v>
      </c>
      <c r="W7785">
        <v>0.15059310000000001</v>
      </c>
      <c r="X7785">
        <v>0.98698600000000003</v>
      </c>
      <c r="Y7785">
        <v>0.38049339999999998</v>
      </c>
      <c r="Z7785">
        <v>2.6078609999999999E-2</v>
      </c>
      <c r="AA7785">
        <v>0.92441589999999996</v>
      </c>
      <c r="AB7785">
        <v>4</v>
      </c>
      <c r="AC7785">
        <v>2.9586790000000001</v>
      </c>
      <c r="AD7785">
        <v>0.34057140000000002</v>
      </c>
      <c r="AE7785">
        <v>-1.0760190000000001</v>
      </c>
      <c r="AF7785">
        <v>1.1917804913518499</v>
      </c>
      <c r="AG7785">
        <v>0.34057140000000002</v>
      </c>
      <c r="AH7785">
        <v>2.8745937487686999</v>
      </c>
      <c r="AI7785">
        <v>83.754220035344105</v>
      </c>
      <c r="AJ7785">
        <v>67.481547369719905</v>
      </c>
      <c r="AK7785">
        <v>3.1304342891242598</v>
      </c>
      <c r="AL7785">
        <v>81.338700998744699</v>
      </c>
      <c r="AM7785">
        <v>86.729762042102806</v>
      </c>
      <c r="AN7785">
        <v>1.0000000142269101</v>
      </c>
    </row>
    <row r="7786" spans="1:40" x14ac:dyDescent="0.25">
      <c r="A7786" t="str">
        <f>"20190312155030240"</f>
        <v>20190312155030240</v>
      </c>
      <c r="B7786" t="str">
        <f>"1552377030233650"</f>
        <v>1552377030233650</v>
      </c>
      <c r="C7786" t="s">
        <v>40</v>
      </c>
      <c r="D7786">
        <v>6.367432</v>
      </c>
      <c r="E7786">
        <v>0.62621309999999997</v>
      </c>
      <c r="F7786" t="s">
        <v>48</v>
      </c>
      <c r="G7786">
        <v>0</v>
      </c>
      <c r="H7786">
        <v>0</v>
      </c>
      <c r="I7786">
        <v>0</v>
      </c>
      <c r="J7786">
        <v>-126.81399999999999</v>
      </c>
      <c r="K7786">
        <v>1.11056</v>
      </c>
      <c r="L7786">
        <v>141.93629999999999</v>
      </c>
      <c r="M7786">
        <v>0.99895179999999995</v>
      </c>
      <c r="N7786">
        <v>0</v>
      </c>
      <c r="O7786">
        <v>4.4173799999999999E-2</v>
      </c>
      <c r="P7786">
        <v>0.9903383</v>
      </c>
      <c r="Q7786">
        <v>0.1384677</v>
      </c>
      <c r="R7786">
        <v>-7.5404269999999997E-3</v>
      </c>
      <c r="S7786">
        <v>2.9689480000000001</v>
      </c>
      <c r="T7786">
        <v>0.33729480000000001</v>
      </c>
      <c r="U7786">
        <v>-1.0456540000000001</v>
      </c>
      <c r="V7786">
        <v>5.1289630000000003E-2</v>
      </c>
      <c r="W7786">
        <v>0.15032909999999999</v>
      </c>
      <c r="X7786">
        <v>0.98730469999999904</v>
      </c>
      <c r="Y7786">
        <v>0.3711528</v>
      </c>
      <c r="Z7786">
        <v>2.527246E-2</v>
      </c>
      <c r="AA7786">
        <v>0.92822780000000005</v>
      </c>
      <c r="AB7786">
        <v>4</v>
      </c>
      <c r="AC7786">
        <v>2.9689480000000001</v>
      </c>
      <c r="AD7786">
        <v>0.33729480000000001</v>
      </c>
      <c r="AE7786">
        <v>-1.0456540000000001</v>
      </c>
      <c r="AF7786">
        <v>1.1624446929300101</v>
      </c>
      <c r="AG7786">
        <v>0.33729480000000001</v>
      </c>
      <c r="AH7786">
        <v>2.8867093907017498</v>
      </c>
      <c r="AI7786">
        <v>83.814076003610893</v>
      </c>
      <c r="AJ7786">
        <v>68.065920582114302</v>
      </c>
      <c r="AK7786">
        <v>3.1301975261305599</v>
      </c>
      <c r="AL7786">
        <v>81.354001292575404</v>
      </c>
      <c r="AM7786">
        <v>87.026206749320195</v>
      </c>
      <c r="AN7786">
        <v>1.0000000175472099</v>
      </c>
    </row>
    <row r="7787" spans="1:40" x14ac:dyDescent="0.25">
      <c r="A7787" t="str">
        <f>"20190312155030261"</f>
        <v>20190312155030261</v>
      </c>
      <c r="B7787" t="str">
        <f>"1552377030253170"</f>
        <v>1552377030253170</v>
      </c>
      <c r="C7787" t="s">
        <v>40</v>
      </c>
      <c r="D7787">
        <v>6.1048669999999996</v>
      </c>
      <c r="E7787">
        <v>0.62621309999999997</v>
      </c>
      <c r="F7787" t="s">
        <v>48</v>
      </c>
      <c r="G7787">
        <v>0</v>
      </c>
      <c r="H7787">
        <v>0</v>
      </c>
      <c r="I7787">
        <v>0</v>
      </c>
      <c r="J7787">
        <v>-126.7753</v>
      </c>
      <c r="K7787">
        <v>1.1105590000000001</v>
      </c>
      <c r="L7787">
        <v>141.93799999999999</v>
      </c>
      <c r="M7787">
        <v>0.99895239999999996</v>
      </c>
      <c r="N7787">
        <v>0</v>
      </c>
      <c r="O7787">
        <v>4.415765E-2</v>
      </c>
      <c r="P7787">
        <v>0.99028689999999997</v>
      </c>
      <c r="Q7787">
        <v>0.13901929999999901</v>
      </c>
      <c r="R7787">
        <v>-2.396628E-3</v>
      </c>
      <c r="S7787">
        <v>2.9749599999999998</v>
      </c>
      <c r="T7787">
        <v>0.33245590000000003</v>
      </c>
      <c r="U7787">
        <v>-1.0267790000000001</v>
      </c>
      <c r="V7787">
        <v>4.6132670000000001E-2</v>
      </c>
      <c r="W7787">
        <v>0.15088299999999999</v>
      </c>
      <c r="X7787">
        <v>0.98747459999999998</v>
      </c>
      <c r="Y7787">
        <v>0.36539369999999999</v>
      </c>
      <c r="Z7787">
        <v>2.4575969999999999E-2</v>
      </c>
      <c r="AA7787">
        <v>0.93052860000000004</v>
      </c>
      <c r="AB7787">
        <v>4</v>
      </c>
      <c r="AC7787">
        <v>2.9749599999999998</v>
      </c>
      <c r="AD7787">
        <v>0.33245590000000003</v>
      </c>
      <c r="AE7787">
        <v>-1.0267790000000001</v>
      </c>
      <c r="AF7787">
        <v>1.1443837543204101</v>
      </c>
      <c r="AG7787">
        <v>0.33245590000000003</v>
      </c>
      <c r="AH7787">
        <v>2.8944153000866999</v>
      </c>
      <c r="AI7787">
        <v>83.903048456734695</v>
      </c>
      <c r="AJ7787">
        <v>68.427322730723304</v>
      </c>
      <c r="AK7787">
        <v>3.1301407367678098</v>
      </c>
      <c r="AL7787">
        <v>81.321898793708897</v>
      </c>
      <c r="AM7787">
        <v>87.325210369283397</v>
      </c>
      <c r="AN7787">
        <v>0.999999994287744</v>
      </c>
    </row>
    <row r="7788" spans="1:40" x14ac:dyDescent="0.25">
      <c r="A7788" t="str">
        <f>"20190312155030286"</f>
        <v>20190312155030286</v>
      </c>
      <c r="B7788" t="str">
        <f>"1552377030283426"</f>
        <v>1552377030283426</v>
      </c>
      <c r="C7788" t="s">
        <v>40</v>
      </c>
      <c r="D7788">
        <v>5.9047190000000001</v>
      </c>
      <c r="E7788">
        <v>0.55992259999999905</v>
      </c>
      <c r="F7788" t="s">
        <v>48</v>
      </c>
      <c r="G7788">
        <v>0</v>
      </c>
      <c r="H7788">
        <v>0</v>
      </c>
      <c r="I7788">
        <v>0</v>
      </c>
      <c r="J7788">
        <v>-126.7329</v>
      </c>
      <c r="K7788">
        <v>1.110536</v>
      </c>
      <c r="L7788">
        <v>141.93989999999999</v>
      </c>
      <c r="M7788">
        <v>0.99895330000000004</v>
      </c>
      <c r="N7788">
        <v>0</v>
      </c>
      <c r="O7788">
        <v>4.4139480000000002E-2</v>
      </c>
      <c r="P7788">
        <v>0.99032810000000004</v>
      </c>
      <c r="Q7788">
        <v>0.13873679999999999</v>
      </c>
      <c r="R7788">
        <v>1.581769E-3</v>
      </c>
      <c r="S7788">
        <v>2.9799349999999998</v>
      </c>
      <c r="T7788">
        <v>0.33510210000000001</v>
      </c>
      <c r="U7788">
        <v>-1.011368</v>
      </c>
      <c r="V7788">
        <v>4.2141869999999998E-2</v>
      </c>
      <c r="W7788">
        <v>0.15060299999999999</v>
      </c>
      <c r="X7788">
        <v>0.98769569999999995</v>
      </c>
      <c r="Y7788">
        <v>0.36057790000000001</v>
      </c>
      <c r="Z7788">
        <v>2.448678E-2</v>
      </c>
      <c r="AA7788">
        <v>0.9324076</v>
      </c>
      <c r="AB7788">
        <v>4</v>
      </c>
      <c r="AC7788">
        <v>2.9799349999999998</v>
      </c>
      <c r="AD7788">
        <v>0.33510210000000001</v>
      </c>
      <c r="AE7788">
        <v>-1.011368</v>
      </c>
      <c r="AF7788">
        <v>1.1291207753628301</v>
      </c>
      <c r="AG7788">
        <v>0.33510210000000001</v>
      </c>
      <c r="AH7788">
        <v>2.8995069186495899</v>
      </c>
      <c r="AI7788">
        <v>83.8532519576314</v>
      </c>
      <c r="AJ7788">
        <v>68.723155750453202</v>
      </c>
      <c r="AK7788">
        <v>3.12959222808295</v>
      </c>
      <c r="AL7788">
        <v>81.338127087756305</v>
      </c>
      <c r="AM7788">
        <v>87.5568510710048</v>
      </c>
      <c r="AN7788">
        <v>0.99999999830729303</v>
      </c>
    </row>
    <row r="7789" spans="1:40" x14ac:dyDescent="0.25">
      <c r="A7789" t="str">
        <f>"20190312155030306"</f>
        <v>20190312155030306</v>
      </c>
      <c r="B7789" t="str">
        <f>"1552377030303922"</f>
        <v>1552377030303922</v>
      </c>
      <c r="C7789" t="s">
        <v>40</v>
      </c>
      <c r="D7789">
        <v>6.040235</v>
      </c>
      <c r="E7789">
        <v>0.53865769999999902</v>
      </c>
      <c r="F7789" t="s">
        <v>48</v>
      </c>
      <c r="G7789">
        <v>0</v>
      </c>
      <c r="H7789">
        <v>0</v>
      </c>
      <c r="I7789">
        <v>0</v>
      </c>
      <c r="J7789">
        <v>-126.69629999999999</v>
      </c>
      <c r="K7789">
        <v>1.1105020000000001</v>
      </c>
      <c r="L7789">
        <v>141.94149999999999</v>
      </c>
      <c r="M7789">
        <v>0.99895389999999995</v>
      </c>
      <c r="N7789">
        <v>0</v>
      </c>
      <c r="O7789">
        <v>4.4124160000000003E-2</v>
      </c>
      <c r="P7789">
        <v>0.9904944</v>
      </c>
      <c r="Q7789">
        <v>0.13747200000000001</v>
      </c>
      <c r="R7789">
        <v>4.7351859999999997E-3</v>
      </c>
      <c r="S7789">
        <v>2.9562680000000001</v>
      </c>
      <c r="T7789">
        <v>0.52669630000000001</v>
      </c>
      <c r="U7789">
        <v>-0.4775238</v>
      </c>
      <c r="V7789">
        <v>3.898356E-2</v>
      </c>
      <c r="W7789">
        <v>0.1493419</v>
      </c>
      <c r="X7789">
        <v>0.98801680000000003</v>
      </c>
      <c r="Y7789">
        <v>0.19912940000000001</v>
      </c>
      <c r="Z7789">
        <v>2.5245650000000001E-2</v>
      </c>
      <c r="AA7789">
        <v>0.97964799999999996</v>
      </c>
      <c r="AB7789">
        <v>4</v>
      </c>
      <c r="AC7789">
        <v>2.9562680000000001</v>
      </c>
      <c r="AD7789">
        <v>0.52669630000000001</v>
      </c>
      <c r="AE7789">
        <v>-0.4775238</v>
      </c>
      <c r="AF7789">
        <v>0.58928161147455504</v>
      </c>
      <c r="AG7789">
        <v>0.52669630000000001</v>
      </c>
      <c r="AH7789">
        <v>2.84432788551478</v>
      </c>
      <c r="AI7789">
        <v>79.722581310663898</v>
      </c>
      <c r="AJ7789">
        <v>78.295178484582607</v>
      </c>
      <c r="AK7789">
        <v>2.9520946682606102</v>
      </c>
      <c r="AL7789">
        <v>81.411209008560505</v>
      </c>
      <c r="AM7789">
        <v>87.740488370495299</v>
      </c>
      <c r="AN7789">
        <v>0.99999995906406003</v>
      </c>
    </row>
    <row r="7790" spans="1:40" x14ac:dyDescent="0.25">
      <c r="A7790" t="str">
        <f>"20190312155030329"</f>
        <v>20190312155030329</v>
      </c>
      <c r="B7790" t="str">
        <f>"1552377030323442"</f>
        <v>1552377030323442</v>
      </c>
      <c r="C7790" t="s">
        <v>40</v>
      </c>
      <c r="D7790">
        <v>6.0323560000000001</v>
      </c>
      <c r="E7790">
        <v>0.53468850000000001</v>
      </c>
      <c r="F7790" t="s">
        <v>48</v>
      </c>
      <c r="G7790">
        <v>0</v>
      </c>
      <c r="H7790">
        <v>0</v>
      </c>
      <c r="I7790">
        <v>0</v>
      </c>
      <c r="J7790">
        <v>-126.65689999999999</v>
      </c>
      <c r="K7790">
        <v>1.110484</v>
      </c>
      <c r="L7790">
        <v>141.94319999999999</v>
      </c>
      <c r="M7790">
        <v>0.99895469999999997</v>
      </c>
      <c r="N7790">
        <v>0</v>
      </c>
      <c r="O7790">
        <v>4.4107359999999998E-2</v>
      </c>
      <c r="P7790">
        <v>0.99081390000000003</v>
      </c>
      <c r="Q7790">
        <v>0.1350479</v>
      </c>
      <c r="R7790">
        <v>7.0744090000000003E-3</v>
      </c>
      <c r="S7790">
        <v>2.9434049999999998</v>
      </c>
      <c r="T7790">
        <v>0.62559889999999996</v>
      </c>
      <c r="U7790">
        <v>-0.30194090000000001</v>
      </c>
      <c r="V7790">
        <v>3.6643990000000001E-2</v>
      </c>
      <c r="W7790">
        <v>0.14692269999999999</v>
      </c>
      <c r="X7790">
        <v>0.98846900000000004</v>
      </c>
      <c r="Y7790">
        <v>0.14171520000000001</v>
      </c>
      <c r="Z7790">
        <v>2.4107420000000001E-2</v>
      </c>
      <c r="AA7790">
        <v>0.98961390000000005</v>
      </c>
      <c r="AB7790">
        <v>4</v>
      </c>
      <c r="AC7790">
        <v>2.9434049999999998</v>
      </c>
      <c r="AD7790">
        <v>0.62559889999999996</v>
      </c>
      <c r="AE7790">
        <v>-0.30194090000000001</v>
      </c>
      <c r="AF7790">
        <v>0.41301862939068501</v>
      </c>
      <c r="AG7790">
        <v>0.62559889999999996</v>
      </c>
      <c r="AH7790">
        <v>2.8019625558771799</v>
      </c>
      <c r="AI7790">
        <v>77.544229288457899</v>
      </c>
      <c r="AJ7790">
        <v>81.614793545484005</v>
      </c>
      <c r="AK7790">
        <v>2.9005090133358902</v>
      </c>
      <c r="AL7790">
        <v>81.551365725393893</v>
      </c>
      <c r="AM7790">
        <v>87.876933958929499</v>
      </c>
      <c r="AN7790">
        <v>1.0000000128697</v>
      </c>
    </row>
    <row r="7791" spans="1:40" x14ac:dyDescent="0.25">
      <c r="A7791" t="str">
        <f>"20190312155030352"</f>
        <v>20190312155030352</v>
      </c>
      <c r="B7791" t="str">
        <f>"1552377030343938"</f>
        <v>1552377030343938</v>
      </c>
      <c r="C7791" t="s">
        <v>40</v>
      </c>
      <c r="D7791">
        <v>8.7897920000000003</v>
      </c>
      <c r="E7791">
        <v>0.53334700000000002</v>
      </c>
      <c r="F7791" t="s">
        <v>48</v>
      </c>
      <c r="G7791">
        <v>0</v>
      </c>
      <c r="H7791">
        <v>0</v>
      </c>
      <c r="I7791">
        <v>0</v>
      </c>
      <c r="J7791">
        <v>-126.61450000000001</v>
      </c>
      <c r="K7791">
        <v>1.110452</v>
      </c>
      <c r="L7791">
        <v>141.9451</v>
      </c>
      <c r="M7791">
        <v>0.9989555</v>
      </c>
      <c r="N7791">
        <v>0</v>
      </c>
      <c r="O7791">
        <v>4.4089540000000003E-2</v>
      </c>
      <c r="P7791">
        <v>0.99107299999999998</v>
      </c>
      <c r="Q7791">
        <v>0.1330394</v>
      </c>
      <c r="R7791">
        <v>8.6575939999999994E-3</v>
      </c>
      <c r="S7791">
        <v>2.9453279999999999</v>
      </c>
      <c r="T7791">
        <v>0.61887749999999997</v>
      </c>
      <c r="U7791">
        <v>-0.26283260000000003</v>
      </c>
      <c r="V7791">
        <v>3.5056089999999998E-2</v>
      </c>
      <c r="W7791">
        <v>0.1449183</v>
      </c>
      <c r="X7791">
        <v>0.98882239999999999</v>
      </c>
      <c r="Y7791">
        <v>0.12896299999999999</v>
      </c>
      <c r="Z7791">
        <v>2.2526270000000001E-2</v>
      </c>
      <c r="AA7791">
        <v>0.99139350000000004</v>
      </c>
      <c r="AB7791">
        <v>4</v>
      </c>
      <c r="AC7791">
        <v>2.9453279999999999</v>
      </c>
      <c r="AD7791">
        <v>0.61887749999999997</v>
      </c>
      <c r="AE7791">
        <v>-0.26283260000000003</v>
      </c>
      <c r="AF7791">
        <v>0.37597586509980002</v>
      </c>
      <c r="AG7791">
        <v>0.61887749999999997</v>
      </c>
      <c r="AH7791">
        <v>2.80788265665855</v>
      </c>
      <c r="AI7791">
        <v>77.676907833201398</v>
      </c>
      <c r="AJ7791">
        <v>82.373450949298103</v>
      </c>
      <c r="AK7791">
        <v>2.8997538213972001</v>
      </c>
      <c r="AL7791">
        <v>81.667451771082895</v>
      </c>
      <c r="AM7791">
        <v>87.969579638221006</v>
      </c>
      <c r="AN7791">
        <v>0.99999999093136904</v>
      </c>
    </row>
    <row r="7792" spans="1:40" x14ac:dyDescent="0.25">
      <c r="A7792" t="str">
        <f>"20190312155030376"</f>
        <v>20190312155030376</v>
      </c>
      <c r="B7792" t="str">
        <f>"1552377030363458"</f>
        <v>1552377030363458</v>
      </c>
      <c r="C7792" t="s">
        <v>40</v>
      </c>
      <c r="D7792">
        <v>5.8914869999999997</v>
      </c>
      <c r="E7792">
        <v>0.53193100000000004</v>
      </c>
      <c r="F7792" t="s">
        <v>48</v>
      </c>
      <c r="G7792">
        <v>0</v>
      </c>
      <c r="H7792">
        <v>0</v>
      </c>
      <c r="I7792">
        <v>0</v>
      </c>
      <c r="J7792">
        <v>-126.5744</v>
      </c>
      <c r="K7792">
        <v>1.1104240000000001</v>
      </c>
      <c r="L7792">
        <v>141.9469</v>
      </c>
      <c r="M7792">
        <v>0.99895630000000002</v>
      </c>
      <c r="N7792">
        <v>0</v>
      </c>
      <c r="O7792">
        <v>4.4072729999999997E-2</v>
      </c>
      <c r="P7792">
        <v>0.99120960000000002</v>
      </c>
      <c r="Q7792">
        <v>0.13198080000000001</v>
      </c>
      <c r="R7792">
        <v>9.2106029999999995E-3</v>
      </c>
      <c r="S7792">
        <v>2.9455719999999999</v>
      </c>
      <c r="T7792">
        <v>0.62283180000000005</v>
      </c>
      <c r="U7792">
        <v>-0.24781800000000001</v>
      </c>
      <c r="V7792">
        <v>3.4492950000000001E-2</v>
      </c>
      <c r="W7792">
        <v>0.14386179999999901</v>
      </c>
      <c r="X7792">
        <v>0.9889964</v>
      </c>
      <c r="Y7792">
        <v>0.1239825</v>
      </c>
      <c r="Z7792">
        <v>2.2146430000000002E-2</v>
      </c>
      <c r="AA7792">
        <v>0.99203719999999995</v>
      </c>
      <c r="AB7792">
        <v>4</v>
      </c>
      <c r="AC7792">
        <v>2.9455719999999999</v>
      </c>
      <c r="AD7792">
        <v>0.62283180000000005</v>
      </c>
      <c r="AE7792">
        <v>-0.24781800000000001</v>
      </c>
      <c r="AF7792">
        <v>0.36136301281324001</v>
      </c>
      <c r="AG7792">
        <v>0.62283180000000005</v>
      </c>
      <c r="AH7792">
        <v>2.80716129038733</v>
      </c>
      <c r="AI7792">
        <v>77.589484877628095</v>
      </c>
      <c r="AJ7792">
        <v>82.664713216310105</v>
      </c>
      <c r="AK7792">
        <v>2.8980436829643801</v>
      </c>
      <c r="AL7792">
        <v>81.728625311524098</v>
      </c>
      <c r="AM7792">
        <v>88.002520810161201</v>
      </c>
      <c r="AN7792">
        <v>0.99999993015594801</v>
      </c>
    </row>
    <row r="7793" spans="1:40" x14ac:dyDescent="0.25">
      <c r="A7793" t="str">
        <f>"20190312155030399"</f>
        <v>20190312155030399</v>
      </c>
      <c r="B7793" t="str">
        <f>"1552377030393714"</f>
        <v>1552377030393714</v>
      </c>
      <c r="C7793" t="s">
        <v>40</v>
      </c>
      <c r="D7793">
        <v>5.9135660000000003</v>
      </c>
      <c r="E7793">
        <v>0.53117760000000003</v>
      </c>
      <c r="F7793" t="s">
        <v>48</v>
      </c>
      <c r="G7793">
        <v>0</v>
      </c>
      <c r="H7793">
        <v>0</v>
      </c>
      <c r="I7793">
        <v>0</v>
      </c>
      <c r="J7793">
        <v>-126.5346</v>
      </c>
      <c r="K7793">
        <v>1.1103970000000001</v>
      </c>
      <c r="L7793">
        <v>141.9486</v>
      </c>
      <c r="M7793">
        <v>0.99895699999999998</v>
      </c>
      <c r="N7793">
        <v>0</v>
      </c>
      <c r="O7793">
        <v>4.4056100000000001E-2</v>
      </c>
      <c r="P7793">
        <v>0.99129179999999995</v>
      </c>
      <c r="Q7793">
        <v>0.1313011</v>
      </c>
      <c r="R7793">
        <v>1.002925E-2</v>
      </c>
      <c r="S7793">
        <v>2.9449010000000002</v>
      </c>
      <c r="T7793">
        <v>0.63006410000000002</v>
      </c>
      <c r="U7793">
        <v>-0.235321</v>
      </c>
      <c r="V7793">
        <v>3.3662259999999999E-2</v>
      </c>
      <c r="W7793">
        <v>0.14318320000000001</v>
      </c>
      <c r="X7793">
        <v>0.98912359999999999</v>
      </c>
      <c r="Y7793">
        <v>0.119808</v>
      </c>
      <c r="Z7793">
        <v>2.196207E-2</v>
      </c>
      <c r="AA7793">
        <v>0.99255409999999999</v>
      </c>
      <c r="AB7793">
        <v>4</v>
      </c>
      <c r="AC7793">
        <v>2.9449010000000002</v>
      </c>
      <c r="AD7793">
        <v>0.63006410000000002</v>
      </c>
      <c r="AE7793">
        <v>-0.235321</v>
      </c>
      <c r="AF7793">
        <v>0.34896994089660399</v>
      </c>
      <c r="AG7793">
        <v>0.63006410000000002</v>
      </c>
      <c r="AH7793">
        <v>2.8041286900500402</v>
      </c>
      <c r="AI7793">
        <v>77.430284204588403</v>
      </c>
      <c r="AJ7793">
        <v>82.906091577359902</v>
      </c>
      <c r="AK7793">
        <v>2.8951508596479001</v>
      </c>
      <c r="AL7793">
        <v>81.767913853921399</v>
      </c>
      <c r="AM7793">
        <v>88.050838811405498</v>
      </c>
      <c r="AN7793">
        <v>1.00000003629375</v>
      </c>
    </row>
    <row r="7794" spans="1:40" x14ac:dyDescent="0.25">
      <c r="A7794" t="str">
        <f>"20190312155030425"</f>
        <v>20190312155030425</v>
      </c>
      <c r="B7794" t="str">
        <f>"1552377030413234"</f>
        <v>1552377030413234</v>
      </c>
      <c r="C7794" t="s">
        <v>40</v>
      </c>
      <c r="D7794">
        <v>5.8351550000000003</v>
      </c>
      <c r="E7794">
        <v>0.5312093</v>
      </c>
      <c r="F7794" t="s">
        <v>48</v>
      </c>
      <c r="G7794">
        <v>0</v>
      </c>
      <c r="H7794">
        <v>0</v>
      </c>
      <c r="I7794">
        <v>0</v>
      </c>
      <c r="J7794">
        <v>-126.4871</v>
      </c>
      <c r="K7794">
        <v>1.1103940000000001</v>
      </c>
      <c r="L7794">
        <v>141.95070000000001</v>
      </c>
      <c r="M7794">
        <v>0.99895780000000001</v>
      </c>
      <c r="N7794">
        <v>0</v>
      </c>
      <c r="O7794">
        <v>4.4036140000000001E-2</v>
      </c>
      <c r="P7794">
        <v>0.99133039999999994</v>
      </c>
      <c r="Q7794">
        <v>0.13097349999999999</v>
      </c>
      <c r="R7794">
        <v>1.0490650000000001E-2</v>
      </c>
      <c r="S7794">
        <v>2.9438170000000001</v>
      </c>
      <c r="T7794">
        <v>0.64036110000000002</v>
      </c>
      <c r="U7794">
        <v>-0.22726440000000001</v>
      </c>
      <c r="V7794">
        <v>3.3182990000000002E-2</v>
      </c>
      <c r="W7794">
        <v>0.14285619999999999</v>
      </c>
      <c r="X7794">
        <v>0.98918709999999999</v>
      </c>
      <c r="Y7794">
        <v>0.11705749999999999</v>
      </c>
      <c r="Z7794">
        <v>2.202351E-2</v>
      </c>
      <c r="AA7794">
        <v>0.99288089999999996</v>
      </c>
      <c r="AB7794">
        <v>4</v>
      </c>
      <c r="AC7794">
        <v>2.9438170000000001</v>
      </c>
      <c r="AD7794">
        <v>0.64036110000000002</v>
      </c>
      <c r="AE7794">
        <v>-0.22726440000000001</v>
      </c>
      <c r="AF7794">
        <v>0.34066350527230799</v>
      </c>
      <c r="AG7794">
        <v>0.64036110000000002</v>
      </c>
      <c r="AH7794">
        <v>2.7992801790463302</v>
      </c>
      <c r="AI7794">
        <v>77.2060266879339</v>
      </c>
      <c r="AJ7794">
        <v>83.061405204197698</v>
      </c>
      <c r="AK7794">
        <v>2.8917267303497498</v>
      </c>
      <c r="AL7794">
        <v>81.786844390525701</v>
      </c>
      <c r="AM7794">
        <v>88.078692501053993</v>
      </c>
      <c r="AN7794">
        <v>1.0000000617550899</v>
      </c>
    </row>
    <row r="7795" spans="1:40" x14ac:dyDescent="0.25">
      <c r="A7795" t="str">
        <f>"20190312155030449"</f>
        <v>20190312155030449</v>
      </c>
      <c r="B7795" t="str">
        <f>"1552377030443490"</f>
        <v>1552377030443490</v>
      </c>
      <c r="C7795" t="s">
        <v>40</v>
      </c>
      <c r="D7795">
        <v>5.7680749999999996</v>
      </c>
      <c r="E7795">
        <v>0.53060289999999999</v>
      </c>
      <c r="F7795" t="s">
        <v>48</v>
      </c>
      <c r="G7795">
        <v>0</v>
      </c>
      <c r="H7795">
        <v>0</v>
      </c>
      <c r="I7795">
        <v>0</v>
      </c>
      <c r="J7795">
        <v>-126.4462</v>
      </c>
      <c r="K7795">
        <v>1.1103700000000001</v>
      </c>
      <c r="L7795">
        <v>141.95240000000001</v>
      </c>
      <c r="M7795">
        <v>0.99895860000000003</v>
      </c>
      <c r="N7795">
        <v>0</v>
      </c>
      <c r="O7795">
        <v>4.4018849999999998E-2</v>
      </c>
      <c r="P7795">
        <v>0.99149390000000004</v>
      </c>
      <c r="Q7795">
        <v>0.12972549999999999</v>
      </c>
      <c r="R7795">
        <v>1.054655E-2</v>
      </c>
      <c r="S7795">
        <v>2.9439389999999999</v>
      </c>
      <c r="T7795">
        <v>0.64090760000000002</v>
      </c>
      <c r="U7795">
        <v>-0.2259979</v>
      </c>
      <c r="V7795">
        <v>3.3117279999999999E-2</v>
      </c>
      <c r="W7795">
        <v>0.14161019999999999</v>
      </c>
      <c r="X7795">
        <v>0.98936840000000004</v>
      </c>
      <c r="Y7795">
        <v>0.1166171</v>
      </c>
      <c r="Z7795">
        <v>2.1990280000000001E-2</v>
      </c>
      <c r="AA7795">
        <v>0.99293350000000002</v>
      </c>
      <c r="AB7795">
        <v>4</v>
      </c>
      <c r="AC7795">
        <v>2.9439389999999999</v>
      </c>
      <c r="AD7795">
        <v>0.64090760000000002</v>
      </c>
      <c r="AE7795">
        <v>-0.2259979</v>
      </c>
      <c r="AF7795">
        <v>0.33938596728355502</v>
      </c>
      <c r="AG7795">
        <v>0.64090760000000002</v>
      </c>
      <c r="AH7795">
        <v>2.7992430784401101</v>
      </c>
      <c r="AI7795">
        <v>77.194629570360703</v>
      </c>
      <c r="AJ7795">
        <v>83.087082963610996</v>
      </c>
      <c r="AK7795">
        <v>2.89166166740192</v>
      </c>
      <c r="AL7795">
        <v>81.858967835141797</v>
      </c>
      <c r="AM7795">
        <v>88.082845408801106</v>
      </c>
      <c r="AN7795">
        <v>1.0000000169485901</v>
      </c>
    </row>
    <row r="7796" spans="1:40" x14ac:dyDescent="0.25">
      <c r="A7796" t="str">
        <f>"20190312155030488"</f>
        <v>20190312155030488</v>
      </c>
      <c r="B7796" t="str">
        <f>"1552377030483506"</f>
        <v>1552377030483506</v>
      </c>
      <c r="C7796" t="s">
        <v>40</v>
      </c>
      <c r="D7796">
        <v>5.9720519999999997</v>
      </c>
      <c r="E7796">
        <v>0.52845059999999999</v>
      </c>
      <c r="F7796" t="s">
        <v>48</v>
      </c>
      <c r="G7796">
        <v>0</v>
      </c>
      <c r="H7796">
        <v>0</v>
      </c>
      <c r="I7796">
        <v>0</v>
      </c>
      <c r="J7796">
        <v>-126.376</v>
      </c>
      <c r="K7796">
        <v>1.1103369999999999</v>
      </c>
      <c r="L7796">
        <v>141.9555</v>
      </c>
      <c r="M7796">
        <v>0.99895979999999995</v>
      </c>
      <c r="N7796">
        <v>0</v>
      </c>
      <c r="O7796">
        <v>4.3989710000000001E-2</v>
      </c>
      <c r="P7796">
        <v>0.99148769999999997</v>
      </c>
      <c r="Q7796">
        <v>0.12979869999999999</v>
      </c>
      <c r="R7796">
        <v>1.0210189999999999E-2</v>
      </c>
      <c r="S7796">
        <v>2.9438019999999998</v>
      </c>
      <c r="T7796">
        <v>0.64420219999999995</v>
      </c>
      <c r="U7796">
        <v>-0.22109989999999999</v>
      </c>
      <c r="V7796">
        <v>3.3424099999999998E-2</v>
      </c>
      <c r="W7796">
        <v>0.1416828</v>
      </c>
      <c r="X7796">
        <v>0.98934759999999999</v>
      </c>
      <c r="Y7796">
        <v>0.1149498</v>
      </c>
      <c r="Z7796">
        <v>2.1916640000000001E-2</v>
      </c>
      <c r="AA7796">
        <v>0.9931295</v>
      </c>
      <c r="AB7796">
        <v>4</v>
      </c>
      <c r="AC7796">
        <v>2.9438019999999998</v>
      </c>
      <c r="AD7796">
        <v>0.64420219999999995</v>
      </c>
      <c r="AE7796">
        <v>-0.22109989999999999</v>
      </c>
      <c r="AF7796">
        <v>0.33446513620491303</v>
      </c>
      <c r="AG7796">
        <v>0.64420219999999995</v>
      </c>
      <c r="AH7796">
        <v>2.79798658440833</v>
      </c>
      <c r="AI7796">
        <v>77.122885775754895</v>
      </c>
      <c r="AJ7796">
        <v>83.183334688464598</v>
      </c>
      <c r="AK7796">
        <v>2.8906041459097098</v>
      </c>
      <c r="AL7796">
        <v>81.854765080287606</v>
      </c>
      <c r="AM7796">
        <v>88.065056433798802</v>
      </c>
      <c r="AN7796">
        <v>0.99999992995120202</v>
      </c>
    </row>
    <row r="7797" spans="1:40" x14ac:dyDescent="0.25">
      <c r="A7797" t="str">
        <f>"20190312155030516"</f>
        <v>20190312155030516</v>
      </c>
      <c r="B7797" t="str">
        <f>"1552377030504003"</f>
        <v>1552377030504003</v>
      </c>
      <c r="C7797" t="s">
        <v>40</v>
      </c>
      <c r="D7797">
        <v>6.0072150000000004</v>
      </c>
      <c r="E7797">
        <v>0.4458992</v>
      </c>
      <c r="F7797" t="s">
        <v>48</v>
      </c>
      <c r="G7797">
        <v>0</v>
      </c>
      <c r="H7797">
        <v>0</v>
      </c>
      <c r="I7797">
        <v>0</v>
      </c>
      <c r="J7797">
        <v>-126.3288</v>
      </c>
      <c r="K7797">
        <v>1.1103190000000001</v>
      </c>
      <c r="L7797">
        <v>141.95760000000001</v>
      </c>
      <c r="M7797">
        <v>0.99896070000000003</v>
      </c>
      <c r="N7797">
        <v>0</v>
      </c>
      <c r="O7797">
        <v>4.3970099999999998E-2</v>
      </c>
      <c r="P7797">
        <v>0.99132039999999999</v>
      </c>
      <c r="Q7797">
        <v>0.13104360000000001</v>
      </c>
      <c r="R7797">
        <v>1.0550250000000001E-2</v>
      </c>
      <c r="S7797">
        <v>2.9432680000000002</v>
      </c>
      <c r="T7797">
        <v>0.64617369999999996</v>
      </c>
      <c r="U7797">
        <v>-0.20529169999999999</v>
      </c>
      <c r="V7797">
        <v>3.3057690000000001E-2</v>
      </c>
      <c r="W7797">
        <v>0.1429261</v>
      </c>
      <c r="X7797">
        <v>0.98918119999999998</v>
      </c>
      <c r="Y7797">
        <v>0.1097345</v>
      </c>
      <c r="Z7797">
        <v>2.1420539999999998E-2</v>
      </c>
      <c r="AA7797">
        <v>0.99373009999999995</v>
      </c>
      <c r="AB7797">
        <v>4</v>
      </c>
      <c r="AC7797">
        <v>2.9432680000000002</v>
      </c>
      <c r="AD7797">
        <v>0.64617369999999996</v>
      </c>
      <c r="AE7797">
        <v>-0.20529169999999999</v>
      </c>
      <c r="AF7797">
        <v>0.31920722668899598</v>
      </c>
      <c r="AG7797">
        <v>0.64617369999999996</v>
      </c>
      <c r="AH7797">
        <v>2.7972227718907101</v>
      </c>
      <c r="AI7797">
        <v>77.073583917898006</v>
      </c>
      <c r="AJ7797">
        <v>83.4898100607858</v>
      </c>
      <c r="AK7797">
        <v>2.88857905201262</v>
      </c>
      <c r="AL7797">
        <v>81.782797908219607</v>
      </c>
      <c r="AM7797">
        <v>88.085930603153599</v>
      </c>
      <c r="AN7797">
        <v>1.0000000636813899</v>
      </c>
    </row>
    <row r="7798" spans="1:40" x14ac:dyDescent="0.25">
      <c r="A7798" t="str">
        <f>"20190312155030539"</f>
        <v>20190312155030539</v>
      </c>
      <c r="B7798" t="str">
        <f>"1552377030533283"</f>
        <v>1552377030533283</v>
      </c>
      <c r="C7798" t="s">
        <v>40</v>
      </c>
      <c r="D7798">
        <v>5.7319740000000001</v>
      </c>
      <c r="E7798">
        <v>0.38982549999999999</v>
      </c>
      <c r="F7798" t="s">
        <v>48</v>
      </c>
      <c r="G7798">
        <v>0</v>
      </c>
      <c r="H7798">
        <v>0</v>
      </c>
      <c r="I7798">
        <v>0</v>
      </c>
      <c r="J7798">
        <v>-126.2885</v>
      </c>
      <c r="K7798">
        <v>1.11029</v>
      </c>
      <c r="L7798">
        <v>141.95930000000001</v>
      </c>
      <c r="M7798">
        <v>0.99896149999999995</v>
      </c>
      <c r="N7798">
        <v>0</v>
      </c>
      <c r="O7798">
        <v>4.3953230000000003E-2</v>
      </c>
      <c r="P7798">
        <v>0.99136210000000002</v>
      </c>
      <c r="Q7798">
        <v>0.1306822</v>
      </c>
      <c r="R7798">
        <v>1.112431E-2</v>
      </c>
      <c r="S7798">
        <v>2.950348</v>
      </c>
      <c r="T7798">
        <v>0.53748370000000001</v>
      </c>
      <c r="U7798">
        <v>0.45820620000000001</v>
      </c>
      <c r="V7798">
        <v>3.2469190000000002E-2</v>
      </c>
      <c r="W7798">
        <v>0.14256549999999901</v>
      </c>
      <c r="X7798">
        <v>0.98925269999999998</v>
      </c>
      <c r="Y7798">
        <v>-0.10884050000000001</v>
      </c>
      <c r="Z7798">
        <v>-1.888271E-3</v>
      </c>
      <c r="AA7798">
        <v>0.99405739999999998</v>
      </c>
      <c r="AB7798">
        <v>4</v>
      </c>
      <c r="AC7798">
        <v>2.950348</v>
      </c>
      <c r="AD7798">
        <v>0.53748370000000001</v>
      </c>
      <c r="AE7798">
        <v>0.45820620000000001</v>
      </c>
      <c r="AF7798">
        <v>-0.31777853870115103</v>
      </c>
      <c r="AG7798">
        <v>0.53748370000000001</v>
      </c>
      <c r="AH7798">
        <v>2.87448517987522</v>
      </c>
      <c r="AI7798">
        <v>79.471584240632893</v>
      </c>
      <c r="AJ7798">
        <v>96.308515305919599</v>
      </c>
      <c r="AK7798">
        <v>2.94151950133719</v>
      </c>
      <c r="AL7798">
        <v>81.803672316198501</v>
      </c>
      <c r="AM7798">
        <v>88.120116382251894</v>
      </c>
      <c r="AN7798">
        <v>1.0000000372733899</v>
      </c>
    </row>
    <row r="7799" spans="1:40" x14ac:dyDescent="0.25">
      <c r="A7799" t="str">
        <f>"20190312155030560"</f>
        <v>20190312155030560</v>
      </c>
      <c r="B7799" t="str">
        <f>"1552377030553778"</f>
        <v>1552377030553778</v>
      </c>
      <c r="C7799" t="s">
        <v>40</v>
      </c>
      <c r="D7799">
        <v>5.4501499999999998</v>
      </c>
      <c r="E7799">
        <v>0.38452989999999998</v>
      </c>
      <c r="F7799" t="s">
        <v>79</v>
      </c>
      <c r="G7799">
        <v>-75.514039999999994</v>
      </c>
      <c r="H7799">
        <v>3.564019</v>
      </c>
      <c r="I7799">
        <v>157.5685</v>
      </c>
      <c r="J7799">
        <v>-126.2512</v>
      </c>
      <c r="K7799">
        <v>1.1102829999999999</v>
      </c>
      <c r="L7799">
        <v>141.96100000000001</v>
      </c>
      <c r="M7799">
        <v>0.99896209999999996</v>
      </c>
      <c r="N7799">
        <v>0</v>
      </c>
      <c r="O7799">
        <v>4.3940609999999998E-2</v>
      </c>
      <c r="P7799">
        <v>0.99147620000000003</v>
      </c>
      <c r="Q7799">
        <v>0.12978339999999999</v>
      </c>
      <c r="R7799">
        <v>1.146396E-2</v>
      </c>
      <c r="S7799">
        <v>2.9967039999999998</v>
      </c>
      <c r="T7799">
        <v>0.144819</v>
      </c>
      <c r="U7799">
        <v>0.9212494</v>
      </c>
      <c r="V7799">
        <v>3.2121759999999999E-2</v>
      </c>
      <c r="W7799">
        <v>0.14166870000000001</v>
      </c>
      <c r="X7799">
        <v>0.98939279999999996</v>
      </c>
      <c r="Y7799">
        <v>-0.25134089999999998</v>
      </c>
      <c r="Z7799">
        <v>-3.8621879999999999E-3</v>
      </c>
      <c r="AA7799">
        <v>0.9678909</v>
      </c>
      <c r="AB7799">
        <v>4</v>
      </c>
      <c r="AC7799">
        <v>50.737159999999903</v>
      </c>
      <c r="AD7799">
        <v>2.4537360000000001</v>
      </c>
      <c r="AE7799">
        <v>15.6074999999999</v>
      </c>
      <c r="AF7799">
        <v>-13.334349917937899</v>
      </c>
      <c r="AG7799">
        <v>2.4537360000000001</v>
      </c>
      <c r="AH7799">
        <v>51.2644654367177</v>
      </c>
      <c r="AI7799">
        <v>87.347790237769203</v>
      </c>
      <c r="AJ7799">
        <v>104.58006696475699</v>
      </c>
      <c r="AK7799">
        <v>53.027079163424901</v>
      </c>
      <c r="AL7799">
        <v>81.855581514094297</v>
      </c>
      <c r="AM7799">
        <v>88.140480658246403</v>
      </c>
      <c r="AN7799">
        <v>0.99999997035851296</v>
      </c>
    </row>
    <row r="7800" spans="1:40" x14ac:dyDescent="0.25">
      <c r="A7800" t="str">
        <f>"20190312155030586"</f>
        <v>20190312155030586</v>
      </c>
      <c r="B7800" t="str">
        <f>"1552377030584034"</f>
        <v>1552377030584034</v>
      </c>
      <c r="C7800" t="s">
        <v>40</v>
      </c>
      <c r="D7800">
        <v>5.6298370000000002</v>
      </c>
      <c r="E7800">
        <v>0.38127339999999998</v>
      </c>
      <c r="F7800" t="s">
        <v>79</v>
      </c>
      <c r="G7800">
        <v>-76.278319999999994</v>
      </c>
      <c r="H7800">
        <v>3.2368420000000002</v>
      </c>
      <c r="I7800">
        <v>158.04910000000001</v>
      </c>
      <c r="J7800">
        <v>-126.20950000000001</v>
      </c>
      <c r="K7800">
        <v>1.1102609999999999</v>
      </c>
      <c r="L7800">
        <v>141.96279999999999</v>
      </c>
      <c r="M7800">
        <v>0.99896229999999997</v>
      </c>
      <c r="N7800">
        <v>0</v>
      </c>
      <c r="O7800">
        <v>4.3933880000000002E-2</v>
      </c>
      <c r="P7800">
        <v>0.99161120000000003</v>
      </c>
      <c r="Q7800">
        <v>0.12871459999999901</v>
      </c>
      <c r="R7800">
        <v>1.18272E-2</v>
      </c>
      <c r="S7800">
        <v>2.9979399999999998</v>
      </c>
      <c r="T7800">
        <v>0.12757550000000001</v>
      </c>
      <c r="U7800">
        <v>0.96514889999999998</v>
      </c>
      <c r="V7800">
        <v>3.1756779999999998E-2</v>
      </c>
      <c r="W7800">
        <v>0.140601799999999</v>
      </c>
      <c r="X7800">
        <v>0.98955680000000001</v>
      </c>
      <c r="Y7800">
        <v>-0.26414910000000003</v>
      </c>
      <c r="Z7800">
        <v>-3.6602240000000001E-3</v>
      </c>
      <c r="AA7800">
        <v>0.96447490000000002</v>
      </c>
      <c r="AB7800">
        <v>4</v>
      </c>
      <c r="AC7800">
        <v>49.931179999999998</v>
      </c>
      <c r="AD7800">
        <v>2.1265809999999998</v>
      </c>
      <c r="AE7800">
        <v>16.086300000000001</v>
      </c>
      <c r="AF7800">
        <v>-13.8541695274254</v>
      </c>
      <c r="AG7800">
        <v>2.1265809999999998</v>
      </c>
      <c r="AH7800">
        <v>50.506745330270498</v>
      </c>
      <c r="AI7800">
        <v>87.674783001550495</v>
      </c>
      <c r="AJ7800">
        <v>105.339135978695</v>
      </c>
      <c r="AK7800">
        <v>52.415567190492297</v>
      </c>
      <c r="AL7800">
        <v>81.917328774300799</v>
      </c>
      <c r="AM7800">
        <v>88.161899133703301</v>
      </c>
      <c r="AN7800">
        <v>1.00000000983272</v>
      </c>
    </row>
    <row r="7801" spans="1:40" x14ac:dyDescent="0.25">
      <c r="A7801" t="str">
        <f>"20190312155030613"</f>
        <v>20190312155030613</v>
      </c>
      <c r="B7801" t="str">
        <f>"1552377030603554"</f>
        <v>1552377030603554</v>
      </c>
      <c r="C7801" t="s">
        <v>40</v>
      </c>
      <c r="D7801">
        <v>5.7532420000000002</v>
      </c>
      <c r="E7801">
        <v>0.38068400000000002</v>
      </c>
      <c r="F7801" t="s">
        <v>79</v>
      </c>
      <c r="G7801">
        <v>-77.303139999999999</v>
      </c>
      <c r="H7801">
        <v>3.1440630000000001</v>
      </c>
      <c r="I7801">
        <v>158.15600000000001</v>
      </c>
      <c r="J7801">
        <v>-126.1602</v>
      </c>
      <c r="K7801">
        <v>1.1102369999999999</v>
      </c>
      <c r="L7801">
        <v>141.965</v>
      </c>
      <c r="M7801">
        <v>0.99896249999999998</v>
      </c>
      <c r="N7801">
        <v>0</v>
      </c>
      <c r="O7801">
        <v>4.3934130000000002E-2</v>
      </c>
      <c r="P7801">
        <v>0.99171659999999995</v>
      </c>
      <c r="Q7801">
        <v>0.12778010000000001</v>
      </c>
      <c r="R7801">
        <v>1.306671E-2</v>
      </c>
      <c r="S7801">
        <v>2.99736</v>
      </c>
      <c r="T7801">
        <v>0.12464749999999999</v>
      </c>
      <c r="U7801">
        <v>0.99244690000000002</v>
      </c>
      <c r="V7801">
        <v>3.0521719999999999E-2</v>
      </c>
      <c r="W7801">
        <v>0.1396693</v>
      </c>
      <c r="X7801">
        <v>0.98972769999999999</v>
      </c>
      <c r="Y7801">
        <v>-0.27213389999999998</v>
      </c>
      <c r="Z7801">
        <v>-3.7337429999999999E-3</v>
      </c>
      <c r="AA7801">
        <v>0.96225210000000005</v>
      </c>
      <c r="AB7801">
        <v>4</v>
      </c>
      <c r="AC7801">
        <v>48.857059999999997</v>
      </c>
      <c r="AD7801">
        <v>2.0338259999999999</v>
      </c>
      <c r="AE7801">
        <v>16.190999999999999</v>
      </c>
      <c r="AF7801">
        <v>-14.0068469750573</v>
      </c>
      <c r="AG7801">
        <v>2.0338259999999999</v>
      </c>
      <c r="AH7801">
        <v>49.444064054058799</v>
      </c>
      <c r="AI7801">
        <v>87.733617212072403</v>
      </c>
      <c r="AJ7801">
        <v>105.816721902591</v>
      </c>
      <c r="AK7801">
        <v>51.4299881446887</v>
      </c>
      <c r="AL7801">
        <v>81.971289514050397</v>
      </c>
      <c r="AM7801">
        <v>88.233643769754593</v>
      </c>
      <c r="AN7801">
        <v>1.00000000445076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2020-05-20T14:50:50Z</dcterms:created>
  <dcterms:modified xsi:type="dcterms:W3CDTF">2020-05-20T14:50:51Z</dcterms:modified>
</cp:coreProperties>
</file>